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Apportionment_NEW\Apportionment Funding\Monthly Apport Data\2324\Special Ed\"/>
    </mc:Choice>
  </mc:AlternateContent>
  <xr:revisionPtr revIDLastSave="0" documentId="13_ncr:1_{E6862D62-41EB-4891-B9F8-C8B0672EAB67}" xr6:coauthVersionLast="47" xr6:coauthVersionMax="47" xr10:uidLastSave="{00000000-0000-0000-0000-000000000000}"/>
  <bookViews>
    <workbookView xWindow="-43890" yWindow="1020" windowWidth="26070" windowHeight="19410" tabRatio="759" xr2:uid="{00000000-000D-0000-FFFF-FFFF00000000}"/>
  </bookViews>
  <sheets>
    <sheet name="Instructions" sheetId="20" r:id="rId1"/>
    <sheet name="Funding Survey" sheetId="21" r:id="rId2"/>
    <sheet name="District Calculations" sheetId="13" r:id="rId3"/>
    <sheet name="ESA Calculations 2324" sheetId="15" r:id="rId4"/>
    <sheet name="ESA Calculations 2324 Supp" sheetId="17" r:id="rId5"/>
    <sheet name="ESA Calculations 2425" sheetId="19" r:id="rId6"/>
    <sheet name="SpEd BEA Rate 2324" sheetId="7" state="hidden" r:id="rId7"/>
    <sheet name="SpEd BEA Rate 2324 Supp" sheetId="16" state="hidden" r:id="rId8"/>
    <sheet name="SpEd BEA Rate 2425" sheetId="18" state="hidden" r:id="rId9"/>
    <sheet name="2324 State Constant" sheetId="4" state="hidden" r:id="rId10"/>
    <sheet name="2324 State Constant Supp" sheetId="11" state="hidden" r:id="rId11"/>
    <sheet name="2425 State Constant" sheetId="12" state="hidden" r:id="rId12"/>
    <sheet name="2324 Jun 24 Enroll" sheetId="5" state="hidden" r:id="rId13"/>
    <sheet name="Mar 2324 Calcs" sheetId="10" state="hidden" r:id="rId14"/>
    <sheet name="Prior SpEd Rates and Enroll" sheetId="22" state="hidden" r:id="rId15"/>
    <sheet name="F196&amp;F195 Program 21" sheetId="23" state="hidden" r:id="rId16"/>
    <sheet name="S275 detail" sheetId="24" state="hidden" r:id="rId17"/>
    <sheet name="CCDDD" sheetId="14" state="hidden" r:id="rId18"/>
  </sheets>
  <definedNames>
    <definedName name="_Fill" localSheetId="13" hidden="1">#REF!</definedName>
    <definedName name="_Fill" hidden="1">#REF!</definedName>
    <definedName name="_xlnm._FilterDatabase" localSheetId="12" hidden="1">'2324 Jun 24 Enroll'!$A$3:$AL$3</definedName>
    <definedName name="_xlnm._FilterDatabase" localSheetId="17" hidden="1">CCDDD!$B$3:$E$3</definedName>
    <definedName name="_xlnm._FilterDatabase" localSheetId="13" hidden="1">'Mar 2324 Calcs'!$A$2:$Y$325</definedName>
    <definedName name="_xlnm._FilterDatabase" localSheetId="14" hidden="1">'Prior SpEd Rates and Enroll'!$A$2:$E$380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pport_089A" localSheetId="10">'2324 State Constant Supp'!$K$45</definedName>
    <definedName name="Apport_089A" localSheetId="11">'2425 State Constant'!$K$45</definedName>
    <definedName name="Apport_089A">'2324 State Constant'!$K$45</definedName>
    <definedName name="Apport_090A" localSheetId="10">'2324 State Constant Supp'!$K$46</definedName>
    <definedName name="Apport_090A" localSheetId="11">'2425 State Constant'!$K$46</definedName>
    <definedName name="Apport_090A">'2324 State Constant'!$K$46</definedName>
    <definedName name="Apport_091A" localSheetId="10">'2324 State Constant Supp'!$O$39</definedName>
    <definedName name="Apport_091A" localSheetId="11">'2425 State Constant'!$O$39</definedName>
    <definedName name="Apport_091A">'2324 State Constant'!$O$39</definedName>
    <definedName name="Apport_092A" localSheetId="10">'2324 State Constant Supp'!$K$47</definedName>
    <definedName name="Apport_092A" localSheetId="11">'2425 State Constant'!$K$47</definedName>
    <definedName name="Apport_092A">'2324 State Constant'!$K$47</definedName>
    <definedName name="Apport_093A" localSheetId="10">'2324 State Constant Supp'!$O$40</definedName>
    <definedName name="Apport_093A" localSheetId="11">'2425 State Constant'!$O$40</definedName>
    <definedName name="Apport_093A">'2324 State Constant'!$O$40</definedName>
    <definedName name="Apport_094A" localSheetId="10">'2324 State Constant Supp'!$K$33</definedName>
    <definedName name="Apport_094A" localSheetId="11">'2425 State Constant'!$K$33</definedName>
    <definedName name="Apport_094A">'2324 State Constant'!$K$33</definedName>
    <definedName name="Apport_095A" localSheetId="10">'2324 State Constant Supp'!$K$34</definedName>
    <definedName name="Apport_095A" localSheetId="11">'2425 State Constant'!$K$34</definedName>
    <definedName name="Apport_095A">'2324 State Constant'!$K$34</definedName>
    <definedName name="Apport_096A" localSheetId="10">'2324 State Constant Supp'!$O$28</definedName>
    <definedName name="Apport_096A" localSheetId="11">'2425 State Constant'!$O$28</definedName>
    <definedName name="Apport_096A">'2324 State Constant'!$O$28</definedName>
    <definedName name="Apport_097A" localSheetId="10">'2324 State Constant Supp'!$K$36</definedName>
    <definedName name="Apport_097A" localSheetId="11">'2425 State Constant'!$K$36</definedName>
    <definedName name="Apport_097A">'2324 State Constant'!$K$36</definedName>
    <definedName name="Apport_098A" localSheetId="10">'2324 State Constant Supp'!$O$29</definedName>
    <definedName name="Apport_098A" localSheetId="11">'2425 State Constant'!$O$29</definedName>
    <definedName name="Apport_098A">'2324 State Constant'!$O$29</definedName>
    <definedName name="Apport_116X" localSheetId="10">'2324 State Constant Supp'!$C$5</definedName>
    <definedName name="Apport_116X" localSheetId="11">'2425 State Constant'!$C$5</definedName>
    <definedName name="Apport_116X">'2324 State Constant'!$C$5</definedName>
    <definedName name="Apport_124X2324">'2324 State Constant'!$C$47</definedName>
    <definedName name="Apport_124X2324s">'2324 State Constant Supp'!$C$47</definedName>
    <definedName name="Apport_124X2425">'2425 State Constant'!$C$47</definedName>
    <definedName name="Apport_125X2324">'2324 State Constant'!$C$50</definedName>
    <definedName name="Apport_125X2324s">'2324 State Constant Supp'!$C$50</definedName>
    <definedName name="Apport_125X2425">'2425 State Constant'!$C$50</definedName>
    <definedName name="Apport_125XC2324">'2324 State Constant'!$C$49</definedName>
    <definedName name="Apport_125XC2324s">'2324 State Constant Supp'!$C$49</definedName>
    <definedName name="Apport_125XC2425">'2425 State Constant'!$C$49</definedName>
    <definedName name="Apport_126X2324">'2324 State Constant'!$C$51</definedName>
    <definedName name="Apport_126X2324s">'2324 State Constant Supp'!$C$51</definedName>
    <definedName name="Apport_126X2425">'2425 State Constant'!$C$51</definedName>
    <definedName name="Apport_127X2324">'2324 State Constant'!$C$52</definedName>
    <definedName name="Apport_127X2324s">'2324 State Constant Supp'!$C$52</definedName>
    <definedName name="Apport_127X2425">'2425 State Constant'!$C$52</definedName>
    <definedName name="Apport_128X2324">'2324 State Constant'!$C$53</definedName>
    <definedName name="Apport_128X2324s">'2324 State Constant Supp'!$C$53</definedName>
    <definedName name="Apport_128X2425">'2425 State Constant'!$C$53</definedName>
    <definedName name="Apport_129X2324">'2324 State Constant'!$C$54</definedName>
    <definedName name="Apport_129X2324s">'2324 State Constant Supp'!$C$54</definedName>
    <definedName name="Apport_129X2425">'2425 State Constant'!$C$54</definedName>
    <definedName name="Apport_132X" localSheetId="11">'2425 State Constant'!$C$6</definedName>
    <definedName name="Apport_132X">'2324 State Constant'!$C$6</definedName>
    <definedName name="Apport_132X2324s" localSheetId="10">'2324 State Constant Supp'!$C$6</definedName>
    <definedName name="Apport_201A" localSheetId="10">'2324 State Constant Supp'!$G$11</definedName>
    <definedName name="Apport_201A" localSheetId="11">'2425 State Constant'!$G$11</definedName>
    <definedName name="Apport_201A">'2324 State Constant'!$G$11</definedName>
    <definedName name="Apport_201A2324">'2324 State Constant'!$G$11</definedName>
    <definedName name="Apport_201A2324s">'2324 State Constant Supp'!$G$11</definedName>
    <definedName name="Apport_201A2425">'2425 State Constant'!$G$11</definedName>
    <definedName name="Apport_202A" localSheetId="10">'2324 State Constant Supp'!$K$14</definedName>
    <definedName name="Apport_202A" localSheetId="11">'2425 State Constant'!$K$14</definedName>
    <definedName name="Apport_202A">'2324 State Constant'!$K$14</definedName>
    <definedName name="Apport_202A2324">'2324 State Constant'!$K$14</definedName>
    <definedName name="Apport_202A2324s">'2324 State Constant Supp'!$K$14</definedName>
    <definedName name="Apport_202A2425">'2425 State Constant'!$K$14</definedName>
    <definedName name="Apport_203A" localSheetId="10">'2324 State Constant Supp'!$K$12</definedName>
    <definedName name="Apport_203A" localSheetId="11">'2425 State Constant'!$K$12</definedName>
    <definedName name="Apport_203A">'2324 State Constant'!$K$12</definedName>
    <definedName name="Apport_203A2324">'2324 State Constant'!$K$12</definedName>
    <definedName name="Apport_203A2324s">'2324 State Constant Supp'!$K$12</definedName>
    <definedName name="Apport_203A2425">'2425 State Constant'!$K$12</definedName>
    <definedName name="Apport_204A" localSheetId="10">'2324 State Constant Supp'!$G$15</definedName>
    <definedName name="Apport_204A" localSheetId="11">'2425 State Constant'!$G$15</definedName>
    <definedName name="Apport_204A">'2324 State Constant'!$G$15</definedName>
    <definedName name="Apport_204A_Old" localSheetId="10">'2324 State Constant Supp'!$G$12</definedName>
    <definedName name="Apport_204A_Old" localSheetId="11">'2425 State Constant'!$G$12</definedName>
    <definedName name="Apport_204A_Old">'2324 State Constant'!$G$12</definedName>
    <definedName name="Apport_205A" localSheetId="10">'2324 State Constant Supp'!$K$18</definedName>
    <definedName name="Apport_205A" localSheetId="11">'2425 State Constant'!$K$18</definedName>
    <definedName name="Apport_205A">'2324 State Constant'!$K$18</definedName>
    <definedName name="Apport_205A_Old" localSheetId="10">'2324 State Constant Supp'!$K$17</definedName>
    <definedName name="Apport_205A_Old" localSheetId="11">'2425 State Constant'!$K$17</definedName>
    <definedName name="Apport_205A_Old">'2324 State Constant'!$K$17</definedName>
    <definedName name="Apport_206A" localSheetId="10">'2324 State Constant Supp'!$O$5</definedName>
    <definedName name="Apport_206A" localSheetId="11">'2425 State Constant'!$O$5</definedName>
    <definedName name="Apport_206A">'2324 State Constant'!$O$5</definedName>
    <definedName name="Apport_210A" localSheetId="10">'2324 State Constant Supp'!$G$26</definedName>
    <definedName name="Apport_210A" localSheetId="11">'2425 State Constant'!$G$26</definedName>
    <definedName name="Apport_210A">'2324 State Constant'!$G$26</definedName>
    <definedName name="Apport_210A2324">'2324 State Constant'!$G$26</definedName>
    <definedName name="Apport_210A2324s">'2324 State Constant Supp'!$G$26</definedName>
    <definedName name="Apport_210A2425">'2425 State Constant'!$G$26</definedName>
    <definedName name="Apport_211A" localSheetId="10">'2324 State Constant Supp'!$K$25</definedName>
    <definedName name="Apport_211A" localSheetId="11">'2425 State Constant'!$K$25</definedName>
    <definedName name="Apport_211A">'2324 State Constant'!$K$25</definedName>
    <definedName name="Apport_211A2324">'2324 State Constant'!$K$25</definedName>
    <definedName name="Apport_211A2324s">'2324 State Constant Supp'!$K$25</definedName>
    <definedName name="Apport_211A2425">'2425 State Constant'!$K$25</definedName>
    <definedName name="Apport_212A" localSheetId="10">'2324 State Constant Supp'!$O$25</definedName>
    <definedName name="Apport_212A" localSheetId="11">'2425 State Constant'!$O$25</definedName>
    <definedName name="Apport_212A">'2324 State Constant'!$O$25</definedName>
    <definedName name="Apport_212A2324">'2324 State Constant'!$O$25</definedName>
    <definedName name="Apport_212A2324s">'2324 State Constant Supp'!$O$25</definedName>
    <definedName name="Apport_212A2425">'2425 State Constant'!$O$25</definedName>
    <definedName name="Apport_213A" localSheetId="10">'2324 State Constant Supp'!$G$36</definedName>
    <definedName name="Apport_213A" localSheetId="11">'2425 State Constant'!$G$36</definedName>
    <definedName name="Apport_213A">'2324 State Constant'!$G$36</definedName>
    <definedName name="Apport_213A2324">'2324 State Constant'!$G$36</definedName>
    <definedName name="Apport_213A2324s">'2324 State Constant Supp'!$G$36</definedName>
    <definedName name="Apport_213A2425">'2425 State Constant'!$G$36</definedName>
    <definedName name="Apport_214A" localSheetId="10">'2324 State Constant Supp'!$K$37</definedName>
    <definedName name="Apport_214A" localSheetId="11">'2425 State Constant'!$K$37</definedName>
    <definedName name="Apport_214A">'2324 State Constant'!$K$37</definedName>
    <definedName name="Apport_214A2324">'2324 State Constant'!$K$37</definedName>
    <definedName name="Apport_214A2324s">'2324 State Constant Supp'!$K$37</definedName>
    <definedName name="Apport_214A2425">'2425 State Constant'!$K$37</definedName>
    <definedName name="Apport_215A" localSheetId="10">'2324 State Constant Supp'!$O$30</definedName>
    <definedName name="Apport_215A" localSheetId="11">'2425 State Constant'!$O$30</definedName>
    <definedName name="Apport_215A">'2324 State Constant'!$O$30</definedName>
    <definedName name="Apport_215A2324">'2324 State Constant'!$O$30</definedName>
    <definedName name="Apport_215A2324s">'2324 State Constant Supp'!$O$30</definedName>
    <definedName name="Apport_215A2425">'2425 State Constant'!$O$30</definedName>
    <definedName name="Apport_216A" localSheetId="10">'2324 State Constant Supp'!$G$49</definedName>
    <definedName name="Apport_216A" localSheetId="11">'2425 State Constant'!$G$49</definedName>
    <definedName name="Apport_216A">'2324 State Constant'!$G$49</definedName>
    <definedName name="Apport_216A2324">'2324 State Constant'!$G$49</definedName>
    <definedName name="Apport_216A2324s">'2324 State Constant Supp'!$G$49</definedName>
    <definedName name="Apport_216A2425">'2425 State Constant'!$G$49</definedName>
    <definedName name="Apport_217A" localSheetId="10">'2324 State Constant Supp'!$K$48</definedName>
    <definedName name="Apport_217A" localSheetId="11">'2425 State Constant'!$K$48</definedName>
    <definedName name="Apport_217A2324">'2324 State Constant'!$K$48</definedName>
    <definedName name="Apport_217A2324s">'2324 State Constant Supp'!$K$48</definedName>
    <definedName name="Apport_217A2425">'2425 State Constant'!$K$48</definedName>
    <definedName name="Apport_218A" localSheetId="10">'2324 State Constant Supp'!$O$41</definedName>
    <definedName name="Apport_218A" localSheetId="11">'2425 State Constant'!$O$41</definedName>
    <definedName name="Apport_218A">'2324 State Constant'!$O$41</definedName>
    <definedName name="Apport_218A2324">'2324 State Constant'!$O$41</definedName>
    <definedName name="Apport_218A2324s">'2324 State Constant Supp'!$O$41</definedName>
    <definedName name="Apport_218A2425">'2425 State Constant'!$O$41</definedName>
    <definedName name="Apport_221A" localSheetId="10">'2324 State Constant Supp'!$O$4</definedName>
    <definedName name="Apport_221A" localSheetId="11">'2425 State Constant'!$O$4</definedName>
    <definedName name="Apport_221A">'2324 State Constant'!$O$4</definedName>
    <definedName name="Apport_222A" localSheetId="10">'2324 State Constant Supp'!$G$22</definedName>
    <definedName name="Apport_222A" localSheetId="11">'2425 State Constant'!$G$22</definedName>
    <definedName name="Apport_222A">'2324 State Constant'!$G$22</definedName>
    <definedName name="Apport_222A2324">'2324 State Constant'!$G$22</definedName>
    <definedName name="Apport_222A2324s">'2324 State Constant Supp'!$G$22</definedName>
    <definedName name="Apport_222A2425">'2425 State Constant'!$G$22</definedName>
    <definedName name="Apport_223A" localSheetId="10">'2324 State Constant Supp'!$K$21</definedName>
    <definedName name="Apport_223A" localSheetId="11">'2425 State Constant'!$K$21</definedName>
    <definedName name="Apport_223A">'2324 State Constant'!$K$21</definedName>
    <definedName name="Apport_223A2324">'2324 State Constant'!$K$21</definedName>
    <definedName name="Apport_223A2324s">'2324 State Constant Supp'!$K$21</definedName>
    <definedName name="Apport_223A2425">'2425 State Constant'!$K$21</definedName>
    <definedName name="Apport_224A" localSheetId="10">'2324 State Constant Supp'!$O$21</definedName>
    <definedName name="Apport_224A" localSheetId="11">'2425 State Constant'!$O$21</definedName>
    <definedName name="Apport_224A">'2324 State Constant'!$O$21</definedName>
    <definedName name="Apport_224A2324">'2324 State Constant'!$O$21</definedName>
    <definedName name="Apport_224A2324s">'2324 State Constant Supp'!$O$21</definedName>
    <definedName name="Apport_224A2425">'2425 State Constant'!$O$21</definedName>
    <definedName name="Apport_226A" localSheetId="10">'2324 State Constant Supp'!$G$20</definedName>
    <definedName name="Apport_226A" localSheetId="11">'2425 State Constant'!$G$20</definedName>
    <definedName name="Apport_226A">'2324 State Constant'!$G$20</definedName>
    <definedName name="Apport_499X" localSheetId="10">'2324 State Constant Supp'!$C$3</definedName>
    <definedName name="Apport_499X" localSheetId="11">'2425 State Constant'!$C$3</definedName>
    <definedName name="Apport_499X">'2324 State Constant'!$C$3</definedName>
    <definedName name="Apport_501X" localSheetId="10">'2324 State Constant Supp'!$G$5</definedName>
    <definedName name="Apport_501X" localSheetId="11">'2425 State Constant'!$G$5</definedName>
    <definedName name="Apport_501X">'2324 State Constant'!$G$5</definedName>
    <definedName name="Apport_502X" localSheetId="10">'2324 State Constant Supp'!$G$14</definedName>
    <definedName name="Apport_502X" localSheetId="11">'2425 State Constant'!$G$14</definedName>
    <definedName name="Apport_502X">'2324 State Constant'!$G$14</definedName>
    <definedName name="Apport_502X_Old" localSheetId="10">'2324 State Constant Supp'!$G$3</definedName>
    <definedName name="Apport_502X_Old" localSheetId="11">'2425 State Constant'!$G$3</definedName>
    <definedName name="Apport_502X_Old">'2324 State Constant'!$G$3</definedName>
    <definedName name="Apport_504X" localSheetId="10">'2324 State Constant Supp'!$G$24</definedName>
    <definedName name="Apport_504X" localSheetId="11">'2425 State Constant'!$G$24</definedName>
    <definedName name="Apport_504X">'2324 State Constant'!$G$24</definedName>
    <definedName name="Apport_508X" localSheetId="10">'2324 State Constant Supp'!$K$13</definedName>
    <definedName name="Apport_508X" localSheetId="11">'2425 State Constant'!$K$13</definedName>
    <definedName name="Apport_508X">'2324 State Constant'!$K$13</definedName>
    <definedName name="Apport_509X" localSheetId="10">'2324 State Constant Supp'!$G$6</definedName>
    <definedName name="Apport_509X" localSheetId="11">'2425 State Constant'!$G$6</definedName>
    <definedName name="Apport_509X">'2324 State Constant'!$G$6</definedName>
    <definedName name="Apport_510X" localSheetId="10">'2324 State Constant Supp'!$G$7</definedName>
    <definedName name="Apport_510X" localSheetId="11">'2425 State Constant'!$G$7</definedName>
    <definedName name="Apport_510X">'2324 State Constant'!$G$7</definedName>
    <definedName name="Apport_511X" localSheetId="10">'2324 State Constant Supp'!$G$8</definedName>
    <definedName name="Apport_511X" localSheetId="11">'2425 State Constant'!$G$8</definedName>
    <definedName name="Apport_511X">'2324 State Constant'!$G$8</definedName>
    <definedName name="Apport_512X" localSheetId="10">'2324 State Constant Supp'!$G$9</definedName>
    <definedName name="Apport_512X" localSheetId="11">'2425 State Constant'!$G$9</definedName>
    <definedName name="Apport_512X">'2324 State Constant'!$G$9</definedName>
    <definedName name="Apport_513X" localSheetId="10">'2324 State Constant Supp'!$G$10</definedName>
    <definedName name="Apport_513X" localSheetId="11">'2425 State Constant'!$G$10</definedName>
    <definedName name="Apport_513X">'2324 State Constant'!$G$10</definedName>
    <definedName name="Apport_514X" localSheetId="10">'2324 State Constant Supp'!$K$3</definedName>
    <definedName name="Apport_514X" localSheetId="11">'2425 State Constant'!$K$3</definedName>
    <definedName name="Apport_514X">'2324 State Constant'!$K$3</definedName>
    <definedName name="Apport_515X" localSheetId="10">'2324 State Constant Supp'!$K$4</definedName>
    <definedName name="Apport_515X" localSheetId="11">'2425 State Constant'!$K$4</definedName>
    <definedName name="Apport_515X">'2324 State Constant'!$K$4</definedName>
    <definedName name="Apport_516X" localSheetId="10">'2324 State Constant Supp'!$K$5</definedName>
    <definedName name="Apport_516X" localSheetId="11">'2425 State Constant'!$K$5</definedName>
    <definedName name="Apport_516X">'2324 State Constant'!$K$5</definedName>
    <definedName name="Apport_517X" localSheetId="10">'2324 State Constant Supp'!$K$6</definedName>
    <definedName name="Apport_517X" localSheetId="11">'2425 State Constant'!$K$6</definedName>
    <definedName name="Apport_517X">'2324 State Constant'!$K$6</definedName>
    <definedName name="Apport_518X" localSheetId="10">'2324 State Constant Supp'!$K$7</definedName>
    <definedName name="Apport_518X" localSheetId="11">'2425 State Constant'!$K$7</definedName>
    <definedName name="Apport_518X">'2324 State Constant'!$K$7</definedName>
    <definedName name="Apport_519X" localSheetId="10">'2324 State Constant Supp'!$G$30</definedName>
    <definedName name="Apport_519X" localSheetId="11">'2425 State Constant'!$G$30</definedName>
    <definedName name="Apport_519X">'2324 State Constant'!$G$30</definedName>
    <definedName name="Apport_520X" localSheetId="10">'2324 State Constant Supp'!$G$28</definedName>
    <definedName name="Apport_520X" localSheetId="11">'2425 State Constant'!$G$28</definedName>
    <definedName name="Apport_520X">'2324 State Constant'!$G$28</definedName>
    <definedName name="Apport_524X" localSheetId="10">'2324 State Constant Supp'!$K$35</definedName>
    <definedName name="Apport_524X" localSheetId="11">'2425 State Constant'!$K$35</definedName>
    <definedName name="Apport_524X">'2324 State Constant'!$K$35</definedName>
    <definedName name="Apport_525X" localSheetId="10">'2324 State Constant Supp'!$G$31</definedName>
    <definedName name="Apport_525X" localSheetId="11">'2425 State Constant'!$G$31</definedName>
    <definedName name="Apport_525X">'2324 State Constant'!$G$31</definedName>
    <definedName name="Apport_526X" localSheetId="10">'2324 State Constant Supp'!$G$32</definedName>
    <definedName name="Apport_526X" localSheetId="11">'2425 State Constant'!$G$32</definedName>
    <definedName name="Apport_526X">'2324 State Constant'!$G$32</definedName>
    <definedName name="Apport_527X" localSheetId="10">'2324 State Constant Supp'!$G$33</definedName>
    <definedName name="Apport_527X" localSheetId="11">'2425 State Constant'!$G$33</definedName>
    <definedName name="Apport_527X">'2324 State Constant'!$G$33</definedName>
    <definedName name="Apport_528X" localSheetId="10">'2324 State Constant Supp'!$G$34</definedName>
    <definedName name="Apport_528X" localSheetId="11">'2425 State Constant'!$G$34</definedName>
    <definedName name="Apport_528X">'2324 State Constant'!$G$34</definedName>
    <definedName name="Apport_529X" localSheetId="10">'2324 State Constant Supp'!$G$35</definedName>
    <definedName name="Apport_529X" localSheetId="11">'2425 State Constant'!$G$35</definedName>
    <definedName name="Apport_529X">'2324 State Constant'!$G$35</definedName>
    <definedName name="Apport_530X" localSheetId="10">'2324 State Constant Supp'!$K$28</definedName>
    <definedName name="Apport_530X" localSheetId="11">'2425 State Constant'!$K$28</definedName>
    <definedName name="Apport_530X">'2324 State Constant'!$K$28</definedName>
    <definedName name="Apport_531X" localSheetId="10">'2324 State Constant Supp'!$K$29</definedName>
    <definedName name="Apport_531X" localSheetId="11">'2425 State Constant'!$K$29</definedName>
    <definedName name="Apport_531X">'2324 State Constant'!$K$29</definedName>
    <definedName name="Apport_532X" localSheetId="10">'2324 State Constant Supp'!$K$30</definedName>
    <definedName name="Apport_532X" localSheetId="11">'2425 State Constant'!$K$30</definedName>
    <definedName name="Apport_532X">'2324 State Constant'!$K$30</definedName>
    <definedName name="Apport_533X" localSheetId="10">'2324 State Constant Supp'!$K$31</definedName>
    <definedName name="Apport_533X" localSheetId="11">'2425 State Constant'!$K$31</definedName>
    <definedName name="Apport_533X">'2324 State Constant'!$K$31</definedName>
    <definedName name="Apport_534X" localSheetId="10">'2324 State Constant Supp'!$K$32</definedName>
    <definedName name="Apport_534X" localSheetId="11">'2425 State Constant'!$K$32</definedName>
    <definedName name="Apport_534X">'2324 State Constant'!$K$32</definedName>
    <definedName name="Apport_535X" localSheetId="10">'2324 State Constant Supp'!$G$43</definedName>
    <definedName name="Apport_535X" localSheetId="11">'2425 State Constant'!$G$43</definedName>
    <definedName name="Apport_535X">'2324 State Constant'!$G$43</definedName>
    <definedName name="Apport_536X" localSheetId="10">'2324 State Constant Supp'!$G$40</definedName>
    <definedName name="Apport_536X" localSheetId="11">'2425 State Constant'!$G$40</definedName>
    <definedName name="Apport_536X">'2324 State Constant'!$G$40</definedName>
    <definedName name="Apport_540X" localSheetId="10">'2324 State Constant Supp'!$G$39</definedName>
    <definedName name="Apport_540X" localSheetId="11">'2425 State Constant'!$G$39</definedName>
    <definedName name="Apport_540X">'2324 State Constant'!$G$39</definedName>
    <definedName name="Apport_541X" localSheetId="10">'2324 State Constant Supp'!$G$41</definedName>
    <definedName name="Apport_541X" localSheetId="11">'2425 State Constant'!$G$41</definedName>
    <definedName name="Apport_541X">'2324 State Constant'!$G$41</definedName>
    <definedName name="Apport_542X" localSheetId="10">'2324 State Constant Supp'!$K$39</definedName>
    <definedName name="Apport_542X" localSheetId="11">'2425 State Constant'!$K$39</definedName>
    <definedName name="Apport_542X">'2324 State Constant'!$K$39</definedName>
    <definedName name="Apport_543X" localSheetId="10">'2324 State Constant Supp'!$G$44</definedName>
    <definedName name="Apport_543X" localSheetId="11">'2425 State Constant'!$G$44</definedName>
    <definedName name="Apport_543X">'2324 State Constant'!$G$44</definedName>
    <definedName name="Apport_544X" localSheetId="10">'2324 State Constant Supp'!$G$45</definedName>
    <definedName name="Apport_544X" localSheetId="11">'2425 State Constant'!$G$45</definedName>
    <definedName name="Apport_544X">'2324 State Constant'!$G$45</definedName>
    <definedName name="Apport_545X" localSheetId="10">'2324 State Constant Supp'!$G$46</definedName>
    <definedName name="Apport_545X" localSheetId="11">'2425 State Constant'!$G$46</definedName>
    <definedName name="Apport_545X">'2324 State Constant'!$G$46</definedName>
    <definedName name="Apport_546X" localSheetId="10">'2324 State Constant Supp'!$G$47</definedName>
    <definedName name="Apport_546X" localSheetId="11">'2425 State Constant'!$G$47</definedName>
    <definedName name="Apport_546X">'2324 State Constant'!$G$47</definedName>
    <definedName name="Apport_547X" localSheetId="10">'2324 State Constant Supp'!$G$48</definedName>
    <definedName name="Apport_547X" localSheetId="11">'2425 State Constant'!$G$48</definedName>
    <definedName name="Apport_547X">'2324 State Constant'!$G$48</definedName>
    <definedName name="Apport_548X" localSheetId="10">'2324 State Constant Supp'!$K$40</definedName>
    <definedName name="Apport_548X" localSheetId="11">'2425 State Constant'!$K$40</definedName>
    <definedName name="Apport_548X">'2324 State Constant'!$K$40</definedName>
    <definedName name="Apport_549X" localSheetId="10">'2324 State Constant Supp'!$K$41</definedName>
    <definedName name="Apport_549X" localSheetId="11">'2425 State Constant'!$K$41</definedName>
    <definedName name="Apport_549X">'2324 State Constant'!$K$41</definedName>
    <definedName name="Apport_550X" localSheetId="10">'2324 State Constant Supp'!$K$42</definedName>
    <definedName name="Apport_550X" localSheetId="11">'2425 State Constant'!$K$42</definedName>
    <definedName name="Apport_550X">'2324 State Constant'!$K$42</definedName>
    <definedName name="Apport_551X" localSheetId="10">'2324 State Constant Supp'!$K$43</definedName>
    <definedName name="Apport_551X" localSheetId="11">'2425 State Constant'!$K$43</definedName>
    <definedName name="Apport_551X">'2324 State Constant'!$K$43</definedName>
    <definedName name="Apport_552X" localSheetId="10">'2324 State Constant Supp'!$K$44</definedName>
    <definedName name="Apport_552X" localSheetId="11">'2425 State Constant'!$K$44</definedName>
    <definedName name="Apport_552X">'2324 State Constant'!$K$44</definedName>
    <definedName name="Apport_553X" localSheetId="10">'2324 State Constant Supp'!$K$8</definedName>
    <definedName name="Apport_553X" localSheetId="11">'2425 State Constant'!$K$8</definedName>
    <definedName name="Apport_553X">'2324 State Constant'!$K$8</definedName>
    <definedName name="Apport_554X" localSheetId="10">'2324 State Constant Supp'!$K$9</definedName>
    <definedName name="Apport_554X" localSheetId="11">'2425 State Constant'!$K$9</definedName>
    <definedName name="Apport_554X">'2324 State Constant'!$K$9</definedName>
    <definedName name="Apport_555X" localSheetId="10">'2324 State Constant Supp'!$K$10</definedName>
    <definedName name="Apport_555X" localSheetId="11">'2425 State Constant'!$K$10</definedName>
    <definedName name="Apport_555X">'2324 State Constant'!$K$10</definedName>
    <definedName name="Apport_556X" localSheetId="10">'2324 State Constant Supp'!$K$11</definedName>
    <definedName name="Apport_556X" localSheetId="11">'2425 State Constant'!$K$11</definedName>
    <definedName name="Apport_556X">'2324 State Constant'!$K$11</definedName>
    <definedName name="Apport_557X" localSheetId="10">'2324 State Constant Supp'!$K$15</definedName>
    <definedName name="Apport_557X" localSheetId="11">'2425 State Constant'!$K$15</definedName>
    <definedName name="Apport_557X">'2324 State Constant'!$K$15</definedName>
    <definedName name="Apport_558X" localSheetId="10">'2324 State Constant Supp'!$K$16</definedName>
    <definedName name="Apport_558X" localSheetId="11">'2425 State Constant'!$K$16</definedName>
    <definedName name="Apport_558X">'2324 State Constant'!$K$16</definedName>
    <definedName name="Apport_559X" localSheetId="10">'2324 State Constant Supp'!$O$3</definedName>
    <definedName name="Apport_559X" localSheetId="11">'2425 State Constant'!$O$3</definedName>
    <definedName name="Apport_559X">'2324 State Constant'!$O$3</definedName>
    <definedName name="Apport_561X" localSheetId="10">'2324 State Constant Supp'!$G$51</definedName>
    <definedName name="Apport_561X" localSheetId="11">'2425 State Constant'!$G$51</definedName>
    <definedName name="Apport_561X">'2324 State Constant'!$G$51</definedName>
    <definedName name="Apport_565X" localSheetId="10">'2324 State Constant Supp'!$G$59</definedName>
    <definedName name="Apport_565X" localSheetId="11">'2425 State Constant'!$G$59</definedName>
    <definedName name="Apport_565X">'2324 State Constant'!$G$59</definedName>
    <definedName name="Apport_573X" localSheetId="10">'2324 State Constant Supp'!$G$67</definedName>
    <definedName name="Apport_573X" localSheetId="11">'2425 State Constant'!$G$67</definedName>
    <definedName name="Apport_573X">'2324 State Constant'!$G$67</definedName>
    <definedName name="Apport_581X" localSheetId="10">'2324 State Constant Supp'!$C$7</definedName>
    <definedName name="Apport_581X" localSheetId="11">'2425 State Constant'!$C$7</definedName>
    <definedName name="Apport_581X">'2324 State Constant'!$C$7</definedName>
    <definedName name="Apport_613Xpd" localSheetId="10">'2324 State Constant Supp'!$C$57</definedName>
    <definedName name="Apport_613Xpd" localSheetId="11">'2425 State Constant'!$C$57</definedName>
    <definedName name="Apport_613Xpd">'2324 State Constant'!$C$57</definedName>
    <definedName name="Apport_614Xpd" localSheetId="10">'2324 State Constant Supp'!$C$56</definedName>
    <definedName name="Apport_614Xpd" localSheetId="11">'2425 State Constant'!$C$56</definedName>
    <definedName name="Apport_614Xpd">'2324 State Constant'!$C$56</definedName>
    <definedName name="Apport_621X" localSheetId="11">'2425 State Constant'!$C$48</definedName>
    <definedName name="Apport_621X">'2324 State Constant'!$C$48</definedName>
    <definedName name="Apport_621X2324">'2324 State Constant'!$C$48</definedName>
    <definedName name="Apport_621X2324s">'2324 State Constant Supp'!$C$48</definedName>
    <definedName name="Apport_621X2425">'2425 State Constant'!$C$48</definedName>
    <definedName name="Apport_D62" localSheetId="10">'2324 State Constant Supp'!$C$59</definedName>
    <definedName name="Apport_D62" localSheetId="11">'2425 State Constant'!$C$59</definedName>
    <definedName name="Apport_D62">'2324 State Constant'!$C$59</definedName>
    <definedName name="Apport_M1" localSheetId="10">'2324 State Constant Supp'!$C$10</definedName>
    <definedName name="Apport_M1" localSheetId="11">'2425 State Constant'!$C$10</definedName>
    <definedName name="Apport_M1">'2324 State Constant'!$C$10</definedName>
    <definedName name="Apport_M10" localSheetId="10">'2324 State Constant Supp'!$C$20</definedName>
    <definedName name="Apport_M10" localSheetId="11">'2425 State Constant'!$C$20</definedName>
    <definedName name="Apport_M10">'2324 State Constant'!$C$20</definedName>
    <definedName name="Apport_M11" localSheetId="10">'2324 State Constant Supp'!$C$21</definedName>
    <definedName name="Apport_M11" localSheetId="11">'2425 State Constant'!$C$21</definedName>
    <definedName name="Apport_M11">'2324 State Constant'!$C$21</definedName>
    <definedName name="Apport_M12LL" localSheetId="10">'2324 State Constant Supp'!$C$22</definedName>
    <definedName name="Apport_M12LL" localSheetId="11">'2425 State Constant'!$C$22</definedName>
    <definedName name="Apport_M12LL">'2324 State Constant'!$C$22</definedName>
    <definedName name="Apport_M12SL" localSheetId="10">'2324 State Constant Supp'!$C$23</definedName>
    <definedName name="Apport_M12SL" localSheetId="11">'2425 State Constant'!$C$23</definedName>
    <definedName name="Apport_M12SL">'2324 State Constant'!$C$23</definedName>
    <definedName name="Apport_M13" localSheetId="10">'2324 State Constant Supp'!$C$24</definedName>
    <definedName name="Apport_M13" localSheetId="11">'2425 State Constant'!$C$24</definedName>
    <definedName name="Apport_M13">'2324 State Constant'!$C$24</definedName>
    <definedName name="Apport_M14" localSheetId="10">'2324 State Constant Supp'!$C$25</definedName>
    <definedName name="Apport_M14" localSheetId="11">'2425 State Constant'!$C$25</definedName>
    <definedName name="Apport_M14">'2324 State Constant'!$C$25</definedName>
    <definedName name="Apport_M15" localSheetId="10">'2324 State Constant Supp'!$C$26</definedName>
    <definedName name="Apport_M15" localSheetId="11">'2425 State Constant'!$C$26</definedName>
    <definedName name="Apport_M15">'2324 State Constant'!$C$26</definedName>
    <definedName name="Apport_M17" localSheetId="10">'2324 State Constant Supp'!$C$28</definedName>
    <definedName name="Apport_M17" localSheetId="11">'2425 State Constant'!$C$28</definedName>
    <definedName name="Apport_M17">'2324 State Constant'!$C$28</definedName>
    <definedName name="Apport_M18" localSheetId="10">'2324 State Constant Supp'!$C$29</definedName>
    <definedName name="Apport_M18" localSheetId="11">'2425 State Constant'!$C$29</definedName>
    <definedName name="Apport_M18">'2324 State Constant'!$C$29</definedName>
    <definedName name="Apport_M19" localSheetId="10">'2324 State Constant Supp'!$C$30</definedName>
    <definedName name="Apport_M19" localSheetId="11">'2425 State Constant'!$C$30</definedName>
    <definedName name="Apport_M19">'2324 State Constant'!$C$30</definedName>
    <definedName name="Apport_M2" localSheetId="10">'2324 State Constant Supp'!$C$11</definedName>
    <definedName name="Apport_M2" localSheetId="11">'2425 State Constant'!$C$11</definedName>
    <definedName name="Apport_M2">'2324 State Constant'!$C$11</definedName>
    <definedName name="Apport_M20LC" localSheetId="10">'2324 State Constant Supp'!$C$31</definedName>
    <definedName name="Apport_M20LC" localSheetId="11">'2425 State Constant'!$C$31</definedName>
    <definedName name="Apport_M20LC">'2324 State Constant'!$C$31</definedName>
    <definedName name="Apport_M20SC" localSheetId="10">'2324 State Constant Supp'!$C$32</definedName>
    <definedName name="Apport_M20SC" localSheetId="11">'2425 State Constant'!$C$32</definedName>
    <definedName name="Apport_M20SC">'2324 State Constant'!$C$32</definedName>
    <definedName name="Apport_M21" localSheetId="10">'2324 State Constant Supp'!$C$33</definedName>
    <definedName name="Apport_M21" localSheetId="11">'2425 State Constant'!$C$33</definedName>
    <definedName name="Apport_M21">'2324 State Constant'!$C$33</definedName>
    <definedName name="Apport_M22" localSheetId="10">'2324 State Constant Supp'!$C$34</definedName>
    <definedName name="Apport_M22" localSheetId="11">'2425 State Constant'!$C$34</definedName>
    <definedName name="Apport_M22">'2324 State Constant'!$C$34</definedName>
    <definedName name="Apport_M23" localSheetId="10">'2324 State Constant Supp'!$C$35</definedName>
    <definedName name="Apport_M23" localSheetId="11">'2425 State Constant'!$C$35</definedName>
    <definedName name="Apport_M23">'2324 State Constant'!$C$35</definedName>
    <definedName name="Apport_M3" localSheetId="10">'2324 State Constant Supp'!$C$12</definedName>
    <definedName name="Apport_M3" localSheetId="11">'2425 State Constant'!$C$12</definedName>
    <definedName name="Apport_M3">'2324 State Constant'!$C$12</definedName>
    <definedName name="Apport_M33" localSheetId="10">'2324 State Constant Supp'!$C$37</definedName>
    <definedName name="Apport_M33" localSheetId="11">'2425 State Constant'!$C$37</definedName>
    <definedName name="Apport_M33">'2324 State Constant'!$C$37</definedName>
    <definedName name="Apport_M34" localSheetId="10">'2324 State Constant Supp'!$C$39</definedName>
    <definedName name="Apport_M34" localSheetId="11">'2425 State Constant'!$C$39</definedName>
    <definedName name="Apport_M34">'2324 State Constant'!$C$39</definedName>
    <definedName name="Apport_M35" localSheetId="10">'2324 State Constant Supp'!$C$38</definedName>
    <definedName name="Apport_M35" localSheetId="11">'2425 State Constant'!$C$38</definedName>
    <definedName name="Apport_M35">'2324 State Constant'!$C$38</definedName>
    <definedName name="Apport_M36LS" localSheetId="10">'2324 State Constant Supp'!$C$40</definedName>
    <definedName name="Apport_M36LS" localSheetId="11">'2425 State Constant'!$C$40</definedName>
    <definedName name="Apport_M36LS">'2324 State Constant'!$C$40</definedName>
    <definedName name="Apport_M36SS" localSheetId="10">'2324 State Constant Supp'!$C$41</definedName>
    <definedName name="Apport_M36SS" localSheetId="11">'2425 State Constant'!$C$41</definedName>
    <definedName name="Apport_M36SS">'2324 State Constant'!$C$41</definedName>
    <definedName name="Apport_M37" localSheetId="10">'2324 State Constant Supp'!$C$42</definedName>
    <definedName name="Apport_M37" localSheetId="11">'2425 State Constant'!$C$42</definedName>
    <definedName name="Apport_M37">'2324 State Constant'!$C$42</definedName>
    <definedName name="Apport_M38" localSheetId="10">'2324 State Constant Supp'!$C$43</definedName>
    <definedName name="Apport_M38" localSheetId="11">'2425 State Constant'!$C$43</definedName>
    <definedName name="Apport_M38">'2324 State Constant'!$C$43</definedName>
    <definedName name="Apport_M39" localSheetId="10">'2324 State Constant Supp'!$C$44</definedName>
    <definedName name="Apport_M39" localSheetId="11">'2425 State Constant'!$C$44</definedName>
    <definedName name="Apport_M39">'2324 State Constant'!$C$44</definedName>
    <definedName name="Apport_M4L" localSheetId="10">'2324 State Constant Supp'!$C$13</definedName>
    <definedName name="Apport_M4L" localSheetId="11">'2425 State Constant'!$C$13</definedName>
    <definedName name="Apport_M4L">'2324 State Constant'!$C$13</definedName>
    <definedName name="Apport_M4S" localSheetId="10">'2324 State Constant Supp'!$C$14</definedName>
    <definedName name="Apport_M4S" localSheetId="11">'2425 State Constant'!$C$14</definedName>
    <definedName name="Apport_M4S">'2324 State Constant'!$C$14</definedName>
    <definedName name="Apport_M5" localSheetId="10">'2324 State Constant Supp'!$C$15</definedName>
    <definedName name="Apport_M5" localSheetId="11">'2425 State Constant'!$C$15</definedName>
    <definedName name="Apport_M5">'2324 State Constant'!$C$15</definedName>
    <definedName name="Apport_M6" localSheetId="10">'2324 State Constant Supp'!$C$16</definedName>
    <definedName name="Apport_M6" localSheetId="11">'2425 State Constant'!$C$16</definedName>
    <definedName name="Apport_M6">'2324 State Constant'!$C$16</definedName>
    <definedName name="Apport_M7" localSheetId="10">'2324 State Constant Supp'!$C$17</definedName>
    <definedName name="Apport_M7" localSheetId="11">'2425 State Constant'!$C$17</definedName>
    <definedName name="Apport_M7">'2324 State Constant'!$C$17</definedName>
    <definedName name="Apport_M802324">'2324 State Constant'!$C$18</definedName>
    <definedName name="Apport_M802324s">'2324 State Constant Supp'!$C$18</definedName>
    <definedName name="Apport_M802425">'2425 State Constant'!$C$18</definedName>
    <definedName name="Apport_M812324">'2324 State Constant'!$C$27</definedName>
    <definedName name="Apport_M812324s">'2324 State Constant Supp'!$C$27</definedName>
    <definedName name="Apport_M812425">'2425 State Constant'!$C$27</definedName>
    <definedName name="Apport_M9" localSheetId="10">'2324 State Constant Supp'!$C$19</definedName>
    <definedName name="Apport_M9" localSheetId="11">'2425 State Constant'!$C$19</definedName>
    <definedName name="Apport_M9">'2324 State Constant'!$C$19</definedName>
    <definedName name="Apport_Z315" localSheetId="10">'2324 State Constant Supp'!$G$4</definedName>
    <definedName name="Apport_Z315" localSheetId="11">'2425 State Constant'!$G$4</definedName>
    <definedName name="Apport_Z315">'2324 State Constant'!$G$4</definedName>
    <definedName name="Apport_Z316" localSheetId="10">'2324 State Constant Supp'!$G$21</definedName>
    <definedName name="Apport_Z316" localSheetId="11">'2425 State Constant'!$G$21</definedName>
    <definedName name="Apport_Z316">'2324 State Constant'!$G$21</definedName>
    <definedName name="Apport_Z317" localSheetId="10">'2324 State Constant Supp'!$G$25</definedName>
    <definedName name="Apport_Z317" localSheetId="11">'2425 State Constant'!$G$25</definedName>
    <definedName name="Apport_Z317">'2324 State Constant'!$G$25</definedName>
    <definedName name="Apport_Z318" localSheetId="10">'2324 State Constant Supp'!$G$29</definedName>
    <definedName name="Apport_Z318" localSheetId="11">'2425 State Constant'!$G$29</definedName>
    <definedName name="Apport_Z318">'2324 State Constant'!$G$29</definedName>
    <definedName name="Apport_Z319" localSheetId="10">'2324 State Constant Supp'!$G$42</definedName>
    <definedName name="Apport_Z319" localSheetId="11">'2425 State Constant'!$G$42</definedName>
    <definedName name="Apport_Z319">'2324 State Constant'!$G$42</definedName>
    <definedName name="AssignSalsAveragedForProg21">#REF!</definedName>
    <definedName name="CAS_Base_Salary2324">'2324 State Constant'!$C$61</definedName>
    <definedName name="CAS_Base_Salary2324s">'2324 State Constant Supp'!$C$61</definedName>
    <definedName name="CAS_Base_Salary2425">'2425 State Constant'!$C$61</definedName>
    <definedName name="CAS_Inc_Salary2324">'2324 State Constant'!$C$62</definedName>
    <definedName name="CAS_Inc_Salary2324s">'2324 State Constant Supp'!$C$62</definedName>
    <definedName name="CAS_Inc_Salary2425">'2425 State Constant'!$C$62</definedName>
    <definedName name="CIS_Base_Salary2324">'2324 State Constant'!$C$59</definedName>
    <definedName name="CIS_Base_Salary2324s">'2324 State Constant Supp'!$C$59</definedName>
    <definedName name="CIS_Base_Salary2425">'2425 State Constant'!$C$59</definedName>
    <definedName name="CIS_Inc_Salary2324">'2324 State Constant'!$C$60</definedName>
    <definedName name="CIS_Inc_Salary2324s">'2324 State Constant Supp'!$C$60</definedName>
    <definedName name="CIS_Inc_Salary2425">'2425 State Constant'!$C$60</definedName>
    <definedName name="CLS_Base_Salary2324">'2324 State Constant'!$C$63</definedName>
    <definedName name="CLS_Base_Salary2324s">'2324 State Constant Supp'!$C$63</definedName>
    <definedName name="CLS_Base_Salary2425">'2425 State Constant'!$C$63</definedName>
    <definedName name="CLS_Inc_Salary2324">'2324 State Constant'!$C$64</definedName>
    <definedName name="CLS_Inc_Salary2324s">'2324 State Constant Supp'!$C$64</definedName>
    <definedName name="CLS_Inc_Salary2425">'2425 State Constant'!$C$64</definedName>
    <definedName name="CTE_7_8_Planning" localSheetId="10">'2324 State Constant Supp'!$G$51</definedName>
    <definedName name="CTE_7_8_Planning" localSheetId="11">'2425 State Constant'!$G$51</definedName>
    <definedName name="CTE_7_8_Planning">'2324 State Constant'!$G$51</definedName>
    <definedName name="CTE_9_12_Class_Size" localSheetId="10">'2324 State Constant Supp'!$G$52</definedName>
    <definedName name="CTE_9_12_Class_Size" localSheetId="11">'2425 State Constant'!$G$52</definedName>
    <definedName name="CTE_9_12_Class_Size">'2324 State Constant'!$G$52</definedName>
    <definedName name="CTE_Planning" localSheetId="10">'2324 State Constant Supp'!$G$60</definedName>
    <definedName name="CTE_Planning" localSheetId="11">'2425 State Constant'!$G$60</definedName>
    <definedName name="CTE_Planning">'2324 State Constant'!$G$60</definedName>
    <definedName name="EnrollData2324">'2324 Jun 24 Enroll'!$A$1:$AL$325</definedName>
    <definedName name="Grade_7_8_Class_Size" localSheetId="10">'2324 State Constant Supp'!$G$25</definedName>
    <definedName name="Grade_7_8_Class_Size" localSheetId="11">'2425 State Constant'!$G$25</definedName>
    <definedName name="Grade_7_8_Class_Size">'2324 State Constant'!$G$25</definedName>
    <definedName name="Grade_7_8_Planning" localSheetId="10">'2324 State Constant Supp'!$G$28</definedName>
    <definedName name="Grade_7_8_Planning" localSheetId="11">'2425 State Constant'!$G$28</definedName>
    <definedName name="Grade_7_8_Planning">'2324 State Constant'!$G$28</definedName>
    <definedName name="Grade_9_12_Class_Size" localSheetId="10">'2324 State Constant Supp'!$G$29</definedName>
    <definedName name="Grade_9_12_Class_Size" localSheetId="11">'2425 State Constant'!$G$29</definedName>
    <definedName name="Grade_9_12_Class_Size">'2324 State Constant'!$G$29</definedName>
    <definedName name="Grade_9_12_Planning" localSheetId="10">'2324 State Constant Supp'!$G$40</definedName>
    <definedName name="Grade_9_12_Planning" localSheetId="11">'2425 State Constant'!$G$40</definedName>
    <definedName name="Grade_9_12_Planning">'2324 State Constant'!$G$40</definedName>
    <definedName name="_xlnm.Print_Area" localSheetId="0">Instructions!$A$1:$R$50</definedName>
    <definedName name="Prog21AssignSalAvgByDist">#REF!</definedName>
    <definedName name="Prog21AvgAssignSalByDist">#REF!</definedName>
    <definedName name="Prog21Data">'F196&amp;F195 Program 21'!$B$7:$V$265</definedName>
    <definedName name="SpEdCalcRate" localSheetId="7">'SpEd BEA Rate 2324 Supp'!$A$1:$AS$325</definedName>
    <definedName name="SpEdCalcRate" localSheetId="8">'SpEd BEA Rate 2425'!$A$1:$AS$325</definedName>
    <definedName name="SpEdCalcRate">'SpEd BEA Rate 2324'!$A$1:$AS$325</definedName>
    <definedName name="tblDistrict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5" i="13" l="1"/>
  <c r="D25" i="13"/>
  <c r="F17" i="13"/>
  <c r="D17" i="13"/>
  <c r="AB34" i="17"/>
  <c r="AC34" i="17" s="1"/>
  <c r="A4" i="21"/>
  <c r="D46" i="15"/>
  <c r="D45" i="15"/>
  <c r="B45" i="15"/>
  <c r="B2" i="13"/>
  <c r="D2" i="23"/>
  <c r="E2" i="23" s="1"/>
  <c r="F2" i="23" s="1"/>
  <c r="G2" i="23" s="1"/>
  <c r="H2" i="23" s="1"/>
  <c r="I2" i="23" s="1"/>
  <c r="J2" i="23" s="1"/>
  <c r="K2" i="23" s="1"/>
  <c r="L2" i="23" s="1"/>
  <c r="M2" i="23" s="1"/>
  <c r="N2" i="23" s="1"/>
  <c r="O2" i="23" s="1"/>
  <c r="P2" i="23" s="1"/>
  <c r="Q2" i="23" s="1"/>
  <c r="R2" i="23" s="1"/>
  <c r="S2" i="23" s="1"/>
  <c r="T2" i="23" s="1"/>
  <c r="U2" i="23" s="1"/>
  <c r="V2" i="23" s="1"/>
  <c r="C2" i="23"/>
  <c r="C1" i="22"/>
  <c r="D1" i="22" s="1"/>
  <c r="E1" i="22" s="1"/>
  <c r="F1" i="22" s="1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308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" i="22"/>
  <c r="B1" i="22"/>
  <c r="A2" i="13" l="1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F104" i="22"/>
  <c r="F105" i="22"/>
  <c r="F106" i="22"/>
  <c r="F107" i="22"/>
  <c r="F108" i="22"/>
  <c r="F109" i="22"/>
  <c r="F110" i="22"/>
  <c r="F111" i="22"/>
  <c r="F112" i="22"/>
  <c r="F113" i="22"/>
  <c r="F114" i="22"/>
  <c r="F115" i="22"/>
  <c r="F116" i="22"/>
  <c r="F117" i="22"/>
  <c r="F118" i="22"/>
  <c r="F119" i="22"/>
  <c r="F120" i="22"/>
  <c r="F121" i="22"/>
  <c r="F122" i="22"/>
  <c r="F123" i="22"/>
  <c r="F124" i="22"/>
  <c r="F125" i="22"/>
  <c r="F126" i="22"/>
  <c r="F127" i="22"/>
  <c r="F128" i="22"/>
  <c r="F129" i="22"/>
  <c r="F130" i="22"/>
  <c r="F131" i="22"/>
  <c r="F132" i="22"/>
  <c r="F133" i="22"/>
  <c r="F134" i="22"/>
  <c r="F135" i="22"/>
  <c r="F136" i="22"/>
  <c r="F137" i="22"/>
  <c r="F138" i="22"/>
  <c r="F139" i="22"/>
  <c r="F140" i="22"/>
  <c r="F141" i="22"/>
  <c r="F142" i="22"/>
  <c r="F143" i="22"/>
  <c r="F144" i="22"/>
  <c r="F145" i="22"/>
  <c r="F146" i="22"/>
  <c r="F147" i="22"/>
  <c r="F148" i="22"/>
  <c r="F149" i="22"/>
  <c r="F150" i="22"/>
  <c r="F151" i="22"/>
  <c r="F152" i="22"/>
  <c r="F153" i="22"/>
  <c r="F154" i="22"/>
  <c r="F155" i="22"/>
  <c r="F156" i="22"/>
  <c r="F157" i="22"/>
  <c r="F158" i="22"/>
  <c r="F159" i="22"/>
  <c r="F160" i="22"/>
  <c r="F161" i="22"/>
  <c r="F162" i="22"/>
  <c r="F163" i="22"/>
  <c r="F164" i="22"/>
  <c r="F165" i="22"/>
  <c r="F166" i="22"/>
  <c r="F167" i="22"/>
  <c r="F168" i="22"/>
  <c r="F169" i="22"/>
  <c r="F170" i="22"/>
  <c r="F171" i="22"/>
  <c r="F172" i="22"/>
  <c r="F173" i="22"/>
  <c r="F174" i="22"/>
  <c r="F175" i="22"/>
  <c r="F176" i="22"/>
  <c r="F177" i="22"/>
  <c r="F178" i="22"/>
  <c r="F179" i="22"/>
  <c r="F180" i="22"/>
  <c r="F181" i="22"/>
  <c r="F182" i="22"/>
  <c r="F183" i="22"/>
  <c r="F184" i="22"/>
  <c r="F185" i="22"/>
  <c r="F186" i="22"/>
  <c r="F187" i="22"/>
  <c r="F188" i="22"/>
  <c r="F189" i="22"/>
  <c r="F190" i="22"/>
  <c r="F191" i="22"/>
  <c r="F192" i="22"/>
  <c r="F193" i="22"/>
  <c r="F194" i="22"/>
  <c r="F195" i="22"/>
  <c r="F196" i="22"/>
  <c r="F197" i="22"/>
  <c r="F198" i="22"/>
  <c r="F199" i="22"/>
  <c r="F200" i="22"/>
  <c r="F201" i="22"/>
  <c r="F202" i="22"/>
  <c r="F203" i="22"/>
  <c r="F204" i="22"/>
  <c r="F205" i="22"/>
  <c r="F206" i="22"/>
  <c r="F207" i="22"/>
  <c r="F208" i="22"/>
  <c r="F209" i="22"/>
  <c r="F210" i="22"/>
  <c r="F211" i="22"/>
  <c r="F212" i="22"/>
  <c r="F213" i="22"/>
  <c r="F214" i="22"/>
  <c r="F215" i="22"/>
  <c r="F216" i="22"/>
  <c r="F217" i="22"/>
  <c r="F218" i="22"/>
  <c r="F219" i="22"/>
  <c r="F220" i="22"/>
  <c r="F221" i="22"/>
  <c r="F222" i="22"/>
  <c r="F223" i="22"/>
  <c r="F224" i="22"/>
  <c r="F225" i="22"/>
  <c r="F226" i="22"/>
  <c r="F227" i="22"/>
  <c r="F228" i="22"/>
  <c r="F229" i="22"/>
  <c r="F230" i="22"/>
  <c r="F231" i="22"/>
  <c r="F232" i="22"/>
  <c r="F233" i="22"/>
  <c r="F234" i="22"/>
  <c r="F235" i="22"/>
  <c r="F236" i="22"/>
  <c r="F237" i="22"/>
  <c r="F238" i="22"/>
  <c r="F239" i="22"/>
  <c r="F240" i="22"/>
  <c r="F241" i="22"/>
  <c r="F242" i="22"/>
  <c r="F243" i="22"/>
  <c r="F244" i="22"/>
  <c r="F245" i="22"/>
  <c r="F246" i="22"/>
  <c r="F247" i="22"/>
  <c r="F248" i="22"/>
  <c r="F249" i="22"/>
  <c r="F250" i="22"/>
  <c r="F251" i="22"/>
  <c r="F252" i="22"/>
  <c r="F253" i="22"/>
  <c r="F254" i="22"/>
  <c r="F255" i="22"/>
  <c r="F256" i="22"/>
  <c r="F257" i="22"/>
  <c r="F258" i="22"/>
  <c r="F259" i="22"/>
  <c r="F260" i="22"/>
  <c r="F261" i="22"/>
  <c r="F262" i="22"/>
  <c r="F263" i="22"/>
  <c r="F264" i="22"/>
  <c r="F265" i="22"/>
  <c r="F266" i="22"/>
  <c r="F267" i="22"/>
  <c r="F268" i="22"/>
  <c r="F269" i="22"/>
  <c r="F270" i="22"/>
  <c r="F271" i="22"/>
  <c r="F272" i="22"/>
  <c r="F273" i="22"/>
  <c r="F274" i="22"/>
  <c r="F275" i="22"/>
  <c r="F276" i="22"/>
  <c r="F277" i="22"/>
  <c r="F278" i="22"/>
  <c r="F279" i="22"/>
  <c r="F280" i="22"/>
  <c r="F281" i="22"/>
  <c r="F282" i="22"/>
  <c r="F283" i="22"/>
  <c r="F284" i="22"/>
  <c r="F285" i="22"/>
  <c r="F286" i="22"/>
  <c r="F287" i="22"/>
  <c r="F288" i="22"/>
  <c r="F289" i="22"/>
  <c r="F290" i="22"/>
  <c r="F291" i="22"/>
  <c r="F292" i="22"/>
  <c r="F293" i="22"/>
  <c r="F294" i="22"/>
  <c r="F295" i="22"/>
  <c r="F296" i="22"/>
  <c r="F297" i="22"/>
  <c r="F298" i="22"/>
  <c r="F299" i="22"/>
  <c r="F300" i="22"/>
  <c r="F301" i="22"/>
  <c r="F302" i="22"/>
  <c r="F303" i="22"/>
  <c r="F304" i="22"/>
  <c r="F305" i="22"/>
  <c r="F306" i="22"/>
  <c r="F307" i="22"/>
  <c r="F308" i="22"/>
  <c r="F309" i="22"/>
  <c r="F310" i="22"/>
  <c r="F311" i="22"/>
  <c r="F312" i="22"/>
  <c r="F313" i="22"/>
  <c r="F314" i="22"/>
  <c r="F315" i="22"/>
  <c r="F316" i="22"/>
  <c r="F317" i="22"/>
  <c r="F318" i="22"/>
  <c r="F319" i="22"/>
  <c r="F320" i="22"/>
  <c r="F321" i="22"/>
  <c r="F322" i="22"/>
  <c r="F3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" i="22"/>
  <c r="B10" i="13" l="1"/>
  <c r="A9" i="13"/>
  <c r="C38" i="21"/>
  <c r="C37" i="21"/>
  <c r="C36" i="21"/>
  <c r="C27" i="21"/>
  <c r="C25" i="21"/>
  <c r="C24" i="21"/>
  <c r="C22" i="21"/>
  <c r="C21" i="21"/>
  <c r="C28" i="21"/>
  <c r="C46" i="21"/>
  <c r="C45" i="21"/>
  <c r="C47" i="21"/>
  <c r="C23" i="21"/>
  <c r="C20" i="21"/>
  <c r="C11" i="21"/>
  <c r="C10" i="21"/>
  <c r="AC37" i="5"/>
  <c r="AD37" i="5" s="1"/>
  <c r="C47" i="12"/>
  <c r="AR325" i="18" l="1"/>
  <c r="AR324" i="18"/>
  <c r="AR323" i="18"/>
  <c r="AR322" i="18"/>
  <c r="AR321" i="18"/>
  <c r="AR320" i="18"/>
  <c r="AR319" i="18"/>
  <c r="AR318" i="18"/>
  <c r="AR317" i="18"/>
  <c r="AR316" i="18"/>
  <c r="AR315" i="18"/>
  <c r="AR314" i="18"/>
  <c r="AR313" i="18"/>
  <c r="AR312" i="18"/>
  <c r="AR311" i="18"/>
  <c r="AR310" i="18"/>
  <c r="AR309" i="18"/>
  <c r="AR308" i="18"/>
  <c r="AR307" i="18"/>
  <c r="AR306" i="18"/>
  <c r="AR305" i="18"/>
  <c r="AR304" i="18"/>
  <c r="AR303" i="18"/>
  <c r="AR302" i="18"/>
  <c r="AR301" i="18"/>
  <c r="AR300" i="18"/>
  <c r="AR299" i="18"/>
  <c r="AR298" i="18"/>
  <c r="AR297" i="18"/>
  <c r="AR296" i="18"/>
  <c r="AR295" i="18"/>
  <c r="AR294" i="18"/>
  <c r="AR293" i="18"/>
  <c r="AR292" i="18"/>
  <c r="AR291" i="18"/>
  <c r="AR290" i="18"/>
  <c r="AR289" i="18"/>
  <c r="AR288" i="18"/>
  <c r="AR287" i="18"/>
  <c r="AR286" i="18"/>
  <c r="AR285" i="18"/>
  <c r="AR284" i="18"/>
  <c r="AR283" i="18"/>
  <c r="AR282" i="18"/>
  <c r="AR281" i="18"/>
  <c r="AR280" i="18"/>
  <c r="AR279" i="18"/>
  <c r="AR278" i="18"/>
  <c r="AR277" i="18"/>
  <c r="AR276" i="18"/>
  <c r="AR275" i="18"/>
  <c r="AR274" i="18"/>
  <c r="AR273" i="18"/>
  <c r="AR272" i="18"/>
  <c r="AR271" i="18"/>
  <c r="AR270" i="18"/>
  <c r="AR269" i="18"/>
  <c r="AR268" i="18"/>
  <c r="AR267" i="18"/>
  <c r="AR266" i="18"/>
  <c r="AR265" i="18"/>
  <c r="AR264" i="18"/>
  <c r="AR263" i="18"/>
  <c r="AR262" i="18"/>
  <c r="AR261" i="18"/>
  <c r="AR260" i="18"/>
  <c r="AR259" i="18"/>
  <c r="AR258" i="18"/>
  <c r="AR257" i="18"/>
  <c r="AR256" i="18"/>
  <c r="AR255" i="18"/>
  <c r="AR254" i="18"/>
  <c r="AR253" i="18"/>
  <c r="AR252" i="18"/>
  <c r="AR251" i="18"/>
  <c r="AR250" i="18"/>
  <c r="AR249" i="18"/>
  <c r="AR248" i="18"/>
  <c r="AR247" i="18"/>
  <c r="AR246" i="18"/>
  <c r="AR245" i="18"/>
  <c r="AR244" i="18"/>
  <c r="AR243" i="18"/>
  <c r="AR242" i="18"/>
  <c r="AR241" i="18"/>
  <c r="AR240" i="18"/>
  <c r="AR239" i="18"/>
  <c r="AR238" i="18"/>
  <c r="AR237" i="18"/>
  <c r="AR236" i="18"/>
  <c r="AR235" i="18"/>
  <c r="AR234" i="18"/>
  <c r="AR233" i="18"/>
  <c r="AR232" i="18"/>
  <c r="AR231" i="18"/>
  <c r="AR230" i="18"/>
  <c r="AR229" i="18"/>
  <c r="AR228" i="18"/>
  <c r="AR227" i="18"/>
  <c r="AR226" i="18"/>
  <c r="AR225" i="18"/>
  <c r="AR224" i="18"/>
  <c r="AR223" i="18"/>
  <c r="AR222" i="18"/>
  <c r="AR221" i="18"/>
  <c r="AR220" i="18"/>
  <c r="AR219" i="18"/>
  <c r="AR218" i="18"/>
  <c r="AR217" i="18"/>
  <c r="AR216" i="18"/>
  <c r="AR215" i="18"/>
  <c r="AR214" i="18"/>
  <c r="AR213" i="18"/>
  <c r="AR212" i="18"/>
  <c r="AR211" i="18"/>
  <c r="AR210" i="18"/>
  <c r="AR209" i="18"/>
  <c r="AR208" i="18"/>
  <c r="AR207" i="18"/>
  <c r="AR206" i="18"/>
  <c r="AR205" i="18"/>
  <c r="AR204" i="18"/>
  <c r="AR203" i="18"/>
  <c r="AR202" i="18"/>
  <c r="AR201" i="18"/>
  <c r="AR200" i="18"/>
  <c r="AR199" i="18"/>
  <c r="AR198" i="18"/>
  <c r="AR197" i="18"/>
  <c r="AR196" i="18"/>
  <c r="AR195" i="18"/>
  <c r="AR194" i="18"/>
  <c r="AR193" i="18"/>
  <c r="AR192" i="18"/>
  <c r="AR191" i="18"/>
  <c r="AR190" i="18"/>
  <c r="AR189" i="18"/>
  <c r="AR188" i="18"/>
  <c r="AR187" i="18"/>
  <c r="AR186" i="18"/>
  <c r="AR185" i="18"/>
  <c r="AR184" i="18"/>
  <c r="AR183" i="18"/>
  <c r="AR182" i="18"/>
  <c r="AR181" i="18"/>
  <c r="AR180" i="18"/>
  <c r="AR179" i="18"/>
  <c r="AR178" i="18"/>
  <c r="AR177" i="18"/>
  <c r="AR176" i="18"/>
  <c r="AR175" i="18"/>
  <c r="AR174" i="18"/>
  <c r="AR173" i="18"/>
  <c r="AR172" i="18"/>
  <c r="AR171" i="18"/>
  <c r="AR170" i="18"/>
  <c r="AR169" i="18"/>
  <c r="AR168" i="18"/>
  <c r="AR167" i="18"/>
  <c r="AR166" i="18"/>
  <c r="AR165" i="18"/>
  <c r="AR164" i="18"/>
  <c r="AR163" i="18"/>
  <c r="AR162" i="18"/>
  <c r="AR161" i="18"/>
  <c r="AR160" i="18"/>
  <c r="AR159" i="18"/>
  <c r="AR158" i="18"/>
  <c r="AR157" i="18"/>
  <c r="AR156" i="18"/>
  <c r="AR155" i="18"/>
  <c r="AR154" i="18"/>
  <c r="AR153" i="18"/>
  <c r="AR152" i="18"/>
  <c r="AR151" i="18"/>
  <c r="AR150" i="18"/>
  <c r="AR149" i="18"/>
  <c r="AR148" i="18"/>
  <c r="AR147" i="18"/>
  <c r="AR146" i="18"/>
  <c r="AR145" i="18"/>
  <c r="AR144" i="18"/>
  <c r="AR143" i="18"/>
  <c r="AR142" i="18"/>
  <c r="AR141" i="18"/>
  <c r="AR140" i="18"/>
  <c r="AR139" i="18"/>
  <c r="AR138" i="18"/>
  <c r="AR137" i="18"/>
  <c r="AR136" i="18"/>
  <c r="AR135" i="18"/>
  <c r="AR134" i="18"/>
  <c r="AR133" i="18"/>
  <c r="AR132" i="18"/>
  <c r="AR131" i="18"/>
  <c r="AR130" i="18"/>
  <c r="AR129" i="18"/>
  <c r="AR128" i="18"/>
  <c r="AR127" i="18"/>
  <c r="AR126" i="18"/>
  <c r="AR125" i="18"/>
  <c r="AR124" i="18"/>
  <c r="AR123" i="18"/>
  <c r="AR122" i="18"/>
  <c r="AR121" i="18"/>
  <c r="AR120" i="18"/>
  <c r="AR119" i="18"/>
  <c r="AR118" i="18"/>
  <c r="AR117" i="18"/>
  <c r="AR116" i="18"/>
  <c r="AR115" i="18"/>
  <c r="AR114" i="18"/>
  <c r="AR113" i="18"/>
  <c r="AR112" i="18"/>
  <c r="AR111" i="18"/>
  <c r="AR110" i="18"/>
  <c r="AR109" i="18"/>
  <c r="AR108" i="18"/>
  <c r="AR107" i="18"/>
  <c r="AR106" i="18"/>
  <c r="AR105" i="18"/>
  <c r="AR104" i="18"/>
  <c r="AR103" i="18"/>
  <c r="AR102" i="18"/>
  <c r="AR101" i="18"/>
  <c r="AR100" i="18"/>
  <c r="AR99" i="18"/>
  <c r="AR98" i="18"/>
  <c r="AR97" i="18"/>
  <c r="AR96" i="18"/>
  <c r="AR95" i="18"/>
  <c r="AR94" i="18"/>
  <c r="AR93" i="18"/>
  <c r="AR92" i="18"/>
  <c r="AR91" i="18"/>
  <c r="AR90" i="18"/>
  <c r="AR89" i="18"/>
  <c r="AR88" i="18"/>
  <c r="AR87" i="18"/>
  <c r="AR86" i="18"/>
  <c r="AR85" i="18"/>
  <c r="AR84" i="18"/>
  <c r="AR83" i="18"/>
  <c r="AR82" i="18"/>
  <c r="AR81" i="18"/>
  <c r="AR80" i="18"/>
  <c r="AR79" i="18"/>
  <c r="AR78" i="18"/>
  <c r="AR77" i="18"/>
  <c r="AR76" i="18"/>
  <c r="AR75" i="18"/>
  <c r="AR74" i="18"/>
  <c r="AR73" i="18"/>
  <c r="AR72" i="18"/>
  <c r="AR71" i="18"/>
  <c r="AR70" i="18"/>
  <c r="AR69" i="18"/>
  <c r="AR68" i="18"/>
  <c r="AR67" i="18"/>
  <c r="AR66" i="18"/>
  <c r="AR65" i="18"/>
  <c r="AR64" i="18"/>
  <c r="AR63" i="18"/>
  <c r="AR62" i="18"/>
  <c r="AR61" i="18"/>
  <c r="AR60" i="18"/>
  <c r="AR59" i="18"/>
  <c r="AR58" i="18"/>
  <c r="AR57" i="18"/>
  <c r="AR56" i="18"/>
  <c r="AR55" i="18"/>
  <c r="AR54" i="18"/>
  <c r="AR53" i="18"/>
  <c r="AR52" i="18"/>
  <c r="AR51" i="18"/>
  <c r="AR50" i="18"/>
  <c r="AR49" i="18"/>
  <c r="AR48" i="18"/>
  <c r="AR47" i="18"/>
  <c r="AR46" i="18"/>
  <c r="AR45" i="18"/>
  <c r="AR44" i="18"/>
  <c r="AR43" i="18"/>
  <c r="AR42" i="18"/>
  <c r="AR41" i="18"/>
  <c r="AR40" i="18"/>
  <c r="AR39" i="18"/>
  <c r="AR38" i="18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4" i="10"/>
  <c r="T4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" i="10"/>
  <c r="D35" i="10"/>
  <c r="E35" i="10"/>
  <c r="F35" i="10"/>
  <c r="G35" i="10"/>
  <c r="H35" i="10"/>
  <c r="I35" i="10"/>
  <c r="D36" i="10"/>
  <c r="E36" i="10"/>
  <c r="F36" i="10"/>
  <c r="G36" i="10"/>
  <c r="H36" i="10"/>
  <c r="I36" i="10"/>
  <c r="D37" i="10"/>
  <c r="E37" i="10"/>
  <c r="F37" i="10"/>
  <c r="G37" i="10"/>
  <c r="H37" i="10"/>
  <c r="I37" i="10"/>
  <c r="D38" i="10"/>
  <c r="E38" i="10"/>
  <c r="F38" i="10"/>
  <c r="G38" i="10"/>
  <c r="H38" i="10"/>
  <c r="I38" i="10"/>
  <c r="D39" i="10"/>
  <c r="E39" i="10"/>
  <c r="F39" i="10"/>
  <c r="G39" i="10"/>
  <c r="H39" i="10"/>
  <c r="I39" i="10"/>
  <c r="D40" i="10"/>
  <c r="E40" i="10"/>
  <c r="F40" i="10"/>
  <c r="G40" i="10"/>
  <c r="H40" i="10"/>
  <c r="I40" i="10"/>
  <c r="D41" i="10"/>
  <c r="E41" i="10"/>
  <c r="F41" i="10"/>
  <c r="G41" i="10"/>
  <c r="H41" i="10"/>
  <c r="I41" i="10"/>
  <c r="D42" i="10"/>
  <c r="E42" i="10"/>
  <c r="F42" i="10"/>
  <c r="G42" i="10"/>
  <c r="H42" i="10"/>
  <c r="I42" i="10"/>
  <c r="D43" i="10"/>
  <c r="E43" i="10"/>
  <c r="F43" i="10"/>
  <c r="G43" i="10"/>
  <c r="H43" i="10"/>
  <c r="I43" i="10"/>
  <c r="D44" i="10"/>
  <c r="E44" i="10"/>
  <c r="F44" i="10"/>
  <c r="G44" i="10"/>
  <c r="H44" i="10"/>
  <c r="I44" i="10"/>
  <c r="D45" i="10"/>
  <c r="E45" i="10"/>
  <c r="F45" i="10"/>
  <c r="G45" i="10"/>
  <c r="H45" i="10"/>
  <c r="I45" i="10"/>
  <c r="D46" i="10"/>
  <c r="E46" i="10"/>
  <c r="F46" i="10"/>
  <c r="G46" i="10"/>
  <c r="H46" i="10"/>
  <c r="I46" i="10"/>
  <c r="D47" i="10"/>
  <c r="E47" i="10"/>
  <c r="F47" i="10"/>
  <c r="G47" i="10"/>
  <c r="H47" i="10"/>
  <c r="I47" i="10"/>
  <c r="D48" i="10"/>
  <c r="E48" i="10"/>
  <c r="F48" i="10"/>
  <c r="G48" i="10"/>
  <c r="H48" i="10"/>
  <c r="I48" i="10"/>
  <c r="D49" i="10"/>
  <c r="E49" i="10"/>
  <c r="F49" i="10"/>
  <c r="G49" i="10"/>
  <c r="H49" i="10"/>
  <c r="I49" i="10"/>
  <c r="D50" i="10"/>
  <c r="E50" i="10"/>
  <c r="F50" i="10"/>
  <c r="G50" i="10"/>
  <c r="H50" i="10"/>
  <c r="I50" i="10"/>
  <c r="D51" i="10"/>
  <c r="E51" i="10"/>
  <c r="F51" i="10"/>
  <c r="G51" i="10"/>
  <c r="H51" i="10"/>
  <c r="I51" i="10"/>
  <c r="D52" i="10"/>
  <c r="E52" i="10"/>
  <c r="F52" i="10"/>
  <c r="G52" i="10"/>
  <c r="H52" i="10"/>
  <c r="I52" i="10"/>
  <c r="D53" i="10"/>
  <c r="E53" i="10"/>
  <c r="F53" i="10"/>
  <c r="G53" i="10"/>
  <c r="H53" i="10"/>
  <c r="I53" i="10"/>
  <c r="D54" i="10"/>
  <c r="E54" i="10"/>
  <c r="F54" i="10"/>
  <c r="G54" i="10"/>
  <c r="H54" i="10"/>
  <c r="I54" i="10"/>
  <c r="D55" i="10"/>
  <c r="E55" i="10"/>
  <c r="F55" i="10"/>
  <c r="G55" i="10"/>
  <c r="H55" i="10"/>
  <c r="I55" i="10"/>
  <c r="D56" i="10"/>
  <c r="E56" i="10"/>
  <c r="F56" i="10"/>
  <c r="G56" i="10"/>
  <c r="H56" i="10"/>
  <c r="I56" i="10"/>
  <c r="D57" i="10"/>
  <c r="E57" i="10"/>
  <c r="F57" i="10"/>
  <c r="G57" i="10"/>
  <c r="H57" i="10"/>
  <c r="I57" i="10"/>
  <c r="D58" i="10"/>
  <c r="E58" i="10"/>
  <c r="F58" i="10"/>
  <c r="G58" i="10"/>
  <c r="H58" i="10"/>
  <c r="I58" i="10"/>
  <c r="D59" i="10"/>
  <c r="E59" i="10"/>
  <c r="F59" i="10"/>
  <c r="G59" i="10"/>
  <c r="H59" i="10"/>
  <c r="I59" i="10"/>
  <c r="D60" i="10"/>
  <c r="E60" i="10"/>
  <c r="F60" i="10"/>
  <c r="G60" i="10"/>
  <c r="H60" i="10"/>
  <c r="I60" i="10"/>
  <c r="D61" i="10"/>
  <c r="E61" i="10"/>
  <c r="F61" i="10"/>
  <c r="G61" i="10"/>
  <c r="H61" i="10"/>
  <c r="I61" i="10"/>
  <c r="D62" i="10"/>
  <c r="E62" i="10"/>
  <c r="F62" i="10"/>
  <c r="G62" i="10"/>
  <c r="H62" i="10"/>
  <c r="I62" i="10"/>
  <c r="D63" i="10"/>
  <c r="E63" i="10"/>
  <c r="F63" i="10"/>
  <c r="G63" i="10"/>
  <c r="H63" i="10"/>
  <c r="I63" i="10"/>
  <c r="D64" i="10"/>
  <c r="E64" i="10"/>
  <c r="F64" i="10"/>
  <c r="G64" i="10"/>
  <c r="H64" i="10"/>
  <c r="I64" i="10"/>
  <c r="D65" i="10"/>
  <c r="E65" i="10"/>
  <c r="F65" i="10"/>
  <c r="G65" i="10"/>
  <c r="H65" i="10"/>
  <c r="I65" i="10"/>
  <c r="D66" i="10"/>
  <c r="E66" i="10"/>
  <c r="F66" i="10"/>
  <c r="G66" i="10"/>
  <c r="H66" i="10"/>
  <c r="I66" i="10"/>
  <c r="D67" i="10"/>
  <c r="E67" i="10"/>
  <c r="F67" i="10"/>
  <c r="G67" i="10"/>
  <c r="H67" i="10"/>
  <c r="I67" i="10"/>
  <c r="D68" i="10"/>
  <c r="E68" i="10"/>
  <c r="F68" i="10"/>
  <c r="G68" i="10"/>
  <c r="H68" i="10"/>
  <c r="I68" i="10"/>
  <c r="D69" i="10"/>
  <c r="E69" i="10"/>
  <c r="F69" i="10"/>
  <c r="G69" i="10"/>
  <c r="H69" i="10"/>
  <c r="I69" i="10"/>
  <c r="D70" i="10"/>
  <c r="E70" i="10"/>
  <c r="F70" i="10"/>
  <c r="G70" i="10"/>
  <c r="H70" i="10"/>
  <c r="I70" i="10"/>
  <c r="D71" i="10"/>
  <c r="E71" i="10"/>
  <c r="F71" i="10"/>
  <c r="G71" i="10"/>
  <c r="H71" i="10"/>
  <c r="I71" i="10"/>
  <c r="D72" i="10"/>
  <c r="E72" i="10"/>
  <c r="F72" i="10"/>
  <c r="G72" i="10"/>
  <c r="H72" i="10"/>
  <c r="I72" i="10"/>
  <c r="D73" i="10"/>
  <c r="E73" i="10"/>
  <c r="F73" i="10"/>
  <c r="G73" i="10"/>
  <c r="H73" i="10"/>
  <c r="I73" i="10"/>
  <c r="D74" i="10"/>
  <c r="E74" i="10"/>
  <c r="F74" i="10"/>
  <c r="G74" i="10"/>
  <c r="H74" i="10"/>
  <c r="I74" i="10"/>
  <c r="D75" i="10"/>
  <c r="E75" i="10"/>
  <c r="F75" i="10"/>
  <c r="G75" i="10"/>
  <c r="H75" i="10"/>
  <c r="I75" i="10"/>
  <c r="D76" i="10"/>
  <c r="E76" i="10"/>
  <c r="F76" i="10"/>
  <c r="G76" i="10"/>
  <c r="H76" i="10"/>
  <c r="I76" i="10"/>
  <c r="D77" i="10"/>
  <c r="E77" i="10"/>
  <c r="F77" i="10"/>
  <c r="G77" i="10"/>
  <c r="H77" i="10"/>
  <c r="I77" i="10"/>
  <c r="D78" i="10"/>
  <c r="E78" i="10"/>
  <c r="F78" i="10"/>
  <c r="G78" i="10"/>
  <c r="H78" i="10"/>
  <c r="I78" i="10"/>
  <c r="D79" i="10"/>
  <c r="E79" i="10"/>
  <c r="F79" i="10"/>
  <c r="G79" i="10"/>
  <c r="H79" i="10"/>
  <c r="I79" i="10"/>
  <c r="D80" i="10"/>
  <c r="E80" i="10"/>
  <c r="F80" i="10"/>
  <c r="G80" i="10"/>
  <c r="H80" i="10"/>
  <c r="I80" i="10"/>
  <c r="D81" i="10"/>
  <c r="E81" i="10"/>
  <c r="F81" i="10"/>
  <c r="G81" i="10"/>
  <c r="H81" i="10"/>
  <c r="I81" i="10"/>
  <c r="D82" i="10"/>
  <c r="E82" i="10"/>
  <c r="F82" i="10"/>
  <c r="G82" i="10"/>
  <c r="H82" i="10"/>
  <c r="I82" i="10"/>
  <c r="D83" i="10"/>
  <c r="E83" i="10"/>
  <c r="F83" i="10"/>
  <c r="G83" i="10"/>
  <c r="H83" i="10"/>
  <c r="I83" i="10"/>
  <c r="D84" i="10"/>
  <c r="E84" i="10"/>
  <c r="F84" i="10"/>
  <c r="G84" i="10"/>
  <c r="H84" i="10"/>
  <c r="I84" i="10"/>
  <c r="D85" i="10"/>
  <c r="E85" i="10"/>
  <c r="F85" i="10"/>
  <c r="G85" i="10"/>
  <c r="H85" i="10"/>
  <c r="I85" i="10"/>
  <c r="D86" i="10"/>
  <c r="E86" i="10"/>
  <c r="F86" i="10"/>
  <c r="G86" i="10"/>
  <c r="H86" i="10"/>
  <c r="I86" i="10"/>
  <c r="D87" i="10"/>
  <c r="E87" i="10"/>
  <c r="F87" i="10"/>
  <c r="G87" i="10"/>
  <c r="H87" i="10"/>
  <c r="I87" i="10"/>
  <c r="D88" i="10"/>
  <c r="E88" i="10"/>
  <c r="F88" i="10"/>
  <c r="G88" i="10"/>
  <c r="H88" i="10"/>
  <c r="I88" i="10"/>
  <c r="D89" i="10"/>
  <c r="E89" i="10"/>
  <c r="F89" i="10"/>
  <c r="G89" i="10"/>
  <c r="H89" i="10"/>
  <c r="I89" i="10"/>
  <c r="D90" i="10"/>
  <c r="E90" i="10"/>
  <c r="F90" i="10"/>
  <c r="G90" i="10"/>
  <c r="H90" i="10"/>
  <c r="I90" i="10"/>
  <c r="D91" i="10"/>
  <c r="E91" i="10"/>
  <c r="F91" i="10"/>
  <c r="G91" i="10"/>
  <c r="H91" i="10"/>
  <c r="I91" i="10"/>
  <c r="D92" i="10"/>
  <c r="E92" i="10"/>
  <c r="F92" i="10"/>
  <c r="G92" i="10"/>
  <c r="H92" i="10"/>
  <c r="I92" i="10"/>
  <c r="D93" i="10"/>
  <c r="E93" i="10"/>
  <c r="F93" i="10"/>
  <c r="G93" i="10"/>
  <c r="H93" i="10"/>
  <c r="I93" i="10"/>
  <c r="D94" i="10"/>
  <c r="E94" i="10"/>
  <c r="F94" i="10"/>
  <c r="G94" i="10"/>
  <c r="H94" i="10"/>
  <c r="I94" i="10"/>
  <c r="D95" i="10"/>
  <c r="E95" i="10"/>
  <c r="F95" i="10"/>
  <c r="G95" i="10"/>
  <c r="H95" i="10"/>
  <c r="I95" i="10"/>
  <c r="D96" i="10"/>
  <c r="E96" i="10"/>
  <c r="F96" i="10"/>
  <c r="G96" i="10"/>
  <c r="H96" i="10"/>
  <c r="I96" i="10"/>
  <c r="D97" i="10"/>
  <c r="E97" i="10"/>
  <c r="F97" i="10"/>
  <c r="G97" i="10"/>
  <c r="H97" i="10"/>
  <c r="I97" i="10"/>
  <c r="D98" i="10"/>
  <c r="E98" i="10"/>
  <c r="F98" i="10"/>
  <c r="G98" i="10"/>
  <c r="H98" i="10"/>
  <c r="I98" i="10"/>
  <c r="D99" i="10"/>
  <c r="E99" i="10"/>
  <c r="F99" i="10"/>
  <c r="G99" i="10"/>
  <c r="H99" i="10"/>
  <c r="I99" i="10"/>
  <c r="D100" i="10"/>
  <c r="E100" i="10"/>
  <c r="F100" i="10"/>
  <c r="G100" i="10"/>
  <c r="H100" i="10"/>
  <c r="I100" i="10"/>
  <c r="D101" i="10"/>
  <c r="E101" i="10"/>
  <c r="F101" i="10"/>
  <c r="G101" i="10"/>
  <c r="H101" i="10"/>
  <c r="I101" i="10"/>
  <c r="D102" i="10"/>
  <c r="E102" i="10"/>
  <c r="F102" i="10"/>
  <c r="G102" i="10"/>
  <c r="H102" i="10"/>
  <c r="I102" i="10"/>
  <c r="D103" i="10"/>
  <c r="E103" i="10"/>
  <c r="F103" i="10"/>
  <c r="G103" i="10"/>
  <c r="H103" i="10"/>
  <c r="I103" i="10"/>
  <c r="D104" i="10"/>
  <c r="E104" i="10"/>
  <c r="F104" i="10"/>
  <c r="G104" i="10"/>
  <c r="H104" i="10"/>
  <c r="I104" i="10"/>
  <c r="D105" i="10"/>
  <c r="E105" i="10"/>
  <c r="F105" i="10"/>
  <c r="G105" i="10"/>
  <c r="H105" i="10"/>
  <c r="I105" i="10"/>
  <c r="D106" i="10"/>
  <c r="E106" i="10"/>
  <c r="F106" i="10"/>
  <c r="G106" i="10"/>
  <c r="H106" i="10"/>
  <c r="I106" i="10"/>
  <c r="D107" i="10"/>
  <c r="E107" i="10"/>
  <c r="F107" i="10"/>
  <c r="G107" i="10"/>
  <c r="H107" i="10"/>
  <c r="I107" i="10"/>
  <c r="D108" i="10"/>
  <c r="E108" i="10"/>
  <c r="F108" i="10"/>
  <c r="G108" i="10"/>
  <c r="H108" i="10"/>
  <c r="I108" i="10"/>
  <c r="D109" i="10"/>
  <c r="E109" i="10"/>
  <c r="F109" i="10"/>
  <c r="G109" i="10"/>
  <c r="H109" i="10"/>
  <c r="I109" i="10"/>
  <c r="D110" i="10"/>
  <c r="E110" i="10"/>
  <c r="F110" i="10"/>
  <c r="G110" i="10"/>
  <c r="H110" i="10"/>
  <c r="I110" i="10"/>
  <c r="D111" i="10"/>
  <c r="E111" i="10"/>
  <c r="F111" i="10"/>
  <c r="G111" i="10"/>
  <c r="H111" i="10"/>
  <c r="I111" i="10"/>
  <c r="D112" i="10"/>
  <c r="E112" i="10"/>
  <c r="F112" i="10"/>
  <c r="G112" i="10"/>
  <c r="H112" i="10"/>
  <c r="I112" i="10"/>
  <c r="D113" i="10"/>
  <c r="E113" i="10"/>
  <c r="F113" i="10"/>
  <c r="G113" i="10"/>
  <c r="H113" i="10"/>
  <c r="I113" i="10"/>
  <c r="D114" i="10"/>
  <c r="E114" i="10"/>
  <c r="F114" i="10"/>
  <c r="G114" i="10"/>
  <c r="H114" i="10"/>
  <c r="I114" i="10"/>
  <c r="D115" i="10"/>
  <c r="E115" i="10"/>
  <c r="F115" i="10"/>
  <c r="G115" i="10"/>
  <c r="H115" i="10"/>
  <c r="I115" i="10"/>
  <c r="D116" i="10"/>
  <c r="E116" i="10"/>
  <c r="F116" i="10"/>
  <c r="G116" i="10"/>
  <c r="H116" i="10"/>
  <c r="I116" i="10"/>
  <c r="D117" i="10"/>
  <c r="E117" i="10"/>
  <c r="F117" i="10"/>
  <c r="G117" i="10"/>
  <c r="H117" i="10"/>
  <c r="I117" i="10"/>
  <c r="D118" i="10"/>
  <c r="E118" i="10"/>
  <c r="F118" i="10"/>
  <c r="G118" i="10"/>
  <c r="H118" i="10"/>
  <c r="I118" i="10"/>
  <c r="D119" i="10"/>
  <c r="E119" i="10"/>
  <c r="F119" i="10"/>
  <c r="G119" i="10"/>
  <c r="H119" i="10"/>
  <c r="I119" i="10"/>
  <c r="D120" i="10"/>
  <c r="E120" i="10"/>
  <c r="F120" i="10"/>
  <c r="G120" i="10"/>
  <c r="H120" i="10"/>
  <c r="I120" i="10"/>
  <c r="D121" i="10"/>
  <c r="E121" i="10"/>
  <c r="F121" i="10"/>
  <c r="G121" i="10"/>
  <c r="H121" i="10"/>
  <c r="I121" i="10"/>
  <c r="D122" i="10"/>
  <c r="E122" i="10"/>
  <c r="F122" i="10"/>
  <c r="G122" i="10"/>
  <c r="H122" i="10"/>
  <c r="I122" i="10"/>
  <c r="D123" i="10"/>
  <c r="E123" i="10"/>
  <c r="F123" i="10"/>
  <c r="G123" i="10"/>
  <c r="H123" i="10"/>
  <c r="I123" i="10"/>
  <c r="D124" i="10"/>
  <c r="E124" i="10"/>
  <c r="F124" i="10"/>
  <c r="G124" i="10"/>
  <c r="H124" i="10"/>
  <c r="I124" i="10"/>
  <c r="D125" i="10"/>
  <c r="E125" i="10"/>
  <c r="F125" i="10"/>
  <c r="G125" i="10"/>
  <c r="H125" i="10"/>
  <c r="I125" i="10"/>
  <c r="D126" i="10"/>
  <c r="E126" i="10"/>
  <c r="F126" i="10"/>
  <c r="G126" i="10"/>
  <c r="H126" i="10"/>
  <c r="I126" i="10"/>
  <c r="D127" i="10"/>
  <c r="E127" i="10"/>
  <c r="F127" i="10"/>
  <c r="G127" i="10"/>
  <c r="H127" i="10"/>
  <c r="I127" i="10"/>
  <c r="D128" i="10"/>
  <c r="E128" i="10"/>
  <c r="F128" i="10"/>
  <c r="G128" i="10"/>
  <c r="H128" i="10"/>
  <c r="I128" i="10"/>
  <c r="D129" i="10"/>
  <c r="E129" i="10"/>
  <c r="F129" i="10"/>
  <c r="G129" i="10"/>
  <c r="H129" i="10"/>
  <c r="I129" i="10"/>
  <c r="D130" i="10"/>
  <c r="E130" i="10"/>
  <c r="F130" i="10"/>
  <c r="G130" i="10"/>
  <c r="H130" i="10"/>
  <c r="I130" i="10"/>
  <c r="D131" i="10"/>
  <c r="E131" i="10"/>
  <c r="F131" i="10"/>
  <c r="G131" i="10"/>
  <c r="H131" i="10"/>
  <c r="I131" i="10"/>
  <c r="D132" i="10"/>
  <c r="E132" i="10"/>
  <c r="F132" i="10"/>
  <c r="G132" i="10"/>
  <c r="H132" i="10"/>
  <c r="I132" i="10"/>
  <c r="D133" i="10"/>
  <c r="E133" i="10"/>
  <c r="F133" i="10"/>
  <c r="G133" i="10"/>
  <c r="H133" i="10"/>
  <c r="I133" i="10"/>
  <c r="D134" i="10"/>
  <c r="E134" i="10"/>
  <c r="F134" i="10"/>
  <c r="G134" i="10"/>
  <c r="H134" i="10"/>
  <c r="I134" i="10"/>
  <c r="D135" i="10"/>
  <c r="E135" i="10"/>
  <c r="F135" i="10"/>
  <c r="G135" i="10"/>
  <c r="H135" i="10"/>
  <c r="I135" i="10"/>
  <c r="D136" i="10"/>
  <c r="E136" i="10"/>
  <c r="F136" i="10"/>
  <c r="G136" i="10"/>
  <c r="H136" i="10"/>
  <c r="I136" i="10"/>
  <c r="D137" i="10"/>
  <c r="E137" i="10"/>
  <c r="F137" i="10"/>
  <c r="G137" i="10"/>
  <c r="H137" i="10"/>
  <c r="I137" i="10"/>
  <c r="D138" i="10"/>
  <c r="E138" i="10"/>
  <c r="F138" i="10"/>
  <c r="G138" i="10"/>
  <c r="H138" i="10"/>
  <c r="I138" i="10"/>
  <c r="D139" i="10"/>
  <c r="E139" i="10"/>
  <c r="F139" i="10"/>
  <c r="G139" i="10"/>
  <c r="H139" i="10"/>
  <c r="I139" i="10"/>
  <c r="D140" i="10"/>
  <c r="E140" i="10"/>
  <c r="F140" i="10"/>
  <c r="G140" i="10"/>
  <c r="H140" i="10"/>
  <c r="I140" i="10"/>
  <c r="D141" i="10"/>
  <c r="E141" i="10"/>
  <c r="F141" i="10"/>
  <c r="G141" i="10"/>
  <c r="H141" i="10"/>
  <c r="I141" i="10"/>
  <c r="D142" i="10"/>
  <c r="E142" i="10"/>
  <c r="F142" i="10"/>
  <c r="G142" i="10"/>
  <c r="H142" i="10"/>
  <c r="I142" i="10"/>
  <c r="D143" i="10"/>
  <c r="E143" i="10"/>
  <c r="F143" i="10"/>
  <c r="G143" i="10"/>
  <c r="H143" i="10"/>
  <c r="I143" i="10"/>
  <c r="D144" i="10"/>
  <c r="E144" i="10"/>
  <c r="F144" i="10"/>
  <c r="G144" i="10"/>
  <c r="H144" i="10"/>
  <c r="I144" i="10"/>
  <c r="D145" i="10"/>
  <c r="E145" i="10"/>
  <c r="F145" i="10"/>
  <c r="G145" i="10"/>
  <c r="H145" i="10"/>
  <c r="I145" i="10"/>
  <c r="D146" i="10"/>
  <c r="E146" i="10"/>
  <c r="F146" i="10"/>
  <c r="G146" i="10"/>
  <c r="H146" i="10"/>
  <c r="I146" i="10"/>
  <c r="D147" i="10"/>
  <c r="E147" i="10"/>
  <c r="F147" i="10"/>
  <c r="G147" i="10"/>
  <c r="H147" i="10"/>
  <c r="I147" i="10"/>
  <c r="D148" i="10"/>
  <c r="E148" i="10"/>
  <c r="F148" i="10"/>
  <c r="G148" i="10"/>
  <c r="H148" i="10"/>
  <c r="I148" i="10"/>
  <c r="D149" i="10"/>
  <c r="E149" i="10"/>
  <c r="F149" i="10"/>
  <c r="G149" i="10"/>
  <c r="H149" i="10"/>
  <c r="I149" i="10"/>
  <c r="D150" i="10"/>
  <c r="E150" i="10"/>
  <c r="F150" i="10"/>
  <c r="G150" i="10"/>
  <c r="H150" i="10"/>
  <c r="I150" i="10"/>
  <c r="D151" i="10"/>
  <c r="E151" i="10"/>
  <c r="F151" i="10"/>
  <c r="G151" i="10"/>
  <c r="H151" i="10"/>
  <c r="I151" i="10"/>
  <c r="D152" i="10"/>
  <c r="E152" i="10"/>
  <c r="F152" i="10"/>
  <c r="G152" i="10"/>
  <c r="H152" i="10"/>
  <c r="I152" i="10"/>
  <c r="D153" i="10"/>
  <c r="E153" i="10"/>
  <c r="F153" i="10"/>
  <c r="G153" i="10"/>
  <c r="H153" i="10"/>
  <c r="I153" i="10"/>
  <c r="D154" i="10"/>
  <c r="E154" i="10"/>
  <c r="F154" i="10"/>
  <c r="G154" i="10"/>
  <c r="H154" i="10"/>
  <c r="I154" i="10"/>
  <c r="D155" i="10"/>
  <c r="E155" i="10"/>
  <c r="F155" i="10"/>
  <c r="G155" i="10"/>
  <c r="H155" i="10"/>
  <c r="I155" i="10"/>
  <c r="D156" i="10"/>
  <c r="E156" i="10"/>
  <c r="F156" i="10"/>
  <c r="G156" i="10"/>
  <c r="H156" i="10"/>
  <c r="I156" i="10"/>
  <c r="D157" i="10"/>
  <c r="E157" i="10"/>
  <c r="F157" i="10"/>
  <c r="G157" i="10"/>
  <c r="H157" i="10"/>
  <c r="I157" i="10"/>
  <c r="D158" i="10"/>
  <c r="E158" i="10"/>
  <c r="F158" i="10"/>
  <c r="G158" i="10"/>
  <c r="H158" i="10"/>
  <c r="I158" i="10"/>
  <c r="D159" i="10"/>
  <c r="E159" i="10"/>
  <c r="F159" i="10"/>
  <c r="G159" i="10"/>
  <c r="H159" i="10"/>
  <c r="I159" i="10"/>
  <c r="D160" i="10"/>
  <c r="E160" i="10"/>
  <c r="F160" i="10"/>
  <c r="G160" i="10"/>
  <c r="H160" i="10"/>
  <c r="I160" i="10"/>
  <c r="D161" i="10"/>
  <c r="E161" i="10"/>
  <c r="F161" i="10"/>
  <c r="G161" i="10"/>
  <c r="H161" i="10"/>
  <c r="I161" i="10"/>
  <c r="D162" i="10"/>
  <c r="E162" i="10"/>
  <c r="F162" i="10"/>
  <c r="G162" i="10"/>
  <c r="H162" i="10"/>
  <c r="I162" i="10"/>
  <c r="D163" i="10"/>
  <c r="E163" i="10"/>
  <c r="F163" i="10"/>
  <c r="G163" i="10"/>
  <c r="H163" i="10"/>
  <c r="I163" i="10"/>
  <c r="D164" i="10"/>
  <c r="E164" i="10"/>
  <c r="F164" i="10"/>
  <c r="G164" i="10"/>
  <c r="H164" i="10"/>
  <c r="I164" i="10"/>
  <c r="D165" i="10"/>
  <c r="E165" i="10"/>
  <c r="F165" i="10"/>
  <c r="G165" i="10"/>
  <c r="H165" i="10"/>
  <c r="I165" i="10"/>
  <c r="D166" i="10"/>
  <c r="E166" i="10"/>
  <c r="F166" i="10"/>
  <c r="G166" i="10"/>
  <c r="H166" i="10"/>
  <c r="I166" i="10"/>
  <c r="D167" i="10"/>
  <c r="E167" i="10"/>
  <c r="F167" i="10"/>
  <c r="G167" i="10"/>
  <c r="H167" i="10"/>
  <c r="I167" i="10"/>
  <c r="D168" i="10"/>
  <c r="E168" i="10"/>
  <c r="F168" i="10"/>
  <c r="G168" i="10"/>
  <c r="H168" i="10"/>
  <c r="I168" i="10"/>
  <c r="D169" i="10"/>
  <c r="E169" i="10"/>
  <c r="F169" i="10"/>
  <c r="G169" i="10"/>
  <c r="H169" i="10"/>
  <c r="I169" i="10"/>
  <c r="D170" i="10"/>
  <c r="E170" i="10"/>
  <c r="F170" i="10"/>
  <c r="G170" i="10"/>
  <c r="H170" i="10"/>
  <c r="I170" i="10"/>
  <c r="D171" i="10"/>
  <c r="E171" i="10"/>
  <c r="F171" i="10"/>
  <c r="G171" i="10"/>
  <c r="H171" i="10"/>
  <c r="I171" i="10"/>
  <c r="D172" i="10"/>
  <c r="E172" i="10"/>
  <c r="F172" i="10"/>
  <c r="G172" i="10"/>
  <c r="H172" i="10"/>
  <c r="I172" i="10"/>
  <c r="D173" i="10"/>
  <c r="E173" i="10"/>
  <c r="F173" i="10"/>
  <c r="G173" i="10"/>
  <c r="H173" i="10"/>
  <c r="I173" i="10"/>
  <c r="D174" i="10"/>
  <c r="E174" i="10"/>
  <c r="F174" i="10"/>
  <c r="G174" i="10"/>
  <c r="H174" i="10"/>
  <c r="I174" i="10"/>
  <c r="D175" i="10"/>
  <c r="E175" i="10"/>
  <c r="F175" i="10"/>
  <c r="G175" i="10"/>
  <c r="H175" i="10"/>
  <c r="I175" i="10"/>
  <c r="D176" i="10"/>
  <c r="E176" i="10"/>
  <c r="F176" i="10"/>
  <c r="G176" i="10"/>
  <c r="H176" i="10"/>
  <c r="I176" i="10"/>
  <c r="D177" i="10"/>
  <c r="E177" i="10"/>
  <c r="F177" i="10"/>
  <c r="G177" i="10"/>
  <c r="H177" i="10"/>
  <c r="I177" i="10"/>
  <c r="D178" i="10"/>
  <c r="E178" i="10"/>
  <c r="F178" i="10"/>
  <c r="G178" i="10"/>
  <c r="H178" i="10"/>
  <c r="I178" i="10"/>
  <c r="D179" i="10"/>
  <c r="E179" i="10"/>
  <c r="F179" i="10"/>
  <c r="G179" i="10"/>
  <c r="H179" i="10"/>
  <c r="I179" i="10"/>
  <c r="D180" i="10"/>
  <c r="E180" i="10"/>
  <c r="F180" i="10"/>
  <c r="G180" i="10"/>
  <c r="H180" i="10"/>
  <c r="I180" i="10"/>
  <c r="D181" i="10"/>
  <c r="E181" i="10"/>
  <c r="F181" i="10"/>
  <c r="G181" i="10"/>
  <c r="H181" i="10"/>
  <c r="I181" i="10"/>
  <c r="D182" i="10"/>
  <c r="E182" i="10"/>
  <c r="F182" i="10"/>
  <c r="G182" i="10"/>
  <c r="H182" i="10"/>
  <c r="I182" i="10"/>
  <c r="D183" i="10"/>
  <c r="E183" i="10"/>
  <c r="F183" i="10"/>
  <c r="G183" i="10"/>
  <c r="H183" i="10"/>
  <c r="I183" i="10"/>
  <c r="D184" i="10"/>
  <c r="E184" i="10"/>
  <c r="F184" i="10"/>
  <c r="G184" i="10"/>
  <c r="H184" i="10"/>
  <c r="I184" i="10"/>
  <c r="D185" i="10"/>
  <c r="E185" i="10"/>
  <c r="F185" i="10"/>
  <c r="G185" i="10"/>
  <c r="H185" i="10"/>
  <c r="I185" i="10"/>
  <c r="D186" i="10"/>
  <c r="E186" i="10"/>
  <c r="F186" i="10"/>
  <c r="G186" i="10"/>
  <c r="H186" i="10"/>
  <c r="I186" i="10"/>
  <c r="D187" i="10"/>
  <c r="E187" i="10"/>
  <c r="F187" i="10"/>
  <c r="G187" i="10"/>
  <c r="H187" i="10"/>
  <c r="I187" i="10"/>
  <c r="D188" i="10"/>
  <c r="E188" i="10"/>
  <c r="F188" i="10"/>
  <c r="G188" i="10"/>
  <c r="H188" i="10"/>
  <c r="I188" i="10"/>
  <c r="D189" i="10"/>
  <c r="E189" i="10"/>
  <c r="F189" i="10"/>
  <c r="G189" i="10"/>
  <c r="H189" i="10"/>
  <c r="I189" i="10"/>
  <c r="D190" i="10"/>
  <c r="E190" i="10"/>
  <c r="F190" i="10"/>
  <c r="G190" i="10"/>
  <c r="H190" i="10"/>
  <c r="I190" i="10"/>
  <c r="D191" i="10"/>
  <c r="E191" i="10"/>
  <c r="F191" i="10"/>
  <c r="G191" i="10"/>
  <c r="H191" i="10"/>
  <c r="I191" i="10"/>
  <c r="D192" i="10"/>
  <c r="E192" i="10"/>
  <c r="F192" i="10"/>
  <c r="G192" i="10"/>
  <c r="H192" i="10"/>
  <c r="I192" i="10"/>
  <c r="D193" i="10"/>
  <c r="E193" i="10"/>
  <c r="F193" i="10"/>
  <c r="G193" i="10"/>
  <c r="H193" i="10"/>
  <c r="I193" i="10"/>
  <c r="D194" i="10"/>
  <c r="E194" i="10"/>
  <c r="F194" i="10"/>
  <c r="G194" i="10"/>
  <c r="H194" i="10"/>
  <c r="I194" i="10"/>
  <c r="D195" i="10"/>
  <c r="E195" i="10"/>
  <c r="F195" i="10"/>
  <c r="G195" i="10"/>
  <c r="H195" i="10"/>
  <c r="I195" i="10"/>
  <c r="D196" i="10"/>
  <c r="E196" i="10"/>
  <c r="F196" i="10"/>
  <c r="G196" i="10"/>
  <c r="H196" i="10"/>
  <c r="I196" i="10"/>
  <c r="D197" i="10"/>
  <c r="E197" i="10"/>
  <c r="F197" i="10"/>
  <c r="G197" i="10"/>
  <c r="H197" i="10"/>
  <c r="I197" i="10"/>
  <c r="D198" i="10"/>
  <c r="E198" i="10"/>
  <c r="F198" i="10"/>
  <c r="G198" i="10"/>
  <c r="H198" i="10"/>
  <c r="I198" i="10"/>
  <c r="D199" i="10"/>
  <c r="E199" i="10"/>
  <c r="F199" i="10"/>
  <c r="G199" i="10"/>
  <c r="H199" i="10"/>
  <c r="I199" i="10"/>
  <c r="D200" i="10"/>
  <c r="E200" i="10"/>
  <c r="F200" i="10"/>
  <c r="G200" i="10"/>
  <c r="H200" i="10"/>
  <c r="I200" i="10"/>
  <c r="D201" i="10"/>
  <c r="E201" i="10"/>
  <c r="F201" i="10"/>
  <c r="G201" i="10"/>
  <c r="H201" i="10"/>
  <c r="I201" i="10"/>
  <c r="D202" i="10"/>
  <c r="E202" i="10"/>
  <c r="F202" i="10"/>
  <c r="G202" i="10"/>
  <c r="H202" i="10"/>
  <c r="I202" i="10"/>
  <c r="D203" i="10"/>
  <c r="E203" i="10"/>
  <c r="F203" i="10"/>
  <c r="G203" i="10"/>
  <c r="H203" i="10"/>
  <c r="I203" i="10"/>
  <c r="D204" i="10"/>
  <c r="E204" i="10"/>
  <c r="F204" i="10"/>
  <c r="G204" i="10"/>
  <c r="H204" i="10"/>
  <c r="I204" i="10"/>
  <c r="D205" i="10"/>
  <c r="E205" i="10"/>
  <c r="F205" i="10"/>
  <c r="G205" i="10"/>
  <c r="H205" i="10"/>
  <c r="I205" i="10"/>
  <c r="D206" i="10"/>
  <c r="E206" i="10"/>
  <c r="F206" i="10"/>
  <c r="G206" i="10"/>
  <c r="H206" i="10"/>
  <c r="I206" i="10"/>
  <c r="D207" i="10"/>
  <c r="E207" i="10"/>
  <c r="F207" i="10"/>
  <c r="G207" i="10"/>
  <c r="H207" i="10"/>
  <c r="I207" i="10"/>
  <c r="D208" i="10"/>
  <c r="E208" i="10"/>
  <c r="F208" i="10"/>
  <c r="G208" i="10"/>
  <c r="H208" i="10"/>
  <c r="I208" i="10"/>
  <c r="D209" i="10"/>
  <c r="E209" i="10"/>
  <c r="F209" i="10"/>
  <c r="G209" i="10"/>
  <c r="H209" i="10"/>
  <c r="I209" i="10"/>
  <c r="D210" i="10"/>
  <c r="E210" i="10"/>
  <c r="F210" i="10"/>
  <c r="G210" i="10"/>
  <c r="H210" i="10"/>
  <c r="I210" i="10"/>
  <c r="D211" i="10"/>
  <c r="E211" i="10"/>
  <c r="F211" i="10"/>
  <c r="G211" i="10"/>
  <c r="H211" i="10"/>
  <c r="I211" i="10"/>
  <c r="D212" i="10"/>
  <c r="E212" i="10"/>
  <c r="F212" i="10"/>
  <c r="G212" i="10"/>
  <c r="H212" i="10"/>
  <c r="I212" i="10"/>
  <c r="D213" i="10"/>
  <c r="E213" i="10"/>
  <c r="F213" i="10"/>
  <c r="G213" i="10"/>
  <c r="H213" i="10"/>
  <c r="I213" i="10"/>
  <c r="D214" i="10"/>
  <c r="E214" i="10"/>
  <c r="F214" i="10"/>
  <c r="G214" i="10"/>
  <c r="H214" i="10"/>
  <c r="I214" i="10"/>
  <c r="D215" i="10"/>
  <c r="E215" i="10"/>
  <c r="F215" i="10"/>
  <c r="G215" i="10"/>
  <c r="H215" i="10"/>
  <c r="I215" i="10"/>
  <c r="D216" i="10"/>
  <c r="E216" i="10"/>
  <c r="F216" i="10"/>
  <c r="G216" i="10"/>
  <c r="H216" i="10"/>
  <c r="I216" i="10"/>
  <c r="D217" i="10"/>
  <c r="E217" i="10"/>
  <c r="F217" i="10"/>
  <c r="G217" i="10"/>
  <c r="H217" i="10"/>
  <c r="I217" i="10"/>
  <c r="D218" i="10"/>
  <c r="E218" i="10"/>
  <c r="F218" i="10"/>
  <c r="G218" i="10"/>
  <c r="H218" i="10"/>
  <c r="I218" i="10"/>
  <c r="D219" i="10"/>
  <c r="E219" i="10"/>
  <c r="F219" i="10"/>
  <c r="G219" i="10"/>
  <c r="H219" i="10"/>
  <c r="I219" i="10"/>
  <c r="D220" i="10"/>
  <c r="E220" i="10"/>
  <c r="F220" i="10"/>
  <c r="G220" i="10"/>
  <c r="H220" i="10"/>
  <c r="I220" i="10"/>
  <c r="D221" i="10"/>
  <c r="E221" i="10"/>
  <c r="F221" i="10"/>
  <c r="G221" i="10"/>
  <c r="H221" i="10"/>
  <c r="I221" i="10"/>
  <c r="D222" i="10"/>
  <c r="E222" i="10"/>
  <c r="F222" i="10"/>
  <c r="G222" i="10"/>
  <c r="H222" i="10"/>
  <c r="I222" i="10"/>
  <c r="D223" i="10"/>
  <c r="E223" i="10"/>
  <c r="F223" i="10"/>
  <c r="G223" i="10"/>
  <c r="H223" i="10"/>
  <c r="I223" i="10"/>
  <c r="D224" i="10"/>
  <c r="E224" i="10"/>
  <c r="F224" i="10"/>
  <c r="G224" i="10"/>
  <c r="H224" i="10"/>
  <c r="I224" i="10"/>
  <c r="D225" i="10"/>
  <c r="E225" i="10"/>
  <c r="F225" i="10"/>
  <c r="G225" i="10"/>
  <c r="H225" i="10"/>
  <c r="I225" i="10"/>
  <c r="D226" i="10"/>
  <c r="E226" i="10"/>
  <c r="F226" i="10"/>
  <c r="G226" i="10"/>
  <c r="H226" i="10"/>
  <c r="I226" i="10"/>
  <c r="D227" i="10"/>
  <c r="E227" i="10"/>
  <c r="F227" i="10"/>
  <c r="G227" i="10"/>
  <c r="H227" i="10"/>
  <c r="I227" i="10"/>
  <c r="D228" i="10"/>
  <c r="E228" i="10"/>
  <c r="F228" i="10"/>
  <c r="G228" i="10"/>
  <c r="H228" i="10"/>
  <c r="I228" i="10"/>
  <c r="D229" i="10"/>
  <c r="E229" i="10"/>
  <c r="F229" i="10"/>
  <c r="G229" i="10"/>
  <c r="H229" i="10"/>
  <c r="I229" i="10"/>
  <c r="D230" i="10"/>
  <c r="E230" i="10"/>
  <c r="F230" i="10"/>
  <c r="G230" i="10"/>
  <c r="H230" i="10"/>
  <c r="I230" i="10"/>
  <c r="D231" i="10"/>
  <c r="E231" i="10"/>
  <c r="F231" i="10"/>
  <c r="G231" i="10"/>
  <c r="H231" i="10"/>
  <c r="I231" i="10"/>
  <c r="D232" i="10"/>
  <c r="E232" i="10"/>
  <c r="F232" i="10"/>
  <c r="G232" i="10"/>
  <c r="H232" i="10"/>
  <c r="I232" i="10"/>
  <c r="D233" i="10"/>
  <c r="E233" i="10"/>
  <c r="F233" i="10"/>
  <c r="G233" i="10"/>
  <c r="H233" i="10"/>
  <c r="I233" i="10"/>
  <c r="D234" i="10"/>
  <c r="E234" i="10"/>
  <c r="F234" i="10"/>
  <c r="G234" i="10"/>
  <c r="H234" i="10"/>
  <c r="I234" i="10"/>
  <c r="D235" i="10"/>
  <c r="E235" i="10"/>
  <c r="F235" i="10"/>
  <c r="G235" i="10"/>
  <c r="H235" i="10"/>
  <c r="I235" i="10"/>
  <c r="D236" i="10"/>
  <c r="E236" i="10"/>
  <c r="F236" i="10"/>
  <c r="G236" i="10"/>
  <c r="H236" i="10"/>
  <c r="I236" i="10"/>
  <c r="D237" i="10"/>
  <c r="E237" i="10"/>
  <c r="F237" i="10"/>
  <c r="G237" i="10"/>
  <c r="H237" i="10"/>
  <c r="I237" i="10"/>
  <c r="D238" i="10"/>
  <c r="E238" i="10"/>
  <c r="F238" i="10"/>
  <c r="G238" i="10"/>
  <c r="H238" i="10"/>
  <c r="I238" i="10"/>
  <c r="D239" i="10"/>
  <c r="E239" i="10"/>
  <c r="F239" i="10"/>
  <c r="G239" i="10"/>
  <c r="H239" i="10"/>
  <c r="I239" i="10"/>
  <c r="D240" i="10"/>
  <c r="E240" i="10"/>
  <c r="F240" i="10"/>
  <c r="G240" i="10"/>
  <c r="H240" i="10"/>
  <c r="I240" i="10"/>
  <c r="D241" i="10"/>
  <c r="E241" i="10"/>
  <c r="F241" i="10"/>
  <c r="G241" i="10"/>
  <c r="H241" i="10"/>
  <c r="I241" i="10"/>
  <c r="D242" i="10"/>
  <c r="E242" i="10"/>
  <c r="F242" i="10"/>
  <c r="G242" i="10"/>
  <c r="H242" i="10"/>
  <c r="I242" i="10"/>
  <c r="D243" i="10"/>
  <c r="E243" i="10"/>
  <c r="F243" i="10"/>
  <c r="G243" i="10"/>
  <c r="H243" i="10"/>
  <c r="I243" i="10"/>
  <c r="D244" i="10"/>
  <c r="E244" i="10"/>
  <c r="F244" i="10"/>
  <c r="G244" i="10"/>
  <c r="H244" i="10"/>
  <c r="I244" i="10"/>
  <c r="D245" i="10"/>
  <c r="E245" i="10"/>
  <c r="F245" i="10"/>
  <c r="G245" i="10"/>
  <c r="H245" i="10"/>
  <c r="I245" i="10"/>
  <c r="D246" i="10"/>
  <c r="E246" i="10"/>
  <c r="F246" i="10"/>
  <c r="G246" i="10"/>
  <c r="H246" i="10"/>
  <c r="I246" i="10"/>
  <c r="D247" i="10"/>
  <c r="E247" i="10"/>
  <c r="F247" i="10"/>
  <c r="G247" i="10"/>
  <c r="H247" i="10"/>
  <c r="I247" i="10"/>
  <c r="D248" i="10"/>
  <c r="E248" i="10"/>
  <c r="F248" i="10"/>
  <c r="G248" i="10"/>
  <c r="H248" i="10"/>
  <c r="I248" i="10"/>
  <c r="D249" i="10"/>
  <c r="E249" i="10"/>
  <c r="F249" i="10"/>
  <c r="G249" i="10"/>
  <c r="H249" i="10"/>
  <c r="I249" i="10"/>
  <c r="D250" i="10"/>
  <c r="E250" i="10"/>
  <c r="F250" i="10"/>
  <c r="G250" i="10"/>
  <c r="H250" i="10"/>
  <c r="I250" i="10"/>
  <c r="D251" i="10"/>
  <c r="E251" i="10"/>
  <c r="F251" i="10"/>
  <c r="G251" i="10"/>
  <c r="H251" i="10"/>
  <c r="I251" i="10"/>
  <c r="D252" i="10"/>
  <c r="E252" i="10"/>
  <c r="F252" i="10"/>
  <c r="G252" i="10"/>
  <c r="H252" i="10"/>
  <c r="I252" i="10"/>
  <c r="D253" i="10"/>
  <c r="E253" i="10"/>
  <c r="F253" i="10"/>
  <c r="G253" i="10"/>
  <c r="H253" i="10"/>
  <c r="I253" i="10"/>
  <c r="D254" i="10"/>
  <c r="E254" i="10"/>
  <c r="F254" i="10"/>
  <c r="G254" i="10"/>
  <c r="H254" i="10"/>
  <c r="I254" i="10"/>
  <c r="D255" i="10"/>
  <c r="E255" i="10"/>
  <c r="F255" i="10"/>
  <c r="G255" i="10"/>
  <c r="H255" i="10"/>
  <c r="I255" i="10"/>
  <c r="D256" i="10"/>
  <c r="E256" i="10"/>
  <c r="F256" i="10"/>
  <c r="G256" i="10"/>
  <c r="H256" i="10"/>
  <c r="I256" i="10"/>
  <c r="D257" i="10"/>
  <c r="E257" i="10"/>
  <c r="F257" i="10"/>
  <c r="G257" i="10"/>
  <c r="H257" i="10"/>
  <c r="I257" i="10"/>
  <c r="D258" i="10"/>
  <c r="E258" i="10"/>
  <c r="F258" i="10"/>
  <c r="G258" i="10"/>
  <c r="H258" i="10"/>
  <c r="I258" i="10"/>
  <c r="D259" i="10"/>
  <c r="E259" i="10"/>
  <c r="F259" i="10"/>
  <c r="G259" i="10"/>
  <c r="H259" i="10"/>
  <c r="I259" i="10"/>
  <c r="D260" i="10"/>
  <c r="E260" i="10"/>
  <c r="F260" i="10"/>
  <c r="G260" i="10"/>
  <c r="H260" i="10"/>
  <c r="I260" i="10"/>
  <c r="D261" i="10"/>
  <c r="E261" i="10"/>
  <c r="F261" i="10"/>
  <c r="G261" i="10"/>
  <c r="H261" i="10"/>
  <c r="I261" i="10"/>
  <c r="D262" i="10"/>
  <c r="E262" i="10"/>
  <c r="F262" i="10"/>
  <c r="G262" i="10"/>
  <c r="H262" i="10"/>
  <c r="I262" i="10"/>
  <c r="D263" i="10"/>
  <c r="E263" i="10"/>
  <c r="F263" i="10"/>
  <c r="G263" i="10"/>
  <c r="H263" i="10"/>
  <c r="I263" i="10"/>
  <c r="D264" i="10"/>
  <c r="E264" i="10"/>
  <c r="F264" i="10"/>
  <c r="G264" i="10"/>
  <c r="H264" i="10"/>
  <c r="I264" i="10"/>
  <c r="D265" i="10"/>
  <c r="E265" i="10"/>
  <c r="F265" i="10"/>
  <c r="G265" i="10"/>
  <c r="H265" i="10"/>
  <c r="I265" i="10"/>
  <c r="D266" i="10"/>
  <c r="E266" i="10"/>
  <c r="F266" i="10"/>
  <c r="G266" i="10"/>
  <c r="H266" i="10"/>
  <c r="I266" i="10"/>
  <c r="D267" i="10"/>
  <c r="E267" i="10"/>
  <c r="F267" i="10"/>
  <c r="G267" i="10"/>
  <c r="H267" i="10"/>
  <c r="I267" i="10"/>
  <c r="D268" i="10"/>
  <c r="E268" i="10"/>
  <c r="F268" i="10"/>
  <c r="G268" i="10"/>
  <c r="H268" i="10"/>
  <c r="I268" i="10"/>
  <c r="D269" i="10"/>
  <c r="E269" i="10"/>
  <c r="F269" i="10"/>
  <c r="G269" i="10"/>
  <c r="H269" i="10"/>
  <c r="I269" i="10"/>
  <c r="D270" i="10"/>
  <c r="E270" i="10"/>
  <c r="F270" i="10"/>
  <c r="G270" i="10"/>
  <c r="H270" i="10"/>
  <c r="I270" i="10"/>
  <c r="D271" i="10"/>
  <c r="E271" i="10"/>
  <c r="F271" i="10"/>
  <c r="G271" i="10"/>
  <c r="H271" i="10"/>
  <c r="I271" i="10"/>
  <c r="D272" i="10"/>
  <c r="E272" i="10"/>
  <c r="F272" i="10"/>
  <c r="G272" i="10"/>
  <c r="H272" i="10"/>
  <c r="I272" i="10"/>
  <c r="D273" i="10"/>
  <c r="E273" i="10"/>
  <c r="F273" i="10"/>
  <c r="G273" i="10"/>
  <c r="H273" i="10"/>
  <c r="I273" i="10"/>
  <c r="D274" i="10"/>
  <c r="E274" i="10"/>
  <c r="F274" i="10"/>
  <c r="G274" i="10"/>
  <c r="H274" i="10"/>
  <c r="I274" i="10"/>
  <c r="D275" i="10"/>
  <c r="E275" i="10"/>
  <c r="F275" i="10"/>
  <c r="G275" i="10"/>
  <c r="H275" i="10"/>
  <c r="I275" i="10"/>
  <c r="D276" i="10"/>
  <c r="E276" i="10"/>
  <c r="F276" i="10"/>
  <c r="G276" i="10"/>
  <c r="H276" i="10"/>
  <c r="I276" i="10"/>
  <c r="D277" i="10"/>
  <c r="E277" i="10"/>
  <c r="F277" i="10"/>
  <c r="G277" i="10"/>
  <c r="H277" i="10"/>
  <c r="I277" i="10"/>
  <c r="D278" i="10"/>
  <c r="E278" i="10"/>
  <c r="F278" i="10"/>
  <c r="G278" i="10"/>
  <c r="H278" i="10"/>
  <c r="I278" i="10"/>
  <c r="D279" i="10"/>
  <c r="E279" i="10"/>
  <c r="F279" i="10"/>
  <c r="G279" i="10"/>
  <c r="H279" i="10"/>
  <c r="I279" i="10"/>
  <c r="D280" i="10"/>
  <c r="E280" i="10"/>
  <c r="F280" i="10"/>
  <c r="G280" i="10"/>
  <c r="H280" i="10"/>
  <c r="I280" i="10"/>
  <c r="D281" i="10"/>
  <c r="E281" i="10"/>
  <c r="F281" i="10"/>
  <c r="G281" i="10"/>
  <c r="H281" i="10"/>
  <c r="I281" i="10"/>
  <c r="D282" i="10"/>
  <c r="E282" i="10"/>
  <c r="F282" i="10"/>
  <c r="G282" i="10"/>
  <c r="H282" i="10"/>
  <c r="I282" i="10"/>
  <c r="D283" i="10"/>
  <c r="E283" i="10"/>
  <c r="F283" i="10"/>
  <c r="G283" i="10"/>
  <c r="H283" i="10"/>
  <c r="I283" i="10"/>
  <c r="D284" i="10"/>
  <c r="E284" i="10"/>
  <c r="F284" i="10"/>
  <c r="G284" i="10"/>
  <c r="H284" i="10"/>
  <c r="I284" i="10"/>
  <c r="D285" i="10"/>
  <c r="E285" i="10"/>
  <c r="F285" i="10"/>
  <c r="G285" i="10"/>
  <c r="H285" i="10"/>
  <c r="I285" i="10"/>
  <c r="D286" i="10"/>
  <c r="E286" i="10"/>
  <c r="F286" i="10"/>
  <c r="G286" i="10"/>
  <c r="H286" i="10"/>
  <c r="I286" i="10"/>
  <c r="D287" i="10"/>
  <c r="E287" i="10"/>
  <c r="F287" i="10"/>
  <c r="G287" i="10"/>
  <c r="H287" i="10"/>
  <c r="I287" i="10"/>
  <c r="D288" i="10"/>
  <c r="E288" i="10"/>
  <c r="F288" i="10"/>
  <c r="G288" i="10"/>
  <c r="H288" i="10"/>
  <c r="I288" i="10"/>
  <c r="D289" i="10"/>
  <c r="E289" i="10"/>
  <c r="F289" i="10"/>
  <c r="G289" i="10"/>
  <c r="H289" i="10"/>
  <c r="I289" i="10"/>
  <c r="D290" i="10"/>
  <c r="E290" i="10"/>
  <c r="F290" i="10"/>
  <c r="G290" i="10"/>
  <c r="H290" i="10"/>
  <c r="I290" i="10"/>
  <c r="D291" i="10"/>
  <c r="E291" i="10"/>
  <c r="F291" i="10"/>
  <c r="G291" i="10"/>
  <c r="H291" i="10"/>
  <c r="I291" i="10"/>
  <c r="D292" i="10"/>
  <c r="E292" i="10"/>
  <c r="F292" i="10"/>
  <c r="G292" i="10"/>
  <c r="H292" i="10"/>
  <c r="I292" i="10"/>
  <c r="D293" i="10"/>
  <c r="E293" i="10"/>
  <c r="F293" i="10"/>
  <c r="G293" i="10"/>
  <c r="H293" i="10"/>
  <c r="I293" i="10"/>
  <c r="D294" i="10"/>
  <c r="E294" i="10"/>
  <c r="F294" i="10"/>
  <c r="G294" i="10"/>
  <c r="H294" i="10"/>
  <c r="I294" i="10"/>
  <c r="D295" i="10"/>
  <c r="E295" i="10"/>
  <c r="F295" i="10"/>
  <c r="G295" i="10"/>
  <c r="H295" i="10"/>
  <c r="I295" i="10"/>
  <c r="D296" i="10"/>
  <c r="E296" i="10"/>
  <c r="F296" i="10"/>
  <c r="G296" i="10"/>
  <c r="H296" i="10"/>
  <c r="I296" i="10"/>
  <c r="D297" i="10"/>
  <c r="E297" i="10"/>
  <c r="F297" i="10"/>
  <c r="G297" i="10"/>
  <c r="H297" i="10"/>
  <c r="I297" i="10"/>
  <c r="D298" i="10"/>
  <c r="E298" i="10"/>
  <c r="F298" i="10"/>
  <c r="G298" i="10"/>
  <c r="H298" i="10"/>
  <c r="I298" i="10"/>
  <c r="D299" i="10"/>
  <c r="E299" i="10"/>
  <c r="F299" i="10"/>
  <c r="G299" i="10"/>
  <c r="H299" i="10"/>
  <c r="I299" i="10"/>
  <c r="D300" i="10"/>
  <c r="E300" i="10"/>
  <c r="F300" i="10"/>
  <c r="G300" i="10"/>
  <c r="H300" i="10"/>
  <c r="I300" i="10"/>
  <c r="D301" i="10"/>
  <c r="E301" i="10"/>
  <c r="F301" i="10"/>
  <c r="G301" i="10"/>
  <c r="H301" i="10"/>
  <c r="I301" i="10"/>
  <c r="D302" i="10"/>
  <c r="E302" i="10"/>
  <c r="F302" i="10"/>
  <c r="G302" i="10"/>
  <c r="H302" i="10"/>
  <c r="I302" i="10"/>
  <c r="D303" i="10"/>
  <c r="E303" i="10"/>
  <c r="F303" i="10"/>
  <c r="G303" i="10"/>
  <c r="H303" i="10"/>
  <c r="I303" i="10"/>
  <c r="D304" i="10"/>
  <c r="E304" i="10"/>
  <c r="F304" i="10"/>
  <c r="G304" i="10"/>
  <c r="H304" i="10"/>
  <c r="I304" i="10"/>
  <c r="D305" i="10"/>
  <c r="E305" i="10"/>
  <c r="F305" i="10"/>
  <c r="G305" i="10"/>
  <c r="H305" i="10"/>
  <c r="I305" i="10"/>
  <c r="D306" i="10"/>
  <c r="E306" i="10"/>
  <c r="F306" i="10"/>
  <c r="G306" i="10"/>
  <c r="H306" i="10"/>
  <c r="I306" i="10"/>
  <c r="D307" i="10"/>
  <c r="E307" i="10"/>
  <c r="F307" i="10"/>
  <c r="G307" i="10"/>
  <c r="H307" i="10"/>
  <c r="I307" i="10"/>
  <c r="D308" i="10"/>
  <c r="E308" i="10"/>
  <c r="F308" i="10"/>
  <c r="G308" i="10"/>
  <c r="H308" i="10"/>
  <c r="I308" i="10"/>
  <c r="D309" i="10"/>
  <c r="E309" i="10"/>
  <c r="F309" i="10"/>
  <c r="G309" i="10"/>
  <c r="H309" i="10"/>
  <c r="I309" i="10"/>
  <c r="D310" i="10"/>
  <c r="E310" i="10"/>
  <c r="F310" i="10"/>
  <c r="G310" i="10"/>
  <c r="H310" i="10"/>
  <c r="I310" i="10"/>
  <c r="D311" i="10"/>
  <c r="E311" i="10"/>
  <c r="F311" i="10"/>
  <c r="G311" i="10"/>
  <c r="H311" i="10"/>
  <c r="I311" i="10"/>
  <c r="D312" i="10"/>
  <c r="E312" i="10"/>
  <c r="F312" i="10"/>
  <c r="G312" i="10"/>
  <c r="H312" i="10"/>
  <c r="I312" i="10"/>
  <c r="D313" i="10"/>
  <c r="E313" i="10"/>
  <c r="F313" i="10"/>
  <c r="G313" i="10"/>
  <c r="H313" i="10"/>
  <c r="I313" i="10"/>
  <c r="D314" i="10"/>
  <c r="E314" i="10"/>
  <c r="F314" i="10"/>
  <c r="G314" i="10"/>
  <c r="H314" i="10"/>
  <c r="I314" i="10"/>
  <c r="D315" i="10"/>
  <c r="E315" i="10"/>
  <c r="F315" i="10"/>
  <c r="G315" i="10"/>
  <c r="H315" i="10"/>
  <c r="I315" i="10"/>
  <c r="D316" i="10"/>
  <c r="E316" i="10"/>
  <c r="F316" i="10"/>
  <c r="G316" i="10"/>
  <c r="H316" i="10"/>
  <c r="I316" i="10"/>
  <c r="D317" i="10"/>
  <c r="E317" i="10"/>
  <c r="F317" i="10"/>
  <c r="G317" i="10"/>
  <c r="H317" i="10"/>
  <c r="I317" i="10"/>
  <c r="D318" i="10"/>
  <c r="E318" i="10"/>
  <c r="F318" i="10"/>
  <c r="G318" i="10"/>
  <c r="H318" i="10"/>
  <c r="I318" i="10"/>
  <c r="D319" i="10"/>
  <c r="E319" i="10"/>
  <c r="F319" i="10"/>
  <c r="G319" i="10"/>
  <c r="H319" i="10"/>
  <c r="I319" i="10"/>
  <c r="D320" i="10"/>
  <c r="E320" i="10"/>
  <c r="F320" i="10"/>
  <c r="G320" i="10"/>
  <c r="H320" i="10"/>
  <c r="I320" i="10"/>
  <c r="D321" i="10"/>
  <c r="E321" i="10"/>
  <c r="F321" i="10"/>
  <c r="G321" i="10"/>
  <c r="H321" i="10"/>
  <c r="I321" i="10"/>
  <c r="D322" i="10"/>
  <c r="E322" i="10"/>
  <c r="F322" i="10"/>
  <c r="G322" i="10"/>
  <c r="H322" i="10"/>
  <c r="I322" i="10"/>
  <c r="D323" i="10"/>
  <c r="E323" i="10"/>
  <c r="F323" i="10"/>
  <c r="G323" i="10"/>
  <c r="H323" i="10"/>
  <c r="I323" i="10"/>
  <c r="D324" i="10"/>
  <c r="E324" i="10"/>
  <c r="F324" i="10"/>
  <c r="G324" i="10"/>
  <c r="H324" i="10"/>
  <c r="I324" i="10"/>
  <c r="I34" i="10"/>
  <c r="H34" i="10"/>
  <c r="G34" i="10"/>
  <c r="F34" i="10"/>
  <c r="E34" i="10"/>
  <c r="D34" i="10"/>
  <c r="D4" i="10"/>
  <c r="E4" i="10"/>
  <c r="F4" i="10"/>
  <c r="G4" i="10"/>
  <c r="H4" i="10"/>
  <c r="I4" i="10"/>
  <c r="D5" i="10"/>
  <c r="E5" i="10"/>
  <c r="F5" i="10"/>
  <c r="G5" i="10"/>
  <c r="H5" i="10"/>
  <c r="I5" i="10"/>
  <c r="D6" i="10"/>
  <c r="E6" i="10"/>
  <c r="F6" i="10"/>
  <c r="G6" i="10"/>
  <c r="H6" i="10"/>
  <c r="I6" i="10"/>
  <c r="D7" i="10"/>
  <c r="E7" i="10"/>
  <c r="F7" i="10"/>
  <c r="G7" i="10"/>
  <c r="H7" i="10"/>
  <c r="I7" i="10"/>
  <c r="D8" i="10"/>
  <c r="E8" i="10"/>
  <c r="F8" i="10"/>
  <c r="G8" i="10"/>
  <c r="H8" i="10"/>
  <c r="I8" i="10"/>
  <c r="D9" i="10"/>
  <c r="E9" i="10"/>
  <c r="F9" i="10"/>
  <c r="G9" i="10"/>
  <c r="H9" i="10"/>
  <c r="I9" i="10"/>
  <c r="D10" i="10"/>
  <c r="E10" i="10"/>
  <c r="F10" i="10"/>
  <c r="G10" i="10"/>
  <c r="H10" i="10"/>
  <c r="I10" i="10"/>
  <c r="D11" i="10"/>
  <c r="E11" i="10"/>
  <c r="F11" i="10"/>
  <c r="G11" i="10"/>
  <c r="H11" i="10"/>
  <c r="I11" i="10"/>
  <c r="D12" i="10"/>
  <c r="E12" i="10"/>
  <c r="F12" i="10"/>
  <c r="G12" i="10"/>
  <c r="H12" i="10"/>
  <c r="I12" i="10"/>
  <c r="D13" i="10"/>
  <c r="E13" i="10"/>
  <c r="F13" i="10"/>
  <c r="G13" i="10"/>
  <c r="H13" i="10"/>
  <c r="I13" i="10"/>
  <c r="D14" i="10"/>
  <c r="E14" i="10"/>
  <c r="F14" i="10"/>
  <c r="G14" i="10"/>
  <c r="H14" i="10"/>
  <c r="I14" i="10"/>
  <c r="D15" i="10"/>
  <c r="E15" i="10"/>
  <c r="F15" i="10"/>
  <c r="G15" i="10"/>
  <c r="H15" i="10"/>
  <c r="I15" i="10"/>
  <c r="D16" i="10"/>
  <c r="E16" i="10"/>
  <c r="F16" i="10"/>
  <c r="G16" i="10"/>
  <c r="H16" i="10"/>
  <c r="I16" i="10"/>
  <c r="D17" i="10"/>
  <c r="E17" i="10"/>
  <c r="F17" i="10"/>
  <c r="G17" i="10"/>
  <c r="H17" i="10"/>
  <c r="I17" i="10"/>
  <c r="D18" i="10"/>
  <c r="E18" i="10"/>
  <c r="F18" i="10"/>
  <c r="G18" i="10"/>
  <c r="H18" i="10"/>
  <c r="I18" i="10"/>
  <c r="D19" i="10"/>
  <c r="E19" i="10"/>
  <c r="F19" i="10"/>
  <c r="G19" i="10"/>
  <c r="H19" i="10"/>
  <c r="I19" i="10"/>
  <c r="D20" i="10"/>
  <c r="E20" i="10"/>
  <c r="F20" i="10"/>
  <c r="G20" i="10"/>
  <c r="H20" i="10"/>
  <c r="I20" i="10"/>
  <c r="D21" i="10"/>
  <c r="E21" i="10"/>
  <c r="F21" i="10"/>
  <c r="G21" i="10"/>
  <c r="H21" i="10"/>
  <c r="I21" i="10"/>
  <c r="D22" i="10"/>
  <c r="E22" i="10"/>
  <c r="F22" i="10"/>
  <c r="G22" i="10"/>
  <c r="H22" i="10"/>
  <c r="I22" i="10"/>
  <c r="D23" i="10"/>
  <c r="E23" i="10"/>
  <c r="F23" i="10"/>
  <c r="G23" i="10"/>
  <c r="H23" i="10"/>
  <c r="I23" i="10"/>
  <c r="D24" i="10"/>
  <c r="E24" i="10"/>
  <c r="F24" i="10"/>
  <c r="G24" i="10"/>
  <c r="H24" i="10"/>
  <c r="I24" i="10"/>
  <c r="D25" i="10"/>
  <c r="E25" i="10"/>
  <c r="F25" i="10"/>
  <c r="G25" i="10"/>
  <c r="H25" i="10"/>
  <c r="I25" i="10"/>
  <c r="D26" i="10"/>
  <c r="E26" i="10"/>
  <c r="F26" i="10"/>
  <c r="G26" i="10"/>
  <c r="H26" i="10"/>
  <c r="I26" i="10"/>
  <c r="D27" i="10"/>
  <c r="E27" i="10"/>
  <c r="F27" i="10"/>
  <c r="G27" i="10"/>
  <c r="H27" i="10"/>
  <c r="I27" i="10"/>
  <c r="D28" i="10"/>
  <c r="E28" i="10"/>
  <c r="F28" i="10"/>
  <c r="G28" i="10"/>
  <c r="H28" i="10"/>
  <c r="I28" i="10"/>
  <c r="D29" i="10"/>
  <c r="E29" i="10"/>
  <c r="F29" i="10"/>
  <c r="G29" i="10"/>
  <c r="H29" i="10"/>
  <c r="I29" i="10"/>
  <c r="D30" i="10"/>
  <c r="E30" i="10"/>
  <c r="F30" i="10"/>
  <c r="G30" i="10"/>
  <c r="H30" i="10"/>
  <c r="I30" i="10"/>
  <c r="D31" i="10"/>
  <c r="E31" i="10"/>
  <c r="F31" i="10"/>
  <c r="G31" i="10"/>
  <c r="H31" i="10"/>
  <c r="I31" i="10"/>
  <c r="D32" i="10"/>
  <c r="E32" i="10"/>
  <c r="F32" i="10"/>
  <c r="G32" i="10"/>
  <c r="H32" i="10"/>
  <c r="I32" i="10"/>
  <c r="I3" i="10"/>
  <c r="H3" i="10"/>
  <c r="G3" i="10"/>
  <c r="F3" i="10"/>
  <c r="E3" i="10"/>
  <c r="D3" i="10"/>
  <c r="AE6" i="19" l="1"/>
  <c r="AD6" i="19"/>
  <c r="AC6" i="19"/>
  <c r="Y6" i="19"/>
  <c r="X6" i="19"/>
  <c r="AT6" i="18" s="1"/>
  <c r="W6" i="19"/>
  <c r="V6" i="19"/>
  <c r="U6" i="19"/>
  <c r="T6" i="19"/>
  <c r="S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AE5" i="19"/>
  <c r="AD5" i="19"/>
  <c r="AC5" i="19"/>
  <c r="Y5" i="19"/>
  <c r="X5" i="19"/>
  <c r="AT5" i="18" s="1"/>
  <c r="W5" i="19"/>
  <c r="V5" i="19"/>
  <c r="U5" i="19"/>
  <c r="T5" i="19"/>
  <c r="S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C5" i="19"/>
  <c r="AE4" i="19"/>
  <c r="AD4" i="19"/>
  <c r="AC4" i="19"/>
  <c r="Y4" i="19"/>
  <c r="X4" i="19"/>
  <c r="W4" i="19"/>
  <c r="V4" i="19"/>
  <c r="U4" i="19"/>
  <c r="T4" i="19"/>
  <c r="S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C4" i="19"/>
  <c r="AC36" i="19"/>
  <c r="AC35" i="19"/>
  <c r="AC34" i="19"/>
  <c r="AC33" i="19"/>
  <c r="AC32" i="19"/>
  <c r="AC31" i="19"/>
  <c r="AC30" i="19"/>
  <c r="AC29" i="19"/>
  <c r="AC28" i="19"/>
  <c r="AC27" i="19"/>
  <c r="AC26" i="19"/>
  <c r="AC25" i="19"/>
  <c r="AC24" i="19"/>
  <c r="AC23" i="19"/>
  <c r="AC22" i="19"/>
  <c r="AC21" i="19"/>
  <c r="AC20" i="19"/>
  <c r="AC19" i="19"/>
  <c r="AC18" i="19"/>
  <c r="AC17" i="19"/>
  <c r="AC16" i="19"/>
  <c r="AC15" i="19"/>
  <c r="AC14" i="19"/>
  <c r="AC13" i="19"/>
  <c r="AC12" i="19"/>
  <c r="AC11" i="19"/>
  <c r="AC10" i="19"/>
  <c r="AC9" i="19"/>
  <c r="AC8" i="19"/>
  <c r="AC7" i="19"/>
  <c r="AC33" i="17"/>
  <c r="AC32" i="17"/>
  <c r="AC31" i="17"/>
  <c r="AC30" i="17"/>
  <c r="AC29" i="17"/>
  <c r="AC28" i="17"/>
  <c r="AC27" i="17"/>
  <c r="AC26" i="17"/>
  <c r="AC25" i="17"/>
  <c r="AC24" i="17"/>
  <c r="AC23" i="17"/>
  <c r="AC22" i="17"/>
  <c r="AC21" i="17"/>
  <c r="AC20" i="17"/>
  <c r="AC19" i="17"/>
  <c r="AC18" i="17"/>
  <c r="AC17" i="17"/>
  <c r="AC16" i="17"/>
  <c r="AC15" i="17"/>
  <c r="AC14" i="17"/>
  <c r="AC13" i="17"/>
  <c r="AC12" i="17"/>
  <c r="AC11" i="17"/>
  <c r="AC10" i="17"/>
  <c r="AC9" i="17"/>
  <c r="AC8" i="17"/>
  <c r="AC7" i="17"/>
  <c r="AC6" i="17"/>
  <c r="AC5" i="17"/>
  <c r="AC4" i="17"/>
  <c r="AE36" i="19"/>
  <c r="AD36" i="19"/>
  <c r="Y36" i="19"/>
  <c r="X36" i="19"/>
  <c r="AT36" i="18" s="1"/>
  <c r="W36" i="19"/>
  <c r="V36" i="19"/>
  <c r="U36" i="19"/>
  <c r="T36" i="19"/>
  <c r="S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AE35" i="19"/>
  <c r="AD35" i="19"/>
  <c r="Y35" i="19"/>
  <c r="X35" i="19"/>
  <c r="AT35" i="18" s="1"/>
  <c r="W35" i="19"/>
  <c r="V35" i="19"/>
  <c r="U35" i="19"/>
  <c r="T35" i="19"/>
  <c r="S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AE34" i="19"/>
  <c r="AD34" i="19"/>
  <c r="Y34" i="19"/>
  <c r="X34" i="19"/>
  <c r="AT34" i="18" s="1"/>
  <c r="W34" i="19"/>
  <c r="V34" i="19"/>
  <c r="U34" i="19"/>
  <c r="T34" i="19"/>
  <c r="S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AE33" i="19"/>
  <c r="AD33" i="19"/>
  <c r="Y33" i="19"/>
  <c r="X33" i="19"/>
  <c r="AT33" i="18" s="1"/>
  <c r="W33" i="19"/>
  <c r="V33" i="19"/>
  <c r="U33" i="19"/>
  <c r="T33" i="19"/>
  <c r="S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AE32" i="19"/>
  <c r="AD32" i="19"/>
  <c r="Y32" i="19"/>
  <c r="X32" i="19"/>
  <c r="AT32" i="18" s="1"/>
  <c r="W32" i="19"/>
  <c r="V32" i="19"/>
  <c r="U32" i="19"/>
  <c r="T32" i="19"/>
  <c r="S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AE31" i="19"/>
  <c r="AD31" i="19"/>
  <c r="Y31" i="19"/>
  <c r="X31" i="19"/>
  <c r="AT31" i="18" s="1"/>
  <c r="W31" i="19"/>
  <c r="V31" i="19"/>
  <c r="U31" i="19"/>
  <c r="T31" i="19"/>
  <c r="S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AE30" i="19"/>
  <c r="AD30" i="19"/>
  <c r="Y30" i="19"/>
  <c r="X30" i="19"/>
  <c r="AT30" i="18" s="1"/>
  <c r="W30" i="19"/>
  <c r="V30" i="19"/>
  <c r="U30" i="19"/>
  <c r="T30" i="19"/>
  <c r="S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AE29" i="19"/>
  <c r="AD29" i="19"/>
  <c r="Y29" i="19"/>
  <c r="X29" i="19"/>
  <c r="AT29" i="18" s="1"/>
  <c r="W29" i="19"/>
  <c r="V29" i="19"/>
  <c r="U29" i="19"/>
  <c r="T29" i="19"/>
  <c r="S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AE28" i="19"/>
  <c r="AD28" i="19"/>
  <c r="Y28" i="19"/>
  <c r="X28" i="19"/>
  <c r="AT28" i="18" s="1"/>
  <c r="W28" i="19"/>
  <c r="V28" i="19"/>
  <c r="U28" i="19"/>
  <c r="T28" i="19"/>
  <c r="S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AE27" i="19"/>
  <c r="AD27" i="19"/>
  <c r="Y27" i="19"/>
  <c r="X27" i="19"/>
  <c r="AT27" i="18" s="1"/>
  <c r="W27" i="19"/>
  <c r="V27" i="19"/>
  <c r="U27" i="19"/>
  <c r="T27" i="19"/>
  <c r="S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AE26" i="19"/>
  <c r="AD26" i="19"/>
  <c r="Y26" i="19"/>
  <c r="X26" i="19"/>
  <c r="AT26" i="18" s="1"/>
  <c r="W26" i="19"/>
  <c r="V26" i="19"/>
  <c r="U26" i="19"/>
  <c r="T26" i="19"/>
  <c r="S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AE25" i="19"/>
  <c r="AD25" i="19"/>
  <c r="Y25" i="19"/>
  <c r="X25" i="19"/>
  <c r="AT25" i="18" s="1"/>
  <c r="W25" i="19"/>
  <c r="V25" i="19"/>
  <c r="U25" i="19"/>
  <c r="T25" i="19"/>
  <c r="S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AE24" i="19"/>
  <c r="AD24" i="19"/>
  <c r="Y24" i="19"/>
  <c r="X24" i="19"/>
  <c r="AT24" i="18" s="1"/>
  <c r="W24" i="19"/>
  <c r="V24" i="19"/>
  <c r="U24" i="19"/>
  <c r="T24" i="19"/>
  <c r="S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AE23" i="19"/>
  <c r="AD23" i="19"/>
  <c r="Y23" i="19"/>
  <c r="X23" i="19"/>
  <c r="AT23" i="18" s="1"/>
  <c r="W23" i="19"/>
  <c r="V23" i="19"/>
  <c r="U23" i="19"/>
  <c r="T23" i="19"/>
  <c r="S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AE22" i="19"/>
  <c r="AD22" i="19"/>
  <c r="Y22" i="19"/>
  <c r="X22" i="19"/>
  <c r="AT22" i="18" s="1"/>
  <c r="W22" i="19"/>
  <c r="V22" i="19"/>
  <c r="U22" i="19"/>
  <c r="T22" i="19"/>
  <c r="S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AE21" i="19"/>
  <c r="AD21" i="19"/>
  <c r="Y21" i="19"/>
  <c r="X21" i="19"/>
  <c r="AT21" i="18" s="1"/>
  <c r="W21" i="19"/>
  <c r="V21" i="19"/>
  <c r="U21" i="19"/>
  <c r="T21" i="19"/>
  <c r="S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AE20" i="19"/>
  <c r="AD20" i="19"/>
  <c r="Y20" i="19"/>
  <c r="X20" i="19"/>
  <c r="AT20" i="18" s="1"/>
  <c r="W20" i="19"/>
  <c r="V20" i="19"/>
  <c r="U20" i="19"/>
  <c r="T20" i="19"/>
  <c r="S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AE19" i="19"/>
  <c r="AD19" i="19"/>
  <c r="Y19" i="19"/>
  <c r="X19" i="19"/>
  <c r="AT19" i="18" s="1"/>
  <c r="W19" i="19"/>
  <c r="V19" i="19"/>
  <c r="U19" i="19"/>
  <c r="T19" i="19"/>
  <c r="S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AE18" i="19"/>
  <c r="AD18" i="19"/>
  <c r="Y18" i="19"/>
  <c r="X18" i="19"/>
  <c r="AT18" i="18" s="1"/>
  <c r="W18" i="19"/>
  <c r="V18" i="19"/>
  <c r="U18" i="19"/>
  <c r="T18" i="19"/>
  <c r="S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AE17" i="19"/>
  <c r="AD17" i="19"/>
  <c r="Y17" i="19"/>
  <c r="X17" i="19"/>
  <c r="AT17" i="18" s="1"/>
  <c r="W17" i="19"/>
  <c r="V17" i="19"/>
  <c r="U17" i="19"/>
  <c r="T17" i="19"/>
  <c r="S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AE16" i="19"/>
  <c r="AD16" i="19"/>
  <c r="Y16" i="19"/>
  <c r="X16" i="19"/>
  <c r="AT16" i="18" s="1"/>
  <c r="W16" i="19"/>
  <c r="V16" i="19"/>
  <c r="U16" i="19"/>
  <c r="T16" i="19"/>
  <c r="S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AE15" i="19"/>
  <c r="AD15" i="19"/>
  <c r="Y15" i="19"/>
  <c r="X15" i="19"/>
  <c r="AT15" i="18" s="1"/>
  <c r="W15" i="19"/>
  <c r="V15" i="19"/>
  <c r="U15" i="19"/>
  <c r="T15" i="19"/>
  <c r="S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AE14" i="19"/>
  <c r="AD14" i="19"/>
  <c r="Y14" i="19"/>
  <c r="X14" i="19"/>
  <c r="AT14" i="18" s="1"/>
  <c r="W14" i="19"/>
  <c r="V14" i="19"/>
  <c r="U14" i="19"/>
  <c r="T14" i="19"/>
  <c r="S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AE13" i="19"/>
  <c r="AD13" i="19"/>
  <c r="Y13" i="19"/>
  <c r="X13" i="19"/>
  <c r="AT13" i="18" s="1"/>
  <c r="W13" i="19"/>
  <c r="V13" i="19"/>
  <c r="U13" i="19"/>
  <c r="T13" i="19"/>
  <c r="S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AE12" i="19"/>
  <c r="AD12" i="19"/>
  <c r="Y12" i="19"/>
  <c r="X12" i="19"/>
  <c r="AT12" i="18" s="1"/>
  <c r="W12" i="19"/>
  <c r="V12" i="19"/>
  <c r="U12" i="19"/>
  <c r="T12" i="19"/>
  <c r="S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AE11" i="19"/>
  <c r="AD11" i="19"/>
  <c r="Y11" i="19"/>
  <c r="X11" i="19"/>
  <c r="AT11" i="18" s="1"/>
  <c r="W11" i="19"/>
  <c r="V11" i="19"/>
  <c r="U11" i="19"/>
  <c r="T11" i="19"/>
  <c r="S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AE10" i="19"/>
  <c r="AD10" i="19"/>
  <c r="Y10" i="19"/>
  <c r="X10" i="19"/>
  <c r="AT10" i="18" s="1"/>
  <c r="W10" i="19"/>
  <c r="V10" i="19"/>
  <c r="U10" i="19"/>
  <c r="T10" i="19"/>
  <c r="S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AE9" i="19"/>
  <c r="AD9" i="19"/>
  <c r="Y9" i="19"/>
  <c r="X9" i="19"/>
  <c r="AT9" i="18" s="1"/>
  <c r="W9" i="19"/>
  <c r="V9" i="19"/>
  <c r="U9" i="19"/>
  <c r="T9" i="19"/>
  <c r="S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AE8" i="19"/>
  <c r="AD8" i="19"/>
  <c r="Y8" i="19"/>
  <c r="X8" i="19"/>
  <c r="AT8" i="18" s="1"/>
  <c r="W8" i="19"/>
  <c r="V8" i="19"/>
  <c r="U8" i="19"/>
  <c r="T8" i="19"/>
  <c r="S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AE7" i="19"/>
  <c r="AD7" i="19"/>
  <c r="Y7" i="19"/>
  <c r="X7" i="19"/>
  <c r="AT7" i="18" s="1"/>
  <c r="W7" i="19"/>
  <c r="V7" i="19"/>
  <c r="U7" i="19"/>
  <c r="T7" i="19"/>
  <c r="S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B1" i="18"/>
  <c r="C1" i="18" s="1"/>
  <c r="D1" i="18" s="1"/>
  <c r="E1" i="18" s="1"/>
  <c r="F1" i="18" s="1"/>
  <c r="G1" i="18" s="1"/>
  <c r="H1" i="18" s="1"/>
  <c r="I1" i="18" s="1"/>
  <c r="J1" i="18" s="1"/>
  <c r="K1" i="18" s="1"/>
  <c r="L1" i="18" s="1"/>
  <c r="M1" i="18" s="1"/>
  <c r="N1" i="18" s="1"/>
  <c r="O1" i="18" s="1"/>
  <c r="P1" i="18" s="1"/>
  <c r="Q1" i="18" s="1"/>
  <c r="R1" i="18" s="1"/>
  <c r="S1" i="18" s="1"/>
  <c r="T1" i="18" s="1"/>
  <c r="U1" i="18" s="1"/>
  <c r="V1" i="18" s="1"/>
  <c r="W1" i="18" s="1"/>
  <c r="X1" i="18" s="1"/>
  <c r="Y1" i="18" s="1"/>
  <c r="Z1" i="18" s="1"/>
  <c r="AA1" i="18" s="1"/>
  <c r="AB1" i="18" s="1"/>
  <c r="AC1" i="18" s="1"/>
  <c r="AD1" i="18" s="1"/>
  <c r="AE1" i="18" s="1"/>
  <c r="AF1" i="18" s="1"/>
  <c r="AG1" i="18" s="1"/>
  <c r="AH1" i="18" s="1"/>
  <c r="AI1" i="18" s="1"/>
  <c r="AJ1" i="18" s="1"/>
  <c r="AK1" i="18" s="1"/>
  <c r="AL1" i="18" s="1"/>
  <c r="AM1" i="18" s="1"/>
  <c r="AN1" i="18" s="1"/>
  <c r="AO1" i="18" s="1"/>
  <c r="AP1" i="18" s="1"/>
  <c r="AQ1" i="18" s="1"/>
  <c r="AR1" i="18" s="1"/>
  <c r="AS1" i="18" s="1"/>
  <c r="R25" i="19" l="1"/>
  <c r="R28" i="19"/>
  <c r="AR28" i="18" s="1"/>
  <c r="Z33" i="19"/>
  <c r="AA33" i="19" s="1"/>
  <c r="Z9" i="19"/>
  <c r="AA9" i="19" s="1"/>
  <c r="N37" i="19"/>
  <c r="O37" i="19"/>
  <c r="P37" i="19"/>
  <c r="Q37" i="19"/>
  <c r="Z10" i="19"/>
  <c r="AA10" i="19" s="1"/>
  <c r="S37" i="19"/>
  <c r="T37" i="19"/>
  <c r="R22" i="19"/>
  <c r="Z17" i="19"/>
  <c r="AA17" i="19" s="1"/>
  <c r="R18" i="19"/>
  <c r="Z19" i="19"/>
  <c r="AA19" i="19" s="1"/>
  <c r="R32" i="19"/>
  <c r="AR32" i="18" s="1"/>
  <c r="D37" i="19"/>
  <c r="U37" i="19"/>
  <c r="AR25" i="18"/>
  <c r="E37" i="19"/>
  <c r="V37" i="19"/>
  <c r="Z6" i="19"/>
  <c r="AA6" i="19" s="1"/>
  <c r="W37" i="19"/>
  <c r="AR6" i="18"/>
  <c r="Z25" i="19"/>
  <c r="AA25" i="19" s="1"/>
  <c r="G37" i="19"/>
  <c r="AT4" i="18"/>
  <c r="AT37" i="18" s="1"/>
  <c r="H37" i="19"/>
  <c r="Y37" i="19"/>
  <c r="R34" i="19"/>
  <c r="AR34" i="18" s="1"/>
  <c r="I37" i="19"/>
  <c r="R9" i="19"/>
  <c r="AR9" i="18" s="1"/>
  <c r="R15" i="19"/>
  <c r="AR15" i="18" s="1"/>
  <c r="K37" i="19"/>
  <c r="Z14" i="19"/>
  <c r="AA14" i="19" s="1"/>
  <c r="L37" i="19"/>
  <c r="R6" i="19"/>
  <c r="AR18" i="18"/>
  <c r="AR22" i="18"/>
  <c r="Z26" i="19"/>
  <c r="AA26" i="19" s="1"/>
  <c r="Z30" i="19"/>
  <c r="AA30" i="19" s="1"/>
  <c r="M37" i="19"/>
  <c r="Z23" i="19"/>
  <c r="AA23" i="19" s="1"/>
  <c r="R24" i="19"/>
  <c r="AR24" i="18" s="1"/>
  <c r="Z36" i="19"/>
  <c r="AA36" i="19" s="1"/>
  <c r="R26" i="19"/>
  <c r="R35" i="19"/>
  <c r="AR35" i="18" s="1"/>
  <c r="R11" i="19"/>
  <c r="R30" i="19"/>
  <c r="J37" i="19"/>
  <c r="Z16" i="19"/>
  <c r="AA16" i="19" s="1"/>
  <c r="Z29" i="19"/>
  <c r="AA29" i="19" s="1"/>
  <c r="X37" i="19"/>
  <c r="Z37" i="19" s="1"/>
  <c r="R21" i="19"/>
  <c r="Z35" i="19"/>
  <c r="AA35" i="19" s="1"/>
  <c r="F37" i="19"/>
  <c r="R8" i="19"/>
  <c r="Z20" i="19"/>
  <c r="AA20" i="19" s="1"/>
  <c r="Z22" i="19"/>
  <c r="AA22" i="19" s="1"/>
  <c r="R23" i="19"/>
  <c r="R10" i="19"/>
  <c r="R12" i="19"/>
  <c r="R14" i="19"/>
  <c r="R27" i="19"/>
  <c r="Z13" i="19"/>
  <c r="AA13" i="19" s="1"/>
  <c r="R16" i="19"/>
  <c r="R29" i="19"/>
  <c r="R33" i="19"/>
  <c r="R4" i="19"/>
  <c r="AR4" i="18" s="1"/>
  <c r="Z32" i="19"/>
  <c r="AA32" i="19" s="1"/>
  <c r="R31" i="19"/>
  <c r="Z5" i="19"/>
  <c r="AA5" i="19" s="1"/>
  <c r="R5" i="19"/>
  <c r="AR5" i="18" s="1"/>
  <c r="R7" i="19"/>
  <c r="R19" i="19"/>
  <c r="Z12" i="19"/>
  <c r="AA12" i="19" s="1"/>
  <c r="R13" i="19"/>
  <c r="R20" i="19"/>
  <c r="Z28" i="19"/>
  <c r="AA28" i="19" s="1"/>
  <c r="R36" i="19"/>
  <c r="AR36" i="18" s="1"/>
  <c r="R17" i="19"/>
  <c r="AR17" i="18" s="1"/>
  <c r="Z11" i="19"/>
  <c r="AA11" i="19" s="1"/>
  <c r="Z27" i="19"/>
  <c r="AA27" i="19" s="1"/>
  <c r="Z8" i="19"/>
  <c r="AA8" i="19" s="1"/>
  <c r="Z24" i="19"/>
  <c r="AA24" i="19" s="1"/>
  <c r="Z21" i="19"/>
  <c r="AA21" i="19" s="1"/>
  <c r="Z18" i="19"/>
  <c r="AA18" i="19" s="1"/>
  <c r="Z34" i="19"/>
  <c r="AA34" i="19" s="1"/>
  <c r="Z4" i="19"/>
  <c r="AA4" i="19" s="1"/>
  <c r="Z15" i="19"/>
  <c r="AA15" i="19" s="1"/>
  <c r="Z31" i="19"/>
  <c r="AA31" i="19" s="1"/>
  <c r="Z7" i="19"/>
  <c r="AA7" i="19" s="1"/>
  <c r="T4" i="15"/>
  <c r="T4" i="17" s="1"/>
  <c r="AC5" i="15"/>
  <c r="AC6" i="15"/>
  <c r="AC7" i="15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4" i="15"/>
  <c r="AE33" i="17"/>
  <c r="AD33" i="17"/>
  <c r="J33" i="17"/>
  <c r="AE32" i="17"/>
  <c r="AD32" i="17"/>
  <c r="J32" i="17"/>
  <c r="AE31" i="17"/>
  <c r="AD31" i="17"/>
  <c r="J31" i="17"/>
  <c r="AE30" i="17"/>
  <c r="AD30" i="17"/>
  <c r="J30" i="17"/>
  <c r="AE29" i="17"/>
  <c r="AD29" i="17"/>
  <c r="J29" i="17"/>
  <c r="AE28" i="17"/>
  <c r="AD28" i="17"/>
  <c r="J28" i="17"/>
  <c r="AE27" i="17"/>
  <c r="AD27" i="17"/>
  <c r="J27" i="17"/>
  <c r="AE26" i="17"/>
  <c r="AD26" i="17"/>
  <c r="J26" i="17"/>
  <c r="AE25" i="17"/>
  <c r="AD25" i="17"/>
  <c r="J25" i="17"/>
  <c r="AE24" i="17"/>
  <c r="AD24" i="17"/>
  <c r="J24" i="17"/>
  <c r="AE23" i="17"/>
  <c r="AD23" i="17"/>
  <c r="J23" i="17"/>
  <c r="AE22" i="17"/>
  <c r="AD22" i="17"/>
  <c r="J22" i="17"/>
  <c r="AE21" i="17"/>
  <c r="AD21" i="17"/>
  <c r="J21" i="17"/>
  <c r="AE20" i="17"/>
  <c r="AD20" i="17"/>
  <c r="J20" i="17"/>
  <c r="AE19" i="17"/>
  <c r="AD19" i="17"/>
  <c r="J19" i="17"/>
  <c r="AE18" i="17"/>
  <c r="AD18" i="17"/>
  <c r="J18" i="17"/>
  <c r="AE17" i="17"/>
  <c r="AD17" i="17"/>
  <c r="J17" i="17"/>
  <c r="AE16" i="17"/>
  <c r="AD16" i="17"/>
  <c r="J16" i="17"/>
  <c r="AE15" i="17"/>
  <c r="AD15" i="17"/>
  <c r="J15" i="17"/>
  <c r="AE14" i="17"/>
  <c r="AD14" i="17"/>
  <c r="J14" i="17"/>
  <c r="AE13" i="17"/>
  <c r="AD13" i="17"/>
  <c r="J13" i="17"/>
  <c r="AE12" i="17"/>
  <c r="AD12" i="17"/>
  <c r="J12" i="17"/>
  <c r="AE11" i="17"/>
  <c r="AD11" i="17"/>
  <c r="J11" i="17"/>
  <c r="AE10" i="17"/>
  <c r="AD10" i="17"/>
  <c r="J10" i="17"/>
  <c r="AE9" i="17"/>
  <c r="AD9" i="17"/>
  <c r="J9" i="17"/>
  <c r="AE8" i="17"/>
  <c r="AD8" i="17"/>
  <c r="J8" i="17"/>
  <c r="AE7" i="17"/>
  <c r="AD7" i="17"/>
  <c r="J7" i="17"/>
  <c r="AE6" i="17"/>
  <c r="AD6" i="17"/>
  <c r="J6" i="17"/>
  <c r="AE5" i="17"/>
  <c r="AD5" i="17"/>
  <c r="J5" i="17"/>
  <c r="AE4" i="17"/>
  <c r="AD4" i="17"/>
  <c r="J4" i="17"/>
  <c r="B1" i="16"/>
  <c r="C1" i="16" s="1"/>
  <c r="D1" i="16" s="1"/>
  <c r="E1" i="16" s="1"/>
  <c r="F1" i="16" s="1"/>
  <c r="G1" i="16" s="1"/>
  <c r="H1" i="16" s="1"/>
  <c r="I1" i="16" s="1"/>
  <c r="J1" i="16" s="1"/>
  <c r="K1" i="16" s="1"/>
  <c r="L1" i="16" s="1"/>
  <c r="M1" i="16" s="1"/>
  <c r="N1" i="16" s="1"/>
  <c r="O1" i="16" s="1"/>
  <c r="P1" i="16" s="1"/>
  <c r="Q1" i="16" s="1"/>
  <c r="R1" i="16" s="1"/>
  <c r="S1" i="16" s="1"/>
  <c r="T1" i="16" s="1"/>
  <c r="U1" i="16" s="1"/>
  <c r="V1" i="16" s="1"/>
  <c r="W1" i="16" s="1"/>
  <c r="X1" i="16" s="1"/>
  <c r="Y1" i="16" s="1"/>
  <c r="Z1" i="16" s="1"/>
  <c r="AA1" i="16" s="1"/>
  <c r="AB1" i="16" s="1"/>
  <c r="AC1" i="16" s="1"/>
  <c r="AD1" i="16" s="1"/>
  <c r="AE1" i="16" s="1"/>
  <c r="AF1" i="16" s="1"/>
  <c r="AG1" i="16" s="1"/>
  <c r="AH1" i="16" s="1"/>
  <c r="AI1" i="16" s="1"/>
  <c r="AJ1" i="16" s="1"/>
  <c r="AK1" i="16" s="1"/>
  <c r="AL1" i="16" s="1"/>
  <c r="AM1" i="16" s="1"/>
  <c r="AN1" i="16" s="1"/>
  <c r="AO1" i="16" s="1"/>
  <c r="AP1" i="16" s="1"/>
  <c r="AQ1" i="16" s="1"/>
  <c r="AR1" i="16" s="1"/>
  <c r="AS1" i="16" s="1"/>
  <c r="AA37" i="19" l="1"/>
  <c r="AL8" i="19"/>
  <c r="AL24" i="19"/>
  <c r="AL9" i="19"/>
  <c r="AL25" i="19"/>
  <c r="AL10" i="19"/>
  <c r="AL26" i="19"/>
  <c r="AL11" i="19"/>
  <c r="AL27" i="19"/>
  <c r="AL12" i="19"/>
  <c r="AL28" i="19"/>
  <c r="AL13" i="19"/>
  <c r="AL29" i="19"/>
  <c r="AL14" i="19"/>
  <c r="AL30" i="19"/>
  <c r="AL15" i="19"/>
  <c r="AL31" i="19"/>
  <c r="AL16" i="19"/>
  <c r="AL32" i="19"/>
  <c r="AL17" i="19"/>
  <c r="AL33" i="19"/>
  <c r="AL18" i="19"/>
  <c r="AL34" i="19"/>
  <c r="AL19" i="19"/>
  <c r="AL35" i="19"/>
  <c r="AL4" i="19"/>
  <c r="AL20" i="19"/>
  <c r="AL36" i="19"/>
  <c r="AL5" i="19"/>
  <c r="AL21" i="19"/>
  <c r="AL6" i="19"/>
  <c r="AL22" i="19"/>
  <c r="AL7" i="19"/>
  <c r="AL23" i="19"/>
  <c r="AR23" i="18"/>
  <c r="AB37" i="19"/>
  <c r="AC37" i="19" s="1"/>
  <c r="AR19" i="18"/>
  <c r="AR20" i="18"/>
  <c r="AR13" i="18"/>
  <c r="AR7" i="18"/>
  <c r="AR26" i="18"/>
  <c r="AR16" i="18"/>
  <c r="AR14" i="18"/>
  <c r="AR33" i="18"/>
  <c r="AR12" i="18"/>
  <c r="AR31" i="18"/>
  <c r="AR29" i="18"/>
  <c r="AR11" i="18"/>
  <c r="AR27" i="18"/>
  <c r="AR21" i="18"/>
  <c r="AR30" i="18"/>
  <c r="AR10" i="18"/>
  <c r="AR8" i="18"/>
  <c r="R37" i="19"/>
  <c r="J34" i="17"/>
  <c r="AL37" i="19" l="1"/>
  <c r="B53" i="19" s="1"/>
  <c r="D53" i="15" s="1"/>
  <c r="AR69" i="16" a="1"/>
  <c r="AR69" i="16" s="1"/>
  <c r="AR192" i="16" a="1"/>
  <c r="AR192" i="16" s="1"/>
  <c r="AR144" i="16" a="1"/>
  <c r="AR144" i="16" s="1"/>
  <c r="AR194" i="16" a="1"/>
  <c r="AR194" i="16" s="1"/>
  <c r="AR89" i="16" a="1"/>
  <c r="AR89" i="16" s="1"/>
  <c r="AR273" i="16" a="1"/>
  <c r="AR273" i="16" s="1"/>
  <c r="AR46" i="16" a="1"/>
  <c r="AR46" i="16" s="1"/>
  <c r="AR175" i="16" a="1"/>
  <c r="AR175" i="16" s="1"/>
  <c r="AR151" i="16" a="1"/>
  <c r="AR151" i="16" s="1"/>
  <c r="AR158" i="16" a="1"/>
  <c r="AR158" i="16" s="1"/>
  <c r="AR47" i="16" a="1"/>
  <c r="AR47" i="16" s="1"/>
  <c r="AR64" i="16" a="1"/>
  <c r="AR64" i="16" s="1"/>
  <c r="AR189" i="16" a="1"/>
  <c r="AR189" i="16" s="1"/>
  <c r="AR244" i="16" a="1"/>
  <c r="AR244" i="16" s="1"/>
  <c r="AR93" i="16" a="1"/>
  <c r="AR93" i="16" s="1"/>
  <c r="AR65" i="16" a="1"/>
  <c r="AR65" i="16" s="1"/>
  <c r="AR315" i="16" a="1"/>
  <c r="AR315" i="16" s="1"/>
  <c r="AR247" i="16" a="1"/>
  <c r="AR247" i="16" s="1"/>
  <c r="AR200" i="16" a="1"/>
  <c r="AR200" i="16" s="1"/>
  <c r="AR221" i="16" a="1"/>
  <c r="AR221" i="16" s="1"/>
  <c r="AR272" i="16" a="1"/>
  <c r="AR272" i="16" s="1"/>
  <c r="AR97" i="16" a="1"/>
  <c r="AR97" i="16" s="1"/>
  <c r="AR111" i="16" a="1"/>
  <c r="AR111" i="16" s="1"/>
  <c r="AR116" i="16" a="1"/>
  <c r="AR116" i="16" s="1"/>
  <c r="AR198" i="16" a="1"/>
  <c r="AR198" i="16" s="1"/>
  <c r="AR127" i="16" a="1"/>
  <c r="AR127" i="16" s="1"/>
  <c r="AR208" i="16" a="1"/>
  <c r="AR208" i="16" s="1"/>
  <c r="AR114" i="16" a="1"/>
  <c r="AR114" i="16" s="1"/>
  <c r="AR174" i="16" a="1"/>
  <c r="AR174" i="16" s="1"/>
  <c r="AR149" i="16" a="1"/>
  <c r="AR149" i="16" s="1"/>
  <c r="AR125" i="16" a="1"/>
  <c r="AR125" i="16" s="1"/>
  <c r="AR154" i="16" a="1"/>
  <c r="AR154" i="16" s="1"/>
  <c r="AR190" i="16" a="1"/>
  <c r="AR190" i="16" s="1"/>
  <c r="AR205" i="16" a="1"/>
  <c r="AR205" i="16" s="1"/>
  <c r="AR187" i="16" a="1"/>
  <c r="AR187" i="16" s="1"/>
  <c r="AR129" i="16" a="1"/>
  <c r="AR129" i="16" s="1"/>
  <c r="AR181" i="16" a="1"/>
  <c r="AR181" i="16" s="1"/>
  <c r="AR38" i="16" a="1"/>
  <c r="AR38" i="16" s="1"/>
  <c r="AR110" i="16" a="1"/>
  <c r="AR110" i="16" s="1"/>
  <c r="AR117" i="16" a="1"/>
  <c r="AR117" i="16" s="1"/>
  <c r="AR298" i="16" a="1"/>
  <c r="AR298" i="16" s="1"/>
  <c r="AR231" i="16" a="1"/>
  <c r="AR231" i="16" s="1"/>
  <c r="AR45" i="16" a="1"/>
  <c r="AR45" i="16" s="1"/>
  <c r="AR143" i="16" a="1"/>
  <c r="AR143" i="16" s="1"/>
  <c r="AR59" i="16" a="1"/>
  <c r="AR59" i="16" s="1"/>
  <c r="AR210" i="16" a="1"/>
  <c r="AR210" i="16" s="1"/>
  <c r="AR128" i="16" a="1"/>
  <c r="AR128" i="16" s="1"/>
  <c r="AR286" i="16" a="1"/>
  <c r="AR286" i="16" s="1"/>
  <c r="AR249" i="16" a="1"/>
  <c r="AR249" i="16" s="1"/>
  <c r="AR311" i="16" a="1"/>
  <c r="AR311" i="16" s="1"/>
  <c r="AR256" i="16" a="1"/>
  <c r="AR256" i="16" s="1"/>
  <c r="AR289" i="16" a="1"/>
  <c r="AR289" i="16" s="1"/>
  <c r="AR291" i="16" a="1"/>
  <c r="AR291" i="16" s="1"/>
  <c r="AR118" i="16" a="1"/>
  <c r="AR118" i="16" s="1"/>
  <c r="AR83" i="16" a="1"/>
  <c r="AR83" i="16" s="1"/>
  <c r="AR204" i="16" a="1"/>
  <c r="AR204" i="16" s="1"/>
  <c r="AR157" i="16" a="1"/>
  <c r="AR157" i="16" s="1"/>
  <c r="AR100" i="16" a="1"/>
  <c r="AR100" i="16" s="1"/>
  <c r="AR275" i="16" a="1"/>
  <c r="AR275" i="16" s="1"/>
  <c r="AR57" i="16" a="1"/>
  <c r="AR57" i="16" s="1"/>
  <c r="AR87" i="16" a="1"/>
  <c r="AR87" i="16" s="1"/>
  <c r="AR248" i="16" a="1"/>
  <c r="AR248" i="16" s="1"/>
  <c r="AR86" i="16" a="1"/>
  <c r="AR86" i="16" s="1"/>
  <c r="AR264" i="16" a="1"/>
  <c r="AR264" i="16" s="1"/>
  <c r="AR36" i="16" a="1"/>
  <c r="AR36" i="16" s="1"/>
  <c r="AR177" i="16" a="1"/>
  <c r="AR177" i="16" s="1"/>
  <c r="AR219" i="16" a="1"/>
  <c r="AR219" i="16" s="1"/>
  <c r="AR306" i="16" a="1"/>
  <c r="AR306" i="16" s="1"/>
  <c r="AR141" i="16" a="1"/>
  <c r="AR141" i="16" s="1"/>
  <c r="AR56" i="16" a="1"/>
  <c r="AR56" i="16" s="1"/>
  <c r="AR314" i="16" a="1"/>
  <c r="AR314" i="16" s="1"/>
  <c r="AR44" i="16" a="1"/>
  <c r="AR44" i="16" s="1"/>
  <c r="AR220" i="16" a="1"/>
  <c r="AR220" i="16" s="1"/>
  <c r="AR316" i="16" a="1"/>
  <c r="AR316" i="16" s="1"/>
  <c r="AR80" i="16" a="1"/>
  <c r="AR80" i="16" s="1"/>
  <c r="AR55" i="16" a="1"/>
  <c r="AR55" i="16" s="1"/>
  <c r="AR202" i="16" a="1"/>
  <c r="AR202" i="16" s="1"/>
  <c r="AR162" i="16" a="1"/>
  <c r="AR162" i="16" s="1"/>
  <c r="AR146" i="16" a="1"/>
  <c r="AR146" i="16" s="1"/>
  <c r="AR68" i="16" a="1"/>
  <c r="AR68" i="16" s="1"/>
  <c r="AR253" i="16" a="1"/>
  <c r="AR253" i="16" s="1"/>
  <c r="AR105" i="16" a="1"/>
  <c r="AR105" i="16" s="1"/>
  <c r="AR282" i="16" a="1"/>
  <c r="AR282" i="16" s="1"/>
  <c r="AR199" i="16" a="1"/>
  <c r="AR199" i="16" s="1"/>
  <c r="AR292" i="16" a="1"/>
  <c r="AR292" i="16" s="1"/>
  <c r="AR322" i="16" a="1"/>
  <c r="AR322" i="16" s="1"/>
  <c r="AR52" i="16" a="1"/>
  <c r="AR52" i="16" s="1"/>
  <c r="AR310" i="16" a="1"/>
  <c r="AR310" i="16" s="1"/>
  <c r="AR61" i="16" a="1"/>
  <c r="AR61" i="16" s="1"/>
  <c r="AR276" i="16" a="1"/>
  <c r="AR276" i="16" s="1"/>
  <c r="AR156" i="16" a="1"/>
  <c r="AR156" i="16" s="1"/>
  <c r="AR176" i="16" a="1"/>
  <c r="AR176" i="16" s="1"/>
  <c r="AR320" i="16" a="1"/>
  <c r="AR320" i="16" s="1"/>
  <c r="AR188" i="16" a="1"/>
  <c r="AR188" i="16" s="1"/>
  <c r="AR223" i="16" a="1"/>
  <c r="AR223" i="16" s="1"/>
  <c r="AR95" i="16" a="1"/>
  <c r="AR95" i="16" s="1"/>
  <c r="AR297" i="16" a="1"/>
  <c r="AR297" i="16" s="1"/>
  <c r="AR201" i="16" a="1"/>
  <c r="AR201" i="16" s="1"/>
  <c r="AR184" i="16" a="1"/>
  <c r="AR184" i="16" s="1"/>
  <c r="AR303" i="16" a="1"/>
  <c r="AR303" i="16" s="1"/>
  <c r="AR257" i="16" a="1"/>
  <c r="AR257" i="16" s="1"/>
  <c r="AR182" i="16" a="1"/>
  <c r="AR182" i="16" s="1"/>
  <c r="AR236" i="16" a="1"/>
  <c r="AR236" i="16" s="1"/>
  <c r="AR260" i="16" a="1"/>
  <c r="AR260" i="16" s="1"/>
  <c r="AR169" i="16" a="1"/>
  <c r="AR169" i="16" s="1"/>
  <c r="AR112" i="16" a="1"/>
  <c r="AR112" i="16" s="1"/>
  <c r="AR274" i="16" a="1"/>
  <c r="AR274" i="16" s="1"/>
  <c r="AR77" i="16" a="1"/>
  <c r="AR77" i="16" s="1"/>
  <c r="AR294" i="16" a="1"/>
  <c r="AR294" i="16" s="1"/>
  <c r="AR140" i="16" a="1"/>
  <c r="AR140" i="16" s="1"/>
  <c r="AR259" i="16" a="1"/>
  <c r="AR259" i="16" s="1"/>
  <c r="AR78" i="16" a="1"/>
  <c r="AR78" i="16" s="1"/>
  <c r="AR254" i="16" a="1"/>
  <c r="AR254" i="16" s="1"/>
  <c r="AR271" i="16" a="1"/>
  <c r="AR271" i="16" s="1"/>
  <c r="AR161" i="16" a="1"/>
  <c r="AR161" i="16" s="1"/>
  <c r="AR145" i="16" a="1"/>
  <c r="AR145" i="16" s="1"/>
  <c r="AR122" i="16" a="1"/>
  <c r="AR122" i="16" s="1"/>
  <c r="AR91" i="16" a="1"/>
  <c r="AR91" i="16" s="1"/>
  <c r="AR60" i="16" a="1"/>
  <c r="AR60" i="16" s="1"/>
  <c r="AR163" i="16" a="1"/>
  <c r="AR163" i="16" s="1"/>
  <c r="AR235" i="16" a="1"/>
  <c r="AR235" i="16" s="1"/>
  <c r="AR290" i="16" a="1"/>
  <c r="AR290" i="16" s="1"/>
  <c r="AR96" i="16" a="1"/>
  <c r="AR96" i="16" s="1"/>
  <c r="AR217" i="16" a="1"/>
  <c r="AR217" i="16" s="1"/>
  <c r="AR227" i="16" a="1"/>
  <c r="AR227" i="16" s="1"/>
  <c r="AR308" i="16" a="1"/>
  <c r="AR308" i="16" s="1"/>
  <c r="AR312" i="16" a="1"/>
  <c r="AR312" i="16" s="1"/>
  <c r="AR159" i="16" a="1"/>
  <c r="AR159" i="16" s="1"/>
  <c r="AR285" i="16" a="1"/>
  <c r="AR285" i="16" s="1"/>
  <c r="AR42" i="16" a="1"/>
  <c r="AR42" i="16" s="1"/>
  <c r="AR85" i="16" a="1"/>
  <c r="AR85" i="16" s="1"/>
  <c r="AR70" i="16" a="1"/>
  <c r="AR70" i="16" s="1"/>
  <c r="AR66" i="16" a="1"/>
  <c r="AR66" i="16" s="1"/>
  <c r="AR121" i="16" a="1"/>
  <c r="AR121" i="16" s="1"/>
  <c r="AR242" i="16" a="1"/>
  <c r="AR242" i="16" s="1"/>
  <c r="AR239" i="16" a="1"/>
  <c r="AR239" i="16" s="1"/>
  <c r="AR325" i="16" a="1"/>
  <c r="AR325" i="16" s="1"/>
  <c r="AR218" i="16" a="1"/>
  <c r="AR218" i="16" s="1"/>
  <c r="AR51" i="16" a="1"/>
  <c r="AR51" i="16" s="1"/>
  <c r="AR313" i="16" a="1"/>
  <c r="AR313" i="16" s="1"/>
  <c r="AR79" i="16" a="1"/>
  <c r="AR79" i="16" s="1"/>
  <c r="AR226" i="16" a="1"/>
  <c r="AR226" i="16" s="1"/>
  <c r="AR296" i="16" a="1"/>
  <c r="AR296" i="16" s="1"/>
  <c r="AR301" i="16" a="1"/>
  <c r="AR301" i="16" s="1"/>
  <c r="AR84" i="16" a="1"/>
  <c r="AR84" i="16" s="1"/>
  <c r="AR233" i="16" a="1"/>
  <c r="AR233" i="16" s="1"/>
  <c r="AR136" i="16" a="1"/>
  <c r="AR136" i="16" s="1"/>
  <c r="AR120" i="16" a="1"/>
  <c r="AR120" i="16" s="1"/>
  <c r="AR250" i="16" a="1"/>
  <c r="AR250" i="16" s="1"/>
  <c r="AR293" i="16" a="1"/>
  <c r="AR293" i="16" s="1"/>
  <c r="AR240" i="16" a="1"/>
  <c r="AR240" i="16" s="1"/>
  <c r="AR104" i="16" a="1"/>
  <c r="AR104" i="16" s="1"/>
  <c r="AR53" i="16" a="1"/>
  <c r="AR53" i="16" s="1"/>
  <c r="AR261" i="16" a="1"/>
  <c r="AR261" i="16" s="1"/>
  <c r="AR295" i="16" a="1"/>
  <c r="AR295" i="16" s="1"/>
  <c r="AR278" i="16" a="1"/>
  <c r="AR278" i="16" s="1"/>
  <c r="AR88" i="16" a="1"/>
  <c r="AR88" i="16" s="1"/>
  <c r="AR258" i="16" a="1"/>
  <c r="AR258" i="16" s="1"/>
  <c r="AR48" i="16" a="1"/>
  <c r="AR48" i="16" s="1"/>
  <c r="AR37" i="16" a="1"/>
  <c r="AR37" i="16" s="1"/>
  <c r="AR317" i="16" a="1"/>
  <c r="AR317" i="16" s="1"/>
  <c r="AR280" i="16" a="1"/>
  <c r="AR280" i="16" s="1"/>
  <c r="AR103" i="16" a="1"/>
  <c r="AR103" i="16" s="1"/>
  <c r="AR299" i="16" a="1"/>
  <c r="AR299" i="16" s="1"/>
  <c r="AR148" i="16" a="1"/>
  <c r="AR148" i="16" s="1"/>
  <c r="AR246" i="16" a="1"/>
  <c r="AR246" i="16" s="1"/>
  <c r="AR268" i="16" a="1"/>
  <c r="AR268" i="16" s="1"/>
  <c r="AR58" i="16" a="1"/>
  <c r="AR58" i="16" s="1"/>
  <c r="AR255" i="16" a="1"/>
  <c r="AR255" i="16" s="1"/>
  <c r="AR186" i="16" a="1"/>
  <c r="AR186" i="16" s="1"/>
  <c r="AR266" i="16" a="1"/>
  <c r="AR266" i="16" s="1"/>
  <c r="AR284" i="16" a="1"/>
  <c r="AR284" i="16" s="1"/>
  <c r="AR212" i="16" a="1"/>
  <c r="AR212" i="16" s="1"/>
  <c r="AR135" i="16" a="1"/>
  <c r="AR135" i="16" s="1"/>
  <c r="AR183" i="16" a="1"/>
  <c r="AR183" i="16" s="1"/>
  <c r="AR63" i="16" a="1"/>
  <c r="AR63" i="16" s="1"/>
  <c r="AR165" i="16" a="1"/>
  <c r="AR165" i="16" s="1"/>
  <c r="AR76" i="16" a="1"/>
  <c r="AR76" i="16" s="1"/>
  <c r="AR288" i="16" a="1"/>
  <c r="AR288" i="16" s="1"/>
  <c r="AR108" i="16" a="1"/>
  <c r="AR108" i="16" s="1"/>
  <c r="AR107" i="16" a="1"/>
  <c r="AR107" i="16" s="1"/>
  <c r="AR262" i="16" a="1"/>
  <c r="AR262" i="16" s="1"/>
  <c r="AR203" i="16" a="1"/>
  <c r="AR203" i="16" s="1"/>
  <c r="AR147" i="16" a="1"/>
  <c r="AR147" i="16" s="1"/>
  <c r="AR142" i="16" a="1"/>
  <c r="AR142" i="16" s="1"/>
  <c r="AR245" i="16" a="1"/>
  <c r="AR245" i="16" s="1"/>
  <c r="AR71" i="16" a="1"/>
  <c r="AR71" i="16" s="1"/>
  <c r="AR152" i="16" a="1"/>
  <c r="AR152" i="16" s="1"/>
  <c r="AR102" i="16" a="1"/>
  <c r="AR102" i="16" s="1"/>
  <c r="AR39" i="16" a="1"/>
  <c r="AR39" i="16" s="1"/>
  <c r="AR168" i="16" a="1"/>
  <c r="AR168" i="16" s="1"/>
  <c r="AR237" i="16" a="1"/>
  <c r="AR237" i="16" s="1"/>
  <c r="AR54" i="16" a="1"/>
  <c r="AR54" i="16" s="1"/>
  <c r="AR139" i="16" a="1"/>
  <c r="AR139" i="16" s="1"/>
  <c r="AR300" i="16" a="1"/>
  <c r="AR300" i="16" s="1"/>
  <c r="AR73" i="16" a="1"/>
  <c r="AR73" i="16" s="1"/>
  <c r="AR323" i="16" a="1"/>
  <c r="AR323" i="16" s="1"/>
  <c r="AR41" i="16" a="1"/>
  <c r="AR41" i="16" s="1"/>
  <c r="AR324" i="16" a="1"/>
  <c r="AR324" i="16" s="1"/>
  <c r="AR164" i="16" a="1"/>
  <c r="AR164" i="16" s="1"/>
  <c r="AR180" i="16" a="1"/>
  <c r="AR180" i="16" s="1"/>
  <c r="AR265" i="16" a="1"/>
  <c r="AR265" i="16" s="1"/>
  <c r="AR106" i="16" a="1"/>
  <c r="AR106" i="16" s="1"/>
  <c r="AR214" i="16" a="1"/>
  <c r="AR214" i="16" s="1"/>
  <c r="AR160" i="16" a="1"/>
  <c r="AR160" i="16" s="1"/>
  <c r="AR211" i="16" a="1"/>
  <c r="AR211" i="16" s="1"/>
  <c r="AR230" i="16" a="1"/>
  <c r="AR230" i="16" s="1"/>
  <c r="AR81" i="16" a="1"/>
  <c r="AR81" i="16" s="1"/>
  <c r="AR126" i="16" a="1"/>
  <c r="AR126" i="16" s="1"/>
  <c r="AR252" i="16" a="1"/>
  <c r="AR252" i="16" s="1"/>
  <c r="AR307" i="16" a="1"/>
  <c r="AR307" i="16" s="1"/>
  <c r="AR309" i="16" a="1"/>
  <c r="AR309" i="16" s="1"/>
  <c r="AR305" i="16" a="1"/>
  <c r="AR305" i="16" s="1"/>
  <c r="AR222" i="16" a="1"/>
  <c r="AR222" i="16" s="1"/>
  <c r="AR109" i="16" a="1"/>
  <c r="AR109" i="16" s="1"/>
  <c r="AR302" i="16" a="1"/>
  <c r="AR302" i="16" s="1"/>
  <c r="AR131" i="16" a="1"/>
  <c r="AR131" i="16" s="1"/>
  <c r="AR241" i="16" a="1"/>
  <c r="AR241" i="16" s="1"/>
  <c r="AR251" i="16" a="1"/>
  <c r="AR251" i="16" s="1"/>
  <c r="AR72" i="16" a="1"/>
  <c r="AR72" i="16" s="1"/>
  <c r="AR113" i="16" a="1"/>
  <c r="AR113" i="16" s="1"/>
  <c r="AR197" i="16" a="1"/>
  <c r="AR197" i="16" s="1"/>
  <c r="AR304" i="16" a="1"/>
  <c r="AR304" i="16" s="1"/>
  <c r="AR193" i="16" a="1"/>
  <c r="AR193" i="16" s="1"/>
  <c r="AR196" i="16" a="1"/>
  <c r="AR196" i="16" s="1"/>
  <c r="AR191" i="16" a="1"/>
  <c r="AR191" i="16" s="1"/>
  <c r="AR150" i="16" a="1"/>
  <c r="AR150" i="16" s="1"/>
  <c r="AR178" i="16" a="1"/>
  <c r="AR178" i="16" s="1"/>
  <c r="AR287" i="16" a="1"/>
  <c r="AR287" i="16" s="1"/>
  <c r="AR75" i="16" a="1"/>
  <c r="AR75" i="16" s="1"/>
  <c r="AR185" i="16" a="1"/>
  <c r="AR185" i="16" s="1"/>
  <c r="AR124" i="16" a="1"/>
  <c r="AR124" i="16" s="1"/>
  <c r="AR195" i="16" a="1"/>
  <c r="AR195" i="16" s="1"/>
  <c r="AR92" i="16" a="1"/>
  <c r="AR92" i="16" s="1"/>
  <c r="AR283" i="16" a="1"/>
  <c r="AR283" i="16" s="1"/>
  <c r="AR234" i="16" a="1"/>
  <c r="AR234" i="16" s="1"/>
  <c r="AR115" i="16" a="1"/>
  <c r="AR115" i="16" s="1"/>
  <c r="AR99" i="16" a="1"/>
  <c r="AR99" i="16" s="1"/>
  <c r="AR213" i="16" a="1"/>
  <c r="AR213" i="16" s="1"/>
  <c r="AR94" i="16" a="1"/>
  <c r="AR94" i="16" s="1"/>
  <c r="AR321" i="16" a="1"/>
  <c r="AR321" i="16" s="1"/>
  <c r="AR35" i="16" a="1"/>
  <c r="AR35" i="16" s="1"/>
  <c r="AR98" i="16" a="1"/>
  <c r="AR98" i="16" s="1"/>
  <c r="AR279" i="16" a="1"/>
  <c r="AR279" i="16" s="1"/>
  <c r="AR206" i="16" a="1"/>
  <c r="AR206" i="16" s="1"/>
  <c r="AR224" i="16" a="1"/>
  <c r="AR224" i="16" s="1"/>
  <c r="AR319" i="16" a="1"/>
  <c r="AR319" i="16" s="1"/>
  <c r="AR179" i="16" a="1"/>
  <c r="AR179" i="16" s="1"/>
  <c r="AR228" i="16" a="1"/>
  <c r="AR228" i="16" s="1"/>
  <c r="AR238" i="16" a="1"/>
  <c r="AR238" i="16" s="1"/>
  <c r="AR133" i="16" a="1"/>
  <c r="AR133" i="16" s="1"/>
  <c r="AR134" i="16" a="1"/>
  <c r="AR134" i="16" s="1"/>
  <c r="AR101" i="16" a="1"/>
  <c r="AR101" i="16" s="1"/>
  <c r="AR74" i="16" a="1"/>
  <c r="AR74" i="16" s="1"/>
  <c r="AR232" i="16" a="1"/>
  <c r="AR232" i="16" s="1"/>
  <c r="AR155" i="16" a="1"/>
  <c r="AR155" i="16" s="1"/>
  <c r="AR216" i="16" a="1"/>
  <c r="AR216" i="16" s="1"/>
  <c r="AR267" i="16" a="1"/>
  <c r="AR267" i="16" s="1"/>
  <c r="AR171" i="16" a="1"/>
  <c r="AR171" i="16" s="1"/>
  <c r="AR62" i="16" a="1"/>
  <c r="AR62" i="16" s="1"/>
  <c r="AR119" i="16" a="1"/>
  <c r="AR119" i="16" s="1"/>
  <c r="AR166" i="16" a="1"/>
  <c r="AR166" i="16" s="1"/>
  <c r="AR269" i="16" a="1"/>
  <c r="AR269" i="16" s="1"/>
  <c r="AR209" i="16" a="1"/>
  <c r="AR209" i="16" s="1"/>
  <c r="AR137" i="16" a="1"/>
  <c r="AR137" i="16" s="1"/>
  <c r="AR170" i="16" a="1"/>
  <c r="AR170" i="16" s="1"/>
  <c r="AR82" i="16" a="1"/>
  <c r="AR82" i="16" s="1"/>
  <c r="AR318" i="16" a="1"/>
  <c r="AR318" i="16" s="1"/>
  <c r="AR229" i="16" a="1"/>
  <c r="AR229" i="16" s="1"/>
  <c r="AR167" i="16" a="1"/>
  <c r="AR167" i="16" s="1"/>
  <c r="AR172" i="16" a="1"/>
  <c r="AR172" i="16" s="1"/>
  <c r="AR153" i="16" a="1"/>
  <c r="AR153" i="16" s="1"/>
  <c r="AR215" i="16" a="1"/>
  <c r="AR215" i="16" s="1"/>
  <c r="AR123" i="16" a="1"/>
  <c r="AR123" i="16" s="1"/>
  <c r="AR90" i="16" a="1"/>
  <c r="AR90" i="16" s="1"/>
  <c r="AR207" i="16" a="1"/>
  <c r="AR207" i="16" s="1"/>
  <c r="AR263" i="16" a="1"/>
  <c r="AR263" i="16" s="1"/>
  <c r="AR130" i="16" a="1"/>
  <c r="AR130" i="16" s="1"/>
  <c r="AR281" i="16" a="1"/>
  <c r="AR281" i="16" s="1"/>
  <c r="AR270" i="16" a="1"/>
  <c r="AR270" i="16" s="1"/>
  <c r="AR40" i="16" a="1"/>
  <c r="AR40" i="16" s="1"/>
  <c r="AR138" i="16" a="1"/>
  <c r="AR138" i="16" s="1"/>
  <c r="AR50" i="16" a="1"/>
  <c r="AR50" i="16" s="1"/>
  <c r="AR225" i="16" a="1"/>
  <c r="AR225" i="16" s="1"/>
  <c r="AR277" i="16" a="1"/>
  <c r="AR277" i="16" s="1"/>
  <c r="AR132" i="16" a="1"/>
  <c r="AR132" i="16" s="1"/>
  <c r="AR43" i="16" a="1"/>
  <c r="AR43" i="16" s="1"/>
  <c r="AR243" i="16" a="1"/>
  <c r="AR243" i="16" s="1"/>
  <c r="AR49" i="16" a="1"/>
  <c r="AR49" i="16" s="1"/>
  <c r="AR173" i="16" a="1"/>
  <c r="AR173" i="16" s="1"/>
  <c r="AR67" i="16" a="1"/>
  <c r="AR67" i="16" s="1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4" i="15"/>
  <c r="AD5" i="15" l="1"/>
  <c r="AE5" i="15"/>
  <c r="AD6" i="15"/>
  <c r="AE6" i="15"/>
  <c r="AD7" i="15"/>
  <c r="AE7" i="15"/>
  <c r="AD8" i="15"/>
  <c r="AE8" i="15"/>
  <c r="AD9" i="15"/>
  <c r="AE9" i="15"/>
  <c r="AD10" i="15"/>
  <c r="AE10" i="15"/>
  <c r="AD11" i="15"/>
  <c r="AE11" i="15"/>
  <c r="AD12" i="15"/>
  <c r="AE12" i="15"/>
  <c r="AD13" i="15"/>
  <c r="AE13" i="15"/>
  <c r="AD14" i="15"/>
  <c r="AE14" i="15"/>
  <c r="AD15" i="15"/>
  <c r="AE15" i="15"/>
  <c r="AD16" i="15"/>
  <c r="AE16" i="15"/>
  <c r="AD17" i="15"/>
  <c r="AE17" i="15"/>
  <c r="AD18" i="15"/>
  <c r="AE18" i="15"/>
  <c r="AD19" i="15"/>
  <c r="AE19" i="15"/>
  <c r="AD20" i="15"/>
  <c r="AE20" i="15"/>
  <c r="AD21" i="15"/>
  <c r="AE21" i="15"/>
  <c r="AD22" i="15"/>
  <c r="AE22" i="15"/>
  <c r="AD23" i="15"/>
  <c r="AE23" i="15"/>
  <c r="AD24" i="15"/>
  <c r="AE24" i="15"/>
  <c r="AD25" i="15"/>
  <c r="AE25" i="15"/>
  <c r="AD26" i="15"/>
  <c r="AE26" i="15"/>
  <c r="AD27" i="15"/>
  <c r="AE27" i="15"/>
  <c r="AD28" i="15"/>
  <c r="AE28" i="15"/>
  <c r="AD29" i="15"/>
  <c r="AE29" i="15"/>
  <c r="AD30" i="15"/>
  <c r="AE30" i="15"/>
  <c r="AD31" i="15"/>
  <c r="AE31" i="15"/>
  <c r="AD32" i="15"/>
  <c r="AE32" i="15"/>
  <c r="AD33" i="15"/>
  <c r="AE33" i="15"/>
  <c r="AE4" i="15"/>
  <c r="AD4" i="15"/>
  <c r="Y33" i="15"/>
  <c r="Y33" i="17" s="1"/>
  <c r="X33" i="15"/>
  <c r="W33" i="15"/>
  <c r="W33" i="17" s="1"/>
  <c r="V33" i="15"/>
  <c r="V33" i="17" s="1"/>
  <c r="U33" i="15"/>
  <c r="U33" i="17" s="1"/>
  <c r="T33" i="15"/>
  <c r="T33" i="17" s="1"/>
  <c r="S33" i="15"/>
  <c r="S33" i="17" s="1"/>
  <c r="Q33" i="15"/>
  <c r="Q33" i="17" s="1"/>
  <c r="P33" i="15"/>
  <c r="P33" i="17" s="1"/>
  <c r="O33" i="15"/>
  <c r="O33" i="17" s="1"/>
  <c r="N33" i="15"/>
  <c r="N33" i="17" s="1"/>
  <c r="M33" i="15"/>
  <c r="M33" i="17" s="1"/>
  <c r="L33" i="15"/>
  <c r="L33" i="17" s="1"/>
  <c r="K33" i="15"/>
  <c r="K33" i="17" s="1"/>
  <c r="I33" i="15"/>
  <c r="I33" i="17" s="1"/>
  <c r="H33" i="15"/>
  <c r="H33" i="17" s="1"/>
  <c r="G33" i="15"/>
  <c r="G33" i="17" s="1"/>
  <c r="F33" i="15"/>
  <c r="F33" i="17" s="1"/>
  <c r="E33" i="15"/>
  <c r="E33" i="17" s="1"/>
  <c r="D33" i="15"/>
  <c r="D33" i="17" s="1"/>
  <c r="C33" i="15"/>
  <c r="C33" i="17" s="1"/>
  <c r="Y32" i="15"/>
  <c r="Y32" i="17" s="1"/>
  <c r="X32" i="15"/>
  <c r="W32" i="15"/>
  <c r="W32" i="17" s="1"/>
  <c r="V32" i="15"/>
  <c r="V32" i="17" s="1"/>
  <c r="U32" i="15"/>
  <c r="U32" i="17" s="1"/>
  <c r="T32" i="15"/>
  <c r="T32" i="17" s="1"/>
  <c r="S32" i="15"/>
  <c r="S32" i="17" s="1"/>
  <c r="Q32" i="15"/>
  <c r="Q32" i="17" s="1"/>
  <c r="P32" i="15"/>
  <c r="P32" i="17" s="1"/>
  <c r="O32" i="15"/>
  <c r="O32" i="17" s="1"/>
  <c r="N32" i="15"/>
  <c r="N32" i="17" s="1"/>
  <c r="M32" i="15"/>
  <c r="M32" i="17" s="1"/>
  <c r="L32" i="15"/>
  <c r="L32" i="17" s="1"/>
  <c r="K32" i="15"/>
  <c r="K32" i="17" s="1"/>
  <c r="I32" i="15"/>
  <c r="I32" i="17" s="1"/>
  <c r="H32" i="15"/>
  <c r="H32" i="17" s="1"/>
  <c r="G32" i="15"/>
  <c r="G32" i="17" s="1"/>
  <c r="F32" i="15"/>
  <c r="F32" i="17" s="1"/>
  <c r="E32" i="15"/>
  <c r="E32" i="17" s="1"/>
  <c r="D32" i="15"/>
  <c r="D32" i="17" s="1"/>
  <c r="C32" i="15"/>
  <c r="C32" i="17" s="1"/>
  <c r="Y31" i="15"/>
  <c r="Y31" i="17" s="1"/>
  <c r="X31" i="15"/>
  <c r="W31" i="15"/>
  <c r="W31" i="17" s="1"/>
  <c r="V31" i="15"/>
  <c r="V31" i="17" s="1"/>
  <c r="U31" i="15"/>
  <c r="U31" i="17" s="1"/>
  <c r="T31" i="15"/>
  <c r="T31" i="17" s="1"/>
  <c r="S31" i="15"/>
  <c r="S31" i="17" s="1"/>
  <c r="Q31" i="15"/>
  <c r="Q31" i="17" s="1"/>
  <c r="P31" i="15"/>
  <c r="P31" i="17" s="1"/>
  <c r="O31" i="15"/>
  <c r="O31" i="17" s="1"/>
  <c r="N31" i="15"/>
  <c r="N31" i="17" s="1"/>
  <c r="M31" i="15"/>
  <c r="M31" i="17" s="1"/>
  <c r="L31" i="15"/>
  <c r="L31" i="17" s="1"/>
  <c r="K31" i="15"/>
  <c r="K31" i="17" s="1"/>
  <c r="I31" i="15"/>
  <c r="I31" i="17" s="1"/>
  <c r="H31" i="15"/>
  <c r="H31" i="17" s="1"/>
  <c r="G31" i="15"/>
  <c r="G31" i="17" s="1"/>
  <c r="F31" i="15"/>
  <c r="F31" i="17" s="1"/>
  <c r="E31" i="15"/>
  <c r="E31" i="17" s="1"/>
  <c r="D31" i="15"/>
  <c r="D31" i="17" s="1"/>
  <c r="C31" i="15"/>
  <c r="C31" i="17" s="1"/>
  <c r="Y30" i="15"/>
  <c r="Y30" i="17" s="1"/>
  <c r="X30" i="15"/>
  <c r="W30" i="15"/>
  <c r="W30" i="17" s="1"/>
  <c r="V30" i="15"/>
  <c r="V30" i="17" s="1"/>
  <c r="U30" i="15"/>
  <c r="U30" i="17" s="1"/>
  <c r="T30" i="15"/>
  <c r="T30" i="17" s="1"/>
  <c r="S30" i="15"/>
  <c r="S30" i="17" s="1"/>
  <c r="Q30" i="15"/>
  <c r="Q30" i="17" s="1"/>
  <c r="P30" i="15"/>
  <c r="P30" i="17" s="1"/>
  <c r="O30" i="15"/>
  <c r="O30" i="17" s="1"/>
  <c r="N30" i="15"/>
  <c r="N30" i="17" s="1"/>
  <c r="M30" i="15"/>
  <c r="M30" i="17" s="1"/>
  <c r="L30" i="15"/>
  <c r="L30" i="17" s="1"/>
  <c r="K30" i="15"/>
  <c r="K30" i="17" s="1"/>
  <c r="I30" i="15"/>
  <c r="I30" i="17" s="1"/>
  <c r="H30" i="15"/>
  <c r="H30" i="17" s="1"/>
  <c r="G30" i="15"/>
  <c r="G30" i="17" s="1"/>
  <c r="F30" i="15"/>
  <c r="F30" i="17" s="1"/>
  <c r="E30" i="15"/>
  <c r="E30" i="17" s="1"/>
  <c r="D30" i="15"/>
  <c r="D30" i="17" s="1"/>
  <c r="C30" i="15"/>
  <c r="C30" i="17" s="1"/>
  <c r="Y29" i="15"/>
  <c r="Y29" i="17" s="1"/>
  <c r="X29" i="15"/>
  <c r="W29" i="15"/>
  <c r="W29" i="17" s="1"/>
  <c r="V29" i="15"/>
  <c r="V29" i="17" s="1"/>
  <c r="U29" i="15"/>
  <c r="U29" i="17" s="1"/>
  <c r="T29" i="15"/>
  <c r="T29" i="17" s="1"/>
  <c r="S29" i="15"/>
  <c r="S29" i="17" s="1"/>
  <c r="Q29" i="15"/>
  <c r="Q29" i="17" s="1"/>
  <c r="P29" i="15"/>
  <c r="P29" i="17" s="1"/>
  <c r="O29" i="15"/>
  <c r="O29" i="17" s="1"/>
  <c r="N29" i="15"/>
  <c r="N29" i="17" s="1"/>
  <c r="M29" i="15"/>
  <c r="M29" i="17" s="1"/>
  <c r="L29" i="15"/>
  <c r="L29" i="17" s="1"/>
  <c r="K29" i="15"/>
  <c r="K29" i="17" s="1"/>
  <c r="I29" i="15"/>
  <c r="I29" i="17" s="1"/>
  <c r="H29" i="15"/>
  <c r="H29" i="17" s="1"/>
  <c r="G29" i="15"/>
  <c r="G29" i="17" s="1"/>
  <c r="F29" i="15"/>
  <c r="F29" i="17" s="1"/>
  <c r="E29" i="15"/>
  <c r="E29" i="17" s="1"/>
  <c r="D29" i="15"/>
  <c r="D29" i="17" s="1"/>
  <c r="C29" i="15"/>
  <c r="C29" i="17" s="1"/>
  <c r="Y28" i="15"/>
  <c r="Y28" i="17" s="1"/>
  <c r="X28" i="15"/>
  <c r="W28" i="15"/>
  <c r="W28" i="17" s="1"/>
  <c r="V28" i="15"/>
  <c r="V28" i="17" s="1"/>
  <c r="U28" i="15"/>
  <c r="U28" i="17" s="1"/>
  <c r="T28" i="15"/>
  <c r="T28" i="17" s="1"/>
  <c r="S28" i="15"/>
  <c r="S28" i="17" s="1"/>
  <c r="Q28" i="15"/>
  <c r="Q28" i="17" s="1"/>
  <c r="P28" i="15"/>
  <c r="P28" i="17" s="1"/>
  <c r="O28" i="15"/>
  <c r="O28" i="17" s="1"/>
  <c r="N28" i="15"/>
  <c r="N28" i="17" s="1"/>
  <c r="M28" i="15"/>
  <c r="M28" i="17" s="1"/>
  <c r="L28" i="15"/>
  <c r="L28" i="17" s="1"/>
  <c r="K28" i="15"/>
  <c r="K28" i="17" s="1"/>
  <c r="I28" i="15"/>
  <c r="I28" i="17" s="1"/>
  <c r="H28" i="15"/>
  <c r="H28" i="17" s="1"/>
  <c r="G28" i="15"/>
  <c r="G28" i="17" s="1"/>
  <c r="F28" i="15"/>
  <c r="F28" i="17" s="1"/>
  <c r="E28" i="15"/>
  <c r="E28" i="17" s="1"/>
  <c r="D28" i="15"/>
  <c r="D28" i="17" s="1"/>
  <c r="C28" i="15"/>
  <c r="C28" i="17" s="1"/>
  <c r="Y27" i="15"/>
  <c r="Y27" i="17" s="1"/>
  <c r="X27" i="15"/>
  <c r="W27" i="15"/>
  <c r="W27" i="17" s="1"/>
  <c r="V27" i="15"/>
  <c r="V27" i="17" s="1"/>
  <c r="U27" i="15"/>
  <c r="U27" i="17" s="1"/>
  <c r="T27" i="15"/>
  <c r="T27" i="17" s="1"/>
  <c r="S27" i="15"/>
  <c r="S27" i="17" s="1"/>
  <c r="Q27" i="15"/>
  <c r="Q27" i="17" s="1"/>
  <c r="P27" i="15"/>
  <c r="P27" i="17" s="1"/>
  <c r="O27" i="15"/>
  <c r="O27" i="17" s="1"/>
  <c r="N27" i="15"/>
  <c r="N27" i="17" s="1"/>
  <c r="M27" i="15"/>
  <c r="M27" i="17" s="1"/>
  <c r="L27" i="15"/>
  <c r="L27" i="17" s="1"/>
  <c r="K27" i="15"/>
  <c r="K27" i="17" s="1"/>
  <c r="I27" i="15"/>
  <c r="I27" i="17" s="1"/>
  <c r="H27" i="15"/>
  <c r="H27" i="17" s="1"/>
  <c r="G27" i="15"/>
  <c r="G27" i="17" s="1"/>
  <c r="F27" i="15"/>
  <c r="F27" i="17" s="1"/>
  <c r="E27" i="15"/>
  <c r="E27" i="17" s="1"/>
  <c r="D27" i="15"/>
  <c r="D27" i="17" s="1"/>
  <c r="C27" i="15"/>
  <c r="C27" i="17" s="1"/>
  <c r="Y26" i="15"/>
  <c r="Y26" i="17" s="1"/>
  <c r="X26" i="15"/>
  <c r="W26" i="15"/>
  <c r="W26" i="17" s="1"/>
  <c r="V26" i="15"/>
  <c r="V26" i="17" s="1"/>
  <c r="U26" i="15"/>
  <c r="U26" i="17" s="1"/>
  <c r="T26" i="15"/>
  <c r="T26" i="17" s="1"/>
  <c r="S26" i="15"/>
  <c r="S26" i="17" s="1"/>
  <c r="Q26" i="15"/>
  <c r="Q26" i="17" s="1"/>
  <c r="P26" i="15"/>
  <c r="P26" i="17" s="1"/>
  <c r="O26" i="15"/>
  <c r="O26" i="17" s="1"/>
  <c r="N26" i="15"/>
  <c r="N26" i="17" s="1"/>
  <c r="M26" i="15"/>
  <c r="M26" i="17" s="1"/>
  <c r="L26" i="15"/>
  <c r="L26" i="17" s="1"/>
  <c r="K26" i="15"/>
  <c r="K26" i="17" s="1"/>
  <c r="I26" i="15"/>
  <c r="I26" i="17" s="1"/>
  <c r="H26" i="15"/>
  <c r="H26" i="17" s="1"/>
  <c r="G26" i="15"/>
  <c r="G26" i="17" s="1"/>
  <c r="F26" i="15"/>
  <c r="F26" i="17" s="1"/>
  <c r="E26" i="15"/>
  <c r="E26" i="17" s="1"/>
  <c r="D26" i="15"/>
  <c r="D26" i="17" s="1"/>
  <c r="C26" i="15"/>
  <c r="C26" i="17" s="1"/>
  <c r="Y25" i="15"/>
  <c r="Y25" i="17" s="1"/>
  <c r="X25" i="15"/>
  <c r="W25" i="15"/>
  <c r="W25" i="17" s="1"/>
  <c r="V25" i="15"/>
  <c r="V25" i="17" s="1"/>
  <c r="U25" i="15"/>
  <c r="U25" i="17" s="1"/>
  <c r="T25" i="15"/>
  <c r="T25" i="17" s="1"/>
  <c r="S25" i="15"/>
  <c r="S25" i="17" s="1"/>
  <c r="Q25" i="15"/>
  <c r="Q25" i="17" s="1"/>
  <c r="P25" i="15"/>
  <c r="P25" i="17" s="1"/>
  <c r="O25" i="15"/>
  <c r="O25" i="17" s="1"/>
  <c r="N25" i="15"/>
  <c r="N25" i="17" s="1"/>
  <c r="M25" i="15"/>
  <c r="M25" i="17" s="1"/>
  <c r="L25" i="15"/>
  <c r="L25" i="17" s="1"/>
  <c r="K25" i="15"/>
  <c r="K25" i="17" s="1"/>
  <c r="I25" i="15"/>
  <c r="I25" i="17" s="1"/>
  <c r="H25" i="15"/>
  <c r="H25" i="17" s="1"/>
  <c r="G25" i="15"/>
  <c r="G25" i="17" s="1"/>
  <c r="F25" i="15"/>
  <c r="F25" i="17" s="1"/>
  <c r="E25" i="15"/>
  <c r="E25" i="17" s="1"/>
  <c r="D25" i="15"/>
  <c r="D25" i="17" s="1"/>
  <c r="C25" i="15"/>
  <c r="C25" i="17" s="1"/>
  <c r="Y24" i="15"/>
  <c r="Y24" i="17" s="1"/>
  <c r="X24" i="15"/>
  <c r="W24" i="15"/>
  <c r="W24" i="17" s="1"/>
  <c r="V24" i="15"/>
  <c r="V24" i="17" s="1"/>
  <c r="U24" i="15"/>
  <c r="U24" i="17" s="1"/>
  <c r="T24" i="15"/>
  <c r="T24" i="17" s="1"/>
  <c r="S24" i="15"/>
  <c r="S24" i="17" s="1"/>
  <c r="Q24" i="15"/>
  <c r="Q24" i="17" s="1"/>
  <c r="P24" i="15"/>
  <c r="P24" i="17" s="1"/>
  <c r="O24" i="15"/>
  <c r="O24" i="17" s="1"/>
  <c r="N24" i="15"/>
  <c r="N24" i="17" s="1"/>
  <c r="M24" i="15"/>
  <c r="M24" i="17" s="1"/>
  <c r="L24" i="15"/>
  <c r="L24" i="17" s="1"/>
  <c r="K24" i="15"/>
  <c r="K24" i="17" s="1"/>
  <c r="I24" i="15"/>
  <c r="I24" i="17" s="1"/>
  <c r="H24" i="15"/>
  <c r="H24" i="17" s="1"/>
  <c r="G24" i="15"/>
  <c r="G24" i="17" s="1"/>
  <c r="F24" i="15"/>
  <c r="F24" i="17" s="1"/>
  <c r="E24" i="15"/>
  <c r="E24" i="17" s="1"/>
  <c r="D24" i="15"/>
  <c r="D24" i="17" s="1"/>
  <c r="C24" i="15"/>
  <c r="C24" i="17" s="1"/>
  <c r="Y23" i="15"/>
  <c r="Y23" i="17" s="1"/>
  <c r="X23" i="15"/>
  <c r="W23" i="15"/>
  <c r="W23" i="17" s="1"/>
  <c r="V23" i="15"/>
  <c r="V23" i="17" s="1"/>
  <c r="U23" i="15"/>
  <c r="U23" i="17" s="1"/>
  <c r="T23" i="15"/>
  <c r="T23" i="17" s="1"/>
  <c r="S23" i="15"/>
  <c r="S23" i="17" s="1"/>
  <c r="Q23" i="15"/>
  <c r="Q23" i="17" s="1"/>
  <c r="P23" i="15"/>
  <c r="P23" i="17" s="1"/>
  <c r="O23" i="15"/>
  <c r="O23" i="17" s="1"/>
  <c r="N23" i="15"/>
  <c r="N23" i="17" s="1"/>
  <c r="M23" i="15"/>
  <c r="M23" i="17" s="1"/>
  <c r="L23" i="15"/>
  <c r="L23" i="17" s="1"/>
  <c r="K23" i="15"/>
  <c r="K23" i="17" s="1"/>
  <c r="I23" i="15"/>
  <c r="I23" i="17" s="1"/>
  <c r="H23" i="15"/>
  <c r="H23" i="17" s="1"/>
  <c r="G23" i="15"/>
  <c r="G23" i="17" s="1"/>
  <c r="F23" i="15"/>
  <c r="F23" i="17" s="1"/>
  <c r="E23" i="15"/>
  <c r="E23" i="17" s="1"/>
  <c r="D23" i="15"/>
  <c r="D23" i="17" s="1"/>
  <c r="C23" i="15"/>
  <c r="C23" i="17" s="1"/>
  <c r="Y22" i="15"/>
  <c r="Y22" i="17" s="1"/>
  <c r="X22" i="15"/>
  <c r="W22" i="15"/>
  <c r="W22" i="17" s="1"/>
  <c r="V22" i="15"/>
  <c r="V22" i="17" s="1"/>
  <c r="U22" i="15"/>
  <c r="U22" i="17" s="1"/>
  <c r="T22" i="15"/>
  <c r="T22" i="17" s="1"/>
  <c r="S22" i="15"/>
  <c r="S22" i="17" s="1"/>
  <c r="Q22" i="15"/>
  <c r="Q22" i="17" s="1"/>
  <c r="P22" i="15"/>
  <c r="P22" i="17" s="1"/>
  <c r="O22" i="15"/>
  <c r="O22" i="17" s="1"/>
  <c r="N22" i="15"/>
  <c r="N22" i="17" s="1"/>
  <c r="M22" i="15"/>
  <c r="M22" i="17" s="1"/>
  <c r="L22" i="15"/>
  <c r="L22" i="17" s="1"/>
  <c r="K22" i="15"/>
  <c r="K22" i="17" s="1"/>
  <c r="I22" i="15"/>
  <c r="I22" i="17" s="1"/>
  <c r="H22" i="15"/>
  <c r="H22" i="17" s="1"/>
  <c r="G22" i="15"/>
  <c r="G22" i="17" s="1"/>
  <c r="F22" i="15"/>
  <c r="F22" i="17" s="1"/>
  <c r="E22" i="15"/>
  <c r="E22" i="17" s="1"/>
  <c r="D22" i="15"/>
  <c r="D22" i="17" s="1"/>
  <c r="C22" i="15"/>
  <c r="C22" i="17" s="1"/>
  <c r="Y21" i="15"/>
  <c r="Y21" i="17" s="1"/>
  <c r="X21" i="15"/>
  <c r="W21" i="15"/>
  <c r="W21" i="17" s="1"/>
  <c r="V21" i="15"/>
  <c r="V21" i="17" s="1"/>
  <c r="U21" i="15"/>
  <c r="U21" i="17" s="1"/>
  <c r="T21" i="15"/>
  <c r="T21" i="17" s="1"/>
  <c r="S21" i="15"/>
  <c r="S21" i="17" s="1"/>
  <c r="Q21" i="15"/>
  <c r="Q21" i="17" s="1"/>
  <c r="P21" i="15"/>
  <c r="P21" i="17" s="1"/>
  <c r="O21" i="15"/>
  <c r="O21" i="17" s="1"/>
  <c r="N21" i="15"/>
  <c r="N21" i="17" s="1"/>
  <c r="M21" i="15"/>
  <c r="M21" i="17" s="1"/>
  <c r="L21" i="15"/>
  <c r="L21" i="17" s="1"/>
  <c r="K21" i="15"/>
  <c r="K21" i="17" s="1"/>
  <c r="I21" i="15"/>
  <c r="I21" i="17" s="1"/>
  <c r="H21" i="15"/>
  <c r="H21" i="17" s="1"/>
  <c r="G21" i="15"/>
  <c r="G21" i="17" s="1"/>
  <c r="F21" i="15"/>
  <c r="F21" i="17" s="1"/>
  <c r="E21" i="15"/>
  <c r="E21" i="17" s="1"/>
  <c r="D21" i="15"/>
  <c r="D21" i="17" s="1"/>
  <c r="C21" i="15"/>
  <c r="C21" i="17" s="1"/>
  <c r="Y20" i="15"/>
  <c r="Y20" i="17" s="1"/>
  <c r="X20" i="15"/>
  <c r="W20" i="15"/>
  <c r="W20" i="17" s="1"/>
  <c r="V20" i="15"/>
  <c r="V20" i="17" s="1"/>
  <c r="U20" i="15"/>
  <c r="U20" i="17" s="1"/>
  <c r="T20" i="15"/>
  <c r="T20" i="17" s="1"/>
  <c r="S20" i="15"/>
  <c r="S20" i="17" s="1"/>
  <c r="Q20" i="15"/>
  <c r="Q20" i="17" s="1"/>
  <c r="P20" i="15"/>
  <c r="P20" i="17" s="1"/>
  <c r="O20" i="15"/>
  <c r="O20" i="17" s="1"/>
  <c r="N20" i="15"/>
  <c r="N20" i="17" s="1"/>
  <c r="M20" i="15"/>
  <c r="M20" i="17" s="1"/>
  <c r="L20" i="15"/>
  <c r="L20" i="17" s="1"/>
  <c r="K20" i="15"/>
  <c r="K20" i="17" s="1"/>
  <c r="I20" i="15"/>
  <c r="I20" i="17" s="1"/>
  <c r="H20" i="15"/>
  <c r="H20" i="17" s="1"/>
  <c r="G20" i="15"/>
  <c r="G20" i="17" s="1"/>
  <c r="F20" i="15"/>
  <c r="F20" i="17" s="1"/>
  <c r="E20" i="15"/>
  <c r="E20" i="17" s="1"/>
  <c r="D20" i="15"/>
  <c r="D20" i="17" s="1"/>
  <c r="C20" i="15"/>
  <c r="C20" i="17" s="1"/>
  <c r="Y19" i="15"/>
  <c r="Y19" i="17" s="1"/>
  <c r="X19" i="15"/>
  <c r="W19" i="15"/>
  <c r="W19" i="17" s="1"/>
  <c r="V19" i="15"/>
  <c r="V19" i="17" s="1"/>
  <c r="U19" i="15"/>
  <c r="U19" i="17" s="1"/>
  <c r="T19" i="15"/>
  <c r="T19" i="17" s="1"/>
  <c r="S19" i="15"/>
  <c r="S19" i="17" s="1"/>
  <c r="Q19" i="15"/>
  <c r="Q19" i="17" s="1"/>
  <c r="P19" i="15"/>
  <c r="P19" i="17" s="1"/>
  <c r="O19" i="15"/>
  <c r="O19" i="17" s="1"/>
  <c r="N19" i="15"/>
  <c r="N19" i="17" s="1"/>
  <c r="M19" i="15"/>
  <c r="M19" i="17" s="1"/>
  <c r="L19" i="15"/>
  <c r="L19" i="17" s="1"/>
  <c r="K19" i="15"/>
  <c r="K19" i="17" s="1"/>
  <c r="I19" i="15"/>
  <c r="I19" i="17" s="1"/>
  <c r="H19" i="15"/>
  <c r="H19" i="17" s="1"/>
  <c r="G19" i="15"/>
  <c r="G19" i="17" s="1"/>
  <c r="F19" i="15"/>
  <c r="F19" i="17" s="1"/>
  <c r="E19" i="15"/>
  <c r="E19" i="17" s="1"/>
  <c r="D19" i="15"/>
  <c r="D19" i="17" s="1"/>
  <c r="C19" i="15"/>
  <c r="C19" i="17" s="1"/>
  <c r="Y18" i="15"/>
  <c r="Y18" i="17" s="1"/>
  <c r="X18" i="15"/>
  <c r="W18" i="15"/>
  <c r="W18" i="17" s="1"/>
  <c r="V18" i="15"/>
  <c r="V18" i="17" s="1"/>
  <c r="U18" i="15"/>
  <c r="U18" i="17" s="1"/>
  <c r="T18" i="15"/>
  <c r="T18" i="17" s="1"/>
  <c r="S18" i="15"/>
  <c r="S18" i="17" s="1"/>
  <c r="Q18" i="15"/>
  <c r="Q18" i="17" s="1"/>
  <c r="P18" i="15"/>
  <c r="P18" i="17" s="1"/>
  <c r="O18" i="15"/>
  <c r="O18" i="17" s="1"/>
  <c r="N18" i="15"/>
  <c r="N18" i="17" s="1"/>
  <c r="M18" i="15"/>
  <c r="M18" i="17" s="1"/>
  <c r="L18" i="15"/>
  <c r="L18" i="17" s="1"/>
  <c r="K18" i="15"/>
  <c r="K18" i="17" s="1"/>
  <c r="I18" i="15"/>
  <c r="I18" i="17" s="1"/>
  <c r="H18" i="15"/>
  <c r="H18" i="17" s="1"/>
  <c r="G18" i="15"/>
  <c r="G18" i="17" s="1"/>
  <c r="F18" i="15"/>
  <c r="F18" i="17" s="1"/>
  <c r="E18" i="15"/>
  <c r="E18" i="17" s="1"/>
  <c r="D18" i="15"/>
  <c r="D18" i="17" s="1"/>
  <c r="C18" i="15"/>
  <c r="C18" i="17" s="1"/>
  <c r="Y17" i="15"/>
  <c r="Y17" i="17" s="1"/>
  <c r="X17" i="15"/>
  <c r="W17" i="15"/>
  <c r="W17" i="17" s="1"/>
  <c r="V17" i="15"/>
  <c r="V17" i="17" s="1"/>
  <c r="U17" i="15"/>
  <c r="U17" i="17" s="1"/>
  <c r="T17" i="15"/>
  <c r="T17" i="17" s="1"/>
  <c r="S17" i="15"/>
  <c r="S17" i="17" s="1"/>
  <c r="Q17" i="15"/>
  <c r="Q17" i="17" s="1"/>
  <c r="P17" i="15"/>
  <c r="P17" i="17" s="1"/>
  <c r="O17" i="15"/>
  <c r="O17" i="17" s="1"/>
  <c r="N17" i="15"/>
  <c r="N17" i="17" s="1"/>
  <c r="M17" i="15"/>
  <c r="M17" i="17" s="1"/>
  <c r="L17" i="15"/>
  <c r="L17" i="17" s="1"/>
  <c r="K17" i="15"/>
  <c r="K17" i="17" s="1"/>
  <c r="I17" i="15"/>
  <c r="I17" i="17" s="1"/>
  <c r="H17" i="15"/>
  <c r="H17" i="17" s="1"/>
  <c r="G17" i="15"/>
  <c r="G17" i="17" s="1"/>
  <c r="F17" i="15"/>
  <c r="F17" i="17" s="1"/>
  <c r="E17" i="15"/>
  <c r="E17" i="17" s="1"/>
  <c r="D17" i="15"/>
  <c r="D17" i="17" s="1"/>
  <c r="C17" i="15"/>
  <c r="C17" i="17" s="1"/>
  <c r="Y16" i="15"/>
  <c r="Y16" i="17" s="1"/>
  <c r="X16" i="15"/>
  <c r="W16" i="15"/>
  <c r="W16" i="17" s="1"/>
  <c r="V16" i="15"/>
  <c r="V16" i="17" s="1"/>
  <c r="U16" i="15"/>
  <c r="U16" i="17" s="1"/>
  <c r="T16" i="15"/>
  <c r="T16" i="17" s="1"/>
  <c r="S16" i="15"/>
  <c r="S16" i="17" s="1"/>
  <c r="Q16" i="15"/>
  <c r="Q16" i="17" s="1"/>
  <c r="P16" i="15"/>
  <c r="P16" i="17" s="1"/>
  <c r="O16" i="15"/>
  <c r="O16" i="17" s="1"/>
  <c r="N16" i="15"/>
  <c r="N16" i="17" s="1"/>
  <c r="M16" i="15"/>
  <c r="M16" i="17" s="1"/>
  <c r="L16" i="15"/>
  <c r="L16" i="17" s="1"/>
  <c r="K16" i="15"/>
  <c r="K16" i="17" s="1"/>
  <c r="I16" i="15"/>
  <c r="I16" i="17" s="1"/>
  <c r="H16" i="15"/>
  <c r="H16" i="17" s="1"/>
  <c r="G16" i="15"/>
  <c r="G16" i="17" s="1"/>
  <c r="F16" i="15"/>
  <c r="F16" i="17" s="1"/>
  <c r="E16" i="15"/>
  <c r="E16" i="17" s="1"/>
  <c r="D16" i="15"/>
  <c r="D16" i="17" s="1"/>
  <c r="C16" i="15"/>
  <c r="C16" i="17" s="1"/>
  <c r="Y15" i="15"/>
  <c r="Y15" i="17" s="1"/>
  <c r="X15" i="15"/>
  <c r="W15" i="15"/>
  <c r="W15" i="17" s="1"/>
  <c r="V15" i="15"/>
  <c r="V15" i="17" s="1"/>
  <c r="U15" i="15"/>
  <c r="U15" i="17" s="1"/>
  <c r="T15" i="15"/>
  <c r="T15" i="17" s="1"/>
  <c r="S15" i="15"/>
  <c r="S15" i="17" s="1"/>
  <c r="Q15" i="15"/>
  <c r="Q15" i="17" s="1"/>
  <c r="P15" i="15"/>
  <c r="P15" i="17" s="1"/>
  <c r="O15" i="15"/>
  <c r="O15" i="17" s="1"/>
  <c r="N15" i="15"/>
  <c r="N15" i="17" s="1"/>
  <c r="M15" i="15"/>
  <c r="M15" i="17" s="1"/>
  <c r="L15" i="15"/>
  <c r="L15" i="17" s="1"/>
  <c r="K15" i="15"/>
  <c r="K15" i="17" s="1"/>
  <c r="I15" i="15"/>
  <c r="I15" i="17" s="1"/>
  <c r="H15" i="15"/>
  <c r="H15" i="17" s="1"/>
  <c r="G15" i="15"/>
  <c r="G15" i="17" s="1"/>
  <c r="F15" i="15"/>
  <c r="F15" i="17" s="1"/>
  <c r="E15" i="15"/>
  <c r="E15" i="17" s="1"/>
  <c r="D15" i="15"/>
  <c r="D15" i="17" s="1"/>
  <c r="C15" i="15"/>
  <c r="C15" i="17" s="1"/>
  <c r="Y14" i="15"/>
  <c r="Y14" i="17" s="1"/>
  <c r="X14" i="15"/>
  <c r="W14" i="15"/>
  <c r="W14" i="17" s="1"/>
  <c r="V14" i="15"/>
  <c r="V14" i="17" s="1"/>
  <c r="U14" i="15"/>
  <c r="U14" i="17" s="1"/>
  <c r="T14" i="15"/>
  <c r="T14" i="17" s="1"/>
  <c r="S14" i="15"/>
  <c r="S14" i="17" s="1"/>
  <c r="Q14" i="15"/>
  <c r="Q14" i="17" s="1"/>
  <c r="P14" i="15"/>
  <c r="P14" i="17" s="1"/>
  <c r="O14" i="15"/>
  <c r="O14" i="17" s="1"/>
  <c r="N14" i="15"/>
  <c r="N14" i="17" s="1"/>
  <c r="M14" i="15"/>
  <c r="M14" i="17" s="1"/>
  <c r="L14" i="15"/>
  <c r="L14" i="17" s="1"/>
  <c r="K14" i="15"/>
  <c r="K14" i="17" s="1"/>
  <c r="I14" i="15"/>
  <c r="I14" i="17" s="1"/>
  <c r="H14" i="15"/>
  <c r="H14" i="17" s="1"/>
  <c r="G14" i="15"/>
  <c r="G14" i="17" s="1"/>
  <c r="F14" i="15"/>
  <c r="F14" i="17" s="1"/>
  <c r="E14" i="15"/>
  <c r="E14" i="17" s="1"/>
  <c r="D14" i="15"/>
  <c r="D14" i="17" s="1"/>
  <c r="C14" i="15"/>
  <c r="C14" i="17" s="1"/>
  <c r="Y13" i="15"/>
  <c r="Y13" i="17" s="1"/>
  <c r="X13" i="15"/>
  <c r="W13" i="15"/>
  <c r="W13" i="17" s="1"/>
  <c r="V13" i="15"/>
  <c r="V13" i="17" s="1"/>
  <c r="U13" i="15"/>
  <c r="U13" i="17" s="1"/>
  <c r="T13" i="15"/>
  <c r="T13" i="17" s="1"/>
  <c r="S13" i="15"/>
  <c r="S13" i="17" s="1"/>
  <c r="Q13" i="15"/>
  <c r="Q13" i="17" s="1"/>
  <c r="P13" i="15"/>
  <c r="P13" i="17" s="1"/>
  <c r="O13" i="15"/>
  <c r="O13" i="17" s="1"/>
  <c r="N13" i="15"/>
  <c r="N13" i="17" s="1"/>
  <c r="M13" i="15"/>
  <c r="M13" i="17" s="1"/>
  <c r="L13" i="15"/>
  <c r="L13" i="17" s="1"/>
  <c r="K13" i="15"/>
  <c r="K13" i="17" s="1"/>
  <c r="I13" i="15"/>
  <c r="I13" i="17" s="1"/>
  <c r="H13" i="15"/>
  <c r="H13" i="17" s="1"/>
  <c r="G13" i="15"/>
  <c r="G13" i="17" s="1"/>
  <c r="F13" i="15"/>
  <c r="F13" i="17" s="1"/>
  <c r="E13" i="15"/>
  <c r="E13" i="17" s="1"/>
  <c r="D13" i="15"/>
  <c r="D13" i="17" s="1"/>
  <c r="C13" i="15"/>
  <c r="C13" i="17" s="1"/>
  <c r="Y12" i="15"/>
  <c r="Y12" i="17" s="1"/>
  <c r="X12" i="15"/>
  <c r="W12" i="15"/>
  <c r="W12" i="17" s="1"/>
  <c r="V12" i="15"/>
  <c r="V12" i="17" s="1"/>
  <c r="U12" i="15"/>
  <c r="U12" i="17" s="1"/>
  <c r="T12" i="15"/>
  <c r="T12" i="17" s="1"/>
  <c r="S12" i="15"/>
  <c r="S12" i="17" s="1"/>
  <c r="Q12" i="15"/>
  <c r="Q12" i="17" s="1"/>
  <c r="P12" i="15"/>
  <c r="P12" i="17" s="1"/>
  <c r="O12" i="15"/>
  <c r="O12" i="17" s="1"/>
  <c r="N12" i="15"/>
  <c r="N12" i="17" s="1"/>
  <c r="M12" i="15"/>
  <c r="M12" i="17" s="1"/>
  <c r="L12" i="15"/>
  <c r="L12" i="17" s="1"/>
  <c r="K12" i="15"/>
  <c r="K12" i="17" s="1"/>
  <c r="I12" i="15"/>
  <c r="I12" i="17" s="1"/>
  <c r="H12" i="15"/>
  <c r="H12" i="17" s="1"/>
  <c r="G12" i="15"/>
  <c r="G12" i="17" s="1"/>
  <c r="F12" i="15"/>
  <c r="F12" i="17" s="1"/>
  <c r="E12" i="15"/>
  <c r="E12" i="17" s="1"/>
  <c r="D12" i="15"/>
  <c r="D12" i="17" s="1"/>
  <c r="C12" i="15"/>
  <c r="C12" i="17" s="1"/>
  <c r="Y11" i="15"/>
  <c r="Y11" i="17" s="1"/>
  <c r="X11" i="15"/>
  <c r="W11" i="15"/>
  <c r="W11" i="17" s="1"/>
  <c r="V11" i="15"/>
  <c r="V11" i="17" s="1"/>
  <c r="U11" i="15"/>
  <c r="U11" i="17" s="1"/>
  <c r="T11" i="15"/>
  <c r="T11" i="17" s="1"/>
  <c r="S11" i="15"/>
  <c r="S11" i="17" s="1"/>
  <c r="Q11" i="15"/>
  <c r="Q11" i="17" s="1"/>
  <c r="P11" i="15"/>
  <c r="P11" i="17" s="1"/>
  <c r="O11" i="15"/>
  <c r="O11" i="17" s="1"/>
  <c r="N11" i="15"/>
  <c r="N11" i="17" s="1"/>
  <c r="M11" i="15"/>
  <c r="M11" i="17" s="1"/>
  <c r="L11" i="15"/>
  <c r="L11" i="17" s="1"/>
  <c r="K11" i="15"/>
  <c r="K11" i="17" s="1"/>
  <c r="I11" i="15"/>
  <c r="I11" i="17" s="1"/>
  <c r="H11" i="15"/>
  <c r="H11" i="17" s="1"/>
  <c r="G11" i="15"/>
  <c r="G11" i="17" s="1"/>
  <c r="F11" i="15"/>
  <c r="F11" i="17" s="1"/>
  <c r="E11" i="15"/>
  <c r="E11" i="17" s="1"/>
  <c r="D11" i="15"/>
  <c r="D11" i="17" s="1"/>
  <c r="C11" i="15"/>
  <c r="C11" i="17" s="1"/>
  <c r="Y10" i="15"/>
  <c r="Y10" i="17" s="1"/>
  <c r="X10" i="15"/>
  <c r="W10" i="15"/>
  <c r="W10" i="17" s="1"/>
  <c r="V10" i="15"/>
  <c r="V10" i="17" s="1"/>
  <c r="U10" i="15"/>
  <c r="U10" i="17" s="1"/>
  <c r="T10" i="15"/>
  <c r="T10" i="17" s="1"/>
  <c r="S10" i="15"/>
  <c r="S10" i="17" s="1"/>
  <c r="Q10" i="15"/>
  <c r="Q10" i="17" s="1"/>
  <c r="P10" i="15"/>
  <c r="P10" i="17" s="1"/>
  <c r="O10" i="15"/>
  <c r="O10" i="17" s="1"/>
  <c r="N10" i="15"/>
  <c r="N10" i="17" s="1"/>
  <c r="M10" i="15"/>
  <c r="M10" i="17" s="1"/>
  <c r="L10" i="15"/>
  <c r="L10" i="17" s="1"/>
  <c r="K10" i="15"/>
  <c r="K10" i="17" s="1"/>
  <c r="I10" i="15"/>
  <c r="I10" i="17" s="1"/>
  <c r="H10" i="15"/>
  <c r="H10" i="17" s="1"/>
  <c r="G10" i="15"/>
  <c r="G10" i="17" s="1"/>
  <c r="F10" i="15"/>
  <c r="F10" i="17" s="1"/>
  <c r="E10" i="15"/>
  <c r="E10" i="17" s="1"/>
  <c r="D10" i="15"/>
  <c r="D10" i="17" s="1"/>
  <c r="C10" i="15"/>
  <c r="C10" i="17" s="1"/>
  <c r="Y9" i="15"/>
  <c r="Y9" i="17" s="1"/>
  <c r="X9" i="15"/>
  <c r="W9" i="15"/>
  <c r="W9" i="17" s="1"/>
  <c r="V9" i="15"/>
  <c r="V9" i="17" s="1"/>
  <c r="U9" i="15"/>
  <c r="U9" i="17" s="1"/>
  <c r="T9" i="15"/>
  <c r="T9" i="17" s="1"/>
  <c r="S9" i="15"/>
  <c r="S9" i="17" s="1"/>
  <c r="Q9" i="15"/>
  <c r="Q9" i="17" s="1"/>
  <c r="P9" i="15"/>
  <c r="P9" i="17" s="1"/>
  <c r="O9" i="15"/>
  <c r="O9" i="17" s="1"/>
  <c r="N9" i="15"/>
  <c r="N9" i="17" s="1"/>
  <c r="M9" i="15"/>
  <c r="M9" i="17" s="1"/>
  <c r="L9" i="15"/>
  <c r="L9" i="17" s="1"/>
  <c r="K9" i="15"/>
  <c r="K9" i="17" s="1"/>
  <c r="I9" i="15"/>
  <c r="I9" i="17" s="1"/>
  <c r="H9" i="15"/>
  <c r="H9" i="17" s="1"/>
  <c r="G9" i="15"/>
  <c r="G9" i="17" s="1"/>
  <c r="F9" i="15"/>
  <c r="F9" i="17" s="1"/>
  <c r="E9" i="15"/>
  <c r="E9" i="17" s="1"/>
  <c r="D9" i="15"/>
  <c r="D9" i="17" s="1"/>
  <c r="C9" i="15"/>
  <c r="C9" i="17" s="1"/>
  <c r="Y8" i="15"/>
  <c r="Y8" i="17" s="1"/>
  <c r="X8" i="15"/>
  <c r="W8" i="15"/>
  <c r="W8" i="17" s="1"/>
  <c r="V8" i="15"/>
  <c r="V8" i="17" s="1"/>
  <c r="U8" i="15"/>
  <c r="U8" i="17" s="1"/>
  <c r="T8" i="15"/>
  <c r="T8" i="17" s="1"/>
  <c r="S8" i="15"/>
  <c r="S8" i="17" s="1"/>
  <c r="Q8" i="15"/>
  <c r="Q8" i="17" s="1"/>
  <c r="P8" i="15"/>
  <c r="P8" i="17" s="1"/>
  <c r="O8" i="15"/>
  <c r="O8" i="17" s="1"/>
  <c r="N8" i="15"/>
  <c r="N8" i="17" s="1"/>
  <c r="M8" i="15"/>
  <c r="M8" i="17" s="1"/>
  <c r="L8" i="15"/>
  <c r="L8" i="17" s="1"/>
  <c r="K8" i="15"/>
  <c r="K8" i="17" s="1"/>
  <c r="I8" i="15"/>
  <c r="I8" i="17" s="1"/>
  <c r="H8" i="15"/>
  <c r="H8" i="17" s="1"/>
  <c r="G8" i="15"/>
  <c r="G8" i="17" s="1"/>
  <c r="F8" i="15"/>
  <c r="F8" i="17" s="1"/>
  <c r="E8" i="15"/>
  <c r="E8" i="17" s="1"/>
  <c r="D8" i="15"/>
  <c r="D8" i="17" s="1"/>
  <c r="C8" i="15"/>
  <c r="C8" i="17" s="1"/>
  <c r="Y7" i="15"/>
  <c r="Y7" i="17" s="1"/>
  <c r="X7" i="15"/>
  <c r="W7" i="15"/>
  <c r="W7" i="17" s="1"/>
  <c r="V7" i="15"/>
  <c r="V7" i="17" s="1"/>
  <c r="U7" i="15"/>
  <c r="U7" i="17" s="1"/>
  <c r="T7" i="15"/>
  <c r="T7" i="17" s="1"/>
  <c r="S7" i="15"/>
  <c r="S7" i="17" s="1"/>
  <c r="Q7" i="15"/>
  <c r="Q7" i="17" s="1"/>
  <c r="P7" i="15"/>
  <c r="P7" i="17" s="1"/>
  <c r="O7" i="15"/>
  <c r="O7" i="17" s="1"/>
  <c r="N7" i="15"/>
  <c r="N7" i="17" s="1"/>
  <c r="M7" i="15"/>
  <c r="M7" i="17" s="1"/>
  <c r="L7" i="15"/>
  <c r="L7" i="17" s="1"/>
  <c r="K7" i="15"/>
  <c r="K7" i="17" s="1"/>
  <c r="I7" i="15"/>
  <c r="I7" i="17" s="1"/>
  <c r="H7" i="15"/>
  <c r="H7" i="17" s="1"/>
  <c r="G7" i="15"/>
  <c r="G7" i="17" s="1"/>
  <c r="F7" i="15"/>
  <c r="F7" i="17" s="1"/>
  <c r="E7" i="15"/>
  <c r="E7" i="17" s="1"/>
  <c r="D7" i="15"/>
  <c r="D7" i="17" s="1"/>
  <c r="C7" i="15"/>
  <c r="C7" i="17" s="1"/>
  <c r="Y6" i="15"/>
  <c r="Y6" i="17" s="1"/>
  <c r="X6" i="15"/>
  <c r="W6" i="15"/>
  <c r="W6" i="17" s="1"/>
  <c r="V6" i="15"/>
  <c r="V6" i="17" s="1"/>
  <c r="U6" i="15"/>
  <c r="U6" i="17" s="1"/>
  <c r="T6" i="15"/>
  <c r="T6" i="17" s="1"/>
  <c r="S6" i="15"/>
  <c r="S6" i="17" s="1"/>
  <c r="Q6" i="15"/>
  <c r="Q6" i="17" s="1"/>
  <c r="P6" i="15"/>
  <c r="P6" i="17" s="1"/>
  <c r="O6" i="15"/>
  <c r="O6" i="17" s="1"/>
  <c r="N6" i="15"/>
  <c r="N6" i="17" s="1"/>
  <c r="M6" i="15"/>
  <c r="M6" i="17" s="1"/>
  <c r="L6" i="15"/>
  <c r="L6" i="17" s="1"/>
  <c r="K6" i="15"/>
  <c r="K6" i="17" s="1"/>
  <c r="I6" i="15"/>
  <c r="I6" i="17" s="1"/>
  <c r="H6" i="15"/>
  <c r="H6" i="17" s="1"/>
  <c r="G6" i="15"/>
  <c r="G6" i="17" s="1"/>
  <c r="F6" i="15"/>
  <c r="F6" i="17" s="1"/>
  <c r="E6" i="15"/>
  <c r="E6" i="17" s="1"/>
  <c r="D6" i="15"/>
  <c r="D6" i="17" s="1"/>
  <c r="C6" i="15"/>
  <c r="C6" i="17" s="1"/>
  <c r="Y5" i="15"/>
  <c r="Y5" i="17" s="1"/>
  <c r="X5" i="15"/>
  <c r="W5" i="15"/>
  <c r="W5" i="17" s="1"/>
  <c r="V5" i="15"/>
  <c r="V5" i="17" s="1"/>
  <c r="U5" i="15"/>
  <c r="U5" i="17" s="1"/>
  <c r="T5" i="15"/>
  <c r="T5" i="17" s="1"/>
  <c r="S5" i="15"/>
  <c r="S5" i="17" s="1"/>
  <c r="Q5" i="15"/>
  <c r="Q5" i="17" s="1"/>
  <c r="P5" i="15"/>
  <c r="P5" i="17" s="1"/>
  <c r="O5" i="15"/>
  <c r="O5" i="17" s="1"/>
  <c r="N5" i="15"/>
  <c r="N5" i="17" s="1"/>
  <c r="M5" i="15"/>
  <c r="M5" i="17" s="1"/>
  <c r="L5" i="15"/>
  <c r="L5" i="17" s="1"/>
  <c r="K5" i="15"/>
  <c r="K5" i="17" s="1"/>
  <c r="I5" i="15"/>
  <c r="I5" i="17" s="1"/>
  <c r="H5" i="15"/>
  <c r="H5" i="17" s="1"/>
  <c r="G5" i="15"/>
  <c r="G5" i="17" s="1"/>
  <c r="F5" i="15"/>
  <c r="F5" i="17" s="1"/>
  <c r="E5" i="15"/>
  <c r="E5" i="17" s="1"/>
  <c r="D5" i="15"/>
  <c r="D5" i="17" s="1"/>
  <c r="C5" i="15"/>
  <c r="C5" i="17" s="1"/>
  <c r="Y4" i="15"/>
  <c r="Y4" i="17" s="1"/>
  <c r="X4" i="15"/>
  <c r="X4" i="17" s="1"/>
  <c r="W4" i="15"/>
  <c r="W4" i="17" s="1"/>
  <c r="V4" i="15"/>
  <c r="V4" i="17" s="1"/>
  <c r="U4" i="15"/>
  <c r="U4" i="17" s="1"/>
  <c r="S4" i="15"/>
  <c r="S4" i="17" s="1"/>
  <c r="Q4" i="15"/>
  <c r="Q4" i="17" s="1"/>
  <c r="P4" i="15"/>
  <c r="P4" i="17" s="1"/>
  <c r="O4" i="15"/>
  <c r="O4" i="17" s="1"/>
  <c r="N4" i="15"/>
  <c r="N4" i="17" s="1"/>
  <c r="M4" i="15"/>
  <c r="M4" i="17" s="1"/>
  <c r="L4" i="15"/>
  <c r="L4" i="17" s="1"/>
  <c r="K4" i="15"/>
  <c r="K4" i="17" s="1"/>
  <c r="I4" i="15"/>
  <c r="I4" i="17" s="1"/>
  <c r="H4" i="15"/>
  <c r="H4" i="17" s="1"/>
  <c r="G4" i="15"/>
  <c r="G4" i="17" s="1"/>
  <c r="F4" i="15"/>
  <c r="F4" i="17" s="1"/>
  <c r="E4" i="15"/>
  <c r="E4" i="17" s="1"/>
  <c r="D4" i="15"/>
  <c r="D4" i="17" s="1"/>
  <c r="C4" i="15"/>
  <c r="C4" i="17" s="1"/>
  <c r="J32" i="10"/>
  <c r="R16" i="17" l="1"/>
  <c r="AR16" i="16" s="1" a="1"/>
  <c r="AR16" i="16" s="1"/>
  <c r="R32" i="17"/>
  <c r="AR32" i="16" s="1" a="1"/>
  <c r="AR32" i="16" s="1"/>
  <c r="R10" i="17"/>
  <c r="AR10" i="16" s="1" a="1"/>
  <c r="AR10" i="16" s="1"/>
  <c r="R6" i="17"/>
  <c r="R12" i="17"/>
  <c r="AR12" i="16" s="1" a="1"/>
  <c r="AR12" i="16" s="1"/>
  <c r="AT16" i="7"/>
  <c r="X16" i="17"/>
  <c r="AT16" i="16" s="1"/>
  <c r="R28" i="17"/>
  <c r="AR28" i="16" s="1" a="1"/>
  <c r="AR28" i="16" s="1"/>
  <c r="AT32" i="7"/>
  <c r="X32" i="17"/>
  <c r="AT32" i="16" s="1"/>
  <c r="Z4" i="17"/>
  <c r="AA4" i="17" s="1"/>
  <c r="U34" i="17"/>
  <c r="R9" i="17"/>
  <c r="AR9" i="16" s="1" a="1"/>
  <c r="AR9" i="16" s="1"/>
  <c r="AT13" i="7"/>
  <c r="X13" i="17"/>
  <c r="AT13" i="16" s="1"/>
  <c r="R25" i="17"/>
  <c r="AR25" i="16" s="1" a="1"/>
  <c r="AR25" i="16" s="1"/>
  <c r="AT29" i="7"/>
  <c r="X29" i="17"/>
  <c r="AT29" i="16" s="1"/>
  <c r="R22" i="17"/>
  <c r="AT26" i="7"/>
  <c r="X26" i="17"/>
  <c r="AT26" i="16" s="1"/>
  <c r="D34" i="17"/>
  <c r="W34" i="17"/>
  <c r="AT7" i="7"/>
  <c r="X7" i="17"/>
  <c r="AT7" i="16" s="1"/>
  <c r="Z11" i="17"/>
  <c r="AA11" i="17" s="1"/>
  <c r="R19" i="17"/>
  <c r="AR19" i="16" s="1" a="1"/>
  <c r="AR19" i="16" s="1"/>
  <c r="AT23" i="7"/>
  <c r="X23" i="17"/>
  <c r="AT23" i="16" s="1"/>
  <c r="F34" i="17"/>
  <c r="Y34" i="17"/>
  <c r="T34" i="17"/>
  <c r="R13" i="17"/>
  <c r="AR13" i="16" s="1" a="1"/>
  <c r="AR13" i="16" s="1"/>
  <c r="AT17" i="7"/>
  <c r="X17" i="17"/>
  <c r="AT17" i="16" s="1"/>
  <c r="R29" i="17"/>
  <c r="AR29" i="16" s="1" a="1"/>
  <c r="AR29" i="16" s="1"/>
  <c r="AT33" i="7"/>
  <c r="X33" i="17"/>
  <c r="AT33" i="16" s="1"/>
  <c r="R26" i="17"/>
  <c r="AR26" i="16" s="1" a="1"/>
  <c r="AR26" i="16" s="1"/>
  <c r="AT30" i="7"/>
  <c r="X30" i="17"/>
  <c r="AT30" i="16" s="1"/>
  <c r="R23" i="17"/>
  <c r="AR23" i="16" s="1" a="1"/>
  <c r="AR23" i="16" s="1"/>
  <c r="AT27" i="7"/>
  <c r="X27" i="17"/>
  <c r="AT27" i="16" s="1"/>
  <c r="H34" i="17"/>
  <c r="AT8" i="7"/>
  <c r="X8" i="17"/>
  <c r="AT8" i="16" s="1"/>
  <c r="R20" i="17"/>
  <c r="AR20" i="16" s="1" a="1"/>
  <c r="AR20" i="16" s="1"/>
  <c r="AT24" i="7"/>
  <c r="X24" i="17"/>
  <c r="AT24" i="16" s="1"/>
  <c r="S34" i="17"/>
  <c r="R7" i="17"/>
  <c r="AR7" i="16" s="1" a="1"/>
  <c r="AR7" i="16" s="1"/>
  <c r="AT11" i="7"/>
  <c r="X11" i="17"/>
  <c r="AT11" i="16" s="1"/>
  <c r="I34" i="17"/>
  <c r="R17" i="17"/>
  <c r="AR17" i="16" s="1" a="1"/>
  <c r="AR17" i="16" s="1"/>
  <c r="AT21" i="7"/>
  <c r="X21" i="17"/>
  <c r="AT21" i="16" s="1"/>
  <c r="R33" i="17"/>
  <c r="AR33" i="16" s="1" a="1"/>
  <c r="AR33" i="16" s="1"/>
  <c r="V34" i="17"/>
  <c r="AT4" i="16"/>
  <c r="AT20" i="7"/>
  <c r="X20" i="17"/>
  <c r="AT20" i="16" s="1"/>
  <c r="G34" i="17"/>
  <c r="AT14" i="7"/>
  <c r="X14" i="17"/>
  <c r="AT14" i="16" s="1"/>
  <c r="R4" i="17"/>
  <c r="AR4" i="16" s="1" a="1"/>
  <c r="AR4" i="16" s="1"/>
  <c r="K34" i="17"/>
  <c r="AT5" i="7"/>
  <c r="X5" i="17"/>
  <c r="AT5" i="16" s="1"/>
  <c r="L34" i="17"/>
  <c r="R14" i="17"/>
  <c r="AR14" i="16" s="1" a="1"/>
  <c r="AR14" i="16" s="1"/>
  <c r="AT18" i="7"/>
  <c r="X18" i="17"/>
  <c r="AT18" i="16" s="1"/>
  <c r="R30" i="17"/>
  <c r="AR30" i="16" s="1" a="1"/>
  <c r="AR30" i="16" s="1"/>
  <c r="M34" i="17"/>
  <c r="R11" i="17"/>
  <c r="AR11" i="16" s="1" a="1"/>
  <c r="AR11" i="16" s="1"/>
  <c r="AT31" i="7"/>
  <c r="X31" i="17"/>
  <c r="AT31" i="16" s="1"/>
  <c r="AT15" i="7"/>
  <c r="X15" i="17"/>
  <c r="AT15" i="16" s="1"/>
  <c r="R27" i="17"/>
  <c r="AR27" i="16" s="1" a="1"/>
  <c r="AR27" i="16" s="1"/>
  <c r="AR6" i="16" a="1"/>
  <c r="AR6" i="16" s="1"/>
  <c r="R8" i="17"/>
  <c r="AR8" i="16" s="1" a="1"/>
  <c r="AR8" i="16" s="1"/>
  <c r="AT12" i="7"/>
  <c r="X12" i="17"/>
  <c r="AT12" i="16" s="1"/>
  <c r="Z16" i="17"/>
  <c r="AA16" i="17" s="1"/>
  <c r="AR22" i="16" a="1"/>
  <c r="AR22" i="16" s="1"/>
  <c r="R24" i="17"/>
  <c r="AR24" i="16" s="1" a="1"/>
  <c r="AR24" i="16" s="1"/>
  <c r="AT28" i="7"/>
  <c r="X28" i="17"/>
  <c r="AT28" i="16" s="1"/>
  <c r="Z32" i="17"/>
  <c r="AA32" i="17" s="1"/>
  <c r="N34" i="17"/>
  <c r="O34" i="17"/>
  <c r="AT9" i="7"/>
  <c r="X9" i="17"/>
  <c r="AT9" i="16" s="1"/>
  <c r="Z13" i="17"/>
  <c r="AA13" i="17" s="1"/>
  <c r="R21" i="17"/>
  <c r="AR21" i="16" s="1" a="1"/>
  <c r="AR21" i="16" s="1"/>
  <c r="AT25" i="7"/>
  <c r="X25" i="17"/>
  <c r="AT25" i="16" s="1"/>
  <c r="AT10" i="7"/>
  <c r="X10" i="17"/>
  <c r="AT10" i="16" s="1"/>
  <c r="E34" i="17"/>
  <c r="R5" i="17"/>
  <c r="AR5" i="16" s="1" a="1"/>
  <c r="AR5" i="16" s="1"/>
  <c r="P34" i="17"/>
  <c r="AT6" i="7"/>
  <c r="X6" i="17"/>
  <c r="AT6" i="16" s="1"/>
  <c r="R18" i="17"/>
  <c r="AR18" i="16" s="1" a="1"/>
  <c r="AR18" i="16" s="1"/>
  <c r="AT22" i="7"/>
  <c r="X22" i="17"/>
  <c r="AT22" i="16" s="1"/>
  <c r="Z26" i="17"/>
  <c r="AA26" i="17" s="1"/>
  <c r="Q34" i="17"/>
  <c r="Z7" i="17"/>
  <c r="AA7" i="17" s="1"/>
  <c r="R15" i="17"/>
  <c r="AR15" i="16" s="1" a="1"/>
  <c r="AR15" i="16" s="1"/>
  <c r="AT19" i="7"/>
  <c r="X19" i="17"/>
  <c r="AT19" i="16" s="1"/>
  <c r="Z23" i="17"/>
  <c r="AA23" i="17" s="1"/>
  <c r="R31" i="17"/>
  <c r="AR31" i="16" s="1" a="1"/>
  <c r="AR31" i="16" s="1"/>
  <c r="R16" i="15"/>
  <c r="AR16" i="7" s="1"/>
  <c r="R32" i="15"/>
  <c r="AR32" i="7" s="1"/>
  <c r="R19" i="15"/>
  <c r="AR19" i="7" s="1"/>
  <c r="Z33" i="15"/>
  <c r="R10" i="15"/>
  <c r="AR10" i="7" s="1"/>
  <c r="R29" i="15"/>
  <c r="AR29" i="7" s="1"/>
  <c r="R13" i="15"/>
  <c r="AR13" i="7" s="1"/>
  <c r="R26" i="15"/>
  <c r="AR26" i="7" s="1"/>
  <c r="R17" i="15"/>
  <c r="AR17" i="7" s="1"/>
  <c r="R33" i="15"/>
  <c r="AR33" i="7" s="1"/>
  <c r="AT4" i="7"/>
  <c r="R7" i="15"/>
  <c r="AR7" i="7" s="1"/>
  <c r="R23" i="15"/>
  <c r="AR23" i="7" s="1"/>
  <c r="R4" i="15"/>
  <c r="AR4" i="7" s="1"/>
  <c r="R20" i="15"/>
  <c r="AR20" i="7" s="1"/>
  <c r="R14" i="15"/>
  <c r="AR14" i="7" s="1"/>
  <c r="R30" i="15"/>
  <c r="AR30" i="7" s="1"/>
  <c r="R11" i="15"/>
  <c r="AR11" i="7" s="1"/>
  <c r="R27" i="15"/>
  <c r="AR27" i="7" s="1"/>
  <c r="R8" i="15"/>
  <c r="AR8" i="7" s="1"/>
  <c r="R24" i="15"/>
  <c r="AR24" i="7" s="1"/>
  <c r="R5" i="15"/>
  <c r="AR5" i="7" s="1"/>
  <c r="R21" i="15"/>
  <c r="AR21" i="7" s="1"/>
  <c r="R18" i="15"/>
  <c r="AR18" i="7" s="1"/>
  <c r="R15" i="15"/>
  <c r="AR15" i="7" s="1"/>
  <c r="R31" i="15"/>
  <c r="AR31" i="7" s="1"/>
  <c r="R28" i="15"/>
  <c r="AR28" i="7" s="1"/>
  <c r="R12" i="15"/>
  <c r="AR12" i="7" s="1"/>
  <c r="R9" i="15"/>
  <c r="AR9" i="7" s="1"/>
  <c r="R25" i="15"/>
  <c r="AR25" i="7" s="1"/>
  <c r="R6" i="15"/>
  <c r="AR6" i="7" s="1"/>
  <c r="R22" i="15"/>
  <c r="AR22" i="7" s="1"/>
  <c r="AK1" i="5"/>
  <c r="AL1" i="5"/>
  <c r="X34" i="15"/>
  <c r="AB34" i="15" s="1"/>
  <c r="AC34" i="15" s="1"/>
  <c r="W34" i="15"/>
  <c r="M34" i="15"/>
  <c r="F34" i="15"/>
  <c r="E34" i="15"/>
  <c r="AC1" i="5"/>
  <c r="AD1" i="5"/>
  <c r="AE1" i="5"/>
  <c r="AF1" i="5"/>
  <c r="AG1" i="5"/>
  <c r="AH1" i="5"/>
  <c r="AI1" i="5"/>
  <c r="AJ1" i="5"/>
  <c r="AE37" i="5"/>
  <c r="Z10" i="17" l="1"/>
  <c r="AA10" i="17" s="1"/>
  <c r="Z29" i="17"/>
  <c r="AA29" i="17" s="1"/>
  <c r="Z33" i="17"/>
  <c r="AA33" i="17" s="1"/>
  <c r="Z22" i="17"/>
  <c r="AA22" i="17" s="1"/>
  <c r="Z17" i="17"/>
  <c r="AA17" i="17" s="1"/>
  <c r="Z6" i="17"/>
  <c r="AA6" i="17" s="1"/>
  <c r="Z28" i="17"/>
  <c r="AA28" i="17" s="1"/>
  <c r="X34" i="17"/>
  <c r="AT34" i="16"/>
  <c r="Z21" i="17"/>
  <c r="AA21" i="17" s="1"/>
  <c r="Z12" i="17"/>
  <c r="AA12" i="17" s="1"/>
  <c r="Z25" i="17"/>
  <c r="AA25" i="17" s="1"/>
  <c r="Z15" i="17"/>
  <c r="AA15" i="17" s="1"/>
  <c r="Z34" i="17"/>
  <c r="Z14" i="17"/>
  <c r="AA14" i="17" s="1"/>
  <c r="Z9" i="17"/>
  <c r="AA9" i="17" s="1"/>
  <c r="Z31" i="17"/>
  <c r="AA31" i="17" s="1"/>
  <c r="Z5" i="17"/>
  <c r="AA5" i="17" s="1"/>
  <c r="Z30" i="17"/>
  <c r="AA30" i="17" s="1"/>
  <c r="R34" i="17"/>
  <c r="Z18" i="17"/>
  <c r="AA18" i="17" s="1"/>
  <c r="Z20" i="17"/>
  <c r="AA20" i="17" s="1"/>
  <c r="Z24" i="17"/>
  <c r="AA24" i="17" s="1"/>
  <c r="Z19" i="17"/>
  <c r="AA19" i="17" s="1"/>
  <c r="Z8" i="17"/>
  <c r="AA8" i="17" s="1"/>
  <c r="Z27" i="17"/>
  <c r="AA27" i="17" s="1"/>
  <c r="Y34" i="15"/>
  <c r="I34" i="15"/>
  <c r="K34" i="15"/>
  <c r="L34" i="15"/>
  <c r="N34" i="15"/>
  <c r="O34" i="15"/>
  <c r="S34" i="15"/>
  <c r="P34" i="15"/>
  <c r="T34" i="15"/>
  <c r="U34" i="15"/>
  <c r="Q34" i="15"/>
  <c r="D34" i="15"/>
  <c r="V34" i="15"/>
  <c r="G34" i="15"/>
  <c r="H34" i="15"/>
  <c r="Z7" i="15"/>
  <c r="AA7" i="15" s="1"/>
  <c r="Z11" i="15"/>
  <c r="AA11" i="15" s="1"/>
  <c r="AA34" i="17" l="1"/>
  <c r="C45" i="15"/>
  <c r="Z34" i="15"/>
  <c r="AA33" i="15"/>
  <c r="Z29" i="15"/>
  <c r="AA29" i="15" s="1"/>
  <c r="Z25" i="15"/>
  <c r="AA25" i="15" s="1"/>
  <c r="Z17" i="15"/>
  <c r="AA17" i="15" s="1"/>
  <c r="Z12" i="15"/>
  <c r="AA12" i="15" s="1"/>
  <c r="Z19" i="15"/>
  <c r="AA19" i="15" s="1"/>
  <c r="Z15" i="15"/>
  <c r="AA15" i="15" s="1"/>
  <c r="Z20" i="15"/>
  <c r="AA20" i="15" s="1"/>
  <c r="Z13" i="15"/>
  <c r="AA13" i="15" s="1"/>
  <c r="Z9" i="15"/>
  <c r="AA9" i="15" s="1"/>
  <c r="Z5" i="15"/>
  <c r="AA5" i="15" s="1"/>
  <c r="Z28" i="15"/>
  <c r="AA28" i="15" s="1"/>
  <c r="Z32" i="15"/>
  <c r="AA32" i="15" s="1"/>
  <c r="Z24" i="15"/>
  <c r="AA24" i="15" s="1"/>
  <c r="Z16" i="15"/>
  <c r="AA16" i="15" s="1"/>
  <c r="Z8" i="15"/>
  <c r="AA8" i="15" s="1"/>
  <c r="Z31" i="15"/>
  <c r="AA31" i="15" s="1"/>
  <c r="Z27" i="15"/>
  <c r="AA27" i="15" s="1"/>
  <c r="Z23" i="15"/>
  <c r="AA23" i="15" s="1"/>
  <c r="Z30" i="15"/>
  <c r="AA30" i="15" s="1"/>
  <c r="Z26" i="15"/>
  <c r="AA26" i="15" s="1"/>
  <c r="Z22" i="15"/>
  <c r="AA22" i="15" s="1"/>
  <c r="Z4" i="15"/>
  <c r="AA4" i="15" s="1"/>
  <c r="Z18" i="15"/>
  <c r="AA18" i="15" s="1"/>
  <c r="Z14" i="15"/>
  <c r="AA14" i="15" s="1"/>
  <c r="Z10" i="15"/>
  <c r="AA10" i="15" s="1"/>
  <c r="Z6" i="15"/>
  <c r="AA6" i="15" s="1"/>
  <c r="Z21" i="15"/>
  <c r="AA21" i="15" s="1"/>
  <c r="AA34" i="15" l="1"/>
  <c r="R34" i="15"/>
  <c r="J34" i="15"/>
  <c r="D33" i="10" l="1"/>
  <c r="E33" i="10"/>
  <c r="F33" i="10"/>
  <c r="G33" i="10"/>
  <c r="H33" i="10"/>
  <c r="I33" i="10"/>
  <c r="M33" i="10" s="1"/>
  <c r="N33" i="10" s="1"/>
  <c r="T33" i="10"/>
  <c r="AA37" i="5"/>
  <c r="Z37" i="5"/>
  <c r="Y37" i="5"/>
  <c r="X37" i="5"/>
  <c r="W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D37" i="5"/>
  <c r="E37" i="5"/>
  <c r="V37" i="5"/>
  <c r="J3" i="10"/>
  <c r="B1" i="14"/>
  <c r="C1" i="14"/>
  <c r="U1" i="5"/>
  <c r="T1" i="5"/>
  <c r="S1" i="5"/>
  <c r="E9" i="13" l="1"/>
  <c r="J33" i="10"/>
  <c r="K33" i="10" s="1"/>
  <c r="B16" i="13"/>
  <c r="D16" i="13" s="1"/>
  <c r="B15" i="13"/>
  <c r="D15" i="13" s="1"/>
  <c r="B33" i="13"/>
  <c r="D33" i="13" s="1"/>
  <c r="F33" i="13" s="1"/>
  <c r="B14" i="13"/>
  <c r="D14" i="13" s="1"/>
  <c r="B32" i="13"/>
  <c r="B13" i="13"/>
  <c r="D13" i="13" s="1"/>
  <c r="B31" i="13"/>
  <c r="B12" i="13"/>
  <c r="D12" i="13" s="1"/>
  <c r="B30" i="13"/>
  <c r="B11" i="13"/>
  <c r="D11" i="13" s="1"/>
  <c r="B29" i="13"/>
  <c r="D10" i="13"/>
  <c r="B28" i="13"/>
  <c r="B27" i="13"/>
  <c r="B24" i="13"/>
  <c r="D24" i="13" s="1"/>
  <c r="F24" i="13" s="1"/>
  <c r="B23" i="13"/>
  <c r="D23" i="13" s="1"/>
  <c r="F23" i="13" s="1"/>
  <c r="B22" i="13"/>
  <c r="D22" i="13" s="1"/>
  <c r="F22" i="13" s="1"/>
  <c r="B21" i="13"/>
  <c r="D21" i="13" s="1"/>
  <c r="F21" i="13" s="1"/>
  <c r="B20" i="13"/>
  <c r="D20" i="13" s="1"/>
  <c r="F20" i="13" s="1"/>
  <c r="B19" i="13"/>
  <c r="D19" i="13" s="1"/>
  <c r="F19" i="13" s="1"/>
  <c r="B18" i="13"/>
  <c r="D18" i="13" s="1"/>
  <c r="F18" i="13" s="1"/>
  <c r="C36" i="12"/>
  <c r="F55" i="13" l="1"/>
  <c r="F53" i="13"/>
  <c r="B53" i="13"/>
  <c r="B55" i="13"/>
  <c r="D55" i="13"/>
  <c r="D53" i="13"/>
  <c r="F12" i="13"/>
  <c r="F10" i="13"/>
  <c r="F11" i="13"/>
  <c r="F13" i="13"/>
  <c r="D32" i="13"/>
  <c r="F32" i="13" s="1"/>
  <c r="B42" i="13"/>
  <c r="F14" i="13"/>
  <c r="F15" i="13"/>
  <c r="F16" i="13"/>
  <c r="D27" i="13"/>
  <c r="D28" i="13"/>
  <c r="D29" i="13"/>
  <c r="D30" i="13"/>
  <c r="D31" i="13"/>
  <c r="B17" i="13"/>
  <c r="C48" i="12"/>
  <c r="C27" i="12"/>
  <c r="C18" i="12"/>
  <c r="G71" i="12"/>
  <c r="G70" i="12"/>
  <c r="O68" i="12"/>
  <c r="K67" i="12"/>
  <c r="K69" i="12" s="1"/>
  <c r="G62" i="12"/>
  <c r="G63" i="12" s="1"/>
  <c r="O60" i="12"/>
  <c r="K59" i="12"/>
  <c r="K61" i="12" s="1"/>
  <c r="G54" i="12"/>
  <c r="G55" i="12" s="1"/>
  <c r="O52" i="12"/>
  <c r="K51" i="12"/>
  <c r="K53" i="12" s="1"/>
  <c r="G49" i="12"/>
  <c r="K47" i="12"/>
  <c r="K45" i="12"/>
  <c r="K46" i="12" s="1"/>
  <c r="C45" i="12"/>
  <c r="O40" i="12"/>
  <c r="K36" i="12"/>
  <c r="G36" i="12"/>
  <c r="K33" i="12"/>
  <c r="O51" i="12" s="1"/>
  <c r="O29" i="12"/>
  <c r="K14" i="12"/>
  <c r="K12" i="12"/>
  <c r="G11" i="12"/>
  <c r="C18" i="11"/>
  <c r="C26" i="21" l="1"/>
  <c r="H8" i="18"/>
  <c r="H27" i="18"/>
  <c r="H28" i="18"/>
  <c r="H15" i="18"/>
  <c r="H33" i="18"/>
  <c r="H30" i="18"/>
  <c r="H11" i="18"/>
  <c r="H34" i="18"/>
  <c r="H29" i="18"/>
  <c r="H20" i="18"/>
  <c r="H24" i="18"/>
  <c r="H26" i="18"/>
  <c r="H17" i="18"/>
  <c r="H4" i="18"/>
  <c r="H13" i="18"/>
  <c r="H23" i="18"/>
  <c r="H22" i="18"/>
  <c r="H36" i="18"/>
  <c r="H14" i="18"/>
  <c r="H21" i="18"/>
  <c r="H9" i="18"/>
  <c r="H5" i="18"/>
  <c r="H19" i="18"/>
  <c r="H25" i="18"/>
  <c r="H16" i="18"/>
  <c r="H7" i="18"/>
  <c r="H32" i="18"/>
  <c r="H10" i="18"/>
  <c r="H35" i="18"/>
  <c r="H6" i="18"/>
  <c r="H18" i="18"/>
  <c r="H31" i="18"/>
  <c r="H12" i="18"/>
  <c r="I25" i="18"/>
  <c r="I18" i="18"/>
  <c r="I22" i="18"/>
  <c r="I34" i="18"/>
  <c r="I32" i="18"/>
  <c r="I9" i="18"/>
  <c r="I15" i="18"/>
  <c r="I6" i="18"/>
  <c r="I35" i="18"/>
  <c r="I24" i="18"/>
  <c r="I12" i="18"/>
  <c r="I8" i="18"/>
  <c r="I7" i="18"/>
  <c r="I30" i="18"/>
  <c r="I36" i="18"/>
  <c r="I14" i="18"/>
  <c r="I4" i="18"/>
  <c r="I10" i="18"/>
  <c r="I28" i="18"/>
  <c r="I20" i="18"/>
  <c r="I19" i="18"/>
  <c r="I23" i="18"/>
  <c r="I21" i="18"/>
  <c r="I13" i="18"/>
  <c r="I11" i="18"/>
  <c r="I31" i="18"/>
  <c r="I27" i="18"/>
  <c r="I17" i="18"/>
  <c r="I5" i="18"/>
  <c r="I33" i="18"/>
  <c r="I16" i="18"/>
  <c r="I29" i="18"/>
  <c r="I26" i="18"/>
  <c r="G26" i="12"/>
  <c r="C8" i="18"/>
  <c r="C6" i="18"/>
  <c r="C5" i="18"/>
  <c r="C12" i="18"/>
  <c r="C9" i="18"/>
  <c r="C18" i="18"/>
  <c r="C11" i="18"/>
  <c r="C20" i="18"/>
  <c r="C13" i="18"/>
  <c r="C24" i="18"/>
  <c r="C15" i="18"/>
  <c r="C28" i="18"/>
  <c r="C17" i="18"/>
  <c r="C32" i="18"/>
  <c r="C19" i="18"/>
  <c r="C36" i="18"/>
  <c r="C21" i="18"/>
  <c r="C10" i="18"/>
  <c r="C23" i="18"/>
  <c r="C16" i="18"/>
  <c r="C25" i="18"/>
  <c r="C22" i="18"/>
  <c r="C27" i="18"/>
  <c r="C30" i="18"/>
  <c r="C26" i="18"/>
  <c r="C29" i="18"/>
  <c r="C31" i="18"/>
  <c r="C34" i="18"/>
  <c r="C33" i="18"/>
  <c r="C4" i="18"/>
  <c r="C35" i="18"/>
  <c r="C14" i="18"/>
  <c r="C7" i="18"/>
  <c r="H316" i="18"/>
  <c r="H300" i="18"/>
  <c r="H284" i="18"/>
  <c r="H271" i="18"/>
  <c r="H256" i="18"/>
  <c r="H240" i="18"/>
  <c r="H224" i="18"/>
  <c r="H208" i="18"/>
  <c r="H192" i="18"/>
  <c r="H176" i="18"/>
  <c r="H160" i="18"/>
  <c r="H144" i="18"/>
  <c r="H128" i="18"/>
  <c r="H112" i="18"/>
  <c r="H96" i="18"/>
  <c r="H80" i="18"/>
  <c r="H64" i="18"/>
  <c r="H315" i="18"/>
  <c r="H299" i="18"/>
  <c r="H283" i="18"/>
  <c r="H270" i="18"/>
  <c r="H255" i="18"/>
  <c r="H239" i="18"/>
  <c r="H223" i="18"/>
  <c r="H207" i="18"/>
  <c r="H191" i="18"/>
  <c r="H175" i="18"/>
  <c r="H159" i="18"/>
  <c r="H143" i="18"/>
  <c r="H127" i="18"/>
  <c r="H111" i="18"/>
  <c r="H95" i="18"/>
  <c r="H79" i="18"/>
  <c r="H63" i="18"/>
  <c r="H50" i="18"/>
  <c r="H314" i="18"/>
  <c r="H298" i="18"/>
  <c r="H282" i="18"/>
  <c r="H269" i="18"/>
  <c r="H254" i="18"/>
  <c r="H238" i="18"/>
  <c r="H222" i="18"/>
  <c r="H206" i="18"/>
  <c r="H190" i="18"/>
  <c r="H174" i="18"/>
  <c r="H158" i="18"/>
  <c r="H142" i="18"/>
  <c r="H126" i="18"/>
  <c r="H110" i="18"/>
  <c r="H94" i="18"/>
  <c r="H78" i="18"/>
  <c r="H62" i="18"/>
  <c r="H49" i="18"/>
  <c r="H313" i="18"/>
  <c r="H297" i="18"/>
  <c r="H268" i="18"/>
  <c r="H253" i="18"/>
  <c r="H237" i="18"/>
  <c r="H221" i="18"/>
  <c r="H205" i="18"/>
  <c r="H189" i="18"/>
  <c r="H173" i="18"/>
  <c r="H157" i="18"/>
  <c r="H141" i="18"/>
  <c r="H125" i="18"/>
  <c r="H109" i="18"/>
  <c r="H93" i="18"/>
  <c r="H77" i="18"/>
  <c r="H61" i="18"/>
  <c r="H48" i="18"/>
  <c r="H312" i="18"/>
  <c r="H296" i="18"/>
  <c r="H267" i="18"/>
  <c r="H252" i="18"/>
  <c r="H236" i="18"/>
  <c r="H220" i="18"/>
  <c r="H204" i="18"/>
  <c r="H188" i="18"/>
  <c r="H172" i="18"/>
  <c r="H156" i="18"/>
  <c r="H140" i="18"/>
  <c r="H124" i="18"/>
  <c r="H108" i="18"/>
  <c r="H92" i="18"/>
  <c r="H76" i="18"/>
  <c r="H60" i="18"/>
  <c r="H47" i="18"/>
  <c r="H311" i="18"/>
  <c r="H295" i="18"/>
  <c r="H266" i="18"/>
  <c r="H251" i="18"/>
  <c r="H235" i="18"/>
  <c r="H219" i="18"/>
  <c r="H203" i="18"/>
  <c r="H187" i="18"/>
  <c r="H171" i="18"/>
  <c r="H155" i="18"/>
  <c r="H139" i="18"/>
  <c r="H123" i="18"/>
  <c r="H107" i="18"/>
  <c r="H91" i="18"/>
  <c r="H75" i="18"/>
  <c r="H59" i="18"/>
  <c r="H46" i="18"/>
  <c r="H310" i="18"/>
  <c r="H294" i="18"/>
  <c r="H281" i="18"/>
  <c r="H265" i="18"/>
  <c r="H250" i="18"/>
  <c r="H234" i="18"/>
  <c r="H218" i="18"/>
  <c r="H202" i="18"/>
  <c r="H186" i="18"/>
  <c r="H170" i="18"/>
  <c r="H154" i="18"/>
  <c r="H138" i="18"/>
  <c r="H122" i="18"/>
  <c r="H106" i="18"/>
  <c r="H90" i="18"/>
  <c r="H74" i="18"/>
  <c r="H58" i="18"/>
  <c r="H45" i="18"/>
  <c r="H325" i="18"/>
  <c r="H309" i="18"/>
  <c r="H293" i="18"/>
  <c r="H280" i="18"/>
  <c r="H264" i="18"/>
  <c r="H249" i="18"/>
  <c r="H233" i="18"/>
  <c r="H217" i="18"/>
  <c r="H201" i="18"/>
  <c r="H185" i="18"/>
  <c r="H169" i="18"/>
  <c r="H153" i="18"/>
  <c r="H137" i="18"/>
  <c r="H121" i="18"/>
  <c r="H105" i="18"/>
  <c r="H89" i="18"/>
  <c r="H73" i="18"/>
  <c r="H57" i="18"/>
  <c r="H44" i="18"/>
  <c r="H324" i="18"/>
  <c r="H308" i="18"/>
  <c r="H292" i="18"/>
  <c r="H279" i="18"/>
  <c r="H263" i="18"/>
  <c r="H248" i="18"/>
  <c r="H232" i="18"/>
  <c r="H216" i="18"/>
  <c r="H200" i="18"/>
  <c r="H184" i="18"/>
  <c r="H168" i="18"/>
  <c r="H152" i="18"/>
  <c r="H136" i="18"/>
  <c r="H120" i="18"/>
  <c r="H104" i="18"/>
  <c r="H88" i="18"/>
  <c r="H72" i="18"/>
  <c r="H56" i="18"/>
  <c r="H43" i="18"/>
  <c r="H323" i="18"/>
  <c r="H307" i="18"/>
  <c r="H291" i="18"/>
  <c r="H278" i="18"/>
  <c r="H262" i="18"/>
  <c r="H247" i="18"/>
  <c r="H231" i="18"/>
  <c r="H215" i="18"/>
  <c r="H199" i="18"/>
  <c r="H183" i="18"/>
  <c r="H167" i="18"/>
  <c r="H151" i="18"/>
  <c r="H135" i="18"/>
  <c r="H119" i="18"/>
  <c r="H103" i="18"/>
  <c r="H87" i="18"/>
  <c r="H71" i="18"/>
  <c r="H55" i="18"/>
  <c r="H42" i="18"/>
  <c r="H322" i="18"/>
  <c r="H306" i="18"/>
  <c r="H290" i="18"/>
  <c r="H277" i="18"/>
  <c r="H261" i="18"/>
  <c r="H246" i="18"/>
  <c r="H230" i="18"/>
  <c r="H214" i="18"/>
  <c r="H198" i="18"/>
  <c r="H182" i="18"/>
  <c r="H166" i="18"/>
  <c r="H150" i="18"/>
  <c r="H134" i="18"/>
  <c r="H118" i="18"/>
  <c r="H102" i="18"/>
  <c r="H86" i="18"/>
  <c r="H70" i="18"/>
  <c r="H54" i="18"/>
  <c r="H41" i="18"/>
  <c r="H321" i="18"/>
  <c r="H305" i="18"/>
  <c r="H289" i="18"/>
  <c r="H276" i="18"/>
  <c r="H245" i="18"/>
  <c r="H229" i="18"/>
  <c r="H213" i="18"/>
  <c r="H197" i="18"/>
  <c r="H181" i="18"/>
  <c r="H165" i="18"/>
  <c r="H149" i="18"/>
  <c r="H133" i="18"/>
  <c r="H117" i="18"/>
  <c r="H101" i="18"/>
  <c r="H85" i="18"/>
  <c r="H69" i="18"/>
  <c r="H40" i="18"/>
  <c r="H320" i="18"/>
  <c r="H304" i="18"/>
  <c r="H288" i="18"/>
  <c r="H275" i="18"/>
  <c r="H260" i="18"/>
  <c r="H244" i="18"/>
  <c r="H228" i="18"/>
  <c r="H212" i="18"/>
  <c r="H196" i="18"/>
  <c r="H180" i="18"/>
  <c r="H164" i="18"/>
  <c r="H148" i="18"/>
  <c r="H132" i="18"/>
  <c r="H116" i="18"/>
  <c r="H100" i="18"/>
  <c r="H84" i="18"/>
  <c r="H68" i="18"/>
  <c r="H53" i="18"/>
  <c r="H39" i="18"/>
  <c r="H319" i="18"/>
  <c r="H303" i="18"/>
  <c r="H287" i="18"/>
  <c r="H274" i="18"/>
  <c r="H259" i="18"/>
  <c r="H243" i="18"/>
  <c r="H227" i="18"/>
  <c r="H211" i="18"/>
  <c r="H195" i="18"/>
  <c r="H179" i="18"/>
  <c r="H163" i="18"/>
  <c r="H147" i="18"/>
  <c r="H131" i="18"/>
  <c r="H115" i="18"/>
  <c r="H99" i="18"/>
  <c r="H83" i="18"/>
  <c r="H67" i="18"/>
  <c r="H52" i="18"/>
  <c r="H38" i="18"/>
  <c r="H318" i="18"/>
  <c r="H302" i="18"/>
  <c r="H286" i="18"/>
  <c r="H273" i="18"/>
  <c r="H258" i="18"/>
  <c r="H242" i="18"/>
  <c r="H226" i="18"/>
  <c r="H210" i="18"/>
  <c r="H194" i="18"/>
  <c r="H178" i="18"/>
  <c r="H162" i="18"/>
  <c r="H146" i="18"/>
  <c r="H130" i="18"/>
  <c r="H114" i="18"/>
  <c r="H98" i="18"/>
  <c r="H82" i="18"/>
  <c r="H66" i="18"/>
  <c r="H193" i="18"/>
  <c r="H177" i="18"/>
  <c r="H161" i="18"/>
  <c r="H209" i="18"/>
  <c r="H145" i="18"/>
  <c r="H129" i="18"/>
  <c r="H113" i="18"/>
  <c r="H97" i="18"/>
  <c r="H81" i="18"/>
  <c r="H317" i="18"/>
  <c r="H65" i="18"/>
  <c r="H301" i="18"/>
  <c r="H51" i="18"/>
  <c r="H285" i="18"/>
  <c r="H272" i="18"/>
  <c r="H257" i="18"/>
  <c r="H241" i="18"/>
  <c r="H225" i="18"/>
  <c r="G324" i="18"/>
  <c r="G308" i="18"/>
  <c r="G292" i="18"/>
  <c r="G279" i="18"/>
  <c r="G263" i="18"/>
  <c r="G248" i="18"/>
  <c r="G232" i="18"/>
  <c r="G216" i="18"/>
  <c r="G200" i="18"/>
  <c r="G184" i="18"/>
  <c r="G168" i="18"/>
  <c r="G152" i="18"/>
  <c r="G136" i="18"/>
  <c r="G120" i="18"/>
  <c r="G104" i="18"/>
  <c r="G88" i="18"/>
  <c r="G72" i="18"/>
  <c r="G56" i="18"/>
  <c r="G43" i="18"/>
  <c r="G323" i="18"/>
  <c r="G307" i="18"/>
  <c r="G291" i="18"/>
  <c r="G278" i="18"/>
  <c r="G262" i="18"/>
  <c r="G247" i="18"/>
  <c r="G231" i="18"/>
  <c r="G215" i="18"/>
  <c r="G199" i="18"/>
  <c r="G183" i="18"/>
  <c r="G167" i="18"/>
  <c r="G151" i="18"/>
  <c r="G135" i="18"/>
  <c r="G119" i="18"/>
  <c r="G103" i="18"/>
  <c r="G87" i="18"/>
  <c r="G71" i="18"/>
  <c r="G55" i="18"/>
  <c r="G42" i="18"/>
  <c r="G322" i="18"/>
  <c r="G306" i="18"/>
  <c r="G290" i="18"/>
  <c r="G277" i="18"/>
  <c r="G261" i="18"/>
  <c r="G246" i="18"/>
  <c r="G230" i="18"/>
  <c r="G214" i="18"/>
  <c r="G198" i="18"/>
  <c r="G182" i="18"/>
  <c r="G166" i="18"/>
  <c r="G150" i="18"/>
  <c r="G134" i="18"/>
  <c r="G118" i="18"/>
  <c r="G102" i="18"/>
  <c r="G86" i="18"/>
  <c r="G70" i="18"/>
  <c r="G54" i="18"/>
  <c r="G41" i="18"/>
  <c r="G321" i="18"/>
  <c r="G305" i="18"/>
  <c r="G289" i="18"/>
  <c r="G276" i="18"/>
  <c r="G245" i="18"/>
  <c r="G229" i="18"/>
  <c r="G213" i="18"/>
  <c r="G197" i="18"/>
  <c r="G181" i="18"/>
  <c r="G165" i="18"/>
  <c r="G149" i="18"/>
  <c r="G133" i="18"/>
  <c r="G117" i="18"/>
  <c r="G101" i="18"/>
  <c r="G85" i="18"/>
  <c r="G69" i="18"/>
  <c r="G40" i="18"/>
  <c r="G320" i="18"/>
  <c r="G304" i="18"/>
  <c r="G288" i="18"/>
  <c r="G275" i="18"/>
  <c r="G260" i="18"/>
  <c r="G244" i="18"/>
  <c r="G228" i="18"/>
  <c r="G212" i="18"/>
  <c r="G196" i="18"/>
  <c r="G180" i="18"/>
  <c r="G164" i="18"/>
  <c r="G148" i="18"/>
  <c r="G132" i="18"/>
  <c r="G116" i="18"/>
  <c r="G100" i="18"/>
  <c r="G84" i="18"/>
  <c r="G68" i="18"/>
  <c r="G53" i="18"/>
  <c r="G39" i="18"/>
  <c r="G319" i="18"/>
  <c r="G303" i="18"/>
  <c r="G287" i="18"/>
  <c r="G274" i="18"/>
  <c r="G259" i="18"/>
  <c r="G243" i="18"/>
  <c r="G227" i="18"/>
  <c r="G211" i="18"/>
  <c r="G195" i="18"/>
  <c r="G179" i="18"/>
  <c r="G163" i="18"/>
  <c r="G147" i="18"/>
  <c r="G131" i="18"/>
  <c r="G115" i="18"/>
  <c r="G99" i="18"/>
  <c r="G83" i="18"/>
  <c r="G67" i="18"/>
  <c r="G52" i="18"/>
  <c r="G38" i="18"/>
  <c r="G318" i="18"/>
  <c r="G302" i="18"/>
  <c r="G286" i="18"/>
  <c r="G273" i="18"/>
  <c r="G258" i="18"/>
  <c r="G242" i="18"/>
  <c r="G226" i="18"/>
  <c r="G210" i="18"/>
  <c r="G194" i="18"/>
  <c r="G178" i="18"/>
  <c r="G162" i="18"/>
  <c r="G146" i="18"/>
  <c r="G130" i="18"/>
  <c r="G114" i="18"/>
  <c r="G98" i="18"/>
  <c r="G82" i="18"/>
  <c r="G66" i="18"/>
  <c r="G317" i="18"/>
  <c r="G301" i="18"/>
  <c r="G285" i="18"/>
  <c r="G272" i="18"/>
  <c r="G257" i="18"/>
  <c r="G241" i="18"/>
  <c r="G225" i="18"/>
  <c r="G209" i="18"/>
  <c r="G193" i="18"/>
  <c r="G177" i="18"/>
  <c r="G161" i="18"/>
  <c r="G145" i="18"/>
  <c r="G129" i="18"/>
  <c r="G113" i="18"/>
  <c r="G97" i="18"/>
  <c r="G81" i="18"/>
  <c r="G65" i="18"/>
  <c r="G51" i="18"/>
  <c r="G316" i="18"/>
  <c r="G300" i="18"/>
  <c r="G284" i="18"/>
  <c r="G271" i="18"/>
  <c r="G256" i="18"/>
  <c r="G240" i="18"/>
  <c r="G224" i="18"/>
  <c r="G208" i="18"/>
  <c r="G192" i="18"/>
  <c r="G176" i="18"/>
  <c r="G160" i="18"/>
  <c r="G144" i="18"/>
  <c r="G128" i="18"/>
  <c r="G112" i="18"/>
  <c r="G96" i="18"/>
  <c r="G80" i="18"/>
  <c r="G64" i="18"/>
  <c r="G315" i="18"/>
  <c r="G299" i="18"/>
  <c r="G283" i="18"/>
  <c r="G270" i="18"/>
  <c r="G255" i="18"/>
  <c r="G239" i="18"/>
  <c r="G223" i="18"/>
  <c r="G207" i="18"/>
  <c r="G191" i="18"/>
  <c r="G175" i="18"/>
  <c r="G159" i="18"/>
  <c r="G143" i="18"/>
  <c r="G127" i="18"/>
  <c r="G111" i="18"/>
  <c r="G95" i="18"/>
  <c r="G79" i="18"/>
  <c r="G63" i="18"/>
  <c r="G50" i="18"/>
  <c r="G314" i="18"/>
  <c r="G298" i="18"/>
  <c r="G282" i="18"/>
  <c r="G269" i="18"/>
  <c r="G254" i="18"/>
  <c r="G238" i="18"/>
  <c r="G222" i="18"/>
  <c r="G206" i="18"/>
  <c r="G190" i="18"/>
  <c r="G174" i="18"/>
  <c r="G158" i="18"/>
  <c r="G142" i="18"/>
  <c r="G126" i="18"/>
  <c r="G110" i="18"/>
  <c r="G94" i="18"/>
  <c r="G78" i="18"/>
  <c r="G62" i="18"/>
  <c r="G49" i="18"/>
  <c r="G313" i="18"/>
  <c r="G297" i="18"/>
  <c r="G268" i="18"/>
  <c r="G253" i="18"/>
  <c r="G237" i="18"/>
  <c r="G221" i="18"/>
  <c r="G205" i="18"/>
  <c r="G189" i="18"/>
  <c r="G173" i="18"/>
  <c r="G157" i="18"/>
  <c r="G141" i="18"/>
  <c r="G125" i="18"/>
  <c r="G109" i="18"/>
  <c r="G93" i="18"/>
  <c r="G77" i="18"/>
  <c r="G61" i="18"/>
  <c r="G48" i="18"/>
  <c r="G312" i="18"/>
  <c r="G296" i="18"/>
  <c r="G267" i="18"/>
  <c r="G252" i="18"/>
  <c r="G236" i="18"/>
  <c r="G220" i="18"/>
  <c r="G204" i="18"/>
  <c r="G188" i="18"/>
  <c r="G172" i="18"/>
  <c r="G156" i="18"/>
  <c r="G140" i="18"/>
  <c r="G124" i="18"/>
  <c r="G108" i="18"/>
  <c r="G92" i="18"/>
  <c r="G76" i="18"/>
  <c r="G60" i="18"/>
  <c r="G47" i="18"/>
  <c r="G311" i="18"/>
  <c r="G295" i="18"/>
  <c r="G266" i="18"/>
  <c r="G251" i="18"/>
  <c r="G235" i="18"/>
  <c r="G219" i="18"/>
  <c r="G203" i="18"/>
  <c r="G187" i="18"/>
  <c r="G171" i="18"/>
  <c r="G155" i="18"/>
  <c r="G139" i="18"/>
  <c r="G123" i="18"/>
  <c r="G107" i="18"/>
  <c r="G91" i="18"/>
  <c r="G75" i="18"/>
  <c r="G59" i="18"/>
  <c r="G46" i="18"/>
  <c r="G310" i="18"/>
  <c r="G294" i="18"/>
  <c r="G281" i="18"/>
  <c r="G265" i="18"/>
  <c r="G250" i="18"/>
  <c r="G234" i="18"/>
  <c r="G218" i="18"/>
  <c r="G202" i="18"/>
  <c r="G186" i="18"/>
  <c r="G170" i="18"/>
  <c r="G154" i="18"/>
  <c r="G138" i="18"/>
  <c r="G122" i="18"/>
  <c r="G106" i="18"/>
  <c r="G90" i="18"/>
  <c r="G74" i="18"/>
  <c r="G58" i="18"/>
  <c r="G45" i="18"/>
  <c r="G264" i="18"/>
  <c r="G249" i="18"/>
  <c r="G233" i="18"/>
  <c r="G217" i="18"/>
  <c r="G201" i="18"/>
  <c r="G280" i="18"/>
  <c r="G185" i="18"/>
  <c r="G169" i="18"/>
  <c r="G153" i="18"/>
  <c r="G137" i="18"/>
  <c r="G121" i="18"/>
  <c r="G105" i="18"/>
  <c r="G89" i="18"/>
  <c r="G325" i="18"/>
  <c r="G73" i="18"/>
  <c r="G309" i="18"/>
  <c r="G57" i="18"/>
  <c r="G293" i="18"/>
  <c r="G44" i="18"/>
  <c r="C325" i="18"/>
  <c r="E325" i="18" s="1"/>
  <c r="C309" i="18"/>
  <c r="D309" i="18" s="1"/>
  <c r="C293" i="18"/>
  <c r="E293" i="18" s="1"/>
  <c r="C280" i="18"/>
  <c r="E280" i="18" s="1"/>
  <c r="C264" i="18"/>
  <c r="E264" i="18" s="1"/>
  <c r="C249" i="18"/>
  <c r="E249" i="18" s="1"/>
  <c r="C233" i="18"/>
  <c r="E233" i="18" s="1"/>
  <c r="C217" i="18"/>
  <c r="E217" i="18" s="1"/>
  <c r="C201" i="18"/>
  <c r="E201" i="18" s="1"/>
  <c r="C185" i="18"/>
  <c r="E185" i="18" s="1"/>
  <c r="C169" i="18"/>
  <c r="E169" i="18" s="1"/>
  <c r="C153" i="18"/>
  <c r="E153" i="18" s="1"/>
  <c r="C137" i="18"/>
  <c r="E137" i="18" s="1"/>
  <c r="C121" i="18"/>
  <c r="D121" i="18" s="1"/>
  <c r="C105" i="18"/>
  <c r="E105" i="18" s="1"/>
  <c r="C89" i="18"/>
  <c r="E89" i="18" s="1"/>
  <c r="C73" i="18"/>
  <c r="D73" i="18" s="1"/>
  <c r="C57" i="18"/>
  <c r="D57" i="18" s="1"/>
  <c r="C44" i="18"/>
  <c r="D44" i="18" s="1"/>
  <c r="C324" i="18"/>
  <c r="E324" i="18" s="1"/>
  <c r="C308" i="18"/>
  <c r="D308" i="18" s="1"/>
  <c r="C292" i="18"/>
  <c r="D292" i="18" s="1"/>
  <c r="C279" i="18"/>
  <c r="E279" i="18" s="1"/>
  <c r="C263" i="18"/>
  <c r="E263" i="18" s="1"/>
  <c r="C248" i="18"/>
  <c r="D248" i="18" s="1"/>
  <c r="C232" i="18"/>
  <c r="E232" i="18" s="1"/>
  <c r="C216" i="18"/>
  <c r="E216" i="18" s="1"/>
  <c r="C200" i="18"/>
  <c r="E200" i="18" s="1"/>
  <c r="C184" i="18"/>
  <c r="E184" i="18" s="1"/>
  <c r="C168" i="18"/>
  <c r="D168" i="18" s="1"/>
  <c r="C152" i="18"/>
  <c r="D152" i="18" s="1"/>
  <c r="C136" i="18"/>
  <c r="D136" i="18" s="1"/>
  <c r="C120" i="18"/>
  <c r="D120" i="18" s="1"/>
  <c r="C104" i="18"/>
  <c r="D104" i="18" s="1"/>
  <c r="C88" i="18"/>
  <c r="E88" i="18" s="1"/>
  <c r="C72" i="18"/>
  <c r="D72" i="18" s="1"/>
  <c r="C56" i="18"/>
  <c r="D56" i="18" s="1"/>
  <c r="C43" i="18"/>
  <c r="D43" i="18" s="1"/>
  <c r="C323" i="18"/>
  <c r="E323" i="18" s="1"/>
  <c r="C307" i="18"/>
  <c r="E307" i="18" s="1"/>
  <c r="C291" i="18"/>
  <c r="E291" i="18" s="1"/>
  <c r="C278" i="18"/>
  <c r="E278" i="18" s="1"/>
  <c r="C262" i="18"/>
  <c r="E262" i="18" s="1"/>
  <c r="C247" i="18"/>
  <c r="E247" i="18" s="1"/>
  <c r="C231" i="18"/>
  <c r="E231" i="18" s="1"/>
  <c r="C215" i="18"/>
  <c r="D215" i="18" s="1"/>
  <c r="C199" i="18"/>
  <c r="E199" i="18" s="1"/>
  <c r="C183" i="18"/>
  <c r="D183" i="18" s="1"/>
  <c r="C167" i="18"/>
  <c r="D167" i="18" s="1"/>
  <c r="C151" i="18"/>
  <c r="D151" i="18" s="1"/>
  <c r="C135" i="18"/>
  <c r="E135" i="18" s="1"/>
  <c r="C119" i="18"/>
  <c r="E119" i="18" s="1"/>
  <c r="C103" i="18"/>
  <c r="E103" i="18" s="1"/>
  <c r="C87" i="18"/>
  <c r="E87" i="18" s="1"/>
  <c r="C71" i="18"/>
  <c r="E71" i="18" s="1"/>
  <c r="C55" i="18"/>
  <c r="E55" i="18" s="1"/>
  <c r="C42" i="18"/>
  <c r="E42" i="18" s="1"/>
  <c r="C322" i="18"/>
  <c r="E322" i="18" s="1"/>
  <c r="C306" i="18"/>
  <c r="E306" i="18" s="1"/>
  <c r="C290" i="18"/>
  <c r="E290" i="18" s="1"/>
  <c r="C277" i="18"/>
  <c r="D277" i="18" s="1"/>
  <c r="C261" i="18"/>
  <c r="D261" i="18" s="1"/>
  <c r="C246" i="18"/>
  <c r="D246" i="18" s="1"/>
  <c r="C230" i="18"/>
  <c r="D230" i="18" s="1"/>
  <c r="C214" i="18"/>
  <c r="D214" i="18" s="1"/>
  <c r="C198" i="18"/>
  <c r="E198" i="18" s="1"/>
  <c r="C182" i="18"/>
  <c r="D182" i="18" s="1"/>
  <c r="C166" i="18"/>
  <c r="D166" i="18" s="1"/>
  <c r="C150" i="18"/>
  <c r="E150" i="18" s="1"/>
  <c r="C134" i="18"/>
  <c r="D134" i="18" s="1"/>
  <c r="C118" i="18"/>
  <c r="D118" i="18" s="1"/>
  <c r="C102" i="18"/>
  <c r="E102" i="18" s="1"/>
  <c r="C86" i="18"/>
  <c r="E86" i="18" s="1"/>
  <c r="C70" i="18"/>
  <c r="E70" i="18" s="1"/>
  <c r="C54" i="18"/>
  <c r="E54" i="18" s="1"/>
  <c r="C41" i="18"/>
  <c r="E41" i="18" s="1"/>
  <c r="C321" i="18"/>
  <c r="E321" i="18" s="1"/>
  <c r="C305" i="18"/>
  <c r="D305" i="18" s="1"/>
  <c r="C289" i="18"/>
  <c r="D289" i="18" s="1"/>
  <c r="C276" i="18"/>
  <c r="D276" i="18" s="1"/>
  <c r="C245" i="18"/>
  <c r="D245" i="18" s="1"/>
  <c r="C229" i="18"/>
  <c r="E229" i="18" s="1"/>
  <c r="C213" i="18"/>
  <c r="D213" i="18" s="1"/>
  <c r="C197" i="18"/>
  <c r="D197" i="18" s="1"/>
  <c r="C181" i="18"/>
  <c r="E181" i="18" s="1"/>
  <c r="C165" i="18"/>
  <c r="D165" i="18" s="1"/>
  <c r="C149" i="18"/>
  <c r="C133" i="18"/>
  <c r="E133" i="18" s="1"/>
  <c r="C117" i="18"/>
  <c r="D117" i="18" s="1"/>
  <c r="C101" i="18"/>
  <c r="E101" i="18" s="1"/>
  <c r="C85" i="18"/>
  <c r="E85" i="18" s="1"/>
  <c r="C69" i="18"/>
  <c r="D69" i="18" s="1"/>
  <c r="C40" i="18"/>
  <c r="D40" i="18" s="1"/>
  <c r="C320" i="18"/>
  <c r="E320" i="18" s="1"/>
  <c r="C304" i="18"/>
  <c r="E304" i="18" s="1"/>
  <c r="C288" i="18"/>
  <c r="D288" i="18" s="1"/>
  <c r="C275" i="18"/>
  <c r="C260" i="18"/>
  <c r="E260" i="18" s="1"/>
  <c r="C244" i="18"/>
  <c r="E244" i="18" s="1"/>
  <c r="C228" i="18"/>
  <c r="D228" i="18" s="1"/>
  <c r="C212" i="18"/>
  <c r="E212" i="18" s="1"/>
  <c r="C196" i="18"/>
  <c r="D196" i="18" s="1"/>
  <c r="C180" i="18"/>
  <c r="E180" i="18" s="1"/>
  <c r="C164" i="18"/>
  <c r="E164" i="18" s="1"/>
  <c r="C148" i="18"/>
  <c r="E148" i="18" s="1"/>
  <c r="C132" i="18"/>
  <c r="E132" i="18" s="1"/>
  <c r="C116" i="18"/>
  <c r="E116" i="18" s="1"/>
  <c r="C100" i="18"/>
  <c r="D100" i="18" s="1"/>
  <c r="C84" i="18"/>
  <c r="D84" i="18" s="1"/>
  <c r="C68" i="18"/>
  <c r="D68" i="18" s="1"/>
  <c r="C53" i="18"/>
  <c r="D53" i="18" s="1"/>
  <c r="C39" i="18"/>
  <c r="D39" i="18" s="1"/>
  <c r="C319" i="18"/>
  <c r="D319" i="18" s="1"/>
  <c r="C303" i="18"/>
  <c r="E303" i="18" s="1"/>
  <c r="C287" i="18"/>
  <c r="E287" i="18" s="1"/>
  <c r="C274" i="18"/>
  <c r="D274" i="18" s="1"/>
  <c r="C259" i="18"/>
  <c r="E259" i="18" s="1"/>
  <c r="C243" i="18"/>
  <c r="D243" i="18" s="1"/>
  <c r="C227" i="18"/>
  <c r="E227" i="18" s="1"/>
  <c r="C211" i="18"/>
  <c r="E211" i="18" s="1"/>
  <c r="C195" i="18"/>
  <c r="C179" i="18"/>
  <c r="E179" i="18" s="1"/>
  <c r="C163" i="18"/>
  <c r="E163" i="18" s="1"/>
  <c r="C147" i="18"/>
  <c r="D147" i="18" s="1"/>
  <c r="C131" i="18"/>
  <c r="D131" i="18" s="1"/>
  <c r="C115" i="18"/>
  <c r="D115" i="18" s="1"/>
  <c r="C99" i="18"/>
  <c r="D99" i="18" s="1"/>
  <c r="C83" i="18"/>
  <c r="D83" i="18" s="1"/>
  <c r="C67" i="18"/>
  <c r="E67" i="18" s="1"/>
  <c r="C52" i="18"/>
  <c r="D52" i="18" s="1"/>
  <c r="C38" i="18"/>
  <c r="E38" i="18" s="1"/>
  <c r="C318" i="18"/>
  <c r="E318" i="18" s="1"/>
  <c r="C302" i="18"/>
  <c r="D302" i="18" s="1"/>
  <c r="C286" i="18"/>
  <c r="E286" i="18" s="1"/>
  <c r="C273" i="18"/>
  <c r="E273" i="18" s="1"/>
  <c r="C258" i="18"/>
  <c r="D258" i="18" s="1"/>
  <c r="C242" i="18"/>
  <c r="E242" i="18" s="1"/>
  <c r="C226" i="18"/>
  <c r="E226" i="18" s="1"/>
  <c r="C210" i="18"/>
  <c r="D210" i="18" s="1"/>
  <c r="C194" i="18"/>
  <c r="D194" i="18" s="1"/>
  <c r="C178" i="18"/>
  <c r="D178" i="18" s="1"/>
  <c r="C162" i="18"/>
  <c r="D162" i="18" s="1"/>
  <c r="C146" i="18"/>
  <c r="D146" i="18" s="1"/>
  <c r="C130" i="18"/>
  <c r="D130" i="18" s="1"/>
  <c r="C114" i="18"/>
  <c r="D114" i="18" s="1"/>
  <c r="C98" i="18"/>
  <c r="D98" i="18" s="1"/>
  <c r="C82" i="18"/>
  <c r="E82" i="18" s="1"/>
  <c r="C317" i="18"/>
  <c r="D317" i="18" s="1"/>
  <c r="C301" i="18"/>
  <c r="E301" i="18" s="1"/>
  <c r="C285" i="18"/>
  <c r="D285" i="18" s="1"/>
  <c r="C272" i="18"/>
  <c r="E272" i="18" s="1"/>
  <c r="C257" i="18"/>
  <c r="E257" i="18" s="1"/>
  <c r="C241" i="18"/>
  <c r="D241" i="18" s="1"/>
  <c r="C225" i="18"/>
  <c r="E225" i="18" s="1"/>
  <c r="C209" i="18"/>
  <c r="C193" i="18"/>
  <c r="D193" i="18" s="1"/>
  <c r="C177" i="18"/>
  <c r="D177" i="18" s="1"/>
  <c r="C161" i="18"/>
  <c r="D161" i="18" s="1"/>
  <c r="C145" i="18"/>
  <c r="D145" i="18" s="1"/>
  <c r="C129" i="18"/>
  <c r="D129" i="18" s="1"/>
  <c r="C113" i="18"/>
  <c r="D113" i="18" s="1"/>
  <c r="C97" i="18"/>
  <c r="E97" i="18" s="1"/>
  <c r="C81" i="18"/>
  <c r="E81" i="18" s="1"/>
  <c r="C65" i="18"/>
  <c r="E65" i="18" s="1"/>
  <c r="C51" i="18"/>
  <c r="D51" i="18" s="1"/>
  <c r="C316" i="18"/>
  <c r="E316" i="18" s="1"/>
  <c r="C300" i="18"/>
  <c r="C284" i="18"/>
  <c r="E284" i="18" s="1"/>
  <c r="C271" i="18"/>
  <c r="D271" i="18" s="1"/>
  <c r="C256" i="18"/>
  <c r="C240" i="18"/>
  <c r="D240" i="18" s="1"/>
  <c r="C224" i="18"/>
  <c r="D224" i="18" s="1"/>
  <c r="C208" i="18"/>
  <c r="D208" i="18" s="1"/>
  <c r="C192" i="18"/>
  <c r="C176" i="18"/>
  <c r="D176" i="18" s="1"/>
  <c r="C160" i="18"/>
  <c r="D160" i="18" s="1"/>
  <c r="C144" i="18"/>
  <c r="C128" i="18"/>
  <c r="D128" i="18" s="1"/>
  <c r="C112" i="18"/>
  <c r="D112" i="18" s="1"/>
  <c r="C96" i="18"/>
  <c r="D96" i="18" s="1"/>
  <c r="C80" i="18"/>
  <c r="C64" i="18"/>
  <c r="D64" i="18" s="1"/>
  <c r="C315" i="18"/>
  <c r="E315" i="18" s="1"/>
  <c r="C299" i="18"/>
  <c r="E299" i="18" s="1"/>
  <c r="C283" i="18"/>
  <c r="E283" i="18" s="1"/>
  <c r="C270" i="18"/>
  <c r="E270" i="18" s="1"/>
  <c r="C255" i="18"/>
  <c r="D255" i="18" s="1"/>
  <c r="C239" i="18"/>
  <c r="D239" i="18" s="1"/>
  <c r="C223" i="18"/>
  <c r="D223" i="18" s="1"/>
  <c r="C207" i="18"/>
  <c r="E207" i="18" s="1"/>
  <c r="C191" i="18"/>
  <c r="D191" i="18" s="1"/>
  <c r="C175" i="18"/>
  <c r="D175" i="18" s="1"/>
  <c r="C159" i="18"/>
  <c r="E159" i="18" s="1"/>
  <c r="C143" i="18"/>
  <c r="D143" i="18" s="1"/>
  <c r="C127" i="18"/>
  <c r="D127" i="18" s="1"/>
  <c r="C111" i="18"/>
  <c r="E111" i="18" s="1"/>
  <c r="C95" i="18"/>
  <c r="E95" i="18" s="1"/>
  <c r="C79" i="18"/>
  <c r="E79" i="18" s="1"/>
  <c r="C63" i="18"/>
  <c r="E63" i="18" s="1"/>
  <c r="C50" i="18"/>
  <c r="E50" i="18" s="1"/>
  <c r="C314" i="18"/>
  <c r="E314" i="18" s="1"/>
  <c r="C298" i="18"/>
  <c r="C282" i="18"/>
  <c r="D282" i="18" s="1"/>
  <c r="C269" i="18"/>
  <c r="D269" i="18" s="1"/>
  <c r="C254" i="18"/>
  <c r="D254" i="18" s="1"/>
  <c r="C238" i="18"/>
  <c r="E238" i="18" s="1"/>
  <c r="C222" i="18"/>
  <c r="E222" i="18" s="1"/>
  <c r="C206" i="18"/>
  <c r="E206" i="18" s="1"/>
  <c r="C190" i="18"/>
  <c r="E190" i="18" s="1"/>
  <c r="C174" i="18"/>
  <c r="D174" i="18" s="1"/>
  <c r="C158" i="18"/>
  <c r="D158" i="18" s="1"/>
  <c r="C142" i="18"/>
  <c r="E142" i="18" s="1"/>
  <c r="C126" i="18"/>
  <c r="E126" i="18" s="1"/>
  <c r="C110" i="18"/>
  <c r="E110" i="18" s="1"/>
  <c r="C94" i="18"/>
  <c r="E94" i="18" s="1"/>
  <c r="C78" i="18"/>
  <c r="E78" i="18" s="1"/>
  <c r="C62" i="18"/>
  <c r="E62" i="18" s="1"/>
  <c r="C49" i="18"/>
  <c r="C313" i="18"/>
  <c r="D313" i="18" s="1"/>
  <c r="C297" i="18"/>
  <c r="D297" i="18" s="1"/>
  <c r="C268" i="18"/>
  <c r="D268" i="18" s="1"/>
  <c r="C253" i="18"/>
  <c r="D253" i="18" s="1"/>
  <c r="C237" i="18"/>
  <c r="D237" i="18" s="1"/>
  <c r="C221" i="18"/>
  <c r="E221" i="18" s="1"/>
  <c r="C205" i="18"/>
  <c r="D205" i="18" s="1"/>
  <c r="C189" i="18"/>
  <c r="E189" i="18" s="1"/>
  <c r="C173" i="18"/>
  <c r="D173" i="18" s="1"/>
  <c r="C157" i="18"/>
  <c r="C141" i="18"/>
  <c r="E141" i="18" s="1"/>
  <c r="C125" i="18"/>
  <c r="E125" i="18" s="1"/>
  <c r="C109" i="18"/>
  <c r="E109" i="18" s="1"/>
  <c r="C93" i="18"/>
  <c r="E93" i="18" s="1"/>
  <c r="C77" i="18"/>
  <c r="D77" i="18" s="1"/>
  <c r="C61" i="18"/>
  <c r="D61" i="18" s="1"/>
  <c r="C48" i="18"/>
  <c r="D48" i="18" s="1"/>
  <c r="C312" i="18"/>
  <c r="D312" i="18" s="1"/>
  <c r="C296" i="18"/>
  <c r="D296" i="18" s="1"/>
  <c r="C267" i="18"/>
  <c r="D267" i="18" s="1"/>
  <c r="C252" i="18"/>
  <c r="E252" i="18" s="1"/>
  <c r="C236" i="18"/>
  <c r="E236" i="18" s="1"/>
  <c r="C220" i="18"/>
  <c r="C204" i="18"/>
  <c r="E204" i="18" s="1"/>
  <c r="C188" i="18"/>
  <c r="C172" i="18"/>
  <c r="E172" i="18" s="1"/>
  <c r="C156" i="18"/>
  <c r="E156" i="18" s="1"/>
  <c r="C140" i="18"/>
  <c r="E140" i="18" s="1"/>
  <c r="C124" i="18"/>
  <c r="E124" i="18" s="1"/>
  <c r="C108" i="18"/>
  <c r="C92" i="18"/>
  <c r="D92" i="18" s="1"/>
  <c r="C76" i="18"/>
  <c r="D76" i="18" s="1"/>
  <c r="C60" i="18"/>
  <c r="C47" i="18"/>
  <c r="E47" i="18" s="1"/>
  <c r="C311" i="18"/>
  <c r="D311" i="18" s="1"/>
  <c r="C295" i="18"/>
  <c r="D295" i="18" s="1"/>
  <c r="C266" i="18"/>
  <c r="D266" i="18" s="1"/>
  <c r="C251" i="18"/>
  <c r="D251" i="18" s="1"/>
  <c r="C235" i="18"/>
  <c r="E235" i="18" s="1"/>
  <c r="C219" i="18"/>
  <c r="C203" i="18"/>
  <c r="E203" i="18" s="1"/>
  <c r="C187" i="18"/>
  <c r="C171" i="18"/>
  <c r="D171" i="18" s="1"/>
  <c r="C155" i="18"/>
  <c r="E155" i="18" s="1"/>
  <c r="C139" i="18"/>
  <c r="C123" i="18"/>
  <c r="E123" i="18" s="1"/>
  <c r="C107" i="18"/>
  <c r="D107" i="18" s="1"/>
  <c r="C91" i="18"/>
  <c r="D91" i="18" s="1"/>
  <c r="C75" i="18"/>
  <c r="E75" i="18" s="1"/>
  <c r="C59" i="18"/>
  <c r="E59" i="18" s="1"/>
  <c r="C46" i="18"/>
  <c r="E46" i="18" s="1"/>
  <c r="C74" i="18"/>
  <c r="E74" i="18" s="1"/>
  <c r="C310" i="18"/>
  <c r="D310" i="18" s="1"/>
  <c r="C66" i="18"/>
  <c r="E66" i="18" s="1"/>
  <c r="C294" i="18"/>
  <c r="D294" i="18" s="1"/>
  <c r="C58" i="18"/>
  <c r="C281" i="18"/>
  <c r="D281" i="18" s="1"/>
  <c r="C90" i="18"/>
  <c r="E90" i="18" s="1"/>
  <c r="C265" i="18"/>
  <c r="C45" i="18"/>
  <c r="C250" i="18"/>
  <c r="D250" i="18" s="1"/>
  <c r="C234" i="18"/>
  <c r="E234" i="18" s="1"/>
  <c r="C218" i="18"/>
  <c r="D218" i="18" s="1"/>
  <c r="C202" i="18"/>
  <c r="E202" i="18" s="1"/>
  <c r="C186" i="18"/>
  <c r="E186" i="18" s="1"/>
  <c r="C170" i="18"/>
  <c r="D170" i="18" s="1"/>
  <c r="C154" i="18"/>
  <c r="D154" i="18" s="1"/>
  <c r="C138" i="18"/>
  <c r="D138" i="18" s="1"/>
  <c r="C122" i="18"/>
  <c r="E122" i="18" s="1"/>
  <c r="C106" i="18"/>
  <c r="D106" i="18" s="1"/>
  <c r="E275" i="18"/>
  <c r="E308" i="18"/>
  <c r="E317" i="18"/>
  <c r="E165" i="18"/>
  <c r="D42" i="13"/>
  <c r="F31" i="13"/>
  <c r="B25" i="13"/>
  <c r="F30" i="13"/>
  <c r="F29" i="13"/>
  <c r="F28" i="13"/>
  <c r="F27" i="13"/>
  <c r="K48" i="12"/>
  <c r="O53" i="12"/>
  <c r="O25" i="12"/>
  <c r="W40" i="18" s="1"/>
  <c r="K25" i="12"/>
  <c r="O81" i="18" s="1"/>
  <c r="K24" i="12"/>
  <c r="O24" i="12"/>
  <c r="G15" i="12"/>
  <c r="K34" i="12"/>
  <c r="K37" i="12" s="1"/>
  <c r="P308" i="18" s="1"/>
  <c r="O39" i="12"/>
  <c r="O41" i="12" s="1"/>
  <c r="K54" i="12"/>
  <c r="K56" i="12" s="1"/>
  <c r="K57" i="12" s="1"/>
  <c r="G22" i="12"/>
  <c r="F221" i="18" s="1"/>
  <c r="K70" i="12"/>
  <c r="K72" i="12" s="1"/>
  <c r="K73" i="12" s="1"/>
  <c r="G12" i="12"/>
  <c r="O28" i="12"/>
  <c r="O30" i="12" s="1"/>
  <c r="X322" i="18" s="1"/>
  <c r="O59" i="12"/>
  <c r="O61" i="12" s="1"/>
  <c r="K62" i="12"/>
  <c r="K64" i="12" s="1"/>
  <c r="K65" i="12" s="1"/>
  <c r="O67" i="12"/>
  <c r="O69" i="12" s="1"/>
  <c r="E134" i="18" l="1"/>
  <c r="E292" i="18"/>
  <c r="E43" i="18"/>
  <c r="E127" i="18"/>
  <c r="E241" i="18"/>
  <c r="E302" i="18"/>
  <c r="E114" i="18"/>
  <c r="E205" i="18"/>
  <c r="E56" i="18"/>
  <c r="E228" i="18"/>
  <c r="E319" i="18"/>
  <c r="E113" i="18"/>
  <c r="C29" i="21"/>
  <c r="E274" i="18"/>
  <c r="E245" i="18"/>
  <c r="E117" i="18"/>
  <c r="F101" i="18"/>
  <c r="F246" i="18"/>
  <c r="F119" i="18"/>
  <c r="F282" i="18"/>
  <c r="F248" i="18"/>
  <c r="F158" i="18"/>
  <c r="F105" i="18"/>
  <c r="F174" i="18"/>
  <c r="F218" i="18"/>
  <c r="F223" i="18"/>
  <c r="F91" i="18"/>
  <c r="F239" i="18"/>
  <c r="F220" i="18"/>
  <c r="F128" i="18"/>
  <c r="F93" i="18"/>
  <c r="F144" i="18"/>
  <c r="X106" i="18"/>
  <c r="F51" i="18"/>
  <c r="P222" i="18"/>
  <c r="F285" i="18"/>
  <c r="W221" i="18"/>
  <c r="F194" i="18"/>
  <c r="F83" i="18"/>
  <c r="F99" i="18"/>
  <c r="F212" i="18"/>
  <c r="E104" i="18"/>
  <c r="E151" i="18"/>
  <c r="E57" i="18"/>
  <c r="E309" i="18"/>
  <c r="F269" i="18"/>
  <c r="F207" i="18"/>
  <c r="F112" i="18"/>
  <c r="F272" i="18"/>
  <c r="F178" i="18"/>
  <c r="F67" i="18"/>
  <c r="F319" i="18"/>
  <c r="F196" i="18"/>
  <c r="F85" i="18"/>
  <c r="F230" i="18"/>
  <c r="F103" i="18"/>
  <c r="F232" i="18"/>
  <c r="F89" i="18"/>
  <c r="F202" i="18"/>
  <c r="F75" i="18"/>
  <c r="F204" i="18"/>
  <c r="F77" i="18"/>
  <c r="O176" i="18"/>
  <c r="W146" i="18"/>
  <c r="O261" i="18"/>
  <c r="X129" i="18"/>
  <c r="P245" i="18"/>
  <c r="F301" i="18"/>
  <c r="F210" i="18"/>
  <c r="F228" i="18"/>
  <c r="F117" i="18"/>
  <c r="F261" i="18"/>
  <c r="F135" i="18"/>
  <c r="F263" i="18"/>
  <c r="F121" i="18"/>
  <c r="F107" i="18"/>
  <c r="F236" i="18"/>
  <c r="W128" i="18"/>
  <c r="O67" i="18"/>
  <c r="W182" i="18"/>
  <c r="P82" i="18"/>
  <c r="X213" i="18"/>
  <c r="F190" i="18"/>
  <c r="F255" i="18"/>
  <c r="F160" i="18"/>
  <c r="F65" i="18"/>
  <c r="F317" i="18"/>
  <c r="F226" i="18"/>
  <c r="F115" i="18"/>
  <c r="F244" i="18"/>
  <c r="F133" i="18"/>
  <c r="F277" i="18"/>
  <c r="F151" i="18"/>
  <c r="F279" i="18"/>
  <c r="F137" i="18"/>
  <c r="F250" i="18"/>
  <c r="F123" i="18"/>
  <c r="F252" i="18"/>
  <c r="F125" i="18"/>
  <c r="O136" i="18"/>
  <c r="X56" i="18"/>
  <c r="O319" i="18"/>
  <c r="X142" i="18"/>
  <c r="W45" i="18"/>
  <c r="O190" i="18"/>
  <c r="F234" i="18"/>
  <c r="Q9" i="18"/>
  <c r="Q28" i="18"/>
  <c r="Q30" i="18"/>
  <c r="Q35" i="18"/>
  <c r="Q15" i="18"/>
  <c r="Q6" i="18"/>
  <c r="Q22" i="18"/>
  <c r="Q25" i="18"/>
  <c r="Q18" i="18"/>
  <c r="Q24" i="18"/>
  <c r="Q10" i="18"/>
  <c r="Q36" i="18"/>
  <c r="Q20" i="18"/>
  <c r="Q21" i="18"/>
  <c r="Q33" i="18"/>
  <c r="Q17" i="18"/>
  <c r="Q16" i="18"/>
  <c r="Q7" i="18"/>
  <c r="Q34" i="18"/>
  <c r="Q12" i="18"/>
  <c r="Q5" i="18"/>
  <c r="Q31" i="18"/>
  <c r="Q32" i="18"/>
  <c r="Q26" i="18"/>
  <c r="Q23" i="18"/>
  <c r="Q14" i="18"/>
  <c r="Q29" i="18"/>
  <c r="Q4" i="18"/>
  <c r="Q27" i="18"/>
  <c r="Q11" i="18"/>
  <c r="Q8" i="18"/>
  <c r="Q19" i="18"/>
  <c r="Q13" i="18"/>
  <c r="F49" i="18"/>
  <c r="F206" i="18"/>
  <c r="F270" i="18"/>
  <c r="F176" i="18"/>
  <c r="F81" i="18"/>
  <c r="F242" i="18"/>
  <c r="F131" i="18"/>
  <c r="F260" i="18"/>
  <c r="F149" i="18"/>
  <c r="F41" i="18"/>
  <c r="F290" i="18"/>
  <c r="F167" i="18"/>
  <c r="F43" i="18"/>
  <c r="F292" i="18"/>
  <c r="F153" i="18"/>
  <c r="F265" i="18"/>
  <c r="F139" i="18"/>
  <c r="F267" i="18"/>
  <c r="F141" i="18"/>
  <c r="O128" i="18"/>
  <c r="P295" i="18"/>
  <c r="O103" i="18"/>
  <c r="W294" i="18"/>
  <c r="P150" i="18"/>
  <c r="S34" i="18"/>
  <c r="K34" i="18"/>
  <c r="D34" i="18"/>
  <c r="E34" i="18"/>
  <c r="F109" i="18"/>
  <c r="F298" i="18"/>
  <c r="F222" i="18"/>
  <c r="F283" i="18"/>
  <c r="F192" i="18"/>
  <c r="F97" i="18"/>
  <c r="F258" i="18"/>
  <c r="F147" i="18"/>
  <c r="F275" i="18"/>
  <c r="F165" i="18"/>
  <c r="F54" i="18"/>
  <c r="F306" i="18"/>
  <c r="F183" i="18"/>
  <c r="F56" i="18"/>
  <c r="F308" i="18"/>
  <c r="F169" i="18"/>
  <c r="F281" i="18"/>
  <c r="F155" i="18"/>
  <c r="F296" i="18"/>
  <c r="F157" i="18"/>
  <c r="W300" i="18"/>
  <c r="W259" i="18"/>
  <c r="P63" i="18"/>
  <c r="X286" i="18"/>
  <c r="W110" i="18"/>
  <c r="F50" i="18"/>
  <c r="F299" i="18"/>
  <c r="F208" i="18"/>
  <c r="F113" i="18"/>
  <c r="F273" i="18"/>
  <c r="F163" i="18"/>
  <c r="F39" i="18"/>
  <c r="F288" i="18"/>
  <c r="F181" i="18"/>
  <c r="F70" i="18"/>
  <c r="F322" i="18"/>
  <c r="F199" i="18"/>
  <c r="F72" i="18"/>
  <c r="F324" i="18"/>
  <c r="F185" i="18"/>
  <c r="F45" i="18"/>
  <c r="F294" i="18"/>
  <c r="F171" i="18"/>
  <c r="F47" i="18"/>
  <c r="F312" i="18"/>
  <c r="F173" i="18"/>
  <c r="X219" i="18"/>
  <c r="P315" i="18"/>
  <c r="O251" i="18"/>
  <c r="X70" i="18"/>
  <c r="O90" i="18"/>
  <c r="F62" i="18"/>
  <c r="F63" i="18"/>
  <c r="F315" i="18"/>
  <c r="F224" i="18"/>
  <c r="F129" i="18"/>
  <c r="F286" i="18"/>
  <c r="F179" i="18"/>
  <c r="F53" i="18"/>
  <c r="F304" i="18"/>
  <c r="F197" i="18"/>
  <c r="F86" i="18"/>
  <c r="F215" i="18"/>
  <c r="F88" i="18"/>
  <c r="F201" i="18"/>
  <c r="F58" i="18"/>
  <c r="F310" i="18"/>
  <c r="F187" i="18"/>
  <c r="F60" i="18"/>
  <c r="F189" i="18"/>
  <c r="P232" i="18"/>
  <c r="O152" i="18"/>
  <c r="X88" i="18"/>
  <c r="O196" i="18"/>
  <c r="W278" i="18"/>
  <c r="P227" i="18"/>
  <c r="X15" i="18"/>
  <c r="X33" i="18"/>
  <c r="X11" i="18"/>
  <c r="X34" i="18"/>
  <c r="X29" i="18"/>
  <c r="X20" i="18"/>
  <c r="X24" i="18"/>
  <c r="X12" i="18"/>
  <c r="X13" i="18"/>
  <c r="X30" i="18"/>
  <c r="X17" i="18"/>
  <c r="X4" i="18"/>
  <c r="X36" i="18"/>
  <c r="X14" i="18"/>
  <c r="X26" i="18"/>
  <c r="X5" i="18"/>
  <c r="X19" i="18"/>
  <c r="X25" i="18"/>
  <c r="X16" i="18"/>
  <c r="X7" i="18"/>
  <c r="X21" i="18"/>
  <c r="X9" i="18"/>
  <c r="X6" i="18"/>
  <c r="X32" i="18"/>
  <c r="X18" i="18"/>
  <c r="X35" i="18"/>
  <c r="X10" i="18"/>
  <c r="X27" i="18"/>
  <c r="X8" i="18"/>
  <c r="X23" i="18"/>
  <c r="X28" i="18"/>
  <c r="X22" i="18"/>
  <c r="X31" i="18"/>
  <c r="X135" i="18"/>
  <c r="X290" i="18"/>
  <c r="X41" i="18"/>
  <c r="X181" i="18"/>
  <c r="X260" i="18"/>
  <c r="X131" i="18"/>
  <c r="X258" i="18"/>
  <c r="X97" i="18"/>
  <c r="X256" i="18"/>
  <c r="X207" i="18"/>
  <c r="X110" i="18"/>
  <c r="X253" i="18"/>
  <c r="X60" i="18"/>
  <c r="X187" i="18"/>
  <c r="X74" i="18"/>
  <c r="X185" i="18"/>
  <c r="X232" i="18"/>
  <c r="X119" i="18"/>
  <c r="X277" i="18"/>
  <c r="X165" i="18"/>
  <c r="X244" i="18"/>
  <c r="X115" i="18"/>
  <c r="X242" i="18"/>
  <c r="X81" i="18"/>
  <c r="X240" i="18"/>
  <c r="X191" i="18"/>
  <c r="X94" i="18"/>
  <c r="X237" i="18"/>
  <c r="X312" i="18"/>
  <c r="X47" i="18"/>
  <c r="X171" i="18"/>
  <c r="X310" i="18"/>
  <c r="X58" i="18"/>
  <c r="X169" i="18"/>
  <c r="X184" i="18"/>
  <c r="X152" i="18"/>
  <c r="X103" i="18"/>
  <c r="X261" i="18"/>
  <c r="X149" i="18"/>
  <c r="X228" i="18"/>
  <c r="X99" i="18"/>
  <c r="X226" i="18"/>
  <c r="X317" i="18"/>
  <c r="X65" i="18"/>
  <c r="X224" i="18"/>
  <c r="X175" i="18"/>
  <c r="X78" i="18"/>
  <c r="X221" i="18"/>
  <c r="X296" i="18"/>
  <c r="X155" i="18"/>
  <c r="X294" i="18"/>
  <c r="X45" i="18"/>
  <c r="X153" i="18"/>
  <c r="X87" i="18"/>
  <c r="X246" i="18"/>
  <c r="X133" i="18"/>
  <c r="X212" i="18"/>
  <c r="X83" i="18"/>
  <c r="X210" i="18"/>
  <c r="X301" i="18"/>
  <c r="X51" i="18"/>
  <c r="X208" i="18"/>
  <c r="X159" i="18"/>
  <c r="X314" i="18"/>
  <c r="X62" i="18"/>
  <c r="X205" i="18"/>
  <c r="X267" i="18"/>
  <c r="X139" i="18"/>
  <c r="X281" i="18"/>
  <c r="X137" i="18"/>
  <c r="X323" i="18"/>
  <c r="X71" i="18"/>
  <c r="X230" i="18"/>
  <c r="X117" i="18"/>
  <c r="X196" i="18"/>
  <c r="X319" i="18"/>
  <c r="X67" i="18"/>
  <c r="X194" i="18"/>
  <c r="X285" i="18"/>
  <c r="X192" i="18"/>
  <c r="X143" i="18"/>
  <c r="X298" i="18"/>
  <c r="X49" i="18"/>
  <c r="X189" i="18"/>
  <c r="X252" i="18"/>
  <c r="X123" i="18"/>
  <c r="X265" i="18"/>
  <c r="X121" i="18"/>
  <c r="X292" i="18"/>
  <c r="X263" i="18"/>
  <c r="X307" i="18"/>
  <c r="X55" i="18"/>
  <c r="X214" i="18"/>
  <c r="X101" i="18"/>
  <c r="X180" i="18"/>
  <c r="X303" i="18"/>
  <c r="X52" i="18"/>
  <c r="X178" i="18"/>
  <c r="X272" i="18"/>
  <c r="X176" i="18"/>
  <c r="X127" i="18"/>
  <c r="X282" i="18"/>
  <c r="X173" i="18"/>
  <c r="X236" i="18"/>
  <c r="X107" i="18"/>
  <c r="X250" i="18"/>
  <c r="X105" i="18"/>
  <c r="X324" i="18"/>
  <c r="X43" i="18"/>
  <c r="X216" i="18"/>
  <c r="X291" i="18"/>
  <c r="X42" i="18"/>
  <c r="X198" i="18"/>
  <c r="X85" i="18"/>
  <c r="X164" i="18"/>
  <c r="X287" i="18"/>
  <c r="X38" i="18"/>
  <c r="X162" i="18"/>
  <c r="X257" i="18"/>
  <c r="X160" i="18"/>
  <c r="X111" i="18"/>
  <c r="X269" i="18"/>
  <c r="X157" i="18"/>
  <c r="X220" i="18"/>
  <c r="X91" i="18"/>
  <c r="X234" i="18"/>
  <c r="X89" i="18"/>
  <c r="X72" i="18"/>
  <c r="X278" i="18"/>
  <c r="X182" i="18"/>
  <c r="X69" i="18"/>
  <c r="X148" i="18"/>
  <c r="X274" i="18"/>
  <c r="X146" i="18"/>
  <c r="X241" i="18"/>
  <c r="X144" i="18"/>
  <c r="X95" i="18"/>
  <c r="X254" i="18"/>
  <c r="X141" i="18"/>
  <c r="X204" i="18"/>
  <c r="X75" i="18"/>
  <c r="X218" i="18"/>
  <c r="X325" i="18"/>
  <c r="X73" i="18"/>
  <c r="X104" i="18"/>
  <c r="X262" i="18"/>
  <c r="X166" i="18"/>
  <c r="X321" i="18"/>
  <c r="X40" i="18"/>
  <c r="X132" i="18"/>
  <c r="X259" i="18"/>
  <c r="X130" i="18"/>
  <c r="X225" i="18"/>
  <c r="X128" i="18"/>
  <c r="X79" i="18"/>
  <c r="X238" i="18"/>
  <c r="X125" i="18"/>
  <c r="X188" i="18"/>
  <c r="X59" i="18"/>
  <c r="X202" i="18"/>
  <c r="X309" i="18"/>
  <c r="X57" i="18"/>
  <c r="X247" i="18"/>
  <c r="X150" i="18"/>
  <c r="X305" i="18"/>
  <c r="X116" i="18"/>
  <c r="X243" i="18"/>
  <c r="X114" i="18"/>
  <c r="X209" i="18"/>
  <c r="X112" i="18"/>
  <c r="X315" i="18"/>
  <c r="X63" i="18"/>
  <c r="X222" i="18"/>
  <c r="X109" i="18"/>
  <c r="X172" i="18"/>
  <c r="X311" i="18"/>
  <c r="X46" i="18"/>
  <c r="X186" i="18"/>
  <c r="X293" i="18"/>
  <c r="X44" i="18"/>
  <c r="X168" i="18"/>
  <c r="X136" i="18"/>
  <c r="X231" i="18"/>
  <c r="X134" i="18"/>
  <c r="X289" i="18"/>
  <c r="X100" i="18"/>
  <c r="X227" i="18"/>
  <c r="X98" i="18"/>
  <c r="X193" i="18"/>
  <c r="X96" i="18"/>
  <c r="X299" i="18"/>
  <c r="X50" i="18"/>
  <c r="X206" i="18"/>
  <c r="X93" i="18"/>
  <c r="X156" i="18"/>
  <c r="X295" i="18"/>
  <c r="X170" i="18"/>
  <c r="X280" i="18"/>
  <c r="X248" i="18"/>
  <c r="X215" i="18"/>
  <c r="X118" i="18"/>
  <c r="X276" i="18"/>
  <c r="X84" i="18"/>
  <c r="X211" i="18"/>
  <c r="X82" i="18"/>
  <c r="X177" i="18"/>
  <c r="X80" i="18"/>
  <c r="X283" i="18"/>
  <c r="X190" i="18"/>
  <c r="X77" i="18"/>
  <c r="X140" i="18"/>
  <c r="X266" i="18"/>
  <c r="X154" i="18"/>
  <c r="X264" i="18"/>
  <c r="X199" i="18"/>
  <c r="X102" i="18"/>
  <c r="X245" i="18"/>
  <c r="X320" i="18"/>
  <c r="X68" i="18"/>
  <c r="X195" i="18"/>
  <c r="X318" i="18"/>
  <c r="X66" i="18"/>
  <c r="X161" i="18"/>
  <c r="X316" i="18"/>
  <c r="X64" i="18"/>
  <c r="X270" i="18"/>
  <c r="X174" i="18"/>
  <c r="X61" i="18"/>
  <c r="X124" i="18"/>
  <c r="X251" i="18"/>
  <c r="X138" i="18"/>
  <c r="X249" i="18"/>
  <c r="X279" i="18"/>
  <c r="X183" i="18"/>
  <c r="X86" i="18"/>
  <c r="X229" i="18"/>
  <c r="X304" i="18"/>
  <c r="X53" i="18"/>
  <c r="X179" i="18"/>
  <c r="X302" i="18"/>
  <c r="X145" i="18"/>
  <c r="X300" i="18"/>
  <c r="X255" i="18"/>
  <c r="X158" i="18"/>
  <c r="X313" i="18"/>
  <c r="X48" i="18"/>
  <c r="X108" i="18"/>
  <c r="X235" i="18"/>
  <c r="X122" i="18"/>
  <c r="X233" i="18"/>
  <c r="X308" i="18"/>
  <c r="X151" i="18"/>
  <c r="X306" i="18"/>
  <c r="X54" i="18"/>
  <c r="X197" i="18"/>
  <c r="X275" i="18"/>
  <c r="X147" i="18"/>
  <c r="X273" i="18"/>
  <c r="X113" i="18"/>
  <c r="X271" i="18"/>
  <c r="X223" i="18"/>
  <c r="X126" i="18"/>
  <c r="X268" i="18"/>
  <c r="X76" i="18"/>
  <c r="X203" i="18"/>
  <c r="X90" i="18"/>
  <c r="X201" i="18"/>
  <c r="F314" i="18"/>
  <c r="F79" i="18"/>
  <c r="F240" i="18"/>
  <c r="F145" i="18"/>
  <c r="F302" i="18"/>
  <c r="F195" i="18"/>
  <c r="F68" i="18"/>
  <c r="F320" i="18"/>
  <c r="F213" i="18"/>
  <c r="F102" i="18"/>
  <c r="F231" i="18"/>
  <c r="F104" i="18"/>
  <c r="F217" i="18"/>
  <c r="F74" i="18"/>
  <c r="F203" i="18"/>
  <c r="F76" i="18"/>
  <c r="F205" i="18"/>
  <c r="P156" i="18"/>
  <c r="X239" i="18"/>
  <c r="W187" i="18"/>
  <c r="O283" i="18"/>
  <c r="F95" i="18"/>
  <c r="F256" i="18"/>
  <c r="F161" i="18"/>
  <c r="F66" i="18"/>
  <c r="F318" i="18"/>
  <c r="F211" i="18"/>
  <c r="F84" i="18"/>
  <c r="F229" i="18"/>
  <c r="F118" i="18"/>
  <c r="F247" i="18"/>
  <c r="F120" i="18"/>
  <c r="F233" i="18"/>
  <c r="F90" i="18"/>
  <c r="F219" i="18"/>
  <c r="F92" i="18"/>
  <c r="W132" i="18"/>
  <c r="P96" i="18"/>
  <c r="X163" i="18"/>
  <c r="P247" i="18"/>
  <c r="O18" i="18"/>
  <c r="O25" i="18"/>
  <c r="O12" i="18"/>
  <c r="O22" i="18"/>
  <c r="O26" i="18"/>
  <c r="O8" i="18"/>
  <c r="O34" i="18"/>
  <c r="O36" i="18"/>
  <c r="O10" i="18"/>
  <c r="O14" i="18"/>
  <c r="O31" i="18"/>
  <c r="O32" i="18"/>
  <c r="O19" i="18"/>
  <c r="O11" i="18"/>
  <c r="O35" i="18"/>
  <c r="O4" i="18"/>
  <c r="O15" i="18"/>
  <c r="O33" i="18"/>
  <c r="O7" i="18"/>
  <c r="O24" i="18"/>
  <c r="O30" i="18"/>
  <c r="O27" i="18"/>
  <c r="O28" i="18"/>
  <c r="O21" i="18"/>
  <c r="O16" i="18"/>
  <c r="O17" i="18"/>
  <c r="O5" i="18"/>
  <c r="O9" i="18"/>
  <c r="O13" i="18"/>
  <c r="O23" i="18"/>
  <c r="O20" i="18"/>
  <c r="O29" i="18"/>
  <c r="O6" i="18"/>
  <c r="O255" i="18"/>
  <c r="O158" i="18"/>
  <c r="O221" i="18"/>
  <c r="O92" i="18"/>
  <c r="O219" i="18"/>
  <c r="O310" i="18"/>
  <c r="O58" i="18"/>
  <c r="O217" i="18"/>
  <c r="O323" i="18"/>
  <c r="O71" i="18"/>
  <c r="O230" i="18"/>
  <c r="O321" i="18"/>
  <c r="O40" i="18"/>
  <c r="O164" i="18"/>
  <c r="O287" i="18"/>
  <c r="O38" i="18"/>
  <c r="O162" i="18"/>
  <c r="O301" i="18"/>
  <c r="O51" i="18"/>
  <c r="O168" i="18"/>
  <c r="O239" i="18"/>
  <c r="O142" i="18"/>
  <c r="O205" i="18"/>
  <c r="O76" i="18"/>
  <c r="O203" i="18"/>
  <c r="O294" i="18"/>
  <c r="O45" i="18"/>
  <c r="O201" i="18"/>
  <c r="O324" i="18"/>
  <c r="O307" i="18"/>
  <c r="O55" i="18"/>
  <c r="O214" i="18"/>
  <c r="O305" i="18"/>
  <c r="O148" i="18"/>
  <c r="O274" i="18"/>
  <c r="O146" i="18"/>
  <c r="O285" i="18"/>
  <c r="O184" i="18"/>
  <c r="O223" i="18"/>
  <c r="O126" i="18"/>
  <c r="O189" i="18"/>
  <c r="O60" i="18"/>
  <c r="O187" i="18"/>
  <c r="O281" i="18"/>
  <c r="O185" i="18"/>
  <c r="O308" i="18"/>
  <c r="O291" i="18"/>
  <c r="O42" i="18"/>
  <c r="O198" i="18"/>
  <c r="O289" i="18"/>
  <c r="O132" i="18"/>
  <c r="O259" i="18"/>
  <c r="O130" i="18"/>
  <c r="O272" i="18"/>
  <c r="O224" i="18"/>
  <c r="O200" i="18"/>
  <c r="O56" i="18"/>
  <c r="O207" i="18"/>
  <c r="O110" i="18"/>
  <c r="O173" i="18"/>
  <c r="O312" i="18"/>
  <c r="O47" i="18"/>
  <c r="O171" i="18"/>
  <c r="O265" i="18"/>
  <c r="O169" i="18"/>
  <c r="O292" i="18"/>
  <c r="O278" i="18"/>
  <c r="O182" i="18"/>
  <c r="O276" i="18"/>
  <c r="O116" i="18"/>
  <c r="O243" i="18"/>
  <c r="O114" i="18"/>
  <c r="O257" i="18"/>
  <c r="O88" i="18"/>
  <c r="O72" i="18"/>
  <c r="O144" i="18"/>
  <c r="O191" i="18"/>
  <c r="O94" i="18"/>
  <c r="O157" i="18"/>
  <c r="O296" i="18"/>
  <c r="O155" i="18"/>
  <c r="O250" i="18"/>
  <c r="O153" i="18"/>
  <c r="O279" i="18"/>
  <c r="O262" i="18"/>
  <c r="O166" i="18"/>
  <c r="O245" i="18"/>
  <c r="O100" i="18"/>
  <c r="O227" i="18"/>
  <c r="O98" i="18"/>
  <c r="O241" i="18"/>
  <c r="O284" i="18"/>
  <c r="O256" i="18"/>
  <c r="O175" i="18"/>
  <c r="O78" i="18"/>
  <c r="O141" i="18"/>
  <c r="O267" i="18"/>
  <c r="O139" i="18"/>
  <c r="O234" i="18"/>
  <c r="O137" i="18"/>
  <c r="O263" i="18"/>
  <c r="O247" i="18"/>
  <c r="O150" i="18"/>
  <c r="O229" i="18"/>
  <c r="O84" i="18"/>
  <c r="O211" i="18"/>
  <c r="O82" i="18"/>
  <c r="O225" i="18"/>
  <c r="O120" i="18"/>
  <c r="O104" i="18"/>
  <c r="O159" i="18"/>
  <c r="O314" i="18"/>
  <c r="O62" i="18"/>
  <c r="O125" i="18"/>
  <c r="O252" i="18"/>
  <c r="O123" i="18"/>
  <c r="O218" i="18"/>
  <c r="O121" i="18"/>
  <c r="O248" i="18"/>
  <c r="O231" i="18"/>
  <c r="O134" i="18"/>
  <c r="O213" i="18"/>
  <c r="O320" i="18"/>
  <c r="O68" i="18"/>
  <c r="O195" i="18"/>
  <c r="O318" i="18"/>
  <c r="O66" i="18"/>
  <c r="O209" i="18"/>
  <c r="O143" i="18"/>
  <c r="O298" i="18"/>
  <c r="O49" i="18"/>
  <c r="O109" i="18"/>
  <c r="O236" i="18"/>
  <c r="O107" i="18"/>
  <c r="O202" i="18"/>
  <c r="O105" i="18"/>
  <c r="O232" i="18"/>
  <c r="O215" i="18"/>
  <c r="O118" i="18"/>
  <c r="O197" i="18"/>
  <c r="O304" i="18"/>
  <c r="O53" i="18"/>
  <c r="O179" i="18"/>
  <c r="O302" i="18"/>
  <c r="O193" i="18"/>
  <c r="O127" i="18"/>
  <c r="O282" i="18"/>
  <c r="O93" i="18"/>
  <c r="O220" i="18"/>
  <c r="O91" i="18"/>
  <c r="O186" i="18"/>
  <c r="O89" i="18"/>
  <c r="O216" i="18"/>
  <c r="O199" i="18"/>
  <c r="O102" i="18"/>
  <c r="O181" i="18"/>
  <c r="O288" i="18"/>
  <c r="O39" i="18"/>
  <c r="O163" i="18"/>
  <c r="O286" i="18"/>
  <c r="O177" i="18"/>
  <c r="O160" i="18"/>
  <c r="O316" i="18"/>
  <c r="O300" i="18"/>
  <c r="O111" i="18"/>
  <c r="O269" i="18"/>
  <c r="O77" i="18"/>
  <c r="O204" i="18"/>
  <c r="O75" i="18"/>
  <c r="O170" i="18"/>
  <c r="O325" i="18"/>
  <c r="O73" i="18"/>
  <c r="O183" i="18"/>
  <c r="O86" i="18"/>
  <c r="O165" i="18"/>
  <c r="O275" i="18"/>
  <c r="O147" i="18"/>
  <c r="O273" i="18"/>
  <c r="O161" i="18"/>
  <c r="O192" i="18"/>
  <c r="O95" i="18"/>
  <c r="O254" i="18"/>
  <c r="O61" i="18"/>
  <c r="O188" i="18"/>
  <c r="O59" i="18"/>
  <c r="O154" i="18"/>
  <c r="O309" i="18"/>
  <c r="O57" i="18"/>
  <c r="O167" i="18"/>
  <c r="O322" i="18"/>
  <c r="O70" i="18"/>
  <c r="O149" i="18"/>
  <c r="O260" i="18"/>
  <c r="O131" i="18"/>
  <c r="O258" i="18"/>
  <c r="O145" i="18"/>
  <c r="O208" i="18"/>
  <c r="O64" i="18"/>
  <c r="O79" i="18"/>
  <c r="O238" i="18"/>
  <c r="O313" i="18"/>
  <c r="O48" i="18"/>
  <c r="O172" i="18"/>
  <c r="O311" i="18"/>
  <c r="O46" i="18"/>
  <c r="O138" i="18"/>
  <c r="O293" i="18"/>
  <c r="O44" i="18"/>
  <c r="O151" i="18"/>
  <c r="O306" i="18"/>
  <c r="O54" i="18"/>
  <c r="O133" i="18"/>
  <c r="O244" i="18"/>
  <c r="O115" i="18"/>
  <c r="O242" i="18"/>
  <c r="O129" i="18"/>
  <c r="O80" i="18"/>
  <c r="O315" i="18"/>
  <c r="O63" i="18"/>
  <c r="O222" i="18"/>
  <c r="O297" i="18"/>
  <c r="O156" i="18"/>
  <c r="O295" i="18"/>
  <c r="O122" i="18"/>
  <c r="O280" i="18"/>
  <c r="O135" i="18"/>
  <c r="O290" i="18"/>
  <c r="O41" i="18"/>
  <c r="O117" i="18"/>
  <c r="O228" i="18"/>
  <c r="O99" i="18"/>
  <c r="O226" i="18"/>
  <c r="O113" i="18"/>
  <c r="O271" i="18"/>
  <c r="O240" i="18"/>
  <c r="O299" i="18"/>
  <c r="O50" i="18"/>
  <c r="O206" i="18"/>
  <c r="O268" i="18"/>
  <c r="O140" i="18"/>
  <c r="O266" i="18"/>
  <c r="O106" i="18"/>
  <c r="O264" i="18"/>
  <c r="O119" i="18"/>
  <c r="O277" i="18"/>
  <c r="O101" i="18"/>
  <c r="O212" i="18"/>
  <c r="O83" i="18"/>
  <c r="O210" i="18"/>
  <c r="O97" i="18"/>
  <c r="O112" i="18"/>
  <c r="O96" i="18"/>
  <c r="O270" i="18"/>
  <c r="O174" i="18"/>
  <c r="O237" i="18"/>
  <c r="O108" i="18"/>
  <c r="O235" i="18"/>
  <c r="O74" i="18"/>
  <c r="O233" i="18"/>
  <c r="O87" i="18"/>
  <c r="O246" i="18"/>
  <c r="O69" i="18"/>
  <c r="O180" i="18"/>
  <c r="O303" i="18"/>
  <c r="O52" i="18"/>
  <c r="O178" i="18"/>
  <c r="O317" i="18"/>
  <c r="O65" i="18"/>
  <c r="F15" i="18"/>
  <c r="F32" i="18"/>
  <c r="F21" i="18"/>
  <c r="F5" i="18"/>
  <c r="F27" i="18"/>
  <c r="F31" i="18"/>
  <c r="F17" i="18"/>
  <c r="F8" i="18"/>
  <c r="F10" i="18"/>
  <c r="F29" i="18"/>
  <c r="F7" i="18"/>
  <c r="F26" i="18"/>
  <c r="F28" i="18"/>
  <c r="F33" i="18"/>
  <c r="F24" i="18"/>
  <c r="F22" i="18"/>
  <c r="F30" i="18"/>
  <c r="F19" i="18"/>
  <c r="F13" i="18"/>
  <c r="F12" i="18"/>
  <c r="F9" i="18"/>
  <c r="F11" i="18"/>
  <c r="F18" i="18"/>
  <c r="F36" i="18"/>
  <c r="F16" i="18"/>
  <c r="F4" i="18"/>
  <c r="F14" i="18"/>
  <c r="F35" i="18"/>
  <c r="F34" i="18"/>
  <c r="F20" i="18"/>
  <c r="F6" i="18"/>
  <c r="F23" i="18"/>
  <c r="F25" i="18"/>
  <c r="F78" i="18"/>
  <c r="F111" i="18"/>
  <c r="F271" i="18"/>
  <c r="F177" i="18"/>
  <c r="F82" i="18"/>
  <c r="F227" i="18"/>
  <c r="F100" i="18"/>
  <c r="F245" i="18"/>
  <c r="F134" i="18"/>
  <c r="F262" i="18"/>
  <c r="F136" i="18"/>
  <c r="F249" i="18"/>
  <c r="F106" i="18"/>
  <c r="F235" i="18"/>
  <c r="F108" i="18"/>
  <c r="F237" i="18"/>
  <c r="P44" i="18"/>
  <c r="X92" i="18"/>
  <c r="W56" i="18"/>
  <c r="O124" i="18"/>
  <c r="W207" i="18"/>
  <c r="S28" i="18"/>
  <c r="K28" i="18"/>
  <c r="D28" i="18"/>
  <c r="E28" i="18"/>
  <c r="F94" i="18"/>
  <c r="F127" i="18"/>
  <c r="F284" i="18"/>
  <c r="F193" i="18"/>
  <c r="F98" i="18"/>
  <c r="F243" i="18"/>
  <c r="F116" i="18"/>
  <c r="F276" i="18"/>
  <c r="F150" i="18"/>
  <c r="F278" i="18"/>
  <c r="F152" i="18"/>
  <c r="F264" i="18"/>
  <c r="F122" i="18"/>
  <c r="F251" i="18"/>
  <c r="F124" i="18"/>
  <c r="F253" i="18"/>
  <c r="O43" i="18"/>
  <c r="P293" i="18"/>
  <c r="O85" i="18"/>
  <c r="W308" i="18"/>
  <c r="P100" i="18"/>
  <c r="X167" i="18"/>
  <c r="Y32" i="18"/>
  <c r="Y34" i="18"/>
  <c r="Y6" i="18"/>
  <c r="Y15" i="18"/>
  <c r="Y18" i="18"/>
  <c r="Y9" i="18"/>
  <c r="Y25" i="18"/>
  <c r="Y24" i="18"/>
  <c r="Y22" i="18"/>
  <c r="Y12" i="18"/>
  <c r="Y8" i="18"/>
  <c r="Y4" i="18"/>
  <c r="Y21" i="18"/>
  <c r="Y23" i="18"/>
  <c r="Y29" i="18"/>
  <c r="Y10" i="18"/>
  <c r="Y20" i="18"/>
  <c r="Y31" i="18"/>
  <c r="Y11" i="18"/>
  <c r="Y16" i="18"/>
  <c r="Y19" i="18"/>
  <c r="Y27" i="18"/>
  <c r="Y7" i="18"/>
  <c r="Y28" i="18"/>
  <c r="Y33" i="18"/>
  <c r="Y36" i="18"/>
  <c r="Y5" i="18"/>
  <c r="Y13" i="18"/>
  <c r="Y26" i="18"/>
  <c r="Y30" i="18"/>
  <c r="Y17" i="18"/>
  <c r="Y14" i="18"/>
  <c r="Y35" i="18"/>
  <c r="F110" i="18"/>
  <c r="F143" i="18"/>
  <c r="F300" i="18"/>
  <c r="F209" i="18"/>
  <c r="F114" i="18"/>
  <c r="F259" i="18"/>
  <c r="F132" i="18"/>
  <c r="F289" i="18"/>
  <c r="F166" i="18"/>
  <c r="F42" i="18"/>
  <c r="F291" i="18"/>
  <c r="F168" i="18"/>
  <c r="F280" i="18"/>
  <c r="F138" i="18"/>
  <c r="F266" i="18"/>
  <c r="F140" i="18"/>
  <c r="F268" i="18"/>
  <c r="P56" i="18"/>
  <c r="W257" i="18"/>
  <c r="P61" i="18"/>
  <c r="X284" i="18"/>
  <c r="W60" i="18"/>
  <c r="F238" i="18"/>
  <c r="F159" i="18"/>
  <c r="F64" i="18"/>
  <c r="F316" i="18"/>
  <c r="F225" i="18"/>
  <c r="F130" i="18"/>
  <c r="F274" i="18"/>
  <c r="F148" i="18"/>
  <c r="F305" i="18"/>
  <c r="F182" i="18"/>
  <c r="F55" i="18"/>
  <c r="F307" i="18"/>
  <c r="F184" i="18"/>
  <c r="F44" i="18"/>
  <c r="F293" i="18"/>
  <c r="F154" i="18"/>
  <c r="F295" i="18"/>
  <c r="F156" i="18"/>
  <c r="F297" i="18"/>
  <c r="X217" i="18"/>
  <c r="O249" i="18"/>
  <c r="X39" i="18"/>
  <c r="W25" i="18"/>
  <c r="W26" i="18"/>
  <c r="W12" i="18"/>
  <c r="W22" i="18"/>
  <c r="W8" i="18"/>
  <c r="W36" i="18"/>
  <c r="W18" i="18"/>
  <c r="W10" i="18"/>
  <c r="W32" i="18"/>
  <c r="W19" i="18"/>
  <c r="W34" i="18"/>
  <c r="W15" i="18"/>
  <c r="W33" i="18"/>
  <c r="W7" i="18"/>
  <c r="W24" i="18"/>
  <c r="W17" i="18"/>
  <c r="W5" i="18"/>
  <c r="W13" i="18"/>
  <c r="W28" i="18"/>
  <c r="W21" i="18"/>
  <c r="W16" i="18"/>
  <c r="W9" i="18"/>
  <c r="W11" i="18"/>
  <c r="W35" i="18"/>
  <c r="W30" i="18"/>
  <c r="W27" i="18"/>
  <c r="W4" i="18"/>
  <c r="W23" i="18"/>
  <c r="W14" i="18"/>
  <c r="W31" i="18"/>
  <c r="W29" i="18"/>
  <c r="W20" i="18"/>
  <c r="W6" i="18"/>
  <c r="W175" i="18"/>
  <c r="W78" i="18"/>
  <c r="W189" i="18"/>
  <c r="W296" i="18"/>
  <c r="W155" i="18"/>
  <c r="W265" i="18"/>
  <c r="W137" i="18"/>
  <c r="W279" i="18"/>
  <c r="W247" i="18"/>
  <c r="W150" i="18"/>
  <c r="W289" i="18"/>
  <c r="W100" i="18"/>
  <c r="W227" i="18"/>
  <c r="W114" i="18"/>
  <c r="W225" i="18"/>
  <c r="W192" i="18"/>
  <c r="W160" i="18"/>
  <c r="W271" i="18"/>
  <c r="W159" i="18"/>
  <c r="W314" i="18"/>
  <c r="W62" i="18"/>
  <c r="W173" i="18"/>
  <c r="W267" i="18"/>
  <c r="W139" i="18"/>
  <c r="W250" i="18"/>
  <c r="W121" i="18"/>
  <c r="W263" i="18"/>
  <c r="W231" i="18"/>
  <c r="W134" i="18"/>
  <c r="W276" i="18"/>
  <c r="W84" i="18"/>
  <c r="W211" i="18"/>
  <c r="W98" i="18"/>
  <c r="W209" i="18"/>
  <c r="W143" i="18"/>
  <c r="W298" i="18"/>
  <c r="W49" i="18"/>
  <c r="W157" i="18"/>
  <c r="W252" i="18"/>
  <c r="W123" i="18"/>
  <c r="W234" i="18"/>
  <c r="W105" i="18"/>
  <c r="W248" i="18"/>
  <c r="W215" i="18"/>
  <c r="W118" i="18"/>
  <c r="W245" i="18"/>
  <c r="W320" i="18"/>
  <c r="W68" i="18"/>
  <c r="W195" i="18"/>
  <c r="W82" i="18"/>
  <c r="W193" i="18"/>
  <c r="W256" i="18"/>
  <c r="W224" i="18"/>
  <c r="W127" i="18"/>
  <c r="W282" i="18"/>
  <c r="W141" i="18"/>
  <c r="W236" i="18"/>
  <c r="W107" i="18"/>
  <c r="W218" i="18"/>
  <c r="W89" i="18"/>
  <c r="W232" i="18"/>
  <c r="W199" i="18"/>
  <c r="W102" i="18"/>
  <c r="W229" i="18"/>
  <c r="W304" i="18"/>
  <c r="W53" i="18"/>
  <c r="W179" i="18"/>
  <c r="W318" i="18"/>
  <c r="W66" i="18"/>
  <c r="W177" i="18"/>
  <c r="W111" i="18"/>
  <c r="W269" i="18"/>
  <c r="W125" i="18"/>
  <c r="W220" i="18"/>
  <c r="W91" i="18"/>
  <c r="W202" i="18"/>
  <c r="W325" i="18"/>
  <c r="W73" i="18"/>
  <c r="W216" i="18"/>
  <c r="W183" i="18"/>
  <c r="W86" i="18"/>
  <c r="W213" i="18"/>
  <c r="W288" i="18"/>
  <c r="W39" i="18"/>
  <c r="W163" i="18"/>
  <c r="W302" i="18"/>
  <c r="W161" i="18"/>
  <c r="W95" i="18"/>
  <c r="W254" i="18"/>
  <c r="W109" i="18"/>
  <c r="W204" i="18"/>
  <c r="W75" i="18"/>
  <c r="W186" i="18"/>
  <c r="W309" i="18"/>
  <c r="W57" i="18"/>
  <c r="W200" i="18"/>
  <c r="W167" i="18"/>
  <c r="W322" i="18"/>
  <c r="W70" i="18"/>
  <c r="W197" i="18"/>
  <c r="W275" i="18"/>
  <c r="W147" i="18"/>
  <c r="W286" i="18"/>
  <c r="W145" i="18"/>
  <c r="W80" i="18"/>
  <c r="W79" i="18"/>
  <c r="W238" i="18"/>
  <c r="W93" i="18"/>
  <c r="W188" i="18"/>
  <c r="W59" i="18"/>
  <c r="W170" i="18"/>
  <c r="W293" i="18"/>
  <c r="W44" i="18"/>
  <c r="W184" i="18"/>
  <c r="W151" i="18"/>
  <c r="W306" i="18"/>
  <c r="W54" i="18"/>
  <c r="W181" i="18"/>
  <c r="W260" i="18"/>
  <c r="W131" i="18"/>
  <c r="W273" i="18"/>
  <c r="W129" i="18"/>
  <c r="W112" i="18"/>
  <c r="W284" i="18"/>
  <c r="W315" i="18"/>
  <c r="W63" i="18"/>
  <c r="W222" i="18"/>
  <c r="W77" i="18"/>
  <c r="W172" i="18"/>
  <c r="W311" i="18"/>
  <c r="W46" i="18"/>
  <c r="W154" i="18"/>
  <c r="W280" i="18"/>
  <c r="W168" i="18"/>
  <c r="W135" i="18"/>
  <c r="W290" i="18"/>
  <c r="W41" i="18"/>
  <c r="W165" i="18"/>
  <c r="W244" i="18"/>
  <c r="W115" i="18"/>
  <c r="W258" i="18"/>
  <c r="W113" i="18"/>
  <c r="W144" i="18"/>
  <c r="W299" i="18"/>
  <c r="W50" i="18"/>
  <c r="W206" i="18"/>
  <c r="W61" i="18"/>
  <c r="W156" i="18"/>
  <c r="W295" i="18"/>
  <c r="W138" i="18"/>
  <c r="W264" i="18"/>
  <c r="W152" i="18"/>
  <c r="W119" i="18"/>
  <c r="W277" i="18"/>
  <c r="W149" i="18"/>
  <c r="W228" i="18"/>
  <c r="W99" i="18"/>
  <c r="W242" i="18"/>
  <c r="W97" i="18"/>
  <c r="W176" i="18"/>
  <c r="W283" i="18"/>
  <c r="W190" i="18"/>
  <c r="W313" i="18"/>
  <c r="W48" i="18"/>
  <c r="W140" i="18"/>
  <c r="W266" i="18"/>
  <c r="W122" i="18"/>
  <c r="W249" i="18"/>
  <c r="W136" i="18"/>
  <c r="W103" i="18"/>
  <c r="W261" i="18"/>
  <c r="W133" i="18"/>
  <c r="W212" i="18"/>
  <c r="W83" i="18"/>
  <c r="W226" i="18"/>
  <c r="W81" i="18"/>
  <c r="W270" i="18"/>
  <c r="W174" i="18"/>
  <c r="W297" i="18"/>
  <c r="W124" i="18"/>
  <c r="W251" i="18"/>
  <c r="W106" i="18"/>
  <c r="W233" i="18"/>
  <c r="W120" i="18"/>
  <c r="W87" i="18"/>
  <c r="W246" i="18"/>
  <c r="W117" i="18"/>
  <c r="W196" i="18"/>
  <c r="W319" i="18"/>
  <c r="W67" i="18"/>
  <c r="W210" i="18"/>
  <c r="W317" i="18"/>
  <c r="W65" i="18"/>
  <c r="W240" i="18"/>
  <c r="W208" i="18"/>
  <c r="W255" i="18"/>
  <c r="W158" i="18"/>
  <c r="W268" i="18"/>
  <c r="W108" i="18"/>
  <c r="W235" i="18"/>
  <c r="W90" i="18"/>
  <c r="W217" i="18"/>
  <c r="W104" i="18"/>
  <c r="W323" i="18"/>
  <c r="W71" i="18"/>
  <c r="W230" i="18"/>
  <c r="W101" i="18"/>
  <c r="W180" i="18"/>
  <c r="W303" i="18"/>
  <c r="W52" i="18"/>
  <c r="W194" i="18"/>
  <c r="W301" i="18"/>
  <c r="W51" i="18"/>
  <c r="W316" i="18"/>
  <c r="W239" i="18"/>
  <c r="W142" i="18"/>
  <c r="W253" i="18"/>
  <c r="W92" i="18"/>
  <c r="W219" i="18"/>
  <c r="W74" i="18"/>
  <c r="W201" i="18"/>
  <c r="W88" i="18"/>
  <c r="W307" i="18"/>
  <c r="W55" i="18"/>
  <c r="W214" i="18"/>
  <c r="W85" i="18"/>
  <c r="W164" i="18"/>
  <c r="W287" i="18"/>
  <c r="W38" i="18"/>
  <c r="W178" i="18"/>
  <c r="W285" i="18"/>
  <c r="W64" i="18"/>
  <c r="W223" i="18"/>
  <c r="W126" i="18"/>
  <c r="W237" i="18"/>
  <c r="W76" i="18"/>
  <c r="W203" i="18"/>
  <c r="W310" i="18"/>
  <c r="W58" i="18"/>
  <c r="W185" i="18"/>
  <c r="W324" i="18"/>
  <c r="W72" i="18"/>
  <c r="W291" i="18"/>
  <c r="W42" i="18"/>
  <c r="W198" i="18"/>
  <c r="W69" i="18"/>
  <c r="W148" i="18"/>
  <c r="W274" i="18"/>
  <c r="W162" i="18"/>
  <c r="W272" i="18"/>
  <c r="W96" i="18"/>
  <c r="W191" i="18"/>
  <c r="W94" i="18"/>
  <c r="W205" i="18"/>
  <c r="W312" i="18"/>
  <c r="W47" i="18"/>
  <c r="W171" i="18"/>
  <c r="W281" i="18"/>
  <c r="W153" i="18"/>
  <c r="W292" i="18"/>
  <c r="W43" i="18"/>
  <c r="W262" i="18"/>
  <c r="W166" i="18"/>
  <c r="W305" i="18"/>
  <c r="W116" i="18"/>
  <c r="W243" i="18"/>
  <c r="W130" i="18"/>
  <c r="W241" i="18"/>
  <c r="P28" i="18"/>
  <c r="P10" i="18"/>
  <c r="P15" i="18"/>
  <c r="P33" i="18"/>
  <c r="P29" i="18"/>
  <c r="P20" i="18"/>
  <c r="P17" i="18"/>
  <c r="P11" i="18"/>
  <c r="P34" i="18"/>
  <c r="P24" i="18"/>
  <c r="P30" i="18"/>
  <c r="P12" i="18"/>
  <c r="P13" i="18"/>
  <c r="P23" i="18"/>
  <c r="P22" i="18"/>
  <c r="P36" i="18"/>
  <c r="P14" i="18"/>
  <c r="P26" i="18"/>
  <c r="P32" i="18"/>
  <c r="P18" i="18"/>
  <c r="P35" i="18"/>
  <c r="P5" i="18"/>
  <c r="P19" i="18"/>
  <c r="P25" i="18"/>
  <c r="P16" i="18"/>
  <c r="P7" i="18"/>
  <c r="P21" i="18"/>
  <c r="P9" i="18"/>
  <c r="P4" i="18"/>
  <c r="P6" i="18"/>
  <c r="P8" i="18"/>
  <c r="P27" i="18"/>
  <c r="P31" i="18"/>
  <c r="P215" i="18"/>
  <c r="P118" i="18"/>
  <c r="P213" i="18"/>
  <c r="P320" i="18"/>
  <c r="P68" i="18"/>
  <c r="P195" i="18"/>
  <c r="P302" i="18"/>
  <c r="P177" i="18"/>
  <c r="P316" i="18"/>
  <c r="P64" i="18"/>
  <c r="P283" i="18"/>
  <c r="P190" i="18"/>
  <c r="P297" i="18"/>
  <c r="P124" i="18"/>
  <c r="P251" i="18"/>
  <c r="P122" i="18"/>
  <c r="P264" i="18"/>
  <c r="P88" i="18"/>
  <c r="P199" i="18"/>
  <c r="P102" i="18"/>
  <c r="P197" i="18"/>
  <c r="P304" i="18"/>
  <c r="P53" i="18"/>
  <c r="P179" i="18"/>
  <c r="P286" i="18"/>
  <c r="P161" i="18"/>
  <c r="P300" i="18"/>
  <c r="P270" i="18"/>
  <c r="P174" i="18"/>
  <c r="P268" i="18"/>
  <c r="P108" i="18"/>
  <c r="P235" i="18"/>
  <c r="P106" i="18"/>
  <c r="P249" i="18"/>
  <c r="P152" i="18"/>
  <c r="P120" i="18"/>
  <c r="P183" i="18"/>
  <c r="P86" i="18"/>
  <c r="P181" i="18"/>
  <c r="P288" i="18"/>
  <c r="P39" i="18"/>
  <c r="P163" i="18"/>
  <c r="P273" i="18"/>
  <c r="P145" i="18"/>
  <c r="P284" i="18"/>
  <c r="P255" i="18"/>
  <c r="P158" i="18"/>
  <c r="P253" i="18"/>
  <c r="P92" i="18"/>
  <c r="P219" i="18"/>
  <c r="P90" i="18"/>
  <c r="P233" i="18"/>
  <c r="P263" i="18"/>
  <c r="P167" i="18"/>
  <c r="P322" i="18"/>
  <c r="P70" i="18"/>
  <c r="P165" i="18"/>
  <c r="P275" i="18"/>
  <c r="P147" i="18"/>
  <c r="P258" i="18"/>
  <c r="P129" i="18"/>
  <c r="P271" i="18"/>
  <c r="P239" i="18"/>
  <c r="P142" i="18"/>
  <c r="P237" i="18"/>
  <c r="P76" i="18"/>
  <c r="P203" i="18"/>
  <c r="P74" i="18"/>
  <c r="P217" i="18"/>
  <c r="P216" i="18"/>
  <c r="P184" i="18"/>
  <c r="P151" i="18"/>
  <c r="P306" i="18"/>
  <c r="P54" i="18"/>
  <c r="P149" i="18"/>
  <c r="P260" i="18"/>
  <c r="P131" i="18"/>
  <c r="P242" i="18"/>
  <c r="P113" i="18"/>
  <c r="P256" i="18"/>
  <c r="P223" i="18"/>
  <c r="P126" i="18"/>
  <c r="P221" i="18"/>
  <c r="P60" i="18"/>
  <c r="P187" i="18"/>
  <c r="P310" i="18"/>
  <c r="P58" i="18"/>
  <c r="P201" i="18"/>
  <c r="P135" i="18"/>
  <c r="P290" i="18"/>
  <c r="P41" i="18"/>
  <c r="P133" i="18"/>
  <c r="P244" i="18"/>
  <c r="P115" i="18"/>
  <c r="P226" i="18"/>
  <c r="P97" i="18"/>
  <c r="P240" i="18"/>
  <c r="P207" i="18"/>
  <c r="P110" i="18"/>
  <c r="P205" i="18"/>
  <c r="P312" i="18"/>
  <c r="P47" i="18"/>
  <c r="P171" i="18"/>
  <c r="P294" i="18"/>
  <c r="P45" i="18"/>
  <c r="P185" i="18"/>
  <c r="P119" i="18"/>
  <c r="P277" i="18"/>
  <c r="P117" i="18"/>
  <c r="P228" i="18"/>
  <c r="P99" i="18"/>
  <c r="P210" i="18"/>
  <c r="P81" i="18"/>
  <c r="P224" i="18"/>
  <c r="P191" i="18"/>
  <c r="P94" i="18"/>
  <c r="P189" i="18"/>
  <c r="P296" i="18"/>
  <c r="P155" i="18"/>
  <c r="P281" i="18"/>
  <c r="P169" i="18"/>
  <c r="P292" i="18"/>
  <c r="P103" i="18"/>
  <c r="P261" i="18"/>
  <c r="P101" i="18"/>
  <c r="P212" i="18"/>
  <c r="P83" i="18"/>
  <c r="P194" i="18"/>
  <c r="P317" i="18"/>
  <c r="P65" i="18"/>
  <c r="P208" i="18"/>
  <c r="P175" i="18"/>
  <c r="P78" i="18"/>
  <c r="P173" i="18"/>
  <c r="P267" i="18"/>
  <c r="P139" i="18"/>
  <c r="P265" i="18"/>
  <c r="P153" i="18"/>
  <c r="P324" i="18"/>
  <c r="P43" i="18"/>
  <c r="P248" i="18"/>
  <c r="P87" i="18"/>
  <c r="P246" i="18"/>
  <c r="P85" i="18"/>
  <c r="P196" i="18"/>
  <c r="P319" i="18"/>
  <c r="P67" i="18"/>
  <c r="P178" i="18"/>
  <c r="P301" i="18"/>
  <c r="P51" i="18"/>
  <c r="P192" i="18"/>
  <c r="P159" i="18"/>
  <c r="P314" i="18"/>
  <c r="P62" i="18"/>
  <c r="P157" i="18"/>
  <c r="P252" i="18"/>
  <c r="P123" i="18"/>
  <c r="P250" i="18"/>
  <c r="P137" i="18"/>
  <c r="P104" i="18"/>
  <c r="P72" i="18"/>
  <c r="P323" i="18"/>
  <c r="P71" i="18"/>
  <c r="P230" i="18"/>
  <c r="P69" i="18"/>
  <c r="P180" i="18"/>
  <c r="P303" i="18"/>
  <c r="P52" i="18"/>
  <c r="P162" i="18"/>
  <c r="P285" i="18"/>
  <c r="P176" i="18"/>
  <c r="P143" i="18"/>
  <c r="P298" i="18"/>
  <c r="P49" i="18"/>
  <c r="P141" i="18"/>
  <c r="P236" i="18"/>
  <c r="P107" i="18"/>
  <c r="P234" i="18"/>
  <c r="P121" i="18"/>
  <c r="P136" i="18"/>
  <c r="P307" i="18"/>
  <c r="P55" i="18"/>
  <c r="P214" i="18"/>
  <c r="P321" i="18"/>
  <c r="P40" i="18"/>
  <c r="P164" i="18"/>
  <c r="P287" i="18"/>
  <c r="P38" i="18"/>
  <c r="P146" i="18"/>
  <c r="P272" i="18"/>
  <c r="P160" i="18"/>
  <c r="P127" i="18"/>
  <c r="P282" i="18"/>
  <c r="P125" i="18"/>
  <c r="P220" i="18"/>
  <c r="P91" i="18"/>
  <c r="P218" i="18"/>
  <c r="P105" i="18"/>
  <c r="P291" i="18"/>
  <c r="P42" i="18"/>
  <c r="P198" i="18"/>
  <c r="P305" i="18"/>
  <c r="P148" i="18"/>
  <c r="P274" i="18"/>
  <c r="P130" i="18"/>
  <c r="P257" i="18"/>
  <c r="P144" i="18"/>
  <c r="P111" i="18"/>
  <c r="P269" i="18"/>
  <c r="P109" i="18"/>
  <c r="P204" i="18"/>
  <c r="P75" i="18"/>
  <c r="P202" i="18"/>
  <c r="P89" i="18"/>
  <c r="P200" i="18"/>
  <c r="P168" i="18"/>
  <c r="P278" i="18"/>
  <c r="P182" i="18"/>
  <c r="P289" i="18"/>
  <c r="P132" i="18"/>
  <c r="P259" i="18"/>
  <c r="P114" i="18"/>
  <c r="P241" i="18"/>
  <c r="P128" i="18"/>
  <c r="P95" i="18"/>
  <c r="P254" i="18"/>
  <c r="P93" i="18"/>
  <c r="P188" i="18"/>
  <c r="P59" i="18"/>
  <c r="P186" i="18"/>
  <c r="P325" i="18"/>
  <c r="P73" i="18"/>
  <c r="P262" i="18"/>
  <c r="P166" i="18"/>
  <c r="P276" i="18"/>
  <c r="P116" i="18"/>
  <c r="P243" i="18"/>
  <c r="P98" i="18"/>
  <c r="P225" i="18"/>
  <c r="P112" i="18"/>
  <c r="P79" i="18"/>
  <c r="P238" i="18"/>
  <c r="P77" i="18"/>
  <c r="P172" i="18"/>
  <c r="P311" i="18"/>
  <c r="P46" i="18"/>
  <c r="P170" i="18"/>
  <c r="P309" i="18"/>
  <c r="P57" i="18"/>
  <c r="P279" i="18"/>
  <c r="P231" i="18"/>
  <c r="P134" i="18"/>
  <c r="P229" i="18"/>
  <c r="P84" i="18"/>
  <c r="P211" i="18"/>
  <c r="P318" i="18"/>
  <c r="P66" i="18"/>
  <c r="P193" i="18"/>
  <c r="P80" i="18"/>
  <c r="P299" i="18"/>
  <c r="P50" i="18"/>
  <c r="P206" i="18"/>
  <c r="P313" i="18"/>
  <c r="P48" i="18"/>
  <c r="P140" i="18"/>
  <c r="P266" i="18"/>
  <c r="P138" i="18"/>
  <c r="P280" i="18"/>
  <c r="F254" i="18"/>
  <c r="F126" i="18"/>
  <c r="F175" i="18"/>
  <c r="F80" i="18"/>
  <c r="F241" i="18"/>
  <c r="F146" i="18"/>
  <c r="F38" i="18"/>
  <c r="F287" i="18"/>
  <c r="F164" i="18"/>
  <c r="F40" i="18"/>
  <c r="F321" i="18"/>
  <c r="F198" i="18"/>
  <c r="F71" i="18"/>
  <c r="F323" i="18"/>
  <c r="F200" i="18"/>
  <c r="F57" i="18"/>
  <c r="F309" i="18"/>
  <c r="F170" i="18"/>
  <c r="F46" i="18"/>
  <c r="F311" i="18"/>
  <c r="F172" i="18"/>
  <c r="F48" i="18"/>
  <c r="F313" i="18"/>
  <c r="X200" i="18"/>
  <c r="X120" i="18"/>
  <c r="O194" i="18"/>
  <c r="W321" i="18"/>
  <c r="P209" i="18"/>
  <c r="X288" i="18"/>
  <c r="F142" i="18"/>
  <c r="F191" i="18"/>
  <c r="F96" i="18"/>
  <c r="F257" i="18"/>
  <c r="F162" i="18"/>
  <c r="F52" i="18"/>
  <c r="F303" i="18"/>
  <c r="F180" i="18"/>
  <c r="F69" i="18"/>
  <c r="F214" i="18"/>
  <c r="F87" i="18"/>
  <c r="F216" i="18"/>
  <c r="F73" i="18"/>
  <c r="F325" i="18"/>
  <c r="F186" i="18"/>
  <c r="F59" i="18"/>
  <c r="F188" i="18"/>
  <c r="F61" i="18"/>
  <c r="P154" i="18"/>
  <c r="X297" i="18"/>
  <c r="W169" i="18"/>
  <c r="O253" i="18"/>
  <c r="K33" i="18"/>
  <c r="D33" i="18"/>
  <c r="E33" i="18"/>
  <c r="S33" i="18"/>
  <c r="K17" i="18"/>
  <c r="E17" i="18"/>
  <c r="D17" i="18"/>
  <c r="S17" i="18"/>
  <c r="S31" i="18"/>
  <c r="D31" i="18"/>
  <c r="E31" i="18"/>
  <c r="K31" i="18"/>
  <c r="S15" i="18"/>
  <c r="K15" i="18"/>
  <c r="E15" i="18"/>
  <c r="D15" i="18"/>
  <c r="S29" i="18"/>
  <c r="K29" i="18"/>
  <c r="E29" i="18"/>
  <c r="D29" i="18"/>
  <c r="S24" i="18"/>
  <c r="E24" i="18"/>
  <c r="D24" i="18"/>
  <c r="K24" i="18"/>
  <c r="S26" i="18"/>
  <c r="D26" i="18"/>
  <c r="J26" i="18" s="1"/>
  <c r="E26" i="18"/>
  <c r="K26" i="18"/>
  <c r="S13" i="18"/>
  <c r="E13" i="18"/>
  <c r="K13" i="18"/>
  <c r="D13" i="18"/>
  <c r="D30" i="18"/>
  <c r="K30" i="18"/>
  <c r="S30" i="18"/>
  <c r="E30" i="18"/>
  <c r="D20" i="18"/>
  <c r="K20" i="18"/>
  <c r="E20" i="18"/>
  <c r="S20" i="18"/>
  <c r="S27" i="18"/>
  <c r="K27" i="18"/>
  <c r="D27" i="18"/>
  <c r="E27" i="18"/>
  <c r="S11" i="18"/>
  <c r="E11" i="18"/>
  <c r="D11" i="18"/>
  <c r="K11" i="18"/>
  <c r="K22" i="18"/>
  <c r="E22" i="18"/>
  <c r="D22" i="18"/>
  <c r="S22" i="18"/>
  <c r="S18" i="18"/>
  <c r="E18" i="18"/>
  <c r="K18" i="18"/>
  <c r="D18" i="18"/>
  <c r="E25" i="18"/>
  <c r="S25" i="18"/>
  <c r="D25" i="18"/>
  <c r="K25" i="18"/>
  <c r="E9" i="18"/>
  <c r="S9" i="18"/>
  <c r="K9" i="18"/>
  <c r="D9" i="18"/>
  <c r="S16" i="18"/>
  <c r="D16" i="18"/>
  <c r="K16" i="18"/>
  <c r="E16" i="18"/>
  <c r="S12" i="18"/>
  <c r="E12" i="18"/>
  <c r="D12" i="18"/>
  <c r="K12" i="18"/>
  <c r="S23" i="18"/>
  <c r="E23" i="18"/>
  <c r="D23" i="18"/>
  <c r="K23" i="18"/>
  <c r="K5" i="18"/>
  <c r="E5" i="18"/>
  <c r="D5" i="18"/>
  <c r="S5" i="18"/>
  <c r="S10" i="18"/>
  <c r="E10" i="18"/>
  <c r="D10" i="18"/>
  <c r="K10" i="18"/>
  <c r="K6" i="18"/>
  <c r="S6" i="18"/>
  <c r="D6" i="18"/>
  <c r="E6" i="18"/>
  <c r="S7" i="18"/>
  <c r="K7" i="18"/>
  <c r="D7" i="18"/>
  <c r="E7" i="18"/>
  <c r="E21" i="18"/>
  <c r="S21" i="18"/>
  <c r="K21" i="18"/>
  <c r="D21" i="18"/>
  <c r="S8" i="18"/>
  <c r="E8" i="18"/>
  <c r="D8" i="18"/>
  <c r="K8" i="18"/>
  <c r="D14" i="18"/>
  <c r="S14" i="18"/>
  <c r="E14" i="18"/>
  <c r="K14" i="18"/>
  <c r="K36" i="18"/>
  <c r="D36" i="18"/>
  <c r="E36" i="18"/>
  <c r="S36" i="18"/>
  <c r="G13" i="18"/>
  <c r="G29" i="18"/>
  <c r="J29" i="18" s="1"/>
  <c r="G20" i="18"/>
  <c r="G6" i="18"/>
  <c r="G26" i="18"/>
  <c r="G34" i="18"/>
  <c r="G8" i="18"/>
  <c r="G25" i="18"/>
  <c r="G12" i="18"/>
  <c r="G22" i="18"/>
  <c r="G36" i="18"/>
  <c r="G14" i="18"/>
  <c r="G31" i="18"/>
  <c r="G32" i="18"/>
  <c r="G19" i="18"/>
  <c r="G28" i="18"/>
  <c r="J28" i="18" s="1"/>
  <c r="G21" i="18"/>
  <c r="G9" i="18"/>
  <c r="G16" i="18"/>
  <c r="G17" i="18"/>
  <c r="G5" i="18"/>
  <c r="G15" i="18"/>
  <c r="G33" i="18"/>
  <c r="G7" i="18"/>
  <c r="G24" i="18"/>
  <c r="G11" i="18"/>
  <c r="G35" i="18"/>
  <c r="G18" i="18"/>
  <c r="G23" i="18"/>
  <c r="G27" i="18"/>
  <c r="G30" i="18"/>
  <c r="G4" i="18"/>
  <c r="G10" i="18"/>
  <c r="S35" i="18"/>
  <c r="D35" i="18"/>
  <c r="K35" i="18"/>
  <c r="E35" i="18"/>
  <c r="S19" i="18"/>
  <c r="E19" i="18"/>
  <c r="K19" i="18"/>
  <c r="D19" i="18"/>
  <c r="K4" i="18"/>
  <c r="E4" i="18"/>
  <c r="D4" i="18"/>
  <c r="S4" i="18"/>
  <c r="S32" i="18"/>
  <c r="K32" i="18"/>
  <c r="D32" i="18"/>
  <c r="E32" i="18"/>
  <c r="E258" i="18"/>
  <c r="E210" i="18"/>
  <c r="E237" i="18"/>
  <c r="E160" i="18"/>
  <c r="E83" i="18"/>
  <c r="E288" i="18"/>
  <c r="E175" i="18"/>
  <c r="E118" i="18"/>
  <c r="E171" i="18"/>
  <c r="E154" i="18"/>
  <c r="E130" i="18"/>
  <c r="E197" i="18"/>
  <c r="E174" i="18"/>
  <c r="E182" i="18"/>
  <c r="E191" i="18"/>
  <c r="E44" i="18"/>
  <c r="E213" i="18"/>
  <c r="E266" i="18"/>
  <c r="E52" i="18"/>
  <c r="E277" i="18"/>
  <c r="E98" i="18"/>
  <c r="E143" i="18"/>
  <c r="E166" i="18"/>
  <c r="E129" i="18"/>
  <c r="E72" i="18"/>
  <c r="E39" i="18"/>
  <c r="E168" i="18"/>
  <c r="E253" i="18"/>
  <c r="E194" i="18"/>
  <c r="E121" i="18"/>
  <c r="E248" i="18"/>
  <c r="E271" i="18"/>
  <c r="E311" i="18"/>
  <c r="E193" i="18"/>
  <c r="E295" i="18"/>
  <c r="E282" i="18"/>
  <c r="E147" i="18"/>
  <c r="E100" i="18"/>
  <c r="E261" i="18"/>
  <c r="E215" i="18"/>
  <c r="E255" i="18"/>
  <c r="E305" i="18"/>
  <c r="E61" i="18"/>
  <c r="E251" i="18"/>
  <c r="E158" i="18"/>
  <c r="E167" i="18"/>
  <c r="E176" i="18"/>
  <c r="E99" i="18"/>
  <c r="E120" i="18"/>
  <c r="E214" i="18"/>
  <c r="E53" i="18"/>
  <c r="E73" i="18"/>
  <c r="E296" i="18"/>
  <c r="E146" i="18"/>
  <c r="E145" i="18"/>
  <c r="E310" i="18"/>
  <c r="D234" i="18"/>
  <c r="E48" i="18"/>
  <c r="E269" i="18"/>
  <c r="D235" i="18"/>
  <c r="E40" i="18"/>
  <c r="E76" i="18"/>
  <c r="E152" i="18"/>
  <c r="E68" i="18"/>
  <c r="E230" i="18"/>
  <c r="E162" i="18"/>
  <c r="E250" i="18"/>
  <c r="E106" i="18"/>
  <c r="E51" i="18"/>
  <c r="E239" i="18"/>
  <c r="E294" i="18"/>
  <c r="E170" i="18"/>
  <c r="E218" i="18"/>
  <c r="E161" i="18"/>
  <c r="E107" i="18"/>
  <c r="E178" i="18"/>
  <c r="E254" i="18"/>
  <c r="E136" i="18"/>
  <c r="E289" i="18"/>
  <c r="E297" i="18"/>
  <c r="E208" i="18"/>
  <c r="E223" i="18"/>
  <c r="E313" i="18"/>
  <c r="E138" i="18"/>
  <c r="E177" i="18"/>
  <c r="E183" i="18"/>
  <c r="E115" i="18"/>
  <c r="E246" i="18"/>
  <c r="E276" i="18"/>
  <c r="E84" i="18"/>
  <c r="E131" i="18"/>
  <c r="E243" i="18"/>
  <c r="E91" i="18"/>
  <c r="E173" i="18"/>
  <c r="K298" i="18"/>
  <c r="S298" i="18"/>
  <c r="S265" i="18"/>
  <c r="K265" i="18"/>
  <c r="S155" i="18"/>
  <c r="K155" i="18"/>
  <c r="S124" i="18"/>
  <c r="K124" i="18"/>
  <c r="K93" i="18"/>
  <c r="S93" i="18"/>
  <c r="S62" i="18"/>
  <c r="K62" i="18"/>
  <c r="K314" i="18"/>
  <c r="S314" i="18"/>
  <c r="S283" i="18"/>
  <c r="K283" i="18"/>
  <c r="E256" i="18"/>
  <c r="K256" i="18"/>
  <c r="S256" i="18"/>
  <c r="S225" i="18"/>
  <c r="K225" i="18"/>
  <c r="S226" i="18"/>
  <c r="K226" i="18"/>
  <c r="S179" i="18"/>
  <c r="K179" i="18"/>
  <c r="S132" i="18"/>
  <c r="K132" i="18"/>
  <c r="K85" i="18"/>
  <c r="S85" i="18"/>
  <c r="S41" i="18"/>
  <c r="K41" i="18"/>
  <c r="K290" i="18"/>
  <c r="S290" i="18"/>
  <c r="K247" i="18"/>
  <c r="S247" i="18"/>
  <c r="S200" i="18"/>
  <c r="K200" i="18"/>
  <c r="S153" i="18"/>
  <c r="K153" i="18"/>
  <c r="D137" i="18"/>
  <c r="D286" i="18"/>
  <c r="S184" i="18"/>
  <c r="K184" i="18"/>
  <c r="E196" i="18"/>
  <c r="S90" i="18"/>
  <c r="K90" i="18"/>
  <c r="K171" i="18"/>
  <c r="S171" i="18"/>
  <c r="S140" i="18"/>
  <c r="K140" i="18"/>
  <c r="K109" i="18"/>
  <c r="S109" i="18"/>
  <c r="S78" i="18"/>
  <c r="K78" i="18"/>
  <c r="K50" i="18"/>
  <c r="S50" i="18"/>
  <c r="S299" i="18"/>
  <c r="K299" i="18"/>
  <c r="S271" i="18"/>
  <c r="K271" i="18"/>
  <c r="S241" i="18"/>
  <c r="K241" i="18"/>
  <c r="S242" i="18"/>
  <c r="K242" i="18"/>
  <c r="E195" i="18"/>
  <c r="K195" i="18"/>
  <c r="S195" i="18"/>
  <c r="S148" i="18"/>
  <c r="K148" i="18"/>
  <c r="K101" i="18"/>
  <c r="S101" i="18"/>
  <c r="S54" i="18"/>
  <c r="K54" i="18"/>
  <c r="K306" i="18"/>
  <c r="S306" i="18"/>
  <c r="S262" i="18"/>
  <c r="K262" i="18"/>
  <c r="S216" i="18"/>
  <c r="K216" i="18"/>
  <c r="S169" i="18"/>
  <c r="K169" i="18"/>
  <c r="D195" i="18"/>
  <c r="D247" i="18"/>
  <c r="S209" i="18"/>
  <c r="K209" i="18"/>
  <c r="E298" i="18"/>
  <c r="E265" i="18"/>
  <c r="K187" i="18"/>
  <c r="S187" i="18"/>
  <c r="S156" i="18"/>
  <c r="K156" i="18"/>
  <c r="K125" i="18"/>
  <c r="S125" i="18"/>
  <c r="S94" i="18"/>
  <c r="K94" i="18"/>
  <c r="K63" i="18"/>
  <c r="S63" i="18"/>
  <c r="S315" i="18"/>
  <c r="K315" i="18"/>
  <c r="S284" i="18"/>
  <c r="K284" i="18"/>
  <c r="S257" i="18"/>
  <c r="K257" i="18"/>
  <c r="S258" i="18"/>
  <c r="K258" i="18"/>
  <c r="S211" i="18"/>
  <c r="K211" i="18"/>
  <c r="S164" i="18"/>
  <c r="K164" i="18"/>
  <c r="K117" i="18"/>
  <c r="S117" i="18"/>
  <c r="S70" i="18"/>
  <c r="K70" i="18"/>
  <c r="K322" i="18"/>
  <c r="S322" i="18"/>
  <c r="S278" i="18"/>
  <c r="K278" i="18"/>
  <c r="S232" i="18"/>
  <c r="K232" i="18"/>
  <c r="S185" i="18"/>
  <c r="K185" i="18"/>
  <c r="D284" i="18"/>
  <c r="D109" i="18"/>
  <c r="D185" i="18"/>
  <c r="D94" i="18"/>
  <c r="D78" i="18"/>
  <c r="D155" i="18"/>
  <c r="D306" i="18"/>
  <c r="D290" i="18"/>
  <c r="D257" i="18"/>
  <c r="K77" i="18"/>
  <c r="S77" i="18"/>
  <c r="S281" i="18"/>
  <c r="K281" i="18"/>
  <c r="S203" i="18"/>
  <c r="K203" i="18"/>
  <c r="D172" i="18"/>
  <c r="K172" i="18"/>
  <c r="S172" i="18"/>
  <c r="K141" i="18"/>
  <c r="S141" i="18"/>
  <c r="S110" i="18"/>
  <c r="K110" i="18"/>
  <c r="K79" i="18"/>
  <c r="S79" i="18"/>
  <c r="E300" i="18"/>
  <c r="K300" i="18"/>
  <c r="S300" i="18"/>
  <c r="K272" i="18"/>
  <c r="S272" i="18"/>
  <c r="S273" i="18"/>
  <c r="K273" i="18"/>
  <c r="S227" i="18"/>
  <c r="K227" i="18"/>
  <c r="K180" i="18"/>
  <c r="S180" i="18"/>
  <c r="K133" i="18"/>
  <c r="S133" i="18"/>
  <c r="S86" i="18"/>
  <c r="K86" i="18"/>
  <c r="K42" i="18"/>
  <c r="S42" i="18"/>
  <c r="S291" i="18"/>
  <c r="K291" i="18"/>
  <c r="S248" i="18"/>
  <c r="K248" i="18"/>
  <c r="S201" i="18"/>
  <c r="K201" i="18"/>
  <c r="D79" i="18"/>
  <c r="D201" i="18"/>
  <c r="D315" i="18"/>
  <c r="D298" i="18"/>
  <c r="D299" i="18"/>
  <c r="S49" i="18"/>
  <c r="K49" i="18"/>
  <c r="S58" i="18"/>
  <c r="K58" i="18"/>
  <c r="S219" i="18"/>
  <c r="K219" i="18"/>
  <c r="S188" i="18"/>
  <c r="K188" i="18"/>
  <c r="S157" i="18"/>
  <c r="K157" i="18"/>
  <c r="S126" i="18"/>
  <c r="K126" i="18"/>
  <c r="K95" i="18"/>
  <c r="S95" i="18"/>
  <c r="E64" i="18"/>
  <c r="K64" i="18"/>
  <c r="S64" i="18"/>
  <c r="S316" i="18"/>
  <c r="K316" i="18"/>
  <c r="K285" i="18"/>
  <c r="S285" i="18"/>
  <c r="S286" i="18"/>
  <c r="K286" i="18"/>
  <c r="K243" i="18"/>
  <c r="S243" i="18"/>
  <c r="K196" i="18"/>
  <c r="S196" i="18"/>
  <c r="S149" i="18"/>
  <c r="K149" i="18"/>
  <c r="S102" i="18"/>
  <c r="K102" i="18"/>
  <c r="K55" i="18"/>
  <c r="S55" i="18"/>
  <c r="S307" i="18"/>
  <c r="K307" i="18"/>
  <c r="K263" i="18"/>
  <c r="S263" i="18"/>
  <c r="S217" i="18"/>
  <c r="K217" i="18"/>
  <c r="D156" i="18"/>
  <c r="D55" i="18"/>
  <c r="D123" i="18"/>
  <c r="D126" i="18"/>
  <c r="D211" i="18"/>
  <c r="D314" i="18"/>
  <c r="D291" i="18"/>
  <c r="S45" i="18"/>
  <c r="K45" i="18"/>
  <c r="K231" i="18"/>
  <c r="S231" i="18"/>
  <c r="E240" i="18"/>
  <c r="E285" i="18"/>
  <c r="S106" i="18"/>
  <c r="K106" i="18"/>
  <c r="S294" i="18"/>
  <c r="K294" i="18"/>
  <c r="S235" i="18"/>
  <c r="K235" i="18"/>
  <c r="S204" i="18"/>
  <c r="K204" i="18"/>
  <c r="S173" i="18"/>
  <c r="K173" i="18"/>
  <c r="K142" i="18"/>
  <c r="S142" i="18"/>
  <c r="K111" i="18"/>
  <c r="S111" i="18"/>
  <c r="E80" i="18"/>
  <c r="K80" i="18"/>
  <c r="S80" i="18"/>
  <c r="S51" i="18"/>
  <c r="K51" i="18"/>
  <c r="S301" i="18"/>
  <c r="K301" i="18"/>
  <c r="S302" i="18"/>
  <c r="K302" i="18"/>
  <c r="S259" i="18"/>
  <c r="K259" i="18"/>
  <c r="S212" i="18"/>
  <c r="K212" i="18"/>
  <c r="S165" i="18"/>
  <c r="K165" i="18"/>
  <c r="S118" i="18"/>
  <c r="K118" i="18"/>
  <c r="K71" i="18"/>
  <c r="S71" i="18"/>
  <c r="S323" i="18"/>
  <c r="K323" i="18"/>
  <c r="S279" i="18"/>
  <c r="K279" i="18"/>
  <c r="S233" i="18"/>
  <c r="K233" i="18"/>
  <c r="D227" i="18"/>
  <c r="D140" i="18"/>
  <c r="D80" i="18"/>
  <c r="D54" i="18"/>
  <c r="D63" i="18"/>
  <c r="D149" i="18"/>
  <c r="D101" i="18"/>
  <c r="D141" i="18"/>
  <c r="D179" i="18"/>
  <c r="D301" i="18"/>
  <c r="S270" i="18"/>
  <c r="K270" i="18"/>
  <c r="E188" i="18"/>
  <c r="E49" i="18"/>
  <c r="E45" i="18"/>
  <c r="S122" i="18"/>
  <c r="K122" i="18"/>
  <c r="S66" i="18"/>
  <c r="K66" i="18"/>
  <c r="S251" i="18"/>
  <c r="K251" i="18"/>
  <c r="E220" i="18"/>
  <c r="K220" i="18"/>
  <c r="S220" i="18"/>
  <c r="K189" i="18"/>
  <c r="S189" i="18"/>
  <c r="K158" i="18"/>
  <c r="S158" i="18"/>
  <c r="K127" i="18"/>
  <c r="S127" i="18"/>
  <c r="E96" i="18"/>
  <c r="K96" i="18"/>
  <c r="S96" i="18"/>
  <c r="S65" i="18"/>
  <c r="K65" i="18"/>
  <c r="S317" i="18"/>
  <c r="K317" i="18"/>
  <c r="S318" i="18"/>
  <c r="K318" i="18"/>
  <c r="S274" i="18"/>
  <c r="K274" i="18"/>
  <c r="S228" i="18"/>
  <c r="K228" i="18"/>
  <c r="S181" i="18"/>
  <c r="K181" i="18"/>
  <c r="S134" i="18"/>
  <c r="K134" i="18"/>
  <c r="K87" i="18"/>
  <c r="S87" i="18"/>
  <c r="S43" i="18"/>
  <c r="K43" i="18"/>
  <c r="S292" i="18"/>
  <c r="K292" i="18"/>
  <c r="S249" i="18"/>
  <c r="K249" i="18"/>
  <c r="D124" i="18"/>
  <c r="D71" i="18"/>
  <c r="D65" i="18"/>
  <c r="D184" i="18"/>
  <c r="D58" i="18"/>
  <c r="D153" i="18"/>
  <c r="D233" i="18"/>
  <c r="D187" i="18"/>
  <c r="D180" i="18"/>
  <c r="E108" i="18"/>
  <c r="K108" i="18"/>
  <c r="S108" i="18"/>
  <c r="K69" i="18"/>
  <c r="S69" i="18"/>
  <c r="E58" i="18"/>
  <c r="S138" i="18"/>
  <c r="K138" i="18"/>
  <c r="S310" i="18"/>
  <c r="K310" i="18"/>
  <c r="S266" i="18"/>
  <c r="K266" i="18"/>
  <c r="S236" i="18"/>
  <c r="K236" i="18"/>
  <c r="S205" i="18"/>
  <c r="K205" i="18"/>
  <c r="K174" i="18"/>
  <c r="S174" i="18"/>
  <c r="S143" i="18"/>
  <c r="K143" i="18"/>
  <c r="E112" i="18"/>
  <c r="K112" i="18"/>
  <c r="S112" i="18"/>
  <c r="S81" i="18"/>
  <c r="K81" i="18"/>
  <c r="S82" i="18"/>
  <c r="K82" i="18"/>
  <c r="S38" i="18"/>
  <c r="K38" i="18"/>
  <c r="S287" i="18"/>
  <c r="K287" i="18"/>
  <c r="S244" i="18"/>
  <c r="K244" i="18"/>
  <c r="S197" i="18"/>
  <c r="K197" i="18"/>
  <c r="K150" i="18"/>
  <c r="S150" i="18"/>
  <c r="K103" i="18"/>
  <c r="S103" i="18"/>
  <c r="S56" i="18"/>
  <c r="K56" i="18"/>
  <c r="K308" i="18"/>
  <c r="S308" i="18"/>
  <c r="S264" i="18"/>
  <c r="K264" i="18"/>
  <c r="D188" i="18"/>
  <c r="D300" i="18"/>
  <c r="D81" i="18"/>
  <c r="D82" i="18"/>
  <c r="D85" i="18"/>
  <c r="D169" i="18"/>
  <c r="D249" i="18"/>
  <c r="D212" i="18"/>
  <c r="D244" i="18"/>
  <c r="D216" i="18"/>
  <c r="D189" i="18"/>
  <c r="D181" i="18"/>
  <c r="K277" i="18"/>
  <c r="S277" i="18"/>
  <c r="E209" i="18"/>
  <c r="S154" i="18"/>
  <c r="K154" i="18"/>
  <c r="S74" i="18"/>
  <c r="K74" i="18"/>
  <c r="D252" i="18"/>
  <c r="K252" i="18"/>
  <c r="S252" i="18"/>
  <c r="S221" i="18"/>
  <c r="K221" i="18"/>
  <c r="K190" i="18"/>
  <c r="S190" i="18"/>
  <c r="S159" i="18"/>
  <c r="K159" i="18"/>
  <c r="E128" i="18"/>
  <c r="S128" i="18"/>
  <c r="K128" i="18"/>
  <c r="S97" i="18"/>
  <c r="K97" i="18"/>
  <c r="S98" i="18"/>
  <c r="K98" i="18"/>
  <c r="S52" i="18"/>
  <c r="K52" i="18"/>
  <c r="K303" i="18"/>
  <c r="S303" i="18"/>
  <c r="S260" i="18"/>
  <c r="K260" i="18"/>
  <c r="S213" i="18"/>
  <c r="K213" i="18"/>
  <c r="K166" i="18"/>
  <c r="S166" i="18"/>
  <c r="K119" i="18"/>
  <c r="S119" i="18"/>
  <c r="S72" i="18"/>
  <c r="K72" i="18"/>
  <c r="K324" i="18"/>
  <c r="S324" i="18"/>
  <c r="S280" i="18"/>
  <c r="K280" i="18"/>
  <c r="D236" i="18"/>
  <c r="D132" i="18"/>
  <c r="D90" i="18"/>
  <c r="D66" i="18"/>
  <c r="D262" i="18"/>
  <c r="D102" i="18"/>
  <c r="D272" i="18"/>
  <c r="D259" i="18"/>
  <c r="D260" i="18"/>
  <c r="D263" i="18"/>
  <c r="D217" i="18"/>
  <c r="D190" i="18"/>
  <c r="S321" i="18"/>
  <c r="K321" i="18"/>
  <c r="E281" i="18"/>
  <c r="S170" i="18"/>
  <c r="K170" i="18"/>
  <c r="S46" i="18"/>
  <c r="K46" i="18"/>
  <c r="S295" i="18"/>
  <c r="K295" i="18"/>
  <c r="E267" i="18"/>
  <c r="S267" i="18"/>
  <c r="K267" i="18"/>
  <c r="S237" i="18"/>
  <c r="K237" i="18"/>
  <c r="K206" i="18"/>
  <c r="S206" i="18"/>
  <c r="S175" i="18"/>
  <c r="K175" i="18"/>
  <c r="E144" i="18"/>
  <c r="K144" i="18"/>
  <c r="S144" i="18"/>
  <c r="S113" i="18"/>
  <c r="K113" i="18"/>
  <c r="S114" i="18"/>
  <c r="K114" i="18"/>
  <c r="S67" i="18"/>
  <c r="K67" i="18"/>
  <c r="S319" i="18"/>
  <c r="K319" i="18"/>
  <c r="S275" i="18"/>
  <c r="K275" i="18"/>
  <c r="S229" i="18"/>
  <c r="K229" i="18"/>
  <c r="K182" i="18"/>
  <c r="S182" i="18"/>
  <c r="K135" i="18"/>
  <c r="S135" i="18"/>
  <c r="S88" i="18"/>
  <c r="K88" i="18"/>
  <c r="S44" i="18"/>
  <c r="K44" i="18"/>
  <c r="S293" i="18"/>
  <c r="K293" i="18"/>
  <c r="D133" i="18"/>
  <c r="D74" i="18"/>
  <c r="D322" i="18"/>
  <c r="D45" i="18"/>
  <c r="D280" i="18"/>
  <c r="D283" i="18"/>
  <c r="D279" i="18"/>
  <c r="D273" i="18"/>
  <c r="D264" i="18"/>
  <c r="S163" i="18"/>
  <c r="K163" i="18"/>
  <c r="S186" i="18"/>
  <c r="K186" i="18"/>
  <c r="S59" i="18"/>
  <c r="K59" i="18"/>
  <c r="S311" i="18"/>
  <c r="K311" i="18"/>
  <c r="S253" i="18"/>
  <c r="K253" i="18"/>
  <c r="K222" i="18"/>
  <c r="S222" i="18"/>
  <c r="S191" i="18"/>
  <c r="K191" i="18"/>
  <c r="S160" i="18"/>
  <c r="K160" i="18"/>
  <c r="S129" i="18"/>
  <c r="K129" i="18"/>
  <c r="S130" i="18"/>
  <c r="K130" i="18"/>
  <c r="S83" i="18"/>
  <c r="K83" i="18"/>
  <c r="S39" i="18"/>
  <c r="K39" i="18"/>
  <c r="S288" i="18"/>
  <c r="K288" i="18"/>
  <c r="S245" i="18"/>
  <c r="K245" i="18"/>
  <c r="K198" i="18"/>
  <c r="S198" i="18"/>
  <c r="S151" i="18"/>
  <c r="K151" i="18"/>
  <c r="S104" i="18"/>
  <c r="K104" i="18"/>
  <c r="S57" i="18"/>
  <c r="K57" i="18"/>
  <c r="S309" i="18"/>
  <c r="K309" i="18"/>
  <c r="D220" i="18"/>
  <c r="D303" i="18"/>
  <c r="D62" i="18"/>
  <c r="D159" i="18"/>
  <c r="D148" i="18"/>
  <c r="D67" i="18"/>
  <c r="D59" i="18"/>
  <c r="D38" i="18"/>
  <c r="D293" i="18"/>
  <c r="D278" i="18"/>
  <c r="D324" i="18"/>
  <c r="D275" i="18"/>
  <c r="D265" i="18"/>
  <c r="S139" i="18"/>
  <c r="K139" i="18"/>
  <c r="S137" i="18"/>
  <c r="K137" i="18"/>
  <c r="E139" i="18"/>
  <c r="S202" i="18"/>
  <c r="K202" i="18"/>
  <c r="S75" i="18"/>
  <c r="K75" i="18"/>
  <c r="D47" i="18"/>
  <c r="S47" i="18"/>
  <c r="K47" i="18"/>
  <c r="S296" i="18"/>
  <c r="K296" i="18"/>
  <c r="S268" i="18"/>
  <c r="K268" i="18"/>
  <c r="K238" i="18"/>
  <c r="S238" i="18"/>
  <c r="K207" i="18"/>
  <c r="S207" i="18"/>
  <c r="S176" i="18"/>
  <c r="K176" i="18"/>
  <c r="S145" i="18"/>
  <c r="K145" i="18"/>
  <c r="S146" i="18"/>
  <c r="K146" i="18"/>
  <c r="S99" i="18"/>
  <c r="K99" i="18"/>
  <c r="S53" i="18"/>
  <c r="K53" i="18"/>
  <c r="S304" i="18"/>
  <c r="K304" i="18"/>
  <c r="K214" i="18"/>
  <c r="S214" i="18"/>
  <c r="S167" i="18"/>
  <c r="K167" i="18"/>
  <c r="S120" i="18"/>
  <c r="K120" i="18"/>
  <c r="S73" i="18"/>
  <c r="K73" i="18"/>
  <c r="S325" i="18"/>
  <c r="K325" i="18"/>
  <c r="D144" i="18"/>
  <c r="D256" i="18"/>
  <c r="D88" i="18"/>
  <c r="D200" i="18"/>
  <c r="D163" i="18"/>
  <c r="D75" i="18"/>
  <c r="D186" i="18"/>
  <c r="D86" i="18"/>
  <c r="D46" i="18"/>
  <c r="D304" i="18"/>
  <c r="D323" i="18"/>
  <c r="D203" i="18"/>
  <c r="D307" i="18"/>
  <c r="D318" i="18"/>
  <c r="S240" i="18"/>
  <c r="K240" i="18"/>
  <c r="E149" i="18"/>
  <c r="E187" i="18"/>
  <c r="S218" i="18"/>
  <c r="K218" i="18"/>
  <c r="S91" i="18"/>
  <c r="K91" i="18"/>
  <c r="E60" i="18"/>
  <c r="S60" i="18"/>
  <c r="K60" i="18"/>
  <c r="E312" i="18"/>
  <c r="K312" i="18"/>
  <c r="S312" i="18"/>
  <c r="K254" i="18"/>
  <c r="S254" i="18"/>
  <c r="K223" i="18"/>
  <c r="S223" i="18"/>
  <c r="E192" i="18"/>
  <c r="K192" i="18"/>
  <c r="S192" i="18"/>
  <c r="S161" i="18"/>
  <c r="K161" i="18"/>
  <c r="S162" i="18"/>
  <c r="K162" i="18"/>
  <c r="S115" i="18"/>
  <c r="K115" i="18"/>
  <c r="S68" i="18"/>
  <c r="K68" i="18"/>
  <c r="S320" i="18"/>
  <c r="K320" i="18"/>
  <c r="S276" i="18"/>
  <c r="K276" i="18"/>
  <c r="K230" i="18"/>
  <c r="S230" i="18"/>
  <c r="S183" i="18"/>
  <c r="K183" i="18"/>
  <c r="S136" i="18"/>
  <c r="K136" i="18"/>
  <c r="S89" i="18"/>
  <c r="K89" i="18"/>
  <c r="D204" i="18"/>
  <c r="D97" i="18"/>
  <c r="D157" i="18"/>
  <c r="D206" i="18"/>
  <c r="D135" i="18"/>
  <c r="D93" i="18"/>
  <c r="D219" i="18"/>
  <c r="D103" i="18"/>
  <c r="D202" i="18"/>
  <c r="D222" i="18"/>
  <c r="D316" i="18"/>
  <c r="D198" i="18"/>
  <c r="D320" i="18"/>
  <c r="D321" i="18"/>
  <c r="S116" i="18"/>
  <c r="K116" i="18"/>
  <c r="E69" i="18"/>
  <c r="E219" i="18"/>
  <c r="E268" i="18"/>
  <c r="E157" i="18"/>
  <c r="S234" i="18"/>
  <c r="K234" i="18"/>
  <c r="S107" i="18"/>
  <c r="K107" i="18"/>
  <c r="S76" i="18"/>
  <c r="K76" i="18"/>
  <c r="K48" i="18"/>
  <c r="S48" i="18"/>
  <c r="S297" i="18"/>
  <c r="K297" i="18"/>
  <c r="K269" i="18"/>
  <c r="S269" i="18"/>
  <c r="K239" i="18"/>
  <c r="S239" i="18"/>
  <c r="S208" i="18"/>
  <c r="K208" i="18"/>
  <c r="S177" i="18"/>
  <c r="K177" i="18"/>
  <c r="S178" i="18"/>
  <c r="K178" i="18"/>
  <c r="S131" i="18"/>
  <c r="K131" i="18"/>
  <c r="S84" i="18"/>
  <c r="K84" i="18"/>
  <c r="K40" i="18"/>
  <c r="S40" i="18"/>
  <c r="S289" i="18"/>
  <c r="K289" i="18"/>
  <c r="K246" i="18"/>
  <c r="S246" i="18"/>
  <c r="S199" i="18"/>
  <c r="K199" i="18"/>
  <c r="S152" i="18"/>
  <c r="K152" i="18"/>
  <c r="S105" i="18"/>
  <c r="K105" i="18"/>
  <c r="D108" i="18"/>
  <c r="D287" i="18"/>
  <c r="D105" i="18"/>
  <c r="D49" i="18"/>
  <c r="D41" i="18"/>
  <c r="D142" i="18"/>
  <c r="D150" i="18"/>
  <c r="D111" i="18"/>
  <c r="D270" i="18"/>
  <c r="D125" i="18"/>
  <c r="D87" i="18"/>
  <c r="D110" i="18"/>
  <c r="D221" i="18"/>
  <c r="D232" i="18"/>
  <c r="D325" i="18"/>
  <c r="D207" i="18"/>
  <c r="D199" i="18"/>
  <c r="D229" i="18"/>
  <c r="S210" i="18"/>
  <c r="K210" i="18"/>
  <c r="E77" i="18"/>
  <c r="S250" i="18"/>
  <c r="K250" i="18"/>
  <c r="S123" i="18"/>
  <c r="K123" i="18"/>
  <c r="E92" i="18"/>
  <c r="K92" i="18"/>
  <c r="S92" i="18"/>
  <c r="K61" i="18"/>
  <c r="S61" i="18"/>
  <c r="S313" i="18"/>
  <c r="K313" i="18"/>
  <c r="K282" i="18"/>
  <c r="S282" i="18"/>
  <c r="K255" i="18"/>
  <c r="S255" i="18"/>
  <c r="E224" i="18"/>
  <c r="S224" i="18"/>
  <c r="K224" i="18"/>
  <c r="S193" i="18"/>
  <c r="K193" i="18"/>
  <c r="S194" i="18"/>
  <c r="K194" i="18"/>
  <c r="S147" i="18"/>
  <c r="K147" i="18"/>
  <c r="S100" i="18"/>
  <c r="K100" i="18"/>
  <c r="S305" i="18"/>
  <c r="K305" i="18"/>
  <c r="K261" i="18"/>
  <c r="S261" i="18"/>
  <c r="K215" i="18"/>
  <c r="S215" i="18"/>
  <c r="S168" i="18"/>
  <c r="K168" i="18"/>
  <c r="S121" i="18"/>
  <c r="K121" i="18"/>
  <c r="D60" i="18"/>
  <c r="D192" i="18"/>
  <c r="D116" i="18"/>
  <c r="D89" i="18"/>
  <c r="D50" i="18"/>
  <c r="D42" i="18"/>
  <c r="D164" i="18"/>
  <c r="D122" i="18"/>
  <c r="D70" i="18"/>
  <c r="D139" i="18"/>
  <c r="D95" i="18"/>
  <c r="D119" i="18"/>
  <c r="D231" i="18"/>
  <c r="D242" i="18"/>
  <c r="D225" i="18"/>
  <c r="D226" i="18"/>
  <c r="D209" i="18"/>
  <c r="D238" i="18"/>
  <c r="F42" i="13"/>
  <c r="O20" i="12"/>
  <c r="O21" i="12"/>
  <c r="K21" i="12"/>
  <c r="K20" i="12"/>
  <c r="O4" i="12"/>
  <c r="K17" i="12"/>
  <c r="O5" i="12"/>
  <c r="K18" i="12"/>
  <c r="J36" i="18" l="1"/>
  <c r="J11" i="18"/>
  <c r="AA11" i="18" s="1"/>
  <c r="J7" i="18"/>
  <c r="J17" i="18"/>
  <c r="J21" i="18"/>
  <c r="J14" i="18"/>
  <c r="J8" i="18"/>
  <c r="AA8" i="18" s="1"/>
  <c r="AB8" i="18" s="1"/>
  <c r="J20" i="18"/>
  <c r="AA20" i="18" s="1"/>
  <c r="J30" i="18"/>
  <c r="AA30" i="18" s="1"/>
  <c r="AB30" i="18" s="1"/>
  <c r="J33" i="18"/>
  <c r="AA33" i="18" s="1"/>
  <c r="J13" i="18"/>
  <c r="AA13" i="18" s="1"/>
  <c r="AB13" i="18" s="1"/>
  <c r="J5" i="18"/>
  <c r="AQ5" i="18" s="1"/>
  <c r="J23" i="18"/>
  <c r="AA23" i="18" s="1"/>
  <c r="AB23" i="18" s="1"/>
  <c r="J31" i="18"/>
  <c r="AA31" i="18" s="1"/>
  <c r="AB31" i="18" s="1"/>
  <c r="J4" i="18"/>
  <c r="J12" i="18"/>
  <c r="AA12" i="18" s="1"/>
  <c r="J24" i="18"/>
  <c r="AA24" i="18" s="1"/>
  <c r="J16" i="18"/>
  <c r="AO16" i="18" s="1"/>
  <c r="AP16" i="18" s="1"/>
  <c r="AA7" i="18"/>
  <c r="AO7" i="18"/>
  <c r="AP7" i="18" s="1"/>
  <c r="AB7" i="18"/>
  <c r="AA36" i="18"/>
  <c r="AB36" i="18" s="1"/>
  <c r="AO36" i="18"/>
  <c r="AP36" i="18" s="1"/>
  <c r="AA26" i="18"/>
  <c r="AB26" i="18" s="1"/>
  <c r="AO26" i="18"/>
  <c r="AP26" i="18" s="1"/>
  <c r="AO31" i="18"/>
  <c r="AP31" i="18" s="1"/>
  <c r="AA4" i="18"/>
  <c r="AB4" i="18" s="1"/>
  <c r="AO4" i="18"/>
  <c r="AP4" i="18" s="1"/>
  <c r="AQ4" i="18"/>
  <c r="AA17" i="18"/>
  <c r="AB17" i="18" s="1"/>
  <c r="AO17" i="18"/>
  <c r="AP17" i="18" s="1"/>
  <c r="AA16" i="18"/>
  <c r="AO28" i="18"/>
  <c r="AP28" i="18" s="1"/>
  <c r="AA28" i="18"/>
  <c r="AB28" i="18" s="1"/>
  <c r="AA21" i="18"/>
  <c r="AO21" i="18"/>
  <c r="AP21" i="18" s="1"/>
  <c r="J35" i="18"/>
  <c r="U10" i="18"/>
  <c r="T10" i="18"/>
  <c r="U22" i="18"/>
  <c r="T22" i="18"/>
  <c r="M20" i="18"/>
  <c r="L20" i="18"/>
  <c r="U28" i="18"/>
  <c r="T28" i="18"/>
  <c r="T18" i="18"/>
  <c r="U18" i="18"/>
  <c r="J32" i="18"/>
  <c r="U35" i="18"/>
  <c r="T35" i="18"/>
  <c r="L21" i="18"/>
  <c r="M21" i="18"/>
  <c r="U5" i="18"/>
  <c r="T5" i="18"/>
  <c r="T16" i="18"/>
  <c r="U16" i="18"/>
  <c r="J22" i="18"/>
  <c r="M24" i="18"/>
  <c r="L24" i="18"/>
  <c r="M32" i="18"/>
  <c r="L32" i="18"/>
  <c r="T21" i="18"/>
  <c r="U21" i="18"/>
  <c r="U31" i="18"/>
  <c r="T31" i="18"/>
  <c r="T32" i="18"/>
  <c r="U32" i="18"/>
  <c r="U36" i="18"/>
  <c r="T36" i="18"/>
  <c r="J9" i="18"/>
  <c r="M22" i="18"/>
  <c r="L22" i="18"/>
  <c r="U30" i="18"/>
  <c r="T30" i="18"/>
  <c r="U4" i="18"/>
  <c r="T4" i="18"/>
  <c r="M5" i="18"/>
  <c r="L5" i="18"/>
  <c r="M9" i="18"/>
  <c r="L9" i="18"/>
  <c r="M30" i="18"/>
  <c r="L30" i="18"/>
  <c r="U24" i="18"/>
  <c r="T24" i="18"/>
  <c r="M23" i="18"/>
  <c r="L23" i="18"/>
  <c r="U9" i="18"/>
  <c r="T9" i="18"/>
  <c r="M11" i="18"/>
  <c r="L11" i="18"/>
  <c r="U17" i="18"/>
  <c r="T17" i="18"/>
  <c r="M36" i="18"/>
  <c r="L36" i="18"/>
  <c r="M7" i="18"/>
  <c r="L7" i="18"/>
  <c r="J34" i="18"/>
  <c r="AA29" i="18"/>
  <c r="AO29" i="18"/>
  <c r="AP29" i="18" s="1"/>
  <c r="AB29" i="18"/>
  <c r="U8" i="18"/>
  <c r="T8" i="18"/>
  <c r="L31" i="18"/>
  <c r="M31" i="18"/>
  <c r="L28" i="18"/>
  <c r="M28" i="18"/>
  <c r="L4" i="18"/>
  <c r="M4" i="18"/>
  <c r="M14" i="18"/>
  <c r="L14" i="18"/>
  <c r="T7" i="18"/>
  <c r="U7" i="18"/>
  <c r="M25" i="18"/>
  <c r="L25" i="18"/>
  <c r="M29" i="18"/>
  <c r="L29" i="18"/>
  <c r="L34" i="18"/>
  <c r="M34" i="18"/>
  <c r="U23" i="18"/>
  <c r="T23" i="18"/>
  <c r="J25" i="18"/>
  <c r="U11" i="18"/>
  <c r="T11" i="18"/>
  <c r="M13" i="18"/>
  <c r="L13" i="18"/>
  <c r="T29" i="18"/>
  <c r="U29" i="18"/>
  <c r="M17" i="18"/>
  <c r="L17" i="18"/>
  <c r="U34" i="18"/>
  <c r="T34" i="18"/>
  <c r="T14" i="18"/>
  <c r="U14" i="18"/>
  <c r="U25" i="18"/>
  <c r="T25" i="18"/>
  <c r="U33" i="18"/>
  <c r="T33" i="18"/>
  <c r="J19" i="18"/>
  <c r="J6" i="18"/>
  <c r="M12" i="18"/>
  <c r="L12" i="18"/>
  <c r="J27" i="18"/>
  <c r="T13" i="18"/>
  <c r="U13" i="18"/>
  <c r="N25" i="18"/>
  <c r="N15" i="18"/>
  <c r="N5" i="18"/>
  <c r="N10" i="18"/>
  <c r="N8" i="18"/>
  <c r="N17" i="18"/>
  <c r="N27" i="18"/>
  <c r="N31" i="18"/>
  <c r="N20" i="18"/>
  <c r="N33" i="18"/>
  <c r="N24" i="18"/>
  <c r="N29" i="18"/>
  <c r="N22" i="18"/>
  <c r="N26" i="18"/>
  <c r="N12" i="18"/>
  <c r="N9" i="18"/>
  <c r="N14" i="18"/>
  <c r="N4" i="18"/>
  <c r="N35" i="18"/>
  <c r="N23" i="18"/>
  <c r="N36" i="18"/>
  <c r="N16" i="18"/>
  <c r="N30" i="18"/>
  <c r="N11" i="18"/>
  <c r="N18" i="18"/>
  <c r="N13" i="18"/>
  <c r="N19" i="18"/>
  <c r="N28" i="18"/>
  <c r="N21" i="18"/>
  <c r="N6" i="18"/>
  <c r="N32" i="18"/>
  <c r="N7" i="18"/>
  <c r="N34" i="18"/>
  <c r="N183" i="18"/>
  <c r="N151" i="18"/>
  <c r="N118" i="18"/>
  <c r="N165" i="18"/>
  <c r="N244" i="18"/>
  <c r="N323" i="18"/>
  <c r="N306" i="18"/>
  <c r="N307" i="18"/>
  <c r="N290" i="18"/>
  <c r="N41" i="18"/>
  <c r="N85" i="18"/>
  <c r="N164" i="18"/>
  <c r="N262" i="18"/>
  <c r="N231" i="18"/>
  <c r="N278" i="18"/>
  <c r="N305" i="18"/>
  <c r="N304" i="18"/>
  <c r="N227" i="18"/>
  <c r="N286" i="18"/>
  <c r="N315" i="18"/>
  <c r="N63" i="18"/>
  <c r="N126" i="18"/>
  <c r="N125" i="18"/>
  <c r="N140" i="18"/>
  <c r="N75" i="18"/>
  <c r="N122" i="18"/>
  <c r="N217" i="18"/>
  <c r="N47" i="18"/>
  <c r="N44" i="18"/>
  <c r="N60" i="18"/>
  <c r="N56" i="18"/>
  <c r="N124" i="18"/>
  <c r="N48" i="18"/>
  <c r="N247" i="18"/>
  <c r="N322" i="18"/>
  <c r="N289" i="18"/>
  <c r="N288" i="18"/>
  <c r="N211" i="18"/>
  <c r="N273" i="18"/>
  <c r="N317" i="18"/>
  <c r="N299" i="18"/>
  <c r="N50" i="18"/>
  <c r="N110" i="18"/>
  <c r="N109" i="18"/>
  <c r="N59" i="18"/>
  <c r="N106" i="18"/>
  <c r="N201" i="18"/>
  <c r="N81" i="18"/>
  <c r="N172" i="18"/>
  <c r="N249" i="18"/>
  <c r="N64" i="18"/>
  <c r="N215" i="18"/>
  <c r="N277" i="18"/>
  <c r="N276" i="18"/>
  <c r="N275" i="18"/>
  <c r="N195" i="18"/>
  <c r="N258" i="18"/>
  <c r="N301" i="18"/>
  <c r="N283" i="18"/>
  <c r="N94" i="18"/>
  <c r="N93" i="18"/>
  <c r="N311" i="18"/>
  <c r="N90" i="18"/>
  <c r="N185" i="18"/>
  <c r="N66" i="18"/>
  <c r="N116" i="18"/>
  <c r="N199" i="18"/>
  <c r="N261" i="18"/>
  <c r="N245" i="18"/>
  <c r="N260" i="18"/>
  <c r="N179" i="18"/>
  <c r="N242" i="18"/>
  <c r="N285" i="18"/>
  <c r="N270" i="18"/>
  <c r="N78" i="18"/>
  <c r="N77" i="18"/>
  <c r="N295" i="18"/>
  <c r="N74" i="18"/>
  <c r="N169" i="18"/>
  <c r="N292" i="18"/>
  <c r="N248" i="18"/>
  <c r="N232" i="18"/>
  <c r="N70" i="18"/>
  <c r="N259" i="18"/>
  <c r="N107" i="18"/>
  <c r="N53" i="18"/>
  <c r="N167" i="18"/>
  <c r="N246" i="18"/>
  <c r="N229" i="18"/>
  <c r="N228" i="18"/>
  <c r="N163" i="18"/>
  <c r="N226" i="18"/>
  <c r="N272" i="18"/>
  <c r="N255" i="18"/>
  <c r="N314" i="18"/>
  <c r="N61" i="18"/>
  <c r="N266" i="18"/>
  <c r="N310" i="18"/>
  <c r="N58" i="18"/>
  <c r="N153" i="18"/>
  <c r="N308" i="18"/>
  <c r="N168" i="18"/>
  <c r="N279" i="18"/>
  <c r="N135" i="18"/>
  <c r="N129" i="18"/>
  <c r="N208" i="18"/>
  <c r="N95" i="18"/>
  <c r="N136" i="18"/>
  <c r="N76" i="18"/>
  <c r="N230" i="18"/>
  <c r="N213" i="18"/>
  <c r="N212" i="18"/>
  <c r="N147" i="18"/>
  <c r="N210" i="18"/>
  <c r="N257" i="18"/>
  <c r="N239" i="18"/>
  <c r="N298" i="18"/>
  <c r="N313" i="18"/>
  <c r="N251" i="18"/>
  <c r="N294" i="18"/>
  <c r="N45" i="18"/>
  <c r="N137" i="18"/>
  <c r="N184" i="18"/>
  <c r="N108" i="18"/>
  <c r="N152" i="18"/>
  <c r="N263" i="18"/>
  <c r="N92" i="18"/>
  <c r="N87" i="18"/>
  <c r="N120" i="18"/>
  <c r="N214" i="18"/>
  <c r="N197" i="18"/>
  <c r="N196" i="18"/>
  <c r="N131" i="18"/>
  <c r="N194" i="18"/>
  <c r="N241" i="18"/>
  <c r="N223" i="18"/>
  <c r="N282" i="18"/>
  <c r="N297" i="18"/>
  <c r="N312" i="18"/>
  <c r="N235" i="18"/>
  <c r="N281" i="18"/>
  <c r="N121" i="18"/>
  <c r="N113" i="18"/>
  <c r="N65" i="18"/>
  <c r="N103" i="18"/>
  <c r="N144" i="18"/>
  <c r="N55" i="18"/>
  <c r="N80" i="18"/>
  <c r="N324" i="18"/>
  <c r="N148" i="18"/>
  <c r="N198" i="18"/>
  <c r="N181" i="18"/>
  <c r="N180" i="18"/>
  <c r="N115" i="18"/>
  <c r="N178" i="18"/>
  <c r="N225" i="18"/>
  <c r="N207" i="18"/>
  <c r="N269" i="18"/>
  <c r="N268" i="18"/>
  <c r="N296" i="18"/>
  <c r="N219" i="18"/>
  <c r="N265" i="18"/>
  <c r="N105" i="18"/>
  <c r="N71" i="18"/>
  <c r="N43" i="18"/>
  <c r="N62" i="18"/>
  <c r="N97" i="18"/>
  <c r="N49" i="18"/>
  <c r="N182" i="18"/>
  <c r="N149" i="18"/>
  <c r="N99" i="18"/>
  <c r="N162" i="18"/>
  <c r="N209" i="18"/>
  <c r="N191" i="18"/>
  <c r="N254" i="18"/>
  <c r="N253" i="18"/>
  <c r="N267" i="18"/>
  <c r="N203" i="18"/>
  <c r="N250" i="18"/>
  <c r="N89" i="18"/>
  <c r="N46" i="18"/>
  <c r="N39" i="18"/>
  <c r="N57" i="18"/>
  <c r="N224" i="18"/>
  <c r="N318" i="18"/>
  <c r="N158" i="18"/>
  <c r="N154" i="18"/>
  <c r="N166" i="18"/>
  <c r="N133" i="18"/>
  <c r="N83" i="18"/>
  <c r="N146" i="18"/>
  <c r="N193" i="18"/>
  <c r="N175" i="18"/>
  <c r="N238" i="18"/>
  <c r="N237" i="18"/>
  <c r="N252" i="18"/>
  <c r="N187" i="18"/>
  <c r="N234" i="18"/>
  <c r="N325" i="18"/>
  <c r="N73" i="18"/>
  <c r="N128" i="18"/>
  <c r="N200" i="18"/>
  <c r="N157" i="18"/>
  <c r="N150" i="18"/>
  <c r="N117" i="18"/>
  <c r="N319" i="18"/>
  <c r="N67" i="18"/>
  <c r="N130" i="18"/>
  <c r="N177" i="18"/>
  <c r="N159" i="18"/>
  <c r="N222" i="18"/>
  <c r="N221" i="18"/>
  <c r="N236" i="18"/>
  <c r="N171" i="18"/>
  <c r="N218" i="18"/>
  <c r="N309" i="18"/>
  <c r="N84" i="18"/>
  <c r="N134" i="18"/>
  <c r="N101" i="18"/>
  <c r="N303" i="18"/>
  <c r="N52" i="18"/>
  <c r="N114" i="18"/>
  <c r="N161" i="18"/>
  <c r="N143" i="18"/>
  <c r="N206" i="18"/>
  <c r="N205" i="18"/>
  <c r="N220" i="18"/>
  <c r="N155" i="18"/>
  <c r="N202" i="18"/>
  <c r="N293" i="18"/>
  <c r="N284" i="18"/>
  <c r="N240" i="18"/>
  <c r="N51" i="18"/>
  <c r="N112" i="18"/>
  <c r="N102" i="18"/>
  <c r="N69" i="18"/>
  <c r="N287" i="18"/>
  <c r="N38" i="18"/>
  <c r="N98" i="18"/>
  <c r="N145" i="18"/>
  <c r="N127" i="18"/>
  <c r="N190" i="18"/>
  <c r="N189" i="18"/>
  <c r="N204" i="18"/>
  <c r="N139" i="18"/>
  <c r="N186" i="18"/>
  <c r="N280" i="18"/>
  <c r="N316" i="18"/>
  <c r="N300" i="18"/>
  <c r="N160" i="18"/>
  <c r="N132" i="18"/>
  <c r="N119" i="18"/>
  <c r="N86" i="18"/>
  <c r="N40" i="18"/>
  <c r="N274" i="18"/>
  <c r="N82" i="18"/>
  <c r="N111" i="18"/>
  <c r="N174" i="18"/>
  <c r="N173" i="18"/>
  <c r="N188" i="18"/>
  <c r="N123" i="18"/>
  <c r="N170" i="18"/>
  <c r="N264" i="18"/>
  <c r="N192" i="18"/>
  <c r="N176" i="18"/>
  <c r="N104" i="18"/>
  <c r="N271" i="18"/>
  <c r="N256" i="18"/>
  <c r="N88" i="18"/>
  <c r="N291" i="18"/>
  <c r="N54" i="18"/>
  <c r="N321" i="18"/>
  <c r="N320" i="18"/>
  <c r="N243" i="18"/>
  <c r="N302" i="18"/>
  <c r="N79" i="18"/>
  <c r="N142" i="18"/>
  <c r="N141" i="18"/>
  <c r="N156" i="18"/>
  <c r="N91" i="18"/>
  <c r="N138" i="18"/>
  <c r="N233" i="18"/>
  <c r="N72" i="18"/>
  <c r="N68" i="18"/>
  <c r="N42" i="18"/>
  <c r="N100" i="18"/>
  <c r="N96" i="18"/>
  <c r="N216" i="18"/>
  <c r="M19" i="18"/>
  <c r="L19" i="18"/>
  <c r="R19" i="18" s="1"/>
  <c r="AC19" i="18" s="1" a="1"/>
  <c r="AC19" i="18" s="1"/>
  <c r="AD19" i="18" s="1"/>
  <c r="U6" i="18"/>
  <c r="T6" i="18"/>
  <c r="M27" i="18"/>
  <c r="L27" i="18"/>
  <c r="R27" i="18" s="1"/>
  <c r="AC27" i="18" s="1" a="1"/>
  <c r="AC27" i="18" s="1"/>
  <c r="AD27" i="18" s="1"/>
  <c r="M26" i="18"/>
  <c r="L26" i="18"/>
  <c r="J15" i="18"/>
  <c r="V32" i="18"/>
  <c r="V5" i="18"/>
  <c r="V10" i="18"/>
  <c r="V27" i="18"/>
  <c r="V31" i="18"/>
  <c r="V17" i="18"/>
  <c r="V8" i="18"/>
  <c r="V20" i="18"/>
  <c r="V7" i="18"/>
  <c r="V28" i="18"/>
  <c r="V22" i="18"/>
  <c r="V12" i="18"/>
  <c r="V9" i="18"/>
  <c r="V30" i="18"/>
  <c r="V36" i="18"/>
  <c r="V16" i="18"/>
  <c r="V11" i="18"/>
  <c r="V18" i="18"/>
  <c r="V13" i="18"/>
  <c r="V4" i="18"/>
  <c r="V34" i="18"/>
  <c r="V14" i="18"/>
  <c r="V35" i="18"/>
  <c r="V19" i="18"/>
  <c r="V23" i="18"/>
  <c r="V29" i="18"/>
  <c r="V6" i="18"/>
  <c r="V26" i="18"/>
  <c r="V15" i="18"/>
  <c r="V21" i="18"/>
  <c r="V24" i="18"/>
  <c r="V33" i="18"/>
  <c r="V25" i="18"/>
  <c r="V135" i="18"/>
  <c r="V118" i="18"/>
  <c r="V103" i="18"/>
  <c r="V86" i="18"/>
  <c r="V87" i="18"/>
  <c r="V322" i="18"/>
  <c r="V70" i="18"/>
  <c r="V149" i="18"/>
  <c r="V196" i="18"/>
  <c r="V307" i="18"/>
  <c r="V55" i="18"/>
  <c r="V278" i="18"/>
  <c r="V261" i="18"/>
  <c r="V262" i="18"/>
  <c r="V246" i="18"/>
  <c r="V69" i="18"/>
  <c r="V116" i="18"/>
  <c r="V83" i="18"/>
  <c r="V215" i="18"/>
  <c r="V183" i="18"/>
  <c r="V166" i="18"/>
  <c r="V41" i="18"/>
  <c r="V321" i="18"/>
  <c r="V288" i="18"/>
  <c r="V195" i="18"/>
  <c r="V273" i="18"/>
  <c r="V301" i="18"/>
  <c r="V51" i="18"/>
  <c r="V271" i="18"/>
  <c r="V283" i="18"/>
  <c r="V94" i="18"/>
  <c r="V109" i="18"/>
  <c r="V124" i="18"/>
  <c r="V59" i="18"/>
  <c r="V90" i="18"/>
  <c r="V169" i="18"/>
  <c r="V305" i="18"/>
  <c r="V275" i="18"/>
  <c r="V179" i="18"/>
  <c r="V258" i="18"/>
  <c r="V285" i="18"/>
  <c r="V256" i="18"/>
  <c r="V270" i="18"/>
  <c r="V78" i="18"/>
  <c r="V93" i="18"/>
  <c r="V108" i="18"/>
  <c r="V311" i="18"/>
  <c r="V46" i="18"/>
  <c r="V74" i="18"/>
  <c r="V153" i="18"/>
  <c r="V320" i="18"/>
  <c r="V315" i="18"/>
  <c r="V289" i="18"/>
  <c r="V260" i="18"/>
  <c r="V163" i="18"/>
  <c r="V242" i="18"/>
  <c r="V272" i="18"/>
  <c r="V240" i="18"/>
  <c r="V255" i="18"/>
  <c r="V314" i="18"/>
  <c r="V62" i="18"/>
  <c r="V77" i="18"/>
  <c r="V92" i="18"/>
  <c r="V295" i="18"/>
  <c r="V310" i="18"/>
  <c r="V58" i="18"/>
  <c r="V137" i="18"/>
  <c r="V308" i="18"/>
  <c r="V279" i="18"/>
  <c r="V184" i="18"/>
  <c r="V152" i="18"/>
  <c r="V156" i="18"/>
  <c r="V276" i="18"/>
  <c r="V244" i="18"/>
  <c r="V147" i="18"/>
  <c r="V226" i="18"/>
  <c r="V257" i="18"/>
  <c r="V224" i="18"/>
  <c r="V239" i="18"/>
  <c r="V298" i="18"/>
  <c r="V49" i="18"/>
  <c r="V61" i="18"/>
  <c r="V76" i="18"/>
  <c r="V266" i="18"/>
  <c r="V294" i="18"/>
  <c r="V45" i="18"/>
  <c r="V121" i="18"/>
  <c r="V56" i="18"/>
  <c r="V248" i="18"/>
  <c r="V104" i="18"/>
  <c r="V39" i="18"/>
  <c r="V300" i="18"/>
  <c r="V141" i="18"/>
  <c r="V245" i="18"/>
  <c r="V228" i="18"/>
  <c r="V131" i="18"/>
  <c r="V210" i="18"/>
  <c r="V241" i="18"/>
  <c r="V208" i="18"/>
  <c r="V223" i="18"/>
  <c r="V282" i="18"/>
  <c r="V313" i="18"/>
  <c r="V48" i="18"/>
  <c r="V60" i="18"/>
  <c r="V251" i="18"/>
  <c r="V281" i="18"/>
  <c r="V105" i="18"/>
  <c r="V216" i="18"/>
  <c r="V120" i="18"/>
  <c r="V323" i="18"/>
  <c r="V306" i="18"/>
  <c r="V229" i="18"/>
  <c r="V212" i="18"/>
  <c r="V115" i="18"/>
  <c r="V194" i="18"/>
  <c r="V225" i="18"/>
  <c r="V192" i="18"/>
  <c r="V207" i="18"/>
  <c r="V269" i="18"/>
  <c r="V297" i="18"/>
  <c r="V312" i="18"/>
  <c r="V47" i="18"/>
  <c r="V235" i="18"/>
  <c r="V265" i="18"/>
  <c r="V89" i="18"/>
  <c r="V291" i="18"/>
  <c r="V290" i="18"/>
  <c r="V213" i="18"/>
  <c r="V180" i="18"/>
  <c r="V99" i="18"/>
  <c r="V178" i="18"/>
  <c r="V209" i="18"/>
  <c r="V176" i="18"/>
  <c r="V191" i="18"/>
  <c r="V254" i="18"/>
  <c r="V268" i="18"/>
  <c r="V296" i="18"/>
  <c r="V219" i="18"/>
  <c r="V250" i="18"/>
  <c r="V325" i="18"/>
  <c r="V73" i="18"/>
  <c r="V247" i="18"/>
  <c r="V277" i="18"/>
  <c r="V197" i="18"/>
  <c r="V164" i="18"/>
  <c r="V67" i="18"/>
  <c r="V162" i="18"/>
  <c r="V193" i="18"/>
  <c r="V160" i="18"/>
  <c r="V175" i="18"/>
  <c r="V238" i="18"/>
  <c r="V253" i="18"/>
  <c r="V267" i="18"/>
  <c r="V203" i="18"/>
  <c r="V234" i="18"/>
  <c r="V309" i="18"/>
  <c r="V57" i="18"/>
  <c r="V136" i="18"/>
  <c r="V63" i="18"/>
  <c r="V231" i="18"/>
  <c r="V230" i="18"/>
  <c r="V181" i="18"/>
  <c r="V148" i="18"/>
  <c r="V319" i="18"/>
  <c r="V52" i="18"/>
  <c r="V146" i="18"/>
  <c r="V177" i="18"/>
  <c r="V144" i="18"/>
  <c r="V159" i="18"/>
  <c r="V222" i="18"/>
  <c r="V237" i="18"/>
  <c r="V252" i="18"/>
  <c r="V187" i="18"/>
  <c r="V218" i="18"/>
  <c r="V293" i="18"/>
  <c r="V44" i="18"/>
  <c r="V42" i="18"/>
  <c r="V40" i="18"/>
  <c r="V227" i="18"/>
  <c r="V199" i="18"/>
  <c r="V214" i="18"/>
  <c r="V165" i="18"/>
  <c r="V132" i="18"/>
  <c r="V303" i="18"/>
  <c r="V38" i="18"/>
  <c r="V130" i="18"/>
  <c r="V161" i="18"/>
  <c r="V128" i="18"/>
  <c r="V143" i="18"/>
  <c r="V206" i="18"/>
  <c r="V221" i="18"/>
  <c r="V236" i="18"/>
  <c r="V171" i="18"/>
  <c r="V202" i="18"/>
  <c r="V280" i="18"/>
  <c r="V102" i="18"/>
  <c r="V81" i="18"/>
  <c r="V201" i="18"/>
  <c r="V167" i="18"/>
  <c r="V198" i="18"/>
  <c r="V133" i="18"/>
  <c r="V100" i="18"/>
  <c r="V287" i="18"/>
  <c r="V114" i="18"/>
  <c r="V145" i="18"/>
  <c r="V112" i="18"/>
  <c r="V127" i="18"/>
  <c r="V190" i="18"/>
  <c r="V205" i="18"/>
  <c r="V220" i="18"/>
  <c r="V155" i="18"/>
  <c r="V186" i="18"/>
  <c r="V264" i="18"/>
  <c r="V324" i="18"/>
  <c r="V292" i="18"/>
  <c r="V263" i="18"/>
  <c r="V168" i="18"/>
  <c r="V122" i="18"/>
  <c r="V151" i="18"/>
  <c r="V182" i="18"/>
  <c r="V117" i="18"/>
  <c r="V84" i="18"/>
  <c r="V274" i="18"/>
  <c r="V98" i="18"/>
  <c r="V129" i="18"/>
  <c r="V96" i="18"/>
  <c r="V111" i="18"/>
  <c r="V174" i="18"/>
  <c r="V189" i="18"/>
  <c r="V204" i="18"/>
  <c r="V139" i="18"/>
  <c r="V170" i="18"/>
  <c r="V249" i="18"/>
  <c r="V72" i="18"/>
  <c r="V43" i="18"/>
  <c r="V119" i="18"/>
  <c r="V150" i="18"/>
  <c r="V101" i="18"/>
  <c r="V68" i="18"/>
  <c r="V259" i="18"/>
  <c r="V82" i="18"/>
  <c r="V113" i="18"/>
  <c r="V80" i="18"/>
  <c r="V95" i="18"/>
  <c r="V158" i="18"/>
  <c r="V173" i="18"/>
  <c r="V188" i="18"/>
  <c r="V123" i="18"/>
  <c r="V154" i="18"/>
  <c r="V233" i="18"/>
  <c r="V232" i="18"/>
  <c r="V200" i="18"/>
  <c r="V302" i="18"/>
  <c r="V91" i="18"/>
  <c r="V71" i="18"/>
  <c r="V134" i="18"/>
  <c r="V85" i="18"/>
  <c r="V53" i="18"/>
  <c r="V243" i="18"/>
  <c r="V318" i="18"/>
  <c r="V66" i="18"/>
  <c r="V97" i="18"/>
  <c r="V316" i="18"/>
  <c r="V64" i="18"/>
  <c r="V79" i="18"/>
  <c r="V142" i="18"/>
  <c r="V157" i="18"/>
  <c r="V172" i="18"/>
  <c r="V107" i="18"/>
  <c r="V138" i="18"/>
  <c r="V217" i="18"/>
  <c r="V126" i="18"/>
  <c r="V54" i="18"/>
  <c r="V304" i="18"/>
  <c r="V211" i="18"/>
  <c r="V286" i="18"/>
  <c r="V317" i="18"/>
  <c r="V65" i="18"/>
  <c r="V284" i="18"/>
  <c r="V299" i="18"/>
  <c r="V50" i="18"/>
  <c r="V110" i="18"/>
  <c r="V125" i="18"/>
  <c r="V140" i="18"/>
  <c r="V75" i="18"/>
  <c r="V106" i="18"/>
  <c r="V185" i="18"/>
  <c r="V88" i="18"/>
  <c r="M8" i="18"/>
  <c r="L8" i="18"/>
  <c r="R8" i="18" s="1"/>
  <c r="M6" i="18"/>
  <c r="L6" i="18"/>
  <c r="J18" i="18"/>
  <c r="U27" i="18"/>
  <c r="T27" i="18"/>
  <c r="Z27" i="18" s="1"/>
  <c r="L33" i="18"/>
  <c r="M33" i="18"/>
  <c r="M35" i="18"/>
  <c r="L35" i="18"/>
  <c r="U19" i="18"/>
  <c r="T19" i="18"/>
  <c r="L10" i="18"/>
  <c r="M10" i="18"/>
  <c r="T12" i="18"/>
  <c r="U12" i="18"/>
  <c r="M18" i="18"/>
  <c r="L18" i="18"/>
  <c r="L15" i="18"/>
  <c r="M15" i="18"/>
  <c r="R5" i="18"/>
  <c r="AC5" i="18" s="1" a="1"/>
  <c r="AC5" i="18" s="1"/>
  <c r="AD5" i="18" s="1"/>
  <c r="M16" i="18"/>
  <c r="L16" i="18"/>
  <c r="R16" i="18" s="1"/>
  <c r="AA14" i="18"/>
  <c r="AO14" i="18"/>
  <c r="AP14" i="18" s="1"/>
  <c r="J10" i="18"/>
  <c r="U20" i="18"/>
  <c r="T20" i="18"/>
  <c r="U26" i="18"/>
  <c r="T26" i="18"/>
  <c r="T15" i="18"/>
  <c r="U15" i="18"/>
  <c r="O68" i="11"/>
  <c r="K67" i="11"/>
  <c r="K69" i="11" s="1"/>
  <c r="O60" i="11"/>
  <c r="K59" i="11"/>
  <c r="K61" i="11" s="1"/>
  <c r="O52" i="11"/>
  <c r="K51" i="11"/>
  <c r="K53" i="11" s="1"/>
  <c r="G48" i="11"/>
  <c r="C48" i="11"/>
  <c r="K47" i="11"/>
  <c r="G47" i="11"/>
  <c r="K45" i="11" s="1"/>
  <c r="C47" i="11"/>
  <c r="G46" i="11"/>
  <c r="G45" i="11"/>
  <c r="G62" i="11" s="1"/>
  <c r="G63" i="11" s="1"/>
  <c r="C45" i="11"/>
  <c r="O40" i="11"/>
  <c r="K36" i="11"/>
  <c r="C36" i="11"/>
  <c r="G35" i="11"/>
  <c r="G34" i="11"/>
  <c r="G36" i="11" s="1"/>
  <c r="G33" i="11"/>
  <c r="G32" i="11"/>
  <c r="K33" i="11" s="1"/>
  <c r="O29" i="11"/>
  <c r="C27" i="11"/>
  <c r="K14" i="11"/>
  <c r="K12" i="11"/>
  <c r="G11" i="11"/>
  <c r="G10" i="11"/>
  <c r="G9" i="11"/>
  <c r="G8" i="11"/>
  <c r="G7" i="11"/>
  <c r="R18" i="18" l="1"/>
  <c r="AC18" i="18" s="1" a="1"/>
  <c r="AC18" i="18" s="1"/>
  <c r="AD18" i="18" s="1"/>
  <c r="AO20" i="18"/>
  <c r="AP20" i="18" s="1"/>
  <c r="AO8" i="18"/>
  <c r="AP8" i="18" s="1"/>
  <c r="Z30" i="18"/>
  <c r="AE30" i="18" s="1"/>
  <c r="AM30" i="18" s="1"/>
  <c r="AO5" i="18"/>
  <c r="AP5" i="18" s="1"/>
  <c r="AA5" i="18"/>
  <c r="AB5" i="18" s="1"/>
  <c r="AO30" i="18"/>
  <c r="AP30" i="18" s="1"/>
  <c r="Z35" i="18"/>
  <c r="R21" i="18"/>
  <c r="AO33" i="18"/>
  <c r="AP33" i="18" s="1"/>
  <c r="R17" i="18"/>
  <c r="AC17" i="18" s="1" a="1"/>
  <c r="AC17" i="18" s="1"/>
  <c r="AD17" i="18" s="1"/>
  <c r="AL17" i="18" s="1"/>
  <c r="R6" i="18"/>
  <c r="AC6" i="18" s="1" a="1"/>
  <c r="AC6" i="18" s="1"/>
  <c r="AD6" i="18" s="1"/>
  <c r="Z19" i="18"/>
  <c r="AI19" i="18" s="1" a="1"/>
  <c r="AI19" i="18" s="1"/>
  <c r="AJ19" i="18" s="1"/>
  <c r="AO13" i="18"/>
  <c r="AP13" i="18" s="1"/>
  <c r="R35" i="18"/>
  <c r="AC35" i="18" s="1" a="1"/>
  <c r="AC35" i="18" s="1"/>
  <c r="AD35" i="18" s="1"/>
  <c r="Z4" i="18"/>
  <c r="AI4" i="18" s="1" a="1"/>
  <c r="AI4" i="18" s="1"/>
  <c r="AJ4" i="18" s="1"/>
  <c r="AO11" i="18"/>
  <c r="AP11" i="18" s="1"/>
  <c r="R4" i="18"/>
  <c r="AC4" i="18" s="1" a="1"/>
  <c r="AC4" i="18" s="1"/>
  <c r="AD4" i="18" s="1"/>
  <c r="Z31" i="18"/>
  <c r="AI31" i="18" s="1" a="1"/>
  <c r="AI31" i="18" s="1"/>
  <c r="AJ31" i="18" s="1"/>
  <c r="Z20" i="18"/>
  <c r="AI20" i="18" s="1" a="1"/>
  <c r="AI20" i="18" s="1"/>
  <c r="AJ20" i="18" s="1"/>
  <c r="R33" i="18"/>
  <c r="AC33" i="18" s="1" a="1"/>
  <c r="AC33" i="18" s="1"/>
  <c r="AO24" i="18"/>
  <c r="AP24" i="18" s="1"/>
  <c r="AO23" i="18"/>
  <c r="AP23" i="18" s="1"/>
  <c r="R26" i="18"/>
  <c r="AC26" i="18" s="1" a="1"/>
  <c r="AC26" i="18" s="1"/>
  <c r="AB12" i="18"/>
  <c r="AL5" i="18"/>
  <c r="AO12" i="18"/>
  <c r="AP12" i="18" s="1"/>
  <c r="R11" i="18"/>
  <c r="AC11" i="18" s="1" a="1"/>
  <c r="AC11" i="18" s="1"/>
  <c r="R29" i="18"/>
  <c r="AG29" i="18" s="1" a="1"/>
  <c r="AG29" i="18" s="1"/>
  <c r="AH29" i="18" s="1" a="1"/>
  <c r="AH29" i="18" s="1"/>
  <c r="Z9" i="18"/>
  <c r="AL4" i="18"/>
  <c r="Z28" i="18"/>
  <c r="AE28" i="18" s="1"/>
  <c r="R23" i="18"/>
  <c r="AG23" i="18" s="1" a="1"/>
  <c r="AG23" i="18" s="1"/>
  <c r="AH23" i="18" s="1" a="1"/>
  <c r="AH23" i="18" s="1"/>
  <c r="Z7" i="18"/>
  <c r="AE7" i="18" s="1"/>
  <c r="AM7" i="18" s="1"/>
  <c r="Z29" i="18"/>
  <c r="AE29" i="18" s="1"/>
  <c r="AM29" i="18" s="1"/>
  <c r="R14" i="18"/>
  <c r="R13" i="18"/>
  <c r="AG13" i="18" s="1" a="1"/>
  <c r="AG13" i="18" s="1"/>
  <c r="AH13" i="18" s="1" a="1"/>
  <c r="AH13" i="18" s="1"/>
  <c r="Z10" i="18"/>
  <c r="AI10" i="18" s="1" a="1"/>
  <c r="AI10" i="18" s="1"/>
  <c r="AJ10" i="18" s="1"/>
  <c r="Z12" i="18"/>
  <c r="AC8" i="18" a="1"/>
  <c r="AC8" i="18" s="1"/>
  <c r="AD8" i="18" s="1"/>
  <c r="AL8" i="18" s="1"/>
  <c r="AG8" i="18" a="1"/>
  <c r="AG8" i="18" s="1"/>
  <c r="AH8" i="18" s="1" a="1"/>
  <c r="AH8" i="18" s="1"/>
  <c r="AI27" i="18" a="1"/>
  <c r="AI27" i="18" s="1"/>
  <c r="AJ27" i="18" s="1"/>
  <c r="AE27" i="18"/>
  <c r="AM27" i="18" s="1"/>
  <c r="AC21" i="18" a="1"/>
  <c r="AC21" i="18" s="1"/>
  <c r="AD21" i="18" s="1"/>
  <c r="AG21" i="18" a="1"/>
  <c r="AG21" i="18" s="1"/>
  <c r="AH21" i="18" s="1" a="1"/>
  <c r="AH21" i="18" s="1"/>
  <c r="AC13" i="18" a="1"/>
  <c r="AC13" i="18" s="1"/>
  <c r="AD13" i="18" s="1"/>
  <c r="AL13" i="18" s="1"/>
  <c r="AE10" i="18"/>
  <c r="AM10" i="18" s="1"/>
  <c r="AG33" i="18" a="1"/>
  <c r="AG33" i="18" s="1"/>
  <c r="AH33" i="18" s="1" a="1"/>
  <c r="AH33" i="18" s="1"/>
  <c r="AC29" i="18" a="1"/>
  <c r="AC29" i="18" s="1"/>
  <c r="AD29" i="18" s="1"/>
  <c r="AL29" i="18" s="1"/>
  <c r="AG11" i="18" a="1"/>
  <c r="AG11" i="18" s="1"/>
  <c r="AH11" i="18" s="1" a="1"/>
  <c r="AH11" i="18" s="1"/>
  <c r="AA22" i="18"/>
  <c r="AB22" i="18" s="1"/>
  <c r="AO22" i="18"/>
  <c r="AP22" i="18" s="1"/>
  <c r="Z22" i="18"/>
  <c r="AA19" i="18"/>
  <c r="AG19" i="18" a="1"/>
  <c r="AG19" i="18" s="1"/>
  <c r="AH19" i="18" s="1" a="1"/>
  <c r="AH19" i="18" s="1"/>
  <c r="AO19" i="18"/>
  <c r="AP19" i="18" s="1"/>
  <c r="AI35" i="18" a="1"/>
  <c r="AI35" i="18" s="1"/>
  <c r="AJ35" i="18" s="1"/>
  <c r="AE35" i="18"/>
  <c r="AM35" i="18" s="1"/>
  <c r="Z16" i="18"/>
  <c r="Z11" i="18"/>
  <c r="R7" i="18"/>
  <c r="AB24" i="18"/>
  <c r="Z5" i="18"/>
  <c r="AG6" i="18" a="1"/>
  <c r="AG6" i="18" s="1"/>
  <c r="AH6" i="18" s="1" a="1"/>
  <c r="AH6" i="18" s="1"/>
  <c r="AA6" i="18"/>
  <c r="AB6" i="18" s="1"/>
  <c r="AO6" i="18"/>
  <c r="AP6" i="18" s="1"/>
  <c r="AQ6" i="18"/>
  <c r="AA35" i="18"/>
  <c r="AK35" i="18" s="1"/>
  <c r="AO35" i="18"/>
  <c r="AP35" i="18" s="1"/>
  <c r="AB33" i="18"/>
  <c r="AB14" i="18"/>
  <c r="Z33" i="18"/>
  <c r="AA25" i="18"/>
  <c r="AO25" i="18"/>
  <c r="AP25" i="18" s="1"/>
  <c r="R36" i="18"/>
  <c r="R22" i="18"/>
  <c r="AG22" i="18" s="1" a="1"/>
  <c r="AG22" i="18" s="1"/>
  <c r="AH22" i="18" s="1" a="1"/>
  <c r="AH22" i="18" s="1"/>
  <c r="Z21" i="18"/>
  <c r="R10" i="18"/>
  <c r="AC10" i="18" s="1" a="1"/>
  <c r="AC10" i="18" s="1"/>
  <c r="AD10" i="18" s="1"/>
  <c r="Z6" i="18"/>
  <c r="Z23" i="18"/>
  <c r="R28" i="18"/>
  <c r="R32" i="18"/>
  <c r="AC32" i="18" s="1" a="1"/>
  <c r="AC32" i="18" s="1"/>
  <c r="AD32" i="18" s="1"/>
  <c r="AG4" i="18" a="1"/>
  <c r="AG4" i="18" s="1"/>
  <c r="AH4" i="18" s="1" a="1"/>
  <c r="AH4" i="18" s="1"/>
  <c r="Z25" i="18"/>
  <c r="Z24" i="18"/>
  <c r="AA9" i="18"/>
  <c r="AB9" i="18" s="1"/>
  <c r="AO9" i="18"/>
  <c r="AP9" i="18" s="1"/>
  <c r="AA10" i="18"/>
  <c r="AO10" i="18"/>
  <c r="AP10" i="18" s="1"/>
  <c r="Z36" i="18"/>
  <c r="R31" i="18"/>
  <c r="Z17" i="18"/>
  <c r="R30" i="18"/>
  <c r="AO32" i="18"/>
  <c r="AP32" i="18" s="1"/>
  <c r="AA32" i="18"/>
  <c r="AK5" i="18"/>
  <c r="AK4" i="18"/>
  <c r="Z14" i="18"/>
  <c r="R34" i="18"/>
  <c r="AC34" i="18" s="1" a="1"/>
  <c r="AC34" i="18" s="1"/>
  <c r="AD34" i="18" s="1"/>
  <c r="Z8" i="18"/>
  <c r="AG5" i="18" a="1"/>
  <c r="AG5" i="18" s="1"/>
  <c r="AH5" i="18" s="1" a="1"/>
  <c r="AH5" i="18" s="1"/>
  <c r="AB16" i="18"/>
  <c r="AG16" i="18" a="1"/>
  <c r="AG16" i="18" s="1"/>
  <c r="AH16" i="18" s="1" a="1"/>
  <c r="AH16" i="18" s="1"/>
  <c r="AC16" i="18" a="1"/>
  <c r="AC16" i="18" s="1"/>
  <c r="AD16" i="18" s="1"/>
  <c r="Z34" i="18"/>
  <c r="R9" i="18"/>
  <c r="AG9" i="18" s="1" a="1"/>
  <c r="AG9" i="18" s="1"/>
  <c r="AH9" i="18" s="1" a="1"/>
  <c r="AH9" i="18" s="1"/>
  <c r="Z32" i="18"/>
  <c r="Z18" i="18"/>
  <c r="AA34" i="18"/>
  <c r="AO34" i="18"/>
  <c r="AP34" i="18" s="1"/>
  <c r="AB11" i="18"/>
  <c r="AE4" i="18"/>
  <c r="AM4" i="18" s="1"/>
  <c r="AI9" i="18" a="1"/>
  <c r="AI9" i="18" s="1"/>
  <c r="AJ9" i="18" s="1"/>
  <c r="AE9" i="18"/>
  <c r="AM9" i="18" s="1"/>
  <c r="Z15" i="18"/>
  <c r="Z13" i="18"/>
  <c r="AB21" i="18"/>
  <c r="AL21" i="18" s="1"/>
  <c r="R15" i="18"/>
  <c r="AC15" i="18" s="1" a="1"/>
  <c r="AC15" i="18" s="1"/>
  <c r="AD15" i="18" s="1"/>
  <c r="Z26" i="18"/>
  <c r="AO27" i="18"/>
  <c r="AP27" i="18" s="1"/>
  <c r="AA27" i="18"/>
  <c r="AK27" i="18" s="1"/>
  <c r="AG27" i="18" a="1"/>
  <c r="AG27" i="18" s="1"/>
  <c r="AH27" i="18" s="1" a="1"/>
  <c r="AH27" i="18" s="1"/>
  <c r="R25" i="18"/>
  <c r="AC25" i="18" s="1" a="1"/>
  <c r="AC25" i="18" s="1"/>
  <c r="AD25" i="18" s="1"/>
  <c r="R24" i="18"/>
  <c r="R20" i="18"/>
  <c r="AK17" i="18"/>
  <c r="AA15" i="18"/>
  <c r="AB15" i="18" s="1"/>
  <c r="AO15" i="18"/>
  <c r="AP15" i="18" s="1"/>
  <c r="AG18" i="18" a="1"/>
  <c r="AG18" i="18" s="1"/>
  <c r="AH18" i="18" s="1" a="1"/>
  <c r="AH18" i="18" s="1"/>
  <c r="AA18" i="18"/>
  <c r="AK18" i="18" s="1"/>
  <c r="AO18" i="18"/>
  <c r="AP18" i="18" s="1"/>
  <c r="AE12" i="18"/>
  <c r="AM12" i="18" s="1"/>
  <c r="AI12" i="18" a="1"/>
  <c r="AI12" i="18" s="1"/>
  <c r="AJ12" i="18" s="1"/>
  <c r="R12" i="18"/>
  <c r="AB20" i="18"/>
  <c r="Y294" i="18"/>
  <c r="Y289" i="18"/>
  <c r="Y315" i="18"/>
  <c r="Y207" i="18"/>
  <c r="Q239" i="18"/>
  <c r="Y222" i="18"/>
  <c r="Q254" i="18"/>
  <c r="Y237" i="18"/>
  <c r="Q268" i="18"/>
  <c r="Y311" i="18"/>
  <c r="Q312" i="18"/>
  <c r="Q60" i="18"/>
  <c r="Y59" i="18"/>
  <c r="Q91" i="18"/>
  <c r="Y90" i="18"/>
  <c r="Q122" i="18"/>
  <c r="Y121" i="18"/>
  <c r="Q169" i="18"/>
  <c r="Y168" i="18"/>
  <c r="Q216" i="18"/>
  <c r="Y215" i="18"/>
  <c r="Q262" i="18"/>
  <c r="Y261" i="18"/>
  <c r="Q306" i="18"/>
  <c r="Q54" i="18"/>
  <c r="Q101" i="18"/>
  <c r="Y100" i="18"/>
  <c r="Q148" i="18"/>
  <c r="Y147" i="18"/>
  <c r="Q195" i="18"/>
  <c r="Y194" i="18"/>
  <c r="Q226" i="18"/>
  <c r="Y209" i="18"/>
  <c r="Q241" i="18"/>
  <c r="I308" i="18"/>
  <c r="J308" i="18" s="1"/>
  <c r="I56" i="18"/>
  <c r="J56" i="18" s="1"/>
  <c r="I135" i="18"/>
  <c r="J135" i="18" s="1"/>
  <c r="I214" i="18"/>
  <c r="J214" i="18" s="1"/>
  <c r="I289" i="18"/>
  <c r="J289" i="18" s="1"/>
  <c r="I40" i="18"/>
  <c r="J40" i="18" s="1"/>
  <c r="I116" i="18"/>
  <c r="J116" i="18" s="1"/>
  <c r="I195" i="18"/>
  <c r="J195" i="18" s="1"/>
  <c r="I286" i="18"/>
  <c r="J286" i="18" s="1"/>
  <c r="Y256" i="18"/>
  <c r="I97" i="18"/>
  <c r="J97" i="18" s="1"/>
  <c r="I160" i="18"/>
  <c r="J160" i="18" s="1"/>
  <c r="I223" i="18"/>
  <c r="J223" i="18" s="1"/>
  <c r="I282" i="18"/>
  <c r="J282" i="18" s="1"/>
  <c r="Y192" i="18"/>
  <c r="I93" i="18"/>
  <c r="J93" i="18" s="1"/>
  <c r="I156" i="18"/>
  <c r="J156" i="18" s="1"/>
  <c r="I219" i="18"/>
  <c r="J219" i="18" s="1"/>
  <c r="I281" i="18"/>
  <c r="J281" i="18" s="1"/>
  <c r="I121" i="18"/>
  <c r="J121" i="18" s="1"/>
  <c r="I185" i="18"/>
  <c r="J185" i="18" s="1"/>
  <c r="Q76" i="18"/>
  <c r="Y137" i="18"/>
  <c r="Y163" i="18"/>
  <c r="I211" i="18"/>
  <c r="J211" i="18" s="1"/>
  <c r="Y281" i="18"/>
  <c r="Y320" i="18"/>
  <c r="Y299" i="18"/>
  <c r="Y191" i="18"/>
  <c r="Q223" i="18"/>
  <c r="Y206" i="18"/>
  <c r="Q238" i="18"/>
  <c r="Y221" i="18"/>
  <c r="Q253" i="18"/>
  <c r="Y267" i="18"/>
  <c r="Q296" i="18"/>
  <c r="Q47" i="18"/>
  <c r="Y46" i="18"/>
  <c r="Q75" i="18"/>
  <c r="Y74" i="18"/>
  <c r="Q106" i="18"/>
  <c r="Y105" i="18"/>
  <c r="Q153" i="18"/>
  <c r="Y152" i="18"/>
  <c r="Q200" i="18"/>
  <c r="Y199" i="18"/>
  <c r="Q247" i="18"/>
  <c r="Y246" i="18"/>
  <c r="Q290" i="18"/>
  <c r="Q41" i="18"/>
  <c r="Y40" i="18"/>
  <c r="Q85" i="18"/>
  <c r="Y84" i="18"/>
  <c r="Q132" i="18"/>
  <c r="Y131" i="18"/>
  <c r="Q179" i="18"/>
  <c r="Y178" i="18"/>
  <c r="Q210" i="18"/>
  <c r="Y193" i="18"/>
  <c r="Q225" i="18"/>
  <c r="I292" i="18"/>
  <c r="J292" i="18" s="1"/>
  <c r="I43" i="18"/>
  <c r="J43" i="18" s="1"/>
  <c r="I119" i="18"/>
  <c r="J119" i="18" s="1"/>
  <c r="I198" i="18"/>
  <c r="J198" i="18" s="1"/>
  <c r="I276" i="18"/>
  <c r="J276" i="18" s="1"/>
  <c r="I100" i="18"/>
  <c r="J100" i="18" s="1"/>
  <c r="I179" i="18"/>
  <c r="J179" i="18" s="1"/>
  <c r="I273" i="18"/>
  <c r="J273" i="18" s="1"/>
  <c r="Q284" i="18"/>
  <c r="I81" i="18"/>
  <c r="J81" i="18" s="1"/>
  <c r="I144" i="18"/>
  <c r="J144" i="18" s="1"/>
  <c r="I207" i="18"/>
  <c r="J207" i="18" s="1"/>
  <c r="I269" i="18"/>
  <c r="J269" i="18" s="1"/>
  <c r="Q224" i="18"/>
  <c r="I77" i="18"/>
  <c r="J77" i="18" s="1"/>
  <c r="I140" i="18"/>
  <c r="J140" i="18" s="1"/>
  <c r="I203" i="18"/>
  <c r="J203" i="18" s="1"/>
  <c r="I265" i="18"/>
  <c r="J265" i="18" s="1"/>
  <c r="Y128" i="18"/>
  <c r="I169" i="18"/>
  <c r="J169" i="18" s="1"/>
  <c r="I105" i="18"/>
  <c r="J105" i="18" s="1"/>
  <c r="I153" i="18"/>
  <c r="J153" i="18" s="1"/>
  <c r="I234" i="18"/>
  <c r="J234" i="18" s="1"/>
  <c r="I92" i="18"/>
  <c r="J92" i="18" s="1"/>
  <c r="I73" i="18"/>
  <c r="J73" i="18" s="1"/>
  <c r="I60" i="18"/>
  <c r="J60" i="18" s="1"/>
  <c r="I186" i="18"/>
  <c r="J186" i="18" s="1"/>
  <c r="I280" i="18"/>
  <c r="J280" i="18" s="1"/>
  <c r="Y106" i="18"/>
  <c r="Y231" i="18"/>
  <c r="I230" i="18"/>
  <c r="J230" i="18" s="1"/>
  <c r="Y325" i="18"/>
  <c r="Y304" i="18"/>
  <c r="Y283" i="18"/>
  <c r="Y175" i="18"/>
  <c r="Q207" i="18"/>
  <c r="Y190" i="18"/>
  <c r="Q222" i="18"/>
  <c r="Y205" i="18"/>
  <c r="Q237" i="18"/>
  <c r="Y252" i="18"/>
  <c r="Y295" i="18"/>
  <c r="Q311" i="18"/>
  <c r="Q59" i="18"/>
  <c r="Y58" i="18"/>
  <c r="Q90" i="18"/>
  <c r="Y89" i="18"/>
  <c r="Q137" i="18"/>
  <c r="Y136" i="18"/>
  <c r="Q184" i="18"/>
  <c r="Y183" i="18"/>
  <c r="Q231" i="18"/>
  <c r="Y230" i="18"/>
  <c r="Q277" i="18"/>
  <c r="Y276" i="18"/>
  <c r="Q321" i="18"/>
  <c r="Q69" i="18"/>
  <c r="Y68" i="18"/>
  <c r="Q116" i="18"/>
  <c r="Y115" i="18"/>
  <c r="Q163" i="18"/>
  <c r="Y162" i="18"/>
  <c r="Q194" i="18"/>
  <c r="Y177" i="18"/>
  <c r="Q209" i="18"/>
  <c r="I279" i="18"/>
  <c r="J279" i="18" s="1"/>
  <c r="Y96" i="18"/>
  <c r="I103" i="18"/>
  <c r="J103" i="18" s="1"/>
  <c r="I182" i="18"/>
  <c r="J182" i="18" s="1"/>
  <c r="Q80" i="18"/>
  <c r="I84" i="18"/>
  <c r="J84" i="18" s="1"/>
  <c r="I163" i="18"/>
  <c r="J163" i="18" s="1"/>
  <c r="I258" i="18"/>
  <c r="J258" i="18" s="1"/>
  <c r="I317" i="18"/>
  <c r="J317" i="18" s="1"/>
  <c r="I65" i="18"/>
  <c r="J65" i="18" s="1"/>
  <c r="I128" i="18"/>
  <c r="J128" i="18" s="1"/>
  <c r="I191" i="18"/>
  <c r="J191" i="18" s="1"/>
  <c r="I254" i="18"/>
  <c r="J254" i="18" s="1"/>
  <c r="I313" i="18"/>
  <c r="J313" i="18" s="1"/>
  <c r="I61" i="18"/>
  <c r="J61" i="18" s="1"/>
  <c r="I124" i="18"/>
  <c r="J124" i="18" s="1"/>
  <c r="I187" i="18"/>
  <c r="J187" i="18" s="1"/>
  <c r="I250" i="18"/>
  <c r="J250" i="18" s="1"/>
  <c r="I48" i="18"/>
  <c r="J48" i="18" s="1"/>
  <c r="I171" i="18"/>
  <c r="J171" i="18" s="1"/>
  <c r="I137" i="18"/>
  <c r="J137" i="18" s="1"/>
  <c r="I218" i="18"/>
  <c r="J218" i="18" s="1"/>
  <c r="I57" i="18"/>
  <c r="J57" i="18" s="1"/>
  <c r="I63" i="18"/>
  <c r="J63" i="18" s="1"/>
  <c r="I122" i="18"/>
  <c r="J122" i="18" s="1"/>
  <c r="Q107" i="18"/>
  <c r="Q185" i="18"/>
  <c r="Q257" i="18"/>
  <c r="I45" i="18"/>
  <c r="J45" i="18" s="1"/>
  <c r="Y309" i="18"/>
  <c r="Y288" i="18"/>
  <c r="Y314" i="18"/>
  <c r="Y159" i="18"/>
  <c r="Q191" i="18"/>
  <c r="Y174" i="18"/>
  <c r="Q206" i="18"/>
  <c r="Y189" i="18"/>
  <c r="Q221" i="18"/>
  <c r="Y236" i="18"/>
  <c r="Q267" i="18"/>
  <c r="Y266" i="18"/>
  <c r="Q295" i="18"/>
  <c r="Q46" i="18"/>
  <c r="Y45" i="18"/>
  <c r="Q74" i="18"/>
  <c r="Y73" i="18"/>
  <c r="Q121" i="18"/>
  <c r="Y120" i="18"/>
  <c r="Q168" i="18"/>
  <c r="Y167" i="18"/>
  <c r="Q215" i="18"/>
  <c r="Y214" i="18"/>
  <c r="Q261" i="18"/>
  <c r="Q305" i="18"/>
  <c r="Y53" i="18"/>
  <c r="Q100" i="18"/>
  <c r="Y99" i="18"/>
  <c r="Q147" i="18"/>
  <c r="Y146" i="18"/>
  <c r="Q178" i="18"/>
  <c r="Y161" i="18"/>
  <c r="Q193" i="18"/>
  <c r="I263" i="18"/>
  <c r="J263" i="18" s="1"/>
  <c r="Q128" i="18"/>
  <c r="I87" i="18"/>
  <c r="J87" i="18" s="1"/>
  <c r="I166" i="18"/>
  <c r="J166" i="18" s="1"/>
  <c r="I245" i="18"/>
  <c r="J245" i="18" s="1"/>
  <c r="I320" i="18"/>
  <c r="J320" i="18" s="1"/>
  <c r="I68" i="18"/>
  <c r="J68" i="18" s="1"/>
  <c r="I147" i="18"/>
  <c r="J147" i="18" s="1"/>
  <c r="I242" i="18"/>
  <c r="J242" i="18" s="1"/>
  <c r="I301" i="18"/>
  <c r="J301" i="18" s="1"/>
  <c r="I51" i="18"/>
  <c r="J51" i="18" s="1"/>
  <c r="I112" i="18"/>
  <c r="J112" i="18" s="1"/>
  <c r="I175" i="18"/>
  <c r="J175" i="18" s="1"/>
  <c r="I238" i="18"/>
  <c r="J238" i="18" s="1"/>
  <c r="I297" i="18"/>
  <c r="J297" i="18" s="1"/>
  <c r="I108" i="18"/>
  <c r="J108" i="18" s="1"/>
  <c r="I89" i="18"/>
  <c r="J89" i="18" s="1"/>
  <c r="Y176" i="18"/>
  <c r="I312" i="18"/>
  <c r="J312" i="18" s="1"/>
  <c r="I106" i="18"/>
  <c r="J106" i="18" s="1"/>
  <c r="Y223" i="18"/>
  <c r="Q232" i="18"/>
  <c r="I305" i="18"/>
  <c r="J305" i="18" s="1"/>
  <c r="Y293" i="18"/>
  <c r="Y319" i="18"/>
  <c r="Y298" i="18"/>
  <c r="Y143" i="18"/>
  <c r="Q175" i="18"/>
  <c r="Y158" i="18"/>
  <c r="Q190" i="18"/>
  <c r="Y173" i="18"/>
  <c r="Q205" i="18"/>
  <c r="Y220" i="18"/>
  <c r="Q252" i="18"/>
  <c r="Y251" i="18"/>
  <c r="Q310" i="18"/>
  <c r="Q58" i="18"/>
  <c r="Y57" i="18"/>
  <c r="Q105" i="18"/>
  <c r="Y104" i="18"/>
  <c r="Q152" i="18"/>
  <c r="Y151" i="18"/>
  <c r="Q199" i="18"/>
  <c r="Y198" i="18"/>
  <c r="Q246" i="18"/>
  <c r="Y245" i="18"/>
  <c r="Q289" i="18"/>
  <c r="Q40" i="18"/>
  <c r="Y39" i="18"/>
  <c r="Q84" i="18"/>
  <c r="Y83" i="18"/>
  <c r="Q131" i="18"/>
  <c r="Y130" i="18"/>
  <c r="Q162" i="18"/>
  <c r="Y145" i="18"/>
  <c r="Q177" i="18"/>
  <c r="I248" i="18"/>
  <c r="J248" i="18" s="1"/>
  <c r="I324" i="18"/>
  <c r="J324" i="18" s="1"/>
  <c r="I71" i="18"/>
  <c r="J71" i="18" s="1"/>
  <c r="I150" i="18"/>
  <c r="J150" i="18" s="1"/>
  <c r="I229" i="18"/>
  <c r="J229" i="18" s="1"/>
  <c r="I304" i="18"/>
  <c r="J304" i="18" s="1"/>
  <c r="I53" i="18"/>
  <c r="J53" i="18" s="1"/>
  <c r="I131" i="18"/>
  <c r="J131" i="18" s="1"/>
  <c r="I226" i="18"/>
  <c r="J226" i="18" s="1"/>
  <c r="I285" i="18"/>
  <c r="J285" i="18" s="1"/>
  <c r="Y240" i="18"/>
  <c r="I96" i="18"/>
  <c r="J96" i="18" s="1"/>
  <c r="I159" i="18"/>
  <c r="J159" i="18" s="1"/>
  <c r="I222" i="18"/>
  <c r="J222" i="18" s="1"/>
  <c r="I155" i="18"/>
  <c r="J155" i="18" s="1"/>
  <c r="I253" i="18"/>
  <c r="J253" i="18" s="1"/>
  <c r="I59" i="18"/>
  <c r="J59" i="18" s="1"/>
  <c r="I46" i="18"/>
  <c r="J46" i="18" s="1"/>
  <c r="I249" i="18"/>
  <c r="J249" i="18" s="1"/>
  <c r="Y47" i="18"/>
  <c r="Q138" i="18"/>
  <c r="Y69" i="18"/>
  <c r="Y210" i="18"/>
  <c r="I239" i="18"/>
  <c r="J239" i="18" s="1"/>
  <c r="Y324" i="18"/>
  <c r="Y303" i="18"/>
  <c r="Y282" i="18"/>
  <c r="Y127" i="18"/>
  <c r="Q159" i="18"/>
  <c r="Y142" i="18"/>
  <c r="Q174" i="18"/>
  <c r="Y157" i="18"/>
  <c r="Q189" i="18"/>
  <c r="Y204" i="18"/>
  <c r="Q236" i="18"/>
  <c r="Y235" i="18"/>
  <c r="Q266" i="18"/>
  <c r="Y265" i="18"/>
  <c r="Q294" i="18"/>
  <c r="Q45" i="18"/>
  <c r="Y44" i="18"/>
  <c r="Q89" i="18"/>
  <c r="Y88" i="18"/>
  <c r="Q136" i="18"/>
  <c r="Y135" i="18"/>
  <c r="Q183" i="18"/>
  <c r="Y182" i="18"/>
  <c r="Q230" i="18"/>
  <c r="Y229" i="18"/>
  <c r="Q276" i="18"/>
  <c r="Y275" i="18"/>
  <c r="Q320" i="18"/>
  <c r="Q68" i="18"/>
  <c r="Y67" i="18"/>
  <c r="Q115" i="18"/>
  <c r="Y114" i="18"/>
  <c r="Q146" i="18"/>
  <c r="Y129" i="18"/>
  <c r="Q161" i="18"/>
  <c r="I232" i="18"/>
  <c r="J232" i="18" s="1"/>
  <c r="I307" i="18"/>
  <c r="J307" i="18" s="1"/>
  <c r="I55" i="18"/>
  <c r="J55" i="18" s="1"/>
  <c r="I134" i="18"/>
  <c r="J134" i="18" s="1"/>
  <c r="I213" i="18"/>
  <c r="J213" i="18" s="1"/>
  <c r="I288" i="18"/>
  <c r="J288" i="18" s="1"/>
  <c r="I39" i="18"/>
  <c r="J39" i="18" s="1"/>
  <c r="I115" i="18"/>
  <c r="J115" i="18" s="1"/>
  <c r="I210" i="18"/>
  <c r="J210" i="18" s="1"/>
  <c r="I272" i="18"/>
  <c r="J272" i="18" s="1"/>
  <c r="Q271" i="18"/>
  <c r="I80" i="18"/>
  <c r="J80" i="18" s="1"/>
  <c r="I143" i="18"/>
  <c r="J143" i="18" s="1"/>
  <c r="I206" i="18"/>
  <c r="J206" i="18" s="1"/>
  <c r="I268" i="18"/>
  <c r="J268" i="18" s="1"/>
  <c r="Q208" i="18"/>
  <c r="I76" i="18"/>
  <c r="J76" i="18" s="1"/>
  <c r="I139" i="18"/>
  <c r="J139" i="18" s="1"/>
  <c r="I202" i="18"/>
  <c r="J202" i="18" s="1"/>
  <c r="I309" i="18"/>
  <c r="J309" i="18" s="1"/>
  <c r="I252" i="18"/>
  <c r="J252" i="18" s="1"/>
  <c r="Q255" i="18"/>
  <c r="Y277" i="18"/>
  <c r="I113" i="18"/>
  <c r="J113" i="18" s="1"/>
  <c r="Y308" i="18"/>
  <c r="Y287" i="18"/>
  <c r="Y313" i="18"/>
  <c r="Y111" i="18"/>
  <c r="Q143" i="18"/>
  <c r="Y126" i="18"/>
  <c r="Q158" i="18"/>
  <c r="Y141" i="18"/>
  <c r="Q173" i="18"/>
  <c r="Y188" i="18"/>
  <c r="Q220" i="18"/>
  <c r="Y219" i="18"/>
  <c r="Q251" i="18"/>
  <c r="Y250" i="18"/>
  <c r="Q281" i="18"/>
  <c r="Y280" i="18"/>
  <c r="Q325" i="18"/>
  <c r="Q73" i="18"/>
  <c r="Y72" i="18"/>
  <c r="Q120" i="18"/>
  <c r="Y119" i="18"/>
  <c r="Q167" i="18"/>
  <c r="Y166" i="18"/>
  <c r="Q214" i="18"/>
  <c r="Y213" i="18"/>
  <c r="Y260" i="18"/>
  <c r="Q304" i="18"/>
  <c r="Q53" i="18"/>
  <c r="Y52" i="18"/>
  <c r="Q99" i="18"/>
  <c r="Y98" i="18"/>
  <c r="Q130" i="18"/>
  <c r="Y113" i="18"/>
  <c r="Q145" i="18"/>
  <c r="I216" i="18"/>
  <c r="J216" i="18" s="1"/>
  <c r="I291" i="18"/>
  <c r="J291" i="18" s="1"/>
  <c r="I42" i="18"/>
  <c r="J42" i="18" s="1"/>
  <c r="I118" i="18"/>
  <c r="J118" i="18" s="1"/>
  <c r="I197" i="18"/>
  <c r="J197" i="18" s="1"/>
  <c r="I275" i="18"/>
  <c r="J275" i="18" s="1"/>
  <c r="Q316" i="18"/>
  <c r="I99" i="18"/>
  <c r="J99" i="18" s="1"/>
  <c r="I194" i="18"/>
  <c r="J194" i="18" s="1"/>
  <c r="I257" i="18"/>
  <c r="J257" i="18" s="1"/>
  <c r="I316" i="18"/>
  <c r="J316" i="18" s="1"/>
  <c r="I64" i="18"/>
  <c r="J64" i="18" s="1"/>
  <c r="I127" i="18"/>
  <c r="J127" i="18" s="1"/>
  <c r="I190" i="18"/>
  <c r="J190" i="18" s="1"/>
  <c r="I123" i="18"/>
  <c r="J123" i="18" s="1"/>
  <c r="I126" i="18"/>
  <c r="J126" i="18" s="1"/>
  <c r="I295" i="18"/>
  <c r="J295" i="18" s="1"/>
  <c r="Q269" i="18"/>
  <c r="Y116" i="18"/>
  <c r="I151" i="18"/>
  <c r="J151" i="18" s="1"/>
  <c r="I235" i="18"/>
  <c r="J235" i="18" s="1"/>
  <c r="Y292" i="18"/>
  <c r="Y318" i="18"/>
  <c r="Y297" i="18"/>
  <c r="Y95" i="18"/>
  <c r="Q127" i="18"/>
  <c r="Y110" i="18"/>
  <c r="Q142" i="18"/>
  <c r="Y125" i="18"/>
  <c r="Q157" i="18"/>
  <c r="Y172" i="18"/>
  <c r="Q204" i="18"/>
  <c r="Y203" i="18"/>
  <c r="Q235" i="18"/>
  <c r="Y234" i="18"/>
  <c r="Q265" i="18"/>
  <c r="Y264" i="18"/>
  <c r="Q309" i="18"/>
  <c r="Q57" i="18"/>
  <c r="Y56" i="18"/>
  <c r="Q104" i="18"/>
  <c r="Y103" i="18"/>
  <c r="Q151" i="18"/>
  <c r="Y150" i="18"/>
  <c r="Q198" i="18"/>
  <c r="Y197" i="18"/>
  <c r="Q245" i="18"/>
  <c r="Y244" i="18"/>
  <c r="Q288" i="18"/>
  <c r="Q39" i="18"/>
  <c r="Y38" i="18"/>
  <c r="Q83" i="18"/>
  <c r="Y82" i="18"/>
  <c r="Q114" i="18"/>
  <c r="Y97" i="18"/>
  <c r="Q129" i="18"/>
  <c r="I200" i="18"/>
  <c r="J200" i="18" s="1"/>
  <c r="I278" i="18"/>
  <c r="J278" i="18" s="1"/>
  <c r="Y80" i="18"/>
  <c r="I102" i="18"/>
  <c r="J102" i="18" s="1"/>
  <c r="I181" i="18"/>
  <c r="J181" i="18" s="1"/>
  <c r="I260" i="18"/>
  <c r="J260" i="18" s="1"/>
  <c r="Q64" i="18"/>
  <c r="I83" i="18"/>
  <c r="J83" i="18" s="1"/>
  <c r="I178" i="18"/>
  <c r="J178" i="18" s="1"/>
  <c r="I241" i="18"/>
  <c r="J241" i="18" s="1"/>
  <c r="I300" i="18"/>
  <c r="J300" i="18" s="1"/>
  <c r="I111" i="18"/>
  <c r="J111" i="18" s="1"/>
  <c r="I174" i="18"/>
  <c r="J174" i="18" s="1"/>
  <c r="I237" i="18"/>
  <c r="J237" i="18" s="1"/>
  <c r="I296" i="18"/>
  <c r="J296" i="18" s="1"/>
  <c r="I47" i="18"/>
  <c r="J47" i="18" s="1"/>
  <c r="I107" i="18"/>
  <c r="J107" i="18" s="1"/>
  <c r="I170" i="18"/>
  <c r="J170" i="18" s="1"/>
  <c r="I293" i="18"/>
  <c r="J293" i="18" s="1"/>
  <c r="I205" i="18"/>
  <c r="J205" i="18" s="1"/>
  <c r="I75" i="18"/>
  <c r="J75" i="18" s="1"/>
  <c r="I138" i="18"/>
  <c r="J138" i="18" s="1"/>
  <c r="I54" i="18"/>
  <c r="J54" i="18" s="1"/>
  <c r="I287" i="18"/>
  <c r="J287" i="18" s="1"/>
  <c r="I189" i="18"/>
  <c r="J189" i="18" s="1"/>
  <c r="I264" i="18"/>
  <c r="J264" i="18" s="1"/>
  <c r="I321" i="18"/>
  <c r="J321" i="18" s="1"/>
  <c r="Q242" i="18"/>
  <c r="I172" i="18"/>
  <c r="J172" i="18" s="1"/>
  <c r="Y323" i="18"/>
  <c r="Y302" i="18"/>
  <c r="Y79" i="18"/>
  <c r="Q111" i="18"/>
  <c r="Y94" i="18"/>
  <c r="Q126" i="18"/>
  <c r="Y109" i="18"/>
  <c r="Q141" i="18"/>
  <c r="Y156" i="18"/>
  <c r="Q188" i="18"/>
  <c r="Y187" i="18"/>
  <c r="Q219" i="18"/>
  <c r="Y218" i="18"/>
  <c r="Q250" i="18"/>
  <c r="Y249" i="18"/>
  <c r="Q293" i="18"/>
  <c r="Q44" i="18"/>
  <c r="Y43" i="18"/>
  <c r="Q88" i="18"/>
  <c r="Y87" i="18"/>
  <c r="Q135" i="18"/>
  <c r="Y134" i="18"/>
  <c r="Q182" i="18"/>
  <c r="Y181" i="18"/>
  <c r="Q229" i="18"/>
  <c r="Y228" i="18"/>
  <c r="Q275" i="18"/>
  <c r="Y274" i="18"/>
  <c r="Q319" i="18"/>
  <c r="Q67" i="18"/>
  <c r="Y66" i="18"/>
  <c r="Q98" i="18"/>
  <c r="Y81" i="18"/>
  <c r="Q113" i="18"/>
  <c r="I184" i="18"/>
  <c r="J184" i="18" s="1"/>
  <c r="I262" i="18"/>
  <c r="J262" i="18" s="1"/>
  <c r="Q112" i="18"/>
  <c r="I86" i="18"/>
  <c r="J86" i="18" s="1"/>
  <c r="I165" i="18"/>
  <c r="J165" i="18" s="1"/>
  <c r="I244" i="18"/>
  <c r="J244" i="18" s="1"/>
  <c r="I319" i="18"/>
  <c r="J319" i="18" s="1"/>
  <c r="I67" i="18"/>
  <c r="J67" i="18" s="1"/>
  <c r="I162" i="18"/>
  <c r="J162" i="18" s="1"/>
  <c r="I225" i="18"/>
  <c r="J225" i="18" s="1"/>
  <c r="I284" i="18"/>
  <c r="J284" i="18" s="1"/>
  <c r="Y224" i="18"/>
  <c r="I95" i="18"/>
  <c r="J95" i="18" s="1"/>
  <c r="I158" i="18"/>
  <c r="J158" i="18" s="1"/>
  <c r="I221" i="18"/>
  <c r="J221" i="18" s="1"/>
  <c r="Y160" i="18"/>
  <c r="I91" i="18"/>
  <c r="J91" i="18" s="1"/>
  <c r="I154" i="18"/>
  <c r="J154" i="18" s="1"/>
  <c r="I44" i="18"/>
  <c r="J44" i="18" s="1"/>
  <c r="I271" i="18"/>
  <c r="J271" i="18" s="1"/>
  <c r="I79" i="18"/>
  <c r="J79" i="18" s="1"/>
  <c r="I267" i="18"/>
  <c r="J267" i="18" s="1"/>
  <c r="I306" i="18"/>
  <c r="J306" i="18" s="1"/>
  <c r="I130" i="18"/>
  <c r="J130" i="18" s="1"/>
  <c r="I315" i="18"/>
  <c r="J315" i="18" s="1"/>
  <c r="Y310" i="18"/>
  <c r="Q164" i="18"/>
  <c r="I132" i="18"/>
  <c r="J132" i="18" s="1"/>
  <c r="I294" i="18"/>
  <c r="J294" i="18" s="1"/>
  <c r="Y307" i="18"/>
  <c r="Y286" i="18"/>
  <c r="Y312" i="18"/>
  <c r="Y63" i="18"/>
  <c r="Q95" i="18"/>
  <c r="Y78" i="18"/>
  <c r="Q110" i="18"/>
  <c r="Y93" i="18"/>
  <c r="Q125" i="18"/>
  <c r="Y140" i="18"/>
  <c r="Q172" i="18"/>
  <c r="Y171" i="18"/>
  <c r="Q203" i="18"/>
  <c r="Y202" i="18"/>
  <c r="Q234" i="18"/>
  <c r="Y233" i="18"/>
  <c r="Q280" i="18"/>
  <c r="Y279" i="18"/>
  <c r="Q324" i="18"/>
  <c r="Q72" i="18"/>
  <c r="Y71" i="18"/>
  <c r="Q119" i="18"/>
  <c r="Y118" i="18"/>
  <c r="Q166" i="18"/>
  <c r="Y165" i="18"/>
  <c r="Q213" i="18"/>
  <c r="Y212" i="18"/>
  <c r="Q260" i="18"/>
  <c r="Y259" i="18"/>
  <c r="Q303" i="18"/>
  <c r="Q52" i="18"/>
  <c r="Q82" i="18"/>
  <c r="Y65" i="18"/>
  <c r="Q97" i="18"/>
  <c r="I168" i="18"/>
  <c r="J168" i="18" s="1"/>
  <c r="I247" i="18"/>
  <c r="J247" i="18" s="1"/>
  <c r="I323" i="18"/>
  <c r="J323" i="18" s="1"/>
  <c r="I70" i="18"/>
  <c r="J70" i="18" s="1"/>
  <c r="I149" i="18"/>
  <c r="J149" i="18" s="1"/>
  <c r="I228" i="18"/>
  <c r="J228" i="18" s="1"/>
  <c r="I303" i="18"/>
  <c r="J303" i="18" s="1"/>
  <c r="I52" i="18"/>
  <c r="J52" i="18" s="1"/>
  <c r="I146" i="18"/>
  <c r="J146" i="18" s="1"/>
  <c r="I209" i="18"/>
  <c r="J209" i="18" s="1"/>
  <c r="Q256" i="18"/>
  <c r="I142" i="18"/>
  <c r="J142" i="18" s="1"/>
  <c r="Q192" i="18"/>
  <c r="Q160" i="18"/>
  <c r="I133" i="18"/>
  <c r="J133" i="18" s="1"/>
  <c r="I38" i="18"/>
  <c r="J38" i="18" s="1"/>
  <c r="I193" i="18"/>
  <c r="J193" i="18" s="1"/>
  <c r="I311" i="18"/>
  <c r="J311" i="18" s="1"/>
  <c r="Y284" i="18"/>
  <c r="Q322" i="18"/>
  <c r="I298" i="18"/>
  <c r="J298" i="18" s="1"/>
  <c r="Y291" i="18"/>
  <c r="Y317" i="18"/>
  <c r="Y296" i="18"/>
  <c r="Y50" i="18"/>
  <c r="Q79" i="18"/>
  <c r="Y62" i="18"/>
  <c r="Q94" i="18"/>
  <c r="Y77" i="18"/>
  <c r="Q109" i="18"/>
  <c r="Y124" i="18"/>
  <c r="Q156" i="18"/>
  <c r="Y155" i="18"/>
  <c r="Q187" i="18"/>
  <c r="Y186" i="18"/>
  <c r="Q218" i="18"/>
  <c r="Y217" i="18"/>
  <c r="Q264" i="18"/>
  <c r="Y263" i="18"/>
  <c r="Q308" i="18"/>
  <c r="Q56" i="18"/>
  <c r="Y55" i="18"/>
  <c r="Q103" i="18"/>
  <c r="Y102" i="18"/>
  <c r="Q150" i="18"/>
  <c r="Y149" i="18"/>
  <c r="Q197" i="18"/>
  <c r="Y196" i="18"/>
  <c r="Q244" i="18"/>
  <c r="Y243" i="18"/>
  <c r="Q287" i="18"/>
  <c r="Q38" i="18"/>
  <c r="Q318" i="18"/>
  <c r="Q66" i="18"/>
  <c r="Y51" i="18"/>
  <c r="Q81" i="18"/>
  <c r="I152" i="18"/>
  <c r="J152" i="18" s="1"/>
  <c r="I231" i="18"/>
  <c r="J231" i="18" s="1"/>
  <c r="I212" i="18"/>
  <c r="J212" i="18" s="1"/>
  <c r="I256" i="18"/>
  <c r="J256" i="18" s="1"/>
  <c r="Y75" i="18"/>
  <c r="Y184" i="18"/>
  <c r="I325" i="18"/>
  <c r="J325" i="18" s="1"/>
  <c r="Y322" i="18"/>
  <c r="Y301" i="18"/>
  <c r="Q315" i="18"/>
  <c r="Q63" i="18"/>
  <c r="Y49" i="18"/>
  <c r="Q78" i="18"/>
  <c r="Y61" i="18"/>
  <c r="Q93" i="18"/>
  <c r="Y108" i="18"/>
  <c r="Q140" i="18"/>
  <c r="Y139" i="18"/>
  <c r="Q171" i="18"/>
  <c r="Y170" i="18"/>
  <c r="Q202" i="18"/>
  <c r="Y201" i="18"/>
  <c r="Q249" i="18"/>
  <c r="Y248" i="18"/>
  <c r="Q292" i="18"/>
  <c r="Q43" i="18"/>
  <c r="Y42" i="18"/>
  <c r="Q87" i="18"/>
  <c r="Y86" i="18"/>
  <c r="Q134" i="18"/>
  <c r="Y133" i="18"/>
  <c r="Q181" i="18"/>
  <c r="Y180" i="18"/>
  <c r="Q228" i="18"/>
  <c r="Y227" i="18"/>
  <c r="Q274" i="18"/>
  <c r="Y273" i="18"/>
  <c r="Q302" i="18"/>
  <c r="Q317" i="18"/>
  <c r="Q65" i="18"/>
  <c r="I136" i="18"/>
  <c r="J136" i="18" s="1"/>
  <c r="I215" i="18"/>
  <c r="J215" i="18" s="1"/>
  <c r="I290" i="18"/>
  <c r="J290" i="18" s="1"/>
  <c r="I41" i="18"/>
  <c r="J41" i="18" s="1"/>
  <c r="I117" i="18"/>
  <c r="J117" i="18" s="1"/>
  <c r="I196" i="18"/>
  <c r="J196" i="18" s="1"/>
  <c r="I274" i="18"/>
  <c r="J274" i="18" s="1"/>
  <c r="Y271" i="18"/>
  <c r="I114" i="18"/>
  <c r="J114" i="18" s="1"/>
  <c r="I177" i="18"/>
  <c r="J177" i="18" s="1"/>
  <c r="I240" i="18"/>
  <c r="J240" i="18" s="1"/>
  <c r="I299" i="18"/>
  <c r="J299" i="18" s="1"/>
  <c r="I50" i="18"/>
  <c r="J50" i="18" s="1"/>
  <c r="I110" i="18"/>
  <c r="J110" i="18" s="1"/>
  <c r="I173" i="18"/>
  <c r="J173" i="18" s="1"/>
  <c r="I236" i="18"/>
  <c r="J236" i="18" s="1"/>
  <c r="Y305" i="18"/>
  <c r="Q117" i="18"/>
  <c r="I72" i="18"/>
  <c r="J72" i="18" s="1"/>
  <c r="I302" i="18"/>
  <c r="J302" i="18" s="1"/>
  <c r="Y306" i="18"/>
  <c r="Y285" i="18"/>
  <c r="Y270" i="18"/>
  <c r="Q299" i="18"/>
  <c r="Q50" i="18"/>
  <c r="Q314" i="18"/>
  <c r="Q62" i="18"/>
  <c r="Y48" i="18"/>
  <c r="Q77" i="18"/>
  <c r="Y92" i="18"/>
  <c r="Q124" i="18"/>
  <c r="Y123" i="18"/>
  <c r="Q155" i="18"/>
  <c r="Y154" i="18"/>
  <c r="Q186" i="18"/>
  <c r="Y185" i="18"/>
  <c r="Q233" i="18"/>
  <c r="Y232" i="18"/>
  <c r="Q279" i="18"/>
  <c r="Y278" i="18"/>
  <c r="Q323" i="18"/>
  <c r="Q71" i="18"/>
  <c r="Y70" i="18"/>
  <c r="Q118" i="18"/>
  <c r="Y117" i="18"/>
  <c r="Q165" i="18"/>
  <c r="Y164" i="18"/>
  <c r="Q212" i="18"/>
  <c r="Y211" i="18"/>
  <c r="Q259" i="18"/>
  <c r="Y258" i="18"/>
  <c r="Q286" i="18"/>
  <c r="Y272" i="18"/>
  <c r="Q301" i="18"/>
  <c r="Q51" i="18"/>
  <c r="I120" i="18"/>
  <c r="J120" i="18" s="1"/>
  <c r="I199" i="18"/>
  <c r="J199" i="18" s="1"/>
  <c r="I277" i="18"/>
  <c r="J277" i="18" s="1"/>
  <c r="Y64" i="18"/>
  <c r="I101" i="18"/>
  <c r="J101" i="18" s="1"/>
  <c r="I180" i="18"/>
  <c r="J180" i="18" s="1"/>
  <c r="I259" i="18"/>
  <c r="J259" i="18" s="1"/>
  <c r="Q300" i="18"/>
  <c r="I98" i="18"/>
  <c r="J98" i="18" s="1"/>
  <c r="I161" i="18"/>
  <c r="J161" i="18" s="1"/>
  <c r="I224" i="18"/>
  <c r="J224" i="18" s="1"/>
  <c r="I283" i="18"/>
  <c r="J283" i="18" s="1"/>
  <c r="Y208" i="18"/>
  <c r="I94" i="18"/>
  <c r="J94" i="18" s="1"/>
  <c r="I157" i="18"/>
  <c r="J157" i="18" s="1"/>
  <c r="I220" i="18"/>
  <c r="J220" i="18" s="1"/>
  <c r="Y144" i="18"/>
  <c r="I90" i="18"/>
  <c r="J90" i="18" s="1"/>
  <c r="Q211" i="18"/>
  <c r="I176" i="18"/>
  <c r="J176" i="18" s="1"/>
  <c r="Y290" i="18"/>
  <c r="Y316" i="18"/>
  <c r="Y255" i="18"/>
  <c r="Q283" i="18"/>
  <c r="Y269" i="18"/>
  <c r="Q298" i="18"/>
  <c r="Q49" i="18"/>
  <c r="Q313" i="18"/>
  <c r="Q61" i="18"/>
  <c r="Y76" i="18"/>
  <c r="Q108" i="18"/>
  <c r="Y107" i="18"/>
  <c r="Q139" i="18"/>
  <c r="Y138" i="18"/>
  <c r="Q170" i="18"/>
  <c r="Y169" i="18"/>
  <c r="Q217" i="18"/>
  <c r="Y216" i="18"/>
  <c r="Q263" i="18"/>
  <c r="Y262" i="18"/>
  <c r="Q307" i="18"/>
  <c r="Q55" i="18"/>
  <c r="Y54" i="18"/>
  <c r="Q102" i="18"/>
  <c r="Y101" i="18"/>
  <c r="Q149" i="18"/>
  <c r="Y148" i="18"/>
  <c r="Q196" i="18"/>
  <c r="Y195" i="18"/>
  <c r="Q243" i="18"/>
  <c r="Y242" i="18"/>
  <c r="Q273" i="18"/>
  <c r="Y257" i="18"/>
  <c r="Q285" i="18"/>
  <c r="Y112" i="18"/>
  <c r="I104" i="18"/>
  <c r="J104" i="18" s="1"/>
  <c r="I183" i="18"/>
  <c r="J183" i="18" s="1"/>
  <c r="I261" i="18"/>
  <c r="J261" i="18" s="1"/>
  <c r="Q96" i="18"/>
  <c r="I85" i="18"/>
  <c r="J85" i="18" s="1"/>
  <c r="I164" i="18"/>
  <c r="J164" i="18" s="1"/>
  <c r="I243" i="18"/>
  <c r="J243" i="18" s="1"/>
  <c r="I82" i="18"/>
  <c r="J82" i="18" s="1"/>
  <c r="I145" i="18"/>
  <c r="J145" i="18" s="1"/>
  <c r="I208" i="18"/>
  <c r="J208" i="18" s="1"/>
  <c r="I270" i="18"/>
  <c r="J270" i="18" s="1"/>
  <c r="Q240" i="18"/>
  <c r="I78" i="18"/>
  <c r="J78" i="18" s="1"/>
  <c r="I141" i="18"/>
  <c r="J141" i="18" s="1"/>
  <c r="I204" i="18"/>
  <c r="J204" i="18" s="1"/>
  <c r="I266" i="18"/>
  <c r="J266" i="18" s="1"/>
  <c r="Q176" i="18"/>
  <c r="I74" i="18"/>
  <c r="J74" i="18" s="1"/>
  <c r="I233" i="18"/>
  <c r="J233" i="18" s="1"/>
  <c r="I251" i="18"/>
  <c r="J251" i="18" s="1"/>
  <c r="I58" i="18"/>
  <c r="J58" i="18" s="1"/>
  <c r="Y253" i="18"/>
  <c r="Q278" i="18"/>
  <c r="I49" i="18"/>
  <c r="J49" i="18" s="1"/>
  <c r="I201" i="18"/>
  <c r="J201" i="18" s="1"/>
  <c r="Y321" i="18"/>
  <c r="Y300" i="18"/>
  <c r="Y239" i="18"/>
  <c r="Q270" i="18"/>
  <c r="Y254" i="18"/>
  <c r="Q282" i="18"/>
  <c r="Y268" i="18"/>
  <c r="Q297" i="18"/>
  <c r="Q48" i="18"/>
  <c r="Y60" i="18"/>
  <c r="Q92" i="18"/>
  <c r="Y91" i="18"/>
  <c r="Q123" i="18"/>
  <c r="Y122" i="18"/>
  <c r="Q154" i="18"/>
  <c r="Y153" i="18"/>
  <c r="Q201" i="18"/>
  <c r="Y200" i="18"/>
  <c r="Q248" i="18"/>
  <c r="Y247" i="18"/>
  <c r="Q291" i="18"/>
  <c r="Q42" i="18"/>
  <c r="Y41" i="18"/>
  <c r="Q86" i="18"/>
  <c r="Y85" i="18"/>
  <c r="Q133" i="18"/>
  <c r="Y132" i="18"/>
  <c r="Q180" i="18"/>
  <c r="Y179" i="18"/>
  <c r="Q227" i="18"/>
  <c r="Y226" i="18"/>
  <c r="Q258" i="18"/>
  <c r="Y241" i="18"/>
  <c r="Q272" i="18"/>
  <c r="Q144" i="18"/>
  <c r="I88" i="18"/>
  <c r="J88" i="18" s="1"/>
  <c r="I167" i="18"/>
  <c r="J167" i="18" s="1"/>
  <c r="I246" i="18"/>
  <c r="J246" i="18" s="1"/>
  <c r="I322" i="18"/>
  <c r="J322" i="18" s="1"/>
  <c r="I69" i="18"/>
  <c r="J69" i="18" s="1"/>
  <c r="I148" i="18"/>
  <c r="J148" i="18" s="1"/>
  <c r="I227" i="18"/>
  <c r="J227" i="18" s="1"/>
  <c r="I318" i="18"/>
  <c r="J318" i="18" s="1"/>
  <c r="I66" i="18"/>
  <c r="J66" i="18" s="1"/>
  <c r="I129" i="18"/>
  <c r="J129" i="18" s="1"/>
  <c r="I192" i="18"/>
  <c r="J192" i="18" s="1"/>
  <c r="I255" i="18"/>
  <c r="J255" i="18" s="1"/>
  <c r="I314" i="18"/>
  <c r="J314" i="18" s="1"/>
  <c r="I62" i="18"/>
  <c r="J62" i="18" s="1"/>
  <c r="I125" i="18"/>
  <c r="J125" i="18" s="1"/>
  <c r="I188" i="18"/>
  <c r="J188" i="18" s="1"/>
  <c r="I310" i="18"/>
  <c r="J310" i="18" s="1"/>
  <c r="I217" i="18"/>
  <c r="J217" i="18" s="1"/>
  <c r="Y238" i="18"/>
  <c r="Q70" i="18"/>
  <c r="Y225" i="18"/>
  <c r="I109" i="18"/>
  <c r="J109" i="18" s="1"/>
  <c r="H211" i="16"/>
  <c r="H151" i="16"/>
  <c r="H202" i="16"/>
  <c r="H250" i="16"/>
  <c r="H290" i="16"/>
  <c r="H231" i="16"/>
  <c r="H93" i="16"/>
  <c r="H226" i="16"/>
  <c r="H219" i="16"/>
  <c r="H198" i="16"/>
  <c r="H310" i="16"/>
  <c r="H142" i="16"/>
  <c r="H289" i="16"/>
  <c r="H287" i="16"/>
  <c r="H128" i="16"/>
  <c r="H161" i="16"/>
  <c r="H102" i="16"/>
  <c r="H208" i="16"/>
  <c r="H103" i="16"/>
  <c r="H84" i="16"/>
  <c r="H92" i="16"/>
  <c r="H206" i="16"/>
  <c r="H195" i="16"/>
  <c r="H77" i="16"/>
  <c r="H291" i="16"/>
  <c r="H176" i="16"/>
  <c r="H317" i="16"/>
  <c r="H190" i="16"/>
  <c r="H57" i="16"/>
  <c r="H265" i="16"/>
  <c r="H156" i="16"/>
  <c r="H263" i="16"/>
  <c r="H203" i="16"/>
  <c r="H193" i="16"/>
  <c r="H239" i="16"/>
  <c r="H56" i="16"/>
  <c r="H281" i="16"/>
  <c r="H39" i="16"/>
  <c r="H200" i="16"/>
  <c r="H150" i="16"/>
  <c r="H220" i="16"/>
  <c r="H114" i="16"/>
  <c r="H213" i="16"/>
  <c r="H268" i="16"/>
  <c r="H177" i="16"/>
  <c r="H167" i="16"/>
  <c r="H293" i="16"/>
  <c r="H159" i="16"/>
  <c r="H309" i="16"/>
  <c r="H95" i="16"/>
  <c r="H130" i="16"/>
  <c r="H46" i="16"/>
  <c r="H273" i="16"/>
  <c r="H301" i="16"/>
  <c r="H58" i="16"/>
  <c r="H253" i="16"/>
  <c r="H323" i="16"/>
  <c r="H295" i="16"/>
  <c r="H160" i="16"/>
  <c r="H71" i="16"/>
  <c r="H59" i="16"/>
  <c r="H111" i="16"/>
  <c r="H134" i="16"/>
  <c r="H241" i="16"/>
  <c r="H242" i="16"/>
  <c r="H73" i="16"/>
  <c r="H209" i="16"/>
  <c r="H132" i="16"/>
  <c r="H173" i="16"/>
  <c r="H254" i="16"/>
  <c r="H54" i="16"/>
  <c r="H288" i="16"/>
  <c r="H188" i="16"/>
  <c r="H148" i="16"/>
  <c r="H237" i="16"/>
  <c r="H169" i="16"/>
  <c r="H267" i="16"/>
  <c r="H70" i="16"/>
  <c r="H115" i="16"/>
  <c r="H189" i="16"/>
  <c r="H320" i="16"/>
  <c r="H140" i="16"/>
  <c r="H276" i="16"/>
  <c r="H215" i="16"/>
  <c r="H262" i="16"/>
  <c r="H107" i="16"/>
  <c r="H222" i="16"/>
  <c r="H227" i="16"/>
  <c r="H126" i="16"/>
  <c r="H297" i="16"/>
  <c r="H170" i="16"/>
  <c r="H55" i="16"/>
  <c r="H316" i="16"/>
  <c r="H223" i="16"/>
  <c r="H145" i="16"/>
  <c r="H185" i="16"/>
  <c r="H171" i="16"/>
  <c r="H137" i="16"/>
  <c r="H110" i="16"/>
  <c r="H118" i="16"/>
  <c r="H249" i="16"/>
  <c r="H259" i="16"/>
  <c r="H244" i="16"/>
  <c r="H204" i="16"/>
  <c r="H305" i="16"/>
  <c r="H280" i="16"/>
  <c r="H240" i="16"/>
  <c r="H260" i="16"/>
  <c r="H218" i="16"/>
  <c r="H147" i="16"/>
  <c r="H266" i="16"/>
  <c r="H283" i="16"/>
  <c r="H112" i="16"/>
  <c r="H229" i="16"/>
  <c r="H285" i="16"/>
  <c r="H238" i="16"/>
  <c r="H85" i="16"/>
  <c r="H217" i="16"/>
  <c r="H75" i="16"/>
  <c r="H178" i="16"/>
  <c r="H64" i="16"/>
  <c r="H165" i="16"/>
  <c r="H311" i="16"/>
  <c r="H61" i="16"/>
  <c r="H68" i="16"/>
  <c r="H87" i="16"/>
  <c r="H69" i="16"/>
  <c r="H62" i="16"/>
  <c r="H214" i="16"/>
  <c r="H184" i="16"/>
  <c r="H74" i="16"/>
  <c r="H322" i="16"/>
  <c r="H168" i="16"/>
  <c r="H138" i="16"/>
  <c r="H113" i="16"/>
  <c r="H125" i="16"/>
  <c r="H45" i="16"/>
  <c r="H258" i="16"/>
  <c r="H155" i="16"/>
  <c r="H37" i="16"/>
  <c r="H105" i="16"/>
  <c r="H264" i="16"/>
  <c r="H230" i="16"/>
  <c r="H269" i="16"/>
  <c r="H43" i="16"/>
  <c r="H97" i="16"/>
  <c r="H66" i="16"/>
  <c r="H100" i="16"/>
  <c r="H247" i="16"/>
  <c r="H255" i="16"/>
  <c r="H120" i="16"/>
  <c r="H303" i="16"/>
  <c r="H246" i="16"/>
  <c r="H243" i="16"/>
  <c r="H106" i="16"/>
  <c r="H224" i="16"/>
  <c r="H136" i="16"/>
  <c r="H325" i="16"/>
  <c r="H50" i="16"/>
  <c r="H205" i="16"/>
  <c r="H187" i="16"/>
  <c r="H216" i="16"/>
  <c r="H292" i="16"/>
  <c r="H232" i="16"/>
  <c r="H48" i="16"/>
  <c r="H119" i="16"/>
  <c r="H135" i="16"/>
  <c r="H146" i="16"/>
  <c r="H164" i="16"/>
  <c r="H124" i="16"/>
  <c r="H234" i="16"/>
  <c r="H252" i="16"/>
  <c r="H129" i="16"/>
  <c r="H166" i="16"/>
  <c r="H302" i="16"/>
  <c r="H83" i="16"/>
  <c r="H123" i="16"/>
  <c r="H270" i="16"/>
  <c r="H104" i="16"/>
  <c r="H63" i="16"/>
  <c r="H314" i="16"/>
  <c r="H60" i="16"/>
  <c r="H196" i="16"/>
  <c r="H172" i="16"/>
  <c r="H49" i="16"/>
  <c r="H108" i="16"/>
  <c r="H89" i="16"/>
  <c r="H186" i="16"/>
  <c r="H51" i="16"/>
  <c r="H91" i="16"/>
  <c r="H180" i="16"/>
  <c r="H72" i="16"/>
  <c r="H212" i="16"/>
  <c r="H233" i="16"/>
  <c r="H286" i="16"/>
  <c r="H40" i="16"/>
  <c r="H315" i="16"/>
  <c r="H38" i="16"/>
  <c r="H117" i="16"/>
  <c r="H162" i="16"/>
  <c r="H235" i="16"/>
  <c r="H99" i="16"/>
  <c r="H86" i="16"/>
  <c r="H143" i="16"/>
  <c r="H80" i="16"/>
  <c r="H90" i="16"/>
  <c r="H294" i="16"/>
  <c r="H256" i="16"/>
  <c r="H261" i="16"/>
  <c r="H248" i="16"/>
  <c r="H139" i="16"/>
  <c r="H175" i="16"/>
  <c r="H131" i="16"/>
  <c r="H158" i="16"/>
  <c r="H88" i="16"/>
  <c r="H183" i="16"/>
  <c r="H174" i="16"/>
  <c r="H245" i="16"/>
  <c r="H98" i="16"/>
  <c r="H274" i="16"/>
  <c r="H278" i="16"/>
  <c r="H67" i="16"/>
  <c r="H321" i="16"/>
  <c r="H236" i="16"/>
  <c r="H181" i="16"/>
  <c r="H116" i="16"/>
  <c r="H94" i="16"/>
  <c r="H121" i="16"/>
  <c r="H81" i="16"/>
  <c r="H199" i="16"/>
  <c r="H109" i="16"/>
  <c r="H318" i="16"/>
  <c r="H272" i="16"/>
  <c r="H157" i="16"/>
  <c r="H313" i="16"/>
  <c r="H35" i="16"/>
  <c r="H194" i="16"/>
  <c r="H306" i="16"/>
  <c r="H153" i="16"/>
  <c r="H127" i="16"/>
  <c r="H79" i="16"/>
  <c r="H201" i="16"/>
  <c r="H271" i="16"/>
  <c r="H76" i="16"/>
  <c r="H154" i="16"/>
  <c r="H300" i="16"/>
  <c r="H221" i="16"/>
  <c r="H251" i="16"/>
  <c r="H228" i="16"/>
  <c r="H308" i="16"/>
  <c r="H312" i="16"/>
  <c r="H284" i="16"/>
  <c r="H65" i="16"/>
  <c r="H163" i="16"/>
  <c r="H82" i="16"/>
  <c r="H52" i="16"/>
  <c r="H36" i="16"/>
  <c r="H197" i="16"/>
  <c r="H279" i="16"/>
  <c r="H299" i="16"/>
  <c r="H210" i="16"/>
  <c r="H296" i="16"/>
  <c r="H144" i="16"/>
  <c r="H191" i="16"/>
  <c r="H319" i="16"/>
  <c r="H141" i="16"/>
  <c r="H298" i="16"/>
  <c r="H41" i="16"/>
  <c r="H44" i="16"/>
  <c r="H275" i="16"/>
  <c r="H53" i="16"/>
  <c r="H101" i="16"/>
  <c r="H225" i="16"/>
  <c r="H257" i="16"/>
  <c r="H324" i="16"/>
  <c r="H96" i="16"/>
  <c r="H282" i="16"/>
  <c r="H133" i="16"/>
  <c r="H277" i="16"/>
  <c r="H192" i="16"/>
  <c r="H122" i="16"/>
  <c r="H152" i="16"/>
  <c r="H207" i="16"/>
  <c r="H307" i="16"/>
  <c r="H149" i="16"/>
  <c r="H304" i="16"/>
  <c r="H182" i="16"/>
  <c r="H42" i="16"/>
  <c r="H78" i="16"/>
  <c r="H47" i="16"/>
  <c r="H179" i="16"/>
  <c r="C73" i="16"/>
  <c r="C325" i="16"/>
  <c r="C89" i="16"/>
  <c r="C42" i="16"/>
  <c r="C294" i="16"/>
  <c r="C251" i="16"/>
  <c r="C105" i="16"/>
  <c r="C58" i="16"/>
  <c r="C310" i="16"/>
  <c r="C266" i="16"/>
  <c r="C236" i="16"/>
  <c r="C121" i="16"/>
  <c r="C74" i="16"/>
  <c r="C35" i="16"/>
  <c r="C252" i="16"/>
  <c r="C137" i="16"/>
  <c r="C153" i="16"/>
  <c r="C106" i="16"/>
  <c r="C59" i="16"/>
  <c r="C311" i="16"/>
  <c r="C169" i="16"/>
  <c r="C122" i="16"/>
  <c r="C75" i="16"/>
  <c r="C44" i="16"/>
  <c r="C296" i="16"/>
  <c r="C185" i="16"/>
  <c r="C138" i="16"/>
  <c r="C91" i="16"/>
  <c r="C60" i="16"/>
  <c r="C312" i="16"/>
  <c r="C201" i="16"/>
  <c r="C154" i="16"/>
  <c r="C107" i="16"/>
  <c r="C76" i="16"/>
  <c r="C45" i="16"/>
  <c r="C297" i="16"/>
  <c r="C217" i="16"/>
  <c r="C170" i="16"/>
  <c r="C123" i="16"/>
  <c r="C92" i="16"/>
  <c r="C61" i="16"/>
  <c r="C313" i="16"/>
  <c r="C249" i="16"/>
  <c r="C202" i="16"/>
  <c r="C155" i="16"/>
  <c r="C124" i="16"/>
  <c r="C264" i="16"/>
  <c r="C280" i="16"/>
  <c r="C41" i="16"/>
  <c r="C293" i="16"/>
  <c r="C234" i="16"/>
  <c r="C188" i="16"/>
  <c r="C268" i="16"/>
  <c r="C269" i="16"/>
  <c r="C239" i="16"/>
  <c r="C208" i="16"/>
  <c r="C177" i="16"/>
  <c r="C146" i="16"/>
  <c r="C115" i="16"/>
  <c r="C68" i="16"/>
  <c r="C320" i="16"/>
  <c r="C276" i="16"/>
  <c r="C230" i="16"/>
  <c r="C183" i="16"/>
  <c r="C136" i="16"/>
  <c r="C254" i="16"/>
  <c r="C250" i="16"/>
  <c r="C204" i="16"/>
  <c r="C282" i="16"/>
  <c r="C255" i="16"/>
  <c r="C224" i="16"/>
  <c r="C193" i="16"/>
  <c r="C162" i="16"/>
  <c r="C131" i="16"/>
  <c r="C84" i="16"/>
  <c r="C37" i="16"/>
  <c r="C289" i="16"/>
  <c r="C246" i="16"/>
  <c r="C199" i="16"/>
  <c r="C152" i="16"/>
  <c r="C304" i="16"/>
  <c r="C265" i="16"/>
  <c r="C220" i="16"/>
  <c r="C46" i="16"/>
  <c r="C298" i="16"/>
  <c r="C270" i="16"/>
  <c r="C240" i="16"/>
  <c r="C209" i="16"/>
  <c r="C178" i="16"/>
  <c r="C147" i="16"/>
  <c r="C100" i="16"/>
  <c r="C53" i="16"/>
  <c r="C305" i="16"/>
  <c r="C261" i="16"/>
  <c r="C215" i="16"/>
  <c r="C168" i="16"/>
  <c r="C218" i="16"/>
  <c r="C214" i="16"/>
  <c r="C281" i="16"/>
  <c r="C267" i="16"/>
  <c r="C62" i="16"/>
  <c r="C314" i="16"/>
  <c r="C283" i="16"/>
  <c r="C256" i="16"/>
  <c r="C225" i="16"/>
  <c r="C194" i="16"/>
  <c r="C163" i="16"/>
  <c r="C116" i="16"/>
  <c r="C69" i="16"/>
  <c r="C321" i="16"/>
  <c r="C277" i="16"/>
  <c r="C231" i="16"/>
  <c r="C184" i="16"/>
  <c r="C52" i="16"/>
  <c r="C43" i="16"/>
  <c r="C77" i="16"/>
  <c r="C78" i="16"/>
  <c r="C47" i="16"/>
  <c r="C299" i="16"/>
  <c r="C271" i="16"/>
  <c r="C241" i="16"/>
  <c r="C210" i="16"/>
  <c r="C179" i="16"/>
  <c r="C132" i="16"/>
  <c r="C85" i="16"/>
  <c r="C38" i="16"/>
  <c r="C290" i="16"/>
  <c r="C247" i="16"/>
  <c r="C200" i="16"/>
  <c r="C172" i="16"/>
  <c r="C139" i="16"/>
  <c r="C93" i="16"/>
  <c r="C94" i="16"/>
  <c r="C63" i="16"/>
  <c r="C315" i="16"/>
  <c r="C284" i="16"/>
  <c r="C257" i="16"/>
  <c r="C226" i="16"/>
  <c r="C195" i="16"/>
  <c r="C148" i="16"/>
  <c r="C101" i="16"/>
  <c r="C54" i="16"/>
  <c r="C306" i="16"/>
  <c r="C262" i="16"/>
  <c r="C216" i="16"/>
  <c r="C161" i="16"/>
  <c r="C171" i="16"/>
  <c r="C109" i="16"/>
  <c r="C110" i="16"/>
  <c r="C79" i="16"/>
  <c r="C48" i="16"/>
  <c r="C300" i="16"/>
  <c r="C272" i="16"/>
  <c r="C242" i="16"/>
  <c r="C211" i="16"/>
  <c r="C164" i="16"/>
  <c r="C117" i="16"/>
  <c r="C70" i="16"/>
  <c r="C322" i="16"/>
  <c r="C278" i="16"/>
  <c r="C232" i="16"/>
  <c r="C187" i="16"/>
  <c r="C125" i="16"/>
  <c r="C126" i="16"/>
  <c r="C95" i="16"/>
  <c r="C64" i="16"/>
  <c r="C316" i="16"/>
  <c r="C285" i="16"/>
  <c r="C258" i="16"/>
  <c r="C227" i="16"/>
  <c r="C180" i="16"/>
  <c r="C133" i="16"/>
  <c r="C86" i="16"/>
  <c r="C39" i="16"/>
  <c r="C291" i="16"/>
  <c r="C248" i="16"/>
  <c r="C99" i="16"/>
  <c r="C203" i="16"/>
  <c r="C141" i="16"/>
  <c r="C142" i="16"/>
  <c r="C111" i="16"/>
  <c r="C80" i="16"/>
  <c r="C49" i="16"/>
  <c r="C301" i="16"/>
  <c r="C273" i="16"/>
  <c r="C243" i="16"/>
  <c r="C196" i="16"/>
  <c r="C149" i="16"/>
  <c r="C102" i="16"/>
  <c r="C55" i="16"/>
  <c r="C307" i="16"/>
  <c r="C263" i="16"/>
  <c r="C219" i="16"/>
  <c r="C157" i="16"/>
  <c r="C158" i="16"/>
  <c r="C127" i="16"/>
  <c r="C96" i="16"/>
  <c r="C65" i="16"/>
  <c r="C317" i="16"/>
  <c r="C286" i="16"/>
  <c r="C259" i="16"/>
  <c r="C212" i="16"/>
  <c r="C165" i="16"/>
  <c r="C118" i="16"/>
  <c r="C71" i="16"/>
  <c r="C323" i="16"/>
  <c r="C279" i="16"/>
  <c r="C130" i="16"/>
  <c r="C57" i="16"/>
  <c r="C235" i="16"/>
  <c r="C173" i="16"/>
  <c r="C174" i="16"/>
  <c r="C143" i="16"/>
  <c r="C112" i="16"/>
  <c r="C81" i="16"/>
  <c r="C50" i="16"/>
  <c r="C302" i="16"/>
  <c r="C274" i="16"/>
  <c r="C228" i="16"/>
  <c r="C181" i="16"/>
  <c r="C134" i="16"/>
  <c r="C87" i="16"/>
  <c r="C40" i="16"/>
  <c r="C292" i="16"/>
  <c r="C233" i="16"/>
  <c r="C295" i="16"/>
  <c r="C189" i="16"/>
  <c r="C190" i="16"/>
  <c r="C159" i="16"/>
  <c r="C128" i="16"/>
  <c r="C97" i="16"/>
  <c r="C66" i="16"/>
  <c r="C318" i="16"/>
  <c r="C287" i="16"/>
  <c r="C244" i="16"/>
  <c r="C197" i="16"/>
  <c r="C150" i="16"/>
  <c r="C103" i="16"/>
  <c r="C56" i="16"/>
  <c r="C308" i="16"/>
  <c r="C167" i="16"/>
  <c r="C309" i="16"/>
  <c r="C108" i="16"/>
  <c r="C205" i="16"/>
  <c r="C206" i="16"/>
  <c r="C175" i="16"/>
  <c r="C144" i="16"/>
  <c r="C113" i="16"/>
  <c r="C82" i="16"/>
  <c r="C51" i="16"/>
  <c r="C303" i="16"/>
  <c r="C260" i="16"/>
  <c r="C213" i="16"/>
  <c r="C166" i="16"/>
  <c r="C119" i="16"/>
  <c r="C72" i="16"/>
  <c r="C324" i="16"/>
  <c r="C223" i="16"/>
  <c r="C90" i="16"/>
  <c r="C140" i="16"/>
  <c r="C221" i="16"/>
  <c r="C222" i="16"/>
  <c r="C191" i="16"/>
  <c r="C160" i="16"/>
  <c r="C129" i="16"/>
  <c r="C98" i="16"/>
  <c r="C67" i="16"/>
  <c r="C319" i="16"/>
  <c r="C275" i="16"/>
  <c r="C229" i="16"/>
  <c r="C182" i="16"/>
  <c r="C135" i="16"/>
  <c r="C88" i="16"/>
  <c r="C253" i="16"/>
  <c r="C120" i="16"/>
  <c r="C186" i="16"/>
  <c r="C156" i="16"/>
  <c r="C237" i="16"/>
  <c r="C238" i="16"/>
  <c r="C207" i="16"/>
  <c r="C176" i="16"/>
  <c r="C145" i="16"/>
  <c r="C114" i="16"/>
  <c r="C83" i="16"/>
  <c r="C36" i="16"/>
  <c r="C288" i="16"/>
  <c r="C245" i="16"/>
  <c r="C198" i="16"/>
  <c r="C151" i="16"/>
  <c r="C104" i="16"/>
  <c r="C192" i="16"/>
  <c r="G22" i="11"/>
  <c r="K21" i="11" s="1"/>
  <c r="C28" i="16"/>
  <c r="C8" i="16"/>
  <c r="C4" i="16"/>
  <c r="C26" i="16"/>
  <c r="C33" i="16"/>
  <c r="C31" i="16"/>
  <c r="C22" i="16"/>
  <c r="C15" i="16"/>
  <c r="C20" i="16"/>
  <c r="C13" i="16"/>
  <c r="C10" i="16"/>
  <c r="C6" i="16"/>
  <c r="C27" i="16"/>
  <c r="C25" i="16"/>
  <c r="C32" i="16"/>
  <c r="C11" i="16"/>
  <c r="C12" i="16"/>
  <c r="C30" i="16"/>
  <c r="C24" i="16"/>
  <c r="C17" i="16"/>
  <c r="C14" i="16"/>
  <c r="C29" i="16"/>
  <c r="C7" i="16"/>
  <c r="C5" i="16"/>
  <c r="C23" i="16"/>
  <c r="C9" i="16"/>
  <c r="C19" i="16"/>
  <c r="C16" i="16"/>
  <c r="C18" i="16"/>
  <c r="C21" i="16"/>
  <c r="H18" i="16"/>
  <c r="H26" i="16"/>
  <c r="H10" i="16"/>
  <c r="H4" i="16"/>
  <c r="H25" i="16"/>
  <c r="H9" i="16"/>
  <c r="H23" i="16"/>
  <c r="H7" i="16"/>
  <c r="H21" i="16"/>
  <c r="H5" i="16"/>
  <c r="H22" i="16"/>
  <c r="H20" i="16"/>
  <c r="H19" i="16"/>
  <c r="H17" i="16"/>
  <c r="H16" i="16"/>
  <c r="H15" i="16"/>
  <c r="H14" i="16"/>
  <c r="H13" i="16"/>
  <c r="H33" i="16"/>
  <c r="H12" i="16"/>
  <c r="H32" i="16"/>
  <c r="H11" i="16"/>
  <c r="H31" i="16"/>
  <c r="H8" i="16"/>
  <c r="H30" i="16"/>
  <c r="H6" i="16"/>
  <c r="H29" i="16"/>
  <c r="H28" i="16"/>
  <c r="H27" i="16"/>
  <c r="H24" i="16"/>
  <c r="O39" i="11"/>
  <c r="O41" i="11" s="1"/>
  <c r="K62" i="11"/>
  <c r="K64" i="11" s="1"/>
  <c r="K65" i="11" s="1"/>
  <c r="O59" i="11"/>
  <c r="O61" i="11" s="1"/>
  <c r="K70" i="11"/>
  <c r="K72" i="11" s="1"/>
  <c r="K73" i="11" s="1"/>
  <c r="K46" i="11"/>
  <c r="K48" i="11" s="1"/>
  <c r="O67" i="11"/>
  <c r="O69" i="11" s="1"/>
  <c r="O51" i="11"/>
  <c r="O53" i="11" s="1"/>
  <c r="K34" i="11"/>
  <c r="K37" i="11" s="1"/>
  <c r="K54" i="11"/>
  <c r="K56" i="11" s="1"/>
  <c r="K57" i="11" s="1"/>
  <c r="O28" i="11"/>
  <c r="O30" i="11" s="1"/>
  <c r="G54" i="11"/>
  <c r="G55" i="11" s="1"/>
  <c r="G15" i="11"/>
  <c r="G70" i="11"/>
  <c r="G71" i="11" s="1"/>
  <c r="G12" i="11"/>
  <c r="G26" i="11"/>
  <c r="G49" i="11"/>
  <c r="C18" i="4"/>
  <c r="AD11" i="18" l="1"/>
  <c r="AL11" i="18" s="1"/>
  <c r="AK11" i="18"/>
  <c r="AK8" i="18"/>
  <c r="AI7" i="18" a="1"/>
  <c r="AI7" i="18" s="1"/>
  <c r="AJ7" i="18" s="1"/>
  <c r="AE19" i="18"/>
  <c r="AM19" i="18" s="1"/>
  <c r="AG35" i="18" a="1"/>
  <c r="AG35" i="18" s="1"/>
  <c r="AH35" i="18" s="1" a="1"/>
  <c r="AH35" i="18" s="1"/>
  <c r="AF35" i="18"/>
  <c r="AN35" i="18" s="1"/>
  <c r="AI30" i="18" a="1"/>
  <c r="AI30" i="18" s="1"/>
  <c r="AJ30" i="18" s="1"/>
  <c r="AG26" i="18" a="1"/>
  <c r="AG26" i="18" s="1"/>
  <c r="AH26" i="18" s="1" a="1"/>
  <c r="AH26" i="18" s="1"/>
  <c r="AL6" i="18"/>
  <c r="AF10" i="18"/>
  <c r="AN10" i="18" s="1"/>
  <c r="AG17" i="18" a="1"/>
  <c r="AG17" i="18" s="1"/>
  <c r="AH17" i="18" s="1" a="1"/>
  <c r="AH17" i="18" s="1"/>
  <c r="AF9" i="18"/>
  <c r="AN9" i="18" s="1"/>
  <c r="AC23" i="18" a="1"/>
  <c r="AC23" i="18" s="1"/>
  <c r="AK32" i="18"/>
  <c r="AE20" i="18"/>
  <c r="AM20" i="18" s="1"/>
  <c r="AF12" i="18"/>
  <c r="AN12" i="18" s="1"/>
  <c r="AB27" i="18"/>
  <c r="AL27" i="18" s="1"/>
  <c r="AD26" i="18"/>
  <c r="AL26" i="18" s="1"/>
  <c r="AK26" i="18"/>
  <c r="AD33" i="18"/>
  <c r="AL33" i="18" s="1"/>
  <c r="AK33" i="18"/>
  <c r="AL15" i="18"/>
  <c r="AG10" i="18" a="1"/>
  <c r="AG10" i="18" s="1"/>
  <c r="AH10" i="18" s="1" a="1"/>
  <c r="AH10" i="18" s="1"/>
  <c r="AG25" i="18" a="1"/>
  <c r="AG25" i="18" s="1"/>
  <c r="AH25" i="18" s="1" a="1"/>
  <c r="AH25" i="18" s="1"/>
  <c r="K20" i="11"/>
  <c r="AF4" i="18"/>
  <c r="AN4" i="18" s="1"/>
  <c r="AI28" i="18" a="1"/>
  <c r="AI28" i="18" s="1"/>
  <c r="AJ28" i="18" s="1"/>
  <c r="AF7" i="18"/>
  <c r="AN7" i="18" s="1"/>
  <c r="AI29" i="18" a="1"/>
  <c r="AI29" i="18" s="1"/>
  <c r="AJ29" i="18" s="1"/>
  <c r="AE31" i="18"/>
  <c r="AM31" i="18" s="1"/>
  <c r="AK29" i="18"/>
  <c r="AF20" i="18"/>
  <c r="AN20" i="18" s="1"/>
  <c r="AF19" i="18"/>
  <c r="AN19" i="18" s="1"/>
  <c r="AC14" i="18" a="1"/>
  <c r="AC14" i="18" s="1"/>
  <c r="AG14" i="18" a="1"/>
  <c r="AG14" i="18" s="1"/>
  <c r="AH14" i="18" s="1" a="1"/>
  <c r="AH14" i="18" s="1"/>
  <c r="AG12" i="18" a="1"/>
  <c r="AG12" i="18" s="1"/>
  <c r="AH12" i="18" s="1" a="1"/>
  <c r="AH12" i="18" s="1"/>
  <c r="AC12" i="18" a="1"/>
  <c r="AC12" i="18" s="1"/>
  <c r="AE22" i="18"/>
  <c r="AM22" i="18" s="1"/>
  <c r="AI22" i="18" a="1"/>
  <c r="AI22" i="18" s="1"/>
  <c r="AJ22" i="18" s="1"/>
  <c r="AB19" i="18"/>
  <c r="AL19" i="18" s="1"/>
  <c r="AK19" i="18"/>
  <c r="AC30" i="18" a="1"/>
  <c r="AC30" i="18" s="1"/>
  <c r="AG30" i="18" a="1"/>
  <c r="AG30" i="18" s="1"/>
  <c r="AH30" i="18" s="1" a="1"/>
  <c r="AH30" i="18" s="1"/>
  <c r="AI17" i="18" a="1"/>
  <c r="AI17" i="18" s="1"/>
  <c r="AJ17" i="18" s="1"/>
  <c r="AE17" i="18"/>
  <c r="AM17" i="18" s="1"/>
  <c r="AC7" i="18" a="1"/>
  <c r="AC7" i="18" s="1"/>
  <c r="AG7" i="18" a="1"/>
  <c r="AG7" i="18" s="1"/>
  <c r="AH7" i="18" s="1" a="1"/>
  <c r="AH7" i="18" s="1"/>
  <c r="AK16" i="18"/>
  <c r="AC31" i="18" a="1"/>
  <c r="AC31" i="18" s="1"/>
  <c r="AG31" i="18" a="1"/>
  <c r="AG31" i="18" s="1"/>
  <c r="AH31" i="18" s="1" a="1"/>
  <c r="AH31" i="18" s="1"/>
  <c r="AC28" i="18" a="1"/>
  <c r="AC28" i="18" s="1"/>
  <c r="AG28" i="18" a="1"/>
  <c r="AG28" i="18" s="1"/>
  <c r="AH28" i="18" s="1" a="1"/>
  <c r="AH28" i="18" s="1"/>
  <c r="AI11" i="18" a="1"/>
  <c r="AI11" i="18" s="1"/>
  <c r="AJ11" i="18" s="1"/>
  <c r="AE11" i="18"/>
  <c r="AM11" i="18" s="1"/>
  <c r="AF27" i="18"/>
  <c r="AN27" i="18" s="1"/>
  <c r="AB18" i="18"/>
  <c r="AL18" i="18" s="1"/>
  <c r="AL16" i="18"/>
  <c r="AE23" i="18"/>
  <c r="AM23" i="18" s="1"/>
  <c r="AI23" i="18" a="1"/>
  <c r="AI23" i="18" s="1"/>
  <c r="AJ23" i="18" s="1"/>
  <c r="AE5" i="18"/>
  <c r="AF5" i="18" s="1"/>
  <c r="AN5" i="18" s="1"/>
  <c r="AI5" i="18" a="1"/>
  <c r="AI5" i="18" s="1"/>
  <c r="AJ5" i="18" s="1"/>
  <c r="AI36" i="18" a="1"/>
  <c r="AI36" i="18" s="1"/>
  <c r="AJ36" i="18" s="1"/>
  <c r="AE36" i="18"/>
  <c r="AM36" i="18" s="1"/>
  <c r="AE6" i="18"/>
  <c r="AM6" i="18" s="1"/>
  <c r="AI6" i="18" a="1"/>
  <c r="AI6" i="18" s="1"/>
  <c r="AJ6" i="18" s="1"/>
  <c r="AF29" i="18"/>
  <c r="AN29" i="18" s="1"/>
  <c r="AI34" i="18" a="1"/>
  <c r="AI34" i="18" s="1"/>
  <c r="AJ34" i="18" s="1"/>
  <c r="AE34" i="18"/>
  <c r="AM34" i="18" s="1"/>
  <c r="O21" i="11"/>
  <c r="AI26" i="18" a="1"/>
  <c r="AI26" i="18" s="1"/>
  <c r="AJ26" i="18" s="1"/>
  <c r="AE26" i="18"/>
  <c r="AI8" i="18" a="1"/>
  <c r="AI8" i="18" s="1"/>
  <c r="AJ8" i="18" s="1"/>
  <c r="AE8" i="18"/>
  <c r="AM8" i="18" s="1"/>
  <c r="AB35" i="18"/>
  <c r="AL35" i="18" s="1"/>
  <c r="AI21" i="18" a="1"/>
  <c r="AI21" i="18" s="1"/>
  <c r="AJ21" i="18" s="1"/>
  <c r="AE21" i="18"/>
  <c r="AM21" i="18" s="1"/>
  <c r="AK13" i="18"/>
  <c r="AG34" i="18" a="1"/>
  <c r="AG34" i="18" s="1"/>
  <c r="AH34" i="18" s="1" a="1"/>
  <c r="AH34" i="18" s="1"/>
  <c r="AE14" i="18"/>
  <c r="AM14" i="18" s="1"/>
  <c r="AI14" i="18" a="1"/>
  <c r="AI14" i="18" s="1"/>
  <c r="AJ14" i="18" s="1"/>
  <c r="AB10" i="18"/>
  <c r="AL10" i="18" s="1"/>
  <c r="AK10" i="18"/>
  <c r="AC22" i="18" a="1"/>
  <c r="AC22" i="18" s="1"/>
  <c r="AK22" i="18" s="1"/>
  <c r="AI25" i="18" a="1"/>
  <c r="AI25" i="18" s="1"/>
  <c r="AJ25" i="18" s="1"/>
  <c r="AE25" i="18"/>
  <c r="AM25" i="18" s="1"/>
  <c r="AF25" i="18"/>
  <c r="AN25" i="18" s="1"/>
  <c r="AK21" i="18"/>
  <c r="AS4" i="18"/>
  <c r="AF4" i="19" s="1"/>
  <c r="AG36" i="18" a="1"/>
  <c r="AG36" i="18" s="1"/>
  <c r="AH36" i="18" s="1" a="1"/>
  <c r="AH36" i="18" s="1"/>
  <c r="AC36" i="18" a="1"/>
  <c r="AC36" i="18" s="1"/>
  <c r="AE16" i="18"/>
  <c r="AM16" i="18" s="1"/>
  <c r="AI16" i="18" a="1"/>
  <c r="AI16" i="18" s="1"/>
  <c r="AJ16" i="18" s="1"/>
  <c r="AB34" i="18"/>
  <c r="AL34" i="18" s="1"/>
  <c r="AK34" i="18"/>
  <c r="AF31" i="18"/>
  <c r="AN31" i="18" s="1"/>
  <c r="F17" i="16"/>
  <c r="F6" i="16"/>
  <c r="F30" i="16"/>
  <c r="F22" i="16"/>
  <c r="F11" i="16"/>
  <c r="F24" i="16"/>
  <c r="F27" i="16"/>
  <c r="F19" i="16"/>
  <c r="F14" i="16"/>
  <c r="F13" i="16"/>
  <c r="F5" i="16"/>
  <c r="F29" i="16"/>
  <c r="F21" i="16"/>
  <c r="F16" i="16"/>
  <c r="F18" i="16"/>
  <c r="F32" i="16"/>
  <c r="F33" i="16"/>
  <c r="F10" i="16"/>
  <c r="F15" i="16"/>
  <c r="F26" i="16"/>
  <c r="F31" i="16"/>
  <c r="F20" i="16"/>
  <c r="F12" i="16"/>
  <c r="F7" i="16"/>
  <c r="F28" i="16"/>
  <c r="F23" i="16"/>
  <c r="F8" i="16"/>
  <c r="F4" i="16"/>
  <c r="F25" i="16"/>
  <c r="F9" i="16"/>
  <c r="F164" i="16"/>
  <c r="F211" i="16"/>
  <c r="F258" i="16"/>
  <c r="F285" i="16"/>
  <c r="F316" i="16"/>
  <c r="F64" i="16"/>
  <c r="F95" i="16"/>
  <c r="F126" i="16"/>
  <c r="F141" i="16"/>
  <c r="F156" i="16"/>
  <c r="F171" i="16"/>
  <c r="F202" i="16"/>
  <c r="F249" i="16"/>
  <c r="F292" i="16"/>
  <c r="F40" i="16"/>
  <c r="F87" i="16"/>
  <c r="F134" i="16"/>
  <c r="F101" i="16"/>
  <c r="F147" i="16"/>
  <c r="F278" i="16"/>
  <c r="F80" i="16"/>
  <c r="F218" i="16"/>
  <c r="F148" i="16"/>
  <c r="F195" i="16"/>
  <c r="F242" i="16"/>
  <c r="F272" i="16"/>
  <c r="F300" i="16"/>
  <c r="F48" i="16"/>
  <c r="F79" i="16"/>
  <c r="F110" i="16"/>
  <c r="F125" i="16"/>
  <c r="F140" i="16"/>
  <c r="F155" i="16"/>
  <c r="F186" i="16"/>
  <c r="F233" i="16"/>
  <c r="F279" i="16"/>
  <c r="F323" i="16"/>
  <c r="F71" i="16"/>
  <c r="F118" i="16"/>
  <c r="F85" i="16"/>
  <c r="F194" i="16"/>
  <c r="F62" i="16"/>
  <c r="F77" i="16"/>
  <c r="F92" i="16"/>
  <c r="F138" i="16"/>
  <c r="F185" i="16"/>
  <c r="F322" i="16"/>
  <c r="F49" i="16"/>
  <c r="F172" i="16"/>
  <c r="F117" i="16"/>
  <c r="F132" i="16"/>
  <c r="F179" i="16"/>
  <c r="F226" i="16"/>
  <c r="F257" i="16"/>
  <c r="F284" i="16"/>
  <c r="F315" i="16"/>
  <c r="F63" i="16"/>
  <c r="F94" i="16"/>
  <c r="F109" i="16"/>
  <c r="F124" i="16"/>
  <c r="F139" i="16"/>
  <c r="F170" i="16"/>
  <c r="F217" i="16"/>
  <c r="F263" i="16"/>
  <c r="F307" i="16"/>
  <c r="F55" i="16"/>
  <c r="F102" i="16"/>
  <c r="F276" i="16"/>
  <c r="F225" i="16"/>
  <c r="F256" i="16"/>
  <c r="F283" i="16"/>
  <c r="F314" i="16"/>
  <c r="F107" i="16"/>
  <c r="F232" i="16"/>
  <c r="F70" i="16"/>
  <c r="F116" i="16"/>
  <c r="F163" i="16"/>
  <c r="F210" i="16"/>
  <c r="F241" i="16"/>
  <c r="F271" i="16"/>
  <c r="F299" i="16"/>
  <c r="F47" i="16"/>
  <c r="F78" i="16"/>
  <c r="F93" i="16"/>
  <c r="F108" i="16"/>
  <c r="F123" i="16"/>
  <c r="F154" i="16"/>
  <c r="F201" i="16"/>
  <c r="F248" i="16"/>
  <c r="F291" i="16"/>
  <c r="F39" i="16"/>
  <c r="F86" i="16"/>
  <c r="F321" i="16"/>
  <c r="F100" i="16"/>
  <c r="F69" i="16"/>
  <c r="F187" i="16"/>
  <c r="F84" i="16"/>
  <c r="F131" i="16"/>
  <c r="F178" i="16"/>
  <c r="F209" i="16"/>
  <c r="F240" i="16"/>
  <c r="F270" i="16"/>
  <c r="F298" i="16"/>
  <c r="F46" i="16"/>
  <c r="F61" i="16"/>
  <c r="F76" i="16"/>
  <c r="F91" i="16"/>
  <c r="F122" i="16"/>
  <c r="F169" i="16"/>
  <c r="F216" i="16"/>
  <c r="F262" i="16"/>
  <c r="F306" i="16"/>
  <c r="F54" i="16"/>
  <c r="F305" i="16"/>
  <c r="F97" i="16"/>
  <c r="F320" i="16"/>
  <c r="F68" i="16"/>
  <c r="F115" i="16"/>
  <c r="F162" i="16"/>
  <c r="F193" i="16"/>
  <c r="F224" i="16"/>
  <c r="F255" i="16"/>
  <c r="F282" i="16"/>
  <c r="F313" i="16"/>
  <c r="F45" i="16"/>
  <c r="F60" i="16"/>
  <c r="F75" i="16"/>
  <c r="F106" i="16"/>
  <c r="F153" i="16"/>
  <c r="F200" i="16"/>
  <c r="F247" i="16"/>
  <c r="F290" i="16"/>
  <c r="F38" i="16"/>
  <c r="F53" i="16"/>
  <c r="F228" i="16"/>
  <c r="F318" i="16"/>
  <c r="F128" i="16"/>
  <c r="F159" i="16"/>
  <c r="F205" i="16"/>
  <c r="F235" i="16"/>
  <c r="F309" i="16"/>
  <c r="F57" i="16"/>
  <c r="F151" i="16"/>
  <c r="F198" i="16"/>
  <c r="F165" i="16"/>
  <c r="F188" i="16"/>
  <c r="F324" i="16"/>
  <c r="F103" i="16"/>
  <c r="F304" i="16"/>
  <c r="F52" i="16"/>
  <c r="F99" i="16"/>
  <c r="F146" i="16"/>
  <c r="F177" i="16"/>
  <c r="F208" i="16"/>
  <c r="F239" i="16"/>
  <c r="F269" i="16"/>
  <c r="F297" i="16"/>
  <c r="F312" i="16"/>
  <c r="F44" i="16"/>
  <c r="F59" i="16"/>
  <c r="F90" i="16"/>
  <c r="F137" i="16"/>
  <c r="F184" i="16"/>
  <c r="F231" i="16"/>
  <c r="F277" i="16"/>
  <c r="F245" i="16"/>
  <c r="F289" i="16"/>
  <c r="F220" i="16"/>
  <c r="F288" i="16"/>
  <c r="F36" i="16"/>
  <c r="F83" i="16"/>
  <c r="F130" i="16"/>
  <c r="F161" i="16"/>
  <c r="F192" i="16"/>
  <c r="F223" i="16"/>
  <c r="F254" i="16"/>
  <c r="F268" i="16"/>
  <c r="F296" i="16"/>
  <c r="F311" i="16"/>
  <c r="F43" i="16"/>
  <c r="F74" i="16"/>
  <c r="F121" i="16"/>
  <c r="F168" i="16"/>
  <c r="F215" i="16"/>
  <c r="F261" i="16"/>
  <c r="F229" i="16"/>
  <c r="F37" i="16"/>
  <c r="F190" i="16"/>
  <c r="F104" i="16"/>
  <c r="F280" i="16"/>
  <c r="F166" i="16"/>
  <c r="F301" i="16"/>
  <c r="F111" i="16"/>
  <c r="F308" i="16"/>
  <c r="F275" i="16"/>
  <c r="F319" i="16"/>
  <c r="F67" i="16"/>
  <c r="F114" i="16"/>
  <c r="F145" i="16"/>
  <c r="F176" i="16"/>
  <c r="F207" i="16"/>
  <c r="F238" i="16"/>
  <c r="F253" i="16"/>
  <c r="F267" i="16"/>
  <c r="F295" i="16"/>
  <c r="F310" i="16"/>
  <c r="F58" i="16"/>
  <c r="F105" i="16"/>
  <c r="F152" i="16"/>
  <c r="F199" i="16"/>
  <c r="F246" i="16"/>
  <c r="F213" i="16"/>
  <c r="F274" i="16"/>
  <c r="F264" i="16"/>
  <c r="F260" i="16"/>
  <c r="F303" i="16"/>
  <c r="F51" i="16"/>
  <c r="F98" i="16"/>
  <c r="F129" i="16"/>
  <c r="F160" i="16"/>
  <c r="F191" i="16"/>
  <c r="F222" i="16"/>
  <c r="F237" i="16"/>
  <c r="F252" i="16"/>
  <c r="F266" i="16"/>
  <c r="F294" i="16"/>
  <c r="F42" i="16"/>
  <c r="F89" i="16"/>
  <c r="F136" i="16"/>
  <c r="F183" i="16"/>
  <c r="F230" i="16"/>
  <c r="F197" i="16"/>
  <c r="F66" i="16"/>
  <c r="F180" i="16"/>
  <c r="F157" i="16"/>
  <c r="F244" i="16"/>
  <c r="F287" i="16"/>
  <c r="F35" i="16"/>
  <c r="F82" i="16"/>
  <c r="F113" i="16"/>
  <c r="F144" i="16"/>
  <c r="F175" i="16"/>
  <c r="F206" i="16"/>
  <c r="F221" i="16"/>
  <c r="F236" i="16"/>
  <c r="F251" i="16"/>
  <c r="F281" i="16"/>
  <c r="F325" i="16"/>
  <c r="F73" i="16"/>
  <c r="F120" i="16"/>
  <c r="F167" i="16"/>
  <c r="F214" i="16"/>
  <c r="F181" i="16"/>
  <c r="F265" i="16"/>
  <c r="F234" i="16"/>
  <c r="F119" i="16"/>
  <c r="F227" i="16"/>
  <c r="F56" i="16"/>
  <c r="F212" i="16"/>
  <c r="F259" i="16"/>
  <c r="F302" i="16"/>
  <c r="F50" i="16"/>
  <c r="F81" i="16"/>
  <c r="F112" i="16"/>
  <c r="F143" i="16"/>
  <c r="F174" i="16"/>
  <c r="F189" i="16"/>
  <c r="F204" i="16"/>
  <c r="F219" i="16"/>
  <c r="F250" i="16"/>
  <c r="F293" i="16"/>
  <c r="F41" i="16"/>
  <c r="F88" i="16"/>
  <c r="F135" i="16"/>
  <c r="F182" i="16"/>
  <c r="F149" i="16"/>
  <c r="F196" i="16"/>
  <c r="F243" i="16"/>
  <c r="F286" i="16"/>
  <c r="F317" i="16"/>
  <c r="F65" i="16"/>
  <c r="F96" i="16"/>
  <c r="F127" i="16"/>
  <c r="F158" i="16"/>
  <c r="F173" i="16"/>
  <c r="F203" i="16"/>
  <c r="F72" i="16"/>
  <c r="F133" i="16"/>
  <c r="F273" i="16"/>
  <c r="F142" i="16"/>
  <c r="F150" i="16"/>
  <c r="AK15" i="18"/>
  <c r="AE13" i="18"/>
  <c r="AM13" i="18" s="1"/>
  <c r="AI13" i="18" a="1"/>
  <c r="AI13" i="18" s="1"/>
  <c r="AJ13" i="18" s="1"/>
  <c r="AI18" i="18" a="1"/>
  <c r="AI18" i="18" s="1"/>
  <c r="AJ18" i="18" s="1"/>
  <c r="AE18" i="18"/>
  <c r="AM18" i="18" s="1"/>
  <c r="AC24" i="18" a="1"/>
  <c r="AC24" i="18" s="1"/>
  <c r="AG24" i="18" a="1"/>
  <c r="AG24" i="18" s="1"/>
  <c r="AH24" i="18" s="1" a="1"/>
  <c r="AH24" i="18" s="1"/>
  <c r="O20" i="11"/>
  <c r="AG15" i="18" a="1"/>
  <c r="AG15" i="18" s="1"/>
  <c r="AH15" i="18" s="1" a="1"/>
  <c r="AH15" i="18" s="1"/>
  <c r="AI15" i="18" a="1"/>
  <c r="AI15" i="18" s="1"/>
  <c r="AJ15" i="18" s="1"/>
  <c r="AE15" i="18"/>
  <c r="AM15" i="18" s="1"/>
  <c r="AB25" i="18"/>
  <c r="AL25" i="18" s="1"/>
  <c r="AK25" i="18"/>
  <c r="AE32" i="18"/>
  <c r="AM32" i="18" s="1"/>
  <c r="AI32" i="18" a="1"/>
  <c r="AI32" i="18" s="1"/>
  <c r="AJ32" i="18" s="1"/>
  <c r="AB32" i="18"/>
  <c r="AL32" i="18" s="1"/>
  <c r="AI33" i="18" a="1"/>
  <c r="AI33" i="18" s="1"/>
  <c r="AJ33" i="18" s="1"/>
  <c r="AE33" i="18"/>
  <c r="AM33" i="18" s="1"/>
  <c r="AK6" i="18"/>
  <c r="AG20" i="18" a="1"/>
  <c r="AG20" i="18" s="1"/>
  <c r="AH20" i="18" s="1" a="1"/>
  <c r="AH20" i="18" s="1"/>
  <c r="AC20" i="18" a="1"/>
  <c r="AC20" i="18" s="1"/>
  <c r="AC9" i="18" a="1"/>
  <c r="AC9" i="18" s="1"/>
  <c r="AK9" i="18" s="1"/>
  <c r="AG32" i="18" a="1"/>
  <c r="AG32" i="18" s="1"/>
  <c r="AH32" i="18" s="1" a="1"/>
  <c r="AH32" i="18" s="1"/>
  <c r="AE24" i="18"/>
  <c r="AM24" i="18" s="1"/>
  <c r="AI24" i="18" a="1"/>
  <c r="AI24" i="18" s="1"/>
  <c r="AJ24" i="18" s="1"/>
  <c r="AF30" i="18"/>
  <c r="AN30" i="18" s="1"/>
  <c r="AF28" i="18"/>
  <c r="AN28" i="18" s="1"/>
  <c r="AM28" i="18"/>
  <c r="AA114" i="18"/>
  <c r="AO114" i="18"/>
  <c r="AP114" i="18" s="1"/>
  <c r="AA111" i="18"/>
  <c r="AO111" i="18"/>
  <c r="AP111" i="18" s="1"/>
  <c r="AA96" i="18"/>
  <c r="AO96" i="18"/>
  <c r="AP96" i="18" s="1"/>
  <c r="AA73" i="18"/>
  <c r="AB73" i="18" s="1"/>
  <c r="AO73" i="18"/>
  <c r="AP73" i="18" s="1"/>
  <c r="AA129" i="18"/>
  <c r="AO129" i="18"/>
  <c r="AP129" i="18" s="1"/>
  <c r="AA120" i="18"/>
  <c r="AO120" i="18"/>
  <c r="AP120" i="18" s="1"/>
  <c r="AA231" i="18"/>
  <c r="AB231" i="18" s="1"/>
  <c r="AO231" i="18"/>
  <c r="AP231" i="18" s="1"/>
  <c r="AA209" i="18"/>
  <c r="AO209" i="18"/>
  <c r="AP209" i="18" s="1"/>
  <c r="AA284" i="18"/>
  <c r="AB284" i="18" s="1"/>
  <c r="AO284" i="18"/>
  <c r="AP284" i="18" s="1"/>
  <c r="AA321" i="18"/>
  <c r="AO321" i="18"/>
  <c r="AP321" i="18" s="1"/>
  <c r="AA151" i="18"/>
  <c r="AB151" i="18" s="1"/>
  <c r="AO151" i="18"/>
  <c r="AP151" i="18" s="1"/>
  <c r="AA118" i="18"/>
  <c r="AB118" i="18" s="1"/>
  <c r="AO118" i="18"/>
  <c r="AP118" i="18" s="1"/>
  <c r="AA268" i="18"/>
  <c r="AB268" i="18" s="1"/>
  <c r="AO268" i="18"/>
  <c r="AP268" i="18" s="1"/>
  <c r="AA245" i="18"/>
  <c r="AO245" i="18"/>
  <c r="AP245" i="18" s="1"/>
  <c r="AA137" i="18"/>
  <c r="AB137" i="18" s="1"/>
  <c r="AO137" i="18"/>
  <c r="AP137" i="18" s="1"/>
  <c r="AA92" i="18"/>
  <c r="AO92" i="18"/>
  <c r="AP92" i="18" s="1"/>
  <c r="AA273" i="18"/>
  <c r="AO273" i="18"/>
  <c r="AP273" i="18" s="1"/>
  <c r="AA40" i="18"/>
  <c r="AO40" i="18"/>
  <c r="AP40" i="18" s="1"/>
  <c r="AA320" i="18"/>
  <c r="AO320" i="18"/>
  <c r="AP320" i="18" s="1"/>
  <c r="AA66" i="18"/>
  <c r="AO66" i="18"/>
  <c r="AP66" i="18" s="1"/>
  <c r="AA243" i="18"/>
  <c r="AB243" i="18" s="1"/>
  <c r="AO243" i="18"/>
  <c r="AP243" i="18" s="1"/>
  <c r="AA220" i="18"/>
  <c r="AO220" i="18"/>
  <c r="AP220" i="18" s="1"/>
  <c r="AA274" i="18"/>
  <c r="AB274" i="18" s="1"/>
  <c r="AO274" i="18"/>
  <c r="AP274" i="18" s="1"/>
  <c r="AA152" i="18"/>
  <c r="AO152" i="18"/>
  <c r="AP152" i="18" s="1"/>
  <c r="AA146" i="18"/>
  <c r="AB146" i="18" s="1"/>
  <c r="AO146" i="18"/>
  <c r="AP146" i="18" s="1"/>
  <c r="AA315" i="18"/>
  <c r="AB315" i="18" s="1"/>
  <c r="AO315" i="18"/>
  <c r="AP315" i="18" s="1"/>
  <c r="AA225" i="18"/>
  <c r="AB225" i="18" s="1"/>
  <c r="AO225" i="18"/>
  <c r="AP225" i="18" s="1"/>
  <c r="AA264" i="18"/>
  <c r="AB264" i="18" s="1"/>
  <c r="AO264" i="18"/>
  <c r="AP264" i="18" s="1"/>
  <c r="AA300" i="18"/>
  <c r="AO300" i="18"/>
  <c r="AP300" i="18" s="1"/>
  <c r="AA42" i="18"/>
  <c r="AB42" i="18" s="1"/>
  <c r="AO42" i="18"/>
  <c r="AP42" i="18" s="1"/>
  <c r="AA206" i="18"/>
  <c r="AO206" i="18"/>
  <c r="AP206" i="18" s="1"/>
  <c r="AA285" i="18"/>
  <c r="AO285" i="18"/>
  <c r="AP285" i="18" s="1"/>
  <c r="AA106" i="18"/>
  <c r="AO106" i="18"/>
  <c r="AP106" i="18" s="1"/>
  <c r="AA166" i="18"/>
  <c r="AB166" i="18" s="1"/>
  <c r="AO166" i="18"/>
  <c r="AP166" i="18" s="1"/>
  <c r="AA171" i="18"/>
  <c r="AO171" i="18"/>
  <c r="AP171" i="18" s="1"/>
  <c r="AA234" i="18"/>
  <c r="AO234" i="18"/>
  <c r="AP234" i="18" s="1"/>
  <c r="AA179" i="18"/>
  <c r="AB179" i="18" s="1"/>
  <c r="AO179" i="18"/>
  <c r="AP179" i="18" s="1"/>
  <c r="AA185" i="18"/>
  <c r="AO185" i="18"/>
  <c r="AP185" i="18" s="1"/>
  <c r="AA289" i="18"/>
  <c r="AB289" i="18" s="1"/>
  <c r="AO289" i="18"/>
  <c r="AP289" i="18" s="1"/>
  <c r="AA84" i="18"/>
  <c r="AO84" i="18"/>
  <c r="AP84" i="18" s="1"/>
  <c r="AA318" i="18"/>
  <c r="AB318" i="18" s="1"/>
  <c r="AO318" i="18"/>
  <c r="AP318" i="18" s="1"/>
  <c r="AA58" i="18"/>
  <c r="AB58" i="18" s="1"/>
  <c r="AO58" i="18"/>
  <c r="AP58" i="18" s="1"/>
  <c r="AA164" i="18"/>
  <c r="AB164" i="18" s="1"/>
  <c r="AO164" i="18"/>
  <c r="AP164" i="18" s="1"/>
  <c r="AA157" i="18"/>
  <c r="AO157" i="18"/>
  <c r="AP157" i="18" s="1"/>
  <c r="AA196" i="18"/>
  <c r="AB196" i="18" s="1"/>
  <c r="AO196" i="18"/>
  <c r="AP196" i="18" s="1"/>
  <c r="AA52" i="18"/>
  <c r="AO52" i="18"/>
  <c r="AP52" i="18" s="1"/>
  <c r="AA130" i="18"/>
  <c r="AO130" i="18"/>
  <c r="AP130" i="18" s="1"/>
  <c r="AA162" i="18"/>
  <c r="AO162" i="18"/>
  <c r="AP162" i="18" s="1"/>
  <c r="AA189" i="18"/>
  <c r="AB189" i="18" s="1"/>
  <c r="AO189" i="18"/>
  <c r="AP189" i="18" s="1"/>
  <c r="AA241" i="18"/>
  <c r="AO241" i="18"/>
  <c r="AP241" i="18" s="1"/>
  <c r="AA291" i="18"/>
  <c r="AO291" i="18"/>
  <c r="AP291" i="18" s="1"/>
  <c r="AA143" i="18"/>
  <c r="AB143" i="18" s="1"/>
  <c r="AO143" i="18"/>
  <c r="AP143" i="18" s="1"/>
  <c r="AA239" i="18"/>
  <c r="AO239" i="18"/>
  <c r="AP239" i="18" s="1"/>
  <c r="AA226" i="18"/>
  <c r="AB226" i="18" s="1"/>
  <c r="AO226" i="18"/>
  <c r="AP226" i="18" s="1"/>
  <c r="AA312" i="18"/>
  <c r="AO312" i="18"/>
  <c r="AP312" i="18" s="1"/>
  <c r="AA87" i="18"/>
  <c r="AB87" i="18" s="1"/>
  <c r="AO87" i="18"/>
  <c r="AP87" i="18" s="1"/>
  <c r="AA48" i="18"/>
  <c r="AB48" i="18" s="1"/>
  <c r="AO48" i="18"/>
  <c r="AP48" i="18" s="1"/>
  <c r="AA182" i="18"/>
  <c r="AB182" i="18" s="1"/>
  <c r="AO182" i="18"/>
  <c r="AP182" i="18" s="1"/>
  <c r="AA153" i="18"/>
  <c r="AB153" i="18" s="1"/>
  <c r="AO153" i="18"/>
  <c r="AP153" i="18" s="1"/>
  <c r="AA100" i="18"/>
  <c r="AO100" i="18"/>
  <c r="AP100" i="18" s="1"/>
  <c r="AA121" i="18"/>
  <c r="AB121" i="18" s="1"/>
  <c r="AO121" i="18"/>
  <c r="AP121" i="18" s="1"/>
  <c r="AA214" i="18"/>
  <c r="AO214" i="18"/>
  <c r="AP214" i="18" s="1"/>
  <c r="AA227" i="18"/>
  <c r="AO227" i="18"/>
  <c r="AP227" i="18" s="1"/>
  <c r="AA251" i="18"/>
  <c r="AB251" i="18" s="1"/>
  <c r="AO251" i="18"/>
  <c r="AP251" i="18" s="1"/>
  <c r="AA85" i="18"/>
  <c r="AO85" i="18"/>
  <c r="AP85" i="18" s="1"/>
  <c r="AA94" i="18"/>
  <c r="AO94" i="18"/>
  <c r="AP94" i="18" s="1"/>
  <c r="AA117" i="18"/>
  <c r="AB117" i="18" s="1"/>
  <c r="AO117" i="18"/>
  <c r="AP117" i="18" s="1"/>
  <c r="AA303" i="18"/>
  <c r="AO303" i="18"/>
  <c r="AP303" i="18" s="1"/>
  <c r="AA306" i="18"/>
  <c r="AB306" i="18" s="1"/>
  <c r="AO306" i="18"/>
  <c r="AP306" i="18" s="1"/>
  <c r="AA67" i="18"/>
  <c r="AO67" i="18"/>
  <c r="AP67" i="18" s="1"/>
  <c r="AA287" i="18"/>
  <c r="AB287" i="18" s="1"/>
  <c r="AO287" i="18"/>
  <c r="AP287" i="18" s="1"/>
  <c r="AA178" i="18"/>
  <c r="AB178" i="18" s="1"/>
  <c r="AO178" i="18"/>
  <c r="AP178" i="18" s="1"/>
  <c r="AA295" i="18"/>
  <c r="AB295" i="18" s="1"/>
  <c r="AO295" i="18"/>
  <c r="AP295" i="18" s="1"/>
  <c r="AA216" i="18"/>
  <c r="AB216" i="18" s="1"/>
  <c r="AO216" i="18"/>
  <c r="AP216" i="18" s="1"/>
  <c r="AA80" i="18"/>
  <c r="AO80" i="18"/>
  <c r="AP80" i="18" s="1"/>
  <c r="AA131" i="18"/>
  <c r="AB131" i="18" s="1"/>
  <c r="AO131" i="18"/>
  <c r="AP131" i="18" s="1"/>
  <c r="AA250" i="18"/>
  <c r="AO250" i="18"/>
  <c r="AP250" i="18" s="1"/>
  <c r="AA103" i="18"/>
  <c r="AO103" i="18"/>
  <c r="AP103" i="18" s="1"/>
  <c r="AA105" i="18"/>
  <c r="AO105" i="18"/>
  <c r="AP105" i="18" s="1"/>
  <c r="AA281" i="18"/>
  <c r="AB281" i="18" s="1"/>
  <c r="AO281" i="18"/>
  <c r="AP281" i="18" s="1"/>
  <c r="AA135" i="18"/>
  <c r="AO135" i="18"/>
  <c r="AP135" i="18" s="1"/>
  <c r="AA82" i="18"/>
  <c r="AO82" i="18"/>
  <c r="AP82" i="18" s="1"/>
  <c r="AA109" i="18"/>
  <c r="AB109" i="18" s="1"/>
  <c r="AO109" i="18"/>
  <c r="AP109" i="18" s="1"/>
  <c r="AA148" i="18"/>
  <c r="AO148" i="18"/>
  <c r="AP148" i="18" s="1"/>
  <c r="AA233" i="18"/>
  <c r="AB233" i="18" s="1"/>
  <c r="AO233" i="18"/>
  <c r="AP233" i="18" s="1"/>
  <c r="AA302" i="18"/>
  <c r="AO302" i="18"/>
  <c r="AP302" i="18" s="1"/>
  <c r="AA41" i="18"/>
  <c r="AB41" i="18" s="1"/>
  <c r="AO41" i="18"/>
  <c r="AP41" i="18" s="1"/>
  <c r="AA228" i="18"/>
  <c r="AB228" i="18" s="1"/>
  <c r="AO228" i="18"/>
  <c r="AP228" i="18" s="1"/>
  <c r="AA267" i="18"/>
  <c r="AB267" i="18" s="1"/>
  <c r="AO267" i="18"/>
  <c r="AP267" i="18" s="1"/>
  <c r="AA319" i="18"/>
  <c r="AB319" i="18" s="1"/>
  <c r="AO319" i="18"/>
  <c r="AP319" i="18" s="1"/>
  <c r="AA54" i="18"/>
  <c r="AO54" i="18"/>
  <c r="AP54" i="18" s="1"/>
  <c r="AA83" i="18"/>
  <c r="AB83" i="18" s="1"/>
  <c r="AO83" i="18"/>
  <c r="AP83" i="18" s="1"/>
  <c r="AA126" i="18"/>
  <c r="AO126" i="18"/>
  <c r="AP126" i="18" s="1"/>
  <c r="AA53" i="18"/>
  <c r="AO53" i="18"/>
  <c r="AP53" i="18" s="1"/>
  <c r="AA89" i="18"/>
  <c r="AO89" i="18"/>
  <c r="AP89" i="18" s="1"/>
  <c r="AA263" i="18"/>
  <c r="AO263" i="18"/>
  <c r="AP263" i="18" s="1"/>
  <c r="AA187" i="18"/>
  <c r="AO187" i="18"/>
  <c r="AP187" i="18" s="1"/>
  <c r="AA169" i="18"/>
  <c r="AO169" i="18"/>
  <c r="AP169" i="18" s="1"/>
  <c r="AA276" i="18"/>
  <c r="AB276" i="18" s="1"/>
  <c r="AO276" i="18"/>
  <c r="AP276" i="18" s="1"/>
  <c r="AA219" i="18"/>
  <c r="AO219" i="18"/>
  <c r="AP219" i="18" s="1"/>
  <c r="AA56" i="18"/>
  <c r="AO56" i="18"/>
  <c r="AP56" i="18" s="1"/>
  <c r="AA212" i="18"/>
  <c r="AO212" i="18"/>
  <c r="AP212" i="18" s="1"/>
  <c r="AA69" i="18"/>
  <c r="AB69" i="18" s="1"/>
  <c r="AO69" i="18"/>
  <c r="AP69" i="18" s="1"/>
  <c r="AA74" i="18"/>
  <c r="AB74" i="18" s="1"/>
  <c r="AO74" i="18"/>
  <c r="AP74" i="18" s="1"/>
  <c r="AA261" i="18"/>
  <c r="AB261" i="18" s="1"/>
  <c r="AO261" i="18"/>
  <c r="AP261" i="18" s="1"/>
  <c r="AA283" i="18"/>
  <c r="AB283" i="18" s="1"/>
  <c r="AO283" i="18"/>
  <c r="AP283" i="18" s="1"/>
  <c r="AA72" i="18"/>
  <c r="AO72" i="18"/>
  <c r="AP72" i="18" s="1"/>
  <c r="AA290" i="18"/>
  <c r="AB290" i="18" s="1"/>
  <c r="AO290" i="18"/>
  <c r="AP290" i="18" s="1"/>
  <c r="AA298" i="18"/>
  <c r="AO298" i="18"/>
  <c r="AP298" i="18" s="1"/>
  <c r="AA149" i="18"/>
  <c r="AO149" i="18"/>
  <c r="AP149" i="18" s="1"/>
  <c r="AA79" i="18"/>
  <c r="AO79" i="18"/>
  <c r="AP79" i="18" s="1"/>
  <c r="AA244" i="18"/>
  <c r="AO244" i="18"/>
  <c r="AP244" i="18" s="1"/>
  <c r="AA138" i="18"/>
  <c r="AO138" i="18"/>
  <c r="AP138" i="18" s="1"/>
  <c r="AA123" i="18"/>
  <c r="AO123" i="18"/>
  <c r="AP123" i="18" s="1"/>
  <c r="AA272" i="18"/>
  <c r="AB272" i="18" s="1"/>
  <c r="AO272" i="18"/>
  <c r="AP272" i="18" s="1"/>
  <c r="AA304" i="18"/>
  <c r="AO304" i="18"/>
  <c r="AP304" i="18" s="1"/>
  <c r="AA108" i="18"/>
  <c r="AB108" i="18" s="1"/>
  <c r="AO108" i="18"/>
  <c r="AP108" i="18" s="1"/>
  <c r="AA124" i="18"/>
  <c r="AO124" i="18"/>
  <c r="AP124" i="18" s="1"/>
  <c r="AA279" i="18"/>
  <c r="AB279" i="18" s="1"/>
  <c r="AO279" i="18"/>
  <c r="AP279" i="18" s="1"/>
  <c r="AA198" i="18"/>
  <c r="AB198" i="18" s="1"/>
  <c r="AO198" i="18"/>
  <c r="AP198" i="18" s="1"/>
  <c r="AA156" i="18"/>
  <c r="AB156" i="18" s="1"/>
  <c r="AO156" i="18"/>
  <c r="AP156" i="18" s="1"/>
  <c r="AA308" i="18"/>
  <c r="AB308" i="18" s="1"/>
  <c r="AO308" i="18"/>
  <c r="AP308" i="18" s="1"/>
  <c r="AA192" i="18"/>
  <c r="AO192" i="18"/>
  <c r="AP192" i="18" s="1"/>
  <c r="AA322" i="18"/>
  <c r="AB322" i="18" s="1"/>
  <c r="AO322" i="18"/>
  <c r="AP322" i="18" s="1"/>
  <c r="AA183" i="18"/>
  <c r="AO183" i="18"/>
  <c r="AP183" i="18" s="1"/>
  <c r="AA224" i="18"/>
  <c r="AO224" i="18"/>
  <c r="AP224" i="18" s="1"/>
  <c r="AA215" i="18"/>
  <c r="AO215" i="18"/>
  <c r="AP215" i="18" s="1"/>
  <c r="AA70" i="18"/>
  <c r="AO70" i="18"/>
  <c r="AP70" i="18" s="1"/>
  <c r="AA271" i="18"/>
  <c r="AO271" i="18"/>
  <c r="AP271" i="18" s="1"/>
  <c r="AA165" i="18"/>
  <c r="AO165" i="18"/>
  <c r="AP165" i="18" s="1"/>
  <c r="AA75" i="18"/>
  <c r="AB75" i="18" s="1"/>
  <c r="AO75" i="18"/>
  <c r="AP75" i="18" s="1"/>
  <c r="AA260" i="18"/>
  <c r="AO260" i="18"/>
  <c r="AP260" i="18" s="1"/>
  <c r="AA190" i="18"/>
  <c r="AB190" i="18" s="1"/>
  <c r="AO190" i="18"/>
  <c r="AP190" i="18" s="1"/>
  <c r="AA210" i="18"/>
  <c r="AO210" i="18"/>
  <c r="AP210" i="18" s="1"/>
  <c r="AA229" i="18"/>
  <c r="AB229" i="18" s="1"/>
  <c r="AO229" i="18"/>
  <c r="AP229" i="18" s="1"/>
  <c r="AA297" i="18"/>
  <c r="AB297" i="18" s="1"/>
  <c r="AO297" i="18"/>
  <c r="AP297" i="18" s="1"/>
  <c r="AA61" i="18"/>
  <c r="AB61" i="18" s="1"/>
  <c r="AO61" i="18"/>
  <c r="AP61" i="18" s="1"/>
  <c r="AA265" i="18"/>
  <c r="AB265" i="18" s="1"/>
  <c r="AO265" i="18"/>
  <c r="AP265" i="18" s="1"/>
  <c r="AA119" i="18"/>
  <c r="AO119" i="18"/>
  <c r="AP119" i="18" s="1"/>
  <c r="AA93" i="18"/>
  <c r="AB93" i="18" s="1"/>
  <c r="AO93" i="18"/>
  <c r="AP93" i="18" s="1"/>
  <c r="AA197" i="18"/>
  <c r="AO197" i="18"/>
  <c r="AP197" i="18" s="1"/>
  <c r="AA246" i="18"/>
  <c r="AO246" i="18"/>
  <c r="AP246" i="18" s="1"/>
  <c r="AA266" i="18"/>
  <c r="AO266" i="18"/>
  <c r="AP266" i="18" s="1"/>
  <c r="AA104" i="18"/>
  <c r="AO104" i="18"/>
  <c r="AP104" i="18" s="1"/>
  <c r="AA161" i="18"/>
  <c r="AO161" i="18"/>
  <c r="AP161" i="18" s="1"/>
  <c r="AA136" i="18"/>
  <c r="AO136" i="18"/>
  <c r="AP136" i="18" s="1"/>
  <c r="AA323" i="18"/>
  <c r="AO323" i="18"/>
  <c r="AP323" i="18" s="1"/>
  <c r="AA44" i="18"/>
  <c r="AO44" i="18"/>
  <c r="AP44" i="18" s="1"/>
  <c r="AA86" i="18"/>
  <c r="AB86" i="18" s="1"/>
  <c r="AO86" i="18"/>
  <c r="AP86" i="18" s="1"/>
  <c r="AA205" i="18"/>
  <c r="AO205" i="18"/>
  <c r="AP205" i="18" s="1"/>
  <c r="AA181" i="18"/>
  <c r="AB181" i="18" s="1"/>
  <c r="AO181" i="18"/>
  <c r="AP181" i="18" s="1"/>
  <c r="AA127" i="18"/>
  <c r="AB127" i="18" s="1"/>
  <c r="AO127" i="18"/>
  <c r="AP127" i="18" s="1"/>
  <c r="AA113" i="18"/>
  <c r="AO113" i="18"/>
  <c r="AP113" i="18" s="1"/>
  <c r="AA115" i="18"/>
  <c r="AB115" i="18" s="1"/>
  <c r="AO115" i="18"/>
  <c r="AP115" i="18" s="1"/>
  <c r="AA249" i="18"/>
  <c r="AO249" i="18"/>
  <c r="AP249" i="18" s="1"/>
  <c r="AA150" i="18"/>
  <c r="AB150" i="18" s="1"/>
  <c r="AO150" i="18"/>
  <c r="AP150" i="18" s="1"/>
  <c r="AA238" i="18"/>
  <c r="AO238" i="18"/>
  <c r="AP238" i="18" s="1"/>
  <c r="AA313" i="18"/>
  <c r="AO313" i="18"/>
  <c r="AP313" i="18" s="1"/>
  <c r="AA203" i="18"/>
  <c r="AO203" i="18"/>
  <c r="AP203" i="18" s="1"/>
  <c r="AA43" i="18"/>
  <c r="AO43" i="18"/>
  <c r="AP43" i="18" s="1"/>
  <c r="AA217" i="18"/>
  <c r="AO217" i="18"/>
  <c r="AP217" i="18" s="1"/>
  <c r="AA167" i="18"/>
  <c r="AO167" i="18"/>
  <c r="AP167" i="18" s="1"/>
  <c r="AA204" i="18"/>
  <c r="AB204" i="18" s="1"/>
  <c r="AO204" i="18"/>
  <c r="AP204" i="18" s="1"/>
  <c r="AA98" i="18"/>
  <c r="AO98" i="18"/>
  <c r="AP98" i="18" s="1"/>
  <c r="AA236" i="18"/>
  <c r="AB236" i="18" s="1"/>
  <c r="AO236" i="18"/>
  <c r="AP236" i="18" s="1"/>
  <c r="AA311" i="18"/>
  <c r="AO311" i="18"/>
  <c r="AP311" i="18" s="1"/>
  <c r="AA247" i="18"/>
  <c r="AB247" i="18" s="1"/>
  <c r="AO247" i="18"/>
  <c r="AP247" i="18" s="1"/>
  <c r="AA154" i="18"/>
  <c r="AB154" i="18" s="1"/>
  <c r="AO154" i="18"/>
  <c r="AP154" i="18" s="1"/>
  <c r="AA293" i="18"/>
  <c r="AB293" i="18" s="1"/>
  <c r="AO293" i="18"/>
  <c r="AP293" i="18" s="1"/>
  <c r="AA102" i="18"/>
  <c r="AB102" i="18" s="1"/>
  <c r="AO102" i="18"/>
  <c r="AP102" i="18" s="1"/>
  <c r="AA64" i="18"/>
  <c r="AO64" i="18"/>
  <c r="AP64" i="18" s="1"/>
  <c r="AA39" i="18"/>
  <c r="AB39" i="18" s="1"/>
  <c r="AO39" i="18"/>
  <c r="AP39" i="18" s="1"/>
  <c r="AA46" i="18"/>
  <c r="AO46" i="18"/>
  <c r="AP46" i="18" s="1"/>
  <c r="AA71" i="18"/>
  <c r="AO71" i="18"/>
  <c r="AP71" i="18" s="1"/>
  <c r="AA175" i="18"/>
  <c r="AO175" i="18"/>
  <c r="AP175" i="18" s="1"/>
  <c r="AA45" i="18"/>
  <c r="AO45" i="18"/>
  <c r="AP45" i="18" s="1"/>
  <c r="AA254" i="18"/>
  <c r="AO254" i="18"/>
  <c r="AP254" i="18" s="1"/>
  <c r="AA140" i="18"/>
  <c r="AO140" i="18"/>
  <c r="AP140" i="18" s="1"/>
  <c r="AA292" i="18"/>
  <c r="AB292" i="18" s="1"/>
  <c r="AO292" i="18"/>
  <c r="AP292" i="18" s="1"/>
  <c r="AA282" i="18"/>
  <c r="AO282" i="18"/>
  <c r="AP282" i="18" s="1"/>
  <c r="AA310" i="18"/>
  <c r="AB310" i="18" s="1"/>
  <c r="AO310" i="18"/>
  <c r="AP310" i="18" s="1"/>
  <c r="AA88" i="18"/>
  <c r="AO88" i="18"/>
  <c r="AP88" i="18" s="1"/>
  <c r="AA141" i="18"/>
  <c r="AB141" i="18" s="1"/>
  <c r="AO141" i="18"/>
  <c r="AP141" i="18" s="1"/>
  <c r="AA173" i="18"/>
  <c r="AB173" i="18" s="1"/>
  <c r="AO173" i="18"/>
  <c r="AP173" i="18" s="1"/>
  <c r="AA193" i="18"/>
  <c r="AB193" i="18" s="1"/>
  <c r="AO193" i="18"/>
  <c r="AP193" i="18" s="1"/>
  <c r="AA168" i="18"/>
  <c r="AB168" i="18" s="1"/>
  <c r="AO168" i="18"/>
  <c r="AP168" i="18" s="1"/>
  <c r="AA91" i="18"/>
  <c r="AO91" i="18"/>
  <c r="AP91" i="18" s="1"/>
  <c r="AA262" i="18"/>
  <c r="AB262" i="18" s="1"/>
  <c r="AO262" i="18"/>
  <c r="AP262" i="18" s="1"/>
  <c r="AA170" i="18"/>
  <c r="AO170" i="18"/>
  <c r="AP170" i="18" s="1"/>
  <c r="AA316" i="18"/>
  <c r="AO316" i="18"/>
  <c r="AP316" i="18" s="1"/>
  <c r="AA288" i="18"/>
  <c r="AO288" i="18"/>
  <c r="AP288" i="18" s="1"/>
  <c r="AA59" i="18"/>
  <c r="AO59" i="18"/>
  <c r="AP59" i="18" s="1"/>
  <c r="AA324" i="18"/>
  <c r="AO324" i="18"/>
  <c r="AP324" i="18" s="1"/>
  <c r="AA112" i="18"/>
  <c r="AO112" i="18"/>
  <c r="AP112" i="18" s="1"/>
  <c r="AA191" i="18"/>
  <c r="AB191" i="18" s="1"/>
  <c r="AO191" i="18"/>
  <c r="AP191" i="18" s="1"/>
  <c r="AA230" i="18"/>
  <c r="AO230" i="18"/>
  <c r="AP230" i="18" s="1"/>
  <c r="AA77" i="18"/>
  <c r="AB77" i="18" s="1"/>
  <c r="AO77" i="18"/>
  <c r="AP77" i="18" s="1"/>
  <c r="AA223" i="18"/>
  <c r="AO223" i="18"/>
  <c r="AP223" i="18" s="1"/>
  <c r="AA188" i="18"/>
  <c r="AB188" i="18" s="1"/>
  <c r="AO188" i="18"/>
  <c r="AP188" i="18" s="1"/>
  <c r="AA78" i="18"/>
  <c r="AB78" i="18" s="1"/>
  <c r="AO78" i="18"/>
  <c r="AP78" i="18" s="1"/>
  <c r="AA259" i="18"/>
  <c r="AB259" i="18" s="1"/>
  <c r="AO259" i="18"/>
  <c r="AP259" i="18" s="1"/>
  <c r="AA110" i="18"/>
  <c r="AB110" i="18" s="1"/>
  <c r="AO110" i="18"/>
  <c r="AP110" i="18" s="1"/>
  <c r="AA38" i="18"/>
  <c r="AO38" i="18"/>
  <c r="AP38" i="18" s="1"/>
  <c r="AA184" i="18"/>
  <c r="AB184" i="18" s="1"/>
  <c r="AO184" i="18"/>
  <c r="AP184" i="18" s="1"/>
  <c r="AA107" i="18"/>
  <c r="AO107" i="18"/>
  <c r="AP107" i="18" s="1"/>
  <c r="AA278" i="18"/>
  <c r="AO278" i="18"/>
  <c r="AP278" i="18" s="1"/>
  <c r="AA257" i="18"/>
  <c r="AO257" i="18"/>
  <c r="AP257" i="18" s="1"/>
  <c r="AA252" i="18"/>
  <c r="AO252" i="18"/>
  <c r="AP252" i="18" s="1"/>
  <c r="AA213" i="18"/>
  <c r="AO213" i="18"/>
  <c r="AP213" i="18" s="1"/>
  <c r="AA253" i="18"/>
  <c r="AO253" i="18"/>
  <c r="AP253" i="18" s="1"/>
  <c r="AA248" i="18"/>
  <c r="AB248" i="18" s="1"/>
  <c r="AO248" i="18"/>
  <c r="AP248" i="18" s="1"/>
  <c r="AA51" i="18"/>
  <c r="AO51" i="18"/>
  <c r="AP51" i="18" s="1"/>
  <c r="AA128" i="18"/>
  <c r="AB128" i="18" s="1"/>
  <c r="AO128" i="18"/>
  <c r="AP128" i="18" s="1"/>
  <c r="AA160" i="18"/>
  <c r="AO160" i="18"/>
  <c r="AP160" i="18" s="1"/>
  <c r="AA116" i="18"/>
  <c r="AB116" i="18" s="1"/>
  <c r="AO116" i="18"/>
  <c r="AP116" i="18" s="1"/>
  <c r="AA125" i="18"/>
  <c r="AB125" i="18" s="1"/>
  <c r="AO125" i="18"/>
  <c r="AP125" i="18" s="1"/>
  <c r="AA176" i="18"/>
  <c r="AB176" i="18" s="1"/>
  <c r="AO176" i="18"/>
  <c r="AP176" i="18" s="1"/>
  <c r="AA180" i="18"/>
  <c r="AB180" i="18" s="1"/>
  <c r="AO180" i="18"/>
  <c r="AP180" i="18" s="1"/>
  <c r="AA50" i="18"/>
  <c r="AO50" i="18"/>
  <c r="AP50" i="18" s="1"/>
  <c r="AA325" i="18"/>
  <c r="AB325" i="18" s="1"/>
  <c r="AO325" i="18"/>
  <c r="AP325" i="18" s="1"/>
  <c r="AA133" i="18"/>
  <c r="AO133" i="18"/>
  <c r="AP133" i="18" s="1"/>
  <c r="AA47" i="18"/>
  <c r="AO47" i="18"/>
  <c r="AP47" i="18" s="1"/>
  <c r="AA200" i="18"/>
  <c r="AO200" i="18"/>
  <c r="AP200" i="18" s="1"/>
  <c r="AA194" i="18"/>
  <c r="AO194" i="18"/>
  <c r="AP194" i="18" s="1"/>
  <c r="AA309" i="18"/>
  <c r="AO309" i="18"/>
  <c r="AP309" i="18" s="1"/>
  <c r="AA134" i="18"/>
  <c r="AO134" i="18"/>
  <c r="AP134" i="18" s="1"/>
  <c r="AA155" i="18"/>
  <c r="AB155" i="18" s="1"/>
  <c r="AO155" i="18"/>
  <c r="AP155" i="18" s="1"/>
  <c r="AA301" i="18"/>
  <c r="AO301" i="18"/>
  <c r="AP301" i="18" s="1"/>
  <c r="AA65" i="18"/>
  <c r="AB65" i="18" s="1"/>
  <c r="AO65" i="18"/>
  <c r="AP65" i="18" s="1"/>
  <c r="AA269" i="18"/>
  <c r="AO269" i="18"/>
  <c r="AP269" i="18" s="1"/>
  <c r="AA97" i="18"/>
  <c r="AB97" i="18" s="1"/>
  <c r="AO97" i="18"/>
  <c r="AP97" i="18" s="1"/>
  <c r="AA218" i="18"/>
  <c r="AO218" i="18"/>
  <c r="AP218" i="18" s="1"/>
  <c r="AA62" i="18"/>
  <c r="AB62" i="18" s="1"/>
  <c r="AO62" i="18"/>
  <c r="AP62" i="18" s="1"/>
  <c r="AA270" i="18"/>
  <c r="AB270" i="18" s="1"/>
  <c r="AO270" i="18"/>
  <c r="AP270" i="18" s="1"/>
  <c r="AA101" i="18"/>
  <c r="AO101" i="18"/>
  <c r="AP101" i="18" s="1"/>
  <c r="AA299" i="18"/>
  <c r="AB299" i="18" s="1"/>
  <c r="AO299" i="18"/>
  <c r="AP299" i="18" s="1"/>
  <c r="AA221" i="18"/>
  <c r="AO221" i="18"/>
  <c r="AP221" i="18" s="1"/>
  <c r="AA296" i="18"/>
  <c r="AO296" i="18"/>
  <c r="AP296" i="18" s="1"/>
  <c r="AA99" i="18"/>
  <c r="AO99" i="18"/>
  <c r="AP99" i="18" s="1"/>
  <c r="AA202" i="18"/>
  <c r="AO202" i="18"/>
  <c r="AP202" i="18" s="1"/>
  <c r="AA55" i="18"/>
  <c r="AO55" i="18"/>
  <c r="AP55" i="18" s="1"/>
  <c r="AA242" i="18"/>
  <c r="AO242" i="18"/>
  <c r="AP242" i="18" s="1"/>
  <c r="AA122" i="18"/>
  <c r="AB122" i="18" s="1"/>
  <c r="AO122" i="18"/>
  <c r="AP122" i="18" s="1"/>
  <c r="AA317" i="18"/>
  <c r="AO317" i="18"/>
  <c r="AP317" i="18" s="1"/>
  <c r="AA280" i="18"/>
  <c r="AB280" i="18" s="1"/>
  <c r="AO280" i="18"/>
  <c r="AP280" i="18" s="1"/>
  <c r="AA207" i="18"/>
  <c r="AO207" i="18"/>
  <c r="AP207" i="18" s="1"/>
  <c r="AA211" i="18"/>
  <c r="AB211" i="18" s="1"/>
  <c r="AO211" i="18"/>
  <c r="AP211" i="18" s="1"/>
  <c r="AA199" i="18"/>
  <c r="AB199" i="18" s="1"/>
  <c r="AO199" i="18"/>
  <c r="AP199" i="18" s="1"/>
  <c r="AA314" i="18"/>
  <c r="AB314" i="18" s="1"/>
  <c r="AO314" i="18"/>
  <c r="AP314" i="18" s="1"/>
  <c r="AA201" i="18"/>
  <c r="AB201" i="18" s="1"/>
  <c r="AO201" i="18"/>
  <c r="AP201" i="18" s="1"/>
  <c r="AA208" i="18"/>
  <c r="AO208" i="18"/>
  <c r="AP208" i="18" s="1"/>
  <c r="AA240" i="18"/>
  <c r="AB240" i="18" s="1"/>
  <c r="AO240" i="18"/>
  <c r="AP240" i="18" s="1"/>
  <c r="AA294" i="18"/>
  <c r="AO294" i="18"/>
  <c r="AP294" i="18" s="1"/>
  <c r="AA158" i="18"/>
  <c r="AO158" i="18"/>
  <c r="AP158" i="18" s="1"/>
  <c r="AA237" i="18"/>
  <c r="AO237" i="18"/>
  <c r="AP237" i="18" s="1"/>
  <c r="AA139" i="18"/>
  <c r="AO139" i="18"/>
  <c r="AP139" i="18" s="1"/>
  <c r="AA307" i="18"/>
  <c r="AO307" i="18"/>
  <c r="AP307" i="18" s="1"/>
  <c r="AA222" i="18"/>
  <c r="AO222" i="18"/>
  <c r="AP222" i="18" s="1"/>
  <c r="AA147" i="18"/>
  <c r="AB147" i="18" s="1"/>
  <c r="AO147" i="18"/>
  <c r="AP147" i="18" s="1"/>
  <c r="AA63" i="18"/>
  <c r="AO63" i="18"/>
  <c r="AP63" i="18" s="1"/>
  <c r="AA258" i="18"/>
  <c r="AB258" i="18" s="1"/>
  <c r="AO258" i="18"/>
  <c r="AP258" i="18" s="1"/>
  <c r="AA186" i="18"/>
  <c r="AO186" i="18"/>
  <c r="AP186" i="18" s="1"/>
  <c r="AA144" i="18"/>
  <c r="AB144" i="18" s="1"/>
  <c r="AO144" i="18"/>
  <c r="AP144" i="18" s="1"/>
  <c r="AA286" i="18"/>
  <c r="AB286" i="18" s="1"/>
  <c r="AO286" i="18"/>
  <c r="AP286" i="18" s="1"/>
  <c r="AA235" i="18"/>
  <c r="AB235" i="18" s="1"/>
  <c r="AO235" i="18"/>
  <c r="AP235" i="18" s="1"/>
  <c r="AA255" i="18"/>
  <c r="AO255" i="18"/>
  <c r="AP255" i="18" s="1"/>
  <c r="AA49" i="18"/>
  <c r="AB49" i="18" s="1"/>
  <c r="AO49" i="18"/>
  <c r="AP49" i="18" s="1"/>
  <c r="AA145" i="18"/>
  <c r="AO145" i="18"/>
  <c r="AP145" i="18" s="1"/>
  <c r="AA90" i="18"/>
  <c r="AO90" i="18"/>
  <c r="AP90" i="18" s="1"/>
  <c r="AA277" i="18"/>
  <c r="AO277" i="18"/>
  <c r="AP277" i="18" s="1"/>
  <c r="AA177" i="18"/>
  <c r="AO177" i="18"/>
  <c r="AP177" i="18" s="1"/>
  <c r="AA256" i="18"/>
  <c r="AO256" i="18"/>
  <c r="AP256" i="18" s="1"/>
  <c r="AA142" i="18"/>
  <c r="AO142" i="18"/>
  <c r="AP142" i="18" s="1"/>
  <c r="AA132" i="18"/>
  <c r="AB132" i="18" s="1"/>
  <c r="AO132" i="18"/>
  <c r="AP132" i="18" s="1"/>
  <c r="AA95" i="18"/>
  <c r="AO95" i="18"/>
  <c r="AP95" i="18" s="1"/>
  <c r="AA172" i="18"/>
  <c r="AB172" i="18" s="1"/>
  <c r="AO172" i="18"/>
  <c r="AP172" i="18" s="1"/>
  <c r="AA174" i="18"/>
  <c r="AO174" i="18"/>
  <c r="AP174" i="18" s="1"/>
  <c r="AA275" i="18"/>
  <c r="AB275" i="18" s="1"/>
  <c r="AO275" i="18"/>
  <c r="AP275" i="18" s="1"/>
  <c r="AA76" i="18"/>
  <c r="AB76" i="18" s="1"/>
  <c r="AO76" i="18"/>
  <c r="AP76" i="18" s="1"/>
  <c r="AA232" i="18"/>
  <c r="AB232" i="18" s="1"/>
  <c r="AO232" i="18"/>
  <c r="AP232" i="18" s="1"/>
  <c r="AA159" i="18"/>
  <c r="AB159" i="18" s="1"/>
  <c r="AO159" i="18"/>
  <c r="AP159" i="18" s="1"/>
  <c r="AA305" i="18"/>
  <c r="AO305" i="18"/>
  <c r="AP305" i="18" s="1"/>
  <c r="AA68" i="18"/>
  <c r="AO68" i="18"/>
  <c r="AP68" i="18" s="1"/>
  <c r="AA57" i="18"/>
  <c r="AO57" i="18"/>
  <c r="AP57" i="18" s="1"/>
  <c r="AA163" i="18"/>
  <c r="AO163" i="18"/>
  <c r="AP163" i="18" s="1"/>
  <c r="AA60" i="18"/>
  <c r="AO60" i="18"/>
  <c r="AP60" i="18" s="1"/>
  <c r="AA81" i="18"/>
  <c r="AO81" i="18"/>
  <c r="AP81" i="18" s="1"/>
  <c r="AA195" i="18"/>
  <c r="AO195" i="18"/>
  <c r="AP195" i="18" s="1"/>
  <c r="E221" i="16"/>
  <c r="D221" i="16"/>
  <c r="D314" i="16"/>
  <c r="E314" i="16"/>
  <c r="E123" i="16"/>
  <c r="D123" i="16"/>
  <c r="E156" i="16"/>
  <c r="D156" i="16"/>
  <c r="E96" i="16"/>
  <c r="D96" i="16"/>
  <c r="E79" i="16"/>
  <c r="D79" i="16"/>
  <c r="E63" i="16"/>
  <c r="D63" i="16"/>
  <c r="E47" i="16"/>
  <c r="D47" i="16"/>
  <c r="E310" i="16"/>
  <c r="D310" i="16"/>
  <c r="G201" i="16"/>
  <c r="G42" i="16"/>
  <c r="G268" i="16"/>
  <c r="G141" i="16"/>
  <c r="G110" i="16"/>
  <c r="G300" i="16"/>
  <c r="G175" i="16"/>
  <c r="G274" i="16"/>
  <c r="G248" i="16"/>
  <c r="G249" i="16"/>
  <c r="G179" i="16"/>
  <c r="G262" i="16"/>
  <c r="G80" i="16"/>
  <c r="G53" i="16"/>
  <c r="G169" i="16"/>
  <c r="G38" i="16"/>
  <c r="G47" i="16"/>
  <c r="G173" i="16"/>
  <c r="G115" i="16"/>
  <c r="G124" i="16"/>
  <c r="G125" i="16"/>
  <c r="G296" i="16"/>
  <c r="G160" i="16"/>
  <c r="G192" i="16"/>
  <c r="G174" i="16"/>
  <c r="G149" i="16"/>
  <c r="G231" i="16"/>
  <c r="G194" i="16"/>
  <c r="G50" i="16"/>
  <c r="G325" i="16"/>
  <c r="G257" i="16"/>
  <c r="G306" i="16"/>
  <c r="G44" i="16"/>
  <c r="G72" i="16"/>
  <c r="G147" i="16"/>
  <c r="G275" i="16"/>
  <c r="G161" i="16"/>
  <c r="G168" i="16"/>
  <c r="G86" i="16"/>
  <c r="G232" i="16"/>
  <c r="G133" i="16"/>
  <c r="G84" i="16"/>
  <c r="G255" i="16"/>
  <c r="G184" i="16"/>
  <c r="G83" i="16"/>
  <c r="G112" i="16"/>
  <c r="G103" i="16"/>
  <c r="G77" i="16"/>
  <c r="G45" i="16"/>
  <c r="G56" i="16"/>
  <c r="G91" i="16"/>
  <c r="G277" i="16"/>
  <c r="G230" i="16"/>
  <c r="G196" i="16"/>
  <c r="G207" i="16"/>
  <c r="G292" i="16"/>
  <c r="G89" i="16"/>
  <c r="G51" i="16"/>
  <c r="G122" i="16"/>
  <c r="G259" i="16"/>
  <c r="G49" i="16"/>
  <c r="G156" i="16"/>
  <c r="G221" i="16"/>
  <c r="G144" i="16"/>
  <c r="G215" i="16"/>
  <c r="G222" i="16"/>
  <c r="G305" i="16"/>
  <c r="G146" i="16"/>
  <c r="G242" i="16"/>
  <c r="G294" i="16"/>
  <c r="G48" i="16"/>
  <c r="G293" i="16"/>
  <c r="G138" i="16"/>
  <c r="G129" i="16"/>
  <c r="G74" i="16"/>
  <c r="G317" i="16"/>
  <c r="G324" i="16"/>
  <c r="G208" i="16"/>
  <c r="G297" i="16"/>
  <c r="G239" i="16"/>
  <c r="G299" i="16"/>
  <c r="G152" i="16"/>
  <c r="G238" i="16"/>
  <c r="G36" i="16"/>
  <c r="G126" i="16"/>
  <c r="G43" i="16"/>
  <c r="G151" i="16"/>
  <c r="G264" i="16"/>
  <c r="G90" i="16"/>
  <c r="G117" i="16"/>
  <c r="G210" i="16"/>
  <c r="G71" i="16"/>
  <c r="G199" i="16"/>
  <c r="G162" i="16"/>
  <c r="G241" i="16"/>
  <c r="G234" i="16"/>
  <c r="G46" i="16"/>
  <c r="G81" i="16"/>
  <c r="G212" i="16"/>
  <c r="G267" i="16"/>
  <c r="G180" i="16"/>
  <c r="G66" i="16"/>
  <c r="G111" i="16"/>
  <c r="G223" i="16"/>
  <c r="G236" i="16"/>
  <c r="G243" i="16"/>
  <c r="G323" i="16"/>
  <c r="G178" i="16"/>
  <c r="G131" i="16"/>
  <c r="G177" i="16"/>
  <c r="G78" i="16"/>
  <c r="G100" i="16"/>
  <c r="G163" i="16"/>
  <c r="G219" i="16"/>
  <c r="G69" i="16"/>
  <c r="G285" i="16"/>
  <c r="G253" i="16"/>
  <c r="G153" i="16"/>
  <c r="G37" i="16"/>
  <c r="G200" i="16"/>
  <c r="G109" i="16"/>
  <c r="G165" i="16"/>
  <c r="G265" i="16"/>
  <c r="G316" i="16"/>
  <c r="G116" i="16"/>
  <c r="G70" i="16"/>
  <c r="G63" i="16"/>
  <c r="G217" i="16"/>
  <c r="G211" i="16"/>
  <c r="G291" i="16"/>
  <c r="G276" i="16"/>
  <c r="G227" i="16"/>
  <c r="G135" i="16"/>
  <c r="G183" i="16"/>
  <c r="G203" i="16"/>
  <c r="G143" i="16"/>
  <c r="G54" i="16"/>
  <c r="G314" i="16"/>
  <c r="G258" i="16"/>
  <c r="G118" i="16"/>
  <c r="G75" i="16"/>
  <c r="G102" i="16"/>
  <c r="G189" i="16"/>
  <c r="G240" i="16"/>
  <c r="G99" i="16"/>
  <c r="G302" i="16"/>
  <c r="G140" i="16"/>
  <c r="G92" i="16"/>
  <c r="G132" i="16"/>
  <c r="G198" i="16"/>
  <c r="G79" i="16"/>
  <c r="G120" i="16"/>
  <c r="G204" i="16"/>
  <c r="G58" i="16"/>
  <c r="G254" i="16"/>
  <c r="G172" i="16"/>
  <c r="G41" i="16"/>
  <c r="G185" i="16"/>
  <c r="G271" i="16"/>
  <c r="G312" i="16"/>
  <c r="G250" i="16"/>
  <c r="G283" i="16"/>
  <c r="G237" i="16"/>
  <c r="G313" i="16"/>
  <c r="G127" i="16"/>
  <c r="G209" i="16"/>
  <c r="G191" i="16"/>
  <c r="G320" i="16"/>
  <c r="G286" i="16"/>
  <c r="G270" i="16"/>
  <c r="G159" i="16"/>
  <c r="G107" i="16"/>
  <c r="G266" i="16"/>
  <c r="G308" i="16"/>
  <c r="G52" i="16"/>
  <c r="G188" i="16"/>
  <c r="G95" i="16"/>
  <c r="G97" i="16"/>
  <c r="G273" i="16"/>
  <c r="G226" i="16"/>
  <c r="G295" i="16"/>
  <c r="G123" i="16"/>
  <c r="G278" i="16"/>
  <c r="G224" i="16"/>
  <c r="G280" i="16"/>
  <c r="G76" i="16"/>
  <c r="G269" i="16"/>
  <c r="G263" i="16"/>
  <c r="G154" i="16"/>
  <c r="G134" i="16"/>
  <c r="G67" i="16"/>
  <c r="G73" i="16"/>
  <c r="G233" i="16"/>
  <c r="G39" i="16"/>
  <c r="G252" i="16"/>
  <c r="G164" i="16"/>
  <c r="G113" i="16"/>
  <c r="G155" i="16"/>
  <c r="G281" i="16"/>
  <c r="G229" i="16"/>
  <c r="G171" i="16"/>
  <c r="G282" i="16"/>
  <c r="G114" i="16"/>
  <c r="G65" i="16"/>
  <c r="G216" i="16"/>
  <c r="G94" i="16"/>
  <c r="G228" i="16"/>
  <c r="G88" i="16"/>
  <c r="G104" i="16"/>
  <c r="G55" i="16"/>
  <c r="G190" i="16"/>
  <c r="G157" i="16"/>
  <c r="G213" i="16"/>
  <c r="G167" i="16"/>
  <c r="G142" i="16"/>
  <c r="G245" i="16"/>
  <c r="G61" i="16"/>
  <c r="G319" i="16"/>
  <c r="G186" i="16"/>
  <c r="G235" i="16"/>
  <c r="G197" i="16"/>
  <c r="G193" i="16"/>
  <c r="G246" i="16"/>
  <c r="G220" i="16"/>
  <c r="G272" i="16"/>
  <c r="G136" i="16"/>
  <c r="G303" i="16"/>
  <c r="G96" i="16"/>
  <c r="G214" i="16"/>
  <c r="G205" i="16"/>
  <c r="G247" i="16"/>
  <c r="G139" i="16"/>
  <c r="G187" i="16"/>
  <c r="G260" i="16"/>
  <c r="G128" i="16"/>
  <c r="G195" i="16"/>
  <c r="G225" i="16"/>
  <c r="G137" i="16"/>
  <c r="G130" i="16"/>
  <c r="G218" i="16"/>
  <c r="G105" i="16"/>
  <c r="G40" i="16"/>
  <c r="G251" i="16"/>
  <c r="G68" i="16"/>
  <c r="G64" i="16"/>
  <c r="G181" i="16"/>
  <c r="G318" i="16"/>
  <c r="G301" i="16"/>
  <c r="G321" i="16"/>
  <c r="G119" i="16"/>
  <c r="G311" i="16"/>
  <c r="G288" i="16"/>
  <c r="G322" i="16"/>
  <c r="G148" i="16"/>
  <c r="G150" i="16"/>
  <c r="G35" i="16"/>
  <c r="G93" i="16"/>
  <c r="G261" i="16"/>
  <c r="G59" i="16"/>
  <c r="G57" i="16"/>
  <c r="G121" i="16"/>
  <c r="G158" i="16"/>
  <c r="G62" i="16"/>
  <c r="G101" i="16"/>
  <c r="G87" i="16"/>
  <c r="G145" i="16"/>
  <c r="G202" i="16"/>
  <c r="G60" i="16"/>
  <c r="G176" i="16"/>
  <c r="G289" i="16"/>
  <c r="G182" i="16"/>
  <c r="G287" i="16"/>
  <c r="G315" i="16"/>
  <c r="G98" i="16"/>
  <c r="G298" i="16"/>
  <c r="G170" i="16"/>
  <c r="G279" i="16"/>
  <c r="G304" i="16"/>
  <c r="G108" i="16"/>
  <c r="G206" i="16"/>
  <c r="G307" i="16"/>
  <c r="G85" i="16"/>
  <c r="G309" i="16"/>
  <c r="G244" i="16"/>
  <c r="G256" i="16"/>
  <c r="G310" i="16"/>
  <c r="G106" i="16"/>
  <c r="G284" i="16"/>
  <c r="G290" i="16"/>
  <c r="G166" i="16"/>
  <c r="G82" i="16"/>
  <c r="E186" i="16"/>
  <c r="D186" i="16"/>
  <c r="E140" i="16"/>
  <c r="D140" i="16"/>
  <c r="E205" i="16"/>
  <c r="D205" i="16"/>
  <c r="D190" i="16"/>
  <c r="E190" i="16"/>
  <c r="E174" i="16"/>
  <c r="D174" i="16"/>
  <c r="E127" i="16"/>
  <c r="D127" i="16"/>
  <c r="E111" i="16"/>
  <c r="D111" i="16"/>
  <c r="E95" i="16"/>
  <c r="D95" i="16"/>
  <c r="E110" i="16"/>
  <c r="D110" i="16"/>
  <c r="E94" i="16"/>
  <c r="D94" i="16"/>
  <c r="E78" i="16"/>
  <c r="D78" i="16"/>
  <c r="D62" i="16"/>
  <c r="E62" i="16"/>
  <c r="E298" i="16"/>
  <c r="D298" i="16"/>
  <c r="E282" i="16"/>
  <c r="D282" i="16"/>
  <c r="E269" i="16"/>
  <c r="D269" i="16"/>
  <c r="E170" i="16"/>
  <c r="D170" i="16"/>
  <c r="E122" i="16"/>
  <c r="D122" i="16"/>
  <c r="E58" i="16"/>
  <c r="D58" i="16"/>
  <c r="Y110" i="16"/>
  <c r="Y80" i="16"/>
  <c r="Y180" i="16"/>
  <c r="Y301" i="16"/>
  <c r="Y229" i="16"/>
  <c r="Y314" i="16"/>
  <c r="Y139" i="16"/>
  <c r="Y75" i="16"/>
  <c r="Y282" i="16"/>
  <c r="Y265" i="16"/>
  <c r="Y63" i="16"/>
  <c r="Y239" i="16"/>
  <c r="Y293" i="16"/>
  <c r="Y98" i="16"/>
  <c r="Y237" i="16"/>
  <c r="Y232" i="16"/>
  <c r="Y255" i="16"/>
  <c r="Y38" i="16"/>
  <c r="Y83" i="16"/>
  <c r="Y91" i="16"/>
  <c r="Y226" i="16"/>
  <c r="Y285" i="16"/>
  <c r="Y225" i="16"/>
  <c r="Y289" i="16"/>
  <c r="Y321" i="16"/>
  <c r="Y205" i="16"/>
  <c r="Y171" i="16"/>
  <c r="Y117" i="16"/>
  <c r="Y173" i="16"/>
  <c r="Y122" i="16"/>
  <c r="Y181" i="16"/>
  <c r="Y96" i="16"/>
  <c r="Y313" i="16"/>
  <c r="Y119" i="16"/>
  <c r="Y167" i="16"/>
  <c r="Y240" i="16"/>
  <c r="Y315" i="16"/>
  <c r="Y131" i="16"/>
  <c r="Y294" i="16"/>
  <c r="Y115" i="16"/>
  <c r="Y272" i="16"/>
  <c r="Y47" i="16"/>
  <c r="Y126" i="16"/>
  <c r="Y87" i="16"/>
  <c r="Y93" i="16"/>
  <c r="Y246" i="16"/>
  <c r="Y103" i="16"/>
  <c r="Y303" i="16"/>
  <c r="Y250" i="16"/>
  <c r="Y41" i="16"/>
  <c r="Y161" i="16"/>
  <c r="Y248" i="16"/>
  <c r="Y325" i="16"/>
  <c r="Y297" i="16"/>
  <c r="Y211" i="16"/>
  <c r="Y84" i="16"/>
  <c r="Y124" i="16"/>
  <c r="Y151" i="16"/>
  <c r="Y201" i="16"/>
  <c r="Y302" i="16"/>
  <c r="Y86" i="16"/>
  <c r="Y179" i="16"/>
  <c r="Y247" i="16"/>
  <c r="Y182" i="16"/>
  <c r="Y195" i="16"/>
  <c r="Y159" i="16"/>
  <c r="Y94" i="16"/>
  <c r="Y196" i="16"/>
  <c r="Y304" i="16"/>
  <c r="Y257" i="16"/>
  <c r="Y95" i="16"/>
  <c r="Y99" i="16"/>
  <c r="Y157" i="16"/>
  <c r="Y186" i="16"/>
  <c r="Y114" i="16"/>
  <c r="Y269" i="16"/>
  <c r="Y231" i="16"/>
  <c r="Y277" i="16"/>
  <c r="Y274" i="16"/>
  <c r="Y312" i="16"/>
  <c r="Y79" i="16"/>
  <c r="Y145" i="16"/>
  <c r="Y148" i="16"/>
  <c r="Y221" i="16"/>
  <c r="Y123" i="16"/>
  <c r="Y162" i="16"/>
  <c r="Y111" i="16"/>
  <c r="Y165" i="16"/>
  <c r="Y49" i="16"/>
  <c r="Y193" i="16"/>
  <c r="Y121" i="16"/>
  <c r="Y153" i="16"/>
  <c r="Y324" i="16"/>
  <c r="Y40" i="16"/>
  <c r="Y296" i="16"/>
  <c r="Y191" i="16"/>
  <c r="Y67" i="16"/>
  <c r="Y51" i="16"/>
  <c r="Y281" i="16"/>
  <c r="Y134" i="16"/>
  <c r="Y142" i="16"/>
  <c r="Y208" i="16"/>
  <c r="Y144" i="16"/>
  <c r="Y129" i="16"/>
  <c r="Y259" i="16"/>
  <c r="Y72" i="16"/>
  <c r="Y174" i="16"/>
  <c r="Y141" i="16"/>
  <c r="Y189" i="16"/>
  <c r="Y35" i="16"/>
  <c r="Y120" i="16"/>
  <c r="Y88" i="16"/>
  <c r="Y130" i="16"/>
  <c r="Y64" i="16"/>
  <c r="Y280" i="16"/>
  <c r="Y270" i="16"/>
  <c r="Y69" i="16"/>
  <c r="Y137" i="16"/>
  <c r="Y89" i="16"/>
  <c r="Y306" i="16"/>
  <c r="Y188" i="16"/>
  <c r="Y214" i="16"/>
  <c r="Y215" i="16"/>
  <c r="Y125" i="16"/>
  <c r="Y223" i="16"/>
  <c r="Y288" i="16"/>
  <c r="Y68" i="16"/>
  <c r="Y266" i="16"/>
  <c r="Y207" i="16"/>
  <c r="Y56" i="16"/>
  <c r="Y54" i="16"/>
  <c r="Y292" i="16"/>
  <c r="Y284" i="16"/>
  <c r="Y175" i="16"/>
  <c r="Y258" i="16"/>
  <c r="Y199" i="16"/>
  <c r="Y309" i="16"/>
  <c r="Y77" i="16"/>
  <c r="Y273" i="16"/>
  <c r="Y254" i="16"/>
  <c r="Y319" i="16"/>
  <c r="Y187" i="16"/>
  <c r="Y127" i="16"/>
  <c r="Y112" i="16"/>
  <c r="Y71" i="16"/>
  <c r="Y310" i="16"/>
  <c r="Y286" i="16"/>
  <c r="Y204" i="16"/>
  <c r="Y227" i="16"/>
  <c r="Y192" i="16"/>
  <c r="Y287" i="16"/>
  <c r="Y216" i="16"/>
  <c r="Y203" i="16"/>
  <c r="Y146" i="16"/>
  <c r="Y78" i="16"/>
  <c r="Y73" i="16"/>
  <c r="Y85" i="16"/>
  <c r="Y45" i="16"/>
  <c r="Y105" i="16"/>
  <c r="Y76" i="16"/>
  <c r="Y60" i="16"/>
  <c r="Y299" i="16"/>
  <c r="Y170" i="16"/>
  <c r="Y106" i="16"/>
  <c r="Y66" i="16"/>
  <c r="Y234" i="16"/>
  <c r="Y222" i="16"/>
  <c r="Y152" i="16"/>
  <c r="Y298" i="16"/>
  <c r="Y305" i="16"/>
  <c r="Y74" i="16"/>
  <c r="Y48" i="16"/>
  <c r="Y36" i="16"/>
  <c r="Y150" i="16"/>
  <c r="Y156" i="16"/>
  <c r="Y184" i="16"/>
  <c r="Y136" i="16"/>
  <c r="Y322" i="16"/>
  <c r="Y104" i="16"/>
  <c r="Y168" i="16"/>
  <c r="Y154" i="16"/>
  <c r="Y138" i="16"/>
  <c r="Y140" i="16"/>
  <c r="Y267" i="16"/>
  <c r="Y213" i="16"/>
  <c r="Y290" i="16"/>
  <c r="Y271" i="16"/>
  <c r="Y224" i="16"/>
  <c r="Y278" i="16"/>
  <c r="Y217" i="16"/>
  <c r="Y113" i="16"/>
  <c r="Y101" i="16"/>
  <c r="Y90" i="16"/>
  <c r="Y295" i="16"/>
  <c r="Y206" i="16"/>
  <c r="Y133" i="16"/>
  <c r="Y132" i="16"/>
  <c r="Y176" i="16"/>
  <c r="Y172" i="16"/>
  <c r="Y291" i="16"/>
  <c r="Y194" i="16"/>
  <c r="Y276" i="16"/>
  <c r="Y228" i="16"/>
  <c r="Y212" i="16"/>
  <c r="Y311" i="16"/>
  <c r="Y55" i="16"/>
  <c r="Y236" i="16"/>
  <c r="Y109" i="16"/>
  <c r="Y169" i="16"/>
  <c r="Y318" i="16"/>
  <c r="Y220" i="16"/>
  <c r="Y61" i="16"/>
  <c r="Y218" i="16"/>
  <c r="Y97" i="16"/>
  <c r="Y135" i="16"/>
  <c r="Y268" i="16"/>
  <c r="Y317" i="16"/>
  <c r="Y210" i="16"/>
  <c r="Y244" i="16"/>
  <c r="Y245" i="16"/>
  <c r="Y219" i="16"/>
  <c r="Y108" i="16"/>
  <c r="Y158" i="16"/>
  <c r="Y178" i="16"/>
  <c r="Y323" i="16"/>
  <c r="Y316" i="16"/>
  <c r="Y118" i="16"/>
  <c r="Y42" i="16"/>
  <c r="Y185" i="16"/>
  <c r="Y62" i="16"/>
  <c r="Y183" i="16"/>
  <c r="Y149" i="16"/>
  <c r="Y202" i="16"/>
  <c r="Y252" i="16"/>
  <c r="Y163" i="16"/>
  <c r="Y190" i="16"/>
  <c r="Y263" i="16"/>
  <c r="Y242" i="16"/>
  <c r="Y283" i="16"/>
  <c r="Y100" i="16"/>
  <c r="Y81" i="16"/>
  <c r="Y43" i="16"/>
  <c r="Y238" i="16"/>
  <c r="Y261" i="16"/>
  <c r="Y251" i="16"/>
  <c r="Y260" i="16"/>
  <c r="Y116" i="16"/>
  <c r="Y52" i="16"/>
  <c r="Y275" i="16"/>
  <c r="Y37" i="16"/>
  <c r="Y92" i="16"/>
  <c r="Y70" i="16"/>
  <c r="Y230" i="16"/>
  <c r="Y177" i="16"/>
  <c r="Y233" i="16"/>
  <c r="Y198" i="16"/>
  <c r="Y197" i="16"/>
  <c r="Y39" i="16"/>
  <c r="Y102" i="16"/>
  <c r="Y147" i="16"/>
  <c r="Y128" i="16"/>
  <c r="Y235" i="16"/>
  <c r="Y279" i="16"/>
  <c r="Y46" i="16"/>
  <c r="Y107" i="16"/>
  <c r="Y50" i="16"/>
  <c r="Y166" i="16"/>
  <c r="Y53" i="16"/>
  <c r="Y164" i="16"/>
  <c r="Y243" i="16"/>
  <c r="Y57" i="16"/>
  <c r="Y264" i="16"/>
  <c r="Y241" i="16"/>
  <c r="Y307" i="16"/>
  <c r="Y65" i="16"/>
  <c r="Y160" i="16"/>
  <c r="Y82" i="16"/>
  <c r="Y58" i="16"/>
  <c r="Y209" i="16"/>
  <c r="Y200" i="16"/>
  <c r="Y320" i="16"/>
  <c r="Y59" i="16"/>
  <c r="Y262" i="16"/>
  <c r="Y308" i="16"/>
  <c r="Y155" i="16"/>
  <c r="Y249" i="16"/>
  <c r="Y44" i="16"/>
  <c r="Y256" i="16"/>
  <c r="Y300" i="16"/>
  <c r="Y143" i="16"/>
  <c r="Y253" i="16"/>
  <c r="D206" i="16"/>
  <c r="E206" i="16"/>
  <c r="E80" i="16"/>
  <c r="D80" i="16"/>
  <c r="E255" i="16"/>
  <c r="D255" i="16"/>
  <c r="V223" i="16"/>
  <c r="V243" i="16"/>
  <c r="V226" i="16"/>
  <c r="V187" i="16"/>
  <c r="V83" i="16"/>
  <c r="V284" i="16"/>
  <c r="V257" i="16"/>
  <c r="V127" i="16"/>
  <c r="V52" i="16"/>
  <c r="V103" i="16"/>
  <c r="V193" i="16"/>
  <c r="V98" i="16"/>
  <c r="V169" i="16"/>
  <c r="V303" i="16"/>
  <c r="V230" i="16"/>
  <c r="V214" i="16"/>
  <c r="V68" i="16"/>
  <c r="V235" i="16"/>
  <c r="V147" i="16"/>
  <c r="V126" i="16"/>
  <c r="V227" i="16"/>
  <c r="V302" i="16"/>
  <c r="V119" i="16"/>
  <c r="V157" i="16"/>
  <c r="V58" i="16"/>
  <c r="V150" i="16"/>
  <c r="V77" i="16"/>
  <c r="V140" i="16"/>
  <c r="V115" i="16"/>
  <c r="V273" i="16"/>
  <c r="V231" i="16"/>
  <c r="V69" i="16"/>
  <c r="V268" i="16"/>
  <c r="V45" i="16"/>
  <c r="V184" i="16"/>
  <c r="V199" i="16"/>
  <c r="V238" i="16"/>
  <c r="V189" i="16"/>
  <c r="V297" i="16"/>
  <c r="V322" i="16"/>
  <c r="V285" i="16"/>
  <c r="V204" i="16"/>
  <c r="V324" i="16"/>
  <c r="V252" i="16"/>
  <c r="V44" i="16"/>
  <c r="V65" i="16"/>
  <c r="V101" i="16"/>
  <c r="V317" i="16"/>
  <c r="V84" i="16"/>
  <c r="V79" i="16"/>
  <c r="V254" i="16"/>
  <c r="V63" i="16"/>
  <c r="V131" i="16"/>
  <c r="V111" i="16"/>
  <c r="V188" i="16"/>
  <c r="V325" i="16"/>
  <c r="V310" i="16"/>
  <c r="V259" i="16"/>
  <c r="V136" i="16"/>
  <c r="V266" i="16"/>
  <c r="V177" i="16"/>
  <c r="V35" i="16"/>
  <c r="V116" i="16"/>
  <c r="V142" i="16"/>
  <c r="V129" i="16"/>
  <c r="V161" i="16"/>
  <c r="V151" i="16"/>
  <c r="V242" i="16"/>
  <c r="V162" i="16"/>
  <c r="V171" i="16"/>
  <c r="V93" i="16"/>
  <c r="V265" i="16"/>
  <c r="V261" i="16"/>
  <c r="V110" i="16"/>
  <c r="V295" i="16"/>
  <c r="V294" i="16"/>
  <c r="V293" i="16"/>
  <c r="V256" i="16"/>
  <c r="V62" i="16"/>
  <c r="V97" i="16"/>
  <c r="V210" i="16"/>
  <c r="V82" i="16"/>
  <c r="V71" i="16"/>
  <c r="V215" i="16"/>
  <c r="V122" i="16"/>
  <c r="V59" i="16"/>
  <c r="V244" i="16"/>
  <c r="V309" i="16"/>
  <c r="V192" i="16"/>
  <c r="V306" i="16"/>
  <c r="V61" i="16"/>
  <c r="V282" i="16"/>
  <c r="V128" i="16"/>
  <c r="V139" i="16"/>
  <c r="V258" i="16"/>
  <c r="V176" i="16"/>
  <c r="V49" i="16"/>
  <c r="V92" i="16"/>
  <c r="V207" i="16"/>
  <c r="V203" i="16"/>
  <c r="V183" i="16"/>
  <c r="V159" i="16"/>
  <c r="V236" i="16"/>
  <c r="V313" i="16"/>
  <c r="V112" i="16"/>
  <c r="V72" i="16"/>
  <c r="V267" i="16"/>
  <c r="V308" i="16"/>
  <c r="V42" i="16"/>
  <c r="V250" i="16"/>
  <c r="V220" i="16"/>
  <c r="V272" i="16"/>
  <c r="V323" i="16"/>
  <c r="V263" i="16"/>
  <c r="V318" i="16"/>
  <c r="V217" i="16"/>
  <c r="V286" i="16"/>
  <c r="V114" i="16"/>
  <c r="V299" i="16"/>
  <c r="V145" i="16"/>
  <c r="V48" i="16"/>
  <c r="V64" i="16"/>
  <c r="V304" i="16"/>
  <c r="V57" i="16"/>
  <c r="V300" i="16"/>
  <c r="V321" i="16"/>
  <c r="V141" i="16"/>
  <c r="V291" i="16"/>
  <c r="V87" i="16"/>
  <c r="V253" i="16"/>
  <c r="V66" i="16"/>
  <c r="V245" i="16"/>
  <c r="V173" i="16"/>
  <c r="V274" i="16"/>
  <c r="V298" i="16"/>
  <c r="V78" i="16"/>
  <c r="V138" i="16"/>
  <c r="V39" i="16"/>
  <c r="V280" i="16"/>
  <c r="V219" i="16"/>
  <c r="V88" i="16"/>
  <c r="V152" i="16"/>
  <c r="V255" i="16"/>
  <c r="V121" i="16"/>
  <c r="V156" i="16"/>
  <c r="V167" i="16"/>
  <c r="V307" i="16"/>
  <c r="V182" i="16"/>
  <c r="V233" i="16"/>
  <c r="V135" i="16"/>
  <c r="V234" i="16"/>
  <c r="V247" i="16"/>
  <c r="V86" i="16"/>
  <c r="V277" i="16"/>
  <c r="V132" i="16"/>
  <c r="V195" i="16"/>
  <c r="V108" i="16"/>
  <c r="V56" i="16"/>
  <c r="V96" i="16"/>
  <c r="V120" i="16"/>
  <c r="V201" i="16"/>
  <c r="V85" i="16"/>
  <c r="V109" i="16"/>
  <c r="V100" i="16"/>
  <c r="V89" i="16"/>
  <c r="V43" i="16"/>
  <c r="V38" i="16"/>
  <c r="V320" i="16"/>
  <c r="V216" i="16"/>
  <c r="V54" i="16"/>
  <c r="V239" i="16"/>
  <c r="V123" i="16"/>
  <c r="V41" i="16"/>
  <c r="V276" i="16"/>
  <c r="V178" i="16"/>
  <c r="V125" i="16"/>
  <c r="V94" i="16"/>
  <c r="V124" i="16"/>
  <c r="V208" i="16"/>
  <c r="V118" i="16"/>
  <c r="V106" i="16"/>
  <c r="V229" i="16"/>
  <c r="V264" i="16"/>
  <c r="V202" i="16"/>
  <c r="V67" i="16"/>
  <c r="V196" i="16"/>
  <c r="V248" i="16"/>
  <c r="V80" i="16"/>
  <c r="V149" i="16"/>
  <c r="V174" i="16"/>
  <c r="V105" i="16"/>
  <c r="V240" i="16"/>
  <c r="V179" i="16"/>
  <c r="V154" i="16"/>
  <c r="V165" i="16"/>
  <c r="V144" i="16"/>
  <c r="V212" i="16"/>
  <c r="V160" i="16"/>
  <c r="V36" i="16"/>
  <c r="V37" i="16"/>
  <c r="V311" i="16"/>
  <c r="V185" i="16"/>
  <c r="V262" i="16"/>
  <c r="V228" i="16"/>
  <c r="V172" i="16"/>
  <c r="V170" i="16"/>
  <c r="V222" i="16"/>
  <c r="V146" i="16"/>
  <c r="V283" i="16"/>
  <c r="V260" i="16"/>
  <c r="V137" i="16"/>
  <c r="V117" i="16"/>
  <c r="V73" i="16"/>
  <c r="V221" i="16"/>
  <c r="V186" i="16"/>
  <c r="V47" i="16"/>
  <c r="V281" i="16"/>
  <c r="V279" i="16"/>
  <c r="V225" i="16"/>
  <c r="V271" i="16"/>
  <c r="V166" i="16"/>
  <c r="V197" i="16"/>
  <c r="V316" i="16"/>
  <c r="V133" i="16"/>
  <c r="V206" i="16"/>
  <c r="V148" i="16"/>
  <c r="V153" i="16"/>
  <c r="V278" i="16"/>
  <c r="V301" i="16"/>
  <c r="V249" i="16"/>
  <c r="V241" i="16"/>
  <c r="V99" i="16"/>
  <c r="V104" i="16"/>
  <c r="V314" i="16"/>
  <c r="V290" i="16"/>
  <c r="V175" i="16"/>
  <c r="V95" i="16"/>
  <c r="V218" i="16"/>
  <c r="V168" i="16"/>
  <c r="V181" i="16"/>
  <c r="V237" i="16"/>
  <c r="V76" i="16"/>
  <c r="V200" i="16"/>
  <c r="V90" i="16"/>
  <c r="V134" i="16"/>
  <c r="V113" i="16"/>
  <c r="V60" i="16"/>
  <c r="V319" i="16"/>
  <c r="V143" i="16"/>
  <c r="V246" i="16"/>
  <c r="V296" i="16"/>
  <c r="V194" i="16"/>
  <c r="V50" i="16"/>
  <c r="V164" i="16"/>
  <c r="V102" i="16"/>
  <c r="V224" i="16"/>
  <c r="V155" i="16"/>
  <c r="V74" i="16"/>
  <c r="V312" i="16"/>
  <c r="V163" i="16"/>
  <c r="V107" i="16"/>
  <c r="V70" i="16"/>
  <c r="V251" i="16"/>
  <c r="V211" i="16"/>
  <c r="V158" i="16"/>
  <c r="V55" i="16"/>
  <c r="V287" i="16"/>
  <c r="V213" i="16"/>
  <c r="V275" i="16"/>
  <c r="V130" i="16"/>
  <c r="V232" i="16"/>
  <c r="V75" i="16"/>
  <c r="V270" i="16"/>
  <c r="V53" i="16"/>
  <c r="V180" i="16"/>
  <c r="V81" i="16"/>
  <c r="V209" i="16"/>
  <c r="V269" i="16"/>
  <c r="V46" i="16"/>
  <c r="V315" i="16"/>
  <c r="V288" i="16"/>
  <c r="V191" i="16"/>
  <c r="V40" i="16"/>
  <c r="V190" i="16"/>
  <c r="V51" i="16"/>
  <c r="V205" i="16"/>
  <c r="V305" i="16"/>
  <c r="V292" i="16"/>
  <c r="V91" i="16"/>
  <c r="V198" i="16"/>
  <c r="V289" i="16"/>
  <c r="E192" i="16"/>
  <c r="D192" i="16"/>
  <c r="E120" i="16"/>
  <c r="D120" i="16"/>
  <c r="E90" i="16"/>
  <c r="D90" i="16"/>
  <c r="E108" i="16"/>
  <c r="D108" i="16"/>
  <c r="E189" i="16"/>
  <c r="D189" i="16"/>
  <c r="E173" i="16"/>
  <c r="D173" i="16"/>
  <c r="E158" i="16"/>
  <c r="D158" i="16"/>
  <c r="E142" i="16"/>
  <c r="D142" i="16"/>
  <c r="E126" i="16"/>
  <c r="D126" i="16"/>
  <c r="E109" i="16"/>
  <c r="D109" i="16"/>
  <c r="E93" i="16"/>
  <c r="D93" i="16"/>
  <c r="E77" i="16"/>
  <c r="D77" i="16"/>
  <c r="E267" i="16"/>
  <c r="D267" i="16"/>
  <c r="D46" i="16"/>
  <c r="E46" i="16"/>
  <c r="E268" i="16"/>
  <c r="D268" i="16"/>
  <c r="E217" i="16"/>
  <c r="D217" i="16"/>
  <c r="E169" i="16"/>
  <c r="D169" i="16"/>
  <c r="E105" i="16"/>
  <c r="D105" i="16"/>
  <c r="I177" i="16"/>
  <c r="I222" i="16"/>
  <c r="I301" i="16"/>
  <c r="I178" i="16"/>
  <c r="I186" i="16"/>
  <c r="I39" i="16"/>
  <c r="I114" i="16"/>
  <c r="I50" i="16"/>
  <c r="I140" i="16"/>
  <c r="I216" i="16"/>
  <c r="I288" i="16"/>
  <c r="I244" i="16"/>
  <c r="I59" i="16"/>
  <c r="I132" i="16"/>
  <c r="I159" i="16"/>
  <c r="I182" i="16"/>
  <c r="I218" i="16"/>
  <c r="I192" i="16"/>
  <c r="I156" i="16"/>
  <c r="I41" i="16"/>
  <c r="I125" i="16"/>
  <c r="I311" i="16"/>
  <c r="I75" i="16"/>
  <c r="I229" i="16"/>
  <c r="I190" i="16"/>
  <c r="I207" i="16"/>
  <c r="I271" i="16"/>
  <c r="I173" i="16"/>
  <c r="I199" i="16"/>
  <c r="I82" i="16"/>
  <c r="I188" i="16"/>
  <c r="I133" i="16"/>
  <c r="I60" i="16"/>
  <c r="I184" i="16"/>
  <c r="I124" i="16"/>
  <c r="I312" i="16"/>
  <c r="I183" i="16"/>
  <c r="I259" i="16"/>
  <c r="I212" i="16"/>
  <c r="I279" i="16"/>
  <c r="I42" i="16"/>
  <c r="I100" i="16"/>
  <c r="I239" i="16"/>
  <c r="I162" i="16"/>
  <c r="I240" i="16"/>
  <c r="I287" i="16"/>
  <c r="I272" i="16"/>
  <c r="I319" i="16"/>
  <c r="I43" i="16"/>
  <c r="I257" i="16"/>
  <c r="I115" i="16"/>
  <c r="I321" i="16"/>
  <c r="I273" i="16"/>
  <c r="I141" i="16"/>
  <c r="I203" i="16"/>
  <c r="I168" i="16"/>
  <c r="I302" i="16"/>
  <c r="I265" i="16"/>
  <c r="I306" i="16"/>
  <c r="I109" i="16"/>
  <c r="I110" i="16"/>
  <c r="I135" i="16"/>
  <c r="I246" i="16"/>
  <c r="I198" i="16"/>
  <c r="I292" i="16"/>
  <c r="I35" i="16"/>
  <c r="I81" i="16"/>
  <c r="I238" i="16"/>
  <c r="I153" i="16"/>
  <c r="I96" i="16"/>
  <c r="I298" i="16"/>
  <c r="I323" i="16"/>
  <c r="I320" i="16"/>
  <c r="I269" i="16"/>
  <c r="I97" i="16"/>
  <c r="I307" i="16"/>
  <c r="I55" i="16"/>
  <c r="I197" i="16"/>
  <c r="I226" i="16"/>
  <c r="I123" i="16"/>
  <c r="I174" i="16"/>
  <c r="I71" i="16"/>
  <c r="I72" i="16"/>
  <c r="I267" i="16"/>
  <c r="I46" i="16"/>
  <c r="I107" i="16"/>
  <c r="I299" i="16"/>
  <c r="I68" i="16"/>
  <c r="I230" i="16"/>
  <c r="I61" i="16"/>
  <c r="I116" i="16"/>
  <c r="I143" i="16"/>
  <c r="I286" i="16"/>
  <c r="I268" i="16"/>
  <c r="I139" i="16"/>
  <c r="I296" i="16"/>
  <c r="I225" i="16"/>
  <c r="I214" i="16"/>
  <c r="I44" i="16"/>
  <c r="I209" i="16"/>
  <c r="I280" i="16"/>
  <c r="I249" i="16"/>
  <c r="I108" i="16"/>
  <c r="I232" i="16"/>
  <c r="I129" i="16"/>
  <c r="I294" i="16"/>
  <c r="I148" i="16"/>
  <c r="I161" i="16"/>
  <c r="I62" i="16"/>
  <c r="I77" i="16"/>
  <c r="I54" i="16"/>
  <c r="I293" i="16"/>
  <c r="I194" i="16"/>
  <c r="I147" i="16"/>
  <c r="I80" i="16"/>
  <c r="I276" i="16"/>
  <c r="I69" i="16"/>
  <c r="I76" i="16"/>
  <c r="I236" i="16"/>
  <c r="I256" i="16"/>
  <c r="I277" i="16"/>
  <c r="I300" i="16"/>
  <c r="I112" i="16"/>
  <c r="I275" i="16"/>
  <c r="I223" i="16"/>
  <c r="I204" i="16"/>
  <c r="I251" i="16"/>
  <c r="I248" i="16"/>
  <c r="I283" i="16"/>
  <c r="I314" i="16"/>
  <c r="I93" i="16"/>
  <c r="I213" i="16"/>
  <c r="I127" i="16"/>
  <c r="I201" i="16"/>
  <c r="I243" i="16"/>
  <c r="I56" i="16"/>
  <c r="I74" i="16"/>
  <c r="I58" i="16"/>
  <c r="I144" i="16"/>
  <c r="I166" i="16"/>
  <c r="I121" i="16"/>
  <c r="I171" i="16"/>
  <c r="I126" i="16"/>
  <c r="I90" i="16"/>
  <c r="I51" i="16"/>
  <c r="I261" i="16"/>
  <c r="I295" i="16"/>
  <c r="I282" i="16"/>
  <c r="I73" i="16"/>
  <c r="I227" i="16"/>
  <c r="I315" i="16"/>
  <c r="I241" i="16"/>
  <c r="I172" i="16"/>
  <c r="I228" i="16"/>
  <c r="I122" i="16"/>
  <c r="I91" i="16"/>
  <c r="I185" i="16"/>
  <c r="I278" i="16"/>
  <c r="I305" i="16"/>
  <c r="I146" i="16"/>
  <c r="I106" i="16"/>
  <c r="I152" i="16"/>
  <c r="I154" i="16"/>
  <c r="I291" i="16"/>
  <c r="I49" i="16"/>
  <c r="I158" i="16"/>
  <c r="I45" i="16"/>
  <c r="I40" i="16"/>
  <c r="I325" i="16"/>
  <c r="I87" i="16"/>
  <c r="I85" i="16"/>
  <c r="I258" i="16"/>
  <c r="I165" i="16"/>
  <c r="I253" i="16"/>
  <c r="I164" i="16"/>
  <c r="I92" i="16"/>
  <c r="I136" i="16"/>
  <c r="I233" i="16"/>
  <c r="I313" i="16"/>
  <c r="I169" i="16"/>
  <c r="I48" i="16"/>
  <c r="I237" i="16"/>
  <c r="I94" i="16"/>
  <c r="I142" i="16"/>
  <c r="I149" i="16"/>
  <c r="I181" i="16"/>
  <c r="I309" i="16"/>
  <c r="I105" i="16"/>
  <c r="I179" i="16"/>
  <c r="I284" i="16"/>
  <c r="I167" i="16"/>
  <c r="I37" i="16"/>
  <c r="I303" i="16"/>
  <c r="I308" i="16"/>
  <c r="I266" i="16"/>
  <c r="I297" i="16"/>
  <c r="I137" i="16"/>
  <c r="I83" i="16"/>
  <c r="I113" i="16"/>
  <c r="I189" i="16"/>
  <c r="I254" i="16"/>
  <c r="I289" i="16"/>
  <c r="I211" i="16"/>
  <c r="I206" i="16"/>
  <c r="I252" i="16"/>
  <c r="I131" i="16"/>
  <c r="I84" i="16"/>
  <c r="I95" i="16"/>
  <c r="I220" i="16"/>
  <c r="I245" i="16"/>
  <c r="I63" i="16"/>
  <c r="I234" i="16"/>
  <c r="I290" i="16"/>
  <c r="I170" i="16"/>
  <c r="I111" i="16"/>
  <c r="I224" i="16"/>
  <c r="I104" i="16"/>
  <c r="I247" i="16"/>
  <c r="I160" i="16"/>
  <c r="I285" i="16"/>
  <c r="I138" i="16"/>
  <c r="I86" i="16"/>
  <c r="I175" i="16"/>
  <c r="I191" i="16"/>
  <c r="I118" i="16"/>
  <c r="I78" i="16"/>
  <c r="I250" i="16"/>
  <c r="I176" i="16"/>
  <c r="I180" i="16"/>
  <c r="I219" i="16"/>
  <c r="I235" i="16"/>
  <c r="I57" i="16"/>
  <c r="I98" i="16"/>
  <c r="I52" i="16"/>
  <c r="I101" i="16"/>
  <c r="I196" i="16"/>
  <c r="I274" i="16"/>
  <c r="I205" i="16"/>
  <c r="I119" i="16"/>
  <c r="I210" i="16"/>
  <c r="I324" i="16"/>
  <c r="I322" i="16"/>
  <c r="I38" i="16"/>
  <c r="I53" i="16"/>
  <c r="I103" i="16"/>
  <c r="I217" i="16"/>
  <c r="I47" i="16"/>
  <c r="I187" i="16"/>
  <c r="I88" i="16"/>
  <c r="I195" i="16"/>
  <c r="I36" i="16"/>
  <c r="I310" i="16"/>
  <c r="I193" i="16"/>
  <c r="I263" i="16"/>
  <c r="I264" i="16"/>
  <c r="I270" i="16"/>
  <c r="I260" i="16"/>
  <c r="I99" i="16"/>
  <c r="I242" i="16"/>
  <c r="I163" i="16"/>
  <c r="I79" i="16"/>
  <c r="I215" i="16"/>
  <c r="I130" i="16"/>
  <c r="I134" i="16"/>
  <c r="I221" i="16"/>
  <c r="I66" i="16"/>
  <c r="I64" i="16"/>
  <c r="I89" i="16"/>
  <c r="I262" i="16"/>
  <c r="I318" i="16"/>
  <c r="I317" i="16"/>
  <c r="I231" i="16"/>
  <c r="I281" i="16"/>
  <c r="I145" i="16"/>
  <c r="I150" i="16"/>
  <c r="I70" i="16"/>
  <c r="I67" i="16"/>
  <c r="I120" i="16"/>
  <c r="I65" i="16"/>
  <c r="I316" i="16"/>
  <c r="I155" i="16"/>
  <c r="I151" i="16"/>
  <c r="I200" i="16"/>
  <c r="I117" i="16"/>
  <c r="I157" i="16"/>
  <c r="I255" i="16"/>
  <c r="I208" i="16"/>
  <c r="I128" i="16"/>
  <c r="I304" i="16"/>
  <c r="I102" i="16"/>
  <c r="I202" i="16"/>
  <c r="E143" i="16"/>
  <c r="D143" i="16"/>
  <c r="E64" i="16"/>
  <c r="D64" i="16"/>
  <c r="E239" i="16"/>
  <c r="D239" i="16"/>
  <c r="E104" i="16"/>
  <c r="D104" i="16"/>
  <c r="E253" i="16"/>
  <c r="D253" i="16"/>
  <c r="E223" i="16"/>
  <c r="D223" i="16"/>
  <c r="E309" i="16"/>
  <c r="D309" i="16"/>
  <c r="E295" i="16"/>
  <c r="D295" i="16"/>
  <c r="E235" i="16"/>
  <c r="D235" i="16"/>
  <c r="E157" i="16"/>
  <c r="D157" i="16"/>
  <c r="E141" i="16"/>
  <c r="D141" i="16"/>
  <c r="E125" i="16"/>
  <c r="D125" i="16"/>
  <c r="E171" i="16"/>
  <c r="D171" i="16"/>
  <c r="E139" i="16"/>
  <c r="D139" i="16"/>
  <c r="E43" i="16"/>
  <c r="D43" i="16"/>
  <c r="E281" i="16"/>
  <c r="D281" i="16"/>
  <c r="E220" i="16"/>
  <c r="D220" i="16"/>
  <c r="E204" i="16"/>
  <c r="D204" i="16"/>
  <c r="E188" i="16"/>
  <c r="D188" i="16"/>
  <c r="E297" i="16"/>
  <c r="D297" i="16"/>
  <c r="E251" i="16"/>
  <c r="D251" i="16"/>
  <c r="E159" i="16"/>
  <c r="D159" i="16"/>
  <c r="E270" i="16"/>
  <c r="D270" i="16"/>
  <c r="E75" i="16"/>
  <c r="D75" i="16"/>
  <c r="N50" i="16"/>
  <c r="N135" i="16"/>
  <c r="N180" i="16"/>
  <c r="N272" i="16"/>
  <c r="N173" i="16"/>
  <c r="N106" i="16"/>
  <c r="N280" i="16"/>
  <c r="N51" i="16"/>
  <c r="N49" i="16"/>
  <c r="N286" i="16"/>
  <c r="N39" i="16"/>
  <c r="N276" i="16"/>
  <c r="N80" i="16"/>
  <c r="N55" i="16"/>
  <c r="N113" i="16"/>
  <c r="N57" i="16"/>
  <c r="N84" i="16"/>
  <c r="N123" i="16"/>
  <c r="N253" i="16"/>
  <c r="N117" i="16"/>
  <c r="N125" i="16"/>
  <c r="N52" i="16"/>
  <c r="N245" i="16"/>
  <c r="N186" i="16"/>
  <c r="N310" i="16"/>
  <c r="N265" i="16"/>
  <c r="N266" i="16"/>
  <c r="N136" i="16"/>
  <c r="N56" i="16"/>
  <c r="N185" i="16"/>
  <c r="N62" i="16"/>
  <c r="N201" i="16"/>
  <c r="N165" i="16"/>
  <c r="N58" i="16"/>
  <c r="N222" i="16"/>
  <c r="N161" i="16"/>
  <c r="N267" i="16"/>
  <c r="N230" i="16"/>
  <c r="N296" i="16"/>
  <c r="N73" i="16"/>
  <c r="N212" i="16"/>
  <c r="N325" i="16"/>
  <c r="N105" i="16"/>
  <c r="N225" i="16"/>
  <c r="N298" i="16"/>
  <c r="N207" i="16"/>
  <c r="N82" i="16"/>
  <c r="N172" i="16"/>
  <c r="N116" i="16"/>
  <c r="N255" i="16"/>
  <c r="N320" i="16"/>
  <c r="N260" i="16"/>
  <c r="N171" i="16"/>
  <c r="N86" i="16"/>
  <c r="N99" i="16"/>
  <c r="N74" i="16"/>
  <c r="N277" i="16"/>
  <c r="N270" i="16"/>
  <c r="N114" i="16"/>
  <c r="N96" i="16"/>
  <c r="N120" i="16"/>
  <c r="N147" i="16"/>
  <c r="N92" i="16"/>
  <c r="N90" i="16"/>
  <c r="N129" i="16"/>
  <c r="N169" i="16"/>
  <c r="N41" i="16"/>
  <c r="N72" i="16"/>
  <c r="N141" i="16"/>
  <c r="N214" i="16"/>
  <c r="N61" i="16"/>
  <c r="N128" i="16"/>
  <c r="N79" i="16"/>
  <c r="N318" i="16"/>
  <c r="N279" i="16"/>
  <c r="N264" i="16"/>
  <c r="N249" i="16"/>
  <c r="N203" i="16"/>
  <c r="N98" i="16"/>
  <c r="N317" i="16"/>
  <c r="N60" i="16"/>
  <c r="N163" i="16"/>
  <c r="N321" i="16"/>
  <c r="N156" i="16"/>
  <c r="N246" i="16"/>
  <c r="N220" i="16"/>
  <c r="N229" i="16"/>
  <c r="N213" i="16"/>
  <c r="N36" i="16"/>
  <c r="N200" i="16"/>
  <c r="N217" i="16"/>
  <c r="N208" i="16"/>
  <c r="N294" i="16"/>
  <c r="N176" i="16"/>
  <c r="N107" i="16"/>
  <c r="N138" i="16"/>
  <c r="N228" i="16"/>
  <c r="N181" i="16"/>
  <c r="N150" i="16"/>
  <c r="N76" i="16"/>
  <c r="N236" i="16"/>
  <c r="N239" i="16"/>
  <c r="N121" i="16"/>
  <c r="N179" i="16"/>
  <c r="N190" i="16"/>
  <c r="N275" i="16"/>
  <c r="N297" i="16"/>
  <c r="N102" i="16"/>
  <c r="N195" i="16"/>
  <c r="N227" i="16"/>
  <c r="N281" i="16"/>
  <c r="N312" i="16"/>
  <c r="N166" i="16"/>
  <c r="N188" i="16"/>
  <c r="N168" i="16"/>
  <c r="N43" i="16"/>
  <c r="N65" i="16"/>
  <c r="N101" i="16"/>
  <c r="N77" i="16"/>
  <c r="N240" i="16"/>
  <c r="N202" i="16"/>
  <c r="N151" i="16"/>
  <c r="N132" i="16"/>
  <c r="N232" i="16"/>
  <c r="N305" i="16"/>
  <c r="N37" i="16"/>
  <c r="N235" i="16"/>
  <c r="N295" i="16"/>
  <c r="N233" i="16"/>
  <c r="N95" i="16"/>
  <c r="N250" i="16"/>
  <c r="N218" i="16"/>
  <c r="N53" i="16"/>
  <c r="N284" i="16"/>
  <c r="N127" i="16"/>
  <c r="N288" i="16"/>
  <c r="N248" i="16"/>
  <c r="N193" i="16"/>
  <c r="N81" i="16"/>
  <c r="N134" i="16"/>
  <c r="N244" i="16"/>
  <c r="N143" i="16"/>
  <c r="N131" i="16"/>
  <c r="N234" i="16"/>
  <c r="N271" i="16"/>
  <c r="N45" i="16"/>
  <c r="N160" i="16"/>
  <c r="N205" i="16"/>
  <c r="N91" i="16"/>
  <c r="N54" i="16"/>
  <c r="N157" i="16"/>
  <c r="N159" i="16"/>
  <c r="N59" i="16"/>
  <c r="N291" i="16"/>
  <c r="N42" i="16"/>
  <c r="N178" i="16"/>
  <c r="N111" i="16"/>
  <c r="N184" i="16"/>
  <c r="N259" i="16"/>
  <c r="N164" i="16"/>
  <c r="N221" i="16"/>
  <c r="N108" i="16"/>
  <c r="N40" i="16"/>
  <c r="N292" i="16"/>
  <c r="N299" i="16"/>
  <c r="N204" i="16"/>
  <c r="N257" i="16"/>
  <c r="N243" i="16"/>
  <c r="N247" i="16"/>
  <c r="N252" i="16"/>
  <c r="N44" i="16"/>
  <c r="N71" i="16"/>
  <c r="N313" i="16"/>
  <c r="N140" i="16"/>
  <c r="N182" i="16"/>
  <c r="N231" i="16"/>
  <c r="N87" i="16"/>
  <c r="N69" i="16"/>
  <c r="N66" i="16"/>
  <c r="N306" i="16"/>
  <c r="N48" i="16"/>
  <c r="N199" i="16"/>
  <c r="N75" i="16"/>
  <c r="N104" i="16"/>
  <c r="N314" i="16"/>
  <c r="N155" i="16"/>
  <c r="N290" i="16"/>
  <c r="N124" i="16"/>
  <c r="N78" i="16"/>
  <c r="N285" i="16"/>
  <c r="N119" i="16"/>
  <c r="N63" i="16"/>
  <c r="N89" i="16"/>
  <c r="N324" i="16"/>
  <c r="N88" i="16"/>
  <c r="N304" i="16"/>
  <c r="N278" i="16"/>
  <c r="N210" i="16"/>
  <c r="N254" i="16"/>
  <c r="N194" i="16"/>
  <c r="N268" i="16"/>
  <c r="N198" i="16"/>
  <c r="N68" i="16"/>
  <c r="N274" i="16"/>
  <c r="N224" i="16"/>
  <c r="N262" i="16"/>
  <c r="N302" i="16"/>
  <c r="N242" i="16"/>
  <c r="N196" i="16"/>
  <c r="N215" i="16"/>
  <c r="N38" i="16"/>
  <c r="N319" i="16"/>
  <c r="N315" i="16"/>
  <c r="N154" i="16"/>
  <c r="N137" i="16"/>
  <c r="N130" i="16"/>
  <c r="N192" i="16"/>
  <c r="N258" i="16"/>
  <c r="N100" i="16"/>
  <c r="N93" i="16"/>
  <c r="N261" i="16"/>
  <c r="N189" i="16"/>
  <c r="N322" i="16"/>
  <c r="N70" i="16"/>
  <c r="N170" i="16"/>
  <c r="N323" i="16"/>
  <c r="N35" i="16"/>
  <c r="N309" i="16"/>
  <c r="N183" i="16"/>
  <c r="N152" i="16"/>
  <c r="N287" i="16"/>
  <c r="N142" i="16"/>
  <c r="N197" i="16"/>
  <c r="N238" i="16"/>
  <c r="N118" i="16"/>
  <c r="N85" i="16"/>
  <c r="N97" i="16"/>
  <c r="N308" i="16"/>
  <c r="N158" i="16"/>
  <c r="N103" i="16"/>
  <c r="N64" i="16"/>
  <c r="N148" i="16"/>
  <c r="N283" i="16"/>
  <c r="N149" i="16"/>
  <c r="N46" i="16"/>
  <c r="N300" i="16"/>
  <c r="N269" i="16"/>
  <c r="N301" i="16"/>
  <c r="N241" i="16"/>
  <c r="N126" i="16"/>
  <c r="N162" i="16"/>
  <c r="N316" i="16"/>
  <c r="N94" i="16"/>
  <c r="N226" i="16"/>
  <c r="N139" i="16"/>
  <c r="N289" i="16"/>
  <c r="N83" i="16"/>
  <c r="N47" i="16"/>
  <c r="N273" i="16"/>
  <c r="N177" i="16"/>
  <c r="N211" i="16"/>
  <c r="N174" i="16"/>
  <c r="N122" i="16"/>
  <c r="N133" i="16"/>
  <c r="N153" i="16"/>
  <c r="N307" i="16"/>
  <c r="N311" i="16"/>
  <c r="N145" i="16"/>
  <c r="N115" i="16"/>
  <c r="N144" i="16"/>
  <c r="N175" i="16"/>
  <c r="N167" i="16"/>
  <c r="N146" i="16"/>
  <c r="N237" i="16"/>
  <c r="N219" i="16"/>
  <c r="N191" i="16"/>
  <c r="N223" i="16"/>
  <c r="N282" i="16"/>
  <c r="N206" i="16"/>
  <c r="N293" i="16"/>
  <c r="N209" i="16"/>
  <c r="N110" i="16"/>
  <c r="N256" i="16"/>
  <c r="N263" i="16"/>
  <c r="N251" i="16"/>
  <c r="N303" i="16"/>
  <c r="N67" i="16"/>
  <c r="N112" i="16"/>
  <c r="N109" i="16"/>
  <c r="N216" i="16"/>
  <c r="N187" i="16"/>
  <c r="E151" i="16"/>
  <c r="D151" i="16"/>
  <c r="D88" i="16"/>
  <c r="E88" i="16"/>
  <c r="D324" i="16"/>
  <c r="E324" i="16"/>
  <c r="E167" i="16"/>
  <c r="D167" i="16"/>
  <c r="E233" i="16"/>
  <c r="D233" i="16"/>
  <c r="D57" i="16"/>
  <c r="E57" i="16"/>
  <c r="E219" i="16"/>
  <c r="D219" i="16"/>
  <c r="E203" i="16"/>
  <c r="D203" i="16"/>
  <c r="E187" i="16"/>
  <c r="D187" i="16"/>
  <c r="E161" i="16"/>
  <c r="D161" i="16"/>
  <c r="E172" i="16"/>
  <c r="D172" i="16"/>
  <c r="E52" i="16"/>
  <c r="D52" i="16"/>
  <c r="E214" i="16"/>
  <c r="D214" i="16"/>
  <c r="E265" i="16"/>
  <c r="D265" i="16"/>
  <c r="E250" i="16"/>
  <c r="D250" i="16"/>
  <c r="E234" i="16"/>
  <c r="D234" i="16"/>
  <c r="E45" i="16"/>
  <c r="D45" i="16"/>
  <c r="E311" i="16"/>
  <c r="D311" i="16"/>
  <c r="E294" i="16"/>
  <c r="D294" i="16"/>
  <c r="E198" i="16"/>
  <c r="D198" i="16"/>
  <c r="E135" i="16"/>
  <c r="D135" i="16"/>
  <c r="D72" i="16"/>
  <c r="E72" i="16"/>
  <c r="D308" i="16"/>
  <c r="E308" i="16"/>
  <c r="D292" i="16"/>
  <c r="E292" i="16"/>
  <c r="E130" i="16"/>
  <c r="D130" i="16"/>
  <c r="D99" i="16"/>
  <c r="E99" i="16"/>
  <c r="D232" i="16"/>
  <c r="E232" i="16"/>
  <c r="D216" i="16"/>
  <c r="E216" i="16"/>
  <c r="E200" i="16"/>
  <c r="D200" i="16"/>
  <c r="D184" i="16"/>
  <c r="E184" i="16"/>
  <c r="E218" i="16"/>
  <c r="D218" i="16"/>
  <c r="E304" i="16"/>
  <c r="D304" i="16"/>
  <c r="E254" i="16"/>
  <c r="D254" i="16"/>
  <c r="E293" i="16"/>
  <c r="D293" i="16"/>
  <c r="E76" i="16"/>
  <c r="D76" i="16"/>
  <c r="E59" i="16"/>
  <c r="D59" i="16"/>
  <c r="E42" i="16"/>
  <c r="D42" i="16"/>
  <c r="E247" i="16"/>
  <c r="D247" i="16"/>
  <c r="E89" i="16"/>
  <c r="D89" i="16"/>
  <c r="X218" i="16"/>
  <c r="X62" i="16"/>
  <c r="X67" i="16"/>
  <c r="X236" i="16"/>
  <c r="X150" i="16"/>
  <c r="X119" i="16"/>
  <c r="X271" i="16"/>
  <c r="X302" i="16"/>
  <c r="X306" i="16"/>
  <c r="X148" i="16"/>
  <c r="X242" i="16"/>
  <c r="X96" i="16"/>
  <c r="X78" i="16"/>
  <c r="X296" i="16"/>
  <c r="X158" i="16"/>
  <c r="X222" i="16"/>
  <c r="X288" i="16"/>
  <c r="X75" i="16"/>
  <c r="X291" i="16"/>
  <c r="X267" i="16"/>
  <c r="X71" i="16"/>
  <c r="X322" i="16"/>
  <c r="X82" i="16"/>
  <c r="X149" i="16"/>
  <c r="X212" i="16"/>
  <c r="X309" i="16"/>
  <c r="X245" i="16"/>
  <c r="X173" i="16"/>
  <c r="X240" i="16"/>
  <c r="X319" i="16"/>
  <c r="X221" i="16"/>
  <c r="X55" i="16"/>
  <c r="X144" i="16"/>
  <c r="X98" i="16"/>
  <c r="X170" i="16"/>
  <c r="X307" i="16"/>
  <c r="X213" i="16"/>
  <c r="X275" i="16"/>
  <c r="X137" i="16"/>
  <c r="X121" i="16"/>
  <c r="X219" i="16"/>
  <c r="X122" i="16"/>
  <c r="X228" i="16"/>
  <c r="X132" i="16"/>
  <c r="X50" i="16"/>
  <c r="X254" i="16"/>
  <c r="X216" i="16"/>
  <c r="X211" i="16"/>
  <c r="X48" i="16"/>
  <c r="X99" i="16"/>
  <c r="X295" i="16"/>
  <c r="X74" i="16"/>
  <c r="X191" i="16"/>
  <c r="X91" i="16"/>
  <c r="X109" i="16"/>
  <c r="X166" i="16"/>
  <c r="X305" i="16"/>
  <c r="X264" i="16"/>
  <c r="X123" i="16"/>
  <c r="X143" i="16"/>
  <c r="X227" i="16"/>
  <c r="X65" i="16"/>
  <c r="X133" i="16"/>
  <c r="X230" i="16"/>
  <c r="X163" i="16"/>
  <c r="X314" i="16"/>
  <c r="X281" i="16"/>
  <c r="X192" i="16"/>
  <c r="X316" i="16"/>
  <c r="X278" i="16"/>
  <c r="X47" i="16"/>
  <c r="X201" i="16"/>
  <c r="X250" i="16"/>
  <c r="X36" i="16"/>
  <c r="X57" i="16"/>
  <c r="X176" i="16"/>
  <c r="X177" i="16"/>
  <c r="X72" i="16"/>
  <c r="X261" i="16"/>
  <c r="X134" i="16"/>
  <c r="X224" i="16"/>
  <c r="X263" i="16"/>
  <c r="X272" i="16"/>
  <c r="X193" i="16"/>
  <c r="X205" i="16"/>
  <c r="X299" i="16"/>
  <c r="X68" i="16"/>
  <c r="X35" i="16"/>
  <c r="X270" i="16"/>
  <c r="X315" i="16"/>
  <c r="X153" i="16"/>
  <c r="X187" i="16"/>
  <c r="X58" i="16"/>
  <c r="X152" i="16"/>
  <c r="X184" i="16"/>
  <c r="X108" i="16"/>
  <c r="X44" i="16"/>
  <c r="X70" i="16"/>
  <c r="X90" i="16"/>
  <c r="X85" i="16"/>
  <c r="X207" i="16"/>
  <c r="X209" i="16"/>
  <c r="X182" i="16"/>
  <c r="X312" i="16"/>
  <c r="X183" i="16"/>
  <c r="X279" i="16"/>
  <c r="X180" i="16"/>
  <c r="X174" i="16"/>
  <c r="X63" i="16"/>
  <c r="X43" i="16"/>
  <c r="X225" i="16"/>
  <c r="X247" i="16"/>
  <c r="X285" i="16"/>
  <c r="X113" i="16"/>
  <c r="X154" i="16"/>
  <c r="X199" i="16"/>
  <c r="X258" i="16"/>
  <c r="X204" i="16"/>
  <c r="X262" i="16"/>
  <c r="X243" i="16"/>
  <c r="X104" i="16"/>
  <c r="X297" i="16"/>
  <c r="X273" i="16"/>
  <c r="X87" i="16"/>
  <c r="X292" i="16"/>
  <c r="X198" i="16"/>
  <c r="X266" i="16"/>
  <c r="X223" i="16"/>
  <c r="X135" i="16"/>
  <c r="X168" i="16"/>
  <c r="X255" i="16"/>
  <c r="X111" i="16"/>
  <c r="X233" i="16"/>
  <c r="X165" i="16"/>
  <c r="X131" i="16"/>
  <c r="X280" i="16"/>
  <c r="X293" i="16"/>
  <c r="X277" i="16"/>
  <c r="X162" i="16"/>
  <c r="X69" i="16"/>
  <c r="X94" i="16"/>
  <c r="X172" i="16"/>
  <c r="X310" i="16"/>
  <c r="X323" i="16"/>
  <c r="X145" i="16"/>
  <c r="X214" i="16"/>
  <c r="X80" i="16"/>
  <c r="X206" i="16"/>
  <c r="X283" i="16"/>
  <c r="X89" i="16"/>
  <c r="X120" i="16"/>
  <c r="X155" i="16"/>
  <c r="X51" i="16"/>
  <c r="X115" i="16"/>
  <c r="X294" i="16"/>
  <c r="X226" i="16"/>
  <c r="X300" i="16"/>
  <c r="X140" i="16"/>
  <c r="X252" i="16"/>
  <c r="X60" i="16"/>
  <c r="X110" i="16"/>
  <c r="X101" i="16"/>
  <c r="X114" i="16"/>
  <c r="X45" i="16"/>
  <c r="X52" i="16"/>
  <c r="X197" i="16"/>
  <c r="X88" i="16"/>
  <c r="X83" i="16"/>
  <c r="X260" i="16"/>
  <c r="X54" i="16"/>
  <c r="X186" i="16"/>
  <c r="X232" i="16"/>
  <c r="X290" i="16"/>
  <c r="X93" i="16"/>
  <c r="X164" i="16"/>
  <c r="X146" i="16"/>
  <c r="X289" i="16"/>
  <c r="X142" i="16"/>
  <c r="X159" i="16"/>
  <c r="X49" i="16"/>
  <c r="X179" i="16"/>
  <c r="X107" i="16"/>
  <c r="X324" i="16"/>
  <c r="X126" i="16"/>
  <c r="X117" i="16"/>
  <c r="X147" i="16"/>
  <c r="X46" i="16"/>
  <c r="X38" i="16"/>
  <c r="X79" i="16"/>
  <c r="X116" i="16"/>
  <c r="X268" i="16"/>
  <c r="X171" i="16"/>
  <c r="X203" i="16"/>
  <c r="X106" i="16"/>
  <c r="X251" i="16"/>
  <c r="X308" i="16"/>
  <c r="X318" i="16"/>
  <c r="X286" i="16"/>
  <c r="X208" i="16"/>
  <c r="X276" i="16"/>
  <c r="X196" i="16"/>
  <c r="X287" i="16"/>
  <c r="X185" i="16"/>
  <c r="X195" i="16"/>
  <c r="X231" i="16"/>
  <c r="X76" i="16"/>
  <c r="X244" i="16"/>
  <c r="X118" i="16"/>
  <c r="X175" i="16"/>
  <c r="X95" i="16"/>
  <c r="X161" i="16"/>
  <c r="X313" i="16"/>
  <c r="X77" i="16"/>
  <c r="X61" i="16"/>
  <c r="X56" i="16"/>
  <c r="X41" i="16"/>
  <c r="X248" i="16"/>
  <c r="X129" i="16"/>
  <c r="X103" i="16"/>
  <c r="X84" i="16"/>
  <c r="X92" i="16"/>
  <c r="X100" i="16"/>
  <c r="X202" i="16"/>
  <c r="X37" i="16"/>
  <c r="X235" i="16"/>
  <c r="X229" i="16"/>
  <c r="X42" i="16"/>
  <c r="X181" i="16"/>
  <c r="X188" i="16"/>
  <c r="X317" i="16"/>
  <c r="X139" i="16"/>
  <c r="X238" i="16"/>
  <c r="X217" i="16"/>
  <c r="X246" i="16"/>
  <c r="X156" i="16"/>
  <c r="X64" i="16"/>
  <c r="X215" i="16"/>
  <c r="X102" i="16"/>
  <c r="X249" i="16"/>
  <c r="X151" i="16"/>
  <c r="X39" i="16"/>
  <c r="X190" i="16"/>
  <c r="X200" i="16"/>
  <c r="X282" i="16"/>
  <c r="X220" i="16"/>
  <c r="X127" i="16"/>
  <c r="X124" i="16"/>
  <c r="X256" i="16"/>
  <c r="X320" i="16"/>
  <c r="X257" i="16"/>
  <c r="X138" i="16"/>
  <c r="X125" i="16"/>
  <c r="X253" i="16"/>
  <c r="X234" i="16"/>
  <c r="X265" i="16"/>
  <c r="X73" i="16"/>
  <c r="X259" i="16"/>
  <c r="X105" i="16"/>
  <c r="X157" i="16"/>
  <c r="X301" i="16"/>
  <c r="X239" i="16"/>
  <c r="X274" i="16"/>
  <c r="X167" i="16"/>
  <c r="X237" i="16"/>
  <c r="X169" i="16"/>
  <c r="X304" i="16"/>
  <c r="X321" i="16"/>
  <c r="X66" i="16"/>
  <c r="X303" i="16"/>
  <c r="X97" i="16"/>
  <c r="X128" i="16"/>
  <c r="X136" i="16"/>
  <c r="X325" i="16"/>
  <c r="X311" i="16"/>
  <c r="X81" i="16"/>
  <c r="X210" i="16"/>
  <c r="X269" i="16"/>
  <c r="X40" i="16"/>
  <c r="X241" i="16"/>
  <c r="X59" i="16"/>
  <c r="X178" i="16"/>
  <c r="X141" i="16"/>
  <c r="X298" i="16"/>
  <c r="X194" i="16"/>
  <c r="X130" i="16"/>
  <c r="X160" i="16"/>
  <c r="X189" i="16"/>
  <c r="X53" i="16"/>
  <c r="X284" i="16"/>
  <c r="X86" i="16"/>
  <c r="X112" i="16"/>
  <c r="D166" i="16"/>
  <c r="E166" i="16"/>
  <c r="E291" i="16"/>
  <c r="D291" i="16"/>
  <c r="E322" i="16"/>
  <c r="D322" i="16"/>
  <c r="D306" i="16"/>
  <c r="E306" i="16"/>
  <c r="D290" i="16"/>
  <c r="E290" i="16"/>
  <c r="D277" i="16"/>
  <c r="E277" i="16"/>
  <c r="E215" i="16"/>
  <c r="D215" i="16"/>
  <c r="E199" i="16"/>
  <c r="D199" i="16"/>
  <c r="E183" i="16"/>
  <c r="D183" i="16"/>
  <c r="E280" i="16"/>
  <c r="D280" i="16"/>
  <c r="E154" i="16"/>
  <c r="D154" i="16"/>
  <c r="E153" i="16"/>
  <c r="D153" i="16"/>
  <c r="E325" i="16"/>
  <c r="D325" i="16"/>
  <c r="E119" i="16"/>
  <c r="D119" i="16"/>
  <c r="E231" i="16"/>
  <c r="D231" i="16"/>
  <c r="E323" i="16"/>
  <c r="D323" i="16"/>
  <c r="D36" i="16"/>
  <c r="E36" i="16"/>
  <c r="E275" i="16"/>
  <c r="D275" i="16"/>
  <c r="E213" i="16"/>
  <c r="D213" i="16"/>
  <c r="E150" i="16"/>
  <c r="D150" i="16"/>
  <c r="D134" i="16"/>
  <c r="E134" i="16"/>
  <c r="E71" i="16"/>
  <c r="D71" i="16"/>
  <c r="E55" i="16"/>
  <c r="D55" i="16"/>
  <c r="E39" i="16"/>
  <c r="D39" i="16"/>
  <c r="E70" i="16"/>
  <c r="D70" i="16"/>
  <c r="D54" i="16"/>
  <c r="E54" i="16"/>
  <c r="E38" i="16"/>
  <c r="D38" i="16"/>
  <c r="D321" i="16"/>
  <c r="E321" i="16"/>
  <c r="E261" i="16"/>
  <c r="D261" i="16"/>
  <c r="E246" i="16"/>
  <c r="D246" i="16"/>
  <c r="E230" i="16"/>
  <c r="D230" i="16"/>
  <c r="E264" i="16"/>
  <c r="D264" i="16"/>
  <c r="E201" i="16"/>
  <c r="D201" i="16"/>
  <c r="E137" i="16"/>
  <c r="D137" i="16"/>
  <c r="E73" i="16"/>
  <c r="D73" i="16"/>
  <c r="D263" i="16"/>
  <c r="E263" i="16"/>
  <c r="D152" i="16"/>
  <c r="E152" i="16"/>
  <c r="E307" i="16"/>
  <c r="D307" i="16"/>
  <c r="P314" i="16"/>
  <c r="P281" i="16"/>
  <c r="P110" i="16"/>
  <c r="P89" i="16"/>
  <c r="P59" i="16"/>
  <c r="P268" i="16"/>
  <c r="P124" i="16"/>
  <c r="P45" i="16"/>
  <c r="P204" i="16"/>
  <c r="P302" i="16"/>
  <c r="P203" i="16"/>
  <c r="P318" i="16"/>
  <c r="P183" i="16"/>
  <c r="P104" i="16"/>
  <c r="P260" i="16"/>
  <c r="P252" i="16"/>
  <c r="P55" i="16"/>
  <c r="P196" i="16"/>
  <c r="P67" i="16"/>
  <c r="P290" i="16"/>
  <c r="P188" i="16"/>
  <c r="P191" i="16"/>
  <c r="P43" i="16"/>
  <c r="P219" i="16"/>
  <c r="P91" i="16"/>
  <c r="P257" i="16"/>
  <c r="P217" i="16"/>
  <c r="P199" i="16"/>
  <c r="P289" i="16"/>
  <c r="P165" i="16"/>
  <c r="P311" i="16"/>
  <c r="P286" i="16"/>
  <c r="P301" i="16"/>
  <c r="P126" i="16"/>
  <c r="P112" i="16"/>
  <c r="P60" i="16"/>
  <c r="P198" i="16"/>
  <c r="P316" i="16"/>
  <c r="P48" i="16"/>
  <c r="P295" i="16"/>
  <c r="P210" i="16"/>
  <c r="P125" i="16"/>
  <c r="P154" i="16"/>
  <c r="P251" i="16"/>
  <c r="P106" i="16"/>
  <c r="P262" i="16"/>
  <c r="P105" i="16"/>
  <c r="P41" i="16"/>
  <c r="P232" i="16"/>
  <c r="P99" i="16"/>
  <c r="P150" i="16"/>
  <c r="P49" i="16"/>
  <c r="P181" i="16"/>
  <c r="P51" i="16"/>
  <c r="P186" i="16"/>
  <c r="P40" i="16"/>
  <c r="P207" i="16"/>
  <c r="P142" i="16"/>
  <c r="P178" i="16"/>
  <c r="P266" i="16"/>
  <c r="P95" i="16"/>
  <c r="P157" i="16"/>
  <c r="P163" i="16"/>
  <c r="P277" i="16"/>
  <c r="P162" i="16"/>
  <c r="P58" i="16"/>
  <c r="P151" i="16"/>
  <c r="P147" i="16"/>
  <c r="P246" i="16"/>
  <c r="P152" i="16"/>
  <c r="P321" i="16"/>
  <c r="P47" i="16"/>
  <c r="P201" i="16"/>
  <c r="P213" i="16"/>
  <c r="P146" i="16"/>
  <c r="P140" i="16"/>
  <c r="P149" i="16"/>
  <c r="P156" i="16"/>
  <c r="P325" i="16"/>
  <c r="P173" i="16"/>
  <c r="P222" i="16"/>
  <c r="P288" i="16"/>
  <c r="P248" i="16"/>
  <c r="P216" i="16"/>
  <c r="P84" i="16"/>
  <c r="P234" i="16"/>
  <c r="P118" i="16"/>
  <c r="P127" i="16"/>
  <c r="P100" i="16"/>
  <c r="P214" i="16"/>
  <c r="P108" i="16"/>
  <c r="P44" i="16"/>
  <c r="P271" i="16"/>
  <c r="P115" i="16"/>
  <c r="P189" i="16"/>
  <c r="P75" i="16"/>
  <c r="P244" i="16"/>
  <c r="P284" i="16"/>
  <c r="P158" i="16"/>
  <c r="P39" i="16"/>
  <c r="P97" i="16"/>
  <c r="P278" i="16"/>
  <c r="P282" i="16"/>
  <c r="P310" i="16"/>
  <c r="P220" i="16"/>
  <c r="P37" i="16"/>
  <c r="P102" i="16"/>
  <c r="P279" i="16"/>
  <c r="P177" i="16"/>
  <c r="P294" i="16"/>
  <c r="P121" i="16"/>
  <c r="P298" i="16"/>
  <c r="P122" i="16"/>
  <c r="P212" i="16"/>
  <c r="P73" i="16"/>
  <c r="P96" i="16"/>
  <c r="P78" i="16"/>
  <c r="P50" i="16"/>
  <c r="P296" i="16"/>
  <c r="P54" i="16"/>
  <c r="P101" i="16"/>
  <c r="P81" i="16"/>
  <c r="P71" i="16"/>
  <c r="P53" i="16"/>
  <c r="P190" i="16"/>
  <c r="P153" i="16"/>
  <c r="P169" i="16"/>
  <c r="P119" i="16"/>
  <c r="P202" i="16"/>
  <c r="P231" i="16"/>
  <c r="P155" i="16"/>
  <c r="P82" i="16"/>
  <c r="P256" i="16"/>
  <c r="P243" i="16"/>
  <c r="P242" i="16"/>
  <c r="P206" i="16"/>
  <c r="P64" i="16"/>
  <c r="P305" i="16"/>
  <c r="P77" i="16"/>
  <c r="P98" i="16"/>
  <c r="P160" i="16"/>
  <c r="P171" i="16"/>
  <c r="P137" i="16"/>
  <c r="P224" i="16"/>
  <c r="P175" i="16"/>
  <c r="P265" i="16"/>
  <c r="P272" i="16"/>
  <c r="P193" i="16"/>
  <c r="P227" i="16"/>
  <c r="P264" i="16"/>
  <c r="P313" i="16"/>
  <c r="P240" i="16"/>
  <c r="P38" i="16"/>
  <c r="P221" i="16"/>
  <c r="P291" i="16"/>
  <c r="P304" i="16"/>
  <c r="P79" i="16"/>
  <c r="P74" i="16"/>
  <c r="P80" i="16"/>
  <c r="P292" i="16"/>
  <c r="P72" i="16"/>
  <c r="P174" i="16"/>
  <c r="P111" i="16"/>
  <c r="P309" i="16"/>
  <c r="P312" i="16"/>
  <c r="P46" i="16"/>
  <c r="P324" i="16"/>
  <c r="P63" i="16"/>
  <c r="P87" i="16"/>
  <c r="P141" i="16"/>
  <c r="P144" i="16"/>
  <c r="P92" i="16"/>
  <c r="P172" i="16"/>
  <c r="P267" i="16"/>
  <c r="P247" i="16"/>
  <c r="P285" i="16"/>
  <c r="P116" i="16"/>
  <c r="P176" i="16"/>
  <c r="P85" i="16"/>
  <c r="P253" i="16"/>
  <c r="P139" i="16"/>
  <c r="P159" i="16"/>
  <c r="P179" i="16"/>
  <c r="P131" i="16"/>
  <c r="P166" i="16"/>
  <c r="P245" i="16"/>
  <c r="P123" i="16"/>
  <c r="P205" i="16"/>
  <c r="P230" i="16"/>
  <c r="P200" i="16"/>
  <c r="P70" i="16"/>
  <c r="P76" i="16"/>
  <c r="P90" i="16"/>
  <c r="P320" i="16"/>
  <c r="P113" i="16"/>
  <c r="P300" i="16"/>
  <c r="P167" i="16"/>
  <c r="P211" i="16"/>
  <c r="P293" i="16"/>
  <c r="P134" i="16"/>
  <c r="P228" i="16"/>
  <c r="P287" i="16"/>
  <c r="P132" i="16"/>
  <c r="P319" i="16"/>
  <c r="P61" i="16"/>
  <c r="P65" i="16"/>
  <c r="P133" i="16"/>
  <c r="P235" i="16"/>
  <c r="P62" i="16"/>
  <c r="P261" i="16"/>
  <c r="P323" i="16"/>
  <c r="P307" i="16"/>
  <c r="P168" i="16"/>
  <c r="P317" i="16"/>
  <c r="P238" i="16"/>
  <c r="P215" i="16"/>
  <c r="P263" i="16"/>
  <c r="P83" i="16"/>
  <c r="P197" i="16"/>
  <c r="P88" i="16"/>
  <c r="P117" i="16"/>
  <c r="P274" i="16"/>
  <c r="P192" i="16"/>
  <c r="P237" i="16"/>
  <c r="P223" i="16"/>
  <c r="P42" i="16"/>
  <c r="P170" i="16"/>
  <c r="P135" i="16"/>
  <c r="P86" i="16"/>
  <c r="P36" i="16"/>
  <c r="P120" i="16"/>
  <c r="P275" i="16"/>
  <c r="P226" i="16"/>
  <c r="P138" i="16"/>
  <c r="P148" i="16"/>
  <c r="P109" i="16"/>
  <c r="P57" i="16"/>
  <c r="P233" i="16"/>
  <c r="P258" i="16"/>
  <c r="P107" i="16"/>
  <c r="P299" i="16"/>
  <c r="P280" i="16"/>
  <c r="P297" i="16"/>
  <c r="P180" i="16"/>
  <c r="P269" i="16"/>
  <c r="P69" i="16"/>
  <c r="P306" i="16"/>
  <c r="P103" i="16"/>
  <c r="P283" i="16"/>
  <c r="P195" i="16"/>
  <c r="P185" i="16"/>
  <c r="P255" i="16"/>
  <c r="P164" i="16"/>
  <c r="P208" i="16"/>
  <c r="P94" i="16"/>
  <c r="P241" i="16"/>
  <c r="P276" i="16"/>
  <c r="P129" i="16"/>
  <c r="P259" i="16"/>
  <c r="P209" i="16"/>
  <c r="P52" i="16"/>
  <c r="P93" i="16"/>
  <c r="P161" i="16"/>
  <c r="P130" i="16"/>
  <c r="P68" i="16"/>
  <c r="P254" i="16"/>
  <c r="P56" i="16"/>
  <c r="P273" i="16"/>
  <c r="P236" i="16"/>
  <c r="P218" i="16"/>
  <c r="P250" i="16"/>
  <c r="P229" i="16"/>
  <c r="P114" i="16"/>
  <c r="P143" i="16"/>
  <c r="P136" i="16"/>
  <c r="P66" i="16"/>
  <c r="P270" i="16"/>
  <c r="P315" i="16"/>
  <c r="P239" i="16"/>
  <c r="P184" i="16"/>
  <c r="P187" i="16"/>
  <c r="P194" i="16"/>
  <c r="P308" i="16"/>
  <c r="P35" i="16"/>
  <c r="P322" i="16"/>
  <c r="P182" i="16"/>
  <c r="P249" i="16"/>
  <c r="P145" i="16"/>
  <c r="P303" i="16"/>
  <c r="P225" i="16"/>
  <c r="P128" i="16"/>
  <c r="D319" i="16"/>
  <c r="E319" i="16"/>
  <c r="E260" i="16"/>
  <c r="D260" i="16"/>
  <c r="D197" i="16"/>
  <c r="E197" i="16"/>
  <c r="D181" i="16"/>
  <c r="E181" i="16"/>
  <c r="E118" i="16"/>
  <c r="D118" i="16"/>
  <c r="E102" i="16"/>
  <c r="D102" i="16"/>
  <c r="E86" i="16"/>
  <c r="D86" i="16"/>
  <c r="E117" i="16"/>
  <c r="D117" i="16"/>
  <c r="E101" i="16"/>
  <c r="D101" i="16"/>
  <c r="E85" i="16"/>
  <c r="D85" i="16"/>
  <c r="D69" i="16"/>
  <c r="E69" i="16"/>
  <c r="D305" i="16"/>
  <c r="E305" i="16"/>
  <c r="D289" i="16"/>
  <c r="E289" i="16"/>
  <c r="D276" i="16"/>
  <c r="E276" i="16"/>
  <c r="E124" i="16"/>
  <c r="D124" i="16"/>
  <c r="E312" i="16"/>
  <c r="D312" i="16"/>
  <c r="E252" i="16"/>
  <c r="D252" i="16"/>
  <c r="D279" i="16"/>
  <c r="E279" i="16"/>
  <c r="E136" i="16"/>
  <c r="D136" i="16"/>
  <c r="E288" i="16"/>
  <c r="D288" i="16"/>
  <c r="E103" i="16"/>
  <c r="D103" i="16"/>
  <c r="E303" i="16"/>
  <c r="D303" i="16"/>
  <c r="E244" i="16"/>
  <c r="D244" i="16"/>
  <c r="E228" i="16"/>
  <c r="D228" i="16"/>
  <c r="D165" i="16"/>
  <c r="E165" i="16"/>
  <c r="D149" i="16"/>
  <c r="E149" i="16"/>
  <c r="D133" i="16"/>
  <c r="E133" i="16"/>
  <c r="E164" i="16"/>
  <c r="D164" i="16"/>
  <c r="E148" i="16"/>
  <c r="D148" i="16"/>
  <c r="E132" i="16"/>
  <c r="D132" i="16"/>
  <c r="E116" i="16"/>
  <c r="D116" i="16"/>
  <c r="E53" i="16"/>
  <c r="D53" i="16"/>
  <c r="E37" i="16"/>
  <c r="D37" i="16"/>
  <c r="E320" i="16"/>
  <c r="D320" i="16"/>
  <c r="E155" i="16"/>
  <c r="D155" i="16"/>
  <c r="E60" i="16"/>
  <c r="D60" i="16"/>
  <c r="D182" i="16"/>
  <c r="E182" i="16"/>
  <c r="E40" i="16"/>
  <c r="D40" i="16"/>
  <c r="E106" i="16"/>
  <c r="D106" i="16"/>
  <c r="D229" i="16"/>
  <c r="E229" i="16"/>
  <c r="E87" i="16"/>
  <c r="D87" i="16"/>
  <c r="E83" i="16"/>
  <c r="D83" i="16"/>
  <c r="E114" i="16"/>
  <c r="D114" i="16"/>
  <c r="E67" i="16"/>
  <c r="D67" i="16"/>
  <c r="E145" i="16"/>
  <c r="D145" i="16"/>
  <c r="E98" i="16"/>
  <c r="D98" i="16"/>
  <c r="D51" i="16"/>
  <c r="E51" i="16"/>
  <c r="D287" i="16"/>
  <c r="E287" i="16"/>
  <c r="D274" i="16"/>
  <c r="E274" i="16"/>
  <c r="E212" i="16"/>
  <c r="D212" i="16"/>
  <c r="E196" i="16"/>
  <c r="D196" i="16"/>
  <c r="E180" i="16"/>
  <c r="D180" i="16"/>
  <c r="D211" i="16"/>
  <c r="E211" i="16"/>
  <c r="E195" i="16"/>
  <c r="D195" i="16"/>
  <c r="D179" i="16"/>
  <c r="E179" i="16"/>
  <c r="E163" i="16"/>
  <c r="D163" i="16"/>
  <c r="E100" i="16"/>
  <c r="D100" i="16"/>
  <c r="E84" i="16"/>
  <c r="D84" i="16"/>
  <c r="E68" i="16"/>
  <c r="D68" i="16"/>
  <c r="E202" i="16"/>
  <c r="D202" i="16"/>
  <c r="E91" i="16"/>
  <c r="D91" i="16"/>
  <c r="E35" i="16"/>
  <c r="D35" i="16"/>
  <c r="D245" i="16"/>
  <c r="E245" i="16"/>
  <c r="D56" i="16"/>
  <c r="E56" i="16"/>
  <c r="E168" i="16"/>
  <c r="D168" i="16"/>
  <c r="Q267" i="16"/>
  <c r="Q48" i="16"/>
  <c r="Q299" i="16"/>
  <c r="Q266" i="16"/>
  <c r="Q182" i="16"/>
  <c r="Q116" i="16"/>
  <c r="Q142" i="16"/>
  <c r="Q172" i="16"/>
  <c r="Q70" i="16"/>
  <c r="Q186" i="16"/>
  <c r="Q187" i="16"/>
  <c r="Q254" i="16"/>
  <c r="Q233" i="16"/>
  <c r="Q158" i="16"/>
  <c r="Q131" i="16"/>
  <c r="Q51" i="16"/>
  <c r="Q290" i="16"/>
  <c r="Q250" i="16"/>
  <c r="Q124" i="16"/>
  <c r="Q38" i="16"/>
  <c r="Q228" i="16"/>
  <c r="Q179" i="16"/>
  <c r="Q287" i="16"/>
  <c r="Q217" i="16"/>
  <c r="Q117" i="16"/>
  <c r="Q234" i="16"/>
  <c r="Q44" i="16"/>
  <c r="Q315" i="16"/>
  <c r="Q235" i="16"/>
  <c r="Q77" i="16"/>
  <c r="Q271" i="16"/>
  <c r="Q96" i="16"/>
  <c r="Q73" i="16"/>
  <c r="Q317" i="16"/>
  <c r="Q264" i="16"/>
  <c r="Q276" i="16"/>
  <c r="Q53" i="16"/>
  <c r="Q305" i="16"/>
  <c r="Q176" i="16"/>
  <c r="Q84" i="16"/>
  <c r="Q178" i="16"/>
  <c r="Q313" i="16"/>
  <c r="Q162" i="16"/>
  <c r="Q231" i="16"/>
  <c r="Q269" i="16"/>
  <c r="Q122" i="16"/>
  <c r="Q78" i="16"/>
  <c r="Q207" i="16"/>
  <c r="Q303" i="16"/>
  <c r="Q189" i="16"/>
  <c r="Q265" i="16"/>
  <c r="Q62" i="16"/>
  <c r="Q275" i="16"/>
  <c r="Q94" i="16"/>
  <c r="Q236" i="16"/>
  <c r="Q52" i="16"/>
  <c r="Q175" i="16"/>
  <c r="Q237" i="16"/>
  <c r="Q134" i="16"/>
  <c r="Q229" i="16"/>
  <c r="Q97" i="16"/>
  <c r="Q288" i="16"/>
  <c r="Q190" i="16"/>
  <c r="Q259" i="16"/>
  <c r="Q232" i="16"/>
  <c r="Q273" i="16"/>
  <c r="Q197" i="16"/>
  <c r="Q306" i="16"/>
  <c r="Q311" i="16"/>
  <c r="Q214" i="16"/>
  <c r="Q218" i="16"/>
  <c r="Q60" i="16"/>
  <c r="Q169" i="16"/>
  <c r="Q304" i="16"/>
  <c r="Q105" i="16"/>
  <c r="Q211" i="16"/>
  <c r="Q296" i="16"/>
  <c r="Q291" i="16"/>
  <c r="Q71" i="16"/>
  <c r="Q108" i="16"/>
  <c r="Q203" i="16"/>
  <c r="Q221" i="16"/>
  <c r="Q163" i="16"/>
  <c r="Q227" i="16"/>
  <c r="Q118" i="16"/>
  <c r="Q160" i="16"/>
  <c r="Q261" i="16"/>
  <c r="Q129" i="16"/>
  <c r="Q157" i="16"/>
  <c r="Q323" i="16"/>
  <c r="Q72" i="16"/>
  <c r="Q168" i="16"/>
  <c r="Q248" i="16"/>
  <c r="Q198" i="16"/>
  <c r="Q143" i="16"/>
  <c r="Q319" i="16"/>
  <c r="Q146" i="16"/>
  <c r="Q61" i="16"/>
  <c r="Q92" i="16"/>
  <c r="Q194" i="16"/>
  <c r="Q183" i="16"/>
  <c r="Q35" i="16"/>
  <c r="Q68" i="16"/>
  <c r="Q125" i="16"/>
  <c r="Q320" i="16"/>
  <c r="Q150" i="16"/>
  <c r="Q138" i="16"/>
  <c r="Q252" i="16"/>
  <c r="Q202" i="16"/>
  <c r="Q239" i="16"/>
  <c r="Q268" i="16"/>
  <c r="Q154" i="16"/>
  <c r="Q225" i="16"/>
  <c r="Q260" i="16"/>
  <c r="Q153" i="16"/>
  <c r="Q193" i="16"/>
  <c r="Q284" i="16"/>
  <c r="Q310" i="16"/>
  <c r="Q283" i="16"/>
  <c r="Q277" i="16"/>
  <c r="Q249" i="16"/>
  <c r="Q99" i="16"/>
  <c r="Q312" i="16"/>
  <c r="Q67" i="16"/>
  <c r="Q295" i="16"/>
  <c r="Q79" i="16"/>
  <c r="Q216" i="16"/>
  <c r="Q36" i="16"/>
  <c r="Q191" i="16"/>
  <c r="Q40" i="16"/>
  <c r="Q100" i="16"/>
  <c r="Q167" i="16"/>
  <c r="Q212" i="16"/>
  <c r="Q196" i="16"/>
  <c r="Q89" i="16"/>
  <c r="Q166" i="16"/>
  <c r="Q128" i="16"/>
  <c r="Q321" i="16"/>
  <c r="Q65" i="16"/>
  <c r="Q309" i="16"/>
  <c r="Q263" i="16"/>
  <c r="Q256" i="16"/>
  <c r="Q280" i="16"/>
  <c r="Q137" i="16"/>
  <c r="Q59" i="16"/>
  <c r="Q107" i="16"/>
  <c r="Q224" i="16"/>
  <c r="Q272" i="16"/>
  <c r="Q93" i="16"/>
  <c r="Q281" i="16"/>
  <c r="Q101" i="16"/>
  <c r="Q222" i="16"/>
  <c r="Q244" i="16"/>
  <c r="Q201" i="16"/>
  <c r="Q188" i="16"/>
  <c r="Q307" i="16"/>
  <c r="Q115" i="16"/>
  <c r="Q208" i="16"/>
  <c r="Q69" i="16"/>
  <c r="Q58" i="16"/>
  <c r="Q132" i="16"/>
  <c r="Q161" i="16"/>
  <c r="Q85" i="16"/>
  <c r="Q210" i="16"/>
  <c r="Q270" i="16"/>
  <c r="Q120" i="16"/>
  <c r="Q219" i="16"/>
  <c r="Q130" i="16"/>
  <c r="Q74" i="16"/>
  <c r="Q302" i="16"/>
  <c r="Q206" i="16"/>
  <c r="Q314" i="16"/>
  <c r="Q220" i="16"/>
  <c r="Q87" i="16"/>
  <c r="Q57" i="16"/>
  <c r="Q185" i="16"/>
  <c r="Q144" i="16"/>
  <c r="Q148" i="16"/>
  <c r="Q81" i="16"/>
  <c r="Q54" i="16"/>
  <c r="Q177" i="16"/>
  <c r="Q285" i="16"/>
  <c r="Q47" i="16"/>
  <c r="Q112" i="16"/>
  <c r="Q278" i="16"/>
  <c r="Q111" i="16"/>
  <c r="Q136" i="16"/>
  <c r="Q173" i="16"/>
  <c r="Q204" i="16"/>
  <c r="Q119" i="16"/>
  <c r="Q165" i="16"/>
  <c r="Q106" i="16"/>
  <c r="Q50" i="16"/>
  <c r="Q91" i="16"/>
  <c r="Q114" i="16"/>
  <c r="Q253" i="16"/>
  <c r="Q286" i="16"/>
  <c r="Q113" i="16"/>
  <c r="Q110" i="16"/>
  <c r="Q322" i="16"/>
  <c r="Q230" i="16"/>
  <c r="Q292" i="16"/>
  <c r="Q195" i="16"/>
  <c r="Q156" i="16"/>
  <c r="Q102" i="16"/>
  <c r="Q209" i="16"/>
  <c r="Q64" i="16"/>
  <c r="Q246" i="16"/>
  <c r="Q255" i="16"/>
  <c r="Q140" i="16"/>
  <c r="Q300" i="16"/>
  <c r="Q135" i="16"/>
  <c r="Q199" i="16"/>
  <c r="Q301" i="16"/>
  <c r="Q56" i="16"/>
  <c r="Q37" i="16"/>
  <c r="Q180" i="16"/>
  <c r="Q103" i="16"/>
  <c r="Q245" i="16"/>
  <c r="Q133" i="16"/>
  <c r="Q243" i="16"/>
  <c r="Q200" i="16"/>
  <c r="Q279" i="16"/>
  <c r="Q274" i="16"/>
  <c r="Q258" i="16"/>
  <c r="Q293" i="16"/>
  <c r="Q184" i="16"/>
  <c r="Q55" i="16"/>
  <c r="Q171" i="16"/>
  <c r="Q298" i="16"/>
  <c r="Q95" i="16"/>
  <c r="Q82" i="16"/>
  <c r="Q86" i="16"/>
  <c r="Q45" i="16"/>
  <c r="Q145" i="16"/>
  <c r="Q141" i="16"/>
  <c r="Q241" i="16"/>
  <c r="Q76" i="16"/>
  <c r="Q149" i="16"/>
  <c r="Q294" i="16"/>
  <c r="Q80" i="16"/>
  <c r="Q164" i="16"/>
  <c r="Q147" i="16"/>
  <c r="Q127" i="16"/>
  <c r="Q49" i="16"/>
  <c r="Q42" i="16"/>
  <c r="Q205" i="16"/>
  <c r="Q226" i="16"/>
  <c r="Q39" i="16"/>
  <c r="Q325" i="16"/>
  <c r="Q104" i="16"/>
  <c r="Q139" i="16"/>
  <c r="Q155" i="16"/>
  <c r="Q192" i="16"/>
  <c r="Q282" i="16"/>
  <c r="Q242" i="16"/>
  <c r="Q238" i="16"/>
  <c r="Q257" i="16"/>
  <c r="Q151" i="16"/>
  <c r="Q90" i="16"/>
  <c r="Q289" i="16"/>
  <c r="Q98" i="16"/>
  <c r="Q223" i="16"/>
  <c r="Q170" i="16"/>
  <c r="Q174" i="16"/>
  <c r="Q66" i="16"/>
  <c r="Q126" i="16"/>
  <c r="Q308" i="16"/>
  <c r="Q297" i="16"/>
  <c r="Q152" i="16"/>
  <c r="Q121" i="16"/>
  <c r="Q63" i="16"/>
  <c r="Q83" i="16"/>
  <c r="Q262" i="16"/>
  <c r="Q247" i="16"/>
  <c r="Q46" i="16"/>
  <c r="Q318" i="16"/>
  <c r="Q88" i="16"/>
  <c r="Q213" i="16"/>
  <c r="Q123" i="16"/>
  <c r="Q324" i="16"/>
  <c r="Q159" i="16"/>
  <c r="Q215" i="16"/>
  <c r="Q181" i="16"/>
  <c r="Q41" i="16"/>
  <c r="Q109" i="16"/>
  <c r="Q75" i="16"/>
  <c r="Q43" i="16"/>
  <c r="Q316" i="16"/>
  <c r="Q240" i="16"/>
  <c r="Q251" i="16"/>
  <c r="E176" i="16"/>
  <c r="D176" i="16"/>
  <c r="E129" i="16"/>
  <c r="D129" i="16"/>
  <c r="E82" i="16"/>
  <c r="D82" i="16"/>
  <c r="E318" i="16"/>
  <c r="D318" i="16"/>
  <c r="E302" i="16"/>
  <c r="D302" i="16"/>
  <c r="E259" i="16"/>
  <c r="D259" i="16"/>
  <c r="E243" i="16"/>
  <c r="D243" i="16"/>
  <c r="E227" i="16"/>
  <c r="D227" i="16"/>
  <c r="E242" i="16"/>
  <c r="D242" i="16"/>
  <c r="E226" i="16"/>
  <c r="D226" i="16"/>
  <c r="E210" i="16"/>
  <c r="D210" i="16"/>
  <c r="E194" i="16"/>
  <c r="D194" i="16"/>
  <c r="D147" i="16"/>
  <c r="E147" i="16"/>
  <c r="E131" i="16"/>
  <c r="D131" i="16"/>
  <c r="E115" i="16"/>
  <c r="D115" i="16"/>
  <c r="E249" i="16"/>
  <c r="D249" i="16"/>
  <c r="E138" i="16"/>
  <c r="D138" i="16"/>
  <c r="E74" i="16"/>
  <c r="D74" i="16"/>
  <c r="E278" i="16"/>
  <c r="D278" i="16"/>
  <c r="E107" i="16"/>
  <c r="D107" i="16"/>
  <c r="E207" i="16"/>
  <c r="D207" i="16"/>
  <c r="E160" i="16"/>
  <c r="D160" i="16"/>
  <c r="E113" i="16"/>
  <c r="D113" i="16"/>
  <c r="E66" i="16"/>
  <c r="D66" i="16"/>
  <c r="E50" i="16"/>
  <c r="D50" i="16"/>
  <c r="E286" i="16"/>
  <c r="D286" i="16"/>
  <c r="E273" i="16"/>
  <c r="D273" i="16"/>
  <c r="E258" i="16"/>
  <c r="D258" i="16"/>
  <c r="E272" i="16"/>
  <c r="D272" i="16"/>
  <c r="E257" i="16"/>
  <c r="D257" i="16"/>
  <c r="E241" i="16"/>
  <c r="D241" i="16"/>
  <c r="E225" i="16"/>
  <c r="D225" i="16"/>
  <c r="E178" i="16"/>
  <c r="D178" i="16"/>
  <c r="E162" i="16"/>
  <c r="D162" i="16"/>
  <c r="E146" i="16"/>
  <c r="D146" i="16"/>
  <c r="E313" i="16"/>
  <c r="D313" i="16"/>
  <c r="E185" i="16"/>
  <c r="D185" i="16"/>
  <c r="E121" i="16"/>
  <c r="D121" i="16"/>
  <c r="E262" i="16"/>
  <c r="D262" i="16"/>
  <c r="D41" i="16"/>
  <c r="E41" i="16"/>
  <c r="E238" i="16"/>
  <c r="D238" i="16"/>
  <c r="E144" i="16"/>
  <c r="D144" i="16"/>
  <c r="E97" i="16"/>
  <c r="D97" i="16"/>
  <c r="E81" i="16"/>
  <c r="D81" i="16"/>
  <c r="D317" i="16"/>
  <c r="E317" i="16"/>
  <c r="E301" i="16"/>
  <c r="D301" i="16"/>
  <c r="E285" i="16"/>
  <c r="D285" i="16"/>
  <c r="E300" i="16"/>
  <c r="D300" i="16"/>
  <c r="E284" i="16"/>
  <c r="D284" i="16"/>
  <c r="E271" i="16"/>
  <c r="D271" i="16"/>
  <c r="E256" i="16"/>
  <c r="D256" i="16"/>
  <c r="E209" i="16"/>
  <c r="D209" i="16"/>
  <c r="E193" i="16"/>
  <c r="D193" i="16"/>
  <c r="E177" i="16"/>
  <c r="D177" i="16"/>
  <c r="E61" i="16"/>
  <c r="D61" i="16"/>
  <c r="E296" i="16"/>
  <c r="D296" i="16"/>
  <c r="E236" i="16"/>
  <c r="D236" i="16"/>
  <c r="D248" i="16"/>
  <c r="E248" i="16"/>
  <c r="E191" i="16"/>
  <c r="D191" i="16"/>
  <c r="E237" i="16"/>
  <c r="D237" i="16"/>
  <c r="D222" i="16"/>
  <c r="E222" i="16"/>
  <c r="E175" i="16"/>
  <c r="D175" i="16"/>
  <c r="E128" i="16"/>
  <c r="D128" i="16"/>
  <c r="E112" i="16"/>
  <c r="D112" i="16"/>
  <c r="E65" i="16"/>
  <c r="D65" i="16"/>
  <c r="D49" i="16"/>
  <c r="E49" i="16"/>
  <c r="D316" i="16"/>
  <c r="E316" i="16"/>
  <c r="E48" i="16"/>
  <c r="D48" i="16"/>
  <c r="E315" i="16"/>
  <c r="D315" i="16"/>
  <c r="E299" i="16"/>
  <c r="D299" i="16"/>
  <c r="E283" i="16"/>
  <c r="D283" i="16"/>
  <c r="E240" i="16"/>
  <c r="D240" i="16"/>
  <c r="E224" i="16"/>
  <c r="D224" i="16"/>
  <c r="E208" i="16"/>
  <c r="D208" i="16"/>
  <c r="E92" i="16"/>
  <c r="D92" i="16"/>
  <c r="E44" i="16"/>
  <c r="D44" i="16"/>
  <c r="E266" i="16"/>
  <c r="D266" i="16"/>
  <c r="S217" i="16"/>
  <c r="K217" i="16"/>
  <c r="E32" i="16"/>
  <c r="D32" i="16"/>
  <c r="K32" i="16"/>
  <c r="S32" i="16"/>
  <c r="G22" i="16"/>
  <c r="G6" i="16"/>
  <c r="G30" i="16"/>
  <c r="G14" i="16"/>
  <c r="G29" i="16"/>
  <c r="G13" i="16"/>
  <c r="G27" i="16"/>
  <c r="G11" i="16"/>
  <c r="G25" i="16"/>
  <c r="G9" i="16"/>
  <c r="G20" i="16"/>
  <c r="G19" i="16"/>
  <c r="G18" i="16"/>
  <c r="G17" i="16"/>
  <c r="G16" i="16"/>
  <c r="G15" i="16"/>
  <c r="G12" i="16"/>
  <c r="G10" i="16"/>
  <c r="G33" i="16"/>
  <c r="G8" i="16"/>
  <c r="G32" i="16"/>
  <c r="G7" i="16"/>
  <c r="G31" i="16"/>
  <c r="G5" i="16"/>
  <c r="G28" i="16"/>
  <c r="G4" i="16"/>
  <c r="G26" i="16"/>
  <c r="G24" i="16"/>
  <c r="G23" i="16"/>
  <c r="G21" i="16"/>
  <c r="S134" i="16"/>
  <c r="K134" i="16"/>
  <c r="S87" i="16"/>
  <c r="K87" i="16"/>
  <c r="E18" i="16"/>
  <c r="S18" i="16"/>
  <c r="D18" i="16"/>
  <c r="K18" i="16"/>
  <c r="K279" i="16"/>
  <c r="S279" i="16"/>
  <c r="S233" i="16"/>
  <c r="K233" i="16"/>
  <c r="K186" i="16"/>
  <c r="S186" i="16"/>
  <c r="S155" i="16"/>
  <c r="K155" i="16"/>
  <c r="S124" i="16"/>
  <c r="K124" i="16"/>
  <c r="K61" i="16"/>
  <c r="S61" i="16"/>
  <c r="S313" i="16"/>
  <c r="K313" i="16"/>
  <c r="K282" i="16"/>
  <c r="S282" i="16"/>
  <c r="K239" i="16"/>
  <c r="S239" i="16"/>
  <c r="K192" i="16"/>
  <c r="S192" i="16"/>
  <c r="S113" i="16"/>
  <c r="K113" i="16"/>
  <c r="S50" i="16"/>
  <c r="K50" i="16"/>
  <c r="S302" i="16"/>
  <c r="K302" i="16"/>
  <c r="K227" i="16"/>
  <c r="S227" i="16"/>
  <c r="K180" i="16"/>
  <c r="S180" i="16"/>
  <c r="S117" i="16"/>
  <c r="K117" i="16"/>
  <c r="S25" i="16"/>
  <c r="K25" i="16"/>
  <c r="D25" i="16"/>
  <c r="E25" i="16"/>
  <c r="Y33" i="16"/>
  <c r="Y17" i="16"/>
  <c r="Y31" i="16"/>
  <c r="Y15" i="16"/>
  <c r="Y27" i="16"/>
  <c r="Y11" i="16"/>
  <c r="Y25" i="16"/>
  <c r="Y9" i="16"/>
  <c r="Y24" i="16"/>
  <c r="Y8" i="16"/>
  <c r="Y23" i="16"/>
  <c r="Y7" i="16"/>
  <c r="Y22" i="16"/>
  <c r="Y6" i="16"/>
  <c r="Y19" i="16"/>
  <c r="Y32" i="16"/>
  <c r="Y30" i="16"/>
  <c r="Y20" i="16"/>
  <c r="Y14" i="16"/>
  <c r="Y13" i="16"/>
  <c r="Y10" i="16"/>
  <c r="Y4" i="16"/>
  <c r="Y16" i="16"/>
  <c r="Y5" i="16"/>
  <c r="Y26" i="16"/>
  <c r="Y21" i="16"/>
  <c r="Y12" i="16"/>
  <c r="Y29" i="16"/>
  <c r="Y28" i="16"/>
  <c r="Y18" i="16"/>
  <c r="K102" i="16"/>
  <c r="S102" i="16"/>
  <c r="S101" i="16"/>
  <c r="K101" i="16"/>
  <c r="V24" i="16"/>
  <c r="V8" i="16"/>
  <c r="V32" i="16"/>
  <c r="V16" i="16"/>
  <c r="V31" i="16"/>
  <c r="V15" i="16"/>
  <c r="V29" i="16"/>
  <c r="V13" i="16"/>
  <c r="V27" i="16"/>
  <c r="V11" i="16"/>
  <c r="V14" i="16"/>
  <c r="V28" i="16"/>
  <c r="V5" i="16"/>
  <c r="V25" i="16"/>
  <c r="V21" i="16"/>
  <c r="V18" i="16"/>
  <c r="V30" i="16"/>
  <c r="V10" i="16"/>
  <c r="V9" i="16"/>
  <c r="V6" i="16"/>
  <c r="V33" i="16"/>
  <c r="V26" i="16"/>
  <c r="V23" i="16"/>
  <c r="V22" i="16"/>
  <c r="V20" i="16"/>
  <c r="V19" i="16"/>
  <c r="V17" i="16"/>
  <c r="V12" i="16"/>
  <c r="V7" i="16"/>
  <c r="V4" i="16"/>
  <c r="S150" i="16"/>
  <c r="K150" i="16"/>
  <c r="S103" i="16"/>
  <c r="K103" i="16"/>
  <c r="K40" i="16"/>
  <c r="S40" i="16"/>
  <c r="K292" i="16"/>
  <c r="S292" i="16"/>
  <c r="S249" i="16"/>
  <c r="K249" i="16"/>
  <c r="S202" i="16"/>
  <c r="K202" i="16"/>
  <c r="S171" i="16"/>
  <c r="K171" i="16"/>
  <c r="K140" i="16"/>
  <c r="S140" i="16"/>
  <c r="S77" i="16"/>
  <c r="K77" i="16"/>
  <c r="S46" i="16"/>
  <c r="K46" i="16"/>
  <c r="K298" i="16"/>
  <c r="S298" i="16"/>
  <c r="S255" i="16"/>
  <c r="K255" i="16"/>
  <c r="S208" i="16"/>
  <c r="K208" i="16"/>
  <c r="S129" i="16"/>
  <c r="K129" i="16"/>
  <c r="S66" i="16"/>
  <c r="K66" i="16"/>
  <c r="S318" i="16"/>
  <c r="K318" i="16"/>
  <c r="K243" i="16"/>
  <c r="S243" i="16"/>
  <c r="S196" i="16"/>
  <c r="K196" i="16"/>
  <c r="S133" i="16"/>
  <c r="K133" i="16"/>
  <c r="E27" i="16"/>
  <c r="D27" i="16"/>
  <c r="S27" i="16"/>
  <c r="K27" i="16"/>
  <c r="K108" i="16"/>
  <c r="S108" i="16"/>
  <c r="K166" i="16"/>
  <c r="S166" i="16"/>
  <c r="K119" i="16"/>
  <c r="S119" i="16"/>
  <c r="K56" i="16"/>
  <c r="S56" i="16"/>
  <c r="S308" i="16"/>
  <c r="K308" i="16"/>
  <c r="S264" i="16"/>
  <c r="K264" i="16"/>
  <c r="K218" i="16"/>
  <c r="S218" i="16"/>
  <c r="S187" i="16"/>
  <c r="K187" i="16"/>
  <c r="S156" i="16"/>
  <c r="K156" i="16"/>
  <c r="S93" i="16"/>
  <c r="K93" i="16"/>
  <c r="S62" i="16"/>
  <c r="K62" i="16"/>
  <c r="S314" i="16"/>
  <c r="K314" i="16"/>
  <c r="K270" i="16"/>
  <c r="S270" i="16"/>
  <c r="S224" i="16"/>
  <c r="K224" i="16"/>
  <c r="S145" i="16"/>
  <c r="K145" i="16"/>
  <c r="S82" i="16"/>
  <c r="K82" i="16"/>
  <c r="E24" i="16"/>
  <c r="D24" i="16"/>
  <c r="K24" i="16"/>
  <c r="S24" i="16"/>
  <c r="K259" i="16"/>
  <c r="S259" i="16"/>
  <c r="S212" i="16"/>
  <c r="K212" i="16"/>
  <c r="S149" i="16"/>
  <c r="K149" i="16"/>
  <c r="E6" i="16"/>
  <c r="S6" i="16"/>
  <c r="K6" i="16"/>
  <c r="D6" i="16"/>
  <c r="S323" i="16"/>
  <c r="K323" i="16"/>
  <c r="S97" i="16"/>
  <c r="K97" i="16"/>
  <c r="S182" i="16"/>
  <c r="K182" i="16"/>
  <c r="S135" i="16"/>
  <c r="K135" i="16"/>
  <c r="S72" i="16"/>
  <c r="K72" i="16"/>
  <c r="K324" i="16"/>
  <c r="S324" i="16"/>
  <c r="S280" i="16"/>
  <c r="K280" i="16"/>
  <c r="K234" i="16"/>
  <c r="S234" i="16"/>
  <c r="S203" i="16"/>
  <c r="K203" i="16"/>
  <c r="K172" i="16"/>
  <c r="S172" i="16"/>
  <c r="S109" i="16"/>
  <c r="K109" i="16"/>
  <c r="S78" i="16"/>
  <c r="K78" i="16"/>
  <c r="S9" i="16"/>
  <c r="K9" i="16"/>
  <c r="E9" i="16"/>
  <c r="D9" i="16"/>
  <c r="K283" i="16"/>
  <c r="S283" i="16"/>
  <c r="S240" i="16"/>
  <c r="K240" i="16"/>
  <c r="S161" i="16"/>
  <c r="K161" i="16"/>
  <c r="S98" i="16"/>
  <c r="K98" i="16"/>
  <c r="E30" i="16"/>
  <c r="S30" i="16"/>
  <c r="K30" i="16"/>
  <c r="D30" i="16"/>
  <c r="K274" i="16"/>
  <c r="S274" i="16"/>
  <c r="S228" i="16"/>
  <c r="K228" i="16"/>
  <c r="S165" i="16"/>
  <c r="K165" i="16"/>
  <c r="S10" i="16"/>
  <c r="K10" i="16"/>
  <c r="E10" i="16"/>
  <c r="D10" i="16"/>
  <c r="S71" i="16"/>
  <c r="K71" i="16"/>
  <c r="S211" i="16"/>
  <c r="K211" i="16"/>
  <c r="S198" i="16"/>
  <c r="K198" i="16"/>
  <c r="S151" i="16"/>
  <c r="K151" i="16"/>
  <c r="S88" i="16"/>
  <c r="K88" i="16"/>
  <c r="K41" i="16"/>
  <c r="S41" i="16"/>
  <c r="S293" i="16"/>
  <c r="K293" i="16"/>
  <c r="S250" i="16"/>
  <c r="K250" i="16"/>
  <c r="S219" i="16"/>
  <c r="K219" i="16"/>
  <c r="S188" i="16"/>
  <c r="K188" i="16"/>
  <c r="S125" i="16"/>
  <c r="K125" i="16"/>
  <c r="S94" i="16"/>
  <c r="K94" i="16"/>
  <c r="S47" i="16"/>
  <c r="K47" i="16"/>
  <c r="K299" i="16"/>
  <c r="S299" i="16"/>
  <c r="S256" i="16"/>
  <c r="K256" i="16"/>
  <c r="S177" i="16"/>
  <c r="K177" i="16"/>
  <c r="S114" i="16"/>
  <c r="K114" i="16"/>
  <c r="S35" i="16"/>
  <c r="K35" i="16"/>
  <c r="K287" i="16"/>
  <c r="S287" i="16"/>
  <c r="S244" i="16"/>
  <c r="K244" i="16"/>
  <c r="S181" i="16"/>
  <c r="K181" i="16"/>
  <c r="S13" i="16"/>
  <c r="K13" i="16"/>
  <c r="E13" i="16"/>
  <c r="D13" i="16"/>
  <c r="S170" i="16"/>
  <c r="K170" i="16"/>
  <c r="S214" i="16"/>
  <c r="K214" i="16"/>
  <c r="S167" i="16"/>
  <c r="K167" i="16"/>
  <c r="S104" i="16"/>
  <c r="K104" i="16"/>
  <c r="K57" i="16"/>
  <c r="S57" i="16"/>
  <c r="S309" i="16"/>
  <c r="K309" i="16"/>
  <c r="S265" i="16"/>
  <c r="K265" i="16"/>
  <c r="S235" i="16"/>
  <c r="K235" i="16"/>
  <c r="K204" i="16"/>
  <c r="S204" i="16"/>
  <c r="S141" i="16"/>
  <c r="K141" i="16"/>
  <c r="K110" i="16"/>
  <c r="S110" i="16"/>
  <c r="S63" i="16"/>
  <c r="K63" i="16"/>
  <c r="K315" i="16"/>
  <c r="S315" i="16"/>
  <c r="S271" i="16"/>
  <c r="K271" i="16"/>
  <c r="S193" i="16"/>
  <c r="K193" i="16"/>
  <c r="S130" i="16"/>
  <c r="K130" i="16"/>
  <c r="S51" i="16"/>
  <c r="K51" i="16"/>
  <c r="K303" i="16"/>
  <c r="S303" i="16"/>
  <c r="K260" i="16"/>
  <c r="S260" i="16"/>
  <c r="S197" i="16"/>
  <c r="K197" i="16"/>
  <c r="E20" i="16"/>
  <c r="D20" i="16"/>
  <c r="S20" i="16"/>
  <c r="K20" i="16"/>
  <c r="I28" i="16"/>
  <c r="I12" i="16"/>
  <c r="I20" i="16"/>
  <c r="I4" i="16"/>
  <c r="I19" i="16"/>
  <c r="I33" i="16"/>
  <c r="I17" i="16"/>
  <c r="I31" i="16"/>
  <c r="I15" i="16"/>
  <c r="I23" i="16"/>
  <c r="I22" i="16"/>
  <c r="I21" i="16"/>
  <c r="I18" i="16"/>
  <c r="I16" i="16"/>
  <c r="I14" i="16"/>
  <c r="I13" i="16"/>
  <c r="I11" i="16"/>
  <c r="I10" i="16"/>
  <c r="I32" i="16"/>
  <c r="I9" i="16"/>
  <c r="I30" i="16"/>
  <c r="I8" i="16"/>
  <c r="I29" i="16"/>
  <c r="I7" i="16"/>
  <c r="I27" i="16"/>
  <c r="I6" i="16"/>
  <c r="I26" i="16"/>
  <c r="I5" i="16"/>
  <c r="I25" i="16"/>
  <c r="I24" i="16"/>
  <c r="S223" i="16"/>
  <c r="K223" i="16"/>
  <c r="K230" i="16"/>
  <c r="S230" i="16"/>
  <c r="K183" i="16"/>
  <c r="S183" i="16"/>
  <c r="K120" i="16"/>
  <c r="S120" i="16"/>
  <c r="S73" i="16"/>
  <c r="K73" i="16"/>
  <c r="S325" i="16"/>
  <c r="K325" i="16"/>
  <c r="S281" i="16"/>
  <c r="K281" i="16"/>
  <c r="K251" i="16"/>
  <c r="S251" i="16"/>
  <c r="S220" i="16"/>
  <c r="K220" i="16"/>
  <c r="S157" i="16"/>
  <c r="K157" i="16"/>
  <c r="S126" i="16"/>
  <c r="K126" i="16"/>
  <c r="S79" i="16"/>
  <c r="K79" i="16"/>
  <c r="K23" i="16"/>
  <c r="S23" i="16"/>
  <c r="D23" i="16"/>
  <c r="E23" i="16"/>
  <c r="S284" i="16"/>
  <c r="K284" i="16"/>
  <c r="S209" i="16"/>
  <c r="K209" i="16"/>
  <c r="S146" i="16"/>
  <c r="K146" i="16"/>
  <c r="K67" i="16"/>
  <c r="S67" i="16"/>
  <c r="K319" i="16"/>
  <c r="S319" i="16"/>
  <c r="S275" i="16"/>
  <c r="K275" i="16"/>
  <c r="S213" i="16"/>
  <c r="K213" i="16"/>
  <c r="K15" i="16"/>
  <c r="S15" i="16"/>
  <c r="D15" i="16"/>
  <c r="E15" i="16"/>
  <c r="S164" i="16"/>
  <c r="K164" i="16"/>
  <c r="N19" i="16"/>
  <c r="N27" i="16"/>
  <c r="N11" i="16"/>
  <c r="N26" i="16"/>
  <c r="N10" i="16"/>
  <c r="N24" i="16"/>
  <c r="N8" i="16"/>
  <c r="N22" i="16"/>
  <c r="N6" i="16"/>
  <c r="N14" i="16"/>
  <c r="N13" i="16"/>
  <c r="N29" i="16"/>
  <c r="N4" i="16"/>
  <c r="N23" i="16"/>
  <c r="N21" i="16"/>
  <c r="N18" i="16"/>
  <c r="N16" i="16"/>
  <c r="N33" i="16"/>
  <c r="N32" i="16"/>
  <c r="N31" i="16"/>
  <c r="N30" i="16"/>
  <c r="N28" i="16"/>
  <c r="N25" i="16"/>
  <c r="N20" i="16"/>
  <c r="N17" i="16"/>
  <c r="N15" i="16"/>
  <c r="N12" i="16"/>
  <c r="N9" i="16"/>
  <c r="N7" i="16"/>
  <c r="N5" i="16"/>
  <c r="S246" i="16"/>
  <c r="K246" i="16"/>
  <c r="S199" i="16"/>
  <c r="K199" i="16"/>
  <c r="S136" i="16"/>
  <c r="K136" i="16"/>
  <c r="S89" i="16"/>
  <c r="K89" i="16"/>
  <c r="S42" i="16"/>
  <c r="K42" i="16"/>
  <c r="S294" i="16"/>
  <c r="K294" i="16"/>
  <c r="K266" i="16"/>
  <c r="S266" i="16"/>
  <c r="K236" i="16"/>
  <c r="S236" i="16"/>
  <c r="S173" i="16"/>
  <c r="K173" i="16"/>
  <c r="S142" i="16"/>
  <c r="K142" i="16"/>
  <c r="S95" i="16"/>
  <c r="K95" i="16"/>
  <c r="K48" i="16"/>
  <c r="S48" i="16"/>
  <c r="S300" i="16"/>
  <c r="K300" i="16"/>
  <c r="S225" i="16"/>
  <c r="K225" i="16"/>
  <c r="S162" i="16"/>
  <c r="K162" i="16"/>
  <c r="S83" i="16"/>
  <c r="K83" i="16"/>
  <c r="S36" i="16"/>
  <c r="K36" i="16"/>
  <c r="K288" i="16"/>
  <c r="S288" i="16"/>
  <c r="S229" i="16"/>
  <c r="K229" i="16"/>
  <c r="E22" i="16"/>
  <c r="S22" i="16"/>
  <c r="K22" i="16"/>
  <c r="D22" i="16"/>
  <c r="K263" i="16"/>
  <c r="S263" i="16"/>
  <c r="S17" i="16"/>
  <c r="K17" i="16"/>
  <c r="D17" i="16"/>
  <c r="E17" i="16"/>
  <c r="P18" i="16"/>
  <c r="P28" i="16"/>
  <c r="P12" i="16"/>
  <c r="P26" i="16"/>
  <c r="P10" i="16"/>
  <c r="P23" i="16"/>
  <c r="P7" i="16"/>
  <c r="P20" i="16"/>
  <c r="P4" i="16"/>
  <c r="P29" i="16"/>
  <c r="P5" i="16"/>
  <c r="P16" i="16"/>
  <c r="P15" i="16"/>
  <c r="P13" i="16"/>
  <c r="P32" i="16"/>
  <c r="P9" i="16"/>
  <c r="P6" i="16"/>
  <c r="P33" i="16"/>
  <c r="P31" i="16"/>
  <c r="P30" i="16"/>
  <c r="P27" i="16"/>
  <c r="P25" i="16"/>
  <c r="P24" i="16"/>
  <c r="P22" i="16"/>
  <c r="P21" i="16"/>
  <c r="P19" i="16"/>
  <c r="P17" i="16"/>
  <c r="P14" i="16"/>
  <c r="P11" i="16"/>
  <c r="P8" i="16"/>
  <c r="S21" i="16"/>
  <c r="D21" i="16"/>
  <c r="K21" i="16"/>
  <c r="E21" i="16"/>
  <c r="S215" i="16"/>
  <c r="K215" i="16"/>
  <c r="S152" i="16"/>
  <c r="K152" i="16"/>
  <c r="S105" i="16"/>
  <c r="K105" i="16"/>
  <c r="S58" i="16"/>
  <c r="K58" i="16"/>
  <c r="K310" i="16"/>
  <c r="S310" i="16"/>
  <c r="S252" i="16"/>
  <c r="K252" i="16"/>
  <c r="S189" i="16"/>
  <c r="K189" i="16"/>
  <c r="S158" i="16"/>
  <c r="K158" i="16"/>
  <c r="K111" i="16"/>
  <c r="S111" i="16"/>
  <c r="K64" i="16"/>
  <c r="S64" i="16"/>
  <c r="S316" i="16"/>
  <c r="K316" i="16"/>
  <c r="S241" i="16"/>
  <c r="K241" i="16"/>
  <c r="S178" i="16"/>
  <c r="K178" i="16"/>
  <c r="K99" i="16"/>
  <c r="S99" i="16"/>
  <c r="S52" i="16"/>
  <c r="K52" i="16"/>
  <c r="K304" i="16"/>
  <c r="S304" i="16"/>
  <c r="S245" i="16"/>
  <c r="K245" i="16"/>
  <c r="K31" i="16"/>
  <c r="D31" i="16"/>
  <c r="S31" i="16"/>
  <c r="E31" i="16"/>
  <c r="S176" i="16"/>
  <c r="K176" i="16"/>
  <c r="S54" i="16"/>
  <c r="K54" i="16"/>
  <c r="S261" i="16"/>
  <c r="K261" i="16"/>
  <c r="S231" i="16"/>
  <c r="K231" i="16"/>
  <c r="K168" i="16"/>
  <c r="S168" i="16"/>
  <c r="S121" i="16"/>
  <c r="K121" i="16"/>
  <c r="S74" i="16"/>
  <c r="K74" i="16"/>
  <c r="S43" i="16"/>
  <c r="K43" i="16"/>
  <c r="K295" i="16"/>
  <c r="S295" i="16"/>
  <c r="K267" i="16"/>
  <c r="S267" i="16"/>
  <c r="S205" i="16"/>
  <c r="K205" i="16"/>
  <c r="K174" i="16"/>
  <c r="S174" i="16"/>
  <c r="K127" i="16"/>
  <c r="S127" i="16"/>
  <c r="S80" i="16"/>
  <c r="K80" i="16"/>
  <c r="S5" i="16"/>
  <c r="K5" i="16"/>
  <c r="E5" i="16"/>
  <c r="D5" i="16"/>
  <c r="S257" i="16"/>
  <c r="K257" i="16"/>
  <c r="S194" i="16"/>
  <c r="K194" i="16"/>
  <c r="S115" i="16"/>
  <c r="K115" i="16"/>
  <c r="S68" i="16"/>
  <c r="K68" i="16"/>
  <c r="K320" i="16"/>
  <c r="S320" i="16"/>
  <c r="S33" i="16"/>
  <c r="K33" i="16"/>
  <c r="D33" i="16"/>
  <c r="E33" i="16"/>
  <c r="K269" i="16"/>
  <c r="S269" i="16"/>
  <c r="S118" i="16"/>
  <c r="K118" i="16"/>
  <c r="S277" i="16"/>
  <c r="K277" i="16"/>
  <c r="K247" i="16"/>
  <c r="S247" i="16"/>
  <c r="K184" i="16"/>
  <c r="S184" i="16"/>
  <c r="S137" i="16"/>
  <c r="K137" i="16"/>
  <c r="K90" i="16"/>
  <c r="S90" i="16"/>
  <c r="S59" i="16"/>
  <c r="K59" i="16"/>
  <c r="K311" i="16"/>
  <c r="S311" i="16"/>
  <c r="S221" i="16"/>
  <c r="K221" i="16"/>
  <c r="S190" i="16"/>
  <c r="K190" i="16"/>
  <c r="S143" i="16"/>
  <c r="K143" i="16"/>
  <c r="S96" i="16"/>
  <c r="K96" i="16"/>
  <c r="K7" i="16"/>
  <c r="S7" i="16"/>
  <c r="D7" i="16"/>
  <c r="E7" i="16"/>
  <c r="S272" i="16"/>
  <c r="K272" i="16"/>
  <c r="S210" i="16"/>
  <c r="K210" i="16"/>
  <c r="K131" i="16"/>
  <c r="S131" i="16"/>
  <c r="S84" i="16"/>
  <c r="K84" i="16"/>
  <c r="E12" i="16"/>
  <c r="S12" i="16"/>
  <c r="K12" i="16"/>
  <c r="D12" i="16"/>
  <c r="S276" i="16"/>
  <c r="K276" i="16"/>
  <c r="E26" i="16"/>
  <c r="K26" i="16"/>
  <c r="S26" i="16"/>
  <c r="D26" i="16"/>
  <c r="S139" i="16"/>
  <c r="K139" i="16"/>
  <c r="S306" i="16"/>
  <c r="K306" i="16"/>
  <c r="S38" i="16"/>
  <c r="K38" i="16"/>
  <c r="S262" i="16"/>
  <c r="K262" i="16"/>
  <c r="S200" i="16"/>
  <c r="K200" i="16"/>
  <c r="S153" i="16"/>
  <c r="K153" i="16"/>
  <c r="S106" i="16"/>
  <c r="K106" i="16"/>
  <c r="S75" i="16"/>
  <c r="K75" i="16"/>
  <c r="S44" i="16"/>
  <c r="K44" i="16"/>
  <c r="K296" i="16"/>
  <c r="S296" i="16"/>
  <c r="S237" i="16"/>
  <c r="K237" i="16"/>
  <c r="S206" i="16"/>
  <c r="K206" i="16"/>
  <c r="S159" i="16"/>
  <c r="K159" i="16"/>
  <c r="S112" i="16"/>
  <c r="K112" i="16"/>
  <c r="S29" i="16"/>
  <c r="D29" i="16"/>
  <c r="E29" i="16"/>
  <c r="K29" i="16"/>
  <c r="S285" i="16"/>
  <c r="K285" i="16"/>
  <c r="S226" i="16"/>
  <c r="K226" i="16"/>
  <c r="S147" i="16"/>
  <c r="K147" i="16"/>
  <c r="S100" i="16"/>
  <c r="K100" i="16"/>
  <c r="S37" i="16"/>
  <c r="K37" i="16"/>
  <c r="S289" i="16"/>
  <c r="K289" i="16"/>
  <c r="S4" i="16"/>
  <c r="K4" i="16"/>
  <c r="E4" i="16"/>
  <c r="D4" i="16"/>
  <c r="S45" i="16"/>
  <c r="K45" i="16"/>
  <c r="S70" i="16"/>
  <c r="K70" i="16"/>
  <c r="S290" i="16"/>
  <c r="K290" i="16"/>
  <c r="K278" i="16"/>
  <c r="S278" i="16"/>
  <c r="S216" i="16"/>
  <c r="K216" i="16"/>
  <c r="S169" i="16"/>
  <c r="K169" i="16"/>
  <c r="K122" i="16"/>
  <c r="S122" i="16"/>
  <c r="S91" i="16"/>
  <c r="K91" i="16"/>
  <c r="S60" i="16"/>
  <c r="K60" i="16"/>
  <c r="K312" i="16"/>
  <c r="S312" i="16"/>
  <c r="S253" i="16"/>
  <c r="K253" i="16"/>
  <c r="S222" i="16"/>
  <c r="K222" i="16"/>
  <c r="K175" i="16"/>
  <c r="S175" i="16"/>
  <c r="K128" i="16"/>
  <c r="S128" i="16"/>
  <c r="K49" i="16"/>
  <c r="S49" i="16"/>
  <c r="S301" i="16"/>
  <c r="K301" i="16"/>
  <c r="S242" i="16"/>
  <c r="K242" i="16"/>
  <c r="K163" i="16"/>
  <c r="S163" i="16"/>
  <c r="S116" i="16"/>
  <c r="K116" i="16"/>
  <c r="S53" i="16"/>
  <c r="K53" i="16"/>
  <c r="S305" i="16"/>
  <c r="K305" i="16"/>
  <c r="K8" i="16"/>
  <c r="S8" i="16"/>
  <c r="E8" i="16"/>
  <c r="D8" i="16"/>
  <c r="S297" i="16"/>
  <c r="K297" i="16"/>
  <c r="X22" i="16"/>
  <c r="X6" i="16"/>
  <c r="X30" i="16"/>
  <c r="X14" i="16"/>
  <c r="X29" i="16"/>
  <c r="X13" i="16"/>
  <c r="X27" i="16"/>
  <c r="X11" i="16"/>
  <c r="X24" i="16"/>
  <c r="X8" i="16"/>
  <c r="X20" i="16"/>
  <c r="X19" i="16"/>
  <c r="X12" i="16"/>
  <c r="X32" i="16"/>
  <c r="X7" i="16"/>
  <c r="X31" i="16"/>
  <c r="X5" i="16"/>
  <c r="X26" i="16"/>
  <c r="X23" i="16"/>
  <c r="X17" i="16"/>
  <c r="X33" i="16"/>
  <c r="X21" i="16"/>
  <c r="X10" i="16"/>
  <c r="X28" i="16"/>
  <c r="X18" i="16"/>
  <c r="X25" i="16"/>
  <c r="X16" i="16"/>
  <c r="X15" i="16"/>
  <c r="X9" i="16"/>
  <c r="X4" i="16"/>
  <c r="Q29" i="16"/>
  <c r="Q13" i="16"/>
  <c r="Q21" i="16"/>
  <c r="Q5" i="16"/>
  <c r="Q20" i="16"/>
  <c r="Q4" i="16"/>
  <c r="Q32" i="16"/>
  <c r="Q16" i="16"/>
  <c r="Q22" i="16"/>
  <c r="Q12" i="16"/>
  <c r="Q31" i="16"/>
  <c r="Q10" i="16"/>
  <c r="Q27" i="16"/>
  <c r="Q7" i="16"/>
  <c r="Q24" i="16"/>
  <c r="Q23" i="16"/>
  <c r="Q8" i="16"/>
  <c r="Q6" i="16"/>
  <c r="Q33" i="16"/>
  <c r="Q28" i="16"/>
  <c r="Q26" i="16"/>
  <c r="Q25" i="16"/>
  <c r="Q19" i="16"/>
  <c r="Q18" i="16"/>
  <c r="Q17" i="16"/>
  <c r="Q15" i="16"/>
  <c r="Q14" i="16"/>
  <c r="Q11" i="16"/>
  <c r="Q9" i="16"/>
  <c r="Q30" i="16"/>
  <c r="S322" i="16"/>
  <c r="K322" i="16"/>
  <c r="S39" i="16"/>
  <c r="K39" i="16"/>
  <c r="S291" i="16"/>
  <c r="K291" i="16"/>
  <c r="S232" i="16"/>
  <c r="K232" i="16"/>
  <c r="S185" i="16"/>
  <c r="K185" i="16"/>
  <c r="S138" i="16"/>
  <c r="K138" i="16"/>
  <c r="S107" i="16"/>
  <c r="K107" i="16"/>
  <c r="K76" i="16"/>
  <c r="S76" i="16"/>
  <c r="E16" i="16"/>
  <c r="D16" i="16"/>
  <c r="K16" i="16"/>
  <c r="S16" i="16"/>
  <c r="S268" i="16"/>
  <c r="K268" i="16"/>
  <c r="K238" i="16"/>
  <c r="S238" i="16"/>
  <c r="S191" i="16"/>
  <c r="K191" i="16"/>
  <c r="S144" i="16"/>
  <c r="K144" i="16"/>
  <c r="S65" i="16"/>
  <c r="K65" i="16"/>
  <c r="S317" i="16"/>
  <c r="K317" i="16"/>
  <c r="S258" i="16"/>
  <c r="K258" i="16"/>
  <c r="S179" i="16"/>
  <c r="K179" i="16"/>
  <c r="S132" i="16"/>
  <c r="K132" i="16"/>
  <c r="S69" i="16"/>
  <c r="K69" i="16"/>
  <c r="S321" i="16"/>
  <c r="K321" i="16"/>
  <c r="E28" i="16"/>
  <c r="D28" i="16"/>
  <c r="S28" i="16"/>
  <c r="K28" i="16"/>
  <c r="S286" i="16"/>
  <c r="K286" i="16"/>
  <c r="S86" i="16"/>
  <c r="K86" i="16"/>
  <c r="S55" i="16"/>
  <c r="K55" i="16"/>
  <c r="S307" i="16"/>
  <c r="K307" i="16"/>
  <c r="K248" i="16"/>
  <c r="S248" i="16"/>
  <c r="S201" i="16"/>
  <c r="K201" i="16"/>
  <c r="K154" i="16"/>
  <c r="S154" i="16"/>
  <c r="S123" i="16"/>
  <c r="K123" i="16"/>
  <c r="S92" i="16"/>
  <c r="K92" i="16"/>
  <c r="E19" i="16"/>
  <c r="S19" i="16"/>
  <c r="K19" i="16"/>
  <c r="D19" i="16"/>
  <c r="K254" i="16"/>
  <c r="S254" i="16"/>
  <c r="K207" i="16"/>
  <c r="S207" i="16"/>
  <c r="S160" i="16"/>
  <c r="K160" i="16"/>
  <c r="S81" i="16"/>
  <c r="K81" i="16"/>
  <c r="E14" i="16"/>
  <c r="S14" i="16"/>
  <c r="D14" i="16"/>
  <c r="K14" i="16"/>
  <c r="S273" i="16"/>
  <c r="K273" i="16"/>
  <c r="K195" i="16"/>
  <c r="S195" i="16"/>
  <c r="S148" i="16"/>
  <c r="K148" i="16"/>
  <c r="S85" i="16"/>
  <c r="K85" i="16"/>
  <c r="S11" i="16"/>
  <c r="K11" i="16"/>
  <c r="E11" i="16"/>
  <c r="D11" i="16"/>
  <c r="O5" i="11"/>
  <c r="K18" i="11"/>
  <c r="O25" i="11"/>
  <c r="K25" i="11"/>
  <c r="O24" i="11"/>
  <c r="K24" i="11"/>
  <c r="O4" i="11"/>
  <c r="K17" i="11"/>
  <c r="AF11" i="18" l="1"/>
  <c r="AN11" i="18" s="1"/>
  <c r="AF13" i="18"/>
  <c r="AN13" i="18" s="1"/>
  <c r="AD23" i="18"/>
  <c r="AL23" i="18" s="1"/>
  <c r="AK23" i="18"/>
  <c r="AF15" i="18"/>
  <c r="AN15" i="18" s="1"/>
  <c r="AF33" i="18"/>
  <c r="AN33" i="18" s="1"/>
  <c r="AF18" i="18"/>
  <c r="AN18" i="18" s="1"/>
  <c r="AF8" i="18"/>
  <c r="AN8" i="18" s="1"/>
  <c r="AF23" i="18"/>
  <c r="AN23" i="18" s="1"/>
  <c r="AF17" i="18"/>
  <c r="AN17" i="18" s="1"/>
  <c r="AF32" i="18"/>
  <c r="AN32" i="18" s="1"/>
  <c r="AD9" i="18"/>
  <c r="AL9" i="18" s="1"/>
  <c r="AF16" i="18"/>
  <c r="AN16" i="18" s="1"/>
  <c r="AD14" i="18"/>
  <c r="AL14" i="18" s="1"/>
  <c r="AK14" i="18"/>
  <c r="AF24" i="18"/>
  <c r="AN24" i="18" s="1"/>
  <c r="AD31" i="18"/>
  <c r="AL31" i="18" s="1"/>
  <c r="AK31" i="18"/>
  <c r="AD22" i="18"/>
  <c r="AL22" i="18" s="1"/>
  <c r="AM5" i="18"/>
  <c r="AS5" i="18"/>
  <c r="AF5" i="19" s="1"/>
  <c r="AD7" i="18"/>
  <c r="AL7" i="18" s="1"/>
  <c r="AK7" i="18"/>
  <c r="AF26" i="18"/>
  <c r="AN26" i="18" s="1"/>
  <c r="AM26" i="18"/>
  <c r="AF14" i="18"/>
  <c r="AN14" i="18" s="1"/>
  <c r="AF34" i="18"/>
  <c r="AN34" i="18" s="1"/>
  <c r="AD20" i="18"/>
  <c r="AL20" i="18" s="1"/>
  <c r="AK20" i="18"/>
  <c r="AD30" i="18"/>
  <c r="AL30" i="18" s="1"/>
  <c r="AK30" i="18"/>
  <c r="AF22" i="18"/>
  <c r="AN22" i="18" s="1"/>
  <c r="AD24" i="18"/>
  <c r="AL24" i="18" s="1"/>
  <c r="AK24" i="18"/>
  <c r="AD36" i="18"/>
  <c r="AL36" i="18" s="1"/>
  <c r="AK36" i="18"/>
  <c r="AF21" i="18"/>
  <c r="AN21" i="18" s="1"/>
  <c r="AF6" i="18"/>
  <c r="AF36" i="18"/>
  <c r="AN36" i="18" s="1"/>
  <c r="AD28" i="18"/>
  <c r="AL28" i="18" s="1"/>
  <c r="AK28" i="18"/>
  <c r="AD12" i="18"/>
  <c r="AL12" i="18" s="1"/>
  <c r="AK12" i="18"/>
  <c r="AB123" i="18"/>
  <c r="AB222" i="18"/>
  <c r="AB309" i="18"/>
  <c r="AB51" i="18"/>
  <c r="AB59" i="18"/>
  <c r="AB311" i="18"/>
  <c r="AB203" i="18"/>
  <c r="AB119" i="18"/>
  <c r="AB224" i="18"/>
  <c r="AB126" i="18"/>
  <c r="AB303" i="18"/>
  <c r="AB214" i="18"/>
  <c r="AB185" i="18"/>
  <c r="AB206" i="18"/>
  <c r="AB209" i="18"/>
  <c r="AB114" i="18"/>
  <c r="AB305" i="18"/>
  <c r="AB90" i="18"/>
  <c r="AB221" i="18"/>
  <c r="AB136" i="18"/>
  <c r="AB138" i="18"/>
  <c r="AB219" i="18"/>
  <c r="AB307" i="18"/>
  <c r="AB317" i="18"/>
  <c r="AB194" i="18"/>
  <c r="AB223" i="18"/>
  <c r="AB288" i="18"/>
  <c r="AB64" i="18"/>
  <c r="AB313" i="18"/>
  <c r="AB183" i="18"/>
  <c r="AB107" i="18"/>
  <c r="AB145" i="18"/>
  <c r="AB140" i="18"/>
  <c r="AB161" i="18"/>
  <c r="AB260" i="18"/>
  <c r="AB244" i="18"/>
  <c r="AB302" i="18"/>
  <c r="AB312" i="18"/>
  <c r="AB152" i="18"/>
  <c r="AB277" i="18"/>
  <c r="AB195" i="18"/>
  <c r="AB95" i="18"/>
  <c r="AB139" i="18"/>
  <c r="AB269" i="18"/>
  <c r="AB200" i="18"/>
  <c r="AB38" i="18"/>
  <c r="AB316" i="18"/>
  <c r="AB238" i="18"/>
  <c r="AB105" i="18"/>
  <c r="AB162" i="18"/>
  <c r="AB40" i="18"/>
  <c r="AB135" i="18"/>
  <c r="AB253" i="18"/>
  <c r="AB254" i="18"/>
  <c r="AB98" i="18"/>
  <c r="AB104" i="18"/>
  <c r="AB124" i="18"/>
  <c r="AB79" i="18"/>
  <c r="AB54" i="18"/>
  <c r="AB94" i="18"/>
  <c r="AB100" i="18"/>
  <c r="AB234" i="18"/>
  <c r="AB300" i="18"/>
  <c r="AB120" i="18"/>
  <c r="AB81" i="18"/>
  <c r="AB186" i="18"/>
  <c r="AB237" i="18"/>
  <c r="AB101" i="18"/>
  <c r="AB47" i="18"/>
  <c r="AB170" i="18"/>
  <c r="AB169" i="18"/>
  <c r="AB103" i="18"/>
  <c r="AB130" i="18"/>
  <c r="AB273" i="18"/>
  <c r="AB242" i="18"/>
  <c r="AB213" i="18"/>
  <c r="AB230" i="18"/>
  <c r="AB45" i="18"/>
  <c r="AB205" i="18"/>
  <c r="AB266" i="18"/>
  <c r="AB192" i="18"/>
  <c r="AB149" i="18"/>
  <c r="AB85" i="18"/>
  <c r="AB171" i="18"/>
  <c r="AB129" i="18"/>
  <c r="AB241" i="18"/>
  <c r="AB60" i="18"/>
  <c r="AB255" i="18"/>
  <c r="AB158" i="18"/>
  <c r="AB133" i="18"/>
  <c r="AB165" i="18"/>
  <c r="AB187" i="18"/>
  <c r="AB148" i="18"/>
  <c r="AB250" i="18"/>
  <c r="AB239" i="18"/>
  <c r="AB52" i="18"/>
  <c r="AB220" i="18"/>
  <c r="AB92" i="18"/>
  <c r="AB296" i="18"/>
  <c r="AB142" i="18"/>
  <c r="AB55" i="18"/>
  <c r="AB301" i="18"/>
  <c r="AB252" i="18"/>
  <c r="AB88" i="18"/>
  <c r="AB175" i="18"/>
  <c r="AB249" i="18"/>
  <c r="AB246" i="18"/>
  <c r="AB298" i="18"/>
  <c r="AB320" i="18"/>
  <c r="AB163" i="18"/>
  <c r="AB294" i="18"/>
  <c r="AB167" i="18"/>
  <c r="AB271" i="18"/>
  <c r="AB304" i="18"/>
  <c r="AB263" i="18"/>
  <c r="AB256" i="18"/>
  <c r="AB63" i="18"/>
  <c r="AB202" i="18"/>
  <c r="AB160" i="18"/>
  <c r="AB257" i="18"/>
  <c r="AB91" i="18"/>
  <c r="AB71" i="18"/>
  <c r="AB197" i="18"/>
  <c r="AB67" i="18"/>
  <c r="AB84" i="18"/>
  <c r="AB321" i="18"/>
  <c r="AB57" i="18"/>
  <c r="AB112" i="18"/>
  <c r="AB217" i="18"/>
  <c r="AB44" i="18"/>
  <c r="AB70" i="18"/>
  <c r="AB212" i="18"/>
  <c r="AB89" i="18"/>
  <c r="AB227" i="18"/>
  <c r="AB106" i="18"/>
  <c r="AB96" i="18"/>
  <c r="AB174" i="18"/>
  <c r="AB68" i="18"/>
  <c r="AB177" i="18"/>
  <c r="AB207" i="18"/>
  <c r="AB99" i="18"/>
  <c r="AB218" i="18"/>
  <c r="AB50" i="18"/>
  <c r="AB278" i="18"/>
  <c r="AB46" i="18"/>
  <c r="AB113" i="18"/>
  <c r="AB323" i="18"/>
  <c r="AB56" i="18"/>
  <c r="AB82" i="18"/>
  <c r="AB80" i="18"/>
  <c r="AB291" i="18"/>
  <c r="AB157" i="18"/>
  <c r="AB66" i="18"/>
  <c r="AB245" i="18"/>
  <c r="AB208" i="18"/>
  <c r="AB134" i="18"/>
  <c r="AB324" i="18"/>
  <c r="AB282" i="18"/>
  <c r="AB43" i="18"/>
  <c r="AB210" i="18"/>
  <c r="AB215" i="18"/>
  <c r="AB72" i="18"/>
  <c r="AB53" i="18"/>
  <c r="AB285" i="18"/>
  <c r="AB111" i="18"/>
  <c r="M258" i="18"/>
  <c r="L258" i="18"/>
  <c r="M307" i="18"/>
  <c r="L307" i="18"/>
  <c r="T232" i="18"/>
  <c r="U232" i="18"/>
  <c r="T151" i="18"/>
  <c r="U151" i="18"/>
  <c r="T302" i="18"/>
  <c r="U302" i="18"/>
  <c r="U171" i="18"/>
  <c r="T171" i="18"/>
  <c r="M44" i="18"/>
  <c r="L44" i="18"/>
  <c r="T212" i="18"/>
  <c r="U212" i="18"/>
  <c r="U73" i="18"/>
  <c r="T73" i="18"/>
  <c r="U287" i="18"/>
  <c r="T287" i="18"/>
  <c r="T128" i="18"/>
  <c r="U128" i="18"/>
  <c r="M306" i="18"/>
  <c r="L306" i="18"/>
  <c r="M320" i="18"/>
  <c r="L320" i="18"/>
  <c r="M192" i="18"/>
  <c r="L192" i="18"/>
  <c r="U70" i="18"/>
  <c r="T70" i="18"/>
  <c r="T238" i="18"/>
  <c r="U238" i="18"/>
  <c r="T113" i="18"/>
  <c r="U113" i="18"/>
  <c r="M286" i="18"/>
  <c r="L286" i="18"/>
  <c r="T186" i="18"/>
  <c r="U186" i="18"/>
  <c r="M53" i="18"/>
  <c r="L53" i="18"/>
  <c r="U321" i="18"/>
  <c r="T321" i="18"/>
  <c r="U175" i="18"/>
  <c r="T175" i="18"/>
  <c r="T52" i="18"/>
  <c r="U52" i="18"/>
  <c r="M314" i="18"/>
  <c r="L314" i="18"/>
  <c r="M168" i="18"/>
  <c r="L168" i="18"/>
  <c r="L293" i="18"/>
  <c r="M293" i="18"/>
  <c r="M164" i="18"/>
  <c r="L164" i="18"/>
  <c r="M46" i="18"/>
  <c r="L46" i="18"/>
  <c r="M290" i="18"/>
  <c r="L290" i="18"/>
  <c r="T182" i="18"/>
  <c r="U182" i="18"/>
  <c r="M65" i="18"/>
  <c r="L65" i="18"/>
  <c r="U194" i="18"/>
  <c r="T194" i="18"/>
  <c r="M242" i="18"/>
  <c r="L242" i="18"/>
  <c r="T140" i="18"/>
  <c r="U140" i="18"/>
  <c r="T134" i="18"/>
  <c r="U134" i="18"/>
  <c r="M315" i="18"/>
  <c r="L315" i="18"/>
  <c r="M215" i="18"/>
  <c r="L215" i="18"/>
  <c r="M82" i="18"/>
  <c r="L82" i="18"/>
  <c r="U307" i="18"/>
  <c r="T307" i="18"/>
  <c r="M302" i="18"/>
  <c r="L302" i="18"/>
  <c r="L159" i="18"/>
  <c r="M159" i="18"/>
  <c r="U311" i="18"/>
  <c r="T311" i="18"/>
  <c r="M199" i="18"/>
  <c r="L199" i="18"/>
  <c r="M45" i="18"/>
  <c r="L45" i="18"/>
  <c r="M247" i="18"/>
  <c r="L247" i="18"/>
  <c r="T142" i="18"/>
  <c r="U142" i="18"/>
  <c r="T306" i="18"/>
  <c r="U306" i="18"/>
  <c r="U320" i="18"/>
  <c r="T320" i="18"/>
  <c r="T192" i="18"/>
  <c r="U192" i="18"/>
  <c r="M70" i="18"/>
  <c r="L70" i="18"/>
  <c r="L238" i="18"/>
  <c r="M238" i="18"/>
  <c r="M113" i="18"/>
  <c r="L113" i="18"/>
  <c r="T286" i="18"/>
  <c r="U286" i="18"/>
  <c r="M186" i="18"/>
  <c r="L186" i="18"/>
  <c r="T53" i="18"/>
  <c r="U53" i="18"/>
  <c r="M299" i="18"/>
  <c r="L299" i="18"/>
  <c r="T178" i="18"/>
  <c r="U178" i="18"/>
  <c r="M39" i="18"/>
  <c r="L39" i="18"/>
  <c r="M248" i="18"/>
  <c r="L248" i="18"/>
  <c r="T269" i="18"/>
  <c r="U269" i="18"/>
  <c r="M138" i="18"/>
  <c r="L138" i="18"/>
  <c r="U293" i="18"/>
  <c r="T293" i="18"/>
  <c r="T164" i="18"/>
  <c r="U164" i="18"/>
  <c r="U46" i="18"/>
  <c r="T46" i="18"/>
  <c r="T290" i="18"/>
  <c r="U290" i="18"/>
  <c r="M182" i="18"/>
  <c r="L182" i="18"/>
  <c r="U65" i="18"/>
  <c r="T65" i="18"/>
  <c r="M310" i="18"/>
  <c r="L310" i="18"/>
  <c r="U187" i="18"/>
  <c r="T187" i="18"/>
  <c r="M77" i="18"/>
  <c r="L77" i="18"/>
  <c r="T242" i="18"/>
  <c r="U242" i="18"/>
  <c r="M140" i="18"/>
  <c r="L140" i="18"/>
  <c r="M68" i="18"/>
  <c r="L68" i="18"/>
  <c r="U315" i="18"/>
  <c r="T315" i="18"/>
  <c r="T215" i="18"/>
  <c r="U215" i="18"/>
  <c r="U82" i="18"/>
  <c r="T82" i="18"/>
  <c r="M300" i="18"/>
  <c r="L300" i="18"/>
  <c r="U44" i="18"/>
  <c r="T44" i="18"/>
  <c r="T218" i="18"/>
  <c r="U218" i="18"/>
  <c r="M312" i="18"/>
  <c r="L312" i="18"/>
  <c r="M181" i="18"/>
  <c r="L181" i="18"/>
  <c r="U71" i="18"/>
  <c r="T71" i="18"/>
  <c r="M204" i="18"/>
  <c r="L204" i="18"/>
  <c r="M59" i="18"/>
  <c r="L59" i="18"/>
  <c r="L280" i="18"/>
  <c r="M280" i="18"/>
  <c r="M148" i="18"/>
  <c r="L148" i="18"/>
  <c r="U299" i="18"/>
  <c r="T299" i="18"/>
  <c r="M178" i="18"/>
  <c r="L178" i="18"/>
  <c r="T39" i="18"/>
  <c r="U39" i="18"/>
  <c r="T248" i="18"/>
  <c r="U248" i="18"/>
  <c r="M269" i="18"/>
  <c r="L269" i="18"/>
  <c r="T138" i="18"/>
  <c r="U138" i="18"/>
  <c r="U283" i="18"/>
  <c r="T283" i="18"/>
  <c r="U145" i="18"/>
  <c r="T145" i="18"/>
  <c r="U48" i="18"/>
  <c r="T48" i="18"/>
  <c r="M190" i="18"/>
  <c r="L190" i="18"/>
  <c r="T310" i="18"/>
  <c r="U310" i="18"/>
  <c r="L187" i="18"/>
  <c r="M187" i="18"/>
  <c r="U77" i="18"/>
  <c r="T77" i="18"/>
  <c r="M221" i="18"/>
  <c r="L221" i="18"/>
  <c r="M85" i="18"/>
  <c r="L85" i="18"/>
  <c r="T68" i="18"/>
  <c r="U68" i="18"/>
  <c r="L297" i="18"/>
  <c r="M297" i="18"/>
  <c r="M153" i="18"/>
  <c r="L153" i="18"/>
  <c r="U300" i="18"/>
  <c r="T300" i="18"/>
  <c r="M67" i="18"/>
  <c r="L67" i="18"/>
  <c r="L175" i="18"/>
  <c r="M175" i="18"/>
  <c r="M142" i="18"/>
  <c r="L142" i="18"/>
  <c r="M322" i="18"/>
  <c r="L322" i="18"/>
  <c r="T224" i="18"/>
  <c r="U224" i="18"/>
  <c r="M60" i="18"/>
  <c r="L60" i="18"/>
  <c r="U275" i="18"/>
  <c r="T275" i="18"/>
  <c r="T152" i="18"/>
  <c r="U152" i="18"/>
  <c r="U309" i="18"/>
  <c r="T309" i="18"/>
  <c r="M157" i="18"/>
  <c r="L157" i="18"/>
  <c r="T243" i="18"/>
  <c r="U243" i="18"/>
  <c r="M235" i="18"/>
  <c r="L235" i="18"/>
  <c r="M87" i="18"/>
  <c r="L87" i="18"/>
  <c r="M218" i="18"/>
  <c r="L218" i="18"/>
  <c r="U312" i="18"/>
  <c r="T312" i="18"/>
  <c r="U181" i="18"/>
  <c r="T181" i="18"/>
  <c r="M71" i="18"/>
  <c r="L71" i="18"/>
  <c r="T204" i="18"/>
  <c r="U204" i="18"/>
  <c r="U59" i="18"/>
  <c r="T59" i="18"/>
  <c r="U280" i="18"/>
  <c r="T280" i="18"/>
  <c r="T148" i="18"/>
  <c r="U148" i="18"/>
  <c r="M277" i="18"/>
  <c r="L277" i="18"/>
  <c r="T172" i="18"/>
  <c r="U172" i="18"/>
  <c r="U50" i="18"/>
  <c r="T50" i="18"/>
  <c r="U161" i="18"/>
  <c r="T161" i="18"/>
  <c r="M254" i="18"/>
  <c r="L254" i="18"/>
  <c r="M162" i="18"/>
  <c r="L162" i="18"/>
  <c r="M283" i="18"/>
  <c r="L283" i="18"/>
  <c r="M145" i="18"/>
  <c r="L145" i="18"/>
  <c r="M48" i="18"/>
  <c r="L48" i="18"/>
  <c r="T190" i="18"/>
  <c r="U190" i="18"/>
  <c r="U284" i="18"/>
  <c r="T284" i="18"/>
  <c r="M173" i="18"/>
  <c r="L173" i="18"/>
  <c r="M43" i="18"/>
  <c r="L43" i="18"/>
  <c r="L246" i="18"/>
  <c r="M246" i="18"/>
  <c r="U221" i="18"/>
  <c r="T221" i="18"/>
  <c r="U85" i="18"/>
  <c r="T85" i="18"/>
  <c r="U38" i="18"/>
  <c r="T38" i="18"/>
  <c r="U297" i="18"/>
  <c r="T297" i="18"/>
  <c r="U153" i="18"/>
  <c r="T153" i="18"/>
  <c r="M188" i="18"/>
  <c r="L188" i="18"/>
  <c r="L151" i="18"/>
  <c r="M151" i="18"/>
  <c r="U183" i="18"/>
  <c r="T183" i="18"/>
  <c r="U313" i="18"/>
  <c r="T313" i="18"/>
  <c r="M124" i="18"/>
  <c r="L124" i="18"/>
  <c r="M134" i="18"/>
  <c r="L134" i="18"/>
  <c r="U197" i="18"/>
  <c r="T197" i="18"/>
  <c r="U63" i="18"/>
  <c r="T63" i="18"/>
  <c r="T247" i="18"/>
  <c r="U247" i="18"/>
  <c r="T322" i="18"/>
  <c r="U322" i="18"/>
  <c r="M224" i="18"/>
  <c r="L224" i="18"/>
  <c r="T60" i="18"/>
  <c r="U60" i="18"/>
  <c r="M275" i="18"/>
  <c r="L275" i="18"/>
  <c r="M152" i="18"/>
  <c r="L152" i="18"/>
  <c r="L309" i="18"/>
  <c r="M309" i="18"/>
  <c r="U157" i="18"/>
  <c r="T157" i="18"/>
  <c r="M243" i="18"/>
  <c r="L243" i="18"/>
  <c r="T235" i="18"/>
  <c r="U235" i="18"/>
  <c r="U87" i="18"/>
  <c r="T87" i="18"/>
  <c r="M94" i="18"/>
  <c r="L94" i="18"/>
  <c r="M169" i="18"/>
  <c r="L169" i="18"/>
  <c r="M57" i="18"/>
  <c r="L57" i="18"/>
  <c r="T211" i="18"/>
  <c r="U211" i="18"/>
  <c r="M54" i="18"/>
  <c r="L54" i="18"/>
  <c r="U279" i="18"/>
  <c r="T279" i="18"/>
  <c r="M141" i="18"/>
  <c r="L141" i="18"/>
  <c r="T277" i="18"/>
  <c r="U277" i="18"/>
  <c r="M172" i="18"/>
  <c r="L172" i="18"/>
  <c r="M50" i="18"/>
  <c r="L50" i="18"/>
  <c r="M161" i="18"/>
  <c r="L161" i="18"/>
  <c r="T254" i="18"/>
  <c r="U254" i="18"/>
  <c r="T162" i="18"/>
  <c r="U162" i="18"/>
  <c r="T281" i="18"/>
  <c r="U281" i="18"/>
  <c r="M135" i="18"/>
  <c r="L135" i="18"/>
  <c r="U289" i="18"/>
  <c r="T289" i="18"/>
  <c r="M119" i="18"/>
  <c r="L119" i="18"/>
  <c r="M284" i="18"/>
  <c r="L284" i="18"/>
  <c r="U173" i="18"/>
  <c r="T173" i="18"/>
  <c r="T43" i="18"/>
  <c r="U43" i="18"/>
  <c r="T246" i="18"/>
  <c r="U246" i="18"/>
  <c r="L191" i="18"/>
  <c r="M191" i="18"/>
  <c r="M79" i="18"/>
  <c r="L79" i="18"/>
  <c r="M38" i="18"/>
  <c r="L38" i="18"/>
  <c r="M295" i="18"/>
  <c r="L295" i="18"/>
  <c r="M165" i="18"/>
  <c r="L165" i="18"/>
  <c r="T188" i="18"/>
  <c r="U188" i="18"/>
  <c r="M232" i="18"/>
  <c r="L232" i="18"/>
  <c r="L128" i="18"/>
  <c r="M128" i="18"/>
  <c r="U75" i="18"/>
  <c r="T75" i="18"/>
  <c r="L301" i="18"/>
  <c r="M301" i="18"/>
  <c r="M176" i="18"/>
  <c r="L176" i="18"/>
  <c r="U74" i="18"/>
  <c r="T74" i="18"/>
  <c r="M231" i="18"/>
  <c r="L231" i="18"/>
  <c r="M112" i="18"/>
  <c r="L112" i="18"/>
  <c r="M262" i="18"/>
  <c r="L262" i="18"/>
  <c r="M144" i="18"/>
  <c r="L144" i="18"/>
  <c r="L225" i="18"/>
  <c r="M225" i="18"/>
  <c r="T146" i="18"/>
  <c r="U146" i="18"/>
  <c r="U94" i="18"/>
  <c r="T94" i="18"/>
  <c r="U169" i="18"/>
  <c r="T169" i="18"/>
  <c r="U57" i="18"/>
  <c r="T57" i="18"/>
  <c r="M211" i="18"/>
  <c r="L211" i="18"/>
  <c r="U54" i="18"/>
  <c r="T54" i="18"/>
  <c r="M279" i="18"/>
  <c r="L279" i="18"/>
  <c r="T141" i="18"/>
  <c r="U141" i="18"/>
  <c r="M263" i="18"/>
  <c r="L263" i="18"/>
  <c r="M266" i="18"/>
  <c r="L266" i="18"/>
  <c r="M125" i="18"/>
  <c r="L125" i="18"/>
  <c r="M236" i="18"/>
  <c r="L236" i="18"/>
  <c r="M110" i="18"/>
  <c r="L110" i="18"/>
  <c r="M281" i="18"/>
  <c r="L281" i="18"/>
  <c r="T135" i="18"/>
  <c r="U135" i="18"/>
  <c r="L289" i="18"/>
  <c r="M289" i="18"/>
  <c r="U119" i="18"/>
  <c r="T119" i="18"/>
  <c r="M230" i="18"/>
  <c r="L230" i="18"/>
  <c r="M278" i="18"/>
  <c r="L278" i="18"/>
  <c r="L155" i="18"/>
  <c r="M155" i="18"/>
  <c r="M88" i="18"/>
  <c r="L88" i="18"/>
  <c r="U191" i="18"/>
  <c r="T191" i="18"/>
  <c r="U79" i="18"/>
  <c r="T79" i="18"/>
  <c r="U295" i="18"/>
  <c r="T295" i="18"/>
  <c r="U165" i="18"/>
  <c r="T165" i="18"/>
  <c r="U185" i="18"/>
  <c r="T185" i="18"/>
  <c r="T314" i="18"/>
  <c r="U314" i="18"/>
  <c r="L200" i="18"/>
  <c r="M200" i="18"/>
  <c r="U301" i="18"/>
  <c r="T301" i="18"/>
  <c r="T176" i="18"/>
  <c r="U176" i="18"/>
  <c r="M74" i="18"/>
  <c r="L74" i="18"/>
  <c r="T231" i="18"/>
  <c r="U231" i="18"/>
  <c r="T112" i="18"/>
  <c r="U112" i="18"/>
  <c r="U262" i="18"/>
  <c r="T262" i="18"/>
  <c r="T144" i="18"/>
  <c r="U144" i="18"/>
  <c r="U225" i="18"/>
  <c r="T225" i="18"/>
  <c r="M146" i="18"/>
  <c r="L146" i="18"/>
  <c r="U274" i="18"/>
  <c r="T274" i="18"/>
  <c r="U177" i="18"/>
  <c r="T177" i="18"/>
  <c r="T47" i="18"/>
  <c r="U47" i="18"/>
  <c r="M292" i="18"/>
  <c r="L292" i="18"/>
  <c r="M174" i="18"/>
  <c r="L174" i="18"/>
  <c r="U69" i="18"/>
  <c r="T69" i="18"/>
  <c r="T298" i="18"/>
  <c r="U298" i="18"/>
  <c r="T136" i="18"/>
  <c r="U136" i="18"/>
  <c r="U263" i="18"/>
  <c r="T263" i="18"/>
  <c r="U266" i="18"/>
  <c r="T266" i="18"/>
  <c r="T125" i="18"/>
  <c r="U125" i="18"/>
  <c r="T236" i="18"/>
  <c r="U236" i="18"/>
  <c r="T110" i="18"/>
  <c r="U110" i="18"/>
  <c r="T257" i="18"/>
  <c r="U257" i="18"/>
  <c r="U272" i="18"/>
  <c r="T272" i="18"/>
  <c r="M105" i="18"/>
  <c r="L105" i="18"/>
  <c r="U260" i="18"/>
  <c r="T260" i="18"/>
  <c r="M129" i="18"/>
  <c r="L129" i="18"/>
  <c r="T230" i="18"/>
  <c r="U230" i="18"/>
  <c r="U278" i="18"/>
  <c r="T278" i="18"/>
  <c r="T155" i="18"/>
  <c r="U155" i="18"/>
  <c r="T88" i="18"/>
  <c r="U88" i="18"/>
  <c r="M316" i="18"/>
  <c r="L316" i="18"/>
  <c r="L179" i="18"/>
  <c r="M179" i="18"/>
  <c r="M61" i="18"/>
  <c r="L61" i="18"/>
  <c r="L264" i="18"/>
  <c r="M264" i="18"/>
  <c r="L163" i="18"/>
  <c r="M163" i="18"/>
  <c r="M185" i="18"/>
  <c r="L185" i="18"/>
  <c r="L171" i="18"/>
  <c r="M171" i="18"/>
  <c r="M131" i="18"/>
  <c r="L131" i="18"/>
  <c r="L194" i="18"/>
  <c r="M194" i="18"/>
  <c r="T199" i="18"/>
  <c r="U199" i="18"/>
  <c r="U291" i="18"/>
  <c r="T291" i="18"/>
  <c r="T180" i="18"/>
  <c r="U180" i="18"/>
  <c r="T64" i="18"/>
  <c r="U64" i="18"/>
  <c r="T126" i="18"/>
  <c r="U126" i="18"/>
  <c r="U237" i="18"/>
  <c r="T237" i="18"/>
  <c r="M101" i="18"/>
  <c r="L101" i="18"/>
  <c r="L268" i="18"/>
  <c r="M268" i="18"/>
  <c r="U149" i="18"/>
  <c r="T149" i="18"/>
  <c r="M223" i="18"/>
  <c r="L223" i="18"/>
  <c r="M62" i="18"/>
  <c r="L62" i="18"/>
  <c r="M274" i="18"/>
  <c r="L274" i="18"/>
  <c r="M177" i="18"/>
  <c r="L177" i="18"/>
  <c r="M47" i="18"/>
  <c r="L47" i="18"/>
  <c r="U292" i="18"/>
  <c r="T292" i="18"/>
  <c r="T174" i="18"/>
  <c r="U174" i="18"/>
  <c r="M69" i="18"/>
  <c r="L69" i="18"/>
  <c r="M298" i="18"/>
  <c r="L298" i="18"/>
  <c r="M136" i="18"/>
  <c r="L136" i="18"/>
  <c r="L167" i="18"/>
  <c r="M167" i="18"/>
  <c r="M256" i="18"/>
  <c r="L256" i="18"/>
  <c r="M120" i="18"/>
  <c r="L120" i="18"/>
  <c r="T227" i="18"/>
  <c r="U227" i="18"/>
  <c r="U95" i="18"/>
  <c r="T95" i="18"/>
  <c r="M257" i="18"/>
  <c r="L257" i="18"/>
  <c r="L272" i="18"/>
  <c r="M272" i="18"/>
  <c r="T105" i="18"/>
  <c r="U105" i="18"/>
  <c r="M260" i="18"/>
  <c r="L260" i="18"/>
  <c r="T129" i="18"/>
  <c r="U129" i="18"/>
  <c r="M160" i="18"/>
  <c r="L160" i="18"/>
  <c r="U276" i="18"/>
  <c r="T276" i="18"/>
  <c r="M132" i="18"/>
  <c r="L132" i="18"/>
  <c r="U316" i="18"/>
  <c r="T316" i="18"/>
  <c r="U179" i="18"/>
  <c r="T179" i="18"/>
  <c r="U61" i="18"/>
  <c r="T61" i="18"/>
  <c r="T264" i="18"/>
  <c r="U264" i="18"/>
  <c r="U163" i="18"/>
  <c r="T163" i="18"/>
  <c r="T294" i="18"/>
  <c r="U294" i="18"/>
  <c r="T76" i="18"/>
  <c r="U76" i="18"/>
  <c r="M73" i="18"/>
  <c r="L73" i="18"/>
  <c r="U324" i="18"/>
  <c r="T324" i="18"/>
  <c r="M52" i="18"/>
  <c r="L52" i="18"/>
  <c r="T206" i="18"/>
  <c r="U206" i="18"/>
  <c r="M291" i="18"/>
  <c r="L291" i="18"/>
  <c r="M180" i="18"/>
  <c r="L180" i="18"/>
  <c r="M64" i="18"/>
  <c r="L64" i="18"/>
  <c r="M126" i="18"/>
  <c r="L126" i="18"/>
  <c r="M237" i="18"/>
  <c r="L237" i="18"/>
  <c r="T101" i="18"/>
  <c r="U101" i="18"/>
  <c r="U268" i="18"/>
  <c r="T268" i="18"/>
  <c r="M149" i="18"/>
  <c r="L149" i="18"/>
  <c r="T223" i="18"/>
  <c r="U223" i="18"/>
  <c r="U62" i="18"/>
  <c r="T62" i="18"/>
  <c r="M259" i="18"/>
  <c r="L259" i="18"/>
  <c r="M139" i="18"/>
  <c r="L139" i="18"/>
  <c r="U288" i="18"/>
  <c r="T288" i="18"/>
  <c r="M154" i="18"/>
  <c r="L154" i="18"/>
  <c r="M55" i="18"/>
  <c r="L55" i="18"/>
  <c r="M122" i="18"/>
  <c r="L122" i="18"/>
  <c r="T239" i="18"/>
  <c r="U239" i="18"/>
  <c r="T121" i="18"/>
  <c r="U121" i="18"/>
  <c r="U167" i="18"/>
  <c r="T167" i="18"/>
  <c r="U256" i="18"/>
  <c r="T256" i="18"/>
  <c r="T120" i="18"/>
  <c r="U120" i="18"/>
  <c r="M227" i="18"/>
  <c r="L227" i="18"/>
  <c r="M95" i="18"/>
  <c r="L95" i="18"/>
  <c r="T143" i="18"/>
  <c r="U143" i="18"/>
  <c r="M253" i="18"/>
  <c r="L253" i="18"/>
  <c r="T117" i="18"/>
  <c r="U117" i="18"/>
  <c r="M233" i="18"/>
  <c r="L233" i="18"/>
  <c r="U107" i="18"/>
  <c r="T107" i="18"/>
  <c r="T160" i="18"/>
  <c r="U160" i="18"/>
  <c r="L276" i="18"/>
  <c r="M276" i="18"/>
  <c r="T132" i="18"/>
  <c r="U132" i="18"/>
  <c r="M318" i="18"/>
  <c r="L318" i="18"/>
  <c r="M166" i="18"/>
  <c r="L166" i="18"/>
  <c r="M40" i="18"/>
  <c r="L40" i="18"/>
  <c r="M249" i="18"/>
  <c r="L249" i="18"/>
  <c r="U123" i="18"/>
  <c r="T123" i="18"/>
  <c r="M294" i="18"/>
  <c r="L294" i="18"/>
  <c r="M76" i="18"/>
  <c r="L76" i="18"/>
  <c r="M255" i="18"/>
  <c r="L255" i="18"/>
  <c r="M193" i="18"/>
  <c r="L193" i="18"/>
  <c r="U45" i="18"/>
  <c r="T45" i="18"/>
  <c r="T282" i="18"/>
  <c r="U282" i="18"/>
  <c r="M118" i="18"/>
  <c r="L118" i="18"/>
  <c r="M220" i="18"/>
  <c r="L220" i="18"/>
  <c r="M100" i="18"/>
  <c r="L100" i="18"/>
  <c r="M265" i="18"/>
  <c r="L265" i="18"/>
  <c r="M103" i="18"/>
  <c r="L103" i="18"/>
  <c r="M323" i="18"/>
  <c r="L323" i="18"/>
  <c r="U203" i="18"/>
  <c r="T203" i="18"/>
  <c r="M89" i="18"/>
  <c r="L89" i="18"/>
  <c r="T259" i="18"/>
  <c r="U259" i="18"/>
  <c r="T139" i="18"/>
  <c r="U139" i="18"/>
  <c r="M288" i="18"/>
  <c r="L288" i="18"/>
  <c r="T154" i="18"/>
  <c r="U154" i="18"/>
  <c r="U55" i="18"/>
  <c r="T55" i="18"/>
  <c r="T122" i="18"/>
  <c r="U122" i="18"/>
  <c r="M239" i="18"/>
  <c r="L239" i="18"/>
  <c r="M121" i="18"/>
  <c r="L121" i="18"/>
  <c r="M51" i="18"/>
  <c r="L51" i="18"/>
  <c r="M250" i="18"/>
  <c r="L250" i="18"/>
  <c r="M97" i="18"/>
  <c r="L97" i="18"/>
  <c r="T214" i="18"/>
  <c r="U214" i="18"/>
  <c r="M56" i="18"/>
  <c r="L56" i="18"/>
  <c r="M143" i="18"/>
  <c r="L143" i="18"/>
  <c r="T253" i="18"/>
  <c r="U253" i="18"/>
  <c r="M117" i="18"/>
  <c r="L117" i="18"/>
  <c r="U233" i="18"/>
  <c r="T233" i="18"/>
  <c r="M107" i="18"/>
  <c r="L107" i="18"/>
  <c r="M81" i="18"/>
  <c r="L81" i="18"/>
  <c r="M252" i="18"/>
  <c r="L252" i="18"/>
  <c r="M99" i="18"/>
  <c r="L99" i="18"/>
  <c r="T318" i="18"/>
  <c r="U318" i="18"/>
  <c r="T166" i="18"/>
  <c r="U166" i="18"/>
  <c r="U40" i="18"/>
  <c r="T40" i="18"/>
  <c r="T249" i="18"/>
  <c r="U249" i="18"/>
  <c r="M123" i="18"/>
  <c r="L123" i="18"/>
  <c r="T261" i="18"/>
  <c r="U261" i="18"/>
  <c r="T92" i="18"/>
  <c r="U92" i="18"/>
  <c r="M282" i="18"/>
  <c r="L282" i="18"/>
  <c r="T118" i="18"/>
  <c r="U118" i="18"/>
  <c r="T220" i="18"/>
  <c r="U220" i="18"/>
  <c r="T100" i="18"/>
  <c r="U100" i="18"/>
  <c r="T265" i="18"/>
  <c r="U265" i="18"/>
  <c r="U103" i="18"/>
  <c r="T103" i="18"/>
  <c r="U323" i="18"/>
  <c r="T323" i="18"/>
  <c r="M203" i="18"/>
  <c r="L203" i="18"/>
  <c r="U89" i="18"/>
  <c r="T89" i="18"/>
  <c r="T245" i="18"/>
  <c r="U245" i="18"/>
  <c r="M137" i="18"/>
  <c r="L137" i="18"/>
  <c r="U304" i="18"/>
  <c r="T304" i="18"/>
  <c r="M271" i="18"/>
  <c r="L271" i="18"/>
  <c r="M150" i="18"/>
  <c r="L150" i="18"/>
  <c r="T234" i="18"/>
  <c r="U234" i="18"/>
  <c r="U90" i="18"/>
  <c r="T90" i="18"/>
  <c r="U51" i="18"/>
  <c r="T51" i="18"/>
  <c r="T250" i="18"/>
  <c r="U250" i="18"/>
  <c r="U97" i="18"/>
  <c r="T97" i="18"/>
  <c r="M214" i="18"/>
  <c r="L214" i="18"/>
  <c r="T56" i="18"/>
  <c r="U56" i="18"/>
  <c r="M217" i="18"/>
  <c r="L217" i="18"/>
  <c r="T109" i="18"/>
  <c r="U109" i="18"/>
  <c r="M229" i="18"/>
  <c r="L229" i="18"/>
  <c r="U111" i="18"/>
  <c r="T111" i="18"/>
  <c r="U81" i="18"/>
  <c r="T81" i="18"/>
  <c r="T252" i="18"/>
  <c r="U252" i="18"/>
  <c r="U99" i="18"/>
  <c r="T99" i="18"/>
  <c r="U305" i="18"/>
  <c r="T305" i="18"/>
  <c r="T156" i="18"/>
  <c r="U156" i="18"/>
  <c r="M241" i="18"/>
  <c r="L241" i="18"/>
  <c r="T104" i="18"/>
  <c r="U104" i="18"/>
  <c r="M261" i="18"/>
  <c r="L261" i="18"/>
  <c r="L321" i="18"/>
  <c r="M321" i="18"/>
  <c r="M108" i="18"/>
  <c r="L108" i="18"/>
  <c r="M311" i="18"/>
  <c r="L311" i="18"/>
  <c r="L285" i="18"/>
  <c r="M285" i="18"/>
  <c r="T147" i="18"/>
  <c r="U147" i="18"/>
  <c r="M319" i="18"/>
  <c r="L319" i="18"/>
  <c r="M210" i="18"/>
  <c r="L210" i="18"/>
  <c r="M106" i="18"/>
  <c r="L106" i="18"/>
  <c r="U93" i="18"/>
  <c r="T93" i="18"/>
  <c r="M222" i="18"/>
  <c r="L222" i="18"/>
  <c r="T127" i="18"/>
  <c r="U127" i="18"/>
  <c r="M308" i="18"/>
  <c r="L308" i="18"/>
  <c r="T184" i="18"/>
  <c r="U184" i="18"/>
  <c r="M42" i="18"/>
  <c r="L42" i="18"/>
  <c r="M245" i="18"/>
  <c r="L245" i="18"/>
  <c r="T137" i="18"/>
  <c r="U137" i="18"/>
  <c r="M304" i="18"/>
  <c r="L304" i="18"/>
  <c r="U271" i="18"/>
  <c r="T271" i="18"/>
  <c r="T150" i="18"/>
  <c r="U150" i="18"/>
  <c r="M234" i="18"/>
  <c r="L234" i="18"/>
  <c r="M90" i="18"/>
  <c r="L90" i="18"/>
  <c r="T228" i="18"/>
  <c r="U228" i="18"/>
  <c r="M83" i="18"/>
  <c r="L83" i="18"/>
  <c r="M213" i="18"/>
  <c r="L213" i="18"/>
  <c r="M115" i="18"/>
  <c r="L115" i="18"/>
  <c r="U217" i="18"/>
  <c r="T217" i="18"/>
  <c r="M109" i="18"/>
  <c r="L109" i="18"/>
  <c r="T229" i="18"/>
  <c r="U229" i="18"/>
  <c r="M111" i="18"/>
  <c r="L111" i="18"/>
  <c r="M251" i="18"/>
  <c r="L251" i="18"/>
  <c r="M91" i="18"/>
  <c r="L91" i="18"/>
  <c r="L305" i="18"/>
  <c r="M305" i="18"/>
  <c r="M156" i="18"/>
  <c r="L156" i="18"/>
  <c r="T241" i="18"/>
  <c r="U241" i="18"/>
  <c r="L104" i="18"/>
  <c r="M104" i="18"/>
  <c r="U202" i="18"/>
  <c r="T202" i="18"/>
  <c r="M287" i="18"/>
  <c r="L287" i="18"/>
  <c r="U201" i="18"/>
  <c r="T201" i="18"/>
  <c r="T168" i="18"/>
  <c r="U168" i="18"/>
  <c r="U303" i="18"/>
  <c r="T303" i="18"/>
  <c r="U285" i="18"/>
  <c r="T285" i="18"/>
  <c r="L147" i="18"/>
  <c r="M147" i="18"/>
  <c r="U319" i="18"/>
  <c r="T319" i="18"/>
  <c r="T210" i="18"/>
  <c r="U210" i="18"/>
  <c r="T106" i="18"/>
  <c r="U106" i="18"/>
  <c r="M93" i="18"/>
  <c r="L93" i="18"/>
  <c r="T222" i="18"/>
  <c r="U222" i="18"/>
  <c r="M127" i="18"/>
  <c r="L127" i="18"/>
  <c r="U308" i="18"/>
  <c r="T308" i="18"/>
  <c r="M184" i="18"/>
  <c r="L184" i="18"/>
  <c r="U42" i="18"/>
  <c r="T42" i="18"/>
  <c r="M216" i="18"/>
  <c r="L216" i="18"/>
  <c r="T133" i="18"/>
  <c r="U133" i="18"/>
  <c r="T208" i="18"/>
  <c r="U208" i="18"/>
  <c r="M270" i="18"/>
  <c r="L270" i="18"/>
  <c r="M158" i="18"/>
  <c r="L158" i="18"/>
  <c r="M195" i="18"/>
  <c r="L195" i="18"/>
  <c r="T102" i="18"/>
  <c r="U102" i="18"/>
  <c r="M228" i="18"/>
  <c r="L228" i="18"/>
  <c r="U83" i="18"/>
  <c r="T83" i="18"/>
  <c r="U213" i="18"/>
  <c r="T213" i="18"/>
  <c r="U115" i="18"/>
  <c r="T115" i="18"/>
  <c r="L205" i="18"/>
  <c r="M205" i="18"/>
  <c r="T114" i="18"/>
  <c r="U114" i="18"/>
  <c r="M198" i="18"/>
  <c r="L198" i="18"/>
  <c r="M66" i="18"/>
  <c r="L66" i="18"/>
  <c r="T251" i="18"/>
  <c r="U251" i="18"/>
  <c r="U91" i="18"/>
  <c r="T91" i="18"/>
  <c r="M267" i="18"/>
  <c r="L267" i="18"/>
  <c r="M116" i="18"/>
  <c r="L116" i="18"/>
  <c r="T226" i="18"/>
  <c r="U226" i="18"/>
  <c r="M86" i="18"/>
  <c r="L86" i="18"/>
  <c r="M202" i="18"/>
  <c r="L202" i="18"/>
  <c r="L212" i="18"/>
  <c r="M212" i="18"/>
  <c r="M84" i="18"/>
  <c r="L84" i="18"/>
  <c r="T80" i="18"/>
  <c r="U80" i="18"/>
  <c r="M92" i="18"/>
  <c r="L92" i="18"/>
  <c r="T240" i="18"/>
  <c r="U240" i="18"/>
  <c r="T130" i="18"/>
  <c r="U130" i="18"/>
  <c r="U317" i="18"/>
  <c r="T317" i="18"/>
  <c r="U189" i="18"/>
  <c r="T189" i="18"/>
  <c r="U58" i="18"/>
  <c r="T58" i="18"/>
  <c r="M207" i="18"/>
  <c r="L207" i="18"/>
  <c r="M78" i="18"/>
  <c r="L78" i="18"/>
  <c r="M273" i="18"/>
  <c r="L273" i="18"/>
  <c r="M170" i="18"/>
  <c r="L170" i="18"/>
  <c r="M41" i="18"/>
  <c r="L41" i="18"/>
  <c r="T216" i="18"/>
  <c r="U216" i="18"/>
  <c r="M133" i="18"/>
  <c r="L133" i="18"/>
  <c r="M208" i="18"/>
  <c r="L208" i="18"/>
  <c r="U270" i="18"/>
  <c r="T270" i="18"/>
  <c r="T158" i="18"/>
  <c r="U158" i="18"/>
  <c r="U195" i="18"/>
  <c r="T195" i="18"/>
  <c r="M102" i="18"/>
  <c r="L102" i="18"/>
  <c r="M219" i="18"/>
  <c r="L219" i="18"/>
  <c r="M72" i="18"/>
  <c r="L72" i="18"/>
  <c r="M296" i="18"/>
  <c r="L296" i="18"/>
  <c r="T196" i="18"/>
  <c r="U196" i="18"/>
  <c r="M49" i="18"/>
  <c r="L49" i="18"/>
  <c r="U205" i="18"/>
  <c r="T205" i="18"/>
  <c r="M114" i="18"/>
  <c r="L114" i="18"/>
  <c r="U198" i="18"/>
  <c r="T198" i="18"/>
  <c r="U66" i="18"/>
  <c r="T66" i="18"/>
  <c r="M244" i="18"/>
  <c r="L244" i="18"/>
  <c r="T98" i="18"/>
  <c r="U98" i="18"/>
  <c r="U267" i="18"/>
  <c r="T267" i="18"/>
  <c r="T116" i="18"/>
  <c r="U116" i="18"/>
  <c r="M209" i="18"/>
  <c r="L209" i="18"/>
  <c r="M226" i="18"/>
  <c r="L226" i="18"/>
  <c r="U86" i="18"/>
  <c r="T86" i="18"/>
  <c r="M96" i="18"/>
  <c r="L96" i="18"/>
  <c r="L325" i="18"/>
  <c r="M325" i="18"/>
  <c r="L206" i="18"/>
  <c r="M206" i="18"/>
  <c r="U159" i="18"/>
  <c r="T159" i="18"/>
  <c r="M240" i="18"/>
  <c r="L240" i="18"/>
  <c r="M130" i="18"/>
  <c r="L130" i="18"/>
  <c r="L317" i="18"/>
  <c r="M317" i="18"/>
  <c r="M189" i="18"/>
  <c r="L189" i="18"/>
  <c r="M58" i="18"/>
  <c r="L58" i="18"/>
  <c r="U207" i="18"/>
  <c r="T207" i="18"/>
  <c r="U78" i="18"/>
  <c r="T78" i="18"/>
  <c r="T273" i="18"/>
  <c r="U273" i="18"/>
  <c r="T170" i="18"/>
  <c r="U170" i="18"/>
  <c r="U41" i="18"/>
  <c r="T41" i="18"/>
  <c r="L201" i="18"/>
  <c r="M201" i="18"/>
  <c r="M75" i="18"/>
  <c r="L75" i="18"/>
  <c r="T84" i="18"/>
  <c r="U84" i="18"/>
  <c r="T255" i="18"/>
  <c r="U255" i="18"/>
  <c r="T131" i="18"/>
  <c r="U131" i="18"/>
  <c r="M324" i="18"/>
  <c r="L324" i="18"/>
  <c r="L183" i="18"/>
  <c r="M183" i="18"/>
  <c r="U67" i="18"/>
  <c r="T67" i="18"/>
  <c r="T219" i="18"/>
  <c r="U219" i="18"/>
  <c r="T72" i="18"/>
  <c r="U72" i="18"/>
  <c r="U296" i="18"/>
  <c r="T296" i="18"/>
  <c r="M196" i="18"/>
  <c r="L196" i="18"/>
  <c r="U49" i="18"/>
  <c r="T49" i="18"/>
  <c r="M303" i="18"/>
  <c r="L303" i="18"/>
  <c r="T200" i="18"/>
  <c r="U200" i="18"/>
  <c r="T108" i="18"/>
  <c r="U108" i="18"/>
  <c r="L313" i="18"/>
  <c r="M313" i="18"/>
  <c r="U193" i="18"/>
  <c r="T193" i="18"/>
  <c r="M80" i="18"/>
  <c r="L80" i="18"/>
  <c r="T244" i="18"/>
  <c r="U244" i="18"/>
  <c r="M98" i="18"/>
  <c r="L98" i="18"/>
  <c r="T258" i="18"/>
  <c r="U258" i="18"/>
  <c r="T124" i="18"/>
  <c r="U124" i="18"/>
  <c r="T209" i="18"/>
  <c r="U209" i="18"/>
  <c r="M197" i="18"/>
  <c r="L197" i="18"/>
  <c r="M63" i="18"/>
  <c r="L63" i="18"/>
  <c r="T96" i="18"/>
  <c r="U96" i="18"/>
  <c r="U325" i="18"/>
  <c r="T325" i="18"/>
  <c r="W104" i="16"/>
  <c r="W270" i="16"/>
  <c r="W284" i="16"/>
  <c r="W271" i="16"/>
  <c r="W315" i="16"/>
  <c r="W312" i="16"/>
  <c r="W245" i="16"/>
  <c r="W140" i="16"/>
  <c r="W265" i="16"/>
  <c r="W186" i="16"/>
  <c r="W262" i="16"/>
  <c r="W208" i="16"/>
  <c r="W187" i="16"/>
  <c r="W89" i="16"/>
  <c r="W263" i="16"/>
  <c r="W54" i="16"/>
  <c r="W125" i="16"/>
  <c r="W212" i="16"/>
  <c r="W268" i="16"/>
  <c r="W253" i="16"/>
  <c r="W108" i="16"/>
  <c r="W242" i="16"/>
  <c r="W64" i="16"/>
  <c r="W181" i="16"/>
  <c r="W288" i="16"/>
  <c r="W99" i="16"/>
  <c r="W47" i="16"/>
  <c r="W295" i="16"/>
  <c r="W76" i="16"/>
  <c r="W128" i="16"/>
  <c r="W228" i="16"/>
  <c r="W124" i="16"/>
  <c r="W58" i="16"/>
  <c r="W286" i="16"/>
  <c r="W320" i="16"/>
  <c r="W163" i="16"/>
  <c r="W73" i="16"/>
  <c r="W252" i="16"/>
  <c r="W50" i="16"/>
  <c r="W96" i="16"/>
  <c r="W45" i="16"/>
  <c r="W86" i="16"/>
  <c r="W129" i="16"/>
  <c r="W237" i="16"/>
  <c r="W231" i="16"/>
  <c r="W62" i="16"/>
  <c r="W117" i="16"/>
  <c r="W297" i="16"/>
  <c r="W127" i="16"/>
  <c r="W155" i="16"/>
  <c r="W119" i="16"/>
  <c r="W298" i="16"/>
  <c r="W177" i="16"/>
  <c r="W78" i="16"/>
  <c r="W36" i="16"/>
  <c r="W258" i="16"/>
  <c r="W118" i="16"/>
  <c r="W55" i="16"/>
  <c r="W257" i="16"/>
  <c r="W180" i="16"/>
  <c r="W294" i="16"/>
  <c r="W249" i="16"/>
  <c r="W316" i="16"/>
  <c r="W301" i="16"/>
  <c r="W217" i="16"/>
  <c r="W90" i="16"/>
  <c r="W202" i="16"/>
  <c r="W137" i="16"/>
  <c r="W88" i="16"/>
  <c r="W285" i="16"/>
  <c r="W230" i="16"/>
  <c r="W229" i="16"/>
  <c r="W57" i="16"/>
  <c r="W116" i="16"/>
  <c r="W138" i="16"/>
  <c r="W302" i="16"/>
  <c r="W256" i="16"/>
  <c r="W179" i="16"/>
  <c r="W170" i="16"/>
  <c r="W185" i="16"/>
  <c r="W79" i="16"/>
  <c r="W243" i="16"/>
  <c r="W278" i="16"/>
  <c r="W182" i="16"/>
  <c r="W100" i="16"/>
  <c r="W190" i="16"/>
  <c r="W307" i="16"/>
  <c r="W59" i="16"/>
  <c r="W196" i="16"/>
  <c r="W145" i="16"/>
  <c r="W240" i="16"/>
  <c r="W61" i="16"/>
  <c r="W319" i="16"/>
  <c r="W309" i="16"/>
  <c r="W275" i="16"/>
  <c r="W97" i="16"/>
  <c r="W305" i="16"/>
  <c r="W260" i="16"/>
  <c r="W120" i="16"/>
  <c r="W65" i="16"/>
  <c r="W48" i="16"/>
  <c r="W304" i="16"/>
  <c r="W84" i="16"/>
  <c r="W70" i="16"/>
  <c r="W143" i="16"/>
  <c r="W148" i="16"/>
  <c r="W130" i="16"/>
  <c r="W67" i="16"/>
  <c r="W75" i="16"/>
  <c r="W87" i="16"/>
  <c r="W136" i="16"/>
  <c r="W159" i="16"/>
  <c r="W218" i="16"/>
  <c r="W44" i="16"/>
  <c r="W37" i="16"/>
  <c r="W188" i="16"/>
  <c r="W72" i="16"/>
  <c r="W139" i="16"/>
  <c r="W236" i="16"/>
  <c r="W60" i="16"/>
  <c r="W276" i="16"/>
  <c r="W151" i="16"/>
  <c r="W290" i="16"/>
  <c r="W126" i="16"/>
  <c r="W201" i="16"/>
  <c r="W113" i="16"/>
  <c r="W93" i="16"/>
  <c r="W189" i="16"/>
  <c r="W251" i="16"/>
  <c r="W85" i="16"/>
  <c r="W322" i="16"/>
  <c r="W80" i="16"/>
  <c r="W74" i="16"/>
  <c r="W161" i="16"/>
  <c r="W233" i="16"/>
  <c r="W147" i="16"/>
  <c r="W51" i="16"/>
  <c r="W238" i="16"/>
  <c r="W224" i="16"/>
  <c r="W133" i="16"/>
  <c r="W122" i="16"/>
  <c r="W131" i="16"/>
  <c r="W311" i="16"/>
  <c r="W324" i="16"/>
  <c r="W106" i="16"/>
  <c r="W206" i="16"/>
  <c r="W38" i="16"/>
  <c r="W220" i="16"/>
  <c r="W107" i="16"/>
  <c r="W110" i="16"/>
  <c r="W53" i="16"/>
  <c r="W98" i="16"/>
  <c r="W141" i="16"/>
  <c r="W68" i="16"/>
  <c r="W167" i="16"/>
  <c r="W281" i="16"/>
  <c r="W205" i="16"/>
  <c r="W250" i="16"/>
  <c r="W264" i="16"/>
  <c r="W234" i="16"/>
  <c r="W198" i="16"/>
  <c r="W209" i="16"/>
  <c r="W289" i="16"/>
  <c r="W239" i="16"/>
  <c r="W203" i="16"/>
  <c r="W266" i="16"/>
  <c r="W296" i="16"/>
  <c r="W40" i="16"/>
  <c r="W102" i="16"/>
  <c r="W235" i="16"/>
  <c r="W175" i="16"/>
  <c r="W310" i="16"/>
  <c r="W121" i="16"/>
  <c r="W94" i="16"/>
  <c r="W92" i="16"/>
  <c r="W317" i="16"/>
  <c r="W95" i="16"/>
  <c r="W39" i="16"/>
  <c r="W318" i="16"/>
  <c r="W195" i="16"/>
  <c r="W184" i="16"/>
  <c r="W255" i="16"/>
  <c r="W272" i="16"/>
  <c r="W103" i="16"/>
  <c r="W153" i="16"/>
  <c r="W146" i="16"/>
  <c r="W303" i="16"/>
  <c r="W277" i="16"/>
  <c r="W132" i="16"/>
  <c r="W282" i="16"/>
  <c r="W279" i="16"/>
  <c r="W273" i="16"/>
  <c r="W280" i="16"/>
  <c r="W241" i="16"/>
  <c r="W204" i="16"/>
  <c r="W287" i="16"/>
  <c r="W49" i="16"/>
  <c r="W172" i="16"/>
  <c r="W63" i="16"/>
  <c r="W109" i="16"/>
  <c r="W174" i="16"/>
  <c r="W221" i="16"/>
  <c r="W35" i="16"/>
  <c r="W157" i="16"/>
  <c r="W194" i="16"/>
  <c r="W207" i="16"/>
  <c r="W77" i="16"/>
  <c r="W142" i="16"/>
  <c r="W248" i="16"/>
  <c r="W261" i="16"/>
  <c r="W46" i="16"/>
  <c r="W114" i="16"/>
  <c r="W101" i="16"/>
  <c r="W323" i="16"/>
  <c r="W313" i="16"/>
  <c r="W226" i="16"/>
  <c r="W71" i="16"/>
  <c r="W210" i="16"/>
  <c r="W216" i="16"/>
  <c r="W152" i="16"/>
  <c r="W299" i="16"/>
  <c r="W259" i="16"/>
  <c r="W83" i="16"/>
  <c r="W160" i="16"/>
  <c r="W192" i="16"/>
  <c r="W42" i="16"/>
  <c r="W300" i="16"/>
  <c r="W56" i="16"/>
  <c r="W193" i="16"/>
  <c r="W150" i="16"/>
  <c r="W247" i="16"/>
  <c r="W283" i="16"/>
  <c r="W135" i="16"/>
  <c r="W66" i="16"/>
  <c r="W321" i="16"/>
  <c r="W191" i="16"/>
  <c r="W134" i="16"/>
  <c r="W168" i="16"/>
  <c r="W211" i="16"/>
  <c r="W199" i="16"/>
  <c r="W111" i="16"/>
  <c r="W112" i="16"/>
  <c r="W69" i="16"/>
  <c r="W223" i="16"/>
  <c r="W219" i="16"/>
  <c r="W306" i="16"/>
  <c r="W165" i="16"/>
  <c r="W91" i="16"/>
  <c r="W158" i="16"/>
  <c r="W154" i="16"/>
  <c r="W292" i="16"/>
  <c r="W178" i="16"/>
  <c r="W232" i="16"/>
  <c r="W183" i="16"/>
  <c r="W156" i="16"/>
  <c r="W314" i="16"/>
  <c r="W144" i="16"/>
  <c r="W222" i="16"/>
  <c r="W164" i="16"/>
  <c r="W200" i="16"/>
  <c r="W274" i="16"/>
  <c r="W43" i="16"/>
  <c r="W269" i="16"/>
  <c r="W214" i="16"/>
  <c r="W82" i="16"/>
  <c r="W197" i="16"/>
  <c r="W123" i="16"/>
  <c r="W162" i="16"/>
  <c r="W227" i="16"/>
  <c r="W115" i="16"/>
  <c r="W105" i="16"/>
  <c r="W169" i="16"/>
  <c r="W246" i="16"/>
  <c r="W176" i="16"/>
  <c r="W244" i="16"/>
  <c r="W166" i="16"/>
  <c r="W213" i="16"/>
  <c r="W173" i="16"/>
  <c r="W293" i="16"/>
  <c r="W171" i="16"/>
  <c r="W81" i="16"/>
  <c r="W308" i="16"/>
  <c r="W52" i="16"/>
  <c r="W291" i="16"/>
  <c r="W41" i="16"/>
  <c r="W215" i="16"/>
  <c r="W225" i="16"/>
  <c r="W149" i="16"/>
  <c r="W325" i="16"/>
  <c r="W254" i="16"/>
  <c r="W267" i="16"/>
  <c r="O110" i="16"/>
  <c r="O213" i="16"/>
  <c r="O75" i="16"/>
  <c r="O308" i="16"/>
  <c r="O172" i="16"/>
  <c r="O281" i="16"/>
  <c r="O129" i="16"/>
  <c r="O265" i="16"/>
  <c r="O313" i="16"/>
  <c r="O185" i="16"/>
  <c r="O232" i="16"/>
  <c r="O314" i="16"/>
  <c r="O234" i="16"/>
  <c r="O127" i="16"/>
  <c r="O280" i="16"/>
  <c r="O241" i="16"/>
  <c r="O225" i="16"/>
  <c r="O173" i="16"/>
  <c r="O159" i="16"/>
  <c r="O252" i="16"/>
  <c r="O153" i="16"/>
  <c r="O113" i="16"/>
  <c r="O108" i="16"/>
  <c r="O294" i="16"/>
  <c r="O99" i="16"/>
  <c r="O316" i="16"/>
  <c r="O114" i="16"/>
  <c r="O66" i="16"/>
  <c r="O138" i="16"/>
  <c r="O147" i="16"/>
  <c r="O270" i="16"/>
  <c r="O169" i="16"/>
  <c r="O117" i="16"/>
  <c r="O224" i="16"/>
  <c r="O210" i="16"/>
  <c r="O143" i="16"/>
  <c r="O288" i="16"/>
  <c r="O67" i="16"/>
  <c r="O50" i="16"/>
  <c r="O56" i="16"/>
  <c r="O109" i="16"/>
  <c r="O245" i="16"/>
  <c r="O230" i="16"/>
  <c r="O150" i="16"/>
  <c r="O179" i="16"/>
  <c r="O55" i="16"/>
  <c r="O116" i="16"/>
  <c r="O158" i="16"/>
  <c r="O87" i="16"/>
  <c r="O39" i="16"/>
  <c r="O243" i="16"/>
  <c r="O321" i="16"/>
  <c r="O278" i="16"/>
  <c r="O209" i="16"/>
  <c r="O135" i="16"/>
  <c r="O315" i="16"/>
  <c r="O255" i="16"/>
  <c r="O88" i="16"/>
  <c r="O191" i="16"/>
  <c r="O63" i="16"/>
  <c r="O206" i="16"/>
  <c r="O272" i="16"/>
  <c r="O73" i="16"/>
  <c r="O68" i="16"/>
  <c r="O303" i="16"/>
  <c r="O180" i="16"/>
  <c r="O64" i="16"/>
  <c r="O293" i="16"/>
  <c r="O52" i="16"/>
  <c r="O188" i="16"/>
  <c r="O72" i="16"/>
  <c r="O82" i="16"/>
  <c r="O256" i="16"/>
  <c r="O97" i="16"/>
  <c r="O233" i="16"/>
  <c r="O208" i="16"/>
  <c r="O166" i="16"/>
  <c r="O226" i="16"/>
  <c r="O227" i="16"/>
  <c r="O325" i="16"/>
  <c r="O183" i="16"/>
  <c r="O286" i="16"/>
  <c r="O220" i="16"/>
  <c r="O174" i="16"/>
  <c r="O98" i="16"/>
  <c r="O167" i="16"/>
  <c r="O102" i="16"/>
  <c r="O218" i="16"/>
  <c r="O189" i="16"/>
  <c r="O242" i="16"/>
  <c r="O45" i="16"/>
  <c r="O165" i="16"/>
  <c r="O237" i="16"/>
  <c r="O176" i="16"/>
  <c r="O235" i="16"/>
  <c r="O162" i="16"/>
  <c r="O54" i="16"/>
  <c r="O246" i="16"/>
  <c r="O160" i="16"/>
  <c r="O104" i="16"/>
  <c r="O40" i="16"/>
  <c r="O141" i="16"/>
  <c r="O222" i="16"/>
  <c r="O35" i="16"/>
  <c r="O93" i="16"/>
  <c r="O319" i="16"/>
  <c r="O74" i="16"/>
  <c r="O231" i="16"/>
  <c r="O275" i="16"/>
  <c r="O186" i="16"/>
  <c r="O282" i="16"/>
  <c r="O251" i="16"/>
  <c r="O178" i="16"/>
  <c r="O216" i="16"/>
  <c r="O310" i="16"/>
  <c r="O128" i="16"/>
  <c r="O195" i="16"/>
  <c r="O105" i="16"/>
  <c r="O320" i="16"/>
  <c r="O175" i="16"/>
  <c r="O37" i="16"/>
  <c r="O248" i="16"/>
  <c r="O247" i="16"/>
  <c r="O140" i="16"/>
  <c r="O171" i="16"/>
  <c r="O71" i="16"/>
  <c r="O145" i="16"/>
  <c r="O60" i="16"/>
  <c r="O36" i="16"/>
  <c r="O38" i="16"/>
  <c r="O107" i="16"/>
  <c r="O194" i="16"/>
  <c r="O200" i="16"/>
  <c r="O146" i="16"/>
  <c r="O177" i="16"/>
  <c r="O240" i="16"/>
  <c r="O139" i="16"/>
  <c r="O301" i="16"/>
  <c r="O323" i="16"/>
  <c r="O79" i="16"/>
  <c r="O90" i="16"/>
  <c r="O86" i="16"/>
  <c r="O197" i="16"/>
  <c r="O76" i="16"/>
  <c r="O193" i="16"/>
  <c r="O287" i="16"/>
  <c r="O298" i="16"/>
  <c r="O254" i="16"/>
  <c r="O307" i="16"/>
  <c r="O284" i="16"/>
  <c r="O152" i="16"/>
  <c r="O264" i="16"/>
  <c r="O130" i="16"/>
  <c r="O211" i="16"/>
  <c r="O47" i="16"/>
  <c r="O89" i="16"/>
  <c r="O244" i="16"/>
  <c r="O111" i="16"/>
  <c r="O125" i="16"/>
  <c r="O46" i="16"/>
  <c r="O57" i="16"/>
  <c r="O42" i="16"/>
  <c r="O268" i="16"/>
  <c r="O149" i="16"/>
  <c r="O157" i="16"/>
  <c r="O300" i="16"/>
  <c r="O274" i="16"/>
  <c r="O48" i="16"/>
  <c r="O271" i="16"/>
  <c r="O77" i="16"/>
  <c r="O44" i="16"/>
  <c r="O121" i="16"/>
  <c r="O62" i="16"/>
  <c r="O92" i="16"/>
  <c r="O101" i="16"/>
  <c r="O302" i="16"/>
  <c r="O309" i="16"/>
  <c r="O184" i="16"/>
  <c r="O198" i="16"/>
  <c r="O119" i="16"/>
  <c r="O115" i="16"/>
  <c r="O263" i="16"/>
  <c r="O58" i="16"/>
  <c r="O151" i="16"/>
  <c r="O59" i="16"/>
  <c r="O215" i="16"/>
  <c r="O69" i="16"/>
  <c r="O142" i="16"/>
  <c r="O306" i="16"/>
  <c r="O154" i="16"/>
  <c r="O181" i="16"/>
  <c r="O229" i="16"/>
  <c r="O80" i="16"/>
  <c r="O289" i="16"/>
  <c r="O170" i="16"/>
  <c r="O103" i="16"/>
  <c r="O295" i="16"/>
  <c r="O290" i="16"/>
  <c r="O199" i="16"/>
  <c r="O84" i="16"/>
  <c r="O228" i="16"/>
  <c r="O49" i="16"/>
  <c r="O221" i="16"/>
  <c r="O219" i="16"/>
  <c r="O41" i="16"/>
  <c r="O118" i="16"/>
  <c r="O257" i="16"/>
  <c r="O267" i="16"/>
  <c r="O95" i="16"/>
  <c r="O318" i="16"/>
  <c r="O223" i="16"/>
  <c r="O305" i="16"/>
  <c r="O236" i="16"/>
  <c r="O187" i="16"/>
  <c r="O279" i="16"/>
  <c r="O168" i="16"/>
  <c r="O297" i="16"/>
  <c r="O133" i="16"/>
  <c r="O192" i="16"/>
  <c r="O190" i="16"/>
  <c r="O96" i="16"/>
  <c r="O312" i="16"/>
  <c r="O249" i="16"/>
  <c r="O205" i="16"/>
  <c r="O322" i="16"/>
  <c r="O81" i="16"/>
  <c r="O202" i="16"/>
  <c r="O51" i="16"/>
  <c r="O276" i="16"/>
  <c r="O239" i="16"/>
  <c r="O261" i="16"/>
  <c r="O259" i="16"/>
  <c r="O304" i="16"/>
  <c r="O182" i="16"/>
  <c r="O78" i="16"/>
  <c r="O137" i="16"/>
  <c r="O124" i="16"/>
  <c r="O296" i="16"/>
  <c r="O112" i="16"/>
  <c r="O212" i="16"/>
  <c r="O201" i="16"/>
  <c r="O253" i="16"/>
  <c r="O43" i="16"/>
  <c r="O217" i="16"/>
  <c r="O250" i="16"/>
  <c r="O61" i="16"/>
  <c r="O260" i="16"/>
  <c r="O134" i="16"/>
  <c r="O273" i="16"/>
  <c r="O291" i="16"/>
  <c r="O65" i="16"/>
  <c r="O131" i="16"/>
  <c r="O122" i="16"/>
  <c r="O269" i="16"/>
  <c r="O156" i="16"/>
  <c r="O163" i="16"/>
  <c r="O144" i="16"/>
  <c r="O126" i="16"/>
  <c r="O266" i="16"/>
  <c r="O91" i="16"/>
  <c r="O85" i="16"/>
  <c r="O196" i="16"/>
  <c r="O214" i="16"/>
  <c r="O283" i="16"/>
  <c r="O262" i="16"/>
  <c r="O317" i="16"/>
  <c r="O70" i="16"/>
  <c r="O292" i="16"/>
  <c r="O161" i="16"/>
  <c r="O123" i="16"/>
  <c r="O203" i="16"/>
  <c r="O207" i="16"/>
  <c r="O83" i="16"/>
  <c r="O204" i="16"/>
  <c r="O100" i="16"/>
  <c r="O106" i="16"/>
  <c r="O53" i="16"/>
  <c r="O148" i="16"/>
  <c r="O136" i="16"/>
  <c r="O132" i="16"/>
  <c r="O311" i="16"/>
  <c r="O120" i="16"/>
  <c r="O164" i="16"/>
  <c r="O277" i="16"/>
  <c r="O155" i="16"/>
  <c r="O258" i="16"/>
  <c r="O94" i="16"/>
  <c r="O285" i="16"/>
  <c r="O299" i="16"/>
  <c r="O238" i="16"/>
  <c r="O324" i="16"/>
  <c r="M306" i="16"/>
  <c r="L306" i="16"/>
  <c r="L104" i="16"/>
  <c r="M104" i="16"/>
  <c r="U102" i="16"/>
  <c r="T102" i="16"/>
  <c r="T69" i="16"/>
  <c r="U69" i="16"/>
  <c r="M238" i="16"/>
  <c r="L238" i="16"/>
  <c r="U232" i="16"/>
  <c r="T232" i="16"/>
  <c r="M163" i="16"/>
  <c r="L163" i="16"/>
  <c r="M312" i="16"/>
  <c r="L312" i="16"/>
  <c r="U70" i="16"/>
  <c r="T70" i="16"/>
  <c r="T226" i="16"/>
  <c r="U226" i="16"/>
  <c r="M296" i="16"/>
  <c r="L296" i="16"/>
  <c r="U306" i="16"/>
  <c r="T306" i="16"/>
  <c r="M131" i="16"/>
  <c r="L131" i="16"/>
  <c r="T221" i="16"/>
  <c r="U221" i="16"/>
  <c r="U277" i="16"/>
  <c r="T277" i="16"/>
  <c r="U115" i="16"/>
  <c r="T115" i="16"/>
  <c r="T205" i="16"/>
  <c r="U205" i="16"/>
  <c r="U261" i="16"/>
  <c r="T261" i="16"/>
  <c r="L99" i="16"/>
  <c r="M99" i="16"/>
  <c r="U252" i="16"/>
  <c r="T252" i="16"/>
  <c r="U83" i="16"/>
  <c r="T83" i="16"/>
  <c r="M236" i="16"/>
  <c r="L236" i="16"/>
  <c r="U284" i="16"/>
  <c r="T284" i="16"/>
  <c r="U281" i="16"/>
  <c r="T281" i="16"/>
  <c r="T197" i="16"/>
  <c r="U197" i="16"/>
  <c r="U63" i="16"/>
  <c r="T63" i="16"/>
  <c r="U104" i="16"/>
  <c r="T104" i="16"/>
  <c r="M287" i="16"/>
  <c r="L287" i="16"/>
  <c r="U125" i="16"/>
  <c r="T125" i="16"/>
  <c r="T198" i="16"/>
  <c r="U198" i="16"/>
  <c r="U78" i="16"/>
  <c r="T78" i="16"/>
  <c r="U135" i="16"/>
  <c r="T135" i="16"/>
  <c r="M259" i="16"/>
  <c r="L259" i="16"/>
  <c r="U62" i="16"/>
  <c r="T62" i="16"/>
  <c r="M119" i="16"/>
  <c r="L119" i="16"/>
  <c r="U318" i="16"/>
  <c r="T318" i="16"/>
  <c r="M140" i="16"/>
  <c r="L140" i="16"/>
  <c r="L102" i="16"/>
  <c r="M102" i="16"/>
  <c r="M192" i="16"/>
  <c r="L192" i="16"/>
  <c r="U233" i="16"/>
  <c r="T233" i="16"/>
  <c r="U312" i="16"/>
  <c r="T312" i="16"/>
  <c r="U236" i="16"/>
  <c r="T236" i="16"/>
  <c r="U140" i="16"/>
  <c r="T140" i="16"/>
  <c r="T195" i="16"/>
  <c r="U195" i="16"/>
  <c r="M307" i="16"/>
  <c r="L307" i="16"/>
  <c r="M132" i="16"/>
  <c r="L132" i="16"/>
  <c r="L268" i="16"/>
  <c r="M268" i="16"/>
  <c r="M291" i="16"/>
  <c r="L291" i="16"/>
  <c r="M242" i="16"/>
  <c r="L242" i="16"/>
  <c r="M60" i="16"/>
  <c r="L60" i="16"/>
  <c r="M45" i="16"/>
  <c r="L45" i="16"/>
  <c r="L285" i="16"/>
  <c r="M285" i="16"/>
  <c r="M44" i="16"/>
  <c r="L44" i="16"/>
  <c r="M139" i="16"/>
  <c r="L139" i="16"/>
  <c r="M210" i="16"/>
  <c r="L210" i="16"/>
  <c r="L118" i="16"/>
  <c r="M118" i="16"/>
  <c r="M194" i="16"/>
  <c r="L194" i="16"/>
  <c r="U267" i="16"/>
  <c r="T267" i="16"/>
  <c r="M54" i="16"/>
  <c r="L54" i="16"/>
  <c r="M178" i="16"/>
  <c r="L178" i="16"/>
  <c r="L162" i="16"/>
  <c r="M162" i="16"/>
  <c r="U266" i="16"/>
  <c r="T266" i="16"/>
  <c r="L325" i="16"/>
  <c r="M325" i="16"/>
  <c r="U260" i="16"/>
  <c r="T260" i="16"/>
  <c r="U110" i="16"/>
  <c r="T110" i="16"/>
  <c r="M167" i="16"/>
  <c r="L167" i="16"/>
  <c r="M35" i="16"/>
  <c r="L35" i="16"/>
  <c r="M188" i="16"/>
  <c r="L188" i="16"/>
  <c r="L211" i="16"/>
  <c r="M211" i="16"/>
  <c r="L109" i="16"/>
  <c r="M109" i="16"/>
  <c r="M182" i="16"/>
  <c r="L182" i="16"/>
  <c r="L93" i="16"/>
  <c r="M93" i="16"/>
  <c r="U166" i="16"/>
  <c r="T166" i="16"/>
  <c r="L66" i="16"/>
  <c r="M66" i="16"/>
  <c r="M171" i="16"/>
  <c r="L171" i="16"/>
  <c r="U239" i="16"/>
  <c r="T239" i="16"/>
  <c r="U279" i="16"/>
  <c r="T279" i="16"/>
  <c r="M281" i="16"/>
  <c r="L281" i="16"/>
  <c r="M233" i="16"/>
  <c r="L233" i="16"/>
  <c r="U132" i="16"/>
  <c r="T132" i="16"/>
  <c r="U268" i="16"/>
  <c r="T268" i="16"/>
  <c r="U291" i="16"/>
  <c r="T291" i="16"/>
  <c r="U242" i="16"/>
  <c r="T242" i="16"/>
  <c r="U60" i="16"/>
  <c r="T60" i="16"/>
  <c r="T45" i="16"/>
  <c r="U45" i="16"/>
  <c r="U285" i="16"/>
  <c r="T285" i="16"/>
  <c r="U44" i="16"/>
  <c r="T44" i="16"/>
  <c r="U139" i="16"/>
  <c r="T139" i="16"/>
  <c r="T210" i="16"/>
  <c r="U210" i="16"/>
  <c r="U118" i="16"/>
  <c r="T118" i="16"/>
  <c r="T194" i="16"/>
  <c r="U194" i="16"/>
  <c r="M267" i="16"/>
  <c r="L267" i="16"/>
  <c r="U54" i="16"/>
  <c r="T54" i="16"/>
  <c r="T178" i="16"/>
  <c r="U178" i="16"/>
  <c r="U162" i="16"/>
  <c r="T162" i="16"/>
  <c r="M266" i="16"/>
  <c r="L266" i="16"/>
  <c r="U325" i="16"/>
  <c r="T325" i="16"/>
  <c r="M260" i="16"/>
  <c r="L260" i="16"/>
  <c r="L110" i="16"/>
  <c r="M110" i="16"/>
  <c r="T167" i="16"/>
  <c r="U167" i="16"/>
  <c r="U35" i="16"/>
  <c r="T35" i="16"/>
  <c r="T188" i="16"/>
  <c r="U188" i="16"/>
  <c r="T211" i="16"/>
  <c r="U211" i="16"/>
  <c r="U109" i="16"/>
  <c r="T109" i="16"/>
  <c r="T182" i="16"/>
  <c r="U182" i="16"/>
  <c r="U93" i="16"/>
  <c r="T93" i="16"/>
  <c r="L166" i="16"/>
  <c r="M166" i="16"/>
  <c r="U66" i="16"/>
  <c r="T66" i="16"/>
  <c r="T171" i="16"/>
  <c r="U171" i="16"/>
  <c r="L239" i="16"/>
  <c r="M239" i="16"/>
  <c r="M279" i="16"/>
  <c r="L279" i="16"/>
  <c r="M226" i="16"/>
  <c r="L226" i="16"/>
  <c r="M197" i="16"/>
  <c r="L197" i="16"/>
  <c r="L195" i="16"/>
  <c r="M195" i="16"/>
  <c r="M39" i="16"/>
  <c r="L39" i="16"/>
  <c r="L297" i="16"/>
  <c r="M297" i="16"/>
  <c r="L301" i="16"/>
  <c r="M301" i="16"/>
  <c r="L91" i="16"/>
  <c r="M91" i="16"/>
  <c r="L75" i="16"/>
  <c r="M75" i="16"/>
  <c r="L272" i="16"/>
  <c r="M272" i="16"/>
  <c r="U311" i="16"/>
  <c r="T311" i="16"/>
  <c r="U269" i="16"/>
  <c r="T269" i="16"/>
  <c r="L257" i="16"/>
  <c r="M257" i="16"/>
  <c r="U295" i="16"/>
  <c r="T295" i="16"/>
  <c r="M176" i="16"/>
  <c r="L176" i="16"/>
  <c r="L241" i="16"/>
  <c r="M241" i="16"/>
  <c r="U310" i="16"/>
  <c r="T310" i="16"/>
  <c r="U263" i="16"/>
  <c r="T263" i="16"/>
  <c r="M225" i="16"/>
  <c r="L225" i="16"/>
  <c r="M294" i="16"/>
  <c r="L294" i="16"/>
  <c r="M213" i="16"/>
  <c r="L213" i="16"/>
  <c r="L73" i="16"/>
  <c r="M73" i="16"/>
  <c r="U303" i="16"/>
  <c r="T303" i="16"/>
  <c r="M141" i="16"/>
  <c r="L141" i="16"/>
  <c r="M214" i="16"/>
  <c r="L214" i="16"/>
  <c r="L114" i="16"/>
  <c r="M114" i="16"/>
  <c r="L219" i="16"/>
  <c r="M219" i="16"/>
  <c r="M71" i="16"/>
  <c r="L71" i="16"/>
  <c r="L98" i="16"/>
  <c r="M98" i="16"/>
  <c r="T172" i="16"/>
  <c r="U172" i="16"/>
  <c r="L97" i="16"/>
  <c r="M97" i="16"/>
  <c r="M156" i="16"/>
  <c r="L156" i="16"/>
  <c r="U108" i="16"/>
  <c r="T108" i="16"/>
  <c r="M129" i="16"/>
  <c r="L129" i="16"/>
  <c r="M202" i="16"/>
  <c r="L202" i="16"/>
  <c r="M117" i="16"/>
  <c r="L117" i="16"/>
  <c r="U282" i="16"/>
  <c r="T282" i="16"/>
  <c r="M148" i="16"/>
  <c r="L148" i="16"/>
  <c r="U99" i="16"/>
  <c r="T99" i="16"/>
  <c r="L78" i="16"/>
  <c r="M78" i="16"/>
  <c r="M55" i="16"/>
  <c r="L55" i="16"/>
  <c r="U55" i="16"/>
  <c r="T55" i="16"/>
  <c r="U297" i="16"/>
  <c r="T297" i="16"/>
  <c r="U91" i="16"/>
  <c r="T91" i="16"/>
  <c r="U75" i="16"/>
  <c r="T75" i="16"/>
  <c r="U272" i="16"/>
  <c r="T272" i="16"/>
  <c r="M311" i="16"/>
  <c r="L311" i="16"/>
  <c r="M269" i="16"/>
  <c r="L269" i="16"/>
  <c r="U257" i="16"/>
  <c r="T257" i="16"/>
  <c r="M295" i="16"/>
  <c r="L295" i="16"/>
  <c r="T176" i="16"/>
  <c r="U176" i="16"/>
  <c r="U241" i="16"/>
  <c r="T241" i="16"/>
  <c r="M310" i="16"/>
  <c r="L310" i="16"/>
  <c r="M263" i="16"/>
  <c r="L263" i="16"/>
  <c r="T225" i="16"/>
  <c r="U225" i="16"/>
  <c r="U294" i="16"/>
  <c r="T294" i="16"/>
  <c r="T213" i="16"/>
  <c r="U213" i="16"/>
  <c r="T73" i="16"/>
  <c r="U73" i="16"/>
  <c r="M303" i="16"/>
  <c r="L303" i="16"/>
  <c r="U141" i="16"/>
  <c r="T141" i="16"/>
  <c r="T214" i="16"/>
  <c r="U214" i="16"/>
  <c r="U114" i="16"/>
  <c r="T114" i="16"/>
  <c r="T219" i="16"/>
  <c r="U219" i="16"/>
  <c r="U71" i="16"/>
  <c r="T71" i="16"/>
  <c r="U98" i="16"/>
  <c r="T98" i="16"/>
  <c r="L172" i="16"/>
  <c r="M172" i="16"/>
  <c r="U97" i="16"/>
  <c r="T97" i="16"/>
  <c r="U156" i="16"/>
  <c r="T156" i="16"/>
  <c r="L108" i="16"/>
  <c r="M108" i="16"/>
  <c r="U129" i="16"/>
  <c r="T129" i="16"/>
  <c r="T202" i="16"/>
  <c r="U202" i="16"/>
  <c r="U117" i="16"/>
  <c r="T117" i="16"/>
  <c r="M282" i="16"/>
  <c r="L282" i="16"/>
  <c r="M115" i="16"/>
  <c r="L115" i="16"/>
  <c r="T192" i="16"/>
  <c r="U192" i="16"/>
  <c r="L86" i="16"/>
  <c r="M86" i="16"/>
  <c r="M258" i="16"/>
  <c r="L258" i="16"/>
  <c r="M322" i="16"/>
  <c r="L322" i="16"/>
  <c r="T49" i="16"/>
  <c r="U49" i="16"/>
  <c r="U122" i="16"/>
  <c r="T122" i="16"/>
  <c r="L106" i="16"/>
  <c r="M106" i="16"/>
  <c r="M59" i="16"/>
  <c r="L59" i="16"/>
  <c r="M43" i="16"/>
  <c r="L43" i="16"/>
  <c r="M316" i="16"/>
  <c r="L316" i="16"/>
  <c r="M58" i="16"/>
  <c r="L58" i="16"/>
  <c r="M300" i="16"/>
  <c r="L300" i="16"/>
  <c r="M42" i="16"/>
  <c r="L42" i="16"/>
  <c r="M275" i="16"/>
  <c r="L275" i="16"/>
  <c r="L79" i="16"/>
  <c r="M79" i="16"/>
  <c r="U120" i="16"/>
  <c r="T120" i="16"/>
  <c r="M51" i="16"/>
  <c r="L51" i="16"/>
  <c r="T204" i="16"/>
  <c r="U204" i="16"/>
  <c r="M170" i="16"/>
  <c r="L170" i="16"/>
  <c r="M177" i="16"/>
  <c r="L177" i="16"/>
  <c r="M250" i="16"/>
  <c r="L250" i="16"/>
  <c r="M161" i="16"/>
  <c r="L161" i="16"/>
  <c r="L203" i="16"/>
  <c r="M203" i="16"/>
  <c r="M323" i="16"/>
  <c r="L323" i="16"/>
  <c r="L82" i="16"/>
  <c r="M82" i="16"/>
  <c r="L187" i="16"/>
  <c r="M187" i="16"/>
  <c r="M208" i="16"/>
  <c r="L208" i="16"/>
  <c r="L249" i="16"/>
  <c r="M249" i="16"/>
  <c r="T180" i="16"/>
  <c r="U180" i="16"/>
  <c r="L313" i="16"/>
  <c r="M313" i="16"/>
  <c r="U238" i="16"/>
  <c r="T238" i="16"/>
  <c r="M205" i="16"/>
  <c r="L205" i="16"/>
  <c r="M135" i="16"/>
  <c r="L135" i="16"/>
  <c r="U148" i="16"/>
  <c r="T148" i="16"/>
  <c r="U307" i="16"/>
  <c r="T307" i="16"/>
  <c r="U273" i="16"/>
  <c r="T273" i="16"/>
  <c r="T179" i="16"/>
  <c r="U179" i="16"/>
  <c r="U39" i="16"/>
  <c r="T39" i="16"/>
  <c r="U301" i="16"/>
  <c r="T301" i="16"/>
  <c r="U86" i="16"/>
  <c r="T86" i="16"/>
  <c r="U258" i="16"/>
  <c r="T258" i="16"/>
  <c r="U322" i="16"/>
  <c r="T322" i="16"/>
  <c r="M49" i="16"/>
  <c r="L49" i="16"/>
  <c r="L122" i="16"/>
  <c r="M122" i="16"/>
  <c r="U106" i="16"/>
  <c r="T106" i="16"/>
  <c r="U59" i="16"/>
  <c r="T59" i="16"/>
  <c r="U43" i="16"/>
  <c r="T43" i="16"/>
  <c r="U316" i="16"/>
  <c r="T316" i="16"/>
  <c r="U58" i="16"/>
  <c r="T58" i="16"/>
  <c r="U300" i="16"/>
  <c r="T300" i="16"/>
  <c r="U42" i="16"/>
  <c r="T42" i="16"/>
  <c r="U275" i="16"/>
  <c r="T275" i="16"/>
  <c r="U79" i="16"/>
  <c r="T79" i="16"/>
  <c r="L120" i="16"/>
  <c r="M120" i="16"/>
  <c r="U51" i="16"/>
  <c r="T51" i="16"/>
  <c r="M204" i="16"/>
  <c r="L204" i="16"/>
  <c r="T170" i="16"/>
  <c r="U170" i="16"/>
  <c r="T177" i="16"/>
  <c r="U177" i="16"/>
  <c r="U250" i="16"/>
  <c r="T250" i="16"/>
  <c r="U161" i="16"/>
  <c r="T161" i="16"/>
  <c r="T203" i="16"/>
  <c r="U203" i="16"/>
  <c r="U323" i="16"/>
  <c r="T323" i="16"/>
  <c r="U82" i="16"/>
  <c r="T82" i="16"/>
  <c r="T187" i="16"/>
  <c r="U187" i="16"/>
  <c r="T208" i="16"/>
  <c r="U208" i="16"/>
  <c r="U249" i="16"/>
  <c r="T249" i="16"/>
  <c r="M180" i="16"/>
  <c r="L180" i="16"/>
  <c r="U313" i="16"/>
  <c r="T313" i="16"/>
  <c r="M277" i="16"/>
  <c r="L277" i="16"/>
  <c r="U287" i="16"/>
  <c r="T287" i="16"/>
  <c r="L179" i="16"/>
  <c r="M179" i="16"/>
  <c r="L92" i="16"/>
  <c r="M92" i="16"/>
  <c r="M286" i="16"/>
  <c r="L286" i="16"/>
  <c r="L317" i="16"/>
  <c r="M317" i="16"/>
  <c r="U76" i="16"/>
  <c r="T76" i="16"/>
  <c r="U128" i="16"/>
  <c r="T128" i="16"/>
  <c r="M169" i="16"/>
  <c r="L169" i="16"/>
  <c r="L289" i="16"/>
  <c r="M289" i="16"/>
  <c r="L112" i="16"/>
  <c r="M112" i="16"/>
  <c r="M153" i="16"/>
  <c r="L153" i="16"/>
  <c r="L276" i="16"/>
  <c r="M276" i="16"/>
  <c r="U90" i="16"/>
  <c r="T90" i="16"/>
  <c r="L74" i="16"/>
  <c r="M74" i="16"/>
  <c r="U64" i="16"/>
  <c r="T64" i="16"/>
  <c r="L105" i="16"/>
  <c r="M105" i="16"/>
  <c r="U48" i="16"/>
  <c r="T48" i="16"/>
  <c r="L89" i="16"/>
  <c r="M89" i="16"/>
  <c r="U319" i="16"/>
  <c r="T319" i="16"/>
  <c r="L126" i="16"/>
  <c r="M126" i="16"/>
  <c r="T183" i="16"/>
  <c r="U183" i="16"/>
  <c r="L130" i="16"/>
  <c r="M130" i="16"/>
  <c r="L235" i="16"/>
  <c r="M235" i="16"/>
  <c r="M256" i="16"/>
  <c r="L256" i="16"/>
  <c r="L293" i="16"/>
  <c r="M293" i="16"/>
  <c r="M240" i="16"/>
  <c r="L240" i="16"/>
  <c r="U234" i="16"/>
  <c r="T234" i="16"/>
  <c r="M145" i="16"/>
  <c r="L145" i="16"/>
  <c r="T218" i="16"/>
  <c r="U218" i="16"/>
  <c r="L255" i="16"/>
  <c r="M255" i="16"/>
  <c r="U292" i="16"/>
  <c r="T292" i="16"/>
  <c r="T227" i="16"/>
  <c r="U227" i="16"/>
  <c r="T61" i="16"/>
  <c r="U61" i="16"/>
  <c r="L87" i="16"/>
  <c r="M87" i="16"/>
  <c r="U254" i="16"/>
  <c r="T254" i="16"/>
  <c r="M252" i="16"/>
  <c r="L252" i="16"/>
  <c r="L62" i="16"/>
  <c r="M62" i="16"/>
  <c r="M248" i="16"/>
  <c r="L248" i="16"/>
  <c r="M273" i="16"/>
  <c r="L273" i="16"/>
  <c r="U92" i="16"/>
  <c r="T92" i="16"/>
  <c r="U286" i="16"/>
  <c r="T286" i="16"/>
  <c r="U317" i="16"/>
  <c r="T317" i="16"/>
  <c r="L76" i="16"/>
  <c r="M76" i="16"/>
  <c r="M128" i="16"/>
  <c r="L128" i="16"/>
  <c r="U169" i="16"/>
  <c r="T169" i="16"/>
  <c r="U289" i="16"/>
  <c r="T289" i="16"/>
  <c r="U112" i="16"/>
  <c r="T112" i="16"/>
  <c r="U153" i="16"/>
  <c r="T153" i="16"/>
  <c r="U276" i="16"/>
  <c r="T276" i="16"/>
  <c r="L90" i="16"/>
  <c r="M90" i="16"/>
  <c r="U74" i="16"/>
  <c r="T74" i="16"/>
  <c r="L64" i="16"/>
  <c r="M64" i="16"/>
  <c r="U105" i="16"/>
  <c r="T105" i="16"/>
  <c r="M48" i="16"/>
  <c r="L48" i="16"/>
  <c r="U89" i="16"/>
  <c r="T89" i="16"/>
  <c r="M319" i="16"/>
  <c r="L319" i="16"/>
  <c r="U126" i="16"/>
  <c r="T126" i="16"/>
  <c r="M183" i="16"/>
  <c r="L183" i="16"/>
  <c r="U130" i="16"/>
  <c r="T130" i="16"/>
  <c r="U235" i="16"/>
  <c r="T235" i="16"/>
  <c r="U256" i="16"/>
  <c r="T256" i="16"/>
  <c r="U293" i="16"/>
  <c r="T293" i="16"/>
  <c r="U240" i="16"/>
  <c r="T240" i="16"/>
  <c r="L234" i="16"/>
  <c r="M234" i="16"/>
  <c r="U145" i="16"/>
  <c r="T145" i="16"/>
  <c r="M218" i="16"/>
  <c r="L218" i="16"/>
  <c r="U255" i="16"/>
  <c r="T255" i="16"/>
  <c r="M292" i="16"/>
  <c r="L292" i="16"/>
  <c r="L227" i="16"/>
  <c r="M227" i="16"/>
  <c r="M61" i="16"/>
  <c r="L61" i="16"/>
  <c r="U87" i="16"/>
  <c r="T87" i="16"/>
  <c r="U163" i="16"/>
  <c r="T163" i="16"/>
  <c r="L83" i="16"/>
  <c r="M83" i="16"/>
  <c r="M198" i="16"/>
  <c r="L198" i="16"/>
  <c r="M123" i="16"/>
  <c r="L123" i="16"/>
  <c r="M65" i="16"/>
  <c r="L65" i="16"/>
  <c r="L107" i="16"/>
  <c r="M107" i="16"/>
  <c r="L305" i="16"/>
  <c r="M305" i="16"/>
  <c r="T175" i="16"/>
  <c r="U175" i="16"/>
  <c r="M216" i="16"/>
  <c r="L216" i="16"/>
  <c r="M37" i="16"/>
  <c r="L37" i="16"/>
  <c r="M159" i="16"/>
  <c r="L159" i="16"/>
  <c r="M200" i="16"/>
  <c r="L200" i="16"/>
  <c r="L96" i="16"/>
  <c r="M96" i="16"/>
  <c r="M137" i="16"/>
  <c r="L137" i="16"/>
  <c r="L80" i="16"/>
  <c r="M80" i="16"/>
  <c r="M121" i="16"/>
  <c r="L121" i="16"/>
  <c r="L245" i="16"/>
  <c r="M245" i="16"/>
  <c r="U111" i="16"/>
  <c r="T111" i="16"/>
  <c r="M152" i="16"/>
  <c r="L152" i="16"/>
  <c r="M229" i="16"/>
  <c r="L229" i="16"/>
  <c r="L95" i="16"/>
  <c r="M95" i="16"/>
  <c r="M136" i="16"/>
  <c r="L136" i="16"/>
  <c r="U67" i="16"/>
  <c r="T67" i="16"/>
  <c r="M157" i="16"/>
  <c r="L157" i="16"/>
  <c r="T230" i="16"/>
  <c r="U230" i="16"/>
  <c r="M193" i="16"/>
  <c r="L193" i="16"/>
  <c r="M265" i="16"/>
  <c r="L265" i="16"/>
  <c r="U299" i="16"/>
  <c r="T299" i="16"/>
  <c r="T41" i="16"/>
  <c r="U41" i="16"/>
  <c r="M165" i="16"/>
  <c r="L165" i="16"/>
  <c r="U283" i="16"/>
  <c r="T283" i="16"/>
  <c r="L280" i="16"/>
  <c r="M280" i="16"/>
  <c r="M224" i="16"/>
  <c r="L224" i="16"/>
  <c r="L264" i="16"/>
  <c r="M264" i="16"/>
  <c r="M133" i="16"/>
  <c r="L133" i="16"/>
  <c r="U298" i="16"/>
  <c r="T298" i="16"/>
  <c r="U40" i="16"/>
  <c r="T40" i="16"/>
  <c r="M302" i="16"/>
  <c r="L302" i="16"/>
  <c r="L124" i="16"/>
  <c r="M124" i="16"/>
  <c r="L134" i="16"/>
  <c r="M134" i="16"/>
  <c r="M69" i="16"/>
  <c r="L69" i="16"/>
  <c r="U296" i="16"/>
  <c r="T296" i="16"/>
  <c r="M125" i="16"/>
  <c r="L125" i="16"/>
  <c r="U123" i="16"/>
  <c r="T123" i="16"/>
  <c r="U65" i="16"/>
  <c r="T65" i="16"/>
  <c r="U107" i="16"/>
  <c r="T107" i="16"/>
  <c r="U305" i="16"/>
  <c r="T305" i="16"/>
  <c r="M175" i="16"/>
  <c r="L175" i="16"/>
  <c r="T216" i="16"/>
  <c r="U216" i="16"/>
  <c r="T37" i="16"/>
  <c r="U37" i="16"/>
  <c r="U159" i="16"/>
  <c r="T159" i="16"/>
  <c r="T200" i="16"/>
  <c r="U200" i="16"/>
  <c r="U96" i="16"/>
  <c r="T96" i="16"/>
  <c r="U137" i="16"/>
  <c r="T137" i="16"/>
  <c r="U80" i="16"/>
  <c r="T80" i="16"/>
  <c r="U121" i="16"/>
  <c r="T121" i="16"/>
  <c r="U245" i="16"/>
  <c r="T245" i="16"/>
  <c r="L111" i="16"/>
  <c r="M111" i="16"/>
  <c r="U152" i="16"/>
  <c r="T152" i="16"/>
  <c r="T229" i="16"/>
  <c r="U229" i="16"/>
  <c r="U95" i="16"/>
  <c r="T95" i="16"/>
  <c r="U136" i="16"/>
  <c r="T136" i="16"/>
  <c r="M67" i="16"/>
  <c r="L67" i="16"/>
  <c r="U157" i="16"/>
  <c r="T157" i="16"/>
  <c r="M230" i="16"/>
  <c r="L230" i="16"/>
  <c r="T193" i="16"/>
  <c r="U193" i="16"/>
  <c r="U265" i="16"/>
  <c r="T265" i="16"/>
  <c r="M299" i="16"/>
  <c r="L299" i="16"/>
  <c r="M41" i="16"/>
  <c r="L41" i="16"/>
  <c r="U165" i="16"/>
  <c r="T165" i="16"/>
  <c r="M283" i="16"/>
  <c r="L283" i="16"/>
  <c r="U280" i="16"/>
  <c r="T280" i="16"/>
  <c r="T224" i="16"/>
  <c r="U224" i="16"/>
  <c r="U264" i="16"/>
  <c r="T264" i="16"/>
  <c r="U133" i="16"/>
  <c r="T133" i="16"/>
  <c r="M298" i="16"/>
  <c r="L298" i="16"/>
  <c r="M40" i="16"/>
  <c r="L40" i="16"/>
  <c r="U302" i="16"/>
  <c r="T302" i="16"/>
  <c r="U124" i="16"/>
  <c r="T124" i="16"/>
  <c r="U134" i="16"/>
  <c r="T134" i="16"/>
  <c r="U248" i="16"/>
  <c r="T248" i="16"/>
  <c r="M261" i="16"/>
  <c r="L261" i="16"/>
  <c r="U259" i="16"/>
  <c r="T259" i="16"/>
  <c r="M254" i="16"/>
  <c r="L254" i="16"/>
  <c r="M160" i="16"/>
  <c r="L160" i="16"/>
  <c r="U154" i="16"/>
  <c r="T154" i="16"/>
  <c r="M144" i="16"/>
  <c r="L144" i="16"/>
  <c r="L138" i="16"/>
  <c r="M138" i="16"/>
  <c r="M53" i="16"/>
  <c r="L53" i="16"/>
  <c r="M222" i="16"/>
  <c r="L222" i="16"/>
  <c r="U278" i="16"/>
  <c r="T278" i="16"/>
  <c r="L100" i="16"/>
  <c r="M100" i="16"/>
  <c r="M206" i="16"/>
  <c r="L206" i="16"/>
  <c r="M262" i="16"/>
  <c r="L262" i="16"/>
  <c r="M143" i="16"/>
  <c r="L143" i="16"/>
  <c r="T184" i="16"/>
  <c r="U184" i="16"/>
  <c r="U320" i="16"/>
  <c r="T320" i="16"/>
  <c r="U127" i="16"/>
  <c r="T127" i="16"/>
  <c r="T168" i="16"/>
  <c r="U168" i="16"/>
  <c r="U304" i="16"/>
  <c r="T304" i="16"/>
  <c r="L158" i="16"/>
  <c r="M158" i="16"/>
  <c r="M215" i="16"/>
  <c r="L215" i="16"/>
  <c r="U288" i="16"/>
  <c r="T288" i="16"/>
  <c r="L142" i="16"/>
  <c r="M142" i="16"/>
  <c r="M199" i="16"/>
  <c r="L199" i="16"/>
  <c r="L146" i="16"/>
  <c r="M146" i="16"/>
  <c r="M220" i="16"/>
  <c r="L220" i="16"/>
  <c r="M223" i="16"/>
  <c r="L223" i="16"/>
  <c r="M271" i="16"/>
  <c r="L271" i="16"/>
  <c r="L309" i="16"/>
  <c r="M309" i="16"/>
  <c r="M181" i="16"/>
  <c r="L181" i="16"/>
  <c r="M47" i="16"/>
  <c r="L47" i="16"/>
  <c r="L88" i="16"/>
  <c r="M88" i="16"/>
  <c r="M228" i="16"/>
  <c r="L228" i="16"/>
  <c r="U324" i="16"/>
  <c r="T324" i="16"/>
  <c r="M149" i="16"/>
  <c r="L149" i="16"/>
  <c r="U270" i="16"/>
  <c r="T270" i="16"/>
  <c r="M308" i="16"/>
  <c r="L308" i="16"/>
  <c r="M196" i="16"/>
  <c r="L196" i="16"/>
  <c r="M46" i="16"/>
  <c r="L46" i="16"/>
  <c r="L103" i="16"/>
  <c r="M103" i="16"/>
  <c r="M50" i="16"/>
  <c r="L50" i="16"/>
  <c r="M155" i="16"/>
  <c r="L155" i="16"/>
  <c r="L70" i="16"/>
  <c r="M70" i="16"/>
  <c r="M284" i="16"/>
  <c r="L284" i="16"/>
  <c r="U119" i="16"/>
  <c r="T119" i="16"/>
  <c r="U81" i="16"/>
  <c r="T81" i="16"/>
  <c r="U160" i="16"/>
  <c r="T160" i="16"/>
  <c r="L154" i="16"/>
  <c r="M154" i="16"/>
  <c r="U144" i="16"/>
  <c r="T144" i="16"/>
  <c r="U138" i="16"/>
  <c r="T138" i="16"/>
  <c r="T53" i="16"/>
  <c r="U53" i="16"/>
  <c r="T222" i="16"/>
  <c r="U222" i="16"/>
  <c r="M278" i="16"/>
  <c r="L278" i="16"/>
  <c r="U100" i="16"/>
  <c r="T100" i="16"/>
  <c r="T206" i="16"/>
  <c r="U206" i="16"/>
  <c r="U262" i="16"/>
  <c r="T262" i="16"/>
  <c r="U143" i="16"/>
  <c r="T143" i="16"/>
  <c r="M184" i="16"/>
  <c r="L184" i="16"/>
  <c r="M320" i="16"/>
  <c r="L320" i="16"/>
  <c r="M127" i="16"/>
  <c r="L127" i="16"/>
  <c r="M168" i="16"/>
  <c r="L168" i="16"/>
  <c r="M304" i="16"/>
  <c r="L304" i="16"/>
  <c r="U158" i="16"/>
  <c r="T158" i="16"/>
  <c r="T215" i="16"/>
  <c r="U215" i="16"/>
  <c r="M288" i="16"/>
  <c r="L288" i="16"/>
  <c r="U142" i="16"/>
  <c r="T142" i="16"/>
  <c r="T199" i="16"/>
  <c r="U199" i="16"/>
  <c r="U146" i="16"/>
  <c r="T146" i="16"/>
  <c r="T220" i="16"/>
  <c r="U220" i="16"/>
  <c r="T223" i="16"/>
  <c r="U223" i="16"/>
  <c r="U271" i="16"/>
  <c r="T271" i="16"/>
  <c r="U309" i="16"/>
  <c r="T309" i="16"/>
  <c r="T181" i="16"/>
  <c r="U181" i="16"/>
  <c r="U47" i="16"/>
  <c r="T47" i="16"/>
  <c r="U88" i="16"/>
  <c r="T88" i="16"/>
  <c r="T228" i="16"/>
  <c r="U228" i="16"/>
  <c r="M324" i="16"/>
  <c r="L324" i="16"/>
  <c r="U149" i="16"/>
  <c r="T149" i="16"/>
  <c r="M270" i="16"/>
  <c r="L270" i="16"/>
  <c r="U308" i="16"/>
  <c r="T308" i="16"/>
  <c r="T196" i="16"/>
  <c r="U196" i="16"/>
  <c r="U46" i="16"/>
  <c r="T46" i="16"/>
  <c r="U103" i="16"/>
  <c r="T103" i="16"/>
  <c r="U50" i="16"/>
  <c r="T50" i="16"/>
  <c r="U155" i="16"/>
  <c r="T155" i="16"/>
  <c r="M232" i="16"/>
  <c r="L232" i="16"/>
  <c r="U131" i="16"/>
  <c r="T131" i="16"/>
  <c r="M318" i="16"/>
  <c r="L318" i="16"/>
  <c r="L81" i="16"/>
  <c r="M81" i="16"/>
  <c r="L85" i="16"/>
  <c r="M85" i="16"/>
  <c r="T207" i="16"/>
  <c r="U207" i="16"/>
  <c r="M201" i="16"/>
  <c r="L201" i="16"/>
  <c r="L321" i="16"/>
  <c r="M321" i="16"/>
  <c r="M191" i="16"/>
  <c r="L191" i="16"/>
  <c r="M185" i="16"/>
  <c r="L185" i="16"/>
  <c r="L116" i="16"/>
  <c r="M116" i="16"/>
  <c r="L253" i="16"/>
  <c r="M253" i="16"/>
  <c r="M290" i="16"/>
  <c r="L290" i="16"/>
  <c r="M147" i="16"/>
  <c r="L147" i="16"/>
  <c r="L237" i="16"/>
  <c r="M237" i="16"/>
  <c r="M38" i="16"/>
  <c r="L38" i="16"/>
  <c r="L84" i="16"/>
  <c r="M84" i="16"/>
  <c r="M190" i="16"/>
  <c r="L190" i="16"/>
  <c r="U247" i="16"/>
  <c r="T247" i="16"/>
  <c r="L68" i="16"/>
  <c r="M68" i="16"/>
  <c r="T174" i="16"/>
  <c r="U174" i="16"/>
  <c r="M231" i="16"/>
  <c r="L231" i="16"/>
  <c r="M52" i="16"/>
  <c r="L52" i="16"/>
  <c r="M189" i="16"/>
  <c r="L189" i="16"/>
  <c r="M36" i="16"/>
  <c r="L36" i="16"/>
  <c r="M173" i="16"/>
  <c r="L173" i="16"/>
  <c r="M246" i="16"/>
  <c r="L246" i="16"/>
  <c r="M164" i="16"/>
  <c r="L164" i="16"/>
  <c r="M209" i="16"/>
  <c r="L209" i="16"/>
  <c r="U251" i="16"/>
  <c r="T251" i="16"/>
  <c r="U315" i="16"/>
  <c r="T315" i="16"/>
  <c r="T57" i="16"/>
  <c r="U57" i="16"/>
  <c r="M244" i="16"/>
  <c r="L244" i="16"/>
  <c r="L94" i="16"/>
  <c r="M94" i="16"/>
  <c r="M151" i="16"/>
  <c r="L151" i="16"/>
  <c r="U274" i="16"/>
  <c r="T274" i="16"/>
  <c r="L72" i="16"/>
  <c r="M72" i="16"/>
  <c r="M212" i="16"/>
  <c r="L212" i="16"/>
  <c r="M314" i="16"/>
  <c r="L314" i="16"/>
  <c r="U56" i="16"/>
  <c r="T56" i="16"/>
  <c r="U243" i="16"/>
  <c r="T243" i="16"/>
  <c r="M77" i="16"/>
  <c r="L77" i="16"/>
  <c r="L150" i="16"/>
  <c r="M150" i="16"/>
  <c r="L101" i="16"/>
  <c r="M101" i="16"/>
  <c r="L113" i="16"/>
  <c r="M113" i="16"/>
  <c r="T186" i="16"/>
  <c r="U186" i="16"/>
  <c r="M217" i="16"/>
  <c r="L217" i="16"/>
  <c r="M221" i="16"/>
  <c r="L221" i="16"/>
  <c r="M63" i="16"/>
  <c r="L63" i="16"/>
  <c r="U85" i="16"/>
  <c r="T85" i="16"/>
  <c r="M207" i="16"/>
  <c r="L207" i="16"/>
  <c r="T201" i="16"/>
  <c r="U201" i="16"/>
  <c r="U321" i="16"/>
  <c r="T321" i="16"/>
  <c r="T191" i="16"/>
  <c r="U191" i="16"/>
  <c r="T185" i="16"/>
  <c r="U185" i="16"/>
  <c r="U116" i="16"/>
  <c r="T116" i="16"/>
  <c r="U253" i="16"/>
  <c r="T253" i="16"/>
  <c r="U290" i="16"/>
  <c r="T290" i="16"/>
  <c r="U147" i="16"/>
  <c r="T147" i="16"/>
  <c r="U237" i="16"/>
  <c r="T237" i="16"/>
  <c r="U38" i="16"/>
  <c r="T38" i="16"/>
  <c r="U84" i="16"/>
  <c r="T84" i="16"/>
  <c r="T190" i="16"/>
  <c r="U190" i="16"/>
  <c r="L247" i="16"/>
  <c r="M247" i="16"/>
  <c r="U68" i="16"/>
  <c r="T68" i="16"/>
  <c r="M174" i="16"/>
  <c r="L174" i="16"/>
  <c r="T231" i="16"/>
  <c r="U231" i="16"/>
  <c r="U52" i="16"/>
  <c r="T52" i="16"/>
  <c r="T189" i="16"/>
  <c r="U189" i="16"/>
  <c r="U36" i="16"/>
  <c r="T36" i="16"/>
  <c r="U173" i="16"/>
  <c r="T173" i="16"/>
  <c r="U246" i="16"/>
  <c r="T246" i="16"/>
  <c r="U164" i="16"/>
  <c r="T164" i="16"/>
  <c r="T209" i="16"/>
  <c r="U209" i="16"/>
  <c r="L251" i="16"/>
  <c r="M251" i="16"/>
  <c r="M315" i="16"/>
  <c r="L315" i="16"/>
  <c r="M57" i="16"/>
  <c r="L57" i="16"/>
  <c r="U244" i="16"/>
  <c r="T244" i="16"/>
  <c r="U94" i="16"/>
  <c r="T94" i="16"/>
  <c r="U151" i="16"/>
  <c r="T151" i="16"/>
  <c r="M274" i="16"/>
  <c r="L274" i="16"/>
  <c r="U72" i="16"/>
  <c r="T72" i="16"/>
  <c r="T212" i="16"/>
  <c r="U212" i="16"/>
  <c r="U314" i="16"/>
  <c r="T314" i="16"/>
  <c r="M56" i="16"/>
  <c r="L56" i="16"/>
  <c r="L243" i="16"/>
  <c r="M243" i="16"/>
  <c r="U77" i="16"/>
  <c r="T77" i="16"/>
  <c r="U150" i="16"/>
  <c r="T150" i="16"/>
  <c r="U101" i="16"/>
  <c r="T101" i="16"/>
  <c r="U113" i="16"/>
  <c r="T113" i="16"/>
  <c r="M186" i="16"/>
  <c r="L186" i="16"/>
  <c r="T217" i="16"/>
  <c r="U217" i="16"/>
  <c r="M19" i="16"/>
  <c r="L19" i="16"/>
  <c r="U29" i="16"/>
  <c r="T29" i="16"/>
  <c r="U5" i="16"/>
  <c r="T5" i="16"/>
  <c r="M17" i="16"/>
  <c r="L17" i="16"/>
  <c r="M27" i="16"/>
  <c r="L27" i="16"/>
  <c r="U17" i="16"/>
  <c r="T17" i="16"/>
  <c r="U15" i="16"/>
  <c r="T15" i="16"/>
  <c r="U23" i="16"/>
  <c r="T23" i="16"/>
  <c r="U27" i="16"/>
  <c r="T27" i="16"/>
  <c r="M12" i="16"/>
  <c r="L12" i="16"/>
  <c r="M15" i="16"/>
  <c r="L15" i="16"/>
  <c r="M23" i="16"/>
  <c r="L23" i="16"/>
  <c r="L4" i="16"/>
  <c r="M4" i="16"/>
  <c r="T12" i="16"/>
  <c r="U12" i="16"/>
  <c r="M33" i="16"/>
  <c r="L33" i="16"/>
  <c r="T4" i="16"/>
  <c r="U4" i="16"/>
  <c r="U33" i="16"/>
  <c r="T33" i="16"/>
  <c r="M25" i="16"/>
  <c r="L25" i="16"/>
  <c r="O23" i="16"/>
  <c r="O7" i="16"/>
  <c r="O31" i="16"/>
  <c r="O15" i="16"/>
  <c r="O25" i="16"/>
  <c r="O6" i="16"/>
  <c r="O16" i="16"/>
  <c r="O33" i="16"/>
  <c r="O14" i="16"/>
  <c r="O30" i="16"/>
  <c r="O12" i="16"/>
  <c r="O28" i="16"/>
  <c r="O10" i="16"/>
  <c r="O18" i="16"/>
  <c r="O17" i="16"/>
  <c r="O5" i="16"/>
  <c r="O27" i="16"/>
  <c r="O26" i="16"/>
  <c r="O22" i="16"/>
  <c r="O20" i="16"/>
  <c r="O32" i="16"/>
  <c r="O29" i="16"/>
  <c r="O24" i="16"/>
  <c r="O21" i="16"/>
  <c r="O19" i="16"/>
  <c r="O13" i="16"/>
  <c r="O11" i="16"/>
  <c r="O9" i="16"/>
  <c r="O8" i="16"/>
  <c r="O4" i="16"/>
  <c r="W19" i="16"/>
  <c r="W27" i="16"/>
  <c r="W11" i="16"/>
  <c r="W26" i="16"/>
  <c r="W10" i="16"/>
  <c r="W24" i="16"/>
  <c r="W8" i="16"/>
  <c r="W22" i="16"/>
  <c r="W6" i="16"/>
  <c r="W15" i="16"/>
  <c r="W30" i="16"/>
  <c r="W5" i="16"/>
  <c r="W28" i="16"/>
  <c r="W21" i="16"/>
  <c r="W17" i="16"/>
  <c r="W9" i="16"/>
  <c r="W25" i="16"/>
  <c r="W23" i="16"/>
  <c r="W18" i="16"/>
  <c r="W14" i="16"/>
  <c r="W12" i="16"/>
  <c r="W7" i="16"/>
  <c r="W4" i="16"/>
  <c r="W33" i="16"/>
  <c r="W32" i="16"/>
  <c r="W31" i="16"/>
  <c r="W29" i="16"/>
  <c r="W20" i="16"/>
  <c r="W16" i="16"/>
  <c r="W13" i="16"/>
  <c r="U19" i="16"/>
  <c r="T19" i="16"/>
  <c r="L30" i="16"/>
  <c r="M30" i="16"/>
  <c r="U25" i="16"/>
  <c r="T25" i="16"/>
  <c r="M11" i="16"/>
  <c r="L11" i="16"/>
  <c r="M21" i="16"/>
  <c r="L21" i="16"/>
  <c r="M10" i="16"/>
  <c r="L10" i="16"/>
  <c r="U30" i="16"/>
  <c r="T30" i="16"/>
  <c r="L18" i="16"/>
  <c r="M18" i="16"/>
  <c r="T11" i="16"/>
  <c r="U11" i="16"/>
  <c r="L14" i="16"/>
  <c r="M14" i="16"/>
  <c r="M28" i="16"/>
  <c r="L28" i="16"/>
  <c r="T16" i="16"/>
  <c r="U16" i="16"/>
  <c r="U7" i="16"/>
  <c r="T7" i="16"/>
  <c r="L22" i="16"/>
  <c r="M22" i="16"/>
  <c r="T10" i="16"/>
  <c r="U10" i="16"/>
  <c r="U32" i="16"/>
  <c r="T32" i="16"/>
  <c r="U28" i="16"/>
  <c r="T28" i="16"/>
  <c r="M16" i="16"/>
  <c r="L16" i="16"/>
  <c r="M7" i="16"/>
  <c r="L7" i="16"/>
  <c r="U21" i="16"/>
  <c r="T21" i="16"/>
  <c r="U22" i="16"/>
  <c r="T22" i="16"/>
  <c r="M20" i="16"/>
  <c r="L20" i="16"/>
  <c r="U18" i="16"/>
  <c r="T18" i="16"/>
  <c r="M32" i="16"/>
  <c r="L32" i="16"/>
  <c r="T20" i="16"/>
  <c r="U20" i="16"/>
  <c r="U14" i="16"/>
  <c r="T14" i="16"/>
  <c r="U26" i="16"/>
  <c r="T26" i="16"/>
  <c r="U31" i="16"/>
  <c r="T31" i="16"/>
  <c r="M9" i="16"/>
  <c r="L9" i="16"/>
  <c r="T8" i="16"/>
  <c r="U8" i="16"/>
  <c r="L26" i="16"/>
  <c r="M26" i="16"/>
  <c r="U9" i="16"/>
  <c r="T9" i="16"/>
  <c r="L8" i="16"/>
  <c r="M8" i="16"/>
  <c r="M31" i="16"/>
  <c r="L31" i="16"/>
  <c r="U24" i="16"/>
  <c r="T24" i="16"/>
  <c r="U13" i="16"/>
  <c r="T13" i="16"/>
  <c r="M29" i="16"/>
  <c r="L29" i="16"/>
  <c r="M6" i="16"/>
  <c r="L6" i="16"/>
  <c r="M24" i="16"/>
  <c r="L24" i="16"/>
  <c r="M5" i="16"/>
  <c r="L5" i="16"/>
  <c r="M13" i="16"/>
  <c r="L13" i="16"/>
  <c r="T6" i="16"/>
  <c r="U6" i="16"/>
  <c r="T325" i="10"/>
  <c r="Z301" i="18" l="1"/>
  <c r="R211" i="18"/>
  <c r="R88" i="18"/>
  <c r="R146" i="18"/>
  <c r="R110" i="18"/>
  <c r="Z48" i="18"/>
  <c r="R98" i="18"/>
  <c r="Z49" i="18"/>
  <c r="Z78" i="18"/>
  <c r="R296" i="18"/>
  <c r="R133" i="18"/>
  <c r="Z189" i="18"/>
  <c r="AI189" i="18" s="1" a="1"/>
  <c r="AI189" i="18" s="1"/>
  <c r="AJ189" i="18" s="1"/>
  <c r="R202" i="18"/>
  <c r="R198" i="18"/>
  <c r="AC198" i="18" s="1" a="1"/>
  <c r="AC198" i="18" s="1"/>
  <c r="AK198" i="18" s="1"/>
  <c r="R195" i="18"/>
  <c r="Z308" i="18"/>
  <c r="AI308" i="18" s="1" a="1"/>
  <c r="AI308" i="18" s="1"/>
  <c r="AJ308" i="18" s="1"/>
  <c r="R197" i="18"/>
  <c r="R226" i="18"/>
  <c r="R114" i="18"/>
  <c r="Z195" i="18"/>
  <c r="R273" i="18"/>
  <c r="AC273" i="18" s="1" a="1"/>
  <c r="AC273" i="18" s="1"/>
  <c r="AK273" i="18" s="1"/>
  <c r="R123" i="18"/>
  <c r="AC123" i="18" s="1" a="1"/>
  <c r="AC123" i="18" s="1"/>
  <c r="AK123" i="18" s="1"/>
  <c r="R107" i="18"/>
  <c r="R250" i="18"/>
  <c r="AC250" i="18" s="1" a="1"/>
  <c r="AC250" i="18" s="1"/>
  <c r="AK250" i="18" s="1"/>
  <c r="R220" i="18"/>
  <c r="Z123" i="18"/>
  <c r="AI123" i="18" s="1" a="1"/>
  <c r="AI123" i="18" s="1"/>
  <c r="AJ123" i="18" s="1"/>
  <c r="Z107" i="18"/>
  <c r="Z256" i="18"/>
  <c r="AE256" i="18" s="1"/>
  <c r="AM256" i="18" s="1"/>
  <c r="Z69" i="18"/>
  <c r="AI69" i="18" s="1" a="1"/>
  <c r="AI69" i="18" s="1"/>
  <c r="AJ69" i="18" s="1"/>
  <c r="R278" i="18"/>
  <c r="R125" i="18"/>
  <c r="AC125" i="18" s="1" a="1"/>
  <c r="AC125" i="18" s="1"/>
  <c r="AK125" i="18" s="1"/>
  <c r="Z77" i="16"/>
  <c r="AE77" i="16" s="1" a="1"/>
  <c r="AE77" i="16" s="1"/>
  <c r="AM77" i="16" s="1" a="1"/>
  <c r="AM77" i="16" s="1"/>
  <c r="Z299" i="18"/>
  <c r="AN6" i="18"/>
  <c r="AS6" i="18" s="1"/>
  <c r="AF6" i="19" s="1"/>
  <c r="R139" i="18"/>
  <c r="R126" i="18"/>
  <c r="AC126" i="18" s="1" a="1"/>
  <c r="AC126" i="18" s="1"/>
  <c r="AK126" i="18" s="1"/>
  <c r="Z276" i="18"/>
  <c r="AI276" i="18" s="1" a="1"/>
  <c r="AI276" i="18" s="1"/>
  <c r="AJ276" i="18" s="1"/>
  <c r="Z169" i="18"/>
  <c r="AE169" i="18" s="1"/>
  <c r="R316" i="18"/>
  <c r="AC316" i="18" s="1" a="1"/>
  <c r="AC316" i="18" s="1"/>
  <c r="AK316" i="18" s="1"/>
  <c r="Z272" i="18"/>
  <c r="AI272" i="18" s="1" a="1"/>
  <c r="AI272" i="18" s="1"/>
  <c r="AJ272" i="18" s="1"/>
  <c r="R231" i="18"/>
  <c r="Z91" i="18"/>
  <c r="Z83" i="18"/>
  <c r="R216" i="18"/>
  <c r="AC216" i="18" s="1" a="1"/>
  <c r="AC216" i="18" s="1"/>
  <c r="AK216" i="18" s="1"/>
  <c r="Z202" i="18"/>
  <c r="R234" i="18"/>
  <c r="AC234" i="18" s="1" a="1"/>
  <c r="AC234" i="18" s="1"/>
  <c r="AK234" i="18" s="1"/>
  <c r="R308" i="18"/>
  <c r="AC308" i="18" s="1" a="1"/>
  <c r="AC308" i="18" s="1"/>
  <c r="AK308" i="18" s="1"/>
  <c r="Z305" i="18"/>
  <c r="AE305" i="18" s="1"/>
  <c r="R271" i="18"/>
  <c r="AC271" i="18" s="1" a="1"/>
  <c r="AC271" i="18" s="1"/>
  <c r="AK271" i="18" s="1"/>
  <c r="Z285" i="18"/>
  <c r="AI285" i="18" s="1" a="1"/>
  <c r="AI285" i="18" s="1"/>
  <c r="AJ285" i="18" s="1"/>
  <c r="R156" i="18"/>
  <c r="R115" i="18"/>
  <c r="AC115" i="18" s="1" a="1"/>
  <c r="AC115" i="18" s="1"/>
  <c r="AK115" i="18" s="1"/>
  <c r="R304" i="18"/>
  <c r="AC304" i="18" s="1" a="1"/>
  <c r="AC304" i="18" s="1"/>
  <c r="AK304" i="18" s="1"/>
  <c r="Z93" i="18"/>
  <c r="AI93" i="18" s="1" a="1"/>
  <c r="AI93" i="18" s="1"/>
  <c r="AJ93" i="18" s="1"/>
  <c r="Z81" i="18"/>
  <c r="AE81" i="18" s="1"/>
  <c r="R303" i="18"/>
  <c r="AC303" i="18" s="1" a="1"/>
  <c r="AC303" i="18" s="1"/>
  <c r="AK303" i="18" s="1"/>
  <c r="R324" i="18"/>
  <c r="AC324" i="18" s="1" a="1"/>
  <c r="AC324" i="18" s="1"/>
  <c r="AK324" i="18" s="1"/>
  <c r="Z159" i="18"/>
  <c r="Z267" i="18"/>
  <c r="R239" i="18"/>
  <c r="AC239" i="18" s="1" a="1"/>
  <c r="AC239" i="18" s="1"/>
  <c r="AK239" i="18" s="1"/>
  <c r="Z203" i="18"/>
  <c r="Z45" i="18"/>
  <c r="AI45" i="18" s="1" a="1"/>
  <c r="AI45" i="18" s="1"/>
  <c r="AJ45" i="18" s="1"/>
  <c r="R166" i="18"/>
  <c r="AC166" i="18" s="1" a="1"/>
  <c r="AC166" i="18" s="1"/>
  <c r="AK166" i="18" s="1"/>
  <c r="R253" i="18"/>
  <c r="AC253" i="18" s="1" a="1"/>
  <c r="AC253" i="18" s="1"/>
  <c r="AK253" i="18" s="1"/>
  <c r="Z75" i="18"/>
  <c r="AE75" i="18" s="1"/>
  <c r="Z279" i="18"/>
  <c r="AI279" i="18" s="1" a="1"/>
  <c r="AI279" i="18" s="1"/>
  <c r="AJ279" i="18" s="1"/>
  <c r="R240" i="18"/>
  <c r="R49" i="18"/>
  <c r="AC49" i="18" s="1" a="1"/>
  <c r="AC49" i="18" s="1"/>
  <c r="AK49" i="18" s="1"/>
  <c r="Z270" i="18"/>
  <c r="AI270" i="18" s="1" a="1"/>
  <c r="AI270" i="18" s="1"/>
  <c r="AJ270" i="18" s="1"/>
  <c r="R207" i="18"/>
  <c r="AC207" i="18" s="1" a="1"/>
  <c r="AC207" i="18" s="1"/>
  <c r="AK207" i="18" s="1"/>
  <c r="R84" i="18"/>
  <c r="AC84" i="18" s="1" a="1"/>
  <c r="AC84" i="18" s="1"/>
  <c r="AK84" i="18" s="1"/>
  <c r="R228" i="18"/>
  <c r="AC228" i="18" s="1" a="1"/>
  <c r="AC228" i="18" s="1"/>
  <c r="AK228" i="18" s="1"/>
  <c r="Z42" i="18"/>
  <c r="AE42" i="18" s="1"/>
  <c r="Z319" i="18"/>
  <c r="AI319" i="18" s="1" a="1"/>
  <c r="AI319" i="18" s="1"/>
  <c r="AJ319" i="18" s="1"/>
  <c r="R109" i="18"/>
  <c r="R311" i="18"/>
  <c r="AC311" i="18" s="1" a="1"/>
  <c r="AC311" i="18" s="1"/>
  <c r="AK311" i="18" s="1"/>
  <c r="Z99" i="18"/>
  <c r="R214" i="18"/>
  <c r="AC214" i="18" s="1" a="1"/>
  <c r="AC214" i="18" s="1"/>
  <c r="AK214" i="18" s="1"/>
  <c r="Z304" i="18"/>
  <c r="AI304" i="18" s="1" a="1"/>
  <c r="AI304" i="18" s="1"/>
  <c r="AJ304" i="18" s="1"/>
  <c r="Z233" i="18"/>
  <c r="AI233" i="18" s="1" a="1"/>
  <c r="AI233" i="18" s="1"/>
  <c r="AJ233" i="18" s="1"/>
  <c r="R51" i="18"/>
  <c r="AC51" i="18" s="1" a="1"/>
  <c r="AC51" i="18" s="1"/>
  <c r="AK51" i="18" s="1"/>
  <c r="R118" i="18"/>
  <c r="AG118" i="18" s="1" a="1"/>
  <c r="AG118" i="18" s="1"/>
  <c r="AH118" i="18" s="1" a="1"/>
  <c r="AH118" i="18" s="1"/>
  <c r="R249" i="18"/>
  <c r="R208" i="18"/>
  <c r="AC208" i="18" s="1" a="1"/>
  <c r="AC208" i="18" s="1"/>
  <c r="AK208" i="18" s="1"/>
  <c r="Z58" i="18"/>
  <c r="AI58" i="18" s="1" a="1"/>
  <c r="AI58" i="18" s="1"/>
  <c r="AJ58" i="18" s="1"/>
  <c r="R66" i="18"/>
  <c r="AC66" i="18" s="1" a="1"/>
  <c r="AC66" i="18" s="1"/>
  <c r="AK66" i="18" s="1"/>
  <c r="R184" i="18"/>
  <c r="AG184" i="18" s="1" a="1"/>
  <c r="AG184" i="18" s="1"/>
  <c r="AH184" i="18" s="1" a="1"/>
  <c r="AH184" i="18" s="1"/>
  <c r="Z217" i="18"/>
  <c r="AI217" i="18" s="1" a="1"/>
  <c r="AI217" i="18" s="1"/>
  <c r="AJ217" i="18" s="1"/>
  <c r="Z271" i="18"/>
  <c r="AI271" i="18" s="1" a="1"/>
  <c r="AI271" i="18" s="1"/>
  <c r="AJ271" i="18" s="1"/>
  <c r="R222" i="18"/>
  <c r="R108" i="18"/>
  <c r="Z97" i="18"/>
  <c r="AE97" i="18" s="1"/>
  <c r="R137" i="18"/>
  <c r="Z40" i="18"/>
  <c r="AE40" i="18" s="1"/>
  <c r="R117" i="18"/>
  <c r="AC117" i="18" s="1" a="1"/>
  <c r="AC117" i="18" s="1"/>
  <c r="AK117" i="18" s="1"/>
  <c r="R121" i="18"/>
  <c r="AC121" i="18" s="1" a="1"/>
  <c r="AC121" i="18" s="1"/>
  <c r="AK121" i="18" s="1"/>
  <c r="R89" i="18"/>
  <c r="AC89" i="18" s="1" a="1"/>
  <c r="AC89" i="18" s="1"/>
  <c r="AK89" i="18" s="1"/>
  <c r="R40" i="18"/>
  <c r="AC40" i="18" s="1" a="1"/>
  <c r="AC40" i="18" s="1"/>
  <c r="AK40" i="18" s="1"/>
  <c r="Z62" i="18"/>
  <c r="R180" i="18"/>
  <c r="AG180" i="18" s="1" a="1"/>
  <c r="AG180" i="18" s="1"/>
  <c r="AH180" i="18" s="1" a="1"/>
  <c r="AH180" i="18" s="1"/>
  <c r="Z163" i="18"/>
  <c r="AE163" i="18" s="1"/>
  <c r="R256" i="18"/>
  <c r="AC256" i="18" s="1" a="1"/>
  <c r="AC256" i="18" s="1"/>
  <c r="AK256" i="18" s="1"/>
  <c r="R47" i="18"/>
  <c r="AC47" i="18" s="1" a="1"/>
  <c r="AC47" i="18" s="1"/>
  <c r="AK47" i="18" s="1"/>
  <c r="Z237" i="18"/>
  <c r="AI237" i="18" s="1" a="1"/>
  <c r="AI237" i="18" s="1"/>
  <c r="AJ237" i="18" s="1"/>
  <c r="R262" i="18"/>
  <c r="AC262" i="18" s="1" a="1"/>
  <c r="AC262" i="18" s="1"/>
  <c r="AK262" i="18" s="1"/>
  <c r="R232" i="18"/>
  <c r="R291" i="18"/>
  <c r="R260" i="18"/>
  <c r="AC260" i="18" s="1" a="1"/>
  <c r="AC260" i="18" s="1"/>
  <c r="AK260" i="18" s="1"/>
  <c r="R177" i="18"/>
  <c r="R185" i="18"/>
  <c r="AC185" i="18" s="1" a="1"/>
  <c r="AC185" i="18" s="1"/>
  <c r="AK185" i="18" s="1"/>
  <c r="Z278" i="18"/>
  <c r="AI278" i="18" s="1" a="1"/>
  <c r="AI278" i="18" s="1"/>
  <c r="AJ278" i="18" s="1"/>
  <c r="R174" i="18"/>
  <c r="AG174" i="18" s="1" a="1"/>
  <c r="AG174" i="18" s="1"/>
  <c r="AH174" i="18" s="1" a="1"/>
  <c r="AH174" i="18" s="1"/>
  <c r="Z262" i="18"/>
  <c r="AI262" i="18" s="1" a="1"/>
  <c r="AI262" i="18" s="1"/>
  <c r="AJ262" i="18" s="1"/>
  <c r="Z185" i="18"/>
  <c r="AI185" i="18" s="1" a="1"/>
  <c r="AI185" i="18" s="1"/>
  <c r="AJ185" i="18" s="1"/>
  <c r="R230" i="18"/>
  <c r="R266" i="18"/>
  <c r="AC266" i="18" s="1" a="1"/>
  <c r="AC266" i="18" s="1"/>
  <c r="AK266" i="18" s="1"/>
  <c r="R283" i="18"/>
  <c r="AC283" i="18" s="1" a="1"/>
  <c r="AC283" i="18" s="1"/>
  <c r="AK283" i="18" s="1"/>
  <c r="R87" i="18"/>
  <c r="AC87" i="18" s="1" a="1"/>
  <c r="AC87" i="18" s="1"/>
  <c r="AK87" i="18" s="1"/>
  <c r="Z325" i="18"/>
  <c r="AI325" i="18" s="1" a="1"/>
  <c r="AI325" i="18" s="1"/>
  <c r="AJ325" i="18" s="1"/>
  <c r="R196" i="18"/>
  <c r="AC196" i="18" s="1" a="1"/>
  <c r="AC196" i="18" s="1"/>
  <c r="AK196" i="18" s="1"/>
  <c r="Z207" i="18"/>
  <c r="AI207" i="18" s="1" a="1"/>
  <c r="AI207" i="18" s="1"/>
  <c r="AJ207" i="18" s="1"/>
  <c r="R244" i="18"/>
  <c r="AC244" i="18" s="1" a="1"/>
  <c r="AC244" i="18" s="1"/>
  <c r="AK244" i="18" s="1"/>
  <c r="R72" i="18"/>
  <c r="Z317" i="18"/>
  <c r="AI317" i="18" s="1" a="1"/>
  <c r="AI317" i="18" s="1"/>
  <c r="AJ317" i="18" s="1"/>
  <c r="Z183" i="18"/>
  <c r="R116" i="18"/>
  <c r="AC116" i="18" s="1" a="1"/>
  <c r="AC116" i="18" s="1"/>
  <c r="AK116" i="18" s="1"/>
  <c r="Z115" i="18"/>
  <c r="AI115" i="18" s="1" a="1"/>
  <c r="AI115" i="18" s="1"/>
  <c r="AJ115" i="18" s="1"/>
  <c r="R93" i="18"/>
  <c r="AC93" i="18" s="1" a="1"/>
  <c r="AC93" i="18" s="1"/>
  <c r="AK93" i="18" s="1"/>
  <c r="Z201" i="18"/>
  <c r="AI201" i="18" s="1" a="1"/>
  <c r="AI201" i="18" s="1"/>
  <c r="AJ201" i="18" s="1"/>
  <c r="R251" i="18"/>
  <c r="AC251" i="18" s="1" a="1"/>
  <c r="AC251" i="18" s="1"/>
  <c r="AK251" i="18" s="1"/>
  <c r="R42" i="18"/>
  <c r="R319" i="18"/>
  <c r="AC319" i="18" s="1" a="1"/>
  <c r="AC319" i="18" s="1"/>
  <c r="AK319" i="18" s="1"/>
  <c r="R241" i="18"/>
  <c r="AC241" i="18" s="1" a="1"/>
  <c r="AC241" i="18" s="1"/>
  <c r="AK241" i="18" s="1"/>
  <c r="Z323" i="18"/>
  <c r="AI323" i="18" s="1" a="1"/>
  <c r="AI323" i="18" s="1"/>
  <c r="AJ323" i="18" s="1"/>
  <c r="R252" i="18"/>
  <c r="AG252" i="18" s="1" a="1"/>
  <c r="AG252" i="18" s="1"/>
  <c r="AH252" i="18" s="1" a="1"/>
  <c r="AH252" i="18" s="1"/>
  <c r="R265" i="18"/>
  <c r="AC265" i="18" s="1" a="1"/>
  <c r="AC265" i="18" s="1"/>
  <c r="AK265" i="18" s="1"/>
  <c r="R76" i="18"/>
  <c r="AC76" i="18" s="1" a="1"/>
  <c r="AC76" i="18" s="1"/>
  <c r="AK76" i="18" s="1"/>
  <c r="R227" i="18"/>
  <c r="R154" i="18"/>
  <c r="Z324" i="18"/>
  <c r="AI324" i="18" s="1" a="1"/>
  <c r="AI324" i="18" s="1"/>
  <c r="AJ324" i="18" s="1"/>
  <c r="Z316" i="18"/>
  <c r="R257" i="18"/>
  <c r="AC257" i="18" s="1" a="1"/>
  <c r="AC257" i="18" s="1"/>
  <c r="AK257" i="18" s="1"/>
  <c r="R298" i="18"/>
  <c r="AC298" i="18" s="1" a="1"/>
  <c r="AC298" i="18" s="1"/>
  <c r="AK298" i="18" s="1"/>
  <c r="R223" i="18"/>
  <c r="AG223" i="18" s="1" a="1"/>
  <c r="AG223" i="18" s="1"/>
  <c r="AH223" i="18" s="1" a="1"/>
  <c r="AH223" i="18" s="1"/>
  <c r="Z291" i="18"/>
  <c r="AI291" i="18" s="1" a="1"/>
  <c r="AI291" i="18" s="1"/>
  <c r="AJ291" i="18" s="1"/>
  <c r="R61" i="18"/>
  <c r="AC61" i="18" s="1" a="1"/>
  <c r="AC61" i="18" s="1"/>
  <c r="AK61" i="18" s="1"/>
  <c r="Z260" i="18"/>
  <c r="Z263" i="18"/>
  <c r="AI263" i="18" s="1" a="1"/>
  <c r="AI263" i="18" s="1"/>
  <c r="AJ263" i="18" s="1"/>
  <c r="Z177" i="18"/>
  <c r="AI177" i="18" s="1" a="1"/>
  <c r="AI177" i="18" s="1"/>
  <c r="AJ177" i="18" s="1"/>
  <c r="R74" i="18"/>
  <c r="AG74" i="18" s="1" a="1"/>
  <c r="AG74" i="18" s="1"/>
  <c r="AH74" i="18" s="1" a="1"/>
  <c r="AH74" i="18" s="1"/>
  <c r="Z79" i="18"/>
  <c r="AE79" i="18" s="1"/>
  <c r="R279" i="18"/>
  <c r="AC279" i="18" s="1" a="1"/>
  <c r="AC279" i="18" s="1"/>
  <c r="AK279" i="18" s="1"/>
  <c r="Z157" i="18"/>
  <c r="AI157" i="18" s="1" a="1"/>
  <c r="AI157" i="18" s="1"/>
  <c r="AJ157" i="18" s="1"/>
  <c r="Z63" i="18"/>
  <c r="AE63" i="18" s="1"/>
  <c r="R188" i="18"/>
  <c r="AC188" i="18" s="1" a="1"/>
  <c r="AC188" i="18" s="1"/>
  <c r="AK188" i="18" s="1"/>
  <c r="R165" i="18"/>
  <c r="AC165" i="18" s="1" a="1"/>
  <c r="AC165" i="18" s="1"/>
  <c r="AK165" i="18" s="1"/>
  <c r="R284" i="18"/>
  <c r="R50" i="18"/>
  <c r="AC50" i="18" s="1" a="1"/>
  <c r="AC50" i="18" s="1"/>
  <c r="AK50" i="18" s="1"/>
  <c r="R80" i="18"/>
  <c r="AC80" i="18" s="1" a="1"/>
  <c r="AC80" i="18" s="1"/>
  <c r="AK80" i="18" s="1"/>
  <c r="Z296" i="18"/>
  <c r="AE296" i="18" s="1"/>
  <c r="R58" i="18"/>
  <c r="AC58" i="18" s="1" a="1"/>
  <c r="AC58" i="18" s="1"/>
  <c r="AK58" i="18" s="1"/>
  <c r="R96" i="18"/>
  <c r="AC96" i="18" s="1" a="1"/>
  <c r="AC96" i="18" s="1"/>
  <c r="AK96" i="18" s="1"/>
  <c r="Z66" i="18"/>
  <c r="R219" i="18"/>
  <c r="AC219" i="18" s="1" a="1"/>
  <c r="AC219" i="18" s="1"/>
  <c r="AK219" i="18" s="1"/>
  <c r="R41" i="18"/>
  <c r="AC41" i="18" s="1" a="1"/>
  <c r="AC41" i="18" s="1"/>
  <c r="AK41" i="18" s="1"/>
  <c r="R86" i="18"/>
  <c r="AC86" i="18" s="1" a="1"/>
  <c r="AC86" i="18" s="1"/>
  <c r="AK86" i="18" s="1"/>
  <c r="R158" i="18"/>
  <c r="AC158" i="18" s="1" a="1"/>
  <c r="AC158" i="18" s="1"/>
  <c r="AK158" i="18" s="1"/>
  <c r="R127" i="18"/>
  <c r="AC127" i="18" s="1" a="1"/>
  <c r="AC127" i="18" s="1"/>
  <c r="AK127" i="18" s="1"/>
  <c r="Z303" i="18"/>
  <c r="AE303" i="18" s="1"/>
  <c r="R213" i="18"/>
  <c r="AC213" i="18" s="1" a="1"/>
  <c r="AC213" i="18" s="1"/>
  <c r="AK213" i="18" s="1"/>
  <c r="R106" i="18"/>
  <c r="AC106" i="18" s="1" a="1"/>
  <c r="AC106" i="18" s="1"/>
  <c r="AK106" i="18" s="1"/>
  <c r="R261" i="18"/>
  <c r="AC261" i="18" s="1" a="1"/>
  <c r="AC261" i="18" s="1"/>
  <c r="AK261" i="18" s="1"/>
  <c r="Z111" i="18"/>
  <c r="AI111" i="18" s="1" a="1"/>
  <c r="AI111" i="18" s="1"/>
  <c r="AJ111" i="18" s="1"/>
  <c r="Z51" i="18"/>
  <c r="AI51" i="18" s="1" a="1"/>
  <c r="AI51" i="18" s="1"/>
  <c r="AJ51" i="18" s="1"/>
  <c r="Z89" i="18"/>
  <c r="AI89" i="18" s="1" a="1"/>
  <c r="AI89" i="18" s="1"/>
  <c r="AJ89" i="18" s="1"/>
  <c r="R282" i="18"/>
  <c r="AC282" i="18" s="1" a="1"/>
  <c r="AC282" i="18" s="1"/>
  <c r="AK282" i="18" s="1"/>
  <c r="R143" i="18"/>
  <c r="AC143" i="18" s="1" a="1"/>
  <c r="AC143" i="18" s="1"/>
  <c r="AK143" i="18" s="1"/>
  <c r="R323" i="18"/>
  <c r="AC323" i="18" s="1" a="1"/>
  <c r="AC323" i="18" s="1"/>
  <c r="AK323" i="18" s="1"/>
  <c r="R193" i="18"/>
  <c r="R318" i="18"/>
  <c r="AG318" i="18" s="1" a="1"/>
  <c r="AG318" i="18" s="1"/>
  <c r="AH318" i="18" s="1" a="1"/>
  <c r="AH318" i="18" s="1"/>
  <c r="R122" i="18"/>
  <c r="AC122" i="18" s="1" a="1"/>
  <c r="AC122" i="18" s="1"/>
  <c r="AK122" i="18" s="1"/>
  <c r="R149" i="18"/>
  <c r="AC149" i="18" s="1" a="1"/>
  <c r="AC149" i="18" s="1"/>
  <c r="AK149" i="18" s="1"/>
  <c r="Z61" i="18"/>
  <c r="AE61" i="18" s="1"/>
  <c r="R136" i="18"/>
  <c r="AC136" i="18" s="1" a="1"/>
  <c r="AC136" i="18" s="1"/>
  <c r="AK136" i="18" s="1"/>
  <c r="R274" i="18"/>
  <c r="AC274" i="18" s="1" a="1"/>
  <c r="AC274" i="18" s="1"/>
  <c r="AK274" i="18" s="1"/>
  <c r="R292" i="18"/>
  <c r="AC292" i="18" s="1" a="1"/>
  <c r="AC292" i="18" s="1"/>
  <c r="AK292" i="18" s="1"/>
  <c r="Z165" i="18"/>
  <c r="Z119" i="18"/>
  <c r="AE119" i="18" s="1"/>
  <c r="R263" i="18"/>
  <c r="AC263" i="18" s="1" a="1"/>
  <c r="AC263" i="18" s="1"/>
  <c r="AK263" i="18" s="1"/>
  <c r="Z94" i="18"/>
  <c r="AE94" i="18" s="1"/>
  <c r="R176" i="18"/>
  <c r="AC176" i="18" s="1" a="1"/>
  <c r="AC176" i="18" s="1"/>
  <c r="AK176" i="18" s="1"/>
  <c r="R38" i="18"/>
  <c r="AC38" i="18" s="1" a="1"/>
  <c r="AC38" i="18" s="1"/>
  <c r="AK38" i="18" s="1"/>
  <c r="Z289" i="18"/>
  <c r="AI289" i="18" s="1" a="1"/>
  <c r="AI289" i="18" s="1"/>
  <c r="AJ289" i="18" s="1"/>
  <c r="R94" i="18"/>
  <c r="AC94" i="18" s="1" a="1"/>
  <c r="AC94" i="18" s="1"/>
  <c r="AK94" i="18" s="1"/>
  <c r="Z85" i="18"/>
  <c r="AE85" i="18" s="1"/>
  <c r="R48" i="18"/>
  <c r="AG48" i="18" s="1" a="1"/>
  <c r="AG48" i="18" s="1"/>
  <c r="AH48" i="18" s="1" a="1"/>
  <c r="AH48" i="18" s="1"/>
  <c r="R277" i="18"/>
  <c r="AC277" i="18" s="1" a="1"/>
  <c r="AC277" i="18" s="1"/>
  <c r="AK277" i="18" s="1"/>
  <c r="Z67" i="18"/>
  <c r="AE67" i="18" s="1"/>
  <c r="Z41" i="18"/>
  <c r="AE41" i="18" s="1"/>
  <c r="R130" i="18"/>
  <c r="AC130" i="18" s="1" a="1"/>
  <c r="AC130" i="18" s="1"/>
  <c r="AK130" i="18" s="1"/>
  <c r="R209" i="18"/>
  <c r="AG209" i="18" s="1" a="1"/>
  <c r="AG209" i="18" s="1"/>
  <c r="AH209" i="18" s="1" a="1"/>
  <c r="AH209" i="18" s="1"/>
  <c r="Z205" i="18"/>
  <c r="AE205" i="18" s="1"/>
  <c r="R78" i="18"/>
  <c r="AG78" i="18" s="1" a="1"/>
  <c r="AG78" i="18" s="1"/>
  <c r="AH78" i="18" s="1" a="1"/>
  <c r="AH78" i="18" s="1"/>
  <c r="R92" i="18"/>
  <c r="AG92" i="18" s="1" a="1"/>
  <c r="AG92" i="18" s="1"/>
  <c r="AH92" i="18" s="1" a="1"/>
  <c r="AH92" i="18" s="1"/>
  <c r="R267" i="18"/>
  <c r="AC267" i="18" s="1" a="1"/>
  <c r="AC267" i="18" s="1"/>
  <c r="AK267" i="18" s="1"/>
  <c r="Z213" i="18"/>
  <c r="AI213" i="18" s="1" a="1"/>
  <c r="AI213" i="18" s="1"/>
  <c r="AJ213" i="18" s="1"/>
  <c r="R287" i="18"/>
  <c r="AC287" i="18" s="1" a="1"/>
  <c r="AC287" i="18" s="1"/>
  <c r="AK287" i="18" s="1"/>
  <c r="R111" i="18"/>
  <c r="AC111" i="18" s="1" a="1"/>
  <c r="AC111" i="18" s="1"/>
  <c r="AK111" i="18" s="1"/>
  <c r="R90" i="18"/>
  <c r="AC90" i="18" s="1" a="1"/>
  <c r="AC90" i="18" s="1"/>
  <c r="AK90" i="18" s="1"/>
  <c r="R217" i="18"/>
  <c r="AG217" i="18" s="1" a="1"/>
  <c r="AG217" i="18" s="1"/>
  <c r="AH217" i="18" s="1" a="1"/>
  <c r="AH217" i="18" s="1"/>
  <c r="R150" i="18"/>
  <c r="AC150" i="18" s="1" a="1"/>
  <c r="AC150" i="18" s="1"/>
  <c r="AK150" i="18" s="1"/>
  <c r="Z103" i="18"/>
  <c r="AE103" i="18" s="1"/>
  <c r="R81" i="18"/>
  <c r="AC81" i="18" s="1" a="1"/>
  <c r="AC81" i="18" s="1"/>
  <c r="AK81" i="18" s="1"/>
  <c r="R97" i="18"/>
  <c r="AG97" i="18" s="1" a="1"/>
  <c r="AG97" i="18" s="1"/>
  <c r="AH97" i="18" s="1" a="1"/>
  <c r="AH97" i="18" s="1"/>
  <c r="R288" i="18"/>
  <c r="AC288" i="18" s="1" a="1"/>
  <c r="AC288" i="18" s="1"/>
  <c r="AK288" i="18" s="1"/>
  <c r="R100" i="18"/>
  <c r="AG100" i="18" s="1" a="1"/>
  <c r="AG100" i="18" s="1"/>
  <c r="AH100" i="18" s="1" a="1"/>
  <c r="AH100" i="18" s="1"/>
  <c r="R294" i="18"/>
  <c r="AG294" i="18" s="1" a="1"/>
  <c r="AG294" i="18" s="1"/>
  <c r="AH294" i="18" s="1" a="1"/>
  <c r="AH294" i="18" s="1"/>
  <c r="Z288" i="18"/>
  <c r="AI288" i="18" s="1" a="1"/>
  <c r="AI288" i="18" s="1"/>
  <c r="AJ288" i="18" s="1"/>
  <c r="R237" i="18"/>
  <c r="AC237" i="18" s="1" a="1"/>
  <c r="AC237" i="18" s="1"/>
  <c r="AK237" i="18" s="1"/>
  <c r="R73" i="18"/>
  <c r="AC73" i="18" s="1" a="1"/>
  <c r="AC73" i="18" s="1"/>
  <c r="AK73" i="18" s="1"/>
  <c r="R132" i="18"/>
  <c r="AC132" i="18" s="1" a="1"/>
  <c r="AC132" i="18" s="1"/>
  <c r="AK132" i="18" s="1"/>
  <c r="Z95" i="18"/>
  <c r="AI95" i="18" s="1" a="1"/>
  <c r="AI95" i="18" s="1"/>
  <c r="AJ95" i="18" s="1"/>
  <c r="R69" i="18"/>
  <c r="AC69" i="18" s="1" a="1"/>
  <c r="AC69" i="18" s="1"/>
  <c r="AK69" i="18" s="1"/>
  <c r="Z149" i="18"/>
  <c r="AE149" i="18" s="1"/>
  <c r="R105" i="18"/>
  <c r="AG105" i="18" s="1" a="1"/>
  <c r="AG105" i="18" s="1"/>
  <c r="AH105" i="18" s="1" a="1"/>
  <c r="AH105" i="18" s="1"/>
  <c r="Z274" i="18"/>
  <c r="AI274" i="18" s="1" a="1"/>
  <c r="AI274" i="18" s="1"/>
  <c r="AJ274" i="18" s="1"/>
  <c r="Z191" i="18"/>
  <c r="AE191" i="18" s="1"/>
  <c r="R281" i="18"/>
  <c r="AC281" i="18" s="1" a="1"/>
  <c r="AC281" i="18" s="1"/>
  <c r="AK281" i="18" s="1"/>
  <c r="Z54" i="18"/>
  <c r="AI54" i="18" s="1" a="1"/>
  <c r="AI54" i="18" s="1"/>
  <c r="AJ54" i="18" s="1"/>
  <c r="R144" i="18"/>
  <c r="AG144" i="18" s="1" a="1"/>
  <c r="AG144" i="18" s="1"/>
  <c r="AH144" i="18" s="1" a="1"/>
  <c r="AH144" i="18" s="1"/>
  <c r="R54" i="18"/>
  <c r="AG54" i="18" s="1" a="1"/>
  <c r="AG54" i="18" s="1"/>
  <c r="AH54" i="18" s="1" a="1"/>
  <c r="AH54" i="18" s="1"/>
  <c r="R243" i="18"/>
  <c r="AG243" i="18" s="1" a="1"/>
  <c r="AG243" i="18" s="1"/>
  <c r="AH243" i="18" s="1" a="1"/>
  <c r="AH243" i="18" s="1"/>
  <c r="R43" i="18"/>
  <c r="AC43" i="18" s="1" a="1"/>
  <c r="AC43" i="18" s="1"/>
  <c r="AK43" i="18" s="1"/>
  <c r="R162" i="18"/>
  <c r="AG162" i="18" s="1" a="1"/>
  <c r="AG162" i="18" s="1"/>
  <c r="AH162" i="18" s="1" a="1"/>
  <c r="AH162" i="18" s="1"/>
  <c r="Z280" i="18"/>
  <c r="AE280" i="18" s="1"/>
  <c r="R235" i="18"/>
  <c r="AC235" i="18" s="1" a="1"/>
  <c r="AC235" i="18" s="1"/>
  <c r="AK235" i="18" s="1"/>
  <c r="R322" i="18"/>
  <c r="AC322" i="18" s="1" a="1"/>
  <c r="AC322" i="18" s="1"/>
  <c r="AK322" i="18" s="1"/>
  <c r="R85" i="18"/>
  <c r="AC85" i="18" s="1" a="1"/>
  <c r="AC85" i="18" s="1"/>
  <c r="AK85" i="18" s="1"/>
  <c r="Z145" i="18"/>
  <c r="AE145" i="18" s="1"/>
  <c r="R302" i="18"/>
  <c r="AC302" i="18" s="1" a="1"/>
  <c r="AC302" i="18" s="1"/>
  <c r="AK302" i="18" s="1"/>
  <c r="R242" i="18"/>
  <c r="AC242" i="18" s="1" a="1"/>
  <c r="AC242" i="18" s="1"/>
  <c r="AK242" i="18" s="1"/>
  <c r="R286" i="18"/>
  <c r="AC286" i="18" s="1" a="1"/>
  <c r="AC286" i="18" s="1"/>
  <c r="AK286" i="18" s="1"/>
  <c r="Z287" i="18"/>
  <c r="AI287" i="18" s="1" a="1"/>
  <c r="AI287" i="18" s="1"/>
  <c r="AJ287" i="18" s="1"/>
  <c r="R307" i="18"/>
  <c r="AC307" i="18" s="1" a="1"/>
  <c r="AC307" i="18" s="1"/>
  <c r="AK307" i="18" s="1"/>
  <c r="Z74" i="18"/>
  <c r="AI74" i="18" s="1" a="1"/>
  <c r="AI74" i="18" s="1"/>
  <c r="AJ74" i="18" s="1"/>
  <c r="R295" i="18"/>
  <c r="AC295" i="18" s="1" a="1"/>
  <c r="AC295" i="18" s="1"/>
  <c r="AK295" i="18" s="1"/>
  <c r="R119" i="18"/>
  <c r="AG119" i="18" s="1" a="1"/>
  <c r="AG119" i="18" s="1"/>
  <c r="AH119" i="18" s="1" a="1"/>
  <c r="AH119" i="18" s="1"/>
  <c r="R172" i="18"/>
  <c r="AC172" i="18" s="1" a="1"/>
  <c r="AC172" i="18" s="1"/>
  <c r="AK172" i="18" s="1"/>
  <c r="R275" i="18"/>
  <c r="AC275" i="18" s="1" a="1"/>
  <c r="AC275" i="18" s="1"/>
  <c r="AK275" i="18" s="1"/>
  <c r="R124" i="18"/>
  <c r="AC124" i="18" s="1" a="1"/>
  <c r="AC124" i="18" s="1"/>
  <c r="AK124" i="18" s="1"/>
  <c r="Z38" i="18"/>
  <c r="AI38" i="18" s="1" a="1"/>
  <c r="AI38" i="18" s="1"/>
  <c r="AJ38" i="18" s="1"/>
  <c r="Z181" i="18"/>
  <c r="AI181" i="18" s="1" a="1"/>
  <c r="AI181" i="18" s="1"/>
  <c r="AJ181" i="18" s="1"/>
  <c r="Z300" i="18"/>
  <c r="AI300" i="18" s="1" a="1"/>
  <c r="AI300" i="18" s="1"/>
  <c r="AJ300" i="18" s="1"/>
  <c r="R204" i="18"/>
  <c r="AC204" i="18" s="1" a="1"/>
  <c r="AC204" i="18" s="1"/>
  <c r="AK204" i="18" s="1"/>
  <c r="Z65" i="18"/>
  <c r="AI65" i="18" s="1" a="1"/>
  <c r="AI65" i="18" s="1"/>
  <c r="AJ65" i="18" s="1"/>
  <c r="R248" i="18"/>
  <c r="AC248" i="18" s="1" a="1"/>
  <c r="AC248" i="18" s="1"/>
  <c r="AK248" i="18" s="1"/>
  <c r="R199" i="18"/>
  <c r="AC199" i="18" s="1" a="1"/>
  <c r="AC199" i="18" s="1"/>
  <c r="AK199" i="18" s="1"/>
  <c r="R215" i="18"/>
  <c r="AC215" i="18" s="1" a="1"/>
  <c r="AC215" i="18" s="1"/>
  <c r="AK215" i="18" s="1"/>
  <c r="Z175" i="18"/>
  <c r="R192" i="18"/>
  <c r="AC192" i="18" s="1" a="1"/>
  <c r="AC192" i="18" s="1"/>
  <c r="AK192" i="18" s="1"/>
  <c r="Z171" i="18"/>
  <c r="AI171" i="18" s="1" a="1"/>
  <c r="AI171" i="18" s="1"/>
  <c r="AJ171" i="18" s="1"/>
  <c r="AC240" i="18" a="1"/>
  <c r="AC240" i="18" s="1"/>
  <c r="AK240" i="18" s="1"/>
  <c r="AG240" i="18" a="1"/>
  <c r="AG240" i="18" s="1"/>
  <c r="AH240" i="18" s="1" a="1"/>
  <c r="AH240" i="18" s="1"/>
  <c r="AI91" i="18" a="1"/>
  <c r="AI91" i="18" s="1"/>
  <c r="AJ91" i="18" s="1"/>
  <c r="AE91" i="18"/>
  <c r="AI83" i="18" a="1"/>
  <c r="AI83" i="18" s="1"/>
  <c r="AJ83" i="18" s="1"/>
  <c r="AE83" i="18"/>
  <c r="AI202" i="18" a="1"/>
  <c r="AI202" i="18" s="1"/>
  <c r="AJ202" i="18" s="1"/>
  <c r="AE202" i="18"/>
  <c r="AG234" i="18" a="1"/>
  <c r="AG234" i="18" s="1"/>
  <c r="AH234" i="18" s="1" a="1"/>
  <c r="AH234" i="18" s="1"/>
  <c r="AC107" i="18" a="1"/>
  <c r="AC107" i="18" s="1"/>
  <c r="AK107" i="18" s="1"/>
  <c r="AG107" i="18" a="1"/>
  <c r="AG107" i="18" s="1"/>
  <c r="AH107" i="18" s="1" a="1"/>
  <c r="AH107" i="18" s="1"/>
  <c r="AG250" i="18" a="1"/>
  <c r="AG250" i="18" s="1"/>
  <c r="AH250" i="18" s="1" a="1"/>
  <c r="AH250" i="18" s="1"/>
  <c r="AC220" i="18" a="1"/>
  <c r="AC220" i="18" s="1"/>
  <c r="AK220" i="18" s="1"/>
  <c r="AG220" i="18" a="1"/>
  <c r="AG220" i="18" s="1"/>
  <c r="AH220" i="18" s="1" a="1"/>
  <c r="AH220" i="18" s="1"/>
  <c r="AI107" i="18" a="1"/>
  <c r="AI107" i="18" s="1"/>
  <c r="AJ107" i="18" s="1"/>
  <c r="AE107" i="18"/>
  <c r="AI256" i="18" a="1"/>
  <c r="AI256" i="18" s="1"/>
  <c r="AJ256" i="18" s="1"/>
  <c r="AC139" i="18" a="1"/>
  <c r="AC139" i="18" s="1"/>
  <c r="AK139" i="18" s="1"/>
  <c r="AG139" i="18" a="1"/>
  <c r="AG139" i="18" s="1"/>
  <c r="AH139" i="18" s="1" a="1"/>
  <c r="AH139" i="18" s="1"/>
  <c r="AC146" i="18" a="1"/>
  <c r="AC146" i="18" s="1"/>
  <c r="AK146" i="18" s="1"/>
  <c r="AG146" i="18" a="1"/>
  <c r="AG146" i="18" s="1"/>
  <c r="AH146" i="18" s="1" a="1"/>
  <c r="AH146" i="18" s="1"/>
  <c r="AI301" i="18" a="1"/>
  <c r="AI301" i="18" s="1"/>
  <c r="AJ301" i="18" s="1"/>
  <c r="AE301" i="18"/>
  <c r="AM301" i="18" s="1"/>
  <c r="AC88" i="18" a="1"/>
  <c r="AC88" i="18" s="1"/>
  <c r="AK88" i="18" s="1"/>
  <c r="AG88" i="18" a="1"/>
  <c r="AG88" i="18" s="1"/>
  <c r="AH88" i="18" s="1" a="1"/>
  <c r="AH88" i="18" s="1"/>
  <c r="AC110" i="18" a="1"/>
  <c r="AC110" i="18" s="1"/>
  <c r="AK110" i="18" s="1"/>
  <c r="AG110" i="18" a="1"/>
  <c r="AG110" i="18" s="1"/>
  <c r="AH110" i="18" s="1" a="1"/>
  <c r="AH110" i="18" s="1"/>
  <c r="AC211" i="18" a="1"/>
  <c r="AC211" i="18" s="1"/>
  <c r="AK211" i="18" s="1"/>
  <c r="AG211" i="18" a="1"/>
  <c r="AG211" i="18" s="1"/>
  <c r="AH211" i="18" s="1" a="1"/>
  <c r="AH211" i="18" s="1"/>
  <c r="AC232" i="18" a="1"/>
  <c r="AC232" i="18" s="1"/>
  <c r="AK232" i="18" s="1"/>
  <c r="AG232" i="18" a="1"/>
  <c r="AG232" i="18" s="1"/>
  <c r="AH232" i="18" s="1" a="1"/>
  <c r="AH232" i="18" s="1"/>
  <c r="AI63" i="18" a="1"/>
  <c r="AI63" i="18" s="1"/>
  <c r="AJ63" i="18" s="1"/>
  <c r="AG188" i="18" a="1"/>
  <c r="AG188" i="18" s="1"/>
  <c r="AH188" i="18" s="1" a="1"/>
  <c r="AH188" i="18" s="1"/>
  <c r="AI159" i="18" a="1"/>
  <c r="AI159" i="18" s="1"/>
  <c r="AJ159" i="18" s="1"/>
  <c r="AE159" i="18"/>
  <c r="AI267" i="18" a="1"/>
  <c r="AI267" i="18" s="1"/>
  <c r="AJ267" i="18" s="1"/>
  <c r="AE267" i="18"/>
  <c r="AG84" i="18" a="1"/>
  <c r="AG84" i="18" s="1"/>
  <c r="AH84" i="18" s="1" a="1"/>
  <c r="AH84" i="18" s="1"/>
  <c r="AI42" i="18" a="1"/>
  <c r="AI42" i="18" s="1"/>
  <c r="AJ42" i="18" s="1"/>
  <c r="AC109" i="18" a="1"/>
  <c r="AC109" i="18" s="1"/>
  <c r="AK109" i="18" s="1"/>
  <c r="AG109" i="18" a="1"/>
  <c r="AG109" i="18" s="1"/>
  <c r="AH109" i="18" s="1" a="1"/>
  <c r="AH109" i="18" s="1"/>
  <c r="AI99" i="18" a="1"/>
  <c r="AI99" i="18" s="1"/>
  <c r="AJ99" i="18" s="1"/>
  <c r="AE99" i="18"/>
  <c r="AG214" i="18" a="1"/>
  <c r="AG214" i="18" s="1"/>
  <c r="AH214" i="18" s="1" a="1"/>
  <c r="AH214" i="18" s="1"/>
  <c r="AC249" i="18" a="1"/>
  <c r="AC249" i="18" s="1"/>
  <c r="AK249" i="18" s="1"/>
  <c r="AG249" i="18" a="1"/>
  <c r="AG249" i="18" s="1"/>
  <c r="AH249" i="18" s="1" a="1"/>
  <c r="AH249" i="18" s="1"/>
  <c r="R233" i="18"/>
  <c r="Z167" i="18"/>
  <c r="R259" i="18"/>
  <c r="R64" i="18"/>
  <c r="R160" i="18"/>
  <c r="R120" i="18"/>
  <c r="Z292" i="18"/>
  <c r="R101" i="18"/>
  <c r="R131" i="18"/>
  <c r="Z225" i="18"/>
  <c r="R236" i="18"/>
  <c r="Z57" i="18"/>
  <c r="R112" i="18"/>
  <c r="Z173" i="18"/>
  <c r="R161" i="18"/>
  <c r="R57" i="18"/>
  <c r="Z197" i="18"/>
  <c r="Z153" i="18"/>
  <c r="Z284" i="18"/>
  <c r="Z161" i="18"/>
  <c r="R157" i="18"/>
  <c r="Z77" i="18"/>
  <c r="R300" i="18"/>
  <c r="Z187" i="18"/>
  <c r="R138" i="18"/>
  <c r="R247" i="18"/>
  <c r="Z194" i="18"/>
  <c r="R314" i="18"/>
  <c r="AC98" i="18" a="1"/>
  <c r="AC98" i="18" s="1"/>
  <c r="AK98" i="18" s="1"/>
  <c r="AG98" i="18" a="1"/>
  <c r="AG98" i="18" s="1"/>
  <c r="AH98" i="18" s="1" a="1"/>
  <c r="AH98" i="18" s="1"/>
  <c r="AI49" i="18" a="1"/>
  <c r="AI49" i="18" s="1"/>
  <c r="AJ49" i="18" s="1"/>
  <c r="AE49" i="18"/>
  <c r="AE78" i="18"/>
  <c r="AI78" i="18" a="1"/>
  <c r="AI78" i="18" s="1"/>
  <c r="AJ78" i="18" s="1"/>
  <c r="AC296" i="18" a="1"/>
  <c r="AC296" i="18" s="1"/>
  <c r="AK296" i="18" s="1"/>
  <c r="AG296" i="18" a="1"/>
  <c r="AG296" i="18" s="1"/>
  <c r="AH296" i="18" s="1" a="1"/>
  <c r="AH296" i="18" s="1"/>
  <c r="AC133" i="18" a="1"/>
  <c r="AC133" i="18" s="1"/>
  <c r="AK133" i="18" s="1"/>
  <c r="AG133" i="18" a="1"/>
  <c r="AG133" i="18" s="1"/>
  <c r="AH133" i="18" s="1" a="1"/>
  <c r="AH133" i="18" s="1"/>
  <c r="AE189" i="18"/>
  <c r="AC222" i="18" a="1"/>
  <c r="AC222" i="18" s="1"/>
  <c r="AK222" i="18" s="1"/>
  <c r="AG222" i="18" a="1"/>
  <c r="AG222" i="18" s="1"/>
  <c r="AH222" i="18" s="1" a="1"/>
  <c r="AH222" i="18" s="1"/>
  <c r="AC108" i="18" a="1"/>
  <c r="AC108" i="18" s="1"/>
  <c r="AK108" i="18" s="1"/>
  <c r="AG108" i="18" a="1"/>
  <c r="AG108" i="18" s="1"/>
  <c r="AH108" i="18" s="1" a="1"/>
  <c r="AH108" i="18" s="1"/>
  <c r="AC137" i="18" a="1"/>
  <c r="AC137" i="18" s="1"/>
  <c r="AK137" i="18" s="1"/>
  <c r="AG137" i="18" a="1"/>
  <c r="AG137" i="18" s="1"/>
  <c r="AH137" i="18" s="1" a="1"/>
  <c r="AH137" i="18" s="1"/>
  <c r="AI62" i="18" a="1"/>
  <c r="AI62" i="18" s="1"/>
  <c r="AJ62" i="18" s="1"/>
  <c r="AE62" i="18"/>
  <c r="AC278" i="18" a="1"/>
  <c r="AC278" i="18" s="1"/>
  <c r="AK278" i="18" s="1"/>
  <c r="AG278" i="18" a="1"/>
  <c r="AG278" i="18" s="1"/>
  <c r="AH278" i="18" s="1" a="1"/>
  <c r="AH278" i="18" s="1"/>
  <c r="AC231" i="18" a="1"/>
  <c r="AC231" i="18" s="1"/>
  <c r="AK231" i="18" s="1"/>
  <c r="AG231" i="18" a="1"/>
  <c r="AG231" i="18" s="1"/>
  <c r="AH231" i="18" s="1" a="1"/>
  <c r="AH231" i="18" s="1"/>
  <c r="AC284" i="18" a="1"/>
  <c r="AC284" i="18" s="1"/>
  <c r="AK284" i="18" s="1"/>
  <c r="AG284" i="18" a="1"/>
  <c r="AG284" i="18" s="1"/>
  <c r="AH284" i="18" s="1" a="1"/>
  <c r="AH284" i="18" s="1"/>
  <c r="R169" i="18"/>
  <c r="R152" i="18"/>
  <c r="R134" i="18"/>
  <c r="Z297" i="18"/>
  <c r="Z50" i="18"/>
  <c r="R71" i="18"/>
  <c r="Z309" i="18"/>
  <c r="R67" i="18"/>
  <c r="R269" i="18"/>
  <c r="R59" i="18"/>
  <c r="Z82" i="18"/>
  <c r="R310" i="18"/>
  <c r="R113" i="18"/>
  <c r="R45" i="18"/>
  <c r="R82" i="18"/>
  <c r="R65" i="18"/>
  <c r="Z70" i="18"/>
  <c r="AC72" i="18" a="1"/>
  <c r="AC72" i="18" s="1"/>
  <c r="AK72" i="18" s="1"/>
  <c r="AG72" i="18" a="1"/>
  <c r="AG72" i="18" s="1"/>
  <c r="AH72" i="18" s="1" a="1"/>
  <c r="AH72" i="18" s="1"/>
  <c r="AE317" i="18"/>
  <c r="AC202" i="18" a="1"/>
  <c r="AC202" i="18" s="1"/>
  <c r="AK202" i="18" s="1"/>
  <c r="AG202" i="18" a="1"/>
  <c r="AG202" i="18" s="1"/>
  <c r="AH202" i="18" s="1" a="1"/>
  <c r="AH202" i="18" s="1"/>
  <c r="AC195" i="18" a="1"/>
  <c r="AC195" i="18" s="1"/>
  <c r="AK195" i="18" s="1"/>
  <c r="AG195" i="18" a="1"/>
  <c r="AG195" i="18" s="1"/>
  <c r="AH195" i="18" s="1" a="1"/>
  <c r="AH195" i="18" s="1"/>
  <c r="AC156" i="18" a="1"/>
  <c r="AC156" i="18" s="1"/>
  <c r="AK156" i="18" s="1"/>
  <c r="AG156" i="18" a="1"/>
  <c r="AG156" i="18" s="1"/>
  <c r="AH156" i="18" s="1" a="1"/>
  <c r="AH156" i="18" s="1"/>
  <c r="AG115" i="18" a="1"/>
  <c r="AG115" i="18" s="1"/>
  <c r="AH115" i="18" s="1" a="1"/>
  <c r="AH115" i="18" s="1"/>
  <c r="AI203" i="18" a="1"/>
  <c r="AI203" i="18" s="1"/>
  <c r="AJ203" i="18" s="1"/>
  <c r="AE203" i="18"/>
  <c r="AC291" i="18" a="1"/>
  <c r="AC291" i="18" s="1"/>
  <c r="AK291" i="18" s="1"/>
  <c r="AG291" i="18" a="1"/>
  <c r="AG291" i="18" s="1"/>
  <c r="AH291" i="18" s="1" a="1"/>
  <c r="AH291" i="18" s="1"/>
  <c r="AC177" i="18" a="1"/>
  <c r="AC177" i="18" s="1"/>
  <c r="AK177" i="18" s="1"/>
  <c r="AG177" i="18" a="1"/>
  <c r="AG177" i="18" s="1"/>
  <c r="AH177" i="18" s="1" a="1"/>
  <c r="AH177" i="18" s="1"/>
  <c r="AC230" i="18" a="1"/>
  <c r="AC230" i="18" s="1"/>
  <c r="AK230" i="18" s="1"/>
  <c r="AG230" i="18" a="1"/>
  <c r="AG230" i="18" s="1"/>
  <c r="AH230" i="18" s="1" a="1"/>
  <c r="AH230" i="18" s="1"/>
  <c r="AG266" i="18" a="1"/>
  <c r="AG266" i="18" s="1"/>
  <c r="AH266" i="18" s="1" a="1"/>
  <c r="AH266" i="18" s="1"/>
  <c r="AE175" i="18"/>
  <c r="AI175" i="18" a="1"/>
  <c r="AI175" i="18" s="1"/>
  <c r="AJ175" i="18" s="1"/>
  <c r="AI66" i="18" a="1"/>
  <c r="AI66" i="18" s="1"/>
  <c r="AJ66" i="18" s="1"/>
  <c r="AE66" i="18"/>
  <c r="AC193" i="18" a="1"/>
  <c r="AC193" i="18" s="1"/>
  <c r="AK193" i="18" s="1"/>
  <c r="AG193" i="18" a="1"/>
  <c r="AG193" i="18" s="1"/>
  <c r="AH193" i="18" s="1" a="1"/>
  <c r="AH193" i="18" s="1"/>
  <c r="AC318" i="18" a="1"/>
  <c r="AC318" i="18" s="1"/>
  <c r="AK318" i="18" s="1"/>
  <c r="AG292" i="18" a="1"/>
  <c r="AG292" i="18" s="1"/>
  <c r="AH292" i="18" s="1" a="1"/>
  <c r="AH292" i="18" s="1"/>
  <c r="AI165" i="18" a="1"/>
  <c r="AI165" i="18" s="1"/>
  <c r="AJ165" i="18" s="1"/>
  <c r="AE165" i="18"/>
  <c r="AI85" i="18" a="1"/>
  <c r="AI85" i="18" s="1"/>
  <c r="AJ85" i="18" s="1"/>
  <c r="Z39" i="18"/>
  <c r="Z302" i="18"/>
  <c r="Z72" i="18"/>
  <c r="Z240" i="18"/>
  <c r="Z226" i="18"/>
  <c r="R205" i="18"/>
  <c r="Z222" i="18"/>
  <c r="Z168" i="18"/>
  <c r="Z104" i="18"/>
  <c r="Z92" i="18"/>
  <c r="Z132" i="18"/>
  <c r="R272" i="18"/>
  <c r="Z180" i="18"/>
  <c r="R264" i="18"/>
  <c r="Z47" i="18"/>
  <c r="Z231" i="18"/>
  <c r="R289" i="18"/>
  <c r="Z141" i="18"/>
  <c r="Z146" i="18"/>
  <c r="R301" i="18"/>
  <c r="R297" i="18"/>
  <c r="Z290" i="18"/>
  <c r="Z178" i="18"/>
  <c r="Z192" i="18"/>
  <c r="R159" i="18"/>
  <c r="Z134" i="18"/>
  <c r="Z151" i="18"/>
  <c r="AC197" i="18" a="1"/>
  <c r="AC197" i="18" s="1"/>
  <c r="AK197" i="18" s="1"/>
  <c r="AG197" i="18" a="1"/>
  <c r="AG197" i="18" s="1"/>
  <c r="AH197" i="18" s="1" a="1"/>
  <c r="AH197" i="18" s="1"/>
  <c r="AC226" i="18" a="1"/>
  <c r="AC226" i="18" s="1"/>
  <c r="AK226" i="18" s="1"/>
  <c r="AG226" i="18" a="1"/>
  <c r="AG226" i="18" s="1"/>
  <c r="AH226" i="18" s="1" a="1"/>
  <c r="AH226" i="18" s="1"/>
  <c r="AC114" i="18" a="1"/>
  <c r="AC114" i="18" s="1"/>
  <c r="AK114" i="18" s="1"/>
  <c r="AG114" i="18" a="1"/>
  <c r="AG114" i="18" s="1"/>
  <c r="AH114" i="18" s="1" a="1"/>
  <c r="AH114" i="18" s="1"/>
  <c r="AE195" i="18"/>
  <c r="AI195" i="18" a="1"/>
  <c r="AI195" i="18" s="1"/>
  <c r="AJ195" i="18" s="1"/>
  <c r="AC42" i="18" a="1"/>
  <c r="AC42" i="18" s="1"/>
  <c r="AK42" i="18" s="1"/>
  <c r="AG42" i="18" a="1"/>
  <c r="AG42" i="18" s="1"/>
  <c r="AH42" i="18" s="1" a="1"/>
  <c r="AH42" i="18" s="1"/>
  <c r="AG76" i="18" a="1"/>
  <c r="AG76" i="18" s="1"/>
  <c r="AH76" i="18" s="1" a="1"/>
  <c r="AH76" i="18" s="1"/>
  <c r="AC227" i="18" a="1"/>
  <c r="AC227" i="18" s="1"/>
  <c r="AK227" i="18" s="1"/>
  <c r="AG227" i="18" a="1"/>
  <c r="AG227" i="18" s="1"/>
  <c r="AH227" i="18" s="1" a="1"/>
  <c r="AH227" i="18" s="1"/>
  <c r="AC154" i="18" a="1"/>
  <c r="AC154" i="18" s="1"/>
  <c r="AK154" i="18" s="1"/>
  <c r="AG154" i="18" a="1"/>
  <c r="AG154" i="18" s="1"/>
  <c r="AH154" i="18" s="1" a="1"/>
  <c r="AH154" i="18" s="1"/>
  <c r="AI316" i="18" a="1"/>
  <c r="AI316" i="18" s="1"/>
  <c r="AJ316" i="18" s="1"/>
  <c r="AE316" i="18"/>
  <c r="AI260" i="18" a="1"/>
  <c r="AI260" i="18" s="1"/>
  <c r="AJ260" i="18" s="1"/>
  <c r="AE260" i="18"/>
  <c r="AI183" i="18" a="1"/>
  <c r="AI183" i="18" s="1"/>
  <c r="AJ183" i="18" s="1"/>
  <c r="AE183" i="18"/>
  <c r="AI48" i="18" a="1"/>
  <c r="AI48" i="18" s="1"/>
  <c r="AJ48" i="18" s="1"/>
  <c r="AE48" i="18"/>
  <c r="AI299" i="18" a="1"/>
  <c r="AI299" i="18" s="1"/>
  <c r="AJ299" i="18" s="1"/>
  <c r="AE299" i="18"/>
  <c r="Z69" i="16"/>
  <c r="AE69" i="16" s="1" a="1"/>
  <c r="AE69" i="16" s="1"/>
  <c r="AM69" i="16" s="1" a="1"/>
  <c r="AM69" i="16" s="1"/>
  <c r="Z31" i="16"/>
  <c r="Z22" i="16"/>
  <c r="AE22" i="16" s="1" a="1"/>
  <c r="AE22" i="16" s="1"/>
  <c r="AM22" i="16" s="1" a="1"/>
  <c r="AM22" i="16" s="1"/>
  <c r="Z7" i="16"/>
  <c r="AE7" i="16" s="1" a="1"/>
  <c r="AE7" i="16" s="1"/>
  <c r="AM7" i="16" s="1" a="1"/>
  <c r="AM7" i="16" s="1"/>
  <c r="Z113" i="16"/>
  <c r="AI113" i="16" s="1" a="1"/>
  <c r="AI113" i="16" s="1"/>
  <c r="AJ113" i="16" s="1" a="1"/>
  <c r="AJ113" i="16" s="1"/>
  <c r="Z72" i="16"/>
  <c r="AE72" i="16" s="1" a="1"/>
  <c r="AE72" i="16" s="1"/>
  <c r="AM72" i="16" s="1" a="1"/>
  <c r="AM72" i="16" s="1"/>
  <c r="R174" i="16"/>
  <c r="AC174" i="16" s="1" a="1"/>
  <c r="AC174" i="16" s="1"/>
  <c r="AD174" i="16" s="1" a="1"/>
  <c r="AD174" i="16" s="1"/>
  <c r="Z290" i="16"/>
  <c r="AE290" i="16" s="1" a="1"/>
  <c r="AE290" i="16" s="1"/>
  <c r="AM290" i="16" s="1" a="1"/>
  <c r="AM290" i="16" s="1"/>
  <c r="Z85" i="16"/>
  <c r="AE85" i="16" s="1" a="1"/>
  <c r="AE85" i="16" s="1"/>
  <c r="AM85" i="16" s="1" a="1"/>
  <c r="AM85" i="16" s="1"/>
  <c r="R77" i="16"/>
  <c r="R173" i="16"/>
  <c r="R190" i="16"/>
  <c r="R185" i="16"/>
  <c r="AC185" i="16" s="1" a="1"/>
  <c r="AC185" i="16" s="1"/>
  <c r="AD185" i="16" s="1" a="1"/>
  <c r="AD185" i="16" s="1"/>
  <c r="Z131" i="16"/>
  <c r="AE131" i="16" s="1" a="1"/>
  <c r="AE131" i="16" s="1"/>
  <c r="AM131" i="16" s="1" a="1"/>
  <c r="AM131" i="16" s="1"/>
  <c r="R270" i="16"/>
  <c r="AC270" i="16" s="1" a="1"/>
  <c r="AC270" i="16" s="1"/>
  <c r="AD270" i="16" s="1" a="1"/>
  <c r="AD270" i="16" s="1"/>
  <c r="Z271" i="16"/>
  <c r="Z160" i="16"/>
  <c r="R46" i="16"/>
  <c r="R47" i="16"/>
  <c r="AC47" i="16" s="1" a="1"/>
  <c r="AC47" i="16" s="1"/>
  <c r="AD47" i="16" s="1" a="1"/>
  <c r="AD47" i="16" s="1"/>
  <c r="Z134" i="16"/>
  <c r="AI134" i="16" s="1" a="1"/>
  <c r="AI134" i="16" s="1"/>
  <c r="AJ134" i="16" s="1" a="1"/>
  <c r="AJ134" i="16" s="1"/>
  <c r="Z280" i="16"/>
  <c r="AE280" i="16" s="1" a="1"/>
  <c r="AE280" i="16" s="1"/>
  <c r="AM280" i="16" s="1" a="1"/>
  <c r="AM280" i="16" s="1"/>
  <c r="Z157" i="16"/>
  <c r="AE157" i="16" s="1" a="1"/>
  <c r="AE157" i="16" s="1"/>
  <c r="AM157" i="16" s="1" a="1"/>
  <c r="AM157" i="16" s="1"/>
  <c r="Z121" i="16"/>
  <c r="AE121" i="16" s="1" a="1"/>
  <c r="AE121" i="16" s="1"/>
  <c r="AM121" i="16" s="1" a="1"/>
  <c r="AM121" i="16" s="1"/>
  <c r="R69" i="16"/>
  <c r="AC69" i="16" s="1" a="1"/>
  <c r="AC69" i="16" s="1"/>
  <c r="AD69" i="16" s="1" a="1"/>
  <c r="AD69" i="16" s="1"/>
  <c r="R224" i="16"/>
  <c r="AC224" i="16" s="1" a="1"/>
  <c r="AC224" i="16" s="1"/>
  <c r="AD224" i="16" s="1" a="1"/>
  <c r="AD224" i="16" s="1"/>
  <c r="R37" i="16"/>
  <c r="Z145" i="16"/>
  <c r="AI145" i="16" s="1" a="1"/>
  <c r="AI145" i="16" s="1"/>
  <c r="AJ145" i="16" s="1" a="1"/>
  <c r="AJ145" i="16" s="1"/>
  <c r="Z126" i="16"/>
  <c r="Z286" i="16"/>
  <c r="AI286" i="16" s="1" a="1"/>
  <c r="AI286" i="16" s="1"/>
  <c r="AJ286" i="16" s="1" a="1"/>
  <c r="AJ286" i="16" s="1"/>
  <c r="Z48" i="16"/>
  <c r="AI48" i="16" s="1" a="1"/>
  <c r="AI48" i="16" s="1"/>
  <c r="AJ48" i="16" s="1" a="1"/>
  <c r="AJ48" i="16" s="1"/>
  <c r="Z287" i="16"/>
  <c r="AE287" i="16" s="1" a="1"/>
  <c r="AE287" i="16" s="1"/>
  <c r="AM287" i="16" s="1" a="1"/>
  <c r="AM287" i="16" s="1"/>
  <c r="Z323" i="16"/>
  <c r="Z59" i="16"/>
  <c r="AI59" i="16" s="1" a="1"/>
  <c r="AI59" i="16" s="1"/>
  <c r="AJ59" i="16" s="1" a="1"/>
  <c r="AJ59" i="16" s="1"/>
  <c r="Z39" i="16"/>
  <c r="R161" i="16"/>
  <c r="R275" i="16"/>
  <c r="AC275" i="16" s="1" a="1"/>
  <c r="AC275" i="16" s="1"/>
  <c r="AD275" i="16" s="1" a="1"/>
  <c r="AD275" i="16" s="1"/>
  <c r="Z101" i="16"/>
  <c r="AI101" i="16" s="1" a="1"/>
  <c r="AI101" i="16" s="1"/>
  <c r="AJ101" i="16" s="1" a="1"/>
  <c r="AJ101" i="16" s="1"/>
  <c r="Z164" i="16"/>
  <c r="AE164" i="16" s="1" a="1"/>
  <c r="AE164" i="16" s="1"/>
  <c r="AM164" i="16" s="1" a="1"/>
  <c r="AM164" i="16" s="1"/>
  <c r="Z68" i="16"/>
  <c r="AE68" i="16" s="1" a="1"/>
  <c r="AE68" i="16" s="1"/>
  <c r="AM68" i="16" s="1" a="1"/>
  <c r="AM68" i="16" s="1"/>
  <c r="Z253" i="16"/>
  <c r="AI253" i="16" s="1" a="1"/>
  <c r="AI253" i="16" s="1"/>
  <c r="AJ253" i="16" s="1" a="1"/>
  <c r="AJ253" i="16" s="1"/>
  <c r="Z312" i="18"/>
  <c r="Z94" i="16"/>
  <c r="R32" i="16"/>
  <c r="R56" i="16"/>
  <c r="R57" i="16"/>
  <c r="AC57" i="16" s="1" a="1"/>
  <c r="AC57" i="16" s="1"/>
  <c r="AD57" i="16" s="1" a="1"/>
  <c r="AD57" i="16" s="1"/>
  <c r="Z38" i="16"/>
  <c r="AI38" i="16" s="1" a="1"/>
  <c r="AI38" i="16" s="1"/>
  <c r="AJ38" i="16" s="1" a="1"/>
  <c r="AJ38" i="16" s="1"/>
  <c r="Z321" i="16"/>
  <c r="AI321" i="16" s="1" a="1"/>
  <c r="AI321" i="16" s="1"/>
  <c r="AJ321" i="16" s="1" a="1"/>
  <c r="AJ321" i="16" s="1"/>
  <c r="R209" i="16"/>
  <c r="R290" i="16"/>
  <c r="AC290" i="16" s="1" a="1"/>
  <c r="AC290" i="16" s="1"/>
  <c r="AD290" i="16" s="1" a="1"/>
  <c r="AD290" i="16" s="1"/>
  <c r="Z46" i="16"/>
  <c r="Z47" i="16"/>
  <c r="AE47" i="16" s="1" a="1"/>
  <c r="AE47" i="16" s="1"/>
  <c r="AM47" i="16" s="1" a="1"/>
  <c r="AM47" i="16" s="1"/>
  <c r="Z142" i="16"/>
  <c r="AI142" i="16" s="1" a="1"/>
  <c r="AI142" i="16" s="1"/>
  <c r="AJ142" i="16" s="1" a="1"/>
  <c r="AJ142" i="16" s="1"/>
  <c r="R184" i="16"/>
  <c r="AC184" i="16" s="1" a="1"/>
  <c r="AC184" i="16" s="1"/>
  <c r="AD184" i="16" s="1" a="1"/>
  <c r="AD184" i="16" s="1"/>
  <c r="Z138" i="16"/>
  <c r="AE138" i="16" s="1" a="1"/>
  <c r="AE138" i="16" s="1"/>
  <c r="AM138" i="16" s="1" a="1"/>
  <c r="AM138" i="16" s="1"/>
  <c r="R155" i="16"/>
  <c r="AC155" i="16" s="1" a="1"/>
  <c r="AC155" i="16" s="1"/>
  <c r="AD155" i="16" s="1" a="1"/>
  <c r="AD155" i="16" s="1"/>
  <c r="Z324" i="16"/>
  <c r="AI324" i="16" s="1" a="1"/>
  <c r="AI324" i="16" s="1"/>
  <c r="AJ324" i="16" s="1" a="1"/>
  <c r="AJ324" i="16" s="1"/>
  <c r="R220" i="16"/>
  <c r="AC220" i="16" s="1" a="1"/>
  <c r="AC220" i="16" s="1"/>
  <c r="AD220" i="16" s="1" a="1"/>
  <c r="AD220" i="16" s="1"/>
  <c r="Z278" i="16"/>
  <c r="Z259" i="16"/>
  <c r="AE259" i="16" s="1" a="1"/>
  <c r="AE259" i="16" s="1"/>
  <c r="AM259" i="16" s="1" a="1"/>
  <c r="AM259" i="16" s="1"/>
  <c r="Z133" i="16"/>
  <c r="Z265" i="16"/>
  <c r="AE265" i="16" s="1" a="1"/>
  <c r="AE265" i="16" s="1"/>
  <c r="AM265" i="16" s="1" a="1"/>
  <c r="AM265" i="16" s="1"/>
  <c r="Z152" i="16"/>
  <c r="AI152" i="16" s="1" a="1"/>
  <c r="AI152" i="16" s="1"/>
  <c r="AJ152" i="16" s="1" a="1"/>
  <c r="AJ152" i="16" s="1"/>
  <c r="Z123" i="16"/>
  <c r="AE123" i="16" s="1" a="1"/>
  <c r="AE123" i="16" s="1"/>
  <c r="AM123" i="16" s="1" a="1"/>
  <c r="AM123" i="16" s="1"/>
  <c r="Z298" i="16"/>
  <c r="Z299" i="16"/>
  <c r="AI299" i="16" s="1" a="1"/>
  <c r="AI299" i="16" s="1"/>
  <c r="AJ299" i="16" s="1" a="1"/>
  <c r="AJ299" i="16" s="1"/>
  <c r="R229" i="16"/>
  <c r="R65" i="16"/>
  <c r="AC65" i="16" s="1" a="1"/>
  <c r="AC65" i="16" s="1"/>
  <c r="AD65" i="16" s="1" a="1"/>
  <c r="AD65" i="16" s="1"/>
  <c r="R292" i="16"/>
  <c r="AC292" i="16" s="1" a="1"/>
  <c r="AC292" i="16" s="1"/>
  <c r="AD292" i="16" s="1" a="1"/>
  <c r="AD292" i="16" s="1"/>
  <c r="Z235" i="16"/>
  <c r="AE235" i="16" s="1" a="1"/>
  <c r="AE235" i="16" s="1"/>
  <c r="AM235" i="16" s="1" a="1"/>
  <c r="AM235" i="16" s="1"/>
  <c r="R128" i="16"/>
  <c r="AC128" i="16" s="1" a="1"/>
  <c r="AC128" i="16" s="1"/>
  <c r="AD128" i="16" s="1" a="1"/>
  <c r="AD128" i="16" s="1"/>
  <c r="R252" i="16"/>
  <c r="AC252" i="16" s="1" a="1"/>
  <c r="AC252" i="16" s="1"/>
  <c r="AD252" i="16" s="1" a="1"/>
  <c r="AD252" i="16" s="1"/>
  <c r="R145" i="16"/>
  <c r="AC145" i="16" s="1" a="1"/>
  <c r="AC145" i="16" s="1"/>
  <c r="AD145" i="16" s="1" a="1"/>
  <c r="AD145" i="16" s="1"/>
  <c r="R286" i="16"/>
  <c r="AC286" i="16" s="1" a="1"/>
  <c r="AC286" i="16" s="1"/>
  <c r="AD286" i="16" s="1" a="1"/>
  <c r="AD286" i="16" s="1"/>
  <c r="Z58" i="16"/>
  <c r="Z258" i="16"/>
  <c r="AI258" i="16" s="1" a="1"/>
  <c r="AI258" i="16" s="1"/>
  <c r="AJ258" i="16" s="1" a="1"/>
  <c r="AJ258" i="16" s="1"/>
  <c r="R51" i="16"/>
  <c r="R43" i="16"/>
  <c r="AC43" i="16" s="1" a="1"/>
  <c r="AC43" i="16" s="1"/>
  <c r="AD43" i="16" s="1" a="1"/>
  <c r="AD43" i="16" s="1"/>
  <c r="Z156" i="16"/>
  <c r="AI156" i="16" s="1" a="1"/>
  <c r="AI156" i="16" s="1"/>
  <c r="AJ156" i="16" s="1" a="1"/>
  <c r="AJ156" i="16" s="1"/>
  <c r="Z241" i="16"/>
  <c r="AI241" i="16" s="1" a="1"/>
  <c r="AI241" i="16" s="1"/>
  <c r="AJ241" i="16" s="1" a="1"/>
  <c r="AJ241" i="16" s="1"/>
  <c r="Z91" i="16"/>
  <c r="R117" i="16"/>
  <c r="AC117" i="16" s="1" a="1"/>
  <c r="AC117" i="16" s="1"/>
  <c r="R71" i="16"/>
  <c r="R294" i="16"/>
  <c r="AC294" i="16" s="1" a="1"/>
  <c r="AC294" i="16" s="1"/>
  <c r="AD294" i="16" s="1" a="1"/>
  <c r="AD294" i="16" s="1"/>
  <c r="Z269" i="16"/>
  <c r="AI269" i="16" s="1" a="1"/>
  <c r="AI269" i="16" s="1"/>
  <c r="AJ269" i="16" s="1" a="1"/>
  <c r="AJ269" i="16" s="1"/>
  <c r="Z93" i="16"/>
  <c r="AI93" i="16" s="1" a="1"/>
  <c r="AI93" i="16" s="1"/>
  <c r="AJ93" i="16" s="1" a="1"/>
  <c r="AJ93" i="16" s="1"/>
  <c r="Z60" i="16"/>
  <c r="AE60" i="16" s="1" a="1"/>
  <c r="AE60" i="16" s="1"/>
  <c r="AM60" i="16" s="1" a="1"/>
  <c r="AM60" i="16" s="1"/>
  <c r="Z239" i="16"/>
  <c r="AI239" i="16" s="1" a="1"/>
  <c r="AI239" i="16" s="1"/>
  <c r="AJ239" i="16" s="1" a="1"/>
  <c r="AJ239" i="16" s="1"/>
  <c r="R188" i="16"/>
  <c r="AC188" i="16" s="1" a="1"/>
  <c r="AC188" i="16" s="1"/>
  <c r="AD188" i="16" s="1" a="1"/>
  <c r="AD188" i="16" s="1"/>
  <c r="Z140" i="18"/>
  <c r="Z186" i="18"/>
  <c r="Z128" i="18"/>
  <c r="Z232" i="18"/>
  <c r="R29" i="16"/>
  <c r="Z30" i="16"/>
  <c r="AI30" i="16" s="1" a="1"/>
  <c r="AI30" i="16" s="1"/>
  <c r="AJ30" i="16" s="1" a="1"/>
  <c r="AJ30" i="16" s="1"/>
  <c r="Z314" i="16"/>
  <c r="AI314" i="16" s="1" a="1"/>
  <c r="AI314" i="16" s="1"/>
  <c r="AJ314" i="16" s="1" a="1"/>
  <c r="AJ314" i="16" s="1"/>
  <c r="R315" i="16"/>
  <c r="Z52" i="16"/>
  <c r="AI52" i="16" s="1" a="1"/>
  <c r="AI52" i="16" s="1"/>
  <c r="AJ52" i="16" s="1" a="1"/>
  <c r="AJ52" i="16" s="1"/>
  <c r="Z237" i="16"/>
  <c r="Z274" i="16"/>
  <c r="AE274" i="16" s="1" a="1"/>
  <c r="AE274" i="16" s="1"/>
  <c r="AM274" i="16" s="1" a="1"/>
  <c r="AM274" i="16" s="1"/>
  <c r="R164" i="16"/>
  <c r="AC164" i="16" s="1" a="1"/>
  <c r="AC164" i="16" s="1"/>
  <c r="R288" i="16"/>
  <c r="AC288" i="16" s="1" a="1"/>
  <c r="AC288" i="16" s="1"/>
  <c r="AD288" i="16" s="1" a="1"/>
  <c r="AD288" i="16" s="1"/>
  <c r="Z143" i="16"/>
  <c r="AE143" i="16" s="1" a="1"/>
  <c r="AE143" i="16" s="1"/>
  <c r="AM143" i="16" s="1" a="1"/>
  <c r="AM143" i="16" s="1"/>
  <c r="Z144" i="16"/>
  <c r="AE144" i="16" s="1" a="1"/>
  <c r="AE144" i="16" s="1"/>
  <c r="AM144" i="16" s="1" a="1"/>
  <c r="AM144" i="16" s="1"/>
  <c r="R228" i="16"/>
  <c r="AC228" i="16" s="1" a="1"/>
  <c r="AC228" i="16" s="1"/>
  <c r="AD228" i="16" s="1" a="1"/>
  <c r="AD228" i="16" s="1"/>
  <c r="Z127" i="16"/>
  <c r="AI127" i="16" s="1" a="1"/>
  <c r="AI127" i="16" s="1"/>
  <c r="AJ127" i="16" s="1" a="1"/>
  <c r="AJ127" i="16" s="1"/>
  <c r="Z264" i="16"/>
  <c r="Z159" i="16"/>
  <c r="AI159" i="16" s="1" a="1"/>
  <c r="AI159" i="16" s="1"/>
  <c r="AJ159" i="16" s="1" a="1"/>
  <c r="AJ159" i="16" s="1"/>
  <c r="R125" i="16"/>
  <c r="R133" i="16"/>
  <c r="AC133" i="16" s="1" a="1"/>
  <c r="AC133" i="16" s="1"/>
  <c r="AD133" i="16" s="1" a="1"/>
  <c r="AD133" i="16" s="1"/>
  <c r="R265" i="16"/>
  <c r="AC265" i="16" s="1" a="1"/>
  <c r="AC265" i="16" s="1"/>
  <c r="AD265" i="16" s="1" a="1"/>
  <c r="AD265" i="16" s="1"/>
  <c r="R200" i="16"/>
  <c r="AC200" i="16" s="1" a="1"/>
  <c r="AC200" i="16" s="1"/>
  <c r="AD200" i="16" s="1" a="1"/>
  <c r="AD200" i="16" s="1"/>
  <c r="R123" i="16"/>
  <c r="Z255" i="16"/>
  <c r="AE255" i="16" s="1" a="1"/>
  <c r="AE255" i="16" s="1"/>
  <c r="AM255" i="16" s="1" a="1"/>
  <c r="AM255" i="16" s="1"/>
  <c r="Z130" i="16"/>
  <c r="Z74" i="16"/>
  <c r="AE74" i="16" s="1" a="1"/>
  <c r="AE74" i="16" s="1"/>
  <c r="AM74" i="16" s="1" a="1"/>
  <c r="AM74" i="16" s="1"/>
  <c r="Z254" i="16"/>
  <c r="AI254" i="16" s="1" a="1"/>
  <c r="AI254" i="16" s="1"/>
  <c r="AJ254" i="16" s="1" a="1"/>
  <c r="AJ254" i="16" s="1"/>
  <c r="Z234" i="16"/>
  <c r="AE234" i="16" s="1" a="1"/>
  <c r="AE234" i="16" s="1"/>
  <c r="AM234" i="16" s="1" a="1"/>
  <c r="AM234" i="16" s="1"/>
  <c r="Z319" i="16"/>
  <c r="AE319" i="16" s="1" a="1"/>
  <c r="AE319" i="16" s="1"/>
  <c r="AM319" i="16" s="1" a="1"/>
  <c r="AM319" i="16" s="1"/>
  <c r="R153" i="16"/>
  <c r="AC153" i="16" s="1" a="1"/>
  <c r="AC153" i="16" s="1"/>
  <c r="AD153" i="16" s="1" a="1"/>
  <c r="AD153" i="16" s="1"/>
  <c r="R204" i="16"/>
  <c r="AC204" i="16" s="1" a="1"/>
  <c r="AC204" i="16" s="1"/>
  <c r="AD204" i="16" s="1" a="1"/>
  <c r="AD204" i="16" s="1"/>
  <c r="Z316" i="16"/>
  <c r="AI316" i="16" s="1" a="1"/>
  <c r="AI316" i="16" s="1"/>
  <c r="AJ316" i="16" s="1" a="1"/>
  <c r="AJ316" i="16" s="1"/>
  <c r="Z86" i="16"/>
  <c r="R205" i="16"/>
  <c r="AC205" i="16" s="1" a="1"/>
  <c r="AC205" i="16" s="1"/>
  <c r="AD205" i="16" s="1" a="1"/>
  <c r="AD205" i="16" s="1"/>
  <c r="R323" i="16"/>
  <c r="Z120" i="16"/>
  <c r="AE120" i="16" s="1" a="1"/>
  <c r="AE120" i="16" s="1"/>
  <c r="AM120" i="16" s="1" a="1"/>
  <c r="AM120" i="16" s="1"/>
  <c r="R59" i="16"/>
  <c r="AC59" i="16" s="1" a="1"/>
  <c r="AC59" i="16" s="1"/>
  <c r="AD59" i="16" s="1" a="1"/>
  <c r="AD59" i="16" s="1"/>
  <c r="Z97" i="16"/>
  <c r="AI97" i="16" s="1" a="1"/>
  <c r="AI97" i="16" s="1"/>
  <c r="AJ97" i="16" s="1" a="1"/>
  <c r="AJ97" i="16" s="1"/>
  <c r="R303" i="16"/>
  <c r="Z297" i="16"/>
  <c r="AI297" i="16" s="1" a="1"/>
  <c r="AI297" i="16" s="1"/>
  <c r="AJ297" i="16" s="1" a="1"/>
  <c r="AJ297" i="16" s="1"/>
  <c r="R202" i="16"/>
  <c r="R225" i="16"/>
  <c r="AC225" i="16" s="1" a="1"/>
  <c r="AC225" i="16" s="1"/>
  <c r="AD225" i="16" s="1" a="1"/>
  <c r="AD225" i="16" s="1"/>
  <c r="Z311" i="16"/>
  <c r="AI311" i="16" s="1" a="1"/>
  <c r="AI311" i="16" s="1"/>
  <c r="AJ311" i="16" s="1" a="1"/>
  <c r="AJ311" i="16" s="1"/>
  <c r="R197" i="16"/>
  <c r="AC197" i="16" s="1" a="1"/>
  <c r="AC197" i="16" s="1"/>
  <c r="AD197" i="16" s="1" a="1"/>
  <c r="AD197" i="16" s="1"/>
  <c r="Z325" i="16"/>
  <c r="AI325" i="16" s="1" a="1"/>
  <c r="AI325" i="16" s="1"/>
  <c r="AJ325" i="16" s="1" a="1"/>
  <c r="AJ325" i="16" s="1"/>
  <c r="Z242" i="16"/>
  <c r="AI242" i="16" s="1" a="1"/>
  <c r="AI242" i="16" s="1"/>
  <c r="AJ242" i="16" s="1" a="1"/>
  <c r="AJ242" i="16" s="1"/>
  <c r="R171" i="16"/>
  <c r="AC171" i="16" s="1" a="1"/>
  <c r="AC171" i="16" s="1"/>
  <c r="AD171" i="16" s="1" a="1"/>
  <c r="AD171" i="16" s="1"/>
  <c r="R35" i="16"/>
  <c r="AC35" i="16" s="1" a="1"/>
  <c r="AC35" i="16" s="1"/>
  <c r="AD35" i="16" s="1" a="1"/>
  <c r="AD35" i="16" s="1"/>
  <c r="R178" i="16"/>
  <c r="R44" i="16"/>
  <c r="R307" i="16"/>
  <c r="R236" i="16"/>
  <c r="AC236" i="16" s="1" a="1"/>
  <c r="AC236" i="16" s="1"/>
  <c r="AD236" i="16" s="1" a="1"/>
  <c r="AD236" i="16" s="1"/>
  <c r="Z232" i="16"/>
  <c r="AI232" i="16" s="1" a="1"/>
  <c r="AI232" i="16" s="1"/>
  <c r="AJ232" i="16" s="1" a="1"/>
  <c r="AJ232" i="16" s="1"/>
  <c r="R173" i="18"/>
  <c r="R254" i="18"/>
  <c r="Z59" i="18"/>
  <c r="R142" i="18"/>
  <c r="R221" i="18"/>
  <c r="Z283" i="18"/>
  <c r="R148" i="18"/>
  <c r="Z44" i="18"/>
  <c r="R77" i="18"/>
  <c r="Z293" i="18"/>
  <c r="R186" i="18"/>
  <c r="Z307" i="18"/>
  <c r="R168" i="18"/>
  <c r="Z73" i="18"/>
  <c r="R258" i="18"/>
  <c r="R20" i="16"/>
  <c r="R10" i="16"/>
  <c r="R186" i="16"/>
  <c r="AC186" i="16" s="1" a="1"/>
  <c r="AC186" i="16" s="1"/>
  <c r="AD186" i="16" s="1" a="1"/>
  <c r="AD186" i="16" s="1"/>
  <c r="Z147" i="16"/>
  <c r="AI147" i="16" s="1" a="1"/>
  <c r="AI147" i="16" s="1"/>
  <c r="AJ147" i="16" s="1" a="1"/>
  <c r="AJ147" i="16" s="1"/>
  <c r="R207" i="16"/>
  <c r="R151" i="16"/>
  <c r="AC151" i="16" s="1" a="1"/>
  <c r="AC151" i="16" s="1"/>
  <c r="AD151" i="16" s="1" a="1"/>
  <c r="AD151" i="16" s="1"/>
  <c r="R246" i="16"/>
  <c r="AC246" i="16" s="1" a="1"/>
  <c r="AC246" i="16" s="1"/>
  <c r="AD246" i="16" s="1" a="1"/>
  <c r="AD246" i="16" s="1"/>
  <c r="Z247" i="16"/>
  <c r="AI247" i="16" s="1" a="1"/>
  <c r="AI247" i="16" s="1"/>
  <c r="AJ247" i="16" s="1" a="1"/>
  <c r="AJ247" i="16" s="1"/>
  <c r="R318" i="16"/>
  <c r="AC318" i="16" s="1" a="1"/>
  <c r="AC318" i="16" s="1"/>
  <c r="AD318" i="16" s="1" a="1"/>
  <c r="AD318" i="16" s="1"/>
  <c r="Z308" i="16"/>
  <c r="AI308" i="16" s="1" a="1"/>
  <c r="AI308" i="16" s="1"/>
  <c r="AJ308" i="16" s="1" a="1"/>
  <c r="AJ308" i="16" s="1"/>
  <c r="Z309" i="16"/>
  <c r="AE309" i="16" s="1" a="1"/>
  <c r="AE309" i="16" s="1"/>
  <c r="AM309" i="16" s="1" a="1"/>
  <c r="AM309" i="16" s="1"/>
  <c r="Z262" i="16"/>
  <c r="AE262" i="16" s="1" a="1"/>
  <c r="AE262" i="16" s="1"/>
  <c r="AM262" i="16" s="1" a="1"/>
  <c r="AM262" i="16" s="1"/>
  <c r="Z320" i="16"/>
  <c r="R53" i="16"/>
  <c r="AC53" i="16" s="1" a="1"/>
  <c r="AC53" i="16" s="1"/>
  <c r="AD53" i="16" s="1" a="1"/>
  <c r="AD53" i="16" s="1"/>
  <c r="Z248" i="16"/>
  <c r="AE248" i="16" s="1" a="1"/>
  <c r="AE248" i="16" s="1"/>
  <c r="AM248" i="16" s="1" a="1"/>
  <c r="AM248" i="16" s="1"/>
  <c r="R230" i="16"/>
  <c r="AC230" i="16" s="1" a="1"/>
  <c r="AC230" i="16" s="1"/>
  <c r="AD230" i="16" s="1" a="1"/>
  <c r="AD230" i="16" s="1"/>
  <c r="Z245" i="16"/>
  <c r="AE245" i="16" s="1" a="1"/>
  <c r="AE245" i="16" s="1"/>
  <c r="AM245" i="16" s="1" a="1"/>
  <c r="AM245" i="16" s="1"/>
  <c r="Z296" i="16"/>
  <c r="AI296" i="16" s="1" a="1"/>
  <c r="AI296" i="16" s="1"/>
  <c r="AJ296" i="16" s="1" a="1"/>
  <c r="AJ296" i="16" s="1"/>
  <c r="R193" i="16"/>
  <c r="AC193" i="16" s="1" a="1"/>
  <c r="AC193" i="16" s="1"/>
  <c r="AD193" i="16" s="1" a="1"/>
  <c r="AD193" i="16" s="1"/>
  <c r="Z111" i="16"/>
  <c r="AI111" i="16" s="1" a="1"/>
  <c r="AI111" i="16" s="1"/>
  <c r="AJ111" i="16" s="1" a="1"/>
  <c r="AJ111" i="16" s="1"/>
  <c r="R159" i="16"/>
  <c r="R198" i="16"/>
  <c r="AC198" i="16" s="1" a="1"/>
  <c r="AC198" i="16" s="1"/>
  <c r="AD198" i="16" s="1" a="1"/>
  <c r="AD198" i="16" s="1"/>
  <c r="R218" i="16"/>
  <c r="AC218" i="16" s="1" a="1"/>
  <c r="AC218" i="16" s="1"/>
  <c r="AD218" i="16" s="1" a="1"/>
  <c r="AD218" i="16" s="1"/>
  <c r="R183" i="16"/>
  <c r="AC183" i="16" s="1" a="1"/>
  <c r="AC183" i="16" s="1"/>
  <c r="AD183" i="16" s="1" a="1"/>
  <c r="AD183" i="16" s="1"/>
  <c r="Z317" i="16"/>
  <c r="AI317" i="16" s="1" a="1"/>
  <c r="AI317" i="16" s="1"/>
  <c r="AJ317" i="16" s="1" a="1"/>
  <c r="AJ317" i="16" s="1"/>
  <c r="R240" i="16"/>
  <c r="AC240" i="16" s="1" a="1"/>
  <c r="AC240" i="16" s="1"/>
  <c r="AD240" i="16" s="1" a="1"/>
  <c r="AD240" i="16" s="1"/>
  <c r="Z43" i="16"/>
  <c r="AI43" i="16" s="1" a="1"/>
  <c r="AI43" i="16" s="1"/>
  <c r="AJ43" i="16" s="1" a="1"/>
  <c r="AJ43" i="16" s="1"/>
  <c r="Z301" i="16"/>
  <c r="AE301" i="16" s="1" a="1"/>
  <c r="AE301" i="16" s="1"/>
  <c r="AM301" i="16" s="1" a="1"/>
  <c r="AM301" i="16" s="1"/>
  <c r="Z238" i="16"/>
  <c r="R115" i="16"/>
  <c r="R295" i="16"/>
  <c r="Z55" i="16"/>
  <c r="AE55" i="16" s="1" a="1"/>
  <c r="AE55" i="16" s="1"/>
  <c r="AM55" i="16" s="1" a="1"/>
  <c r="AM55" i="16" s="1"/>
  <c r="Z263" i="16"/>
  <c r="AI263" i="16" s="1" a="1"/>
  <c r="AI263" i="16" s="1"/>
  <c r="AJ263" i="16" s="1" a="1"/>
  <c r="AJ263" i="16" s="1"/>
  <c r="R226" i="16"/>
  <c r="AC226" i="16" s="1" a="1"/>
  <c r="AC226" i="16" s="1"/>
  <c r="AD226" i="16" s="1" a="1"/>
  <c r="AD226" i="16" s="1"/>
  <c r="Z109" i="16"/>
  <c r="AI109" i="16" s="1" a="1"/>
  <c r="AI109" i="16" s="1"/>
  <c r="AJ109" i="16" s="1" a="1"/>
  <c r="AJ109" i="16" s="1"/>
  <c r="R266" i="16"/>
  <c r="AC266" i="16" s="1" a="1"/>
  <c r="AC266" i="16" s="1"/>
  <c r="AD266" i="16" s="1" a="1"/>
  <c r="AD266" i="16" s="1"/>
  <c r="Z291" i="16"/>
  <c r="R167" i="16"/>
  <c r="AC167" i="16" s="1" a="1"/>
  <c r="AC167" i="16" s="1"/>
  <c r="AD167" i="16" s="1" a="1"/>
  <c r="AD167" i="16" s="1"/>
  <c r="R54" i="16"/>
  <c r="AC54" i="16" s="1" a="1"/>
  <c r="AC54" i="16" s="1"/>
  <c r="AD54" i="16" s="1" a="1"/>
  <c r="AD54" i="16" s="1"/>
  <c r="R140" i="16"/>
  <c r="AC140" i="16" s="1" a="1"/>
  <c r="AC140" i="16" s="1"/>
  <c r="AD140" i="16" s="1" a="1"/>
  <c r="AD140" i="16" s="1"/>
  <c r="Z125" i="16"/>
  <c r="AE125" i="16" s="1" a="1"/>
  <c r="AE125" i="16" s="1"/>
  <c r="AM125" i="16" s="1" a="1"/>
  <c r="AM125" i="16" s="1"/>
  <c r="Z83" i="16"/>
  <c r="AE83" i="16" s="1" a="1"/>
  <c r="AE83" i="16" s="1"/>
  <c r="AM83" i="16" s="1" a="1"/>
  <c r="AM83" i="16" s="1"/>
  <c r="R131" i="16"/>
  <c r="AC131" i="16" s="1" a="1"/>
  <c r="AC131" i="16" s="1"/>
  <c r="AD131" i="16" s="1" a="1"/>
  <c r="AD131" i="16" s="1"/>
  <c r="R44" i="18"/>
  <c r="Z275" i="18"/>
  <c r="R153" i="18"/>
  <c r="Z258" i="18"/>
  <c r="Z273" i="18"/>
  <c r="Z196" i="18"/>
  <c r="Z251" i="18"/>
  <c r="R104" i="18"/>
  <c r="Z150" i="18"/>
  <c r="Z127" i="18"/>
  <c r="Z100" i="18"/>
  <c r="Z249" i="18"/>
  <c r="Z259" i="18"/>
  <c r="Z294" i="18"/>
  <c r="Z88" i="18"/>
  <c r="Z257" i="18"/>
  <c r="Z298" i="18"/>
  <c r="R200" i="18"/>
  <c r="R155" i="18"/>
  <c r="Z188" i="18"/>
  <c r="R309" i="18"/>
  <c r="Z204" i="18"/>
  <c r="R175" i="18"/>
  <c r="Z138" i="18"/>
  <c r="R280" i="18"/>
  <c r="Z286" i="18"/>
  <c r="Z238" i="18"/>
  <c r="Z212" i="18"/>
  <c r="Z131" i="18"/>
  <c r="R206" i="18"/>
  <c r="Z98" i="18"/>
  <c r="R212" i="18"/>
  <c r="Z102" i="18"/>
  <c r="R147" i="18"/>
  <c r="Z241" i="18"/>
  <c r="Z252" i="18"/>
  <c r="Z220" i="18"/>
  <c r="Z282" i="18"/>
  <c r="Z117" i="18"/>
  <c r="Z121" i="18"/>
  <c r="Z129" i="18"/>
  <c r="R171" i="18"/>
  <c r="Z155" i="18"/>
  <c r="Z110" i="18"/>
  <c r="Z144" i="18"/>
  <c r="Z314" i="18"/>
  <c r="Z190" i="18"/>
  <c r="R187" i="18"/>
  <c r="Z269" i="18"/>
  <c r="Z52" i="18"/>
  <c r="Z244" i="18"/>
  <c r="Z255" i="18"/>
  <c r="R325" i="18"/>
  <c r="Z216" i="18"/>
  <c r="R321" i="18"/>
  <c r="Z250" i="18"/>
  <c r="Z245" i="18"/>
  <c r="Z118" i="18"/>
  <c r="Z166" i="18"/>
  <c r="Z253" i="18"/>
  <c r="Z239" i="18"/>
  <c r="Z223" i="18"/>
  <c r="Z264" i="18"/>
  <c r="R167" i="18"/>
  <c r="Z126" i="18"/>
  <c r="Z236" i="18"/>
  <c r="Z172" i="18"/>
  <c r="Z152" i="18"/>
  <c r="Z310" i="18"/>
  <c r="Z248" i="18"/>
  <c r="Z215" i="18"/>
  <c r="R238" i="18"/>
  <c r="Z182" i="18"/>
  <c r="R190" i="18"/>
  <c r="Z71" i="18"/>
  <c r="Z315" i="18"/>
  <c r="R182" i="18"/>
  <c r="R39" i="18"/>
  <c r="R70" i="18"/>
  <c r="Z311" i="18"/>
  <c r="R315" i="18"/>
  <c r="R290" i="18"/>
  <c r="Z321" i="18"/>
  <c r="R320" i="18"/>
  <c r="Z96" i="18"/>
  <c r="Z84" i="18"/>
  <c r="Z130" i="18"/>
  <c r="Z114" i="18"/>
  <c r="R305" i="18"/>
  <c r="Z137" i="18"/>
  <c r="Z318" i="18"/>
  <c r="Z122" i="18"/>
  <c r="Z143" i="18"/>
  <c r="Z206" i="18"/>
  <c r="Z105" i="18"/>
  <c r="Z64" i="18"/>
  <c r="R163" i="18"/>
  <c r="Z230" i="18"/>
  <c r="Z125" i="18"/>
  <c r="Z112" i="18"/>
  <c r="Z277" i="18"/>
  <c r="Z60" i="18"/>
  <c r="R63" i="18"/>
  <c r="Z193" i="18"/>
  <c r="R75" i="18"/>
  <c r="R189" i="18"/>
  <c r="Z86" i="18"/>
  <c r="Z198" i="18"/>
  <c r="R102" i="18"/>
  <c r="R170" i="18"/>
  <c r="R270" i="18"/>
  <c r="R91" i="18"/>
  <c r="R83" i="18"/>
  <c r="R245" i="18"/>
  <c r="R210" i="18"/>
  <c r="R229" i="18"/>
  <c r="Z90" i="18"/>
  <c r="R203" i="18"/>
  <c r="R99" i="18"/>
  <c r="R56" i="18"/>
  <c r="Z55" i="18"/>
  <c r="R103" i="18"/>
  <c r="R255" i="18"/>
  <c r="R95" i="18"/>
  <c r="R55" i="18"/>
  <c r="Z268" i="18"/>
  <c r="R52" i="18"/>
  <c r="Z179" i="18"/>
  <c r="R62" i="18"/>
  <c r="R129" i="18"/>
  <c r="Z266" i="18"/>
  <c r="Z295" i="18"/>
  <c r="R79" i="18"/>
  <c r="R135" i="18"/>
  <c r="R141" i="18"/>
  <c r="Z87" i="18"/>
  <c r="R224" i="18"/>
  <c r="Z313" i="18"/>
  <c r="Z221" i="18"/>
  <c r="R145" i="18"/>
  <c r="R218" i="18"/>
  <c r="R60" i="18"/>
  <c r="R178" i="18"/>
  <c r="R181" i="18"/>
  <c r="R68" i="18"/>
  <c r="R46" i="18"/>
  <c r="R53" i="18"/>
  <c r="R306" i="18"/>
  <c r="R312" i="18"/>
  <c r="R140" i="18"/>
  <c r="Z46" i="18"/>
  <c r="R299" i="18"/>
  <c r="Z320" i="18"/>
  <c r="R164" i="18"/>
  <c r="R313" i="18"/>
  <c r="Z219" i="18"/>
  <c r="R201" i="18"/>
  <c r="R317" i="18"/>
  <c r="Z208" i="18"/>
  <c r="Z228" i="18"/>
  <c r="Z109" i="18"/>
  <c r="Z234" i="18"/>
  <c r="Z214" i="18"/>
  <c r="Z154" i="18"/>
  <c r="R276" i="18"/>
  <c r="Z101" i="18"/>
  <c r="Z135" i="18"/>
  <c r="R225" i="18"/>
  <c r="R191" i="18"/>
  <c r="Z281" i="18"/>
  <c r="Z235" i="18"/>
  <c r="Z322" i="18"/>
  <c r="R246" i="18"/>
  <c r="Z148" i="18"/>
  <c r="Z224" i="18"/>
  <c r="Z68" i="18"/>
  <c r="Z209" i="18"/>
  <c r="Z108" i="18"/>
  <c r="Z158" i="18"/>
  <c r="Z133" i="18"/>
  <c r="Z106" i="18"/>
  <c r="Z184" i="18"/>
  <c r="Z147" i="18"/>
  <c r="Z156" i="18"/>
  <c r="Z261" i="18"/>
  <c r="Z160" i="18"/>
  <c r="Z120" i="18"/>
  <c r="Z199" i="18"/>
  <c r="R179" i="18"/>
  <c r="Z136" i="18"/>
  <c r="Z176" i="18"/>
  <c r="R128" i="18"/>
  <c r="Z246" i="18"/>
  <c r="Z162" i="18"/>
  <c r="Z247" i="18"/>
  <c r="R151" i="18"/>
  <c r="Z218" i="18"/>
  <c r="Z242" i="18"/>
  <c r="Z164" i="18"/>
  <c r="Z53" i="18"/>
  <c r="Z306" i="18"/>
  <c r="R293" i="18"/>
  <c r="Z124" i="18"/>
  <c r="Z200" i="18"/>
  <c r="R183" i="18"/>
  <c r="Z170" i="18"/>
  <c r="Z116" i="18"/>
  <c r="Z80" i="18"/>
  <c r="Z210" i="18"/>
  <c r="Z229" i="18"/>
  <c r="R285" i="18"/>
  <c r="Z56" i="18"/>
  <c r="Z265" i="18"/>
  <c r="Z139" i="18"/>
  <c r="Z76" i="18"/>
  <c r="Z227" i="18"/>
  <c r="Z174" i="18"/>
  <c r="R268" i="18"/>
  <c r="R194" i="18"/>
  <c r="Z43" i="18"/>
  <c r="Z254" i="18"/>
  <c r="Z211" i="18"/>
  <c r="Z243" i="18"/>
  <c r="Z142" i="18"/>
  <c r="Z113" i="18"/>
  <c r="Z173" i="16"/>
  <c r="AE173" i="16" s="1" a="1"/>
  <c r="AE173" i="16" s="1"/>
  <c r="AM173" i="16" s="1" a="1"/>
  <c r="AM173" i="16" s="1"/>
  <c r="R217" i="16"/>
  <c r="AC217" i="16" s="1" a="1"/>
  <c r="AC217" i="16" s="1"/>
  <c r="AD217" i="16" s="1" a="1"/>
  <c r="AD217" i="16" s="1"/>
  <c r="R314" i="16"/>
  <c r="Z315" i="16"/>
  <c r="AI315" i="16" s="1" a="1"/>
  <c r="AI315" i="16" s="1"/>
  <c r="AJ315" i="16" s="1" a="1"/>
  <c r="AJ315" i="16" s="1"/>
  <c r="R52" i="16"/>
  <c r="AC52" i="16" s="1" a="1"/>
  <c r="AC52" i="16" s="1"/>
  <c r="AD52" i="16" s="1" a="1"/>
  <c r="AD52" i="16" s="1"/>
  <c r="R201" i="16"/>
  <c r="AC201" i="16" s="1" a="1"/>
  <c r="AC201" i="16" s="1"/>
  <c r="AD201" i="16" s="1" a="1"/>
  <c r="AD201" i="16" s="1"/>
  <c r="Z50" i="16"/>
  <c r="AI50" i="16" s="1" a="1"/>
  <c r="AI50" i="16" s="1"/>
  <c r="AJ50" i="16" s="1" a="1"/>
  <c r="AJ50" i="16" s="1"/>
  <c r="Z146" i="16"/>
  <c r="AE146" i="16" s="1" a="1"/>
  <c r="AE146" i="16" s="1"/>
  <c r="AM146" i="16" s="1" a="1"/>
  <c r="AM146" i="16" s="1"/>
  <c r="R127" i="16"/>
  <c r="R284" i="16"/>
  <c r="AC284" i="16" s="1" a="1"/>
  <c r="AC284" i="16" s="1"/>
  <c r="AD284" i="16" s="1" a="1"/>
  <c r="AD284" i="16" s="1"/>
  <c r="Z270" i="16"/>
  <c r="R271" i="16"/>
  <c r="AC271" i="16" s="1" a="1"/>
  <c r="AC271" i="16" s="1"/>
  <c r="AD271" i="16" s="1" a="1"/>
  <c r="AD271" i="16" s="1"/>
  <c r="R206" i="16"/>
  <c r="AC206" i="16" s="1" a="1"/>
  <c r="AC206" i="16" s="1"/>
  <c r="AD206" i="16" s="1" a="1"/>
  <c r="AD206" i="16" s="1"/>
  <c r="R160" i="16"/>
  <c r="AC160" i="16" s="1" a="1"/>
  <c r="AC160" i="16" s="1"/>
  <c r="AD160" i="16" s="1" a="1"/>
  <c r="AD160" i="16" s="1"/>
  <c r="R40" i="16"/>
  <c r="AC40" i="16" s="1" a="1"/>
  <c r="AC40" i="16" s="1"/>
  <c r="AD40" i="16" s="1" a="1"/>
  <c r="AD40" i="16" s="1"/>
  <c r="R41" i="16"/>
  <c r="Z95" i="16"/>
  <c r="AI95" i="16" s="1" a="1"/>
  <c r="AI95" i="16" s="1"/>
  <c r="AJ95" i="16" s="1" a="1"/>
  <c r="AJ95" i="16" s="1"/>
  <c r="Z137" i="16"/>
  <c r="AI137" i="16" s="1" a="1"/>
  <c r="AI137" i="16" s="1"/>
  <c r="AJ137" i="16" s="1" a="1"/>
  <c r="AJ137" i="16" s="1"/>
  <c r="Z107" i="16"/>
  <c r="AE107" i="16" s="1" a="1"/>
  <c r="AE107" i="16" s="1"/>
  <c r="AM107" i="16" s="1" a="1"/>
  <c r="AM107" i="16" s="1"/>
  <c r="R302" i="16"/>
  <c r="AC302" i="16" s="1" a="1"/>
  <c r="AC302" i="16" s="1"/>
  <c r="AD302" i="16" s="1" a="1"/>
  <c r="AD302" i="16" s="1"/>
  <c r="R165" i="16"/>
  <c r="AC165" i="16" s="1" a="1"/>
  <c r="AC165" i="16" s="1"/>
  <c r="AD165" i="16" s="1" a="1"/>
  <c r="AD165" i="16" s="1"/>
  <c r="R136" i="16"/>
  <c r="AC136" i="16" s="1" a="1"/>
  <c r="AC136" i="16" s="1"/>
  <c r="AD136" i="16" s="1" a="1"/>
  <c r="AD136" i="16" s="1"/>
  <c r="R61" i="16"/>
  <c r="AC61" i="16" s="1" a="1"/>
  <c r="AC61" i="16" s="1"/>
  <c r="AD61" i="16" s="1" a="1"/>
  <c r="AD61" i="16" s="1"/>
  <c r="Z293" i="16"/>
  <c r="AI293" i="16" s="1" a="1"/>
  <c r="AI293" i="16" s="1"/>
  <c r="AJ293" i="16" s="1" a="1"/>
  <c r="AJ293" i="16" s="1"/>
  <c r="R48" i="16"/>
  <c r="Z289" i="16"/>
  <c r="AE289" i="16" s="1" a="1"/>
  <c r="AE289" i="16" s="1"/>
  <c r="AM289" i="16" s="1" a="1"/>
  <c r="AM289" i="16" s="1"/>
  <c r="R248" i="16"/>
  <c r="AC248" i="16" s="1" a="1"/>
  <c r="AC248" i="16" s="1"/>
  <c r="AD248" i="16" s="1" a="1"/>
  <c r="AD248" i="16" s="1"/>
  <c r="Z76" i="16"/>
  <c r="AE76" i="16" s="1" a="1"/>
  <c r="AE76" i="16" s="1"/>
  <c r="AM76" i="16" s="1" a="1"/>
  <c r="AM76" i="16" s="1"/>
  <c r="R180" i="16"/>
  <c r="AC180" i="16" s="1" a="1"/>
  <c r="AC180" i="16" s="1"/>
  <c r="AD180" i="16" s="1" a="1"/>
  <c r="AD180" i="16" s="1"/>
  <c r="Z250" i="16"/>
  <c r="AE250" i="16" s="1" a="1"/>
  <c r="AE250" i="16" s="1"/>
  <c r="AM250" i="16" s="1" a="1"/>
  <c r="AM250" i="16" s="1"/>
  <c r="Z42" i="16"/>
  <c r="AE42" i="16" s="1" a="1"/>
  <c r="AE42" i="16" s="1"/>
  <c r="AM42" i="16" s="1" a="1"/>
  <c r="AM42" i="16" s="1"/>
  <c r="R49" i="16"/>
  <c r="AC49" i="16" s="1" a="1"/>
  <c r="AC49" i="16" s="1"/>
  <c r="AD49" i="16" s="1" a="1"/>
  <c r="AD49" i="16" s="1"/>
  <c r="Z307" i="16"/>
  <c r="AI307" i="16" s="1" a="1"/>
  <c r="AI307" i="16" s="1"/>
  <c r="AJ307" i="16" s="1" a="1"/>
  <c r="AJ307" i="16" s="1"/>
  <c r="R208" i="16"/>
  <c r="AC208" i="16" s="1" a="1"/>
  <c r="AC208" i="16" s="1"/>
  <c r="AD208" i="16" s="1" a="1"/>
  <c r="AD208" i="16" s="1"/>
  <c r="R170" i="16"/>
  <c r="R58" i="16"/>
  <c r="AC58" i="16" s="1" a="1"/>
  <c r="AC58" i="16" s="1"/>
  <c r="AD58" i="16" s="1" a="1"/>
  <c r="AD58" i="16" s="1"/>
  <c r="R258" i="16"/>
  <c r="AC258" i="16" s="1" a="1"/>
  <c r="AC258" i="16" s="1"/>
  <c r="AD258" i="16" s="1" a="1"/>
  <c r="AD258" i="16" s="1"/>
  <c r="Z129" i="16"/>
  <c r="AI129" i="16" s="1" a="1"/>
  <c r="AI129" i="16" s="1"/>
  <c r="AJ129" i="16" s="1" a="1"/>
  <c r="AJ129" i="16" s="1"/>
  <c r="Z114" i="16"/>
  <c r="AI114" i="16" s="1" a="1"/>
  <c r="AI114" i="16" s="1"/>
  <c r="AJ114" i="16" s="1" a="1"/>
  <c r="AJ114" i="16" s="1"/>
  <c r="R263" i="16"/>
  <c r="AC263" i="16" s="1" a="1"/>
  <c r="AC263" i="16" s="1"/>
  <c r="AD263" i="16" s="1" a="1"/>
  <c r="AD263" i="16" s="1"/>
  <c r="Z272" i="16"/>
  <c r="R148" i="16"/>
  <c r="AC148" i="16" s="1" a="1"/>
  <c r="AC148" i="16" s="1"/>
  <c r="AD148" i="16" s="1" a="1"/>
  <c r="AD148" i="16" s="1"/>
  <c r="Z295" i="16"/>
  <c r="AI295" i="16" s="1" a="1"/>
  <c r="AI295" i="16" s="1"/>
  <c r="AJ295" i="16" s="1" a="1"/>
  <c r="AJ295" i="16" s="1"/>
  <c r="Z66" i="16"/>
  <c r="AI66" i="16" s="1" a="1"/>
  <c r="AI66" i="16" s="1"/>
  <c r="AJ66" i="16" s="1" a="1"/>
  <c r="AJ66" i="16" s="1"/>
  <c r="Z54" i="16"/>
  <c r="AI54" i="16" s="1" a="1"/>
  <c r="AI54" i="16" s="1"/>
  <c r="AJ54" i="16" s="1" a="1"/>
  <c r="AJ54" i="16" s="1"/>
  <c r="Z285" i="16"/>
  <c r="AE285" i="16" s="1" a="1"/>
  <c r="AE285" i="16" s="1"/>
  <c r="AM285" i="16" s="1" a="1"/>
  <c r="AM285" i="16" s="1"/>
  <c r="R281" i="16"/>
  <c r="AC281" i="16" s="1" a="1"/>
  <c r="AC281" i="16" s="1"/>
  <c r="AD281" i="16" s="1" a="1"/>
  <c r="AD281" i="16" s="1"/>
  <c r="Z266" i="16"/>
  <c r="AI266" i="16" s="1" a="1"/>
  <c r="AI266" i="16" s="1"/>
  <c r="AJ266" i="16" s="1" a="1"/>
  <c r="AJ266" i="16" s="1"/>
  <c r="R291" i="16"/>
  <c r="AC291" i="16" s="1" a="1"/>
  <c r="AC291" i="16" s="1"/>
  <c r="AD291" i="16" s="1" a="1"/>
  <c r="AD291" i="16" s="1"/>
  <c r="Z312" i="16"/>
  <c r="AE312" i="16" s="1" a="1"/>
  <c r="AE312" i="16" s="1"/>
  <c r="AM312" i="16" s="1" a="1"/>
  <c r="AM312" i="16" s="1"/>
  <c r="R259" i="16"/>
  <c r="AC259" i="16" s="1" a="1"/>
  <c r="AC259" i="16" s="1"/>
  <c r="AD259" i="16" s="1" a="1"/>
  <c r="AD259" i="16" s="1"/>
  <c r="Z70" i="16"/>
  <c r="AI70" i="16" s="1" a="1"/>
  <c r="AI70" i="16" s="1"/>
  <c r="AJ70" i="16" s="1" a="1"/>
  <c r="AJ70" i="16" s="1"/>
  <c r="R306" i="16"/>
  <c r="AC306" i="16" s="1" a="1"/>
  <c r="AC306" i="16" s="1"/>
  <c r="AD306" i="16" s="1" a="1"/>
  <c r="AD306" i="16" s="1"/>
  <c r="R135" i="16"/>
  <c r="AC135" i="16" s="1" a="1"/>
  <c r="AC135" i="16" s="1"/>
  <c r="AD135" i="16" s="1" a="1"/>
  <c r="AD135" i="16" s="1"/>
  <c r="Z141" i="16"/>
  <c r="AI141" i="16" s="1" a="1"/>
  <c r="AI141" i="16" s="1"/>
  <c r="AJ141" i="16" s="1" a="1"/>
  <c r="AJ141" i="16" s="1"/>
  <c r="R260" i="16"/>
  <c r="AC260" i="16" s="1" a="1"/>
  <c r="AC260" i="16" s="1"/>
  <c r="AD260" i="16" s="1" a="1"/>
  <c r="AD260" i="16" s="1"/>
  <c r="R261" i="16"/>
  <c r="R152" i="16"/>
  <c r="AC152" i="16" s="1" a="1"/>
  <c r="AC152" i="16" s="1"/>
  <c r="AD152" i="16" s="1" a="1"/>
  <c r="AD152" i="16" s="1"/>
  <c r="Z118" i="16"/>
  <c r="AI118" i="16" s="1" a="1"/>
  <c r="AI118" i="16" s="1"/>
  <c r="AJ118" i="16" s="1" a="1"/>
  <c r="AJ118" i="16" s="1"/>
  <c r="R222" i="16"/>
  <c r="AC222" i="16" s="1" a="1"/>
  <c r="AC222" i="16" s="1"/>
  <c r="AD222" i="16" s="1" a="1"/>
  <c r="AD222" i="16" s="1"/>
  <c r="R199" i="16"/>
  <c r="AC199" i="16" s="1" a="1"/>
  <c r="AC199" i="16" s="1"/>
  <c r="AD199" i="16" s="1" a="1"/>
  <c r="AD199" i="16" s="1"/>
  <c r="Z82" i="16"/>
  <c r="AE82" i="16" s="1" a="1"/>
  <c r="AE82" i="16" s="1"/>
  <c r="AM82" i="16" s="1" a="1"/>
  <c r="AM82" i="16" s="1"/>
  <c r="R129" i="16"/>
  <c r="AC129" i="16" s="1" a="1"/>
  <c r="AC129" i="16" s="1"/>
  <c r="AD129" i="16" s="1" a="1"/>
  <c r="AD129" i="16" s="1"/>
  <c r="R50" i="16"/>
  <c r="Z276" i="16"/>
  <c r="AE276" i="16" s="1" a="1"/>
  <c r="AE276" i="16" s="1"/>
  <c r="AM276" i="16" s="1" a="1"/>
  <c r="AM276" i="16" s="1"/>
  <c r="Z122" i="16"/>
  <c r="AI122" i="16" s="1" a="1"/>
  <c r="AI122" i="16" s="1"/>
  <c r="AJ122" i="16" s="1" a="1"/>
  <c r="AJ122" i="16" s="1"/>
  <c r="R282" i="16"/>
  <c r="AC282" i="16" s="1" a="1"/>
  <c r="AC282" i="16" s="1"/>
  <c r="AD282" i="16" s="1" a="1"/>
  <c r="AD282" i="16" s="1"/>
  <c r="Z98" i="16"/>
  <c r="AI98" i="16" s="1" a="1"/>
  <c r="AI98" i="16" s="1"/>
  <c r="AJ98" i="16" s="1" a="1"/>
  <c r="AJ98" i="16" s="1"/>
  <c r="Z257" i="16"/>
  <c r="AI257" i="16" s="1" a="1"/>
  <c r="AI257" i="16" s="1"/>
  <c r="AJ257" i="16" s="1" a="1"/>
  <c r="AJ257" i="16" s="1"/>
  <c r="R55" i="16"/>
  <c r="AC55" i="16" s="1" a="1"/>
  <c r="AC55" i="16" s="1"/>
  <c r="AD55" i="16" s="1" a="1"/>
  <c r="AD55" i="16" s="1"/>
  <c r="Z108" i="16"/>
  <c r="AI108" i="16" s="1" a="1"/>
  <c r="AI108" i="16" s="1"/>
  <c r="AJ108" i="16" s="1" a="1"/>
  <c r="AJ108" i="16" s="1"/>
  <c r="R214" i="16"/>
  <c r="AC214" i="16" s="1" a="1"/>
  <c r="AC214" i="16" s="1"/>
  <c r="AD214" i="16" s="1" a="1"/>
  <c r="AD214" i="16" s="1"/>
  <c r="Z310" i="16"/>
  <c r="AI310" i="16" s="1" a="1"/>
  <c r="AI310" i="16" s="1"/>
  <c r="AJ310" i="16" s="1" a="1"/>
  <c r="AJ310" i="16" s="1"/>
  <c r="R279" i="16"/>
  <c r="AC279" i="16" s="1" a="1"/>
  <c r="AC279" i="16" s="1"/>
  <c r="AD279" i="16" s="1" a="1"/>
  <c r="AD279" i="16" s="1"/>
  <c r="Z162" i="16"/>
  <c r="AE162" i="16" s="1" a="1"/>
  <c r="AE162" i="16" s="1"/>
  <c r="AM162" i="16" s="1" a="1"/>
  <c r="AM162" i="16" s="1"/>
  <c r="Z268" i="16"/>
  <c r="AI268" i="16" s="1" a="1"/>
  <c r="AI268" i="16" s="1"/>
  <c r="AJ268" i="16" s="1" a="1"/>
  <c r="AJ268" i="16" s="1"/>
  <c r="Z166" i="16"/>
  <c r="AI166" i="16" s="1" a="1"/>
  <c r="AI166" i="16" s="1"/>
  <c r="AJ166" i="16" s="1" a="1"/>
  <c r="AJ166" i="16" s="1"/>
  <c r="Z110" i="16"/>
  <c r="AI110" i="16" s="1" a="1"/>
  <c r="AI110" i="16" s="1"/>
  <c r="AJ110" i="16" s="1" a="1"/>
  <c r="AJ110" i="16" s="1"/>
  <c r="Z267" i="16"/>
  <c r="AI267" i="16" s="1" a="1"/>
  <c r="AI267" i="16" s="1"/>
  <c r="AJ267" i="16" s="1" a="1"/>
  <c r="AJ267" i="16" s="1"/>
  <c r="R45" i="16"/>
  <c r="AC45" i="16" s="1" a="1"/>
  <c r="AC45" i="16" s="1"/>
  <c r="AD45" i="16" s="1" a="1"/>
  <c r="AD45" i="16" s="1"/>
  <c r="Z318" i="16"/>
  <c r="AI318" i="16" s="1" a="1"/>
  <c r="AI318" i="16" s="1"/>
  <c r="AJ318" i="16" s="1" a="1"/>
  <c r="AJ318" i="16" s="1"/>
  <c r="R287" i="16"/>
  <c r="AC287" i="16" s="1" a="1"/>
  <c r="AC287" i="16" s="1"/>
  <c r="AD287" i="16" s="1" a="1"/>
  <c r="AD287" i="16" s="1"/>
  <c r="Z252" i="16"/>
  <c r="AE252" i="16" s="1" a="1"/>
  <c r="AE252" i="16" s="1"/>
  <c r="AM252" i="16" s="1" a="1"/>
  <c r="AM252" i="16" s="1"/>
  <c r="Z158" i="16"/>
  <c r="AI158" i="16" s="1" a="1"/>
  <c r="AI158" i="16" s="1"/>
  <c r="AJ158" i="16" s="1" a="1"/>
  <c r="AJ158" i="16" s="1"/>
  <c r="R274" i="16"/>
  <c r="AC274" i="16" s="1" a="1"/>
  <c r="AC274" i="16" s="1"/>
  <c r="AD274" i="16" s="1" a="1"/>
  <c r="AD274" i="16" s="1"/>
  <c r="R63" i="16"/>
  <c r="AC63" i="16" s="1" a="1"/>
  <c r="AC63" i="16" s="1"/>
  <c r="AD63" i="16" s="1" a="1"/>
  <c r="AD63" i="16" s="1"/>
  <c r="Z243" i="16"/>
  <c r="AI243" i="16" s="1" a="1"/>
  <c r="AI243" i="16" s="1"/>
  <c r="AJ243" i="16" s="1" a="1"/>
  <c r="AJ243" i="16" s="1"/>
  <c r="R244" i="16"/>
  <c r="AC244" i="16" s="1" a="1"/>
  <c r="AC244" i="16" s="1"/>
  <c r="AD244" i="16" s="1" a="1"/>
  <c r="AD244" i="16" s="1"/>
  <c r="R36" i="16"/>
  <c r="R191" i="16"/>
  <c r="AC191" i="16" s="1" a="1"/>
  <c r="AC191" i="16" s="1"/>
  <c r="AD191" i="16" s="1" a="1"/>
  <c r="AD191" i="16" s="1"/>
  <c r="R232" i="16"/>
  <c r="AC232" i="16" s="1" a="1"/>
  <c r="AC232" i="16" s="1"/>
  <c r="AD232" i="16" s="1" a="1"/>
  <c r="AD232" i="16" s="1"/>
  <c r="Z149" i="16"/>
  <c r="AE149" i="16" s="1" a="1"/>
  <c r="AE149" i="16" s="1"/>
  <c r="AM149" i="16" s="1" a="1"/>
  <c r="AM149" i="16" s="1"/>
  <c r="R304" i="16"/>
  <c r="AC304" i="16" s="1" a="1"/>
  <c r="AC304" i="16" s="1"/>
  <c r="AD304" i="16" s="1" a="1"/>
  <c r="AD304" i="16" s="1"/>
  <c r="Z100" i="16"/>
  <c r="AI100" i="16" s="1" a="1"/>
  <c r="AI100" i="16" s="1"/>
  <c r="AJ100" i="16" s="1" a="1"/>
  <c r="AJ100" i="16" s="1"/>
  <c r="Z81" i="16"/>
  <c r="AI81" i="16" s="1" a="1"/>
  <c r="AI81" i="16" s="1"/>
  <c r="AJ81" i="16" s="1" a="1"/>
  <c r="AJ81" i="16" s="1"/>
  <c r="R196" i="16"/>
  <c r="AC196" i="16" s="1" a="1"/>
  <c r="AC196" i="16" s="1"/>
  <c r="AD196" i="16" s="1" a="1"/>
  <c r="AD196" i="16" s="1"/>
  <c r="Z51" i="16"/>
  <c r="AI51" i="16" s="1" a="1"/>
  <c r="AI51" i="16" s="1"/>
  <c r="AJ51" i="16" s="1" a="1"/>
  <c r="AJ51" i="16" s="1"/>
  <c r="Z32" i="16"/>
  <c r="AE32" i="16" s="1" a="1"/>
  <c r="AE32" i="16" s="1"/>
  <c r="AM32" i="16" s="1" a="1"/>
  <c r="AM32" i="16" s="1"/>
  <c r="Z306" i="16"/>
  <c r="AI306" i="16" s="1" a="1"/>
  <c r="AI306" i="16" s="1"/>
  <c r="AJ306" i="16" s="1" a="1"/>
  <c r="AJ306" i="16" s="1"/>
  <c r="R181" i="16"/>
  <c r="AC181" i="16" s="1" a="1"/>
  <c r="AC181" i="16" s="1"/>
  <c r="AD181" i="16" s="1" a="1"/>
  <c r="AD181" i="16" s="1"/>
  <c r="Z288" i="16"/>
  <c r="AE288" i="16" s="1" a="1"/>
  <c r="AE288" i="16" s="1"/>
  <c r="AM288" i="16" s="1" a="1"/>
  <c r="AM288" i="16" s="1"/>
  <c r="R143" i="16"/>
  <c r="AC143" i="16" s="1" a="1"/>
  <c r="AC143" i="16" s="1"/>
  <c r="AD143" i="16" s="1" a="1"/>
  <c r="AD143" i="16" s="1"/>
  <c r="R144" i="16"/>
  <c r="AC144" i="16" s="1" a="1"/>
  <c r="AC144" i="16" s="1"/>
  <c r="AD144" i="16" s="1" a="1"/>
  <c r="AD144" i="16" s="1"/>
  <c r="Z124" i="16"/>
  <c r="AE124" i="16" s="1" a="1"/>
  <c r="AE124" i="16" s="1"/>
  <c r="AM124" i="16" s="1" a="1"/>
  <c r="AM124" i="16" s="1"/>
  <c r="R283" i="16"/>
  <c r="AC283" i="16" s="1" a="1"/>
  <c r="AC283" i="16" s="1"/>
  <c r="AD283" i="16" s="1" a="1"/>
  <c r="AD283" i="16" s="1"/>
  <c r="R67" i="16"/>
  <c r="AC67" i="16" s="1" a="1"/>
  <c r="AC67" i="16" s="1"/>
  <c r="AD67" i="16" s="1" a="1"/>
  <c r="AD67" i="16" s="1"/>
  <c r="Z80" i="16"/>
  <c r="AE80" i="16" s="1" a="1"/>
  <c r="AE80" i="16" s="1"/>
  <c r="AM80" i="16" s="1" a="1"/>
  <c r="AM80" i="16" s="1"/>
  <c r="R175" i="16"/>
  <c r="AC175" i="16" s="1" a="1"/>
  <c r="AC175" i="16" s="1"/>
  <c r="AD175" i="16" s="1" a="1"/>
  <c r="AD175" i="16" s="1"/>
  <c r="R157" i="16"/>
  <c r="AC157" i="16" s="1" a="1"/>
  <c r="AC157" i="16" s="1"/>
  <c r="AD157" i="16" s="1" a="1"/>
  <c r="AD157" i="16" s="1"/>
  <c r="R121" i="16"/>
  <c r="AC121" i="16" s="1" a="1"/>
  <c r="AC121" i="16" s="1"/>
  <c r="AD121" i="16" s="1" a="1"/>
  <c r="AD121" i="16" s="1"/>
  <c r="R216" i="16"/>
  <c r="AC216" i="16" s="1" a="1"/>
  <c r="AC216" i="16" s="1"/>
  <c r="AD216" i="16" s="1" a="1"/>
  <c r="AD216" i="16" s="1"/>
  <c r="Z163" i="16"/>
  <c r="AE163" i="16" s="1" a="1"/>
  <c r="AE163" i="16" s="1"/>
  <c r="AM163" i="16" s="1" a="1"/>
  <c r="AM163" i="16" s="1"/>
  <c r="R319" i="16"/>
  <c r="AC319" i="16" s="1" a="1"/>
  <c r="AC319" i="16" s="1"/>
  <c r="AD319" i="16" s="1" a="1"/>
  <c r="AD319" i="16" s="1"/>
  <c r="Z153" i="16"/>
  <c r="AE153" i="16" s="1" a="1"/>
  <c r="AE153" i="16" s="1"/>
  <c r="AM153" i="16" s="1" a="1"/>
  <c r="AM153" i="16" s="1"/>
  <c r="Z92" i="16"/>
  <c r="AE92" i="16" s="1" a="1"/>
  <c r="AE92" i="16" s="1"/>
  <c r="AM92" i="16" s="1" a="1"/>
  <c r="AM92" i="16" s="1"/>
  <c r="R256" i="16"/>
  <c r="AC256" i="16" s="1" a="1"/>
  <c r="AC256" i="16" s="1"/>
  <c r="AD256" i="16" s="1" a="1"/>
  <c r="AD256" i="16" s="1"/>
  <c r="R169" i="16"/>
  <c r="AC169" i="16" s="1" a="1"/>
  <c r="AC169" i="16" s="1"/>
  <c r="AD169" i="16" s="1" a="1"/>
  <c r="AD169" i="16" s="1"/>
  <c r="R277" i="16"/>
  <c r="AC277" i="16" s="1" a="1"/>
  <c r="AC277" i="16" s="1"/>
  <c r="AD277" i="16" s="1" a="1"/>
  <c r="AD277" i="16" s="1"/>
  <c r="Z79" i="16"/>
  <c r="AE79" i="16" s="1" a="1"/>
  <c r="AE79" i="16" s="1"/>
  <c r="AM79" i="16" s="1" a="1"/>
  <c r="AM79" i="16" s="1"/>
  <c r="Z106" i="16"/>
  <c r="AE106" i="16" s="1" a="1"/>
  <c r="AE106" i="16" s="1"/>
  <c r="AM106" i="16" s="1" a="1"/>
  <c r="AM106" i="16" s="1"/>
  <c r="R250" i="16"/>
  <c r="AC250" i="16" s="1" a="1"/>
  <c r="AC250" i="16" s="1"/>
  <c r="AD250" i="16" s="1" a="1"/>
  <c r="AD250" i="16" s="1"/>
  <c r="R42" i="16"/>
  <c r="AC42" i="16" s="1" a="1"/>
  <c r="AC42" i="16" s="1"/>
  <c r="AD42" i="16" s="1" a="1"/>
  <c r="AD42" i="16" s="1"/>
  <c r="Z117" i="16"/>
  <c r="AI117" i="16" s="1" a="1"/>
  <c r="AI117" i="16" s="1"/>
  <c r="AJ117" i="16" s="1" a="1"/>
  <c r="AJ117" i="16" s="1"/>
  <c r="Z71" i="16"/>
  <c r="AI71" i="16" s="1" a="1"/>
  <c r="AI71" i="16" s="1"/>
  <c r="AJ71" i="16" s="1" a="1"/>
  <c r="AJ71" i="16" s="1"/>
  <c r="Z294" i="16"/>
  <c r="AI294" i="16" s="1" a="1"/>
  <c r="AI294" i="16" s="1"/>
  <c r="AJ294" i="16" s="1" a="1"/>
  <c r="AJ294" i="16" s="1"/>
  <c r="R8" i="16"/>
  <c r="AC8" i="16" s="1" a="1"/>
  <c r="AC8" i="16" s="1"/>
  <c r="AD8" i="16" s="1" a="1"/>
  <c r="AD8" i="16" s="1"/>
  <c r="R247" i="16"/>
  <c r="AC247" i="16" s="1" a="1"/>
  <c r="AC247" i="16" s="1"/>
  <c r="AD247" i="16" s="1" a="1"/>
  <c r="AD247" i="16" s="1"/>
  <c r="Z57" i="16"/>
  <c r="AI57" i="16" s="1" a="1"/>
  <c r="AI57" i="16" s="1"/>
  <c r="AJ57" i="16" s="1" a="1"/>
  <c r="AJ57" i="16" s="1"/>
  <c r="R321" i="16"/>
  <c r="AC321" i="16" s="1" a="1"/>
  <c r="AC321" i="16" s="1"/>
  <c r="AD321" i="16" s="1" a="1"/>
  <c r="AD321" i="16" s="1"/>
  <c r="Z220" i="16"/>
  <c r="AE220" i="16" s="1" a="1"/>
  <c r="AE220" i="16" s="1"/>
  <c r="AM220" i="16" s="1" a="1"/>
  <c r="AM220" i="16" s="1"/>
  <c r="R309" i="16"/>
  <c r="AC309" i="16" s="1" a="1"/>
  <c r="AC309" i="16" s="1"/>
  <c r="AD309" i="16" s="1" a="1"/>
  <c r="AD309" i="16" s="1"/>
  <c r="R124" i="16"/>
  <c r="AC124" i="16" s="1" a="1"/>
  <c r="AC124" i="16" s="1"/>
  <c r="AD124" i="16" s="1" a="1"/>
  <c r="AD124" i="16" s="1"/>
  <c r="R80" i="16"/>
  <c r="AC80" i="16" s="1" a="1"/>
  <c r="AC80" i="16" s="1"/>
  <c r="AD80" i="16" s="1" a="1"/>
  <c r="AD80" i="16" s="1"/>
  <c r="Z175" i="16"/>
  <c r="AI175" i="16" s="1" a="1"/>
  <c r="AI175" i="16" s="1"/>
  <c r="AJ175" i="16" s="1" a="1"/>
  <c r="AJ175" i="16" s="1"/>
  <c r="R235" i="16"/>
  <c r="AC235" i="16" s="1" a="1"/>
  <c r="AC235" i="16" s="1"/>
  <c r="AD235" i="16" s="1" a="1"/>
  <c r="AD235" i="16" s="1"/>
  <c r="R122" i="16"/>
  <c r="AC122" i="16" s="1" a="1"/>
  <c r="AC122" i="16" s="1"/>
  <c r="AD122" i="16" s="1" a="1"/>
  <c r="AD122" i="16" s="1"/>
  <c r="R249" i="16"/>
  <c r="Z202" i="16"/>
  <c r="AE202" i="16" s="1" a="1"/>
  <c r="AE202" i="16" s="1"/>
  <c r="AM202" i="16" s="1" a="1"/>
  <c r="AM202" i="16" s="1"/>
  <c r="Z219" i="16"/>
  <c r="AI219" i="16" s="1" a="1"/>
  <c r="AI219" i="16" s="1"/>
  <c r="AJ219" i="16" s="1" a="1"/>
  <c r="AJ219" i="16" s="1"/>
  <c r="Z225" i="16"/>
  <c r="AI225" i="16" s="1" a="1"/>
  <c r="AI225" i="16" s="1"/>
  <c r="AJ225" i="16" s="1" a="1"/>
  <c r="AJ225" i="16" s="1"/>
  <c r="R97" i="16"/>
  <c r="AC97" i="16" s="1" a="1"/>
  <c r="AC97" i="16" s="1"/>
  <c r="AD97" i="16" s="1" a="1"/>
  <c r="AD97" i="16" s="1"/>
  <c r="R301" i="16"/>
  <c r="AC301" i="16" s="1" a="1"/>
  <c r="AC301" i="16" s="1"/>
  <c r="AD301" i="16" s="1" a="1"/>
  <c r="AD301" i="16" s="1"/>
  <c r="Z171" i="16"/>
  <c r="AE171" i="16" s="1" a="1"/>
  <c r="AE171" i="16" s="1"/>
  <c r="AM171" i="16" s="1" a="1"/>
  <c r="AM171" i="16" s="1"/>
  <c r="Z178" i="16"/>
  <c r="AE178" i="16" s="1" a="1"/>
  <c r="AE178" i="16" s="1"/>
  <c r="AM178" i="16" s="1" a="1"/>
  <c r="AM178" i="16" s="1"/>
  <c r="R325" i="16"/>
  <c r="AC325" i="16" s="1" a="1"/>
  <c r="AC325" i="16" s="1"/>
  <c r="AD325" i="16" s="1" a="1"/>
  <c r="AD325" i="16" s="1"/>
  <c r="R118" i="16"/>
  <c r="AC118" i="16" s="1" a="1"/>
  <c r="AC118" i="16" s="1"/>
  <c r="AD118" i="16" s="1" a="1"/>
  <c r="AD118" i="16" s="1"/>
  <c r="Z226" i="16"/>
  <c r="AI226" i="16" s="1" a="1"/>
  <c r="AI226" i="16" s="1"/>
  <c r="AJ226" i="16" s="1" a="1"/>
  <c r="AJ226" i="16" s="1"/>
  <c r="Z28" i="16"/>
  <c r="AI28" i="16" s="1" a="1"/>
  <c r="AI28" i="16" s="1"/>
  <c r="AJ28" i="16" s="1" a="1"/>
  <c r="AJ28" i="16" s="1"/>
  <c r="Z244" i="16"/>
  <c r="Z36" i="16"/>
  <c r="AI36" i="16" s="1" a="1"/>
  <c r="AI36" i="16" s="1"/>
  <c r="AJ36" i="16" s="1" a="1"/>
  <c r="AJ36" i="16" s="1"/>
  <c r="Z84" i="16"/>
  <c r="AE84" i="16" s="1" a="1"/>
  <c r="AE84" i="16" s="1"/>
  <c r="AM84" i="16" s="1" a="1"/>
  <c r="AM84" i="16" s="1"/>
  <c r="R212" i="16"/>
  <c r="AC212" i="16" s="1" a="1"/>
  <c r="AC212" i="16" s="1"/>
  <c r="AD212" i="16" s="1" a="1"/>
  <c r="AD212" i="16" s="1"/>
  <c r="Z251" i="16"/>
  <c r="AE251" i="16" s="1" a="1"/>
  <c r="AE251" i="16" s="1"/>
  <c r="AM251" i="16" s="1" a="1"/>
  <c r="AM251" i="16" s="1"/>
  <c r="R231" i="16"/>
  <c r="AC231" i="16" s="1" a="1"/>
  <c r="AC231" i="16" s="1"/>
  <c r="AD231" i="16" s="1" a="1"/>
  <c r="AD231" i="16" s="1"/>
  <c r="R147" i="16"/>
  <c r="AC147" i="16" s="1" a="1"/>
  <c r="AC147" i="16" s="1"/>
  <c r="AD147" i="16" s="1" a="1"/>
  <c r="AD147" i="16" s="1"/>
  <c r="Z103" i="16"/>
  <c r="AE103" i="16" s="1" a="1"/>
  <c r="AE103" i="16" s="1"/>
  <c r="AM103" i="16" s="1" a="1"/>
  <c r="AM103" i="16" s="1"/>
  <c r="Z88" i="16"/>
  <c r="AI88" i="16" s="1" a="1"/>
  <c r="AI88" i="16" s="1"/>
  <c r="AJ88" i="16" s="1" a="1"/>
  <c r="AJ88" i="16" s="1"/>
  <c r="R320" i="16"/>
  <c r="AC320" i="16" s="1" a="1"/>
  <c r="AC320" i="16" s="1"/>
  <c r="AD320" i="16" s="1" a="1"/>
  <c r="AD320" i="16" s="1"/>
  <c r="R149" i="16"/>
  <c r="AC149" i="16" s="1" a="1"/>
  <c r="AC149" i="16" s="1"/>
  <c r="AD149" i="16" s="1" a="1"/>
  <c r="AD149" i="16" s="1"/>
  <c r="R223" i="16"/>
  <c r="AC223" i="16" s="1" a="1"/>
  <c r="AC223" i="16" s="1"/>
  <c r="AD223" i="16" s="1" a="1"/>
  <c r="AD223" i="16" s="1"/>
  <c r="Z304" i="16"/>
  <c r="AI304" i="16" s="1" a="1"/>
  <c r="AI304" i="16" s="1"/>
  <c r="AJ304" i="16" s="1" a="1"/>
  <c r="AJ304" i="16" s="1"/>
  <c r="R254" i="16"/>
  <c r="AC254" i="16" s="1" a="1"/>
  <c r="AC254" i="16" s="1"/>
  <c r="AD254" i="16" s="1" a="1"/>
  <c r="AD254" i="16" s="1"/>
  <c r="R298" i="16"/>
  <c r="AC298" i="16" s="1" a="1"/>
  <c r="AC298" i="16" s="1"/>
  <c r="AD298" i="16" s="1" a="1"/>
  <c r="AD298" i="16" s="1"/>
  <c r="R299" i="16"/>
  <c r="AC299" i="16" s="1" a="1"/>
  <c r="AC299" i="16" s="1"/>
  <c r="AD299" i="16" s="1" a="1"/>
  <c r="AD299" i="16" s="1"/>
  <c r="Z96" i="16"/>
  <c r="AE96" i="16" s="1" a="1"/>
  <c r="AE96" i="16" s="1"/>
  <c r="AM96" i="16" s="1" a="1"/>
  <c r="AM96" i="16" s="1"/>
  <c r="Z65" i="16"/>
  <c r="AI65" i="16" s="1" a="1"/>
  <c r="AI65" i="16" s="1"/>
  <c r="AJ65" i="16" s="1" a="1"/>
  <c r="AJ65" i="16" s="1"/>
  <c r="Z40" i="16"/>
  <c r="AE40" i="16" s="1" a="1"/>
  <c r="AE40" i="16" s="1"/>
  <c r="AM40" i="16" s="1" a="1"/>
  <c r="AM40" i="16" s="1"/>
  <c r="R137" i="16"/>
  <c r="AC137" i="16" s="1" a="1"/>
  <c r="AC137" i="16" s="1"/>
  <c r="AD137" i="16" s="1" a="1"/>
  <c r="AD137" i="16" s="1"/>
  <c r="Z256" i="16"/>
  <c r="AI256" i="16" s="1" a="1"/>
  <c r="AI256" i="16" s="1"/>
  <c r="AJ256" i="16" s="1" a="1"/>
  <c r="AJ256" i="16" s="1"/>
  <c r="Z105" i="16"/>
  <c r="AI105" i="16" s="1" a="1"/>
  <c r="AI105" i="16" s="1"/>
  <c r="AJ105" i="16" s="1" a="1"/>
  <c r="AJ105" i="16" s="1"/>
  <c r="Z169" i="16"/>
  <c r="AI169" i="16" s="1" a="1"/>
  <c r="AI169" i="16" s="1"/>
  <c r="AJ169" i="16" s="1" a="1"/>
  <c r="AJ169" i="16" s="1"/>
  <c r="Z90" i="16"/>
  <c r="AI90" i="16" s="1" a="1"/>
  <c r="AI90" i="16" s="1"/>
  <c r="AJ90" i="16" s="1" a="1"/>
  <c r="AJ90" i="16" s="1"/>
  <c r="Z249" i="16"/>
  <c r="AI249" i="16" s="1" a="1"/>
  <c r="AI249" i="16" s="1"/>
  <c r="AJ249" i="16" s="1" a="1"/>
  <c r="AJ249" i="16" s="1"/>
  <c r="Z300" i="16"/>
  <c r="AE300" i="16" s="1" a="1"/>
  <c r="AE300" i="16" s="1"/>
  <c r="Z322" i="16"/>
  <c r="AI322" i="16" s="1" a="1"/>
  <c r="AI322" i="16" s="1"/>
  <c r="AJ322" i="16" s="1" a="1"/>
  <c r="AJ322" i="16" s="1"/>
  <c r="Z148" i="16"/>
  <c r="AI148" i="16" s="1" a="1"/>
  <c r="AI148" i="16" s="1"/>
  <c r="AJ148" i="16" s="1" a="1"/>
  <c r="AJ148" i="16" s="1"/>
  <c r="R316" i="16"/>
  <c r="AC316" i="16" s="1" a="1"/>
  <c r="AC316" i="16" s="1"/>
  <c r="AD316" i="16" s="1" a="1"/>
  <c r="AD316" i="16" s="1"/>
  <c r="R310" i="16"/>
  <c r="AC310" i="16" s="1" a="1"/>
  <c r="AC310" i="16" s="1"/>
  <c r="AD310" i="16" s="1" a="1"/>
  <c r="AD310" i="16" s="1"/>
  <c r="Z75" i="16"/>
  <c r="AE75" i="16" s="1" a="1"/>
  <c r="AE75" i="16" s="1"/>
  <c r="Z282" i="16"/>
  <c r="AE282" i="16" s="1" a="1"/>
  <c r="AE282" i="16" s="1"/>
  <c r="AM282" i="16" s="1" a="1"/>
  <c r="AM282" i="16" s="1"/>
  <c r="R213" i="16"/>
  <c r="AC213" i="16" s="1" a="1"/>
  <c r="AC213" i="16" s="1"/>
  <c r="AD213" i="16" s="1" a="1"/>
  <c r="AD213" i="16" s="1"/>
  <c r="R39" i="16"/>
  <c r="R267" i="16"/>
  <c r="AC267" i="16" s="1" a="1"/>
  <c r="AC267" i="16" s="1"/>
  <c r="AD267" i="16" s="1" a="1"/>
  <c r="AD267" i="16" s="1"/>
  <c r="Z279" i="16"/>
  <c r="AE279" i="16" s="1" a="1"/>
  <c r="AE279" i="16" s="1"/>
  <c r="AM279" i="16" s="1" a="1"/>
  <c r="AM279" i="16" s="1"/>
  <c r="R210" i="16"/>
  <c r="AC210" i="16" s="1" a="1"/>
  <c r="AC210" i="16" s="1"/>
  <c r="AD210" i="16" s="1" a="1"/>
  <c r="AD210" i="16" s="1"/>
  <c r="Z233" i="16"/>
  <c r="AI233" i="16" s="1" a="1"/>
  <c r="AI233" i="16" s="1"/>
  <c r="AJ233" i="16" s="1" a="1"/>
  <c r="AJ233" i="16" s="1"/>
  <c r="Z135" i="16"/>
  <c r="AI135" i="16" s="1" a="1"/>
  <c r="AI135" i="16" s="1"/>
  <c r="AJ135" i="16" s="1" a="1"/>
  <c r="AJ135" i="16" s="1"/>
  <c r="Z281" i="16"/>
  <c r="AI281" i="16" s="1" a="1"/>
  <c r="AI281" i="16" s="1"/>
  <c r="AJ281" i="16" s="1" a="1"/>
  <c r="AJ281" i="16" s="1"/>
  <c r="Z115" i="16"/>
  <c r="AI115" i="16" s="1" a="1"/>
  <c r="AI115" i="16" s="1"/>
  <c r="AJ115" i="16" s="1" a="1"/>
  <c r="AJ115" i="16" s="1"/>
  <c r="R312" i="16"/>
  <c r="R139" i="16"/>
  <c r="AC139" i="16" s="1" a="1"/>
  <c r="AC139" i="16" s="1"/>
  <c r="AD139" i="16" s="1" a="1"/>
  <c r="AD139" i="16" s="1"/>
  <c r="R132" i="16"/>
  <c r="AC132" i="16" s="1" a="1"/>
  <c r="AC132" i="16" s="1"/>
  <c r="AD132" i="16" s="1" a="1"/>
  <c r="AD132" i="16" s="1"/>
  <c r="R192" i="16"/>
  <c r="AC192" i="16" s="1" a="1"/>
  <c r="AC192" i="16" s="1"/>
  <c r="AD192" i="16" s="1" a="1"/>
  <c r="AD192" i="16" s="1"/>
  <c r="Z78" i="16"/>
  <c r="AI78" i="16" s="1" a="1"/>
  <c r="AI78" i="16" s="1"/>
  <c r="Z284" i="16"/>
  <c r="AI284" i="16" s="1" a="1"/>
  <c r="AI284" i="16" s="1"/>
  <c r="Z277" i="16"/>
  <c r="AE277" i="16" s="1" a="1"/>
  <c r="AE277" i="16" s="1"/>
  <c r="AM277" i="16" s="1" a="1"/>
  <c r="AM277" i="16" s="1"/>
  <c r="R163" i="16"/>
  <c r="AC163" i="16" s="1" a="1"/>
  <c r="AC163" i="16" s="1"/>
  <c r="AD163" i="16" s="1" a="1"/>
  <c r="AD163" i="16" s="1"/>
  <c r="Z13" i="16"/>
  <c r="AI13" i="16" s="1" a="1"/>
  <c r="AI13" i="16" s="1"/>
  <c r="AJ13" i="16" s="1" a="1"/>
  <c r="AJ13" i="16" s="1"/>
  <c r="R31" i="16"/>
  <c r="AC31" i="16" s="1" a="1"/>
  <c r="AC31" i="16" s="1"/>
  <c r="R269" i="16"/>
  <c r="AC269" i="16" s="1" a="1"/>
  <c r="AC269" i="16" s="1"/>
  <c r="AD269" i="16" s="1" a="1"/>
  <c r="AD269" i="16" s="1"/>
  <c r="R156" i="16"/>
  <c r="AC156" i="16" s="1" a="1"/>
  <c r="AC156" i="16" s="1"/>
  <c r="AD156" i="16" s="1" a="1"/>
  <c r="AD156" i="16" s="1"/>
  <c r="R141" i="16"/>
  <c r="AC141" i="16" s="1" a="1"/>
  <c r="AC141" i="16" s="1"/>
  <c r="AD141" i="16" s="1" a="1"/>
  <c r="AD141" i="16" s="1"/>
  <c r="Z139" i="16"/>
  <c r="AI139" i="16" s="1" a="1"/>
  <c r="AI139" i="16" s="1"/>
  <c r="AJ139" i="16" s="1" a="1"/>
  <c r="AJ139" i="16" s="1"/>
  <c r="Z132" i="16"/>
  <c r="AI132" i="16" s="1" a="1"/>
  <c r="AI132" i="16" s="1"/>
  <c r="AJ132" i="16" s="1" a="1"/>
  <c r="AJ132" i="16" s="1"/>
  <c r="Z260" i="16"/>
  <c r="AE260" i="16" s="1" a="1"/>
  <c r="AE260" i="16" s="1"/>
  <c r="AM260" i="16" s="1" a="1"/>
  <c r="AM260" i="16" s="1"/>
  <c r="R194" i="16"/>
  <c r="AC194" i="16" s="1" a="1"/>
  <c r="AC194" i="16" s="1"/>
  <c r="AD194" i="16" s="1" a="1"/>
  <c r="AD194" i="16" s="1"/>
  <c r="R60" i="16"/>
  <c r="AC60" i="16" s="1" a="1"/>
  <c r="AC60" i="16" s="1"/>
  <c r="AD60" i="16" s="1" a="1"/>
  <c r="AD60" i="16" s="1"/>
  <c r="Z140" i="16"/>
  <c r="AI140" i="16" s="1" a="1"/>
  <c r="AI140" i="16" s="1"/>
  <c r="AJ140" i="16" s="1" a="1"/>
  <c r="AJ140" i="16" s="1"/>
  <c r="R119" i="16"/>
  <c r="AC119" i="16" s="1" a="1"/>
  <c r="AC119" i="16" s="1"/>
  <c r="AD119" i="16" s="1" a="1"/>
  <c r="AD119" i="16" s="1"/>
  <c r="Z104" i="16"/>
  <c r="AI104" i="16" s="1" a="1"/>
  <c r="AI104" i="16" s="1"/>
  <c r="AJ104" i="16" s="1" a="1"/>
  <c r="AJ104" i="16" s="1"/>
  <c r="R296" i="16"/>
  <c r="AC296" i="16" s="1" a="1"/>
  <c r="AC296" i="16" s="1"/>
  <c r="AD296" i="16" s="1" a="1"/>
  <c r="AD296" i="16" s="1"/>
  <c r="Z102" i="16"/>
  <c r="AI102" i="16" s="1" a="1"/>
  <c r="AI102" i="16" s="1"/>
  <c r="AJ102" i="16" s="1" a="1"/>
  <c r="AJ102" i="16" s="1"/>
  <c r="Z26" i="16"/>
  <c r="AI26" i="16" s="1" a="1"/>
  <c r="AI26" i="16" s="1"/>
  <c r="AJ26" i="16" s="1" a="1"/>
  <c r="AJ26" i="16" s="1"/>
  <c r="R104" i="16"/>
  <c r="AC104" i="16" s="1" a="1"/>
  <c r="AC104" i="16" s="1"/>
  <c r="AD104" i="16" s="1" a="1"/>
  <c r="AD104" i="16" s="1"/>
  <c r="Z9" i="16"/>
  <c r="AI9" i="16" s="1" a="1"/>
  <c r="AI9" i="16" s="1"/>
  <c r="AJ9" i="16" s="1" a="1"/>
  <c r="AJ9" i="16" s="1"/>
  <c r="R9" i="16"/>
  <c r="AC9" i="16" s="1" a="1"/>
  <c r="AC9" i="16" s="1"/>
  <c r="R26" i="16"/>
  <c r="Z11" i="16"/>
  <c r="R243" i="16"/>
  <c r="Z191" i="16"/>
  <c r="Z186" i="16"/>
  <c r="Z207" i="16"/>
  <c r="Z199" i="16"/>
  <c r="Z53" i="16"/>
  <c r="R70" i="16"/>
  <c r="R100" i="16"/>
  <c r="Z229" i="16"/>
  <c r="Z41" i="16"/>
  <c r="R95" i="16"/>
  <c r="R107" i="16"/>
  <c r="R227" i="16"/>
  <c r="R62" i="16"/>
  <c r="Z218" i="16"/>
  <c r="Z183" i="16"/>
  <c r="R317" i="16"/>
  <c r="Z177" i="16"/>
  <c r="R187" i="16"/>
  <c r="Z204" i="16"/>
  <c r="R86" i="16"/>
  <c r="R108" i="16"/>
  <c r="Z214" i="16"/>
  <c r="R98" i="16"/>
  <c r="R257" i="16"/>
  <c r="R166" i="16"/>
  <c r="R110" i="16"/>
  <c r="Z45" i="16"/>
  <c r="R211" i="16"/>
  <c r="R162" i="16"/>
  <c r="R268" i="16"/>
  <c r="AC32" i="16" a="1"/>
  <c r="AC32" i="16" s="1"/>
  <c r="AD32" i="16" s="1" a="1"/>
  <c r="AD32" i="16" s="1"/>
  <c r="AC209" i="16" a="1"/>
  <c r="AC209" i="16" s="1"/>
  <c r="AD209" i="16" s="1" a="1"/>
  <c r="AD209" i="16" s="1"/>
  <c r="AE46" i="16" a="1"/>
  <c r="AE46" i="16" s="1"/>
  <c r="AM46" i="16" s="1" a="1"/>
  <c r="AM46" i="16" s="1"/>
  <c r="AI46" i="16" a="1"/>
  <c r="AI46" i="16" s="1"/>
  <c r="AJ46" i="16" s="1" a="1"/>
  <c r="AJ46" i="16" s="1"/>
  <c r="AE324" i="16" a="1"/>
  <c r="AE324" i="16" s="1"/>
  <c r="AM324" i="16" s="1" a="1"/>
  <c r="AM324" i="16" s="1"/>
  <c r="AI259" i="16" a="1"/>
  <c r="AI259" i="16" s="1"/>
  <c r="AJ259" i="16" s="1" a="1"/>
  <c r="AJ259" i="16" s="1"/>
  <c r="AI298" i="16" a="1"/>
  <c r="AI298" i="16" s="1"/>
  <c r="AJ298" i="16" s="1" a="1"/>
  <c r="AJ298" i="16" s="1"/>
  <c r="AE298" i="16" a="1"/>
  <c r="AE298" i="16" s="1"/>
  <c r="AM298" i="16" s="1" a="1"/>
  <c r="AM298" i="16" s="1"/>
  <c r="AC229" i="16" a="1"/>
  <c r="AC229" i="16" s="1"/>
  <c r="AD229" i="16" s="1" a="1"/>
  <c r="AD229" i="16" s="1"/>
  <c r="AC51" i="16" a="1"/>
  <c r="AC51" i="16" s="1"/>
  <c r="AD51" i="16" s="1" a="1"/>
  <c r="AD51" i="16" s="1"/>
  <c r="AI91" i="16" a="1"/>
  <c r="AI91" i="16" s="1"/>
  <c r="AJ91" i="16" s="1" a="1"/>
  <c r="AJ91" i="16" s="1"/>
  <c r="AE91" i="16" a="1"/>
  <c r="AE91" i="16" s="1"/>
  <c r="AM91" i="16" s="1" a="1"/>
  <c r="AM91" i="16" s="1"/>
  <c r="AC71" i="16" a="1"/>
  <c r="AC71" i="16" s="1"/>
  <c r="AD71" i="16" s="1" a="1"/>
  <c r="AD71" i="16" s="1"/>
  <c r="AI60" i="16" a="1"/>
  <c r="AI60" i="16" s="1"/>
  <c r="AJ60" i="16" s="1" a="1"/>
  <c r="AJ60" i="16" s="1"/>
  <c r="AI32" i="16" a="1"/>
  <c r="AI32" i="16" s="1"/>
  <c r="AJ32" i="16" s="1" a="1"/>
  <c r="AJ32" i="16" s="1"/>
  <c r="AC56" i="16" a="1"/>
  <c r="AC56" i="16" s="1"/>
  <c r="AD56" i="16" s="1" a="1"/>
  <c r="AD56" i="16" s="1"/>
  <c r="AI278" i="16" a="1"/>
  <c r="AI278" i="16" s="1"/>
  <c r="AJ278" i="16" s="1" a="1"/>
  <c r="AJ278" i="16" s="1"/>
  <c r="AE278" i="16" a="1"/>
  <c r="AE278" i="16" s="1"/>
  <c r="AM278" i="16" s="1" a="1"/>
  <c r="AM278" i="16" s="1"/>
  <c r="AI133" i="16" a="1"/>
  <c r="AI133" i="16" s="1"/>
  <c r="AJ133" i="16" s="1" a="1"/>
  <c r="AJ133" i="16" s="1"/>
  <c r="AE133" i="16" a="1"/>
  <c r="AE133" i="16" s="1"/>
  <c r="AM133" i="16" s="1" a="1"/>
  <c r="AM133" i="16" s="1"/>
  <c r="AE58" i="16" a="1"/>
  <c r="AE58" i="16" s="1"/>
  <c r="AM58" i="16" s="1" a="1"/>
  <c r="AM58" i="16" s="1"/>
  <c r="AI58" i="16" a="1"/>
  <c r="AI58" i="16" s="1"/>
  <c r="AJ58" i="16" s="1" a="1"/>
  <c r="AJ58" i="16" s="1"/>
  <c r="Z8" i="16"/>
  <c r="R18" i="16"/>
  <c r="Z189" i="16"/>
  <c r="R113" i="16"/>
  <c r="R72" i="16"/>
  <c r="Z174" i="16"/>
  <c r="R85" i="16"/>
  <c r="Z168" i="16"/>
  <c r="Z200" i="16"/>
  <c r="R96" i="16"/>
  <c r="R64" i="16"/>
  <c r="R126" i="16"/>
  <c r="R276" i="16"/>
  <c r="Z208" i="16"/>
  <c r="Z170" i="16"/>
  <c r="R82" i="16"/>
  <c r="R195" i="16"/>
  <c r="Z194" i="16"/>
  <c r="AC315" i="16" a="1"/>
  <c r="AC315" i="16" s="1"/>
  <c r="AD315" i="16" s="1" a="1"/>
  <c r="AD315" i="16" s="1"/>
  <c r="AI264" i="16" a="1"/>
  <c r="AI264" i="16" s="1"/>
  <c r="AJ264" i="16" s="1" a="1"/>
  <c r="AJ264" i="16" s="1"/>
  <c r="AE264" i="16" a="1"/>
  <c r="AE264" i="16" s="1"/>
  <c r="AM264" i="16" s="1" a="1"/>
  <c r="AM264" i="16" s="1"/>
  <c r="AI86" i="16" a="1"/>
  <c r="AI86" i="16" s="1"/>
  <c r="AJ86" i="16" s="1" a="1"/>
  <c r="AJ86" i="16" s="1"/>
  <c r="AE86" i="16" a="1"/>
  <c r="AE86" i="16" s="1"/>
  <c r="AM86" i="16" s="1" a="1"/>
  <c r="AM86" i="16" s="1"/>
  <c r="AC323" i="16" a="1"/>
  <c r="AC323" i="16" s="1"/>
  <c r="AD323" i="16" s="1" a="1"/>
  <c r="AD323" i="16" s="1"/>
  <c r="AC303" i="16" a="1"/>
  <c r="AC303" i="16" s="1"/>
  <c r="AD303" i="16" s="1" a="1"/>
  <c r="AD303" i="16" s="1"/>
  <c r="AC202" i="16" a="1"/>
  <c r="AC202" i="16" s="1"/>
  <c r="AD202" i="16" s="1" a="1"/>
  <c r="AD202" i="16" s="1"/>
  <c r="AC178" i="16" a="1"/>
  <c r="AC178" i="16" s="1"/>
  <c r="AD178" i="16" s="1" a="1"/>
  <c r="AD178" i="16" s="1"/>
  <c r="AC44" i="16" a="1"/>
  <c r="AC44" i="16" s="1"/>
  <c r="AD44" i="16" s="1" a="1"/>
  <c r="AD44" i="16" s="1"/>
  <c r="AC307" i="16" a="1"/>
  <c r="AC307" i="16" s="1"/>
  <c r="AD307" i="16" s="1" a="1"/>
  <c r="AD307" i="16" s="1"/>
  <c r="AI237" i="16" a="1"/>
  <c r="AI237" i="16" s="1"/>
  <c r="AJ237" i="16" s="1" a="1"/>
  <c r="AJ237" i="16" s="1"/>
  <c r="AE237" i="16" a="1"/>
  <c r="AE237" i="16" s="1"/>
  <c r="AM237" i="16" s="1" a="1"/>
  <c r="AM237" i="16" s="1"/>
  <c r="AI143" i="16" a="1"/>
  <c r="AI143" i="16" s="1"/>
  <c r="AJ143" i="16" s="1" a="1"/>
  <c r="AJ143" i="16" s="1"/>
  <c r="AC50" i="16" a="1"/>
  <c r="AC50" i="16" s="1"/>
  <c r="AD50" i="16" s="1" a="1"/>
  <c r="AD50" i="16" s="1"/>
  <c r="AC261" i="16" a="1"/>
  <c r="AC261" i="16" s="1"/>
  <c r="AD261" i="16" s="1" a="1"/>
  <c r="AD261" i="16" s="1"/>
  <c r="AC125" i="16" a="1"/>
  <c r="AC125" i="16" s="1"/>
  <c r="AD125" i="16" s="1" a="1"/>
  <c r="AD125" i="16" s="1"/>
  <c r="AC123" i="16" a="1"/>
  <c r="AC123" i="16" s="1"/>
  <c r="AD123" i="16" s="1" a="1"/>
  <c r="AD123" i="16" s="1"/>
  <c r="AI130" i="16" a="1"/>
  <c r="AI130" i="16" s="1"/>
  <c r="AJ130" i="16" s="1" a="1"/>
  <c r="AJ130" i="16" s="1"/>
  <c r="AE130" i="16" a="1"/>
  <c r="AE130" i="16" s="1"/>
  <c r="AM130" i="16" s="1" a="1"/>
  <c r="AM130" i="16" s="1"/>
  <c r="Z10" i="16"/>
  <c r="Z217" i="16"/>
  <c r="Z201" i="16"/>
  <c r="R101" i="16"/>
  <c r="R68" i="16"/>
  <c r="R253" i="16"/>
  <c r="R81" i="16"/>
  <c r="Z196" i="16"/>
  <c r="Z181" i="16"/>
  <c r="R146" i="16"/>
  <c r="Z193" i="16"/>
  <c r="R111" i="16"/>
  <c r="R76" i="16"/>
  <c r="R92" i="16"/>
  <c r="Z187" i="16"/>
  <c r="Z192" i="16"/>
  <c r="Z176" i="16"/>
  <c r="R219" i="16"/>
  <c r="Z182" i="16"/>
  <c r="R102" i="16"/>
  <c r="Z198" i="16"/>
  <c r="Z221" i="16"/>
  <c r="AE13" i="16" a="1"/>
  <c r="AE13" i="16" s="1"/>
  <c r="AM13" i="16" s="1" a="1"/>
  <c r="AM13" i="16" s="1"/>
  <c r="AI238" i="16" a="1"/>
  <c r="AI238" i="16" s="1"/>
  <c r="AJ238" i="16" s="1" a="1"/>
  <c r="AJ238" i="16" s="1"/>
  <c r="AE238" i="16" a="1"/>
  <c r="AE238" i="16" s="1"/>
  <c r="AM238" i="16" s="1" a="1"/>
  <c r="AM238" i="16" s="1"/>
  <c r="AC115" i="16" a="1"/>
  <c r="AC115" i="16" s="1"/>
  <c r="AD115" i="16" s="1" a="1"/>
  <c r="AD115" i="16" s="1"/>
  <c r="AI291" i="16" a="1"/>
  <c r="AI291" i="16" s="1"/>
  <c r="AJ291" i="16" s="1" a="1"/>
  <c r="AJ291" i="16" s="1"/>
  <c r="AE291" i="16" a="1"/>
  <c r="AE291" i="16" s="1"/>
  <c r="AM291" i="16" s="1" a="1"/>
  <c r="AM291" i="16" s="1"/>
  <c r="R238" i="16"/>
  <c r="AC29" i="16" a="1"/>
  <c r="AC29" i="16" s="1"/>
  <c r="AD29" i="16" s="1" a="1"/>
  <c r="AD29" i="16" s="1"/>
  <c r="AC159" i="16" a="1"/>
  <c r="AC159" i="16" s="1"/>
  <c r="AD159" i="16" s="1" a="1"/>
  <c r="AD159" i="16" s="1"/>
  <c r="AI301" i="16" a="1"/>
  <c r="AI301" i="16" s="1"/>
  <c r="AJ301" i="16" s="1" a="1"/>
  <c r="AJ301" i="16" s="1"/>
  <c r="AC295" i="16" a="1"/>
  <c r="AC295" i="16" s="1"/>
  <c r="AD295" i="16" s="1" a="1"/>
  <c r="AD295" i="16" s="1"/>
  <c r="Z212" i="16"/>
  <c r="R251" i="16"/>
  <c r="Z231" i="16"/>
  <c r="R150" i="16"/>
  <c r="R116" i="16"/>
  <c r="Z215" i="16"/>
  <c r="R154" i="16"/>
  <c r="R103" i="16"/>
  <c r="R88" i="16"/>
  <c r="Z224" i="16"/>
  <c r="Z37" i="16"/>
  <c r="R264" i="16"/>
  <c r="R90" i="16"/>
  <c r="R87" i="16"/>
  <c r="R89" i="16"/>
  <c r="R112" i="16"/>
  <c r="R179" i="16"/>
  <c r="R203" i="16"/>
  <c r="R79" i="16"/>
  <c r="R106" i="16"/>
  <c r="R172" i="16"/>
  <c r="Z73" i="16"/>
  <c r="R114" i="16"/>
  <c r="R272" i="16"/>
  <c r="R66" i="16"/>
  <c r="R285" i="16"/>
  <c r="AC190" i="16" a="1"/>
  <c r="AC190" i="16" s="1"/>
  <c r="AD190" i="16" s="1" a="1"/>
  <c r="AD190" i="16" s="1"/>
  <c r="AE271" i="16" a="1"/>
  <c r="AE271" i="16" s="1"/>
  <c r="AM271" i="16" s="1" a="1"/>
  <c r="AM271" i="16" s="1"/>
  <c r="AI271" i="16" a="1"/>
  <c r="AI271" i="16" s="1"/>
  <c r="AJ271" i="16" s="1" a="1"/>
  <c r="AJ271" i="16" s="1"/>
  <c r="AC46" i="16" a="1"/>
  <c r="AC46" i="16" s="1"/>
  <c r="AD46" i="16" s="1" a="1"/>
  <c r="AD46" i="16" s="1"/>
  <c r="AI157" i="16" a="1"/>
  <c r="AI157" i="16" s="1"/>
  <c r="AJ157" i="16" s="1" a="1"/>
  <c r="AJ157" i="16" s="1"/>
  <c r="AI323" i="16" a="1"/>
  <c r="AI323" i="16" s="1"/>
  <c r="AJ323" i="16" s="1" a="1"/>
  <c r="AJ323" i="16" s="1"/>
  <c r="AE323" i="16" a="1"/>
  <c r="AE323" i="16" s="1"/>
  <c r="AM323" i="16" s="1" a="1"/>
  <c r="AM323" i="16" s="1"/>
  <c r="AI39" i="16" a="1"/>
  <c r="AI39" i="16" s="1"/>
  <c r="AJ39" i="16" s="1" a="1"/>
  <c r="AJ39" i="16" s="1"/>
  <c r="AE39" i="16" a="1"/>
  <c r="AE39" i="16" s="1"/>
  <c r="AM39" i="16" s="1" a="1"/>
  <c r="AM39" i="16" s="1"/>
  <c r="AC161" i="16" a="1"/>
  <c r="AC161" i="16" s="1"/>
  <c r="AD161" i="16" s="1" a="1"/>
  <c r="AD161" i="16" s="1"/>
  <c r="AE318" i="16" a="1"/>
  <c r="AE318" i="16" s="1"/>
  <c r="AM318" i="16" s="1" a="1"/>
  <c r="AM318" i="16" s="1"/>
  <c r="AI7" i="16" a="1"/>
  <c r="AI7" i="16" s="1"/>
  <c r="AJ7" i="16" s="1" a="1"/>
  <c r="AJ7" i="16" s="1"/>
  <c r="AC77" i="16" a="1"/>
  <c r="AC77" i="16" s="1"/>
  <c r="AD77" i="16" s="1" a="1"/>
  <c r="AD77" i="16" s="1"/>
  <c r="AC37" i="16" a="1"/>
  <c r="AC37" i="16" s="1"/>
  <c r="AD37" i="16" s="1" a="1"/>
  <c r="AD37" i="16" s="1"/>
  <c r="AI126" i="16" a="1"/>
  <c r="AI126" i="16" s="1"/>
  <c r="AJ126" i="16" s="1" a="1"/>
  <c r="AJ126" i="16" s="1"/>
  <c r="AE126" i="16" a="1"/>
  <c r="AE126" i="16" s="1"/>
  <c r="AM126" i="16" s="1" a="1"/>
  <c r="AM126" i="16" s="1"/>
  <c r="AI276" i="16" a="1"/>
  <c r="AI276" i="16" s="1"/>
  <c r="AJ276" i="16" s="1" a="1"/>
  <c r="AJ276" i="16" s="1"/>
  <c r="Z209" i="16"/>
  <c r="R94" i="16"/>
  <c r="Z206" i="16"/>
  <c r="R142" i="16"/>
  <c r="Z184" i="16"/>
  <c r="R138" i="16"/>
  <c r="Z216" i="16"/>
  <c r="Z230" i="16"/>
  <c r="R245" i="16"/>
  <c r="R83" i="16"/>
  <c r="Z61" i="16"/>
  <c r="R293" i="16"/>
  <c r="R289" i="16"/>
  <c r="R120" i="16"/>
  <c r="R313" i="16"/>
  <c r="Z213" i="16"/>
  <c r="R75" i="16"/>
  <c r="Z211" i="16"/>
  <c r="Z210" i="16"/>
  <c r="Z195" i="16"/>
  <c r="AE9" i="16" a="1"/>
  <c r="AE9" i="16" s="1"/>
  <c r="AM9" i="16" s="1" a="1"/>
  <c r="AM9" i="16" s="1"/>
  <c r="AE31" i="16" a="1"/>
  <c r="AE31" i="16" s="1"/>
  <c r="AM31" i="16" s="1" a="1"/>
  <c r="AM31" i="16" s="1"/>
  <c r="AI31" i="16" a="1"/>
  <c r="AI31" i="16" s="1"/>
  <c r="AJ31" i="16" s="1" a="1"/>
  <c r="AJ31" i="16" s="1"/>
  <c r="AC173" i="16" a="1"/>
  <c r="AC173" i="16" s="1"/>
  <c r="AD173" i="16" s="1" a="1"/>
  <c r="AD173" i="16" s="1"/>
  <c r="AI163" i="16" a="1"/>
  <c r="AI163" i="16" s="1"/>
  <c r="AJ163" i="16" s="1" a="1"/>
  <c r="AJ163" i="16" s="1"/>
  <c r="AC10" i="16" a="1"/>
  <c r="AC10" i="16" s="1"/>
  <c r="AI248" i="16" a="1"/>
  <c r="AI248" i="16" s="1"/>
  <c r="AJ248" i="16" s="1" a="1"/>
  <c r="AJ248" i="16" s="1"/>
  <c r="AI72" i="16" a="1"/>
  <c r="AI72" i="16" s="1"/>
  <c r="AJ72" i="16" s="1" a="1"/>
  <c r="AJ72" i="16" s="1"/>
  <c r="R84" i="16"/>
  <c r="Z223" i="16"/>
  <c r="R134" i="16"/>
  <c r="R280" i="16"/>
  <c r="R234" i="16"/>
  <c r="Z227" i="16"/>
  <c r="R105" i="16"/>
  <c r="Z203" i="16"/>
  <c r="Z179" i="16"/>
  <c r="Z180" i="16"/>
  <c r="Z49" i="16"/>
  <c r="R78" i="16"/>
  <c r="R241" i="16"/>
  <c r="R91" i="16"/>
  <c r="R239" i="16"/>
  <c r="Z188" i="16"/>
  <c r="R93" i="16"/>
  <c r="R99" i="16"/>
  <c r="AC20" i="16" a="1"/>
  <c r="AC20" i="16" s="1"/>
  <c r="AC36" i="16" a="1"/>
  <c r="AC36" i="16" s="1"/>
  <c r="AD36" i="16" s="1" a="1"/>
  <c r="AD36" i="16" s="1"/>
  <c r="R5" i="16"/>
  <c r="Z14" i="16"/>
  <c r="Z25" i="16"/>
  <c r="Z150" i="16"/>
  <c r="Z151" i="16"/>
  <c r="Z246" i="16"/>
  <c r="Z116" i="16"/>
  <c r="R221" i="16"/>
  <c r="Z56" i="16"/>
  <c r="R189" i="16"/>
  <c r="R38" i="16"/>
  <c r="Z155" i="16"/>
  <c r="R324" i="16"/>
  <c r="R168" i="16"/>
  <c r="R278" i="16"/>
  <c r="Z119" i="16"/>
  <c r="R308" i="16"/>
  <c r="R215" i="16"/>
  <c r="R262" i="16"/>
  <c r="Z154" i="16"/>
  <c r="Z302" i="16"/>
  <c r="Z165" i="16"/>
  <c r="Z136" i="16"/>
  <c r="Z305" i="16"/>
  <c r="Z283" i="16"/>
  <c r="Z67" i="16"/>
  <c r="Z87" i="16"/>
  <c r="Z240" i="16"/>
  <c r="Z89" i="16"/>
  <c r="Z112" i="16"/>
  <c r="R273" i="16"/>
  <c r="Z292" i="16"/>
  <c r="Z64" i="16"/>
  <c r="Z128" i="16"/>
  <c r="Z313" i="16"/>
  <c r="Z161" i="16"/>
  <c r="Z275" i="16"/>
  <c r="Z273" i="16"/>
  <c r="R177" i="16"/>
  <c r="R300" i="16"/>
  <c r="R322" i="16"/>
  <c r="R311" i="16"/>
  <c r="Z99" i="16"/>
  <c r="Z303" i="16"/>
  <c r="R176" i="16"/>
  <c r="Z35" i="16"/>
  <c r="Z44" i="16"/>
  <c r="R233" i="16"/>
  <c r="R182" i="16"/>
  <c r="R242" i="16"/>
  <c r="Z236" i="16"/>
  <c r="Z62" i="16"/>
  <c r="Z63" i="16"/>
  <c r="Z261" i="16"/>
  <c r="AC207" i="16" a="1"/>
  <c r="AC207" i="16" s="1"/>
  <c r="AD207" i="16" s="1" a="1"/>
  <c r="AD207" i="16" s="1"/>
  <c r="AI320" i="16" a="1"/>
  <c r="AI320" i="16" s="1"/>
  <c r="AJ320" i="16" s="1" a="1"/>
  <c r="AJ320" i="16" s="1"/>
  <c r="AE320" i="16" a="1"/>
  <c r="AE320" i="16" s="1"/>
  <c r="AM320" i="16" s="1" a="1"/>
  <c r="AM320" i="16" s="1"/>
  <c r="AC249" i="16" a="1"/>
  <c r="AC249" i="16" s="1"/>
  <c r="AD249" i="16" s="1" a="1"/>
  <c r="AD249" i="16" s="1"/>
  <c r="AI94" i="16" a="1"/>
  <c r="AI94" i="16" s="1"/>
  <c r="AJ94" i="16" s="1" a="1"/>
  <c r="AJ94" i="16" s="1"/>
  <c r="AE94" i="16" a="1"/>
  <c r="AE94" i="16" s="1"/>
  <c r="AM94" i="16" s="1" a="1"/>
  <c r="AM94" i="16" s="1"/>
  <c r="AC41" i="16" a="1"/>
  <c r="AC41" i="16" s="1"/>
  <c r="AD41" i="16" s="1" a="1"/>
  <c r="AD41" i="16" s="1"/>
  <c r="AI107" i="16" a="1"/>
  <c r="AI107" i="16" s="1"/>
  <c r="AJ107" i="16" s="1" a="1"/>
  <c r="AJ107" i="16" s="1"/>
  <c r="AC48" i="16" a="1"/>
  <c r="AC48" i="16" s="1"/>
  <c r="AD48" i="16" s="1" a="1"/>
  <c r="AD48" i="16" s="1"/>
  <c r="AE307" i="16" a="1"/>
  <c r="AE307" i="16" s="1"/>
  <c r="AM307" i="16" s="1" a="1"/>
  <c r="AM307" i="16" s="1"/>
  <c r="AC170" i="16" a="1"/>
  <c r="AC170" i="16" s="1"/>
  <c r="AD170" i="16" s="1" a="1"/>
  <c r="AD170" i="16" s="1"/>
  <c r="AE114" i="16" a="1"/>
  <c r="AE114" i="16" s="1"/>
  <c r="AM114" i="16" s="1" a="1"/>
  <c r="AM114" i="16" s="1"/>
  <c r="AI272" i="16" a="1"/>
  <c r="AI272" i="16" s="1"/>
  <c r="AJ272" i="16" s="1" a="1"/>
  <c r="AJ272" i="16" s="1"/>
  <c r="AE272" i="16" a="1"/>
  <c r="AE272" i="16" s="1"/>
  <c r="AM272" i="16" s="1" a="1"/>
  <c r="AM272" i="16" s="1"/>
  <c r="AC314" i="16" a="1"/>
  <c r="AC314" i="16" s="1"/>
  <c r="AD314" i="16" s="1" a="1"/>
  <c r="AD314" i="16" s="1"/>
  <c r="AC127" i="16" a="1"/>
  <c r="AC127" i="16" s="1"/>
  <c r="AD127" i="16" s="1" a="1"/>
  <c r="AD127" i="16" s="1"/>
  <c r="AE95" i="16" a="1"/>
  <c r="AE95" i="16" s="1"/>
  <c r="AM95" i="16" s="1" a="1"/>
  <c r="AM95" i="16" s="1"/>
  <c r="AI289" i="16" a="1"/>
  <c r="AI289" i="16" s="1"/>
  <c r="AJ289" i="16" s="1" a="1"/>
  <c r="AJ289" i="16" s="1"/>
  <c r="Z190" i="16"/>
  <c r="Z185" i="16"/>
  <c r="R237" i="16"/>
  <c r="Z228" i="16"/>
  <c r="Z222" i="16"/>
  <c r="R158" i="16"/>
  <c r="R305" i="16"/>
  <c r="R255" i="16"/>
  <c r="R130" i="16"/>
  <c r="R74" i="16"/>
  <c r="Z172" i="16"/>
  <c r="R73" i="16"/>
  <c r="R297" i="16"/>
  <c r="Z167" i="16"/>
  <c r="R109" i="16"/>
  <c r="Z197" i="16"/>
  <c r="Z205" i="16"/>
  <c r="R14" i="16"/>
  <c r="R27" i="16"/>
  <c r="R17" i="16"/>
  <c r="Z18" i="16"/>
  <c r="Z19" i="16"/>
  <c r="R23" i="16"/>
  <c r="R12" i="16"/>
  <c r="R4" i="16"/>
  <c r="Z5" i="16"/>
  <c r="Z6" i="16"/>
  <c r="Z33" i="16"/>
  <c r="R15" i="16"/>
  <c r="Z24" i="16"/>
  <c r="R16" i="16"/>
  <c r="R30" i="16"/>
  <c r="Z12" i="16"/>
  <c r="Z23" i="16"/>
  <c r="Z17" i="16"/>
  <c r="Z20" i="16"/>
  <c r="R13" i="16"/>
  <c r="Z16" i="16"/>
  <c r="R11" i="16"/>
  <c r="Z4" i="16"/>
  <c r="Z29" i="16"/>
  <c r="R19" i="16"/>
  <c r="R24" i="16"/>
  <c r="R7" i="16"/>
  <c r="R28" i="16"/>
  <c r="Z15" i="16"/>
  <c r="R6" i="16"/>
  <c r="R25" i="16"/>
  <c r="R33" i="16"/>
  <c r="Z27" i="16"/>
  <c r="R22" i="16"/>
  <c r="Z21" i="16"/>
  <c r="R21" i="16"/>
  <c r="D1" i="5"/>
  <c r="D326" i="5"/>
  <c r="AI76" i="16" l="1" a="1"/>
  <c r="AI76" i="16" s="1"/>
  <c r="AJ76" i="16" s="1" a="1"/>
  <c r="AJ76" i="16" s="1"/>
  <c r="AI280" i="16" a="1"/>
  <c r="AI280" i="16" s="1"/>
  <c r="AJ280" i="16" s="1" a="1"/>
  <c r="AJ280" i="16" s="1"/>
  <c r="AE308" i="18"/>
  <c r="AE237" i="18"/>
  <c r="AG228" i="18" a="1"/>
  <c r="AG228" i="18" s="1"/>
  <c r="AH228" i="18" s="1" a="1"/>
  <c r="AH228" i="18" s="1"/>
  <c r="AE272" i="18"/>
  <c r="AE140" i="16" a="1"/>
  <c r="AE140" i="16" s="1"/>
  <c r="AM140" i="16" s="1" a="1"/>
  <c r="AM140" i="16" s="1"/>
  <c r="AC252" i="18" a="1"/>
  <c r="AC252" i="18" s="1"/>
  <c r="AK252" i="18" s="1"/>
  <c r="AC184" i="18" a="1"/>
  <c r="AC184" i="18" s="1"/>
  <c r="AK184" i="18" s="1"/>
  <c r="AI61" i="18" a="1"/>
  <c r="AI61" i="18" s="1"/>
  <c r="AJ61" i="18" s="1"/>
  <c r="AE247" i="16" a="1"/>
  <c r="AE247" i="16" s="1"/>
  <c r="AM247" i="16" s="1" a="1"/>
  <c r="AM247" i="16" s="1"/>
  <c r="AI234" i="16" a="1"/>
  <c r="AI234" i="16" s="1"/>
  <c r="AJ234" i="16" s="1" a="1"/>
  <c r="AJ234" i="16" s="1"/>
  <c r="AE325" i="18"/>
  <c r="AE90" i="16" a="1"/>
  <c r="AE90" i="16" s="1"/>
  <c r="AM90" i="16" s="1" a="1"/>
  <c r="AM90" i="16" s="1"/>
  <c r="AE268" i="16" a="1"/>
  <c r="AE268" i="16" s="1"/>
  <c r="AM268" i="16" s="1" a="1"/>
  <c r="AM268" i="16" s="1"/>
  <c r="AI79" i="18" a="1"/>
  <c r="AI79" i="18" s="1"/>
  <c r="AJ79" i="18" s="1"/>
  <c r="AC119" i="18" a="1"/>
  <c r="AC119" i="18" s="1"/>
  <c r="AK119" i="18" s="1"/>
  <c r="AE71" i="16" a="1"/>
  <c r="AE71" i="16" s="1"/>
  <c r="AM71" i="16" s="1" a="1"/>
  <c r="AM71" i="16" s="1"/>
  <c r="AI235" i="16" a="1"/>
  <c r="AI235" i="16" s="1"/>
  <c r="AJ235" i="16" s="1" a="1"/>
  <c r="AJ235" i="16" s="1"/>
  <c r="AG47" i="18" a="1"/>
  <c r="AG47" i="18" s="1"/>
  <c r="AH47" i="18" s="1" a="1"/>
  <c r="AH47" i="18" s="1"/>
  <c r="AG158" i="18" a="1"/>
  <c r="AG158" i="18" s="1"/>
  <c r="AH158" i="18" s="1" a="1"/>
  <c r="AH158" i="18" s="1"/>
  <c r="AI81" i="18" a="1"/>
  <c r="AI81" i="18" s="1"/>
  <c r="AJ81" i="18" s="1"/>
  <c r="AG316" i="18" a="1"/>
  <c r="AG316" i="18" s="1"/>
  <c r="AH316" i="18" s="1" a="1"/>
  <c r="AH316" i="18" s="1"/>
  <c r="AI42" i="16" a="1"/>
  <c r="AI42" i="16" s="1"/>
  <c r="AJ42" i="16" s="1" a="1"/>
  <c r="AJ42" i="16" s="1"/>
  <c r="AI290" i="16" a="1"/>
  <c r="AI290" i="16" s="1"/>
  <c r="AJ290" i="16" s="1" a="1"/>
  <c r="AJ290" i="16" s="1"/>
  <c r="AC223" i="18" a="1"/>
  <c r="AC223" i="18" s="1"/>
  <c r="AK223" i="18" s="1"/>
  <c r="AG38" i="18" a="1"/>
  <c r="AG38" i="18" s="1"/>
  <c r="AH38" i="18" s="1" a="1"/>
  <c r="AH38" i="18" s="1"/>
  <c r="AC174" i="18" a="1"/>
  <c r="AC174" i="18" s="1"/>
  <c r="AK174" i="18" s="1"/>
  <c r="AE253" i="16" a="1"/>
  <c r="AE253" i="16" s="1"/>
  <c r="AM253" i="16" s="1" a="1"/>
  <c r="AM253" i="16" s="1"/>
  <c r="AG121" i="18" a="1"/>
  <c r="AG121" i="18" s="1"/>
  <c r="AH121" i="18" s="1" a="1"/>
  <c r="AH121" i="18" s="1"/>
  <c r="AE233" i="18"/>
  <c r="AF233" i="18" s="1"/>
  <c r="AN233" i="18" s="1"/>
  <c r="AE50" i="16" a="1"/>
  <c r="AE50" i="16" s="1"/>
  <c r="AM50" i="16" s="1" a="1"/>
  <c r="AM50" i="16" s="1"/>
  <c r="AE108" i="16" a="1"/>
  <c r="AE108" i="16" s="1"/>
  <c r="AM108" i="16" s="1" a="1"/>
  <c r="AM108" i="16" s="1"/>
  <c r="AE243" i="16" a="1"/>
  <c r="AE243" i="16" s="1"/>
  <c r="AM243" i="16" s="1" a="1"/>
  <c r="AM243" i="16" s="1"/>
  <c r="AE28" i="16" a="1"/>
  <c r="AE28" i="16" s="1"/>
  <c r="AM28" i="16" s="1" a="1"/>
  <c r="AM28" i="16" s="1"/>
  <c r="AG260" i="18" a="1"/>
  <c r="AG260" i="18" s="1"/>
  <c r="AH260" i="18" s="1" a="1"/>
  <c r="AH260" i="18" s="1"/>
  <c r="AG126" i="18" a="1"/>
  <c r="AG126" i="18" s="1"/>
  <c r="AH126" i="18" s="1" a="1"/>
  <c r="AH126" i="18" s="1"/>
  <c r="AG150" i="18" a="1"/>
  <c r="AG150" i="18" s="1"/>
  <c r="AH150" i="18" s="1" a="1"/>
  <c r="AH150" i="18" s="1"/>
  <c r="AG208" i="18" a="1"/>
  <c r="AG208" i="18" s="1"/>
  <c r="AH208" i="18" s="1" a="1"/>
  <c r="AH208" i="18" s="1"/>
  <c r="AI305" i="18" a="1"/>
  <c r="AI305" i="18" s="1"/>
  <c r="AJ305" i="18" s="1"/>
  <c r="AG281" i="18" a="1"/>
  <c r="AG281" i="18" s="1"/>
  <c r="AH281" i="18" s="1" a="1"/>
  <c r="AH281" i="18" s="1"/>
  <c r="AI262" i="16" a="1"/>
  <c r="AI262" i="16" s="1"/>
  <c r="AJ262" i="16" s="1" a="1"/>
  <c r="AJ262" i="16" s="1"/>
  <c r="AG319" i="18" a="1"/>
  <c r="AG319" i="18" s="1"/>
  <c r="AH319" i="18" s="1" a="1"/>
  <c r="AH319" i="18" s="1"/>
  <c r="AI265" i="16" a="1"/>
  <c r="AI265" i="16" s="1"/>
  <c r="AJ265" i="16" s="1" a="1"/>
  <c r="AJ265" i="16" s="1"/>
  <c r="AE225" i="16" a="1"/>
  <c r="AE225" i="16" s="1"/>
  <c r="AM225" i="16" s="1" a="1"/>
  <c r="AM225" i="16" s="1"/>
  <c r="AE93" i="16" a="1"/>
  <c r="AE93" i="16" s="1"/>
  <c r="AM93" i="16" s="1" a="1"/>
  <c r="AM93" i="16" s="1"/>
  <c r="AE101" i="16" a="1"/>
  <c r="AE101" i="16" s="1"/>
  <c r="AM101" i="16" s="1" a="1"/>
  <c r="AM101" i="16" s="1"/>
  <c r="AE98" i="16" a="1"/>
  <c r="AE98" i="16" s="1"/>
  <c r="AM98" i="16" s="1" a="1"/>
  <c r="AM98" i="16" s="1"/>
  <c r="AI251" i="16" a="1"/>
  <c r="AI251" i="16" s="1"/>
  <c r="AG213" i="18" a="1"/>
  <c r="AG213" i="18" s="1"/>
  <c r="AH213" i="18" s="1" a="1"/>
  <c r="AH213" i="18" s="1"/>
  <c r="AG244" i="18" a="1"/>
  <c r="AG244" i="18" s="1"/>
  <c r="AH244" i="18" s="1" a="1"/>
  <c r="AH244" i="18" s="1"/>
  <c r="AI79" i="16" a="1"/>
  <c r="AI79" i="16" s="1"/>
  <c r="AJ79" i="16" s="1" a="1"/>
  <c r="AJ79" i="16" s="1"/>
  <c r="AI173" i="16" a="1"/>
  <c r="AI173" i="16" s="1"/>
  <c r="AJ173" i="16" s="1" a="1"/>
  <c r="AJ173" i="16" s="1"/>
  <c r="AI171" i="16" a="1"/>
  <c r="AI171" i="16" s="1"/>
  <c r="AJ171" i="16" s="1" a="1"/>
  <c r="AJ171" i="16" s="1"/>
  <c r="AE81" i="16" a="1"/>
  <c r="AE81" i="16" s="1"/>
  <c r="AM81" i="16" s="1" a="1"/>
  <c r="AM81" i="16" s="1"/>
  <c r="AE148" i="16" a="1"/>
  <c r="AE148" i="16" s="1"/>
  <c r="AM148" i="16" s="1" a="1"/>
  <c r="AM148" i="16" s="1"/>
  <c r="AG198" i="18" a="1"/>
  <c r="AG198" i="18" s="1"/>
  <c r="AH198" i="18" s="1" a="1"/>
  <c r="AH198" i="18" s="1"/>
  <c r="AE319" i="18"/>
  <c r="AM319" i="18" s="1"/>
  <c r="AE123" i="18"/>
  <c r="AF123" i="18" s="1"/>
  <c r="AN123" i="18" s="1"/>
  <c r="AE145" i="16" a="1"/>
  <c r="AE145" i="16" s="1"/>
  <c r="AM145" i="16" s="1" a="1"/>
  <c r="AM145" i="16" s="1"/>
  <c r="AE258" i="16" a="1"/>
  <c r="AE258" i="16" s="1"/>
  <c r="AM258" i="16" s="1" a="1"/>
  <c r="AM258" i="16" s="1"/>
  <c r="AI296" i="18" a="1"/>
  <c r="AI296" i="18" s="1"/>
  <c r="AJ296" i="18" s="1"/>
  <c r="AE263" i="18"/>
  <c r="AM263" i="18" s="1"/>
  <c r="AG253" i="18" a="1"/>
  <c r="AG253" i="18" s="1"/>
  <c r="AH253" i="18" s="1" a="1"/>
  <c r="AH253" i="18" s="1"/>
  <c r="AE132" i="16" a="1"/>
  <c r="AE132" i="16" s="1"/>
  <c r="AM132" i="16" s="1" a="1"/>
  <c r="AM132" i="16" s="1"/>
  <c r="AI103" i="16" a="1"/>
  <c r="AI103" i="16" s="1"/>
  <c r="AJ103" i="16" s="1" a="1"/>
  <c r="AJ103" i="16" s="1"/>
  <c r="AE266" i="16" a="1"/>
  <c r="AE266" i="16" s="1"/>
  <c r="AM266" i="16" s="1" a="1"/>
  <c r="AM266" i="16" s="1"/>
  <c r="AE113" i="16" a="1"/>
  <c r="AE113" i="16" s="1"/>
  <c r="AM113" i="16" s="1" a="1"/>
  <c r="AM113" i="16" s="1"/>
  <c r="AI178" i="16" a="1"/>
  <c r="AI178" i="16" s="1"/>
  <c r="AJ178" i="16" s="1" a="1"/>
  <c r="AJ178" i="16" s="1"/>
  <c r="AI274" i="16" a="1"/>
  <c r="AI274" i="16" s="1"/>
  <c r="AJ274" i="16" s="1" a="1"/>
  <c r="AJ274" i="16" s="1"/>
  <c r="AC180" i="18" a="1"/>
  <c r="AC180" i="18" s="1"/>
  <c r="AK180" i="18" s="1"/>
  <c r="AC48" i="18" a="1"/>
  <c r="AC48" i="18" s="1"/>
  <c r="AK48" i="18" s="1"/>
  <c r="AI120" i="16" a="1"/>
  <c r="AI120" i="16" s="1"/>
  <c r="AJ120" i="16" s="1" a="1"/>
  <c r="AJ120" i="16" s="1"/>
  <c r="AE286" i="16" a="1"/>
  <c r="AE286" i="16" s="1"/>
  <c r="AM286" i="16" s="1" a="1"/>
  <c r="AM286" i="16" s="1"/>
  <c r="AI47" i="16" a="1"/>
  <c r="AI47" i="16" s="1"/>
  <c r="AJ47" i="16" s="1" a="1"/>
  <c r="AJ47" i="16" s="1"/>
  <c r="AE57" i="16" a="1"/>
  <c r="AE57" i="16" s="1"/>
  <c r="AM57" i="16" s="1" a="1"/>
  <c r="AM57" i="16" s="1"/>
  <c r="AG93" i="18" a="1"/>
  <c r="AG93" i="18" s="1"/>
  <c r="AH93" i="18" s="1" a="1"/>
  <c r="AH93" i="18" s="1"/>
  <c r="AG219" i="18" a="1"/>
  <c r="AG219" i="18" s="1"/>
  <c r="AH219" i="18" s="1" a="1"/>
  <c r="AH219" i="18" s="1"/>
  <c r="AE217" i="18"/>
  <c r="AF217" i="18" s="1"/>
  <c r="AN217" i="18" s="1"/>
  <c r="AE159" i="16" a="1"/>
  <c r="AE159" i="16" s="1"/>
  <c r="AM159" i="16" s="1" a="1"/>
  <c r="AM159" i="16" s="1"/>
  <c r="AE322" i="16" a="1"/>
  <c r="AE322" i="16" s="1"/>
  <c r="AM322" i="16" s="1" a="1"/>
  <c r="AM322" i="16" s="1"/>
  <c r="AE66" i="16" a="1"/>
  <c r="AE66" i="16" s="1"/>
  <c r="AM66" i="16" s="1" a="1"/>
  <c r="AM66" i="16" s="1"/>
  <c r="AI92" i="16" a="1"/>
  <c r="AI92" i="16" s="1"/>
  <c r="AJ92" i="16" s="1" a="1"/>
  <c r="AJ92" i="16" s="1"/>
  <c r="AI153" i="16" a="1"/>
  <c r="AI153" i="16" s="1"/>
  <c r="AJ153" i="16" s="1" a="1"/>
  <c r="AJ153" i="16" s="1"/>
  <c r="AG49" i="18" a="1"/>
  <c r="AG49" i="18" s="1"/>
  <c r="AH49" i="18" s="1" a="1"/>
  <c r="AH49" i="18" s="1"/>
  <c r="AG282" i="18" a="1"/>
  <c r="AG282" i="18" s="1"/>
  <c r="AH282" i="18" s="1" a="1"/>
  <c r="AH282" i="18" s="1"/>
  <c r="AI121" i="16" a="1"/>
  <c r="AI121" i="16" s="1"/>
  <c r="AJ121" i="16" s="1" a="1"/>
  <c r="AJ121" i="16" s="1"/>
  <c r="AG106" i="18" a="1"/>
  <c r="AG106" i="18" s="1"/>
  <c r="AH106" i="18" s="1" a="1"/>
  <c r="AH106" i="18" s="1"/>
  <c r="AG303" i="18" a="1"/>
  <c r="AG303" i="18" s="1"/>
  <c r="AH303" i="18" s="1" a="1"/>
  <c r="AH303" i="18" s="1"/>
  <c r="AE300" i="18"/>
  <c r="AI245" i="16" a="1"/>
  <c r="AI245" i="16" s="1"/>
  <c r="AJ245" i="16" s="1" a="1"/>
  <c r="AJ245" i="16" s="1"/>
  <c r="AE263" i="16" a="1"/>
  <c r="AE263" i="16" s="1"/>
  <c r="AM263" i="16" s="1" a="1"/>
  <c r="AM263" i="16" s="1"/>
  <c r="AE177" i="18"/>
  <c r="AM177" i="18" s="1"/>
  <c r="AE58" i="18"/>
  <c r="AF58" i="18" s="1"/>
  <c r="AN58" i="18" s="1"/>
  <c r="AI205" i="18" a="1"/>
  <c r="AI205" i="18" s="1"/>
  <c r="AJ205" i="18" s="1"/>
  <c r="AE171" i="18"/>
  <c r="AF171" i="18" s="1"/>
  <c r="AN171" i="18" s="1"/>
  <c r="AG241" i="18" a="1"/>
  <c r="AG241" i="18" s="1"/>
  <c r="AH241" i="18" s="1" a="1"/>
  <c r="AH241" i="18" s="1"/>
  <c r="AG304" i="18" a="1"/>
  <c r="AG304" i="18" s="1"/>
  <c r="AH304" i="18" s="1" a="1"/>
  <c r="AH304" i="18" s="1"/>
  <c r="AI163" i="18" a="1"/>
  <c r="AI163" i="18" s="1"/>
  <c r="AJ163" i="18" s="1"/>
  <c r="AE270" i="18"/>
  <c r="AF270" i="18" s="1"/>
  <c r="AN270" i="18" s="1"/>
  <c r="AE325" i="16" a="1"/>
  <c r="AE325" i="16" s="1"/>
  <c r="AM325" i="16" s="1" a="1"/>
  <c r="AM325" i="16" s="1"/>
  <c r="AG41" i="18" a="1"/>
  <c r="AG41" i="18" s="1"/>
  <c r="AH41" i="18" s="1" a="1"/>
  <c r="AH41" i="18" s="1"/>
  <c r="AG273" i="18" a="1"/>
  <c r="AG273" i="18" s="1"/>
  <c r="AH273" i="18" s="1" a="1"/>
  <c r="AH273" i="18" s="1"/>
  <c r="AE317" i="16" a="1"/>
  <c r="AE317" i="16" s="1"/>
  <c r="AM317" i="16" s="1" a="1"/>
  <c r="AM317" i="16" s="1"/>
  <c r="AG283" i="18" a="1"/>
  <c r="AG283" i="18" s="1"/>
  <c r="AH283" i="18" s="1" a="1"/>
  <c r="AH283" i="18" s="1"/>
  <c r="AG122" i="18" a="1"/>
  <c r="AG122" i="18" s="1"/>
  <c r="AH122" i="18" s="1" a="1"/>
  <c r="AH122" i="18" s="1"/>
  <c r="AE276" i="18"/>
  <c r="AF276" i="18" s="1"/>
  <c r="AN276" i="18" s="1"/>
  <c r="AG277" i="18" a="1"/>
  <c r="AG277" i="18" s="1"/>
  <c r="AH277" i="18" s="1" a="1"/>
  <c r="AH277" i="18" s="1"/>
  <c r="AI103" i="18" a="1"/>
  <c r="AI103" i="18" s="1"/>
  <c r="AJ103" i="18" s="1"/>
  <c r="AE242" i="16" a="1"/>
  <c r="AE242" i="16" s="1"/>
  <c r="AM242" i="16" s="1" a="1"/>
  <c r="AM242" i="16" s="1"/>
  <c r="AI82" i="16" a="1"/>
  <c r="AI82" i="16" s="1"/>
  <c r="AJ82" i="16" s="1" a="1"/>
  <c r="AJ82" i="16" s="1"/>
  <c r="AE308" i="16" a="1"/>
  <c r="AE308" i="16" s="1"/>
  <c r="AM308" i="16" s="1" a="1"/>
  <c r="AM308" i="16" s="1"/>
  <c r="AE239" i="16" a="1"/>
  <c r="AE239" i="16" s="1"/>
  <c r="AM239" i="16" s="1" a="1"/>
  <c r="AM239" i="16" s="1"/>
  <c r="AI144" i="16" a="1"/>
  <c r="AI144" i="16" s="1"/>
  <c r="AJ144" i="16" s="1" a="1"/>
  <c r="AJ144" i="16" s="1"/>
  <c r="AI68" i="16" a="1"/>
  <c r="AI68" i="16" s="1"/>
  <c r="AJ68" i="16" s="1" a="1"/>
  <c r="AJ68" i="16" s="1"/>
  <c r="AE110" i="16" a="1"/>
  <c r="AE110" i="16" s="1"/>
  <c r="AM110" i="16" s="1" a="1"/>
  <c r="AM110" i="16" s="1"/>
  <c r="AI83" i="16" a="1"/>
  <c r="AI83" i="16" s="1"/>
  <c r="AJ83" i="16" s="1" a="1"/>
  <c r="AJ83" i="16" s="1"/>
  <c r="AE100" i="16" a="1"/>
  <c r="AE100" i="16" s="1"/>
  <c r="AM100" i="16" s="1" a="1"/>
  <c r="AM100" i="16" s="1"/>
  <c r="AG124" i="18" a="1"/>
  <c r="AG124" i="18" s="1"/>
  <c r="AH124" i="18" s="1" a="1"/>
  <c r="AH124" i="18" s="1"/>
  <c r="AI169" i="18" a="1"/>
  <c r="AI169" i="18" s="1"/>
  <c r="AJ169" i="18" s="1"/>
  <c r="AG207" i="18" a="1"/>
  <c r="AG207" i="18" s="1"/>
  <c r="AH207" i="18" s="1" a="1"/>
  <c r="AH207" i="18" s="1"/>
  <c r="AI123" i="16" a="1"/>
  <c r="AI123" i="16" s="1"/>
  <c r="AJ123" i="16" s="1" a="1"/>
  <c r="AJ123" i="16" s="1"/>
  <c r="AE93" i="18"/>
  <c r="AF93" i="18" s="1"/>
  <c r="AN93" i="18" s="1"/>
  <c r="AG123" i="18" a="1"/>
  <c r="AG123" i="18" s="1"/>
  <c r="AH123" i="18" s="1" a="1"/>
  <c r="AH123" i="18" s="1"/>
  <c r="AC74" i="18" a="1"/>
  <c r="AC74" i="18" s="1"/>
  <c r="AK74" i="18" s="1"/>
  <c r="AG256" i="18" a="1"/>
  <c r="AG256" i="18" s="1"/>
  <c r="AH256" i="18" s="1" a="1"/>
  <c r="AH256" i="18" s="1"/>
  <c r="AC97" i="18" a="1"/>
  <c r="AC97" i="18" s="1"/>
  <c r="AK97" i="18" s="1"/>
  <c r="AE288" i="18"/>
  <c r="AF288" i="18" s="1"/>
  <c r="AN288" i="18" s="1"/>
  <c r="AI67" i="18" a="1"/>
  <c r="AI67" i="18" s="1"/>
  <c r="AJ67" i="18" s="1"/>
  <c r="AG66" i="18" a="1"/>
  <c r="AG66" i="18" s="1"/>
  <c r="AH66" i="18" s="1" a="1"/>
  <c r="AH66" i="18" s="1"/>
  <c r="AI119" i="18" a="1"/>
  <c r="AI119" i="18" s="1"/>
  <c r="AJ119" i="18" s="1"/>
  <c r="AG248" i="18" a="1"/>
  <c r="AG248" i="18" s="1"/>
  <c r="AH248" i="18" s="1" a="1"/>
  <c r="AH248" i="18" s="1"/>
  <c r="AG275" i="18" a="1"/>
  <c r="AG275" i="18" s="1"/>
  <c r="AH275" i="18" s="1" a="1"/>
  <c r="AH275" i="18" s="1"/>
  <c r="AE45" i="18"/>
  <c r="AF45" i="18" s="1"/>
  <c r="AN45" i="18" s="1"/>
  <c r="AG85" i="18" a="1"/>
  <c r="AG85" i="18" s="1"/>
  <c r="AH85" i="18" s="1" a="1"/>
  <c r="AH85" i="18" s="1"/>
  <c r="AG257" i="18" a="1"/>
  <c r="AG257" i="18" s="1"/>
  <c r="AH257" i="18" s="1" a="1"/>
  <c r="AH257" i="18" s="1"/>
  <c r="AG125" i="18" a="1"/>
  <c r="AG125" i="18" s="1"/>
  <c r="AH125" i="18" s="1" a="1"/>
  <c r="AH125" i="18" s="1"/>
  <c r="AG185" i="18" a="1"/>
  <c r="AG185" i="18" s="1"/>
  <c r="AH185" i="18" s="1" a="1"/>
  <c r="AH185" i="18" s="1"/>
  <c r="AG204" i="18" a="1"/>
  <c r="AG204" i="18" s="1"/>
  <c r="AH204" i="18" s="1" a="1"/>
  <c r="AH204" i="18" s="1"/>
  <c r="AI40" i="18" a="1"/>
  <c r="AI40" i="18" s="1"/>
  <c r="AJ40" i="18" s="1"/>
  <c r="AE95" i="18"/>
  <c r="AF95" i="18" s="1"/>
  <c r="AN95" i="18" s="1"/>
  <c r="AG116" i="18" a="1"/>
  <c r="AG116" i="18" s="1"/>
  <c r="AH116" i="18" s="1" a="1"/>
  <c r="AH116" i="18" s="1"/>
  <c r="AE213" i="18"/>
  <c r="AF213" i="18" s="1"/>
  <c r="AN213" i="18" s="1"/>
  <c r="AC92" i="18" a="1"/>
  <c r="AC92" i="18" s="1"/>
  <c r="AK92" i="18" s="1"/>
  <c r="AE65" i="16" a="1"/>
  <c r="AE65" i="16" s="1"/>
  <c r="AM65" i="16" s="1" a="1"/>
  <c r="AM65" i="16" s="1"/>
  <c r="AE241" i="16" a="1"/>
  <c r="AE241" i="16" s="1"/>
  <c r="AM241" i="16" s="1" a="1"/>
  <c r="AM241" i="16" s="1"/>
  <c r="AG176" i="18" a="1"/>
  <c r="AG176" i="18" s="1"/>
  <c r="AH176" i="18" s="1" a="1"/>
  <c r="AH176" i="18" s="1"/>
  <c r="AE89" i="18"/>
  <c r="AF89" i="18" s="1"/>
  <c r="AN89" i="18" s="1"/>
  <c r="AE129" i="16" a="1"/>
  <c r="AE129" i="16" s="1"/>
  <c r="AM129" i="16" s="1" a="1"/>
  <c r="AM129" i="16" s="1"/>
  <c r="AE175" i="16" a="1"/>
  <c r="AE175" i="16" s="1"/>
  <c r="AM175" i="16" s="1" a="1"/>
  <c r="AM175" i="16" s="1"/>
  <c r="AE97" i="16" a="1"/>
  <c r="AE97" i="16" s="1"/>
  <c r="AM97" i="16" s="1" a="1"/>
  <c r="AM97" i="16" s="1"/>
  <c r="AE321" i="16" a="1"/>
  <c r="AE321" i="16" s="1"/>
  <c r="AM321" i="16" s="1" a="1"/>
  <c r="AM321" i="16" s="1"/>
  <c r="AI287" i="16" a="1"/>
  <c r="AI287" i="16" s="1"/>
  <c r="AJ287" i="16" s="1" a="1"/>
  <c r="AJ287" i="16" s="1"/>
  <c r="AI77" i="16" a="1"/>
  <c r="AI77" i="16" s="1"/>
  <c r="AJ77" i="16" s="1" a="1"/>
  <c r="AJ77" i="16" s="1"/>
  <c r="AE314" i="16" a="1"/>
  <c r="AE314" i="16" s="1"/>
  <c r="AM314" i="16" s="1" a="1"/>
  <c r="AM314" i="16" s="1"/>
  <c r="AE296" i="16" a="1"/>
  <c r="AE296" i="16" s="1"/>
  <c r="AM296" i="16" s="1" a="1"/>
  <c r="AM296" i="16" s="1"/>
  <c r="AE36" i="16" a="1"/>
  <c r="AE36" i="16" s="1"/>
  <c r="AM36" i="16" s="1" a="1"/>
  <c r="AM36" i="16" s="1"/>
  <c r="AI106" i="16" a="1"/>
  <c r="AI106" i="16" s="1"/>
  <c r="AJ106" i="16" s="1" a="1"/>
  <c r="AJ106" i="16" s="1"/>
  <c r="AI40" i="16" a="1"/>
  <c r="AI40" i="16" s="1"/>
  <c r="AJ40" i="16" s="1" a="1"/>
  <c r="AJ40" i="16" s="1"/>
  <c r="AG216" i="18" a="1"/>
  <c r="AG216" i="18" s="1"/>
  <c r="AH216" i="18" s="1" a="1"/>
  <c r="AH216" i="18" s="1"/>
  <c r="AG261" i="18" a="1"/>
  <c r="AG261" i="18" s="1"/>
  <c r="AH261" i="18" s="1" a="1"/>
  <c r="AH261" i="18" s="1"/>
  <c r="AG80" i="18" a="1"/>
  <c r="AG80" i="18" s="1"/>
  <c r="AH80" i="18" s="1" a="1"/>
  <c r="AH80" i="18" s="1"/>
  <c r="AE147" i="16" a="1"/>
  <c r="AE147" i="16" s="1"/>
  <c r="AM147" i="16" s="1" a="1"/>
  <c r="AM147" i="16" s="1"/>
  <c r="AI164" i="16" a="1"/>
  <c r="AI164" i="16" s="1"/>
  <c r="AJ164" i="16" s="1" a="1"/>
  <c r="AJ164" i="16" s="1"/>
  <c r="AI125" i="16" a="1"/>
  <c r="AI125" i="16" s="1"/>
  <c r="AJ125" i="16" s="1" a="1"/>
  <c r="AJ125" i="16" s="1"/>
  <c r="AI138" i="16" a="1"/>
  <c r="AI138" i="16" s="1"/>
  <c r="AJ138" i="16" s="1" a="1"/>
  <c r="AJ138" i="16" s="1"/>
  <c r="AG130" i="18" a="1"/>
  <c r="AG130" i="18" s="1"/>
  <c r="AH130" i="18" s="1" a="1"/>
  <c r="AH130" i="18" s="1"/>
  <c r="AG166" i="18" a="1"/>
  <c r="AG166" i="18" s="1"/>
  <c r="AH166" i="18" s="1" a="1"/>
  <c r="AH166" i="18" s="1"/>
  <c r="AG298" i="18" a="1"/>
  <c r="AG298" i="18" s="1"/>
  <c r="AH298" i="18" s="1" a="1"/>
  <c r="AH298" i="18" s="1"/>
  <c r="AG287" i="18" a="1"/>
  <c r="AG287" i="18" s="1"/>
  <c r="AH287" i="18" s="1" a="1"/>
  <c r="AH287" i="18" s="1"/>
  <c r="AE69" i="18"/>
  <c r="AF69" i="18" s="1"/>
  <c r="AN69" i="18" s="1"/>
  <c r="AG117" i="18" a="1"/>
  <c r="AG117" i="18" s="1"/>
  <c r="AH117" i="18" s="1" a="1"/>
  <c r="AH117" i="18" s="1"/>
  <c r="AE304" i="18"/>
  <c r="AF304" i="18" s="1"/>
  <c r="AN304" i="18" s="1"/>
  <c r="AE141" i="16" a="1"/>
  <c r="AE141" i="16" s="1"/>
  <c r="AM141" i="16" s="1" a="1"/>
  <c r="AM141" i="16" s="1"/>
  <c r="AI124" i="16" a="1"/>
  <c r="AI124" i="16" s="1"/>
  <c r="AJ124" i="16" s="1" a="1"/>
  <c r="AJ124" i="16" s="1"/>
  <c r="AI84" i="16" a="1"/>
  <c r="AI84" i="16" s="1"/>
  <c r="AJ84" i="16" s="1" a="1"/>
  <c r="AJ84" i="16" s="1"/>
  <c r="AE65" i="18"/>
  <c r="AF65" i="18" s="1"/>
  <c r="AN65" i="18" s="1"/>
  <c r="AE278" i="18"/>
  <c r="AF278" i="18" s="1"/>
  <c r="AN278" i="18" s="1"/>
  <c r="AE111" i="16" a="1"/>
  <c r="AE111" i="16" s="1"/>
  <c r="AM111" i="16" s="1" a="1"/>
  <c r="AM111" i="16" s="1"/>
  <c r="AE158" i="16" a="1"/>
  <c r="AE158" i="16" s="1"/>
  <c r="AM158" i="16" s="1" a="1"/>
  <c r="AM158" i="16" s="1"/>
  <c r="AI319" i="16" a="1"/>
  <c r="AI319" i="16" s="1"/>
  <c r="AJ319" i="16" s="1" a="1"/>
  <c r="AJ319" i="16" s="1"/>
  <c r="AG308" i="18" a="1"/>
  <c r="AG308" i="18" s="1"/>
  <c r="AH308" i="18" s="1" a="1"/>
  <c r="AH308" i="18" s="1"/>
  <c r="AE118" i="16" a="1"/>
  <c r="AE118" i="16" s="1"/>
  <c r="AM118" i="16" s="1" a="1"/>
  <c r="AM118" i="16" s="1"/>
  <c r="AG239" i="18" a="1"/>
  <c r="AG239" i="18" s="1"/>
  <c r="AH239" i="18" s="1" a="1"/>
  <c r="AH239" i="18" s="1"/>
  <c r="AE324" i="18"/>
  <c r="AF324" i="18" s="1"/>
  <c r="AN324" i="18" s="1"/>
  <c r="AG165" i="18" a="1"/>
  <c r="AG165" i="18" s="1"/>
  <c r="AH165" i="18" s="1" a="1"/>
  <c r="AH165" i="18" s="1"/>
  <c r="AI97" i="18" a="1"/>
  <c r="AI97" i="18" s="1"/>
  <c r="AJ97" i="18" s="1"/>
  <c r="AG311" i="18" a="1"/>
  <c r="AG311" i="18" s="1"/>
  <c r="AH311" i="18" s="1" a="1"/>
  <c r="AH311" i="18" s="1"/>
  <c r="AE115" i="18"/>
  <c r="AF115" i="18" s="1"/>
  <c r="AN115" i="18" s="1"/>
  <c r="AI162" i="16" a="1"/>
  <c r="AI162" i="16" s="1"/>
  <c r="AJ162" i="16" s="1" a="1"/>
  <c r="AJ162" i="16" s="1"/>
  <c r="AE105" i="16" a="1"/>
  <c r="AE105" i="16" s="1"/>
  <c r="AM105" i="16" s="1" a="1"/>
  <c r="AM105" i="16" s="1"/>
  <c r="AI202" i="16" a="1"/>
  <c r="AI202" i="16" s="1"/>
  <c r="AJ202" i="16" s="1" a="1"/>
  <c r="AJ202" i="16" s="1"/>
  <c r="AG199" i="18" a="1"/>
  <c r="AG199" i="18" s="1"/>
  <c r="AH199" i="18" s="1" a="1"/>
  <c r="AH199" i="18" s="1"/>
  <c r="AE306" i="16" a="1"/>
  <c r="AE306" i="16" s="1"/>
  <c r="AM306" i="16" s="1" a="1"/>
  <c r="AM306" i="16" s="1"/>
  <c r="AG271" i="18" a="1"/>
  <c r="AG271" i="18" s="1"/>
  <c r="AH271" i="18" s="1" a="1"/>
  <c r="AH271" i="18" s="1"/>
  <c r="AI252" i="16" a="1"/>
  <c r="AI252" i="16" s="1"/>
  <c r="AJ252" i="16" s="1" a="1"/>
  <c r="AJ252" i="16" s="1"/>
  <c r="AI74" i="16" a="1"/>
  <c r="AI74" i="16" s="1"/>
  <c r="AJ74" i="16" s="1" a="1"/>
  <c r="AJ74" i="16" s="1"/>
  <c r="AE226" i="16" a="1"/>
  <c r="AE226" i="16" s="1"/>
  <c r="AM226" i="16" s="1" a="1"/>
  <c r="AM226" i="16" s="1"/>
  <c r="AG215" i="18" a="1"/>
  <c r="AG215" i="18" s="1"/>
  <c r="AH215" i="18" s="1" a="1"/>
  <c r="AH215" i="18" s="1"/>
  <c r="AE279" i="18"/>
  <c r="AF279" i="18" s="1"/>
  <c r="AN279" i="18" s="1"/>
  <c r="AC118" i="18" a="1"/>
  <c r="AC118" i="18" s="1"/>
  <c r="AK118" i="18" s="1"/>
  <c r="AE285" i="18"/>
  <c r="AF285" i="18" s="1"/>
  <c r="AN285" i="18" s="1"/>
  <c r="AC294" i="18" a="1"/>
  <c r="AC294" i="18" s="1"/>
  <c r="AK294" i="18" s="1"/>
  <c r="AG274" i="18" a="1"/>
  <c r="AG274" i="18" s="1"/>
  <c r="AH274" i="18" s="1" a="1"/>
  <c r="AH274" i="18" s="1"/>
  <c r="AE157" i="18"/>
  <c r="AF157" i="18" s="1"/>
  <c r="AN157" i="18" s="1"/>
  <c r="AI303" i="18" a="1"/>
  <c r="AI303" i="18" s="1"/>
  <c r="AJ303" i="18" s="1"/>
  <c r="AG262" i="18" a="1"/>
  <c r="AG262" i="18" s="1"/>
  <c r="AH262" i="18" s="1" a="1"/>
  <c r="AH262" i="18" s="1"/>
  <c r="AC100" i="18" a="1"/>
  <c r="AC100" i="18" s="1"/>
  <c r="AK100" i="18" s="1"/>
  <c r="AE271" i="18"/>
  <c r="AM271" i="18" s="1"/>
  <c r="AE207" i="18"/>
  <c r="AF207" i="18" s="1"/>
  <c r="AN207" i="18" s="1"/>
  <c r="AG324" i="18" a="1"/>
  <c r="AG324" i="18" s="1"/>
  <c r="AH324" i="18" s="1" a="1"/>
  <c r="AH324" i="18" s="1"/>
  <c r="AE274" i="18"/>
  <c r="AF274" i="18" s="1"/>
  <c r="AN274" i="18" s="1"/>
  <c r="AG58" i="18" a="1"/>
  <c r="AG58" i="18" s="1"/>
  <c r="AH58" i="18" s="1" a="1"/>
  <c r="AH58" i="18" s="1"/>
  <c r="AG89" i="18" a="1"/>
  <c r="AG89" i="18" s="1"/>
  <c r="AH89" i="18" s="1" a="1"/>
  <c r="AH89" i="18" s="1"/>
  <c r="AE291" i="18"/>
  <c r="AF291" i="18" s="1"/>
  <c r="AN291" i="18" s="1"/>
  <c r="AE289" i="18"/>
  <c r="AM289" i="18" s="1"/>
  <c r="AG51" i="18" a="1"/>
  <c r="AG51" i="18" s="1"/>
  <c r="AH51" i="18" s="1" a="1"/>
  <c r="AH51" i="18" s="1"/>
  <c r="AI75" i="18" a="1"/>
  <c r="AI75" i="18" s="1"/>
  <c r="AJ75" i="18" s="1"/>
  <c r="AG111" i="18" a="1"/>
  <c r="AG111" i="18" s="1"/>
  <c r="AH111" i="18" s="1" a="1"/>
  <c r="AH111" i="18" s="1"/>
  <c r="AG143" i="18" a="1"/>
  <c r="AG143" i="18" s="1"/>
  <c r="AH143" i="18" s="1" a="1"/>
  <c r="AH143" i="18" s="1"/>
  <c r="AE201" i="18"/>
  <c r="AF201" i="18" s="1"/>
  <c r="AN201" i="18" s="1"/>
  <c r="AE262" i="18"/>
  <c r="AF262" i="18" s="1"/>
  <c r="AN262" i="18" s="1"/>
  <c r="AG94" i="18" a="1"/>
  <c r="AG94" i="18" s="1"/>
  <c r="AH94" i="18" s="1" a="1"/>
  <c r="AH94" i="18" s="1"/>
  <c r="AG96" i="18" a="1"/>
  <c r="AG96" i="18" s="1"/>
  <c r="AH96" i="18" s="1" a="1"/>
  <c r="AH96" i="18" s="1"/>
  <c r="AE185" i="18"/>
  <c r="AF185" i="18" s="1"/>
  <c r="AN185" i="18" s="1"/>
  <c r="AG251" i="18" a="1"/>
  <c r="AG251" i="18" s="1"/>
  <c r="AH251" i="18" s="1" a="1"/>
  <c r="AH251" i="18" s="1"/>
  <c r="AG40" i="18" a="1"/>
  <c r="AG40" i="18" s="1"/>
  <c r="AH40" i="18" s="1" a="1"/>
  <c r="AH40" i="18" s="1"/>
  <c r="AG323" i="18" a="1"/>
  <c r="AG323" i="18" s="1"/>
  <c r="AH323" i="18" s="1" a="1"/>
  <c r="AH323" i="18" s="1"/>
  <c r="AG90" i="18" a="1"/>
  <c r="AG90" i="18" s="1"/>
  <c r="AH90" i="18" s="1" a="1"/>
  <c r="AH90" i="18" s="1"/>
  <c r="AG61" i="18" a="1"/>
  <c r="AG61" i="18" s="1"/>
  <c r="AH61" i="18" s="1" a="1"/>
  <c r="AH61" i="18" s="1"/>
  <c r="AC105" i="18" a="1"/>
  <c r="AC105" i="18" s="1"/>
  <c r="AK105" i="18" s="1"/>
  <c r="AI85" i="16" a="1"/>
  <c r="AI85" i="16" s="1"/>
  <c r="AJ85" i="16" s="1" a="1"/>
  <c r="AJ85" i="16" s="1"/>
  <c r="AI260" i="16" a="1"/>
  <c r="AI260" i="16" s="1"/>
  <c r="AJ260" i="16" s="1" a="1"/>
  <c r="AJ260" i="16" s="1"/>
  <c r="AE316" i="16" a="1"/>
  <c r="AE316" i="16" s="1"/>
  <c r="AM316" i="16" s="1" a="1"/>
  <c r="AM316" i="16" s="1"/>
  <c r="AE166" i="16" a="1"/>
  <c r="AE166" i="16" s="1"/>
  <c r="AM166" i="16" s="1" a="1"/>
  <c r="AM166" i="16" s="1"/>
  <c r="AI309" i="16" a="1"/>
  <c r="AI309" i="16" s="1"/>
  <c r="AJ309" i="16" s="1" a="1"/>
  <c r="AJ309" i="16" s="1"/>
  <c r="AE54" i="16" a="1"/>
  <c r="AE54" i="16" s="1"/>
  <c r="AM54" i="16" s="1" a="1"/>
  <c r="AM54" i="16" s="1"/>
  <c r="AE294" i="16" a="1"/>
  <c r="AE294" i="16" s="1"/>
  <c r="AM294" i="16" s="1" a="1"/>
  <c r="AM294" i="16" s="1"/>
  <c r="AE249" i="16" a="1"/>
  <c r="AE249" i="16" s="1"/>
  <c r="AM249" i="16" s="1" a="1"/>
  <c r="AM249" i="16" s="1"/>
  <c r="AE43" i="16" a="1"/>
  <c r="AE43" i="16" s="1"/>
  <c r="AM43" i="16" s="1" a="1"/>
  <c r="AM43" i="16" s="1"/>
  <c r="AE127" i="16" a="1"/>
  <c r="AE127" i="16" s="1"/>
  <c r="AM127" i="16" s="1" a="1"/>
  <c r="AM127" i="16" s="1"/>
  <c r="AG86" i="18" a="1"/>
  <c r="AG86" i="18" s="1"/>
  <c r="AH86" i="18" s="1" a="1"/>
  <c r="AH86" i="18" s="1"/>
  <c r="AG81" i="18" a="1"/>
  <c r="AG81" i="18" s="1"/>
  <c r="AH81" i="18" s="1" a="1"/>
  <c r="AH81" i="18" s="1"/>
  <c r="AC78" i="18" a="1"/>
  <c r="AC78" i="18" s="1"/>
  <c r="AK78" i="18" s="1"/>
  <c r="AE323" i="18"/>
  <c r="AF323" i="18" s="1"/>
  <c r="AN323" i="18" s="1"/>
  <c r="AG192" i="18" a="1"/>
  <c r="AG192" i="18" s="1"/>
  <c r="AH192" i="18" s="1" a="1"/>
  <c r="AH192" i="18" s="1"/>
  <c r="AG307" i="18" a="1"/>
  <c r="AG307" i="18" s="1"/>
  <c r="AH307" i="18" s="1" a="1"/>
  <c r="AH307" i="18" s="1"/>
  <c r="AG149" i="18" a="1"/>
  <c r="AG149" i="18" s="1"/>
  <c r="AH149" i="18" s="1" a="1"/>
  <c r="AH149" i="18" s="1"/>
  <c r="AG87" i="18" a="1"/>
  <c r="AG87" i="18" s="1"/>
  <c r="AH87" i="18" s="1" a="1"/>
  <c r="AH87" i="18" s="1"/>
  <c r="AG50" i="18" a="1"/>
  <c r="AG50" i="18" s="1"/>
  <c r="AH50" i="18" s="1" a="1"/>
  <c r="AH50" i="18" s="1"/>
  <c r="AG279" i="18" a="1"/>
  <c r="AG279" i="18" s="1"/>
  <c r="AH279" i="18" s="1" a="1"/>
  <c r="AH279" i="18" s="1"/>
  <c r="AG265" i="18" a="1"/>
  <c r="AG265" i="18" s="1"/>
  <c r="AH265" i="18" s="1" a="1"/>
  <c r="AH265" i="18" s="1"/>
  <c r="AG295" i="18" a="1"/>
  <c r="AG295" i="18" s="1"/>
  <c r="AH295" i="18" s="1" a="1"/>
  <c r="AH295" i="18" s="1"/>
  <c r="AG127" i="18" a="1"/>
  <c r="AG127" i="18" s="1"/>
  <c r="AH127" i="18" s="1" a="1"/>
  <c r="AH127" i="18" s="1"/>
  <c r="AG288" i="18" a="1"/>
  <c r="AG288" i="18" s="1"/>
  <c r="AH288" i="18" s="1" a="1"/>
  <c r="AH288" i="18" s="1"/>
  <c r="AC162" i="18" a="1"/>
  <c r="AC162" i="18" s="1"/>
  <c r="AK162" i="18" s="1"/>
  <c r="AG136" i="18" a="1"/>
  <c r="AG136" i="18" s="1"/>
  <c r="AH136" i="18" s="1" a="1"/>
  <c r="AH136" i="18" s="1"/>
  <c r="AI41" i="18" a="1"/>
  <c r="AI41" i="18" s="1"/>
  <c r="AJ41" i="18" s="1"/>
  <c r="AG196" i="18" a="1"/>
  <c r="AG196" i="18" s="1"/>
  <c r="AH196" i="18" s="1" a="1"/>
  <c r="AH196" i="18" s="1"/>
  <c r="AG237" i="18" a="1"/>
  <c r="AG237" i="18" s="1"/>
  <c r="AH237" i="18" s="1" a="1"/>
  <c r="AH237" i="18" s="1"/>
  <c r="AI149" i="18" a="1"/>
  <c r="AI149" i="18" s="1"/>
  <c r="AJ149" i="18" s="1"/>
  <c r="AC54" i="18" a="1"/>
  <c r="AC54" i="18" s="1"/>
  <c r="AK54" i="18" s="1"/>
  <c r="AG172" i="18" a="1"/>
  <c r="AG172" i="18" s="1"/>
  <c r="AH172" i="18" s="1" a="1"/>
  <c r="AH172" i="18" s="1"/>
  <c r="AC209" i="18" a="1"/>
  <c r="AC209" i="18" s="1"/>
  <c r="AK209" i="18" s="1"/>
  <c r="AG73" i="18" a="1"/>
  <c r="AG73" i="18" s="1"/>
  <c r="AH73" i="18" s="1" a="1"/>
  <c r="AH73" i="18" s="1"/>
  <c r="AI131" i="16" a="1"/>
  <c r="AI131" i="16" s="1"/>
  <c r="AJ131" i="16" s="1" a="1"/>
  <c r="AJ131" i="16" s="1"/>
  <c r="AE111" i="18"/>
  <c r="AF111" i="18" s="1"/>
  <c r="AN111" i="18" s="1"/>
  <c r="AE74" i="18"/>
  <c r="AF74" i="18" s="1"/>
  <c r="AN74" i="18" s="1"/>
  <c r="AG242" i="18" a="1"/>
  <c r="AG242" i="18" s="1"/>
  <c r="AH242" i="18" s="1" a="1"/>
  <c r="AH242" i="18" s="1"/>
  <c r="AG235" i="18" a="1"/>
  <c r="AG235" i="18" s="1"/>
  <c r="AH235" i="18" s="1" a="1"/>
  <c r="AH235" i="18" s="1"/>
  <c r="AG263" i="18" a="1"/>
  <c r="AG263" i="18" s="1"/>
  <c r="AH263" i="18" s="1" a="1"/>
  <c r="AH263" i="18" s="1"/>
  <c r="AE38" i="18"/>
  <c r="AF38" i="18" s="1"/>
  <c r="AN38" i="18" s="1"/>
  <c r="AE152" i="16" a="1"/>
  <c r="AE152" i="16" s="1"/>
  <c r="AM152" i="16" s="1" a="1"/>
  <c r="AM152" i="16" s="1"/>
  <c r="AC144" i="18" a="1"/>
  <c r="AC144" i="18" s="1"/>
  <c r="AK144" i="18" s="1"/>
  <c r="AI280" i="18" a="1"/>
  <c r="AI280" i="18" s="1"/>
  <c r="AJ280" i="18" s="1"/>
  <c r="AE257" i="16" a="1"/>
  <c r="AE257" i="16" s="1"/>
  <c r="AM257" i="16" s="1" a="1"/>
  <c r="AM257" i="16" s="1"/>
  <c r="AG286" i="18" a="1"/>
  <c r="AG286" i="18" s="1"/>
  <c r="AH286" i="18" s="1" a="1"/>
  <c r="AH286" i="18" s="1"/>
  <c r="AE311" i="16" a="1"/>
  <c r="AE311" i="16" s="1"/>
  <c r="AM311" i="16" s="1" a="1"/>
  <c r="AM311" i="16" s="1"/>
  <c r="AI191" i="18" a="1"/>
  <c r="AI191" i="18" s="1"/>
  <c r="AJ191" i="18" s="1"/>
  <c r="AC217" i="18" a="1"/>
  <c r="AC217" i="18" s="1"/>
  <c r="AK217" i="18" s="1"/>
  <c r="AI146" i="16" a="1"/>
  <c r="AI146" i="16" s="1"/>
  <c r="AJ146" i="16" s="1" a="1"/>
  <c r="AJ146" i="16" s="1"/>
  <c r="AD231" i="18"/>
  <c r="AL231" i="18" s="1"/>
  <c r="AD256" i="18"/>
  <c r="AL256" i="18" s="1"/>
  <c r="AE54" i="18"/>
  <c r="AF54" i="18" s="1"/>
  <c r="AN54" i="18" s="1"/>
  <c r="AE102" i="16" a="1"/>
  <c r="AE102" i="16" s="1"/>
  <c r="AM102" i="16" s="1" a="1"/>
  <c r="AM102" i="16" s="1"/>
  <c r="AG69" i="18" a="1"/>
  <c r="AG69" i="18" s="1"/>
  <c r="AH69" i="18" s="1" a="1"/>
  <c r="AH69" i="18" s="1"/>
  <c r="AE293" i="16" a="1"/>
  <c r="AE293" i="16" s="1"/>
  <c r="AM293" i="16" s="1" a="1"/>
  <c r="AM293" i="16" s="1"/>
  <c r="AD215" i="18"/>
  <c r="AL215" i="18" s="1"/>
  <c r="AE137" i="16" a="1"/>
  <c r="AE137" i="16" s="1"/>
  <c r="AM137" i="16" s="1" a="1"/>
  <c r="AM137" i="16" s="1"/>
  <c r="AD253" i="18"/>
  <c r="AL253" i="18" s="1"/>
  <c r="AI145" i="18" a="1"/>
  <c r="AI145" i="18" s="1"/>
  <c r="AJ145" i="18" s="1"/>
  <c r="AE30" i="16" a="1"/>
  <c r="AE30" i="16" s="1"/>
  <c r="AM30" i="16" s="1" a="1"/>
  <c r="AM30" i="16" s="1"/>
  <c r="AI55" i="16" a="1"/>
  <c r="AI55" i="16" s="1"/>
  <c r="AJ55" i="16" s="1" a="1"/>
  <c r="AJ55" i="16" s="1"/>
  <c r="AD228" i="18"/>
  <c r="AL228" i="18" s="1"/>
  <c r="AD216" i="18"/>
  <c r="AL216" i="18" s="1"/>
  <c r="AE48" i="16" a="1"/>
  <c r="AE48" i="16" s="1"/>
  <c r="AM48" i="16" s="1" a="1"/>
  <c r="AM48" i="16" s="1"/>
  <c r="AE156" i="16" a="1"/>
  <c r="AE156" i="16" s="1"/>
  <c r="AM156" i="16" s="1" a="1"/>
  <c r="AM156" i="16" s="1"/>
  <c r="AD214" i="18"/>
  <c r="AL214" i="18" s="1"/>
  <c r="AD110" i="18"/>
  <c r="AL110" i="18" s="1"/>
  <c r="AI312" i="16" a="1"/>
  <c r="AI312" i="16" s="1"/>
  <c r="AJ312" i="16" s="1" a="1"/>
  <c r="AJ312" i="16" s="1"/>
  <c r="AD98" i="18"/>
  <c r="AL98" i="18" s="1"/>
  <c r="AC243" i="18" a="1"/>
  <c r="AC243" i="18" s="1"/>
  <c r="AK243" i="18" s="1"/>
  <c r="AE232" i="16" a="1"/>
  <c r="AE232" i="16" s="1"/>
  <c r="AM232" i="16" s="1" a="1"/>
  <c r="AM232" i="16" s="1"/>
  <c r="AD239" i="18"/>
  <c r="AL239" i="18" s="1"/>
  <c r="AE38" i="16" a="1"/>
  <c r="AE38" i="16" s="1"/>
  <c r="AM38" i="16" s="1" a="1"/>
  <c r="AM38" i="16" s="1"/>
  <c r="AD150" i="18"/>
  <c r="AL150" i="18" s="1"/>
  <c r="AE267" i="16" a="1"/>
  <c r="AE267" i="16" s="1"/>
  <c r="AM267" i="16" s="1" a="1"/>
  <c r="AM267" i="16" s="1"/>
  <c r="AD291" i="18"/>
  <c r="AL291" i="18" s="1"/>
  <c r="AE287" i="18"/>
  <c r="AF287" i="18" s="1"/>
  <c r="AN287" i="18" s="1"/>
  <c r="AI94" i="18" a="1"/>
  <c r="AI94" i="18" s="1"/>
  <c r="AJ94" i="18" s="1"/>
  <c r="AD121" i="18"/>
  <c r="AL121" i="18" s="1"/>
  <c r="AI277" i="16" a="1"/>
  <c r="AI277" i="16" s="1"/>
  <c r="AJ277" i="16" s="1" a="1"/>
  <c r="AJ277" i="16" s="1"/>
  <c r="AG43" i="18" a="1"/>
  <c r="AG43" i="18" s="1"/>
  <c r="AH43" i="18" s="1" a="1"/>
  <c r="AH43" i="18" s="1"/>
  <c r="AE51" i="18"/>
  <c r="AF51" i="18" s="1"/>
  <c r="AN51" i="18" s="1"/>
  <c r="AD137" i="18"/>
  <c r="AL137" i="18" s="1"/>
  <c r="AG267" i="18" a="1"/>
  <c r="AG267" i="18" s="1"/>
  <c r="AH267" i="18" s="1" a="1"/>
  <c r="AH267" i="18" s="1"/>
  <c r="AD126" i="18"/>
  <c r="AL126" i="18" s="1"/>
  <c r="AD307" i="18"/>
  <c r="AL307" i="18" s="1"/>
  <c r="AE51" i="16" a="1"/>
  <c r="AE51" i="16" s="1"/>
  <c r="AM51" i="16" s="1" a="1"/>
  <c r="AM51" i="16" s="1"/>
  <c r="AD265" i="18"/>
  <c r="AL265" i="18" s="1"/>
  <c r="AD202" i="18"/>
  <c r="AL202" i="18" s="1"/>
  <c r="AD130" i="18"/>
  <c r="AL130" i="18" s="1"/>
  <c r="AI255" i="16" a="1"/>
  <c r="AI255" i="16" s="1"/>
  <c r="AJ255" i="16" s="1" a="1"/>
  <c r="AJ255" i="16" s="1"/>
  <c r="AD298" i="18"/>
  <c r="AL298" i="18" s="1"/>
  <c r="AD197" i="18"/>
  <c r="AL197" i="18" s="1"/>
  <c r="AE181" i="18"/>
  <c r="AF181" i="18" s="1"/>
  <c r="AN181" i="18" s="1"/>
  <c r="AE122" i="16" a="1"/>
  <c r="AE122" i="16" s="1"/>
  <c r="AM122" i="16" s="1" a="1"/>
  <c r="AM122" i="16" s="1"/>
  <c r="AG132" i="18" a="1"/>
  <c r="AG132" i="18" s="1"/>
  <c r="AH132" i="18" s="1" a="1"/>
  <c r="AH132" i="18" s="1"/>
  <c r="AD292" i="18"/>
  <c r="AL292" i="18" s="1"/>
  <c r="AI69" i="16" a="1"/>
  <c r="AI69" i="16" s="1"/>
  <c r="AJ69" i="16" s="1" a="1"/>
  <c r="AJ69" i="16" s="1"/>
  <c r="AE304" i="16" a="1"/>
  <c r="AE304" i="16" s="1"/>
  <c r="AM304" i="16" s="1" a="1"/>
  <c r="AM304" i="16" s="1"/>
  <c r="AG322" i="18" a="1"/>
  <c r="AG322" i="18" s="1"/>
  <c r="AH322" i="18" s="1" a="1"/>
  <c r="AH322" i="18" s="1"/>
  <c r="AD283" i="18"/>
  <c r="AL283" i="18" s="1"/>
  <c r="AD261" i="18"/>
  <c r="AL261" i="18" s="1"/>
  <c r="AD132" i="18"/>
  <c r="AL132" i="18" s="1"/>
  <c r="AD114" i="18"/>
  <c r="AL114" i="18" s="1"/>
  <c r="AD41" i="18"/>
  <c r="AL41" i="18" s="1"/>
  <c r="AD80" i="18"/>
  <c r="AL80" i="18" s="1"/>
  <c r="AD146" i="18"/>
  <c r="AL146" i="18" s="1"/>
  <c r="AD123" i="18"/>
  <c r="AL123" i="18" s="1"/>
  <c r="AD226" i="18"/>
  <c r="AL226" i="18" s="1"/>
  <c r="AD136" i="18"/>
  <c r="AL136" i="18" s="1"/>
  <c r="AD143" i="18"/>
  <c r="AL143" i="18" s="1"/>
  <c r="AD213" i="18"/>
  <c r="AL213" i="18" s="1"/>
  <c r="AD266" i="18"/>
  <c r="AL266" i="18" s="1"/>
  <c r="AD242" i="18"/>
  <c r="AL242" i="18" s="1"/>
  <c r="AD177" i="18"/>
  <c r="AL177" i="18" s="1"/>
  <c r="AD125" i="18"/>
  <c r="AL125" i="18" s="1"/>
  <c r="AG302" i="18" a="1"/>
  <c r="AG302" i="18" s="1"/>
  <c r="AH302" i="18" s="1" a="1"/>
  <c r="AH302" i="18" s="1"/>
  <c r="AD241" i="18"/>
  <c r="AL241" i="18" s="1"/>
  <c r="AD149" i="18"/>
  <c r="AL149" i="18" s="1"/>
  <c r="AD165" i="18"/>
  <c r="AL165" i="18" s="1"/>
  <c r="AD227" i="18"/>
  <c r="AL227" i="18" s="1"/>
  <c r="AD223" i="18"/>
  <c r="AL223" i="18" s="1"/>
  <c r="AD323" i="18"/>
  <c r="AL323" i="18" s="1"/>
  <c r="AD96" i="18"/>
  <c r="AL96" i="18" s="1"/>
  <c r="AD303" i="18"/>
  <c r="AL303" i="18" s="1"/>
  <c r="AD94" i="18"/>
  <c r="AL94" i="18" s="1"/>
  <c r="AD295" i="18"/>
  <c r="AL295" i="18" s="1"/>
  <c r="AD84" i="18"/>
  <c r="AL84" i="18" s="1"/>
  <c r="AD66" i="18"/>
  <c r="AL66" i="18" s="1"/>
  <c r="AF301" i="18"/>
  <c r="AN301" i="18" s="1"/>
  <c r="AD308" i="18"/>
  <c r="AL308" i="18" s="1"/>
  <c r="AD86" i="18"/>
  <c r="AL86" i="18" s="1"/>
  <c r="AD58" i="18"/>
  <c r="AL58" i="18" s="1"/>
  <c r="AD124" i="18"/>
  <c r="AL124" i="18" s="1"/>
  <c r="AD76" i="18"/>
  <c r="AL76" i="18" s="1"/>
  <c r="AD116" i="18"/>
  <c r="AL116" i="18" s="1"/>
  <c r="AD204" i="18"/>
  <c r="AL204" i="18" s="1"/>
  <c r="AF319" i="18"/>
  <c r="AN319" i="18" s="1"/>
  <c r="AD81" i="18"/>
  <c r="AL81" i="18" s="1"/>
  <c r="AD222" i="18"/>
  <c r="AL222" i="18" s="1"/>
  <c r="AD262" i="18"/>
  <c r="AL262" i="18" s="1"/>
  <c r="AD277" i="18"/>
  <c r="AL277" i="18" s="1"/>
  <c r="AD122" i="18"/>
  <c r="AL122" i="18" s="1"/>
  <c r="AD282" i="18"/>
  <c r="AL282" i="18" s="1"/>
  <c r="AD107" i="18"/>
  <c r="AL107" i="18" s="1"/>
  <c r="AD198" i="18"/>
  <c r="AL198" i="18" s="1"/>
  <c r="AD117" i="18"/>
  <c r="AL117" i="18" s="1"/>
  <c r="AD111" i="18"/>
  <c r="AL111" i="18" s="1"/>
  <c r="AD199" i="18"/>
  <c r="AL199" i="18" s="1"/>
  <c r="AD267" i="18"/>
  <c r="AL267" i="18" s="1"/>
  <c r="AD49" i="18"/>
  <c r="AL49" i="18" s="1"/>
  <c r="AD252" i="18"/>
  <c r="AL252" i="18" s="1"/>
  <c r="AD273" i="18"/>
  <c r="AL273" i="18" s="1"/>
  <c r="AD185" i="18"/>
  <c r="AL185" i="18" s="1"/>
  <c r="AD93" i="18"/>
  <c r="AL93" i="18" s="1"/>
  <c r="AD193" i="18"/>
  <c r="AL193" i="18" s="1"/>
  <c r="AD127" i="18"/>
  <c r="AL127" i="18" s="1"/>
  <c r="AD156" i="18"/>
  <c r="AL156" i="18" s="1"/>
  <c r="AD188" i="18"/>
  <c r="AL188" i="18" s="1"/>
  <c r="AD302" i="18"/>
  <c r="AL302" i="18" s="1"/>
  <c r="AI22" i="16" a="1"/>
  <c r="AI22" i="16" s="1"/>
  <c r="AJ22" i="16" s="1" a="1"/>
  <c r="AJ22" i="16" s="1"/>
  <c r="AI142" i="18" a="1"/>
  <c r="AI142" i="18" s="1"/>
  <c r="AJ142" i="18" s="1"/>
  <c r="AE142" i="18"/>
  <c r="AE80" i="18"/>
  <c r="AM80" i="18" s="1"/>
  <c r="AI80" i="18" a="1"/>
  <c r="AI80" i="18" s="1"/>
  <c r="AJ80" i="18" s="1"/>
  <c r="AC128" i="18" a="1"/>
  <c r="AC128" i="18" s="1"/>
  <c r="AK128" i="18" s="1"/>
  <c r="AG128" i="18" a="1"/>
  <c r="AG128" i="18" s="1"/>
  <c r="AH128" i="18" s="1" a="1"/>
  <c r="AH128" i="18" s="1"/>
  <c r="AI68" i="18" a="1"/>
  <c r="AI68" i="18" s="1"/>
  <c r="AJ68" i="18" s="1"/>
  <c r="AE68" i="18"/>
  <c r="AI109" i="18" a="1"/>
  <c r="AI109" i="18" s="1"/>
  <c r="AJ109" i="18" s="1"/>
  <c r="AE109" i="18"/>
  <c r="AC68" i="18" a="1"/>
  <c r="AC68" i="18" s="1"/>
  <c r="AK68" i="18" s="1"/>
  <c r="AG68" i="18" a="1"/>
  <c r="AG68" i="18" s="1"/>
  <c r="AH68" i="18" s="1" a="1"/>
  <c r="AH68" i="18" s="1"/>
  <c r="AC129" i="18" a="1"/>
  <c r="AC129" i="18" s="1"/>
  <c r="AK129" i="18" s="1"/>
  <c r="AG129" i="18" a="1"/>
  <c r="AG129" i="18" s="1"/>
  <c r="AH129" i="18" s="1" a="1"/>
  <c r="AH129" i="18" s="1"/>
  <c r="AC245" i="18" a="1"/>
  <c r="AC245" i="18" s="1"/>
  <c r="AK245" i="18" s="1"/>
  <c r="AG245" i="18" a="1"/>
  <c r="AG245" i="18" s="1"/>
  <c r="AH245" i="18" s="1" a="1"/>
  <c r="AH245" i="18" s="1"/>
  <c r="AI230" i="18" a="1"/>
  <c r="AI230" i="18" s="1"/>
  <c r="AJ230" i="18" s="1"/>
  <c r="AE230" i="18"/>
  <c r="AC290" i="18" a="1"/>
  <c r="AC290" i="18" s="1"/>
  <c r="AK290" i="18" s="1"/>
  <c r="AG290" i="18" a="1"/>
  <c r="AG290" i="18" s="1"/>
  <c r="AH290" i="18" s="1" a="1"/>
  <c r="AH290" i="18" s="1"/>
  <c r="AI236" i="18" a="1"/>
  <c r="AI236" i="18" s="1"/>
  <c r="AJ236" i="18" s="1"/>
  <c r="AE236" i="18"/>
  <c r="AI52" i="18" a="1"/>
  <c r="AI52" i="18" s="1"/>
  <c r="AJ52" i="18" s="1"/>
  <c r="AE52" i="18"/>
  <c r="AC147" i="18" a="1"/>
  <c r="AC147" i="18" s="1"/>
  <c r="AK147" i="18" s="1"/>
  <c r="AG147" i="18" a="1"/>
  <c r="AG147" i="18" s="1"/>
  <c r="AH147" i="18" s="1" a="1"/>
  <c r="AH147" i="18" s="1"/>
  <c r="AC200" i="18" a="1"/>
  <c r="AC200" i="18" s="1"/>
  <c r="AK200" i="18" s="1"/>
  <c r="AG200" i="18" a="1"/>
  <c r="AG200" i="18" s="1"/>
  <c r="AH200" i="18" s="1" a="1"/>
  <c r="AH200" i="18" s="1"/>
  <c r="AI275" i="18" a="1"/>
  <c r="AI275" i="18" s="1"/>
  <c r="AJ275" i="18" s="1"/>
  <c r="AE275" i="18"/>
  <c r="AI128" i="18" a="1"/>
  <c r="AI128" i="18" s="1"/>
  <c r="AJ128" i="18" s="1"/>
  <c r="AE128" i="18"/>
  <c r="AM128" i="18" s="1"/>
  <c r="AF183" i="18"/>
  <c r="AN183" i="18" s="1"/>
  <c r="AM183" i="18"/>
  <c r="AD61" i="18"/>
  <c r="AL61" i="18" s="1"/>
  <c r="AF316" i="18"/>
  <c r="AN316" i="18" s="1"/>
  <c r="AM316" i="18"/>
  <c r="AI132" i="18" a="1"/>
  <c r="AI132" i="18" s="1"/>
  <c r="AJ132" i="18" s="1"/>
  <c r="AE132" i="18"/>
  <c r="AE39" i="18"/>
  <c r="AI39" i="18" a="1"/>
  <c r="AI39" i="18" s="1"/>
  <c r="AJ39" i="18" s="1"/>
  <c r="AD192" i="18"/>
  <c r="AL192" i="18" s="1"/>
  <c r="AD260" i="18"/>
  <c r="AL260" i="18" s="1"/>
  <c r="AD304" i="18"/>
  <c r="AL304" i="18" s="1"/>
  <c r="AC65" i="18" a="1"/>
  <c r="AC65" i="18" s="1"/>
  <c r="AK65" i="18" s="1"/>
  <c r="AG65" i="18" a="1"/>
  <c r="AG65" i="18" s="1"/>
  <c r="AH65" i="18" s="1" a="1"/>
  <c r="AH65" i="18" s="1"/>
  <c r="AF62" i="18"/>
  <c r="AN62" i="18" s="1"/>
  <c r="AM62" i="18"/>
  <c r="AD108" i="18"/>
  <c r="AL108" i="18" s="1"/>
  <c r="AF78" i="18"/>
  <c r="AN78" i="18" s="1"/>
  <c r="AM78" i="18"/>
  <c r="AC138" i="18" a="1"/>
  <c r="AC138" i="18" s="1"/>
  <c r="AK138" i="18" s="1"/>
  <c r="AG138" i="18" a="1"/>
  <c r="AG138" i="18" s="1"/>
  <c r="AH138" i="18" s="1" a="1"/>
  <c r="AH138" i="18" s="1"/>
  <c r="AC131" i="18" a="1"/>
  <c r="AC131" i="18" s="1"/>
  <c r="AK131" i="18" s="1"/>
  <c r="AG131" i="18" a="1"/>
  <c r="AG131" i="18" s="1"/>
  <c r="AH131" i="18" s="1" a="1"/>
  <c r="AH131" i="18" s="1"/>
  <c r="AF267" i="18"/>
  <c r="AN267" i="18" s="1"/>
  <c r="AM267" i="18"/>
  <c r="AD286" i="18"/>
  <c r="AL286" i="18" s="1"/>
  <c r="AD235" i="18"/>
  <c r="AL235" i="18" s="1"/>
  <c r="AD73" i="18"/>
  <c r="AL73" i="18" s="1"/>
  <c r="AE243" i="18"/>
  <c r="AI243" i="18" a="1"/>
  <c r="AI243" i="18" s="1"/>
  <c r="AJ243" i="18" s="1"/>
  <c r="AI116" i="18" a="1"/>
  <c r="AI116" i="18" s="1"/>
  <c r="AJ116" i="18" s="1"/>
  <c r="AE116" i="18"/>
  <c r="AI176" i="18" a="1"/>
  <c r="AI176" i="18" s="1"/>
  <c r="AJ176" i="18" s="1"/>
  <c r="AE176" i="18"/>
  <c r="AM176" i="18" s="1"/>
  <c r="AI224" i="18" a="1"/>
  <c r="AI224" i="18" s="1"/>
  <c r="AJ224" i="18" s="1"/>
  <c r="AE224" i="18"/>
  <c r="AM224" i="18" s="1"/>
  <c r="AE228" i="18"/>
  <c r="AI228" i="18" a="1"/>
  <c r="AI228" i="18" s="1"/>
  <c r="AJ228" i="18" s="1"/>
  <c r="AC181" i="18" a="1"/>
  <c r="AC181" i="18" s="1"/>
  <c r="AK181" i="18" s="1"/>
  <c r="AG181" i="18" a="1"/>
  <c r="AG181" i="18" s="1"/>
  <c r="AH181" i="18" s="1" a="1"/>
  <c r="AH181" i="18" s="1"/>
  <c r="AC62" i="18" a="1"/>
  <c r="AC62" i="18" s="1"/>
  <c r="AK62" i="18" s="1"/>
  <c r="AG62" i="18" a="1"/>
  <c r="AG62" i="18" s="1"/>
  <c r="AH62" i="18" s="1" a="1"/>
  <c r="AH62" i="18" s="1"/>
  <c r="AC83" i="18" a="1"/>
  <c r="AC83" i="18" s="1"/>
  <c r="AK83" i="18" s="1"/>
  <c r="AG83" i="18" a="1"/>
  <c r="AG83" i="18" s="1"/>
  <c r="AH83" i="18" s="1" a="1"/>
  <c r="AH83" i="18" s="1"/>
  <c r="AC163" i="18" a="1"/>
  <c r="AC163" i="18" s="1"/>
  <c r="AK163" i="18" s="1"/>
  <c r="AG163" i="18" a="1"/>
  <c r="AG163" i="18" s="1"/>
  <c r="AH163" i="18" s="1" a="1"/>
  <c r="AH163" i="18" s="1"/>
  <c r="AC315" i="18" a="1"/>
  <c r="AC315" i="18" s="1"/>
  <c r="AK315" i="18" s="1"/>
  <c r="AG315" i="18" a="1"/>
  <c r="AG315" i="18" s="1"/>
  <c r="AH315" i="18" s="1" a="1"/>
  <c r="AH315" i="18" s="1"/>
  <c r="AI126" i="18" a="1"/>
  <c r="AI126" i="18" s="1"/>
  <c r="AJ126" i="18" s="1"/>
  <c r="AE126" i="18"/>
  <c r="AI269" i="18" a="1"/>
  <c r="AI269" i="18" s="1"/>
  <c r="AJ269" i="18" s="1"/>
  <c r="AE269" i="18"/>
  <c r="AI102" i="18" a="1"/>
  <c r="AI102" i="18" s="1"/>
  <c r="AJ102" i="18" s="1"/>
  <c r="AE102" i="18"/>
  <c r="AE298" i="18"/>
  <c r="AI298" i="18" a="1"/>
  <c r="AI298" i="18" s="1"/>
  <c r="AJ298" i="18" s="1"/>
  <c r="AC44" i="18" a="1"/>
  <c r="AC44" i="18" s="1"/>
  <c r="AK44" i="18" s="1"/>
  <c r="AG44" i="18" a="1"/>
  <c r="AG44" i="18" s="1"/>
  <c r="AH44" i="18" s="1" a="1"/>
  <c r="AH44" i="18" s="1"/>
  <c r="AI307" i="18" a="1"/>
  <c r="AI307" i="18" s="1"/>
  <c r="AJ307" i="18" s="1"/>
  <c r="AE307" i="18"/>
  <c r="AI186" i="18" a="1"/>
  <c r="AI186" i="18" s="1"/>
  <c r="AJ186" i="18" s="1"/>
  <c r="AE186" i="18"/>
  <c r="AI92" i="18" a="1"/>
  <c r="AI92" i="18" s="1"/>
  <c r="AJ92" i="18" s="1"/>
  <c r="AE92" i="18"/>
  <c r="AF303" i="18"/>
  <c r="AN303" i="18" s="1"/>
  <c r="AM303" i="18"/>
  <c r="AF203" i="18"/>
  <c r="AN203" i="18" s="1"/>
  <c r="AM203" i="18"/>
  <c r="AD72" i="18"/>
  <c r="AL72" i="18" s="1"/>
  <c r="AC82" i="18" a="1"/>
  <c r="AC82" i="18" s="1"/>
  <c r="AK82" i="18" s="1"/>
  <c r="AG82" i="18" a="1"/>
  <c r="AG82" i="18" s="1"/>
  <c r="AH82" i="18" s="1" a="1"/>
  <c r="AH82" i="18" s="1"/>
  <c r="AF169" i="18"/>
  <c r="AN169" i="18" s="1"/>
  <c r="AM169" i="18"/>
  <c r="AI187" i="18" a="1"/>
  <c r="AI187" i="18" s="1"/>
  <c r="AJ187" i="18" s="1"/>
  <c r="AE187" i="18"/>
  <c r="AC101" i="18" a="1"/>
  <c r="AC101" i="18" s="1"/>
  <c r="AK101" i="18" s="1"/>
  <c r="AG101" i="18" a="1"/>
  <c r="AG101" i="18" s="1"/>
  <c r="AH101" i="18" s="1" a="1"/>
  <c r="AH101" i="18" s="1"/>
  <c r="AF280" i="18"/>
  <c r="AN280" i="18" s="1"/>
  <c r="AM280" i="18"/>
  <c r="AE211" i="18"/>
  <c r="AI211" i="18" a="1"/>
  <c r="AI211" i="18" s="1"/>
  <c r="AJ211" i="18" s="1"/>
  <c r="AI170" i="18" a="1"/>
  <c r="AI170" i="18" s="1"/>
  <c r="AJ170" i="18" s="1"/>
  <c r="AE170" i="18"/>
  <c r="AI136" i="18" a="1"/>
  <c r="AI136" i="18" s="1"/>
  <c r="AJ136" i="18" s="1"/>
  <c r="AE136" i="18"/>
  <c r="AI148" i="18" a="1"/>
  <c r="AI148" i="18" s="1"/>
  <c r="AJ148" i="18" s="1"/>
  <c r="AE148" i="18"/>
  <c r="AI208" i="18" a="1"/>
  <c r="AI208" i="18" s="1"/>
  <c r="AJ208" i="18" s="1"/>
  <c r="AE208" i="18"/>
  <c r="AM208" i="18" s="1"/>
  <c r="AC178" i="18" a="1"/>
  <c r="AC178" i="18" s="1"/>
  <c r="AK178" i="18" s="1"/>
  <c r="AG178" i="18" a="1"/>
  <c r="AG178" i="18" s="1"/>
  <c r="AH178" i="18" s="1" a="1"/>
  <c r="AH178" i="18" s="1"/>
  <c r="AE179" i="18"/>
  <c r="AI179" i="18" a="1"/>
  <c r="AI179" i="18" s="1"/>
  <c r="AJ179" i="18" s="1"/>
  <c r="AC91" i="18" a="1"/>
  <c r="AC91" i="18" s="1"/>
  <c r="AK91" i="18" s="1"/>
  <c r="AG91" i="18" a="1"/>
  <c r="AG91" i="18" s="1"/>
  <c r="AH91" i="18" s="1" a="1"/>
  <c r="AH91" i="18" s="1"/>
  <c r="AE64" i="18"/>
  <c r="AM64" i="18" s="1"/>
  <c r="AI64" i="18" a="1"/>
  <c r="AI64" i="18" s="1"/>
  <c r="AJ64" i="18" s="1"/>
  <c r="AI311" i="18" a="1"/>
  <c r="AI311" i="18" s="1"/>
  <c r="AJ311" i="18" s="1"/>
  <c r="AE311" i="18"/>
  <c r="AC167" i="18" a="1"/>
  <c r="AC167" i="18" s="1"/>
  <c r="AK167" i="18" s="1"/>
  <c r="AG167" i="18" a="1"/>
  <c r="AG167" i="18" s="1"/>
  <c r="AH167" i="18" s="1" a="1"/>
  <c r="AH167" i="18" s="1"/>
  <c r="AC187" i="18" a="1"/>
  <c r="AC187" i="18" s="1"/>
  <c r="AK187" i="18" s="1"/>
  <c r="AG187" i="18" a="1"/>
  <c r="AG187" i="18" s="1"/>
  <c r="AH187" i="18" s="1" a="1"/>
  <c r="AH187" i="18" s="1"/>
  <c r="AC212" i="18" a="1"/>
  <c r="AC212" i="18" s="1"/>
  <c r="AK212" i="18" s="1"/>
  <c r="AG212" i="18" a="1"/>
  <c r="AG212" i="18" s="1"/>
  <c r="AH212" i="18" s="1" a="1"/>
  <c r="AH212" i="18" s="1"/>
  <c r="AI257" i="18" a="1"/>
  <c r="AI257" i="18" s="1"/>
  <c r="AJ257" i="18" s="1"/>
  <c r="AE257" i="18"/>
  <c r="AC186" i="18" a="1"/>
  <c r="AC186" i="18" s="1"/>
  <c r="AK186" i="18" s="1"/>
  <c r="AG186" i="18" a="1"/>
  <c r="AG186" i="18" s="1"/>
  <c r="AH186" i="18" s="1" a="1"/>
  <c r="AH186" i="18" s="1"/>
  <c r="AI140" i="18" a="1"/>
  <c r="AI140" i="18" s="1"/>
  <c r="AJ140" i="18" s="1"/>
  <c r="AE140" i="18"/>
  <c r="AI312" i="18" a="1"/>
  <c r="AI312" i="18" s="1"/>
  <c r="AJ312" i="18" s="1"/>
  <c r="AE312" i="18"/>
  <c r="AF299" i="18"/>
  <c r="AN299" i="18" s="1"/>
  <c r="AM299" i="18"/>
  <c r="AI104" i="18" a="1"/>
  <c r="AI104" i="18" s="1"/>
  <c r="AJ104" i="18" s="1"/>
  <c r="AE104" i="18"/>
  <c r="AD176" i="18"/>
  <c r="AL176" i="18" s="1"/>
  <c r="AF296" i="18"/>
  <c r="AN296" i="18" s="1"/>
  <c r="AM296" i="18"/>
  <c r="AF175" i="18"/>
  <c r="AN175" i="18" s="1"/>
  <c r="AM175" i="18"/>
  <c r="AD172" i="18"/>
  <c r="AL172" i="18" s="1"/>
  <c r="AD174" i="18"/>
  <c r="AL174" i="18" s="1"/>
  <c r="AC45" i="18" a="1"/>
  <c r="AC45" i="18" s="1"/>
  <c r="AK45" i="18" s="1"/>
  <c r="AG45" i="18" a="1"/>
  <c r="AG45" i="18" s="1"/>
  <c r="AH45" i="18" s="1" a="1"/>
  <c r="AH45" i="18" s="1"/>
  <c r="AF49" i="18"/>
  <c r="AN49" i="18" s="1"/>
  <c r="AM49" i="18"/>
  <c r="AC300" i="18" a="1"/>
  <c r="AC300" i="18" s="1"/>
  <c r="AK300" i="18" s="1"/>
  <c r="AG300" i="18" a="1"/>
  <c r="AG300" i="18" s="1"/>
  <c r="AH300" i="18" s="1" a="1"/>
  <c r="AH300" i="18" s="1"/>
  <c r="AI292" i="18" a="1"/>
  <c r="AI292" i="18" s="1"/>
  <c r="AJ292" i="18" s="1"/>
  <c r="AE292" i="18"/>
  <c r="AF63" i="18"/>
  <c r="AN63" i="18" s="1"/>
  <c r="AM63" i="18"/>
  <c r="AD234" i="18"/>
  <c r="AL234" i="18" s="1"/>
  <c r="AD207" i="18"/>
  <c r="AL207" i="18" s="1"/>
  <c r="AI254" i="18" a="1"/>
  <c r="AI254" i="18" s="1"/>
  <c r="AJ254" i="18" s="1"/>
  <c r="AE254" i="18"/>
  <c r="AC183" i="18" a="1"/>
  <c r="AC183" i="18" s="1"/>
  <c r="AK183" i="18" s="1"/>
  <c r="AG183" i="18" a="1"/>
  <c r="AG183" i="18" s="1"/>
  <c r="AH183" i="18" s="1" a="1"/>
  <c r="AH183" i="18" s="1"/>
  <c r="AC179" i="18" a="1"/>
  <c r="AC179" i="18" s="1"/>
  <c r="AK179" i="18" s="1"/>
  <c r="AG179" i="18" a="1"/>
  <c r="AG179" i="18" s="1"/>
  <c r="AH179" i="18" s="1" a="1"/>
  <c r="AH179" i="18" s="1"/>
  <c r="AC246" i="18" a="1"/>
  <c r="AC246" i="18" s="1"/>
  <c r="AK246" i="18" s="1"/>
  <c r="AG246" i="18" a="1"/>
  <c r="AG246" i="18" s="1"/>
  <c r="AH246" i="18" s="1" a="1"/>
  <c r="AH246" i="18" s="1"/>
  <c r="AC317" i="18" a="1"/>
  <c r="AC317" i="18" s="1"/>
  <c r="AK317" i="18" s="1"/>
  <c r="AG317" i="18" a="1"/>
  <c r="AG317" i="18" s="1"/>
  <c r="AH317" i="18" s="1" a="1"/>
  <c r="AH317" i="18" s="1"/>
  <c r="AC60" i="18" a="1"/>
  <c r="AC60" i="18" s="1"/>
  <c r="AK60" i="18" s="1"/>
  <c r="AG60" i="18" a="1"/>
  <c r="AG60" i="18" s="1"/>
  <c r="AH60" i="18" s="1" a="1"/>
  <c r="AH60" i="18" s="1"/>
  <c r="AC52" i="18" a="1"/>
  <c r="AC52" i="18" s="1"/>
  <c r="AK52" i="18" s="1"/>
  <c r="AG52" i="18" a="1"/>
  <c r="AG52" i="18" s="1"/>
  <c r="AH52" i="18" s="1" a="1"/>
  <c r="AH52" i="18" s="1"/>
  <c r="AC270" i="18" a="1"/>
  <c r="AC270" i="18" s="1"/>
  <c r="AK270" i="18" s="1"/>
  <c r="AG270" i="18" a="1"/>
  <c r="AG270" i="18" s="1"/>
  <c r="AH270" i="18" s="1" a="1"/>
  <c r="AH270" i="18" s="1"/>
  <c r="AE105" i="18"/>
  <c r="AI105" i="18" a="1"/>
  <c r="AI105" i="18" s="1"/>
  <c r="AJ105" i="18" s="1"/>
  <c r="AC70" i="18" a="1"/>
  <c r="AC70" i="18" s="1"/>
  <c r="AK70" i="18" s="1"/>
  <c r="AG70" i="18" a="1"/>
  <c r="AG70" i="18" s="1"/>
  <c r="AH70" i="18" s="1" a="1"/>
  <c r="AH70" i="18" s="1"/>
  <c r="AE264" i="18"/>
  <c r="AI264" i="18" a="1"/>
  <c r="AI264" i="18" s="1"/>
  <c r="AJ264" i="18" s="1"/>
  <c r="AI190" i="18" a="1"/>
  <c r="AI190" i="18" s="1"/>
  <c r="AJ190" i="18" s="1"/>
  <c r="AE190" i="18"/>
  <c r="AE98" i="18"/>
  <c r="AI98" i="18" a="1"/>
  <c r="AI98" i="18" s="1"/>
  <c r="AJ98" i="18" s="1"/>
  <c r="AI88" i="18" a="1"/>
  <c r="AI88" i="18" s="1"/>
  <c r="AJ88" i="18" s="1"/>
  <c r="AE88" i="18"/>
  <c r="AE293" i="18"/>
  <c r="AI293" i="18" a="1"/>
  <c r="AI293" i="18" s="1"/>
  <c r="AJ293" i="18" s="1"/>
  <c r="AF195" i="18"/>
  <c r="AN195" i="18" s="1"/>
  <c r="AM195" i="18"/>
  <c r="AC297" i="18" a="1"/>
  <c r="AC297" i="18" s="1"/>
  <c r="AK297" i="18" s="1"/>
  <c r="AG297" i="18" a="1"/>
  <c r="AG297" i="18" s="1"/>
  <c r="AH297" i="18" s="1" a="1"/>
  <c r="AH297" i="18" s="1"/>
  <c r="AI168" i="18" a="1"/>
  <c r="AI168" i="18" s="1"/>
  <c r="AJ168" i="18" s="1"/>
  <c r="AE168" i="18"/>
  <c r="AD195" i="18"/>
  <c r="AL195" i="18" s="1"/>
  <c r="AD90" i="18"/>
  <c r="AL90" i="18" s="1"/>
  <c r="AC113" i="18" a="1"/>
  <c r="AC113" i="18" s="1"/>
  <c r="AK113" i="18" s="1"/>
  <c r="AG113" i="18" a="1"/>
  <c r="AG113" i="18" s="1"/>
  <c r="AH113" i="18" s="1" a="1"/>
  <c r="AH113" i="18" s="1"/>
  <c r="AD50" i="18"/>
  <c r="AL50" i="18" s="1"/>
  <c r="AE77" i="18"/>
  <c r="AI77" i="18" a="1"/>
  <c r="AI77" i="18" s="1"/>
  <c r="AJ77" i="18" s="1"/>
  <c r="AC120" i="18" a="1"/>
  <c r="AC120" i="18" s="1"/>
  <c r="AK120" i="18" s="1"/>
  <c r="AG120" i="18" a="1"/>
  <c r="AG120" i="18" s="1"/>
  <c r="AH120" i="18" s="1" a="1"/>
  <c r="AH120" i="18" s="1"/>
  <c r="AF159" i="18"/>
  <c r="AN159" i="18" s="1"/>
  <c r="AM159" i="18"/>
  <c r="AD211" i="18"/>
  <c r="AL211" i="18" s="1"/>
  <c r="AF202" i="18"/>
  <c r="AN202" i="18" s="1"/>
  <c r="AM202" i="18"/>
  <c r="AD281" i="18"/>
  <c r="AL281" i="18" s="1"/>
  <c r="AI43" i="18" a="1"/>
  <c r="AI43" i="18" s="1"/>
  <c r="AJ43" i="18" s="1"/>
  <c r="AE43" i="18"/>
  <c r="AI200" i="18" a="1"/>
  <c r="AI200" i="18" s="1"/>
  <c r="AJ200" i="18" s="1"/>
  <c r="AE200" i="18"/>
  <c r="AI199" i="18" a="1"/>
  <c r="AI199" i="18" s="1"/>
  <c r="AJ199" i="18" s="1"/>
  <c r="AE199" i="18"/>
  <c r="AI322" i="18" a="1"/>
  <c r="AI322" i="18" s="1"/>
  <c r="AJ322" i="18" s="1"/>
  <c r="AE322" i="18"/>
  <c r="AC201" i="18" a="1"/>
  <c r="AC201" i="18" s="1"/>
  <c r="AK201" i="18" s="1"/>
  <c r="AG201" i="18" a="1"/>
  <c r="AG201" i="18" s="1"/>
  <c r="AH201" i="18" s="1" a="1"/>
  <c r="AH201" i="18" s="1"/>
  <c r="AC218" i="18" a="1"/>
  <c r="AC218" i="18" s="1"/>
  <c r="AK218" i="18" s="1"/>
  <c r="AG218" i="18" a="1"/>
  <c r="AG218" i="18" s="1"/>
  <c r="AH218" i="18" s="1" a="1"/>
  <c r="AH218" i="18" s="1"/>
  <c r="AI268" i="18" a="1"/>
  <c r="AI268" i="18" s="1"/>
  <c r="AJ268" i="18" s="1"/>
  <c r="AE268" i="18"/>
  <c r="AC170" i="18" a="1"/>
  <c r="AC170" i="18" s="1"/>
  <c r="AK170" i="18" s="1"/>
  <c r="AG170" i="18" a="1"/>
  <c r="AG170" i="18" s="1"/>
  <c r="AH170" i="18" s="1" a="1"/>
  <c r="AH170" i="18" s="1"/>
  <c r="AI206" i="18" a="1"/>
  <c r="AI206" i="18" s="1"/>
  <c r="AJ206" i="18" s="1"/>
  <c r="AE206" i="18"/>
  <c r="AC39" i="18" a="1"/>
  <c r="AC39" i="18" s="1"/>
  <c r="AK39" i="18" s="1"/>
  <c r="AG39" i="18" a="1"/>
  <c r="AG39" i="18" s="1"/>
  <c r="AH39" i="18" s="1" a="1"/>
  <c r="AH39" i="18" s="1"/>
  <c r="AI223" i="18" a="1"/>
  <c r="AI223" i="18" s="1"/>
  <c r="AJ223" i="18" s="1"/>
  <c r="AE223" i="18"/>
  <c r="AI314" i="18" a="1"/>
  <c r="AI314" i="18" s="1"/>
  <c r="AJ314" i="18" s="1"/>
  <c r="AE314" i="18"/>
  <c r="AC206" i="18" a="1"/>
  <c r="AC206" i="18" s="1"/>
  <c r="AK206" i="18" s="1"/>
  <c r="AG206" i="18" a="1"/>
  <c r="AG206" i="18" s="1"/>
  <c r="AH206" i="18" s="1" a="1"/>
  <c r="AH206" i="18" s="1"/>
  <c r="AE294" i="18"/>
  <c r="AI294" i="18" a="1"/>
  <c r="AI294" i="18" s="1"/>
  <c r="AJ294" i="18" s="1"/>
  <c r="AC77" i="18" a="1"/>
  <c r="AC77" i="18" s="1"/>
  <c r="AK77" i="18" s="1"/>
  <c r="AG77" i="18" a="1"/>
  <c r="AG77" i="18" s="1"/>
  <c r="AH77" i="18" s="1" a="1"/>
  <c r="AH77" i="18" s="1"/>
  <c r="AD319" i="18"/>
  <c r="AL319" i="18" s="1"/>
  <c r="AC301" i="18" a="1"/>
  <c r="AC301" i="18" s="1"/>
  <c r="AK301" i="18" s="1"/>
  <c r="AG301" i="18" a="1"/>
  <c r="AG301" i="18" s="1"/>
  <c r="AH301" i="18" s="1" a="1"/>
  <c r="AH301" i="18" s="1"/>
  <c r="AI222" i="18" a="1"/>
  <c r="AI222" i="18" s="1"/>
  <c r="AJ222" i="18" s="1"/>
  <c r="AE222" i="18"/>
  <c r="AD287" i="18"/>
  <c r="AL287" i="18" s="1"/>
  <c r="AF94" i="18"/>
  <c r="AN94" i="18" s="1"/>
  <c r="AM94" i="18"/>
  <c r="AC310" i="18" a="1"/>
  <c r="AC310" i="18" s="1"/>
  <c r="AK310" i="18" s="1"/>
  <c r="AG310" i="18" a="1"/>
  <c r="AG310" i="18" s="1"/>
  <c r="AH310" i="18" s="1" a="1"/>
  <c r="AH310" i="18" s="1"/>
  <c r="AD47" i="18"/>
  <c r="AL47" i="18" s="1"/>
  <c r="AF40" i="18"/>
  <c r="AN40" i="18" s="1"/>
  <c r="AM40" i="18"/>
  <c r="AC157" i="18" a="1"/>
  <c r="AC157" i="18" s="1"/>
  <c r="AK157" i="18" s="1"/>
  <c r="AG157" i="18" a="1"/>
  <c r="AG157" i="18" s="1"/>
  <c r="AH157" i="18" s="1" a="1"/>
  <c r="AH157" i="18" s="1"/>
  <c r="AC160" i="18" a="1"/>
  <c r="AC160" i="18" s="1"/>
  <c r="AK160" i="18" s="1"/>
  <c r="AG160" i="18" a="1"/>
  <c r="AG160" i="18" s="1"/>
  <c r="AH160" i="18" s="1" a="1"/>
  <c r="AH160" i="18" s="1"/>
  <c r="AD51" i="18"/>
  <c r="AL51" i="18" s="1"/>
  <c r="AF149" i="18"/>
  <c r="AN149" i="18" s="1"/>
  <c r="AM149" i="18"/>
  <c r="AD162" i="18"/>
  <c r="AL162" i="18" s="1"/>
  <c r="AC194" i="18" a="1"/>
  <c r="AC194" i="18" s="1"/>
  <c r="AK194" i="18" s="1"/>
  <c r="AG194" i="18" a="1"/>
  <c r="AG194" i="18" s="1"/>
  <c r="AH194" i="18" s="1" a="1"/>
  <c r="AH194" i="18" s="1"/>
  <c r="AI124" i="18" a="1"/>
  <c r="AI124" i="18" s="1"/>
  <c r="AJ124" i="18" s="1"/>
  <c r="AE124" i="18"/>
  <c r="AE120" i="18"/>
  <c r="AI120" i="18" a="1"/>
  <c r="AI120" i="18" s="1"/>
  <c r="AJ120" i="18" s="1"/>
  <c r="AI235" i="18" a="1"/>
  <c r="AI235" i="18" s="1"/>
  <c r="AJ235" i="18" s="1"/>
  <c r="AE235" i="18"/>
  <c r="AI219" i="18" a="1"/>
  <c r="AI219" i="18" s="1"/>
  <c r="AJ219" i="18" s="1"/>
  <c r="AE219" i="18"/>
  <c r="AC55" i="18" a="1"/>
  <c r="AC55" i="18" s="1"/>
  <c r="AK55" i="18" s="1"/>
  <c r="AG55" i="18" a="1"/>
  <c r="AG55" i="18" s="1"/>
  <c r="AH55" i="18" s="1" a="1"/>
  <c r="AH55" i="18" s="1"/>
  <c r="AC102" i="18" a="1"/>
  <c r="AC102" i="18" s="1"/>
  <c r="AK102" i="18" s="1"/>
  <c r="AG102" i="18" a="1"/>
  <c r="AG102" i="18" s="1"/>
  <c r="AH102" i="18" s="1" a="1"/>
  <c r="AH102" i="18" s="1"/>
  <c r="AI143" i="18" a="1"/>
  <c r="AI143" i="18" s="1"/>
  <c r="AJ143" i="18" s="1"/>
  <c r="AE143" i="18"/>
  <c r="AC182" i="18" a="1"/>
  <c r="AC182" i="18" s="1"/>
  <c r="AK182" i="18" s="1"/>
  <c r="AG182" i="18" a="1"/>
  <c r="AG182" i="18" s="1"/>
  <c r="AH182" i="18" s="1" a="1"/>
  <c r="AH182" i="18" s="1"/>
  <c r="AI239" i="18" a="1"/>
  <c r="AI239" i="18" s="1"/>
  <c r="AJ239" i="18" s="1"/>
  <c r="AE239" i="18"/>
  <c r="AI144" i="18" a="1"/>
  <c r="AI144" i="18" s="1"/>
  <c r="AJ144" i="18" s="1"/>
  <c r="AE144" i="18"/>
  <c r="AM144" i="18" s="1"/>
  <c r="AE131" i="18"/>
  <c r="AI131" i="18" a="1"/>
  <c r="AI131" i="18" s="1"/>
  <c r="AJ131" i="18" s="1"/>
  <c r="AE259" i="18"/>
  <c r="AI259" i="18" a="1"/>
  <c r="AI259" i="18" s="1"/>
  <c r="AJ259" i="18" s="1"/>
  <c r="AE44" i="18"/>
  <c r="AI44" i="18" a="1"/>
  <c r="AI44" i="18" s="1"/>
  <c r="AJ44" i="18" s="1"/>
  <c r="AF48" i="18"/>
  <c r="AN48" i="18" s="1"/>
  <c r="AM48" i="18"/>
  <c r="AE146" i="18"/>
  <c r="AI146" i="18" a="1"/>
  <c r="AI146" i="18" s="1"/>
  <c r="AJ146" i="18" s="1"/>
  <c r="AC205" i="18" a="1"/>
  <c r="AC205" i="18" s="1"/>
  <c r="AK205" i="18" s="1"/>
  <c r="AG205" i="18" a="1"/>
  <c r="AG205" i="18" s="1"/>
  <c r="AH205" i="18" s="1" a="1"/>
  <c r="AH205" i="18" s="1"/>
  <c r="AD219" i="18"/>
  <c r="AL219" i="18" s="1"/>
  <c r="AD115" i="18"/>
  <c r="AL115" i="18" s="1"/>
  <c r="AD244" i="18"/>
  <c r="AL244" i="18" s="1"/>
  <c r="AI82" i="18" a="1"/>
  <c r="AI82" i="18" s="1"/>
  <c r="AJ82" i="18" s="1"/>
  <c r="AE82" i="18"/>
  <c r="AD40" i="18"/>
  <c r="AL40" i="18" s="1"/>
  <c r="AF189" i="18"/>
  <c r="AN189" i="18" s="1"/>
  <c r="AM189" i="18"/>
  <c r="AI161" i="18" a="1"/>
  <c r="AI161" i="18" s="1"/>
  <c r="AJ161" i="18" s="1"/>
  <c r="AE161" i="18"/>
  <c r="AC64" i="18" a="1"/>
  <c r="AC64" i="18" s="1"/>
  <c r="AK64" i="18" s="1"/>
  <c r="AG64" i="18" a="1"/>
  <c r="AG64" i="18" s="1"/>
  <c r="AH64" i="18" s="1" a="1"/>
  <c r="AH64" i="18" s="1"/>
  <c r="AD311" i="18"/>
  <c r="AL311" i="18" s="1"/>
  <c r="AD237" i="18"/>
  <c r="AL237" i="18" s="1"/>
  <c r="AC268" i="18" a="1"/>
  <c r="AC268" i="18" s="1"/>
  <c r="AK268" i="18" s="1"/>
  <c r="AG268" i="18" a="1"/>
  <c r="AG268" i="18" s="1"/>
  <c r="AH268" i="18" s="1" a="1"/>
  <c r="AH268" i="18" s="1"/>
  <c r="AC293" i="18" a="1"/>
  <c r="AC293" i="18" s="1"/>
  <c r="AK293" i="18" s="1"/>
  <c r="AG293" i="18" a="1"/>
  <c r="AG293" i="18" s="1"/>
  <c r="AH293" i="18" s="1" a="1"/>
  <c r="AH293" i="18" s="1"/>
  <c r="AI160" i="18" a="1"/>
  <c r="AI160" i="18" s="1"/>
  <c r="AJ160" i="18" s="1"/>
  <c r="AE160" i="18"/>
  <c r="AM160" i="18" s="1"/>
  <c r="AI281" i="18" a="1"/>
  <c r="AI281" i="18" s="1"/>
  <c r="AJ281" i="18" s="1"/>
  <c r="AE281" i="18"/>
  <c r="AC313" i="18" a="1"/>
  <c r="AC313" i="18" s="1"/>
  <c r="AK313" i="18" s="1"/>
  <c r="AG313" i="18" a="1"/>
  <c r="AG313" i="18" s="1"/>
  <c r="AH313" i="18" s="1" a="1"/>
  <c r="AH313" i="18" s="1"/>
  <c r="AC145" i="18" a="1"/>
  <c r="AC145" i="18" s="1"/>
  <c r="AK145" i="18" s="1"/>
  <c r="AG145" i="18" a="1"/>
  <c r="AG145" i="18" s="1"/>
  <c r="AH145" i="18" s="1" a="1"/>
  <c r="AH145" i="18" s="1"/>
  <c r="AC95" i="18" a="1"/>
  <c r="AC95" i="18" s="1"/>
  <c r="AK95" i="18" s="1"/>
  <c r="AG95" i="18" a="1"/>
  <c r="AG95" i="18" s="1"/>
  <c r="AH95" i="18" s="1" a="1"/>
  <c r="AH95" i="18" s="1"/>
  <c r="AI198" i="18" a="1"/>
  <c r="AI198" i="18" s="1"/>
  <c r="AJ198" i="18" s="1"/>
  <c r="AE198" i="18"/>
  <c r="AI122" i="18" a="1"/>
  <c r="AI122" i="18" s="1"/>
  <c r="AJ122" i="18" s="1"/>
  <c r="AE122" i="18"/>
  <c r="AE315" i="18"/>
  <c r="AI315" i="18" a="1"/>
  <c r="AI315" i="18" s="1"/>
  <c r="AJ315" i="18" s="1"/>
  <c r="AE253" i="18"/>
  <c r="AI253" i="18" a="1"/>
  <c r="AI253" i="18" s="1"/>
  <c r="AJ253" i="18" s="1"/>
  <c r="AI110" i="18" a="1"/>
  <c r="AI110" i="18" s="1"/>
  <c r="AJ110" i="18" s="1"/>
  <c r="AE110" i="18"/>
  <c r="AI212" i="18" a="1"/>
  <c r="AI212" i="18" s="1"/>
  <c r="AJ212" i="18" s="1"/>
  <c r="AE212" i="18"/>
  <c r="AI249" i="18" a="1"/>
  <c r="AI249" i="18" s="1"/>
  <c r="AJ249" i="18" s="1"/>
  <c r="AE249" i="18"/>
  <c r="AC148" i="18" a="1"/>
  <c r="AC148" i="18" s="1"/>
  <c r="AK148" i="18" s="1"/>
  <c r="AG148" i="18" a="1"/>
  <c r="AG148" i="18" s="1"/>
  <c r="AH148" i="18" s="1" a="1"/>
  <c r="AH148" i="18" s="1"/>
  <c r="AI141" i="18" a="1"/>
  <c r="AI141" i="18" s="1"/>
  <c r="AJ141" i="18" s="1"/>
  <c r="AE141" i="18"/>
  <c r="AI226" i="18" a="1"/>
  <c r="AI226" i="18" s="1"/>
  <c r="AJ226" i="18" s="1"/>
  <c r="AE226" i="18"/>
  <c r="AC59" i="18" a="1"/>
  <c r="AC59" i="18" s="1"/>
  <c r="AK59" i="18" s="1"/>
  <c r="AG59" i="18" a="1"/>
  <c r="AG59" i="18" s="1"/>
  <c r="AH59" i="18" s="1" a="1"/>
  <c r="AH59" i="18" s="1"/>
  <c r="AI284" i="18" a="1"/>
  <c r="AI284" i="18" s="1"/>
  <c r="AJ284" i="18" s="1"/>
  <c r="AE284" i="18"/>
  <c r="AM284" i="18" s="1"/>
  <c r="AC259" i="18" a="1"/>
  <c r="AC259" i="18" s="1"/>
  <c r="AK259" i="18" s="1"/>
  <c r="AG259" i="18" a="1"/>
  <c r="AG259" i="18" s="1"/>
  <c r="AH259" i="18" s="1" a="1"/>
  <c r="AH259" i="18" s="1"/>
  <c r="AF103" i="18"/>
  <c r="AN103" i="18" s="1"/>
  <c r="AM103" i="18"/>
  <c r="AI174" i="18" a="1"/>
  <c r="AI174" i="18" s="1"/>
  <c r="AJ174" i="18" s="1"/>
  <c r="AE174" i="18"/>
  <c r="AI306" i="18" a="1"/>
  <c r="AI306" i="18" s="1"/>
  <c r="AJ306" i="18" s="1"/>
  <c r="AE306" i="18"/>
  <c r="AI261" i="18" a="1"/>
  <c r="AI261" i="18" s="1"/>
  <c r="AJ261" i="18" s="1"/>
  <c r="AE261" i="18"/>
  <c r="AC191" i="18" a="1"/>
  <c r="AC191" i="18" s="1"/>
  <c r="AK191" i="18" s="1"/>
  <c r="AG191" i="18" a="1"/>
  <c r="AG191" i="18" s="1"/>
  <c r="AH191" i="18" s="1" a="1"/>
  <c r="AH191" i="18" s="1"/>
  <c r="AC164" i="18" a="1"/>
  <c r="AC164" i="18" s="1"/>
  <c r="AK164" i="18" s="1"/>
  <c r="AG164" i="18" a="1"/>
  <c r="AG164" i="18" s="1"/>
  <c r="AH164" i="18" s="1" a="1"/>
  <c r="AH164" i="18" s="1"/>
  <c r="AE221" i="18"/>
  <c r="AI221" i="18" a="1"/>
  <c r="AI221" i="18" s="1"/>
  <c r="AJ221" i="18" s="1"/>
  <c r="AC255" i="18" a="1"/>
  <c r="AC255" i="18" s="1"/>
  <c r="AK255" i="18" s="1"/>
  <c r="AG255" i="18" a="1"/>
  <c r="AG255" i="18" s="1"/>
  <c r="AH255" i="18" s="1" a="1"/>
  <c r="AH255" i="18" s="1"/>
  <c r="AI86" i="18" a="1"/>
  <c r="AI86" i="18" s="1"/>
  <c r="AJ86" i="18" s="1"/>
  <c r="AE86" i="18"/>
  <c r="AI318" i="18" a="1"/>
  <c r="AI318" i="18" s="1"/>
  <c r="AJ318" i="18" s="1"/>
  <c r="AE318" i="18"/>
  <c r="AI71" i="18" a="1"/>
  <c r="AI71" i="18" s="1"/>
  <c r="AJ71" i="18" s="1"/>
  <c r="AE71" i="18"/>
  <c r="AI166" i="18" a="1"/>
  <c r="AI166" i="18" s="1"/>
  <c r="AJ166" i="18" s="1"/>
  <c r="AE166" i="18"/>
  <c r="AI155" i="18" a="1"/>
  <c r="AI155" i="18" s="1"/>
  <c r="AJ155" i="18" s="1"/>
  <c r="AE155" i="18"/>
  <c r="AI238" i="18" a="1"/>
  <c r="AI238" i="18" s="1"/>
  <c r="AJ238" i="18" s="1"/>
  <c r="AE238" i="18"/>
  <c r="AE100" i="18"/>
  <c r="AI100" i="18" a="1"/>
  <c r="AI100" i="18" s="1"/>
  <c r="AJ100" i="18" s="1"/>
  <c r="AI283" i="18" a="1"/>
  <c r="AI283" i="18" s="1"/>
  <c r="AJ283" i="18" s="1"/>
  <c r="AE283" i="18"/>
  <c r="AF75" i="18"/>
  <c r="AN75" i="18" s="1"/>
  <c r="AM75" i="18"/>
  <c r="AD42" i="18"/>
  <c r="AL42" i="18" s="1"/>
  <c r="AC289" i="18" a="1"/>
  <c r="AC289" i="18" s="1"/>
  <c r="AK289" i="18" s="1"/>
  <c r="AG289" i="18" a="1"/>
  <c r="AG289" i="18" s="1"/>
  <c r="AH289" i="18" s="1" a="1"/>
  <c r="AH289" i="18" s="1"/>
  <c r="AI240" i="18" a="1"/>
  <c r="AI240" i="18" s="1"/>
  <c r="AJ240" i="18" s="1"/>
  <c r="AE240" i="18"/>
  <c r="AM240" i="18" s="1"/>
  <c r="AD274" i="18"/>
  <c r="AL274" i="18" s="1"/>
  <c r="AF66" i="18"/>
  <c r="AN66" i="18" s="1"/>
  <c r="AM66" i="18"/>
  <c r="AF300" i="18"/>
  <c r="AN300" i="18" s="1"/>
  <c r="AM300" i="18"/>
  <c r="AD230" i="18"/>
  <c r="AL230" i="18" s="1"/>
  <c r="AC269" i="18" a="1"/>
  <c r="AC269" i="18" s="1"/>
  <c r="AK269" i="18" s="1"/>
  <c r="AG269" i="18" a="1"/>
  <c r="AG269" i="18" s="1"/>
  <c r="AH269" i="18" s="1" a="1"/>
  <c r="AH269" i="18" s="1"/>
  <c r="AD284" i="18"/>
  <c r="AL284" i="18" s="1"/>
  <c r="AI153" i="18" a="1"/>
  <c r="AI153" i="18" s="1"/>
  <c r="AJ153" i="18" s="1"/>
  <c r="AE153" i="18"/>
  <c r="AI167" i="18" a="1"/>
  <c r="AI167" i="18" s="1"/>
  <c r="AJ167" i="18" s="1"/>
  <c r="AE167" i="18"/>
  <c r="AD220" i="18"/>
  <c r="AL220" i="18" s="1"/>
  <c r="AD271" i="18"/>
  <c r="AL271" i="18" s="1"/>
  <c r="AD43" i="18"/>
  <c r="AL43" i="18" s="1"/>
  <c r="AI227" i="18" a="1"/>
  <c r="AI227" i="18" s="1"/>
  <c r="AJ227" i="18" s="1"/>
  <c r="AE227" i="18"/>
  <c r="AI53" i="18" a="1"/>
  <c r="AI53" i="18" s="1"/>
  <c r="AJ53" i="18" s="1"/>
  <c r="AE53" i="18"/>
  <c r="AI156" i="18" a="1"/>
  <c r="AI156" i="18" s="1"/>
  <c r="AJ156" i="18" s="1"/>
  <c r="AE156" i="18"/>
  <c r="AC225" i="18" a="1"/>
  <c r="AC225" i="18" s="1"/>
  <c r="AK225" i="18" s="1"/>
  <c r="AG225" i="18" a="1"/>
  <c r="AG225" i="18" s="1"/>
  <c r="AH225" i="18" s="1" a="1"/>
  <c r="AH225" i="18" s="1"/>
  <c r="AI320" i="18" a="1"/>
  <c r="AI320" i="18" s="1"/>
  <c r="AJ320" i="18" s="1"/>
  <c r="AE320" i="18"/>
  <c r="AI313" i="18" a="1"/>
  <c r="AI313" i="18" s="1"/>
  <c r="AJ313" i="18" s="1"/>
  <c r="AE313" i="18"/>
  <c r="AC103" i="18" a="1"/>
  <c r="AC103" i="18" s="1"/>
  <c r="AK103" i="18" s="1"/>
  <c r="AG103" i="18" a="1"/>
  <c r="AG103" i="18" s="1"/>
  <c r="AH103" i="18" s="1" a="1"/>
  <c r="AH103" i="18" s="1"/>
  <c r="AC189" i="18" a="1"/>
  <c r="AC189" i="18" s="1"/>
  <c r="AK189" i="18" s="1"/>
  <c r="AG189" i="18" a="1"/>
  <c r="AG189" i="18" s="1"/>
  <c r="AH189" i="18" s="1" a="1"/>
  <c r="AH189" i="18" s="1"/>
  <c r="AE137" i="18"/>
  <c r="AI137" i="18" a="1"/>
  <c r="AI137" i="18" s="1"/>
  <c r="AJ137" i="18" s="1"/>
  <c r="AC190" i="18" a="1"/>
  <c r="AC190" i="18" s="1"/>
  <c r="AK190" i="18" s="1"/>
  <c r="AG190" i="18" a="1"/>
  <c r="AG190" i="18" s="1"/>
  <c r="AH190" i="18" s="1" a="1"/>
  <c r="AH190" i="18" s="1"/>
  <c r="AI118" i="18" a="1"/>
  <c r="AI118" i="18" s="1"/>
  <c r="AJ118" i="18" s="1"/>
  <c r="AE118" i="18"/>
  <c r="AC171" i="18" a="1"/>
  <c r="AC171" i="18" s="1"/>
  <c r="AK171" i="18" s="1"/>
  <c r="AG171" i="18" a="1"/>
  <c r="AG171" i="18" s="1"/>
  <c r="AH171" i="18" s="1" a="1"/>
  <c r="AH171" i="18" s="1"/>
  <c r="AI286" i="18" a="1"/>
  <c r="AI286" i="18" s="1"/>
  <c r="AJ286" i="18" s="1"/>
  <c r="AE286" i="18"/>
  <c r="AI127" i="18" a="1"/>
  <c r="AI127" i="18" s="1"/>
  <c r="AJ127" i="18" s="1"/>
  <c r="AE127" i="18"/>
  <c r="AC221" i="18" a="1"/>
  <c r="AC221" i="18" s="1"/>
  <c r="AK221" i="18" s="1"/>
  <c r="AG221" i="18" a="1"/>
  <c r="AG221" i="18" s="1"/>
  <c r="AH221" i="18" s="1" a="1"/>
  <c r="AH221" i="18" s="1"/>
  <c r="AD154" i="18"/>
  <c r="AL154" i="18" s="1"/>
  <c r="AE231" i="18"/>
  <c r="AI231" i="18" a="1"/>
  <c r="AI231" i="18" s="1"/>
  <c r="AJ231" i="18" s="1"/>
  <c r="AI72" i="18" a="1"/>
  <c r="AI72" i="18" s="1"/>
  <c r="AJ72" i="18" s="1"/>
  <c r="AE72" i="18"/>
  <c r="AD263" i="18"/>
  <c r="AL263" i="18" s="1"/>
  <c r="AC67" i="18" a="1"/>
  <c r="AC67" i="18" s="1"/>
  <c r="AK67" i="18" s="1"/>
  <c r="AG67" i="18" a="1"/>
  <c r="AG67" i="18" s="1"/>
  <c r="AH67" i="18" s="1" a="1"/>
  <c r="AH67" i="18" s="1"/>
  <c r="AI197" i="18" a="1"/>
  <c r="AI197" i="18" s="1"/>
  <c r="AJ197" i="18" s="1"/>
  <c r="AE197" i="18"/>
  <c r="AC233" i="18" a="1"/>
  <c r="AC233" i="18" s="1"/>
  <c r="AK233" i="18" s="1"/>
  <c r="AG233" i="18" a="1"/>
  <c r="AG233" i="18" s="1"/>
  <c r="AH233" i="18" s="1" a="1"/>
  <c r="AH233" i="18" s="1"/>
  <c r="AD109" i="18"/>
  <c r="AL109" i="18" s="1"/>
  <c r="AD324" i="18"/>
  <c r="AL324" i="18" s="1"/>
  <c r="AF272" i="18"/>
  <c r="AN272" i="18" s="1"/>
  <c r="AM272" i="18"/>
  <c r="AD139" i="18"/>
  <c r="AL139" i="18" s="1"/>
  <c r="AI76" i="18" a="1"/>
  <c r="AI76" i="18" s="1"/>
  <c r="AJ76" i="18" s="1"/>
  <c r="AE76" i="18"/>
  <c r="AI164" i="18" a="1"/>
  <c r="AI164" i="18" s="1"/>
  <c r="AJ164" i="18" s="1"/>
  <c r="AE164" i="18"/>
  <c r="AI147" i="18" a="1"/>
  <c r="AI147" i="18" s="1"/>
  <c r="AJ147" i="18" s="1"/>
  <c r="AE147" i="18"/>
  <c r="AI135" i="18" a="1"/>
  <c r="AI135" i="18" s="1"/>
  <c r="AJ135" i="18" s="1"/>
  <c r="AE135" i="18"/>
  <c r="AC299" i="18" a="1"/>
  <c r="AC299" i="18" s="1"/>
  <c r="AK299" i="18" s="1"/>
  <c r="AG299" i="18" a="1"/>
  <c r="AG299" i="18" s="1"/>
  <c r="AH299" i="18" s="1" a="1"/>
  <c r="AH299" i="18" s="1"/>
  <c r="AC224" i="18" a="1"/>
  <c r="AC224" i="18" s="1"/>
  <c r="AK224" i="18" s="1"/>
  <c r="AG224" i="18" a="1"/>
  <c r="AG224" i="18" s="1"/>
  <c r="AH224" i="18" s="1" a="1"/>
  <c r="AH224" i="18" s="1"/>
  <c r="AI55" i="18" a="1"/>
  <c r="AI55" i="18" s="1"/>
  <c r="AJ55" i="18" s="1"/>
  <c r="AE55" i="18"/>
  <c r="AC75" i="18" a="1"/>
  <c r="AC75" i="18" s="1"/>
  <c r="AK75" i="18" s="1"/>
  <c r="AG75" i="18" a="1"/>
  <c r="AG75" i="18" s="1"/>
  <c r="AH75" i="18" s="1" a="1"/>
  <c r="AH75" i="18" s="1"/>
  <c r="AC305" i="18" a="1"/>
  <c r="AC305" i="18" s="1"/>
  <c r="AK305" i="18" s="1"/>
  <c r="AG305" i="18" a="1"/>
  <c r="AG305" i="18" s="1"/>
  <c r="AH305" i="18" s="1" a="1"/>
  <c r="AH305" i="18" s="1"/>
  <c r="AI182" i="18" a="1"/>
  <c r="AI182" i="18" s="1"/>
  <c r="AJ182" i="18" s="1"/>
  <c r="AE182" i="18"/>
  <c r="AI245" i="18" a="1"/>
  <c r="AI245" i="18" s="1"/>
  <c r="AJ245" i="18" s="1"/>
  <c r="AE245" i="18"/>
  <c r="AI129" i="18" a="1"/>
  <c r="AI129" i="18" s="1"/>
  <c r="AJ129" i="18" s="1"/>
  <c r="AE129" i="18"/>
  <c r="AC280" i="18" a="1"/>
  <c r="AC280" i="18" s="1"/>
  <c r="AK280" i="18" s="1"/>
  <c r="AG280" i="18" a="1"/>
  <c r="AG280" i="18" s="1"/>
  <c r="AH280" i="18" s="1" a="1"/>
  <c r="AH280" i="18" s="1"/>
  <c r="AI150" i="18" a="1"/>
  <c r="AI150" i="18" s="1"/>
  <c r="AJ150" i="18" s="1"/>
  <c r="AE150" i="18"/>
  <c r="AC142" i="18" a="1"/>
  <c r="AC142" i="18" s="1"/>
  <c r="AK142" i="18" s="1"/>
  <c r="AG142" i="18" a="1"/>
  <c r="AG142" i="18" s="1"/>
  <c r="AH142" i="18" s="1" a="1"/>
  <c r="AH142" i="18" s="1"/>
  <c r="AI151" i="18" a="1"/>
  <c r="AI151" i="18" s="1"/>
  <c r="AJ151" i="18" s="1"/>
  <c r="AE151" i="18"/>
  <c r="AE47" i="18"/>
  <c r="AI47" i="18" a="1"/>
  <c r="AI47" i="18" s="1"/>
  <c r="AJ47" i="18" s="1"/>
  <c r="AD318" i="18"/>
  <c r="AL318" i="18" s="1"/>
  <c r="AF81" i="18"/>
  <c r="AN81" i="18" s="1"/>
  <c r="AM81" i="18"/>
  <c r="AI309" i="18" a="1"/>
  <c r="AI309" i="18" s="1"/>
  <c r="AJ309" i="18" s="1"/>
  <c r="AE309" i="18"/>
  <c r="AD278" i="18"/>
  <c r="AL278" i="18" s="1"/>
  <c r="AD89" i="18"/>
  <c r="AL89" i="18" s="1"/>
  <c r="AD133" i="18"/>
  <c r="AL133" i="18" s="1"/>
  <c r="AC57" i="18" a="1"/>
  <c r="AC57" i="18" s="1"/>
  <c r="AK57" i="18" s="1"/>
  <c r="AG57" i="18" a="1"/>
  <c r="AG57" i="18" s="1"/>
  <c r="AH57" i="18" s="1" a="1"/>
  <c r="AH57" i="18" s="1"/>
  <c r="AF305" i="18"/>
  <c r="AN305" i="18" s="1"/>
  <c r="AM305" i="18"/>
  <c r="AF41" i="18"/>
  <c r="AN41" i="18" s="1"/>
  <c r="AM41" i="18"/>
  <c r="AF67" i="18"/>
  <c r="AN67" i="18" s="1"/>
  <c r="AM67" i="18"/>
  <c r="AD69" i="18"/>
  <c r="AL69" i="18" s="1"/>
  <c r="AI139" i="18" a="1"/>
  <c r="AI139" i="18" s="1"/>
  <c r="AJ139" i="18" s="1"/>
  <c r="AE139" i="18"/>
  <c r="AI242" i="18" a="1"/>
  <c r="AI242" i="18" s="1"/>
  <c r="AJ242" i="18" s="1"/>
  <c r="AE242" i="18"/>
  <c r="AI184" i="18" a="1"/>
  <c r="AI184" i="18" s="1"/>
  <c r="AJ184" i="18" s="1"/>
  <c r="AE184" i="18"/>
  <c r="AE101" i="18"/>
  <c r="AI101" i="18" a="1"/>
  <c r="AI101" i="18" s="1"/>
  <c r="AJ101" i="18" s="1"/>
  <c r="AI46" i="18" a="1"/>
  <c r="AI46" i="18" s="1"/>
  <c r="AJ46" i="18" s="1"/>
  <c r="AE46" i="18"/>
  <c r="AI87" i="18" a="1"/>
  <c r="AI87" i="18" s="1"/>
  <c r="AJ87" i="18" s="1"/>
  <c r="AE87" i="18"/>
  <c r="AC56" i="18" a="1"/>
  <c r="AC56" i="18" s="1"/>
  <c r="AK56" i="18" s="1"/>
  <c r="AG56" i="18" a="1"/>
  <c r="AG56" i="18" s="1"/>
  <c r="AH56" i="18" s="1" a="1"/>
  <c r="AH56" i="18" s="1"/>
  <c r="AI193" i="18" a="1"/>
  <c r="AI193" i="18" s="1"/>
  <c r="AJ193" i="18" s="1"/>
  <c r="AE193" i="18"/>
  <c r="AI114" i="18" a="1"/>
  <c r="AI114" i="18" s="1"/>
  <c r="AJ114" i="18" s="1"/>
  <c r="AE114" i="18"/>
  <c r="AC238" i="18" a="1"/>
  <c r="AC238" i="18" s="1"/>
  <c r="AK238" i="18" s="1"/>
  <c r="AG238" i="18" a="1"/>
  <c r="AG238" i="18" s="1"/>
  <c r="AH238" i="18" s="1" a="1"/>
  <c r="AH238" i="18" s="1"/>
  <c r="AI250" i="18" a="1"/>
  <c r="AI250" i="18" s="1"/>
  <c r="AJ250" i="18" s="1"/>
  <c r="AE250" i="18"/>
  <c r="AE121" i="18"/>
  <c r="AI121" i="18" a="1"/>
  <c r="AI121" i="18" s="1"/>
  <c r="AJ121" i="18" s="1"/>
  <c r="AI138" i="18" a="1"/>
  <c r="AI138" i="18" s="1"/>
  <c r="AJ138" i="18" s="1"/>
  <c r="AE138" i="18"/>
  <c r="AC104" i="18" a="1"/>
  <c r="AC104" i="18" s="1"/>
  <c r="AK104" i="18" s="1"/>
  <c r="AG104" i="18" a="1"/>
  <c r="AG104" i="18" s="1"/>
  <c r="AH104" i="18" s="1" a="1"/>
  <c r="AH104" i="18" s="1"/>
  <c r="AE59" i="18"/>
  <c r="AI59" i="18" a="1"/>
  <c r="AI59" i="18" s="1"/>
  <c r="AJ59" i="18" s="1"/>
  <c r="AF260" i="18"/>
  <c r="AN260" i="18" s="1"/>
  <c r="AM260" i="18"/>
  <c r="AI134" i="18" a="1"/>
  <c r="AI134" i="18" s="1"/>
  <c r="AJ134" i="18" s="1"/>
  <c r="AE134" i="18"/>
  <c r="AC264" i="18" a="1"/>
  <c r="AC264" i="18" s="1"/>
  <c r="AK264" i="18" s="1"/>
  <c r="AG264" i="18" a="1"/>
  <c r="AG264" i="18" s="1"/>
  <c r="AH264" i="18" s="1" a="1"/>
  <c r="AH264" i="18" s="1"/>
  <c r="AF119" i="18"/>
  <c r="AN119" i="18" s="1"/>
  <c r="AM119" i="18"/>
  <c r="AD158" i="18"/>
  <c r="AL158" i="18" s="1"/>
  <c r="AD275" i="18"/>
  <c r="AL275" i="18" s="1"/>
  <c r="AC71" i="18" a="1"/>
  <c r="AC71" i="18" s="1"/>
  <c r="AK71" i="18" s="1"/>
  <c r="AG71" i="18" a="1"/>
  <c r="AG71" i="18" s="1"/>
  <c r="AH71" i="18" s="1" a="1"/>
  <c r="AH71" i="18" s="1"/>
  <c r="AC161" i="18" a="1"/>
  <c r="AC161" i="18" s="1"/>
  <c r="AK161" i="18" s="1"/>
  <c r="AG161" i="18" a="1"/>
  <c r="AG161" i="18" s="1"/>
  <c r="AH161" i="18" s="1" a="1"/>
  <c r="AH161" i="18" s="1"/>
  <c r="AF83" i="18"/>
  <c r="AN83" i="18" s="1"/>
  <c r="AM83" i="18"/>
  <c r="AI265" i="18" a="1"/>
  <c r="AI265" i="18" s="1"/>
  <c r="AJ265" i="18" s="1"/>
  <c r="AE265" i="18"/>
  <c r="AI218" i="18" a="1"/>
  <c r="AI218" i="18" s="1"/>
  <c r="AJ218" i="18" s="1"/>
  <c r="AE218" i="18"/>
  <c r="AI106" i="18" a="1"/>
  <c r="AI106" i="18" s="1"/>
  <c r="AJ106" i="18" s="1"/>
  <c r="AE106" i="18"/>
  <c r="AC276" i="18" a="1"/>
  <c r="AC276" i="18" s="1"/>
  <c r="AK276" i="18" s="1"/>
  <c r="AG276" i="18" a="1"/>
  <c r="AG276" i="18" s="1"/>
  <c r="AH276" i="18" s="1" a="1"/>
  <c r="AH276" i="18" s="1"/>
  <c r="AC140" i="18" a="1"/>
  <c r="AC140" i="18" s="1"/>
  <c r="AK140" i="18" s="1"/>
  <c r="AG140" i="18" a="1"/>
  <c r="AG140" i="18" s="1"/>
  <c r="AH140" i="18" s="1" a="1"/>
  <c r="AH140" i="18" s="1"/>
  <c r="AC141" i="18" a="1"/>
  <c r="AC141" i="18" s="1"/>
  <c r="AK141" i="18" s="1"/>
  <c r="AG141" i="18" a="1"/>
  <c r="AG141" i="18" s="1"/>
  <c r="AH141" i="18" s="1" a="1"/>
  <c r="AH141" i="18" s="1"/>
  <c r="AC99" i="18" a="1"/>
  <c r="AC99" i="18" s="1"/>
  <c r="AK99" i="18" s="1"/>
  <c r="AG99" i="18" a="1"/>
  <c r="AG99" i="18" s="1"/>
  <c r="AH99" i="18" s="1" a="1"/>
  <c r="AH99" i="18" s="1"/>
  <c r="AC63" i="18" a="1"/>
  <c r="AC63" i="18" s="1"/>
  <c r="AK63" i="18" s="1"/>
  <c r="AG63" i="18" a="1"/>
  <c r="AG63" i="18" s="1"/>
  <c r="AH63" i="18" s="1" a="1"/>
  <c r="AH63" i="18" s="1"/>
  <c r="AI130" i="18" a="1"/>
  <c r="AI130" i="18" s="1"/>
  <c r="AJ130" i="18" s="1"/>
  <c r="AE130" i="18"/>
  <c r="AI215" i="18" a="1"/>
  <c r="AI215" i="18" s="1"/>
  <c r="AJ215" i="18" s="1"/>
  <c r="AE215" i="18"/>
  <c r="AC321" i="18" a="1"/>
  <c r="AC321" i="18" s="1"/>
  <c r="AK321" i="18" s="1"/>
  <c r="AG321" i="18" a="1"/>
  <c r="AG321" i="18" s="1"/>
  <c r="AH321" i="18" s="1" a="1"/>
  <c r="AH321" i="18" s="1"/>
  <c r="AI117" i="18" a="1"/>
  <c r="AI117" i="18" s="1"/>
  <c r="AJ117" i="18" s="1"/>
  <c r="AE117" i="18"/>
  <c r="AC175" i="18" a="1"/>
  <c r="AC175" i="18" s="1"/>
  <c r="AK175" i="18" s="1"/>
  <c r="AG175" i="18" a="1"/>
  <c r="AG175" i="18" s="1"/>
  <c r="AH175" i="18" s="1" a="1"/>
  <c r="AH175" i="18" s="1"/>
  <c r="AI251" i="18" a="1"/>
  <c r="AI251" i="18" s="1"/>
  <c r="AJ251" i="18" s="1"/>
  <c r="AE251" i="18"/>
  <c r="AC254" i="18" a="1"/>
  <c r="AC254" i="18" s="1"/>
  <c r="AK254" i="18" s="1"/>
  <c r="AG254" i="18" a="1"/>
  <c r="AG254" i="18" s="1"/>
  <c r="AH254" i="18" s="1" a="1"/>
  <c r="AH254" i="18" s="1"/>
  <c r="AD87" i="18"/>
  <c r="AL87" i="18" s="1"/>
  <c r="AC159" i="18" a="1"/>
  <c r="AC159" i="18" s="1"/>
  <c r="AK159" i="18" s="1"/>
  <c r="AG159" i="18" a="1"/>
  <c r="AG159" i="18" s="1"/>
  <c r="AH159" i="18" s="1" a="1"/>
  <c r="AH159" i="18" s="1"/>
  <c r="AE180" i="18"/>
  <c r="AI180" i="18" a="1"/>
  <c r="AI180" i="18" s="1"/>
  <c r="AJ180" i="18" s="1"/>
  <c r="AD106" i="18"/>
  <c r="AL106" i="18" s="1"/>
  <c r="AM74" i="18"/>
  <c r="AI50" i="18" a="1"/>
  <c r="AI50" i="18" s="1"/>
  <c r="AJ50" i="18" s="1"/>
  <c r="AE50" i="18"/>
  <c r="AF163" i="18"/>
  <c r="AN163" i="18" s="1"/>
  <c r="AM163" i="18"/>
  <c r="AF97" i="18"/>
  <c r="AN97" i="18" s="1"/>
  <c r="AM97" i="18"/>
  <c r="AD288" i="18"/>
  <c r="AL288" i="18" s="1"/>
  <c r="AE173" i="18"/>
  <c r="AI173" i="18" a="1"/>
  <c r="AI173" i="18" s="1"/>
  <c r="AJ173" i="18" s="1"/>
  <c r="AD232" i="18"/>
  <c r="AL232" i="18" s="1"/>
  <c r="AD88" i="18"/>
  <c r="AL88" i="18" s="1"/>
  <c r="AD250" i="18"/>
  <c r="AL250" i="18" s="1"/>
  <c r="AF145" i="18"/>
  <c r="AN145" i="18" s="1"/>
  <c r="AM145" i="18"/>
  <c r="AE56" i="18"/>
  <c r="AI56" i="18" a="1"/>
  <c r="AI56" i="18" s="1"/>
  <c r="AJ56" i="18" s="1"/>
  <c r="AC151" i="18" a="1"/>
  <c r="AC151" i="18" s="1"/>
  <c r="AK151" i="18" s="1"/>
  <c r="AG151" i="18" a="1"/>
  <c r="AG151" i="18" s="1"/>
  <c r="AH151" i="18" s="1" a="1"/>
  <c r="AH151" i="18" s="1"/>
  <c r="AI133" i="18" a="1"/>
  <c r="AI133" i="18" s="1"/>
  <c r="AJ133" i="18" s="1"/>
  <c r="AE133" i="18"/>
  <c r="AI154" i="18" a="1"/>
  <c r="AI154" i="18" s="1"/>
  <c r="AJ154" i="18" s="1"/>
  <c r="AE154" i="18"/>
  <c r="AC312" i="18" a="1"/>
  <c r="AC312" i="18" s="1"/>
  <c r="AK312" i="18" s="1"/>
  <c r="AG312" i="18" a="1"/>
  <c r="AG312" i="18" s="1"/>
  <c r="AH312" i="18" s="1" a="1"/>
  <c r="AH312" i="18" s="1"/>
  <c r="AC135" i="18" a="1"/>
  <c r="AC135" i="18" s="1"/>
  <c r="AK135" i="18" s="1"/>
  <c r="AG135" i="18" a="1"/>
  <c r="AG135" i="18" s="1"/>
  <c r="AH135" i="18" s="1" a="1"/>
  <c r="AH135" i="18" s="1"/>
  <c r="AC203" i="18" a="1"/>
  <c r="AC203" i="18" s="1"/>
  <c r="AK203" i="18" s="1"/>
  <c r="AG203" i="18" a="1"/>
  <c r="AG203" i="18" s="1"/>
  <c r="AH203" i="18" s="1" a="1"/>
  <c r="AH203" i="18" s="1"/>
  <c r="AE60" i="18"/>
  <c r="AI60" i="18" a="1"/>
  <c r="AI60" i="18" s="1"/>
  <c r="AJ60" i="18" s="1"/>
  <c r="AI84" i="18" a="1"/>
  <c r="AI84" i="18" s="1"/>
  <c r="AJ84" i="18" s="1"/>
  <c r="AE84" i="18"/>
  <c r="AE248" i="18"/>
  <c r="AI248" i="18" a="1"/>
  <c r="AI248" i="18" s="1"/>
  <c r="AJ248" i="18" s="1"/>
  <c r="AI216" i="18" a="1"/>
  <c r="AI216" i="18" s="1"/>
  <c r="AJ216" i="18" s="1"/>
  <c r="AE216" i="18"/>
  <c r="AI282" i="18" a="1"/>
  <c r="AI282" i="18" s="1"/>
  <c r="AJ282" i="18" s="1"/>
  <c r="AE282" i="18"/>
  <c r="AI204" i="18" a="1"/>
  <c r="AI204" i="18" s="1"/>
  <c r="AJ204" i="18" s="1"/>
  <c r="AE204" i="18"/>
  <c r="AI196" i="18" a="1"/>
  <c r="AI196" i="18" s="1"/>
  <c r="AJ196" i="18" s="1"/>
  <c r="AE196" i="18"/>
  <c r="AC173" i="18" a="1"/>
  <c r="AC173" i="18" s="1"/>
  <c r="AK173" i="18" s="1"/>
  <c r="AG173" i="18" a="1"/>
  <c r="AG173" i="18" s="1"/>
  <c r="AH173" i="18" s="1" a="1"/>
  <c r="AH173" i="18" s="1"/>
  <c r="AD279" i="18"/>
  <c r="AL279" i="18" s="1"/>
  <c r="AD251" i="18"/>
  <c r="AL251" i="18" s="1"/>
  <c r="AI192" i="18" a="1"/>
  <c r="AI192" i="18" s="1"/>
  <c r="AJ192" i="18" s="1"/>
  <c r="AE192" i="18"/>
  <c r="AM192" i="18" s="1"/>
  <c r="AD166" i="18"/>
  <c r="AL166" i="18" s="1"/>
  <c r="AF317" i="18"/>
  <c r="AN317" i="18" s="1"/>
  <c r="AM317" i="18"/>
  <c r="AD196" i="18"/>
  <c r="AL196" i="18" s="1"/>
  <c r="AI297" i="18" a="1"/>
  <c r="AI297" i="18" s="1"/>
  <c r="AJ297" i="18" s="1"/>
  <c r="AE297" i="18"/>
  <c r="AC314" i="18" a="1"/>
  <c r="AC314" i="18" s="1"/>
  <c r="AK314" i="18" s="1"/>
  <c r="AG314" i="18" a="1"/>
  <c r="AG314" i="18" s="1"/>
  <c r="AH314" i="18" s="1" a="1"/>
  <c r="AH314" i="18" s="1"/>
  <c r="AC112" i="18" a="1"/>
  <c r="AC112" i="18" s="1"/>
  <c r="AK112" i="18" s="1"/>
  <c r="AG112" i="18" a="1"/>
  <c r="AG112" i="18" s="1"/>
  <c r="AH112" i="18" s="1" a="1"/>
  <c r="AH112" i="18" s="1"/>
  <c r="AD249" i="18"/>
  <c r="AL249" i="18" s="1"/>
  <c r="AF256" i="18"/>
  <c r="AN256" i="18" s="1"/>
  <c r="AD85" i="18"/>
  <c r="AL85" i="18" s="1"/>
  <c r="AF191" i="18"/>
  <c r="AN191" i="18" s="1"/>
  <c r="AM191" i="18"/>
  <c r="AC285" i="18" a="1"/>
  <c r="AC285" i="18" s="1"/>
  <c r="AK285" i="18" s="1"/>
  <c r="AG285" i="18" a="1"/>
  <c r="AG285" i="18" s="1"/>
  <c r="AH285" i="18" s="1" a="1"/>
  <c r="AH285" i="18" s="1"/>
  <c r="AI247" i="18" a="1"/>
  <c r="AI247" i="18" s="1"/>
  <c r="AJ247" i="18" s="1"/>
  <c r="AE247" i="18"/>
  <c r="AE158" i="18"/>
  <c r="AI158" i="18" a="1"/>
  <c r="AI158" i="18" s="1"/>
  <c r="AJ158" i="18" s="1"/>
  <c r="AI214" i="18" a="1"/>
  <c r="AI214" i="18" s="1"/>
  <c r="AJ214" i="18" s="1"/>
  <c r="AE214" i="18"/>
  <c r="AC306" i="18" a="1"/>
  <c r="AC306" i="18" s="1"/>
  <c r="AK306" i="18" s="1"/>
  <c r="AG306" i="18" a="1"/>
  <c r="AG306" i="18" s="1"/>
  <c r="AH306" i="18" s="1" a="1"/>
  <c r="AH306" i="18" s="1"/>
  <c r="AC79" i="18" a="1"/>
  <c r="AC79" i="18" s="1"/>
  <c r="AK79" i="18" s="1"/>
  <c r="AG79" i="18" a="1"/>
  <c r="AG79" i="18" s="1"/>
  <c r="AH79" i="18" s="1" a="1"/>
  <c r="AH79" i="18" s="1"/>
  <c r="AI90" i="18" a="1"/>
  <c r="AI90" i="18" s="1"/>
  <c r="AJ90" i="18" s="1"/>
  <c r="AE90" i="18"/>
  <c r="AI277" i="18" a="1"/>
  <c r="AI277" i="18" s="1"/>
  <c r="AJ277" i="18" s="1"/>
  <c r="AE277" i="18"/>
  <c r="AI96" i="18" a="1"/>
  <c r="AI96" i="18" s="1"/>
  <c r="AJ96" i="18" s="1"/>
  <c r="AE96" i="18"/>
  <c r="AM96" i="18" s="1"/>
  <c r="AI310" i="18" a="1"/>
  <c r="AI310" i="18" s="1"/>
  <c r="AJ310" i="18" s="1"/>
  <c r="AE310" i="18"/>
  <c r="AC325" i="18" a="1"/>
  <c r="AC325" i="18" s="1"/>
  <c r="AK325" i="18" s="1"/>
  <c r="AG325" i="18" a="1"/>
  <c r="AG325" i="18" s="1"/>
  <c r="AH325" i="18" s="1" a="1"/>
  <c r="AH325" i="18" s="1"/>
  <c r="AE220" i="18"/>
  <c r="AI220" i="18" a="1"/>
  <c r="AI220" i="18" s="1"/>
  <c r="AJ220" i="18" s="1"/>
  <c r="AC309" i="18" a="1"/>
  <c r="AC309" i="18" s="1"/>
  <c r="AK309" i="18" s="1"/>
  <c r="AG309" i="18" a="1"/>
  <c r="AG309" i="18" s="1"/>
  <c r="AH309" i="18" s="1" a="1"/>
  <c r="AH309" i="18" s="1"/>
  <c r="AI273" i="18" a="1"/>
  <c r="AI273" i="18" s="1"/>
  <c r="AJ273" i="18" s="1"/>
  <c r="AE273" i="18"/>
  <c r="AC258" i="18" a="1"/>
  <c r="AC258" i="18" s="1"/>
  <c r="AK258" i="18" s="1"/>
  <c r="AG258" i="18" a="1"/>
  <c r="AG258" i="18" s="1"/>
  <c r="AH258" i="18" s="1" a="1"/>
  <c r="AH258" i="18" s="1"/>
  <c r="AI178" i="18" a="1"/>
  <c r="AI178" i="18" s="1"/>
  <c r="AJ178" i="18" s="1"/>
  <c r="AE178" i="18"/>
  <c r="AD38" i="18"/>
  <c r="AL38" i="18" s="1"/>
  <c r="AF165" i="18"/>
  <c r="AN165" i="18" s="1"/>
  <c r="AM165" i="18"/>
  <c r="AF61" i="18"/>
  <c r="AN61" i="18" s="1"/>
  <c r="AM61" i="18"/>
  <c r="AF308" i="18"/>
  <c r="AN308" i="18" s="1"/>
  <c r="AM308" i="18"/>
  <c r="AC134" i="18" a="1"/>
  <c r="AC134" i="18" s="1"/>
  <c r="AK134" i="18" s="1"/>
  <c r="AG134" i="18" a="1"/>
  <c r="AG134" i="18" s="1"/>
  <c r="AH134" i="18" s="1" a="1"/>
  <c r="AH134" i="18" s="1"/>
  <c r="AI194" i="18" a="1"/>
  <c r="AI194" i="18" s="1"/>
  <c r="AJ194" i="18" s="1"/>
  <c r="AE194" i="18"/>
  <c r="AE57" i="18"/>
  <c r="AI57" i="18" a="1"/>
  <c r="AI57" i="18" s="1"/>
  <c r="AJ57" i="18" s="1"/>
  <c r="AF91" i="18"/>
  <c r="AN91" i="18" s="1"/>
  <c r="AM91" i="18"/>
  <c r="AI229" i="18" a="1"/>
  <c r="AI229" i="18" s="1"/>
  <c r="AJ229" i="18" s="1"/>
  <c r="AE229" i="18"/>
  <c r="AI162" i="18" a="1"/>
  <c r="AI162" i="18" s="1"/>
  <c r="AJ162" i="18" s="1"/>
  <c r="AE162" i="18"/>
  <c r="AE108" i="18"/>
  <c r="AI108" i="18" a="1"/>
  <c r="AI108" i="18" s="1"/>
  <c r="AJ108" i="18" s="1"/>
  <c r="AC53" i="18" a="1"/>
  <c r="AC53" i="18" s="1"/>
  <c r="AK53" i="18" s="1"/>
  <c r="AG53" i="18" a="1"/>
  <c r="AG53" i="18" s="1"/>
  <c r="AH53" i="18" s="1" a="1"/>
  <c r="AH53" i="18" s="1"/>
  <c r="AI295" i="18" a="1"/>
  <c r="AI295" i="18" s="1"/>
  <c r="AJ295" i="18" s="1"/>
  <c r="AE295" i="18"/>
  <c r="AC229" i="18" a="1"/>
  <c r="AC229" i="18" s="1"/>
  <c r="AK229" i="18" s="1"/>
  <c r="AG229" i="18" a="1"/>
  <c r="AG229" i="18" s="1"/>
  <c r="AH229" i="18" s="1" a="1"/>
  <c r="AH229" i="18" s="1"/>
  <c r="AI112" i="18" a="1"/>
  <c r="AI112" i="18" s="1"/>
  <c r="AJ112" i="18" s="1"/>
  <c r="AE112" i="18"/>
  <c r="AM112" i="18" s="1"/>
  <c r="AC320" i="18" a="1"/>
  <c r="AC320" i="18" s="1"/>
  <c r="AK320" i="18" s="1"/>
  <c r="AG320" i="18" a="1"/>
  <c r="AG320" i="18" s="1"/>
  <c r="AH320" i="18" s="1" a="1"/>
  <c r="AH320" i="18" s="1"/>
  <c r="AI152" i="18" a="1"/>
  <c r="AI152" i="18" s="1"/>
  <c r="AJ152" i="18" s="1"/>
  <c r="AE152" i="18"/>
  <c r="AE255" i="18"/>
  <c r="AI255" i="18" a="1"/>
  <c r="AI255" i="18" s="1"/>
  <c r="AJ255" i="18" s="1"/>
  <c r="AI252" i="18" a="1"/>
  <c r="AI252" i="18" s="1"/>
  <c r="AJ252" i="18" s="1"/>
  <c r="AE252" i="18"/>
  <c r="AE188" i="18"/>
  <c r="AI188" i="18" a="1"/>
  <c r="AI188" i="18" s="1"/>
  <c r="AJ188" i="18" s="1"/>
  <c r="AI258" i="18" a="1"/>
  <c r="AI258" i="18" s="1"/>
  <c r="AJ258" i="18" s="1"/>
  <c r="AE258" i="18"/>
  <c r="AE73" i="18"/>
  <c r="AI73" i="18" a="1"/>
  <c r="AI73" i="18" s="1"/>
  <c r="AJ73" i="18" s="1"/>
  <c r="AF79" i="18"/>
  <c r="AN79" i="18" s="1"/>
  <c r="AM79" i="18"/>
  <c r="AE290" i="18"/>
  <c r="AI290" i="18" a="1"/>
  <c r="AI290" i="18" s="1"/>
  <c r="AJ290" i="18" s="1"/>
  <c r="AF85" i="18"/>
  <c r="AN85" i="18" s="1"/>
  <c r="AM85" i="18"/>
  <c r="AC152" i="18" a="1"/>
  <c r="AC152" i="18" s="1"/>
  <c r="AK152" i="18" s="1"/>
  <c r="AG152" i="18" a="1"/>
  <c r="AG152" i="18" s="1"/>
  <c r="AH152" i="18" s="1" a="1"/>
  <c r="AH152" i="18" s="1"/>
  <c r="AD296" i="18"/>
  <c r="AL296" i="18" s="1"/>
  <c r="AC236" i="18" a="1"/>
  <c r="AC236" i="18" s="1"/>
  <c r="AK236" i="18" s="1"/>
  <c r="AG236" i="18" a="1"/>
  <c r="AG236" i="18" s="1"/>
  <c r="AH236" i="18" s="1" a="1"/>
  <c r="AH236" i="18" s="1"/>
  <c r="AD316" i="18"/>
  <c r="AL316" i="18" s="1"/>
  <c r="AD240" i="18"/>
  <c r="AL240" i="18" s="1"/>
  <c r="AF205" i="18"/>
  <c r="AN205" i="18" s="1"/>
  <c r="AM205" i="18"/>
  <c r="AI113" i="18" a="1"/>
  <c r="AI113" i="18" s="1"/>
  <c r="AJ113" i="18" s="1"/>
  <c r="AE113" i="18"/>
  <c r="AI210" i="18" a="1"/>
  <c r="AI210" i="18" s="1"/>
  <c r="AJ210" i="18" s="1"/>
  <c r="AE210" i="18"/>
  <c r="AI246" i="18" a="1"/>
  <c r="AI246" i="18" s="1"/>
  <c r="AJ246" i="18" s="1"/>
  <c r="AE246" i="18"/>
  <c r="AI209" i="18" a="1"/>
  <c r="AI209" i="18" s="1"/>
  <c r="AJ209" i="18" s="1"/>
  <c r="AE209" i="18"/>
  <c r="AI234" i="18" a="1"/>
  <c r="AI234" i="18" s="1"/>
  <c r="AJ234" i="18" s="1"/>
  <c r="AE234" i="18"/>
  <c r="AC46" i="18" a="1"/>
  <c r="AC46" i="18" s="1"/>
  <c r="AK46" i="18" s="1"/>
  <c r="AG46" i="18" a="1"/>
  <c r="AG46" i="18" s="1"/>
  <c r="AH46" i="18" s="1" a="1"/>
  <c r="AH46" i="18" s="1"/>
  <c r="AI266" i="18" a="1"/>
  <c r="AI266" i="18" s="1"/>
  <c r="AJ266" i="18" s="1"/>
  <c r="AE266" i="18"/>
  <c r="AC210" i="18" a="1"/>
  <c r="AC210" i="18" s="1"/>
  <c r="AK210" i="18" s="1"/>
  <c r="AG210" i="18" a="1"/>
  <c r="AG210" i="18" s="1"/>
  <c r="AH210" i="18" s="1" a="1"/>
  <c r="AH210" i="18" s="1"/>
  <c r="AI125" i="18" a="1"/>
  <c r="AI125" i="18" s="1"/>
  <c r="AJ125" i="18" s="1"/>
  <c r="AE125" i="18"/>
  <c r="AI321" i="18" a="1"/>
  <c r="AI321" i="18" s="1"/>
  <c r="AJ321" i="18" s="1"/>
  <c r="AE321" i="18"/>
  <c r="AE172" i="18"/>
  <c r="AI172" i="18" a="1"/>
  <c r="AI172" i="18" s="1"/>
  <c r="AJ172" i="18" s="1"/>
  <c r="AI244" i="18" a="1"/>
  <c r="AI244" i="18" s="1"/>
  <c r="AJ244" i="18" s="1"/>
  <c r="AE244" i="18"/>
  <c r="AI241" i="18" a="1"/>
  <c r="AI241" i="18" s="1"/>
  <c r="AJ241" i="18" s="1"/>
  <c r="AE241" i="18"/>
  <c r="AC155" i="18" a="1"/>
  <c r="AC155" i="18" s="1"/>
  <c r="AK155" i="18" s="1"/>
  <c r="AG155" i="18" a="1"/>
  <c r="AG155" i="18" s="1"/>
  <c r="AH155" i="18" s="1" a="1"/>
  <c r="AH155" i="18" s="1"/>
  <c r="AC153" i="18" a="1"/>
  <c r="AC153" i="18" s="1"/>
  <c r="AK153" i="18" s="1"/>
  <c r="AG153" i="18" a="1"/>
  <c r="AG153" i="18" s="1"/>
  <c r="AH153" i="18" s="1" a="1"/>
  <c r="AH153" i="18" s="1"/>
  <c r="AC168" i="18" a="1"/>
  <c r="AC168" i="18" s="1"/>
  <c r="AK168" i="18" s="1"/>
  <c r="AG168" i="18" a="1"/>
  <c r="AG168" i="18" s="1"/>
  <c r="AH168" i="18" s="1" a="1"/>
  <c r="AH168" i="18" s="1"/>
  <c r="AI232" i="18" a="1"/>
  <c r="AI232" i="18" s="1"/>
  <c r="AJ232" i="18" s="1"/>
  <c r="AE232" i="18"/>
  <c r="AD257" i="18"/>
  <c r="AL257" i="18" s="1"/>
  <c r="AC272" i="18" a="1"/>
  <c r="AC272" i="18" s="1"/>
  <c r="AK272" i="18" s="1"/>
  <c r="AG272" i="18" a="1"/>
  <c r="AG272" i="18" s="1"/>
  <c r="AH272" i="18" s="1" a="1"/>
  <c r="AH272" i="18" s="1"/>
  <c r="AI302" i="18" a="1"/>
  <c r="AI302" i="18" s="1"/>
  <c r="AJ302" i="18" s="1"/>
  <c r="AE302" i="18"/>
  <c r="AD248" i="18"/>
  <c r="AL248" i="18" s="1"/>
  <c r="AF325" i="18"/>
  <c r="AN325" i="18" s="1"/>
  <c r="AM325" i="18"/>
  <c r="AI70" i="18" a="1"/>
  <c r="AI70" i="18" s="1"/>
  <c r="AJ70" i="18" s="1"/>
  <c r="AE70" i="18"/>
  <c r="AC169" i="18" a="1"/>
  <c r="AC169" i="18" s="1"/>
  <c r="AK169" i="18" s="1"/>
  <c r="AG169" i="18" a="1"/>
  <c r="AG169" i="18" s="1"/>
  <c r="AH169" i="18" s="1" a="1"/>
  <c r="AH169" i="18" s="1"/>
  <c r="AF237" i="18"/>
  <c r="AN237" i="18" s="1"/>
  <c r="AM237" i="18"/>
  <c r="AD184" i="18"/>
  <c r="AL184" i="18" s="1"/>
  <c r="AC247" i="18" a="1"/>
  <c r="AC247" i="18" s="1"/>
  <c r="AK247" i="18" s="1"/>
  <c r="AG247" i="18" a="1"/>
  <c r="AG247" i="18" s="1"/>
  <c r="AH247" i="18" s="1" a="1"/>
  <c r="AH247" i="18" s="1"/>
  <c r="AI225" i="18" a="1"/>
  <c r="AI225" i="18" s="1"/>
  <c r="AJ225" i="18" s="1"/>
  <c r="AE225" i="18"/>
  <c r="AF99" i="18"/>
  <c r="AN99" i="18" s="1"/>
  <c r="AM99" i="18"/>
  <c r="AF42" i="18"/>
  <c r="AN42" i="18" s="1"/>
  <c r="AM42" i="18"/>
  <c r="AD208" i="18"/>
  <c r="AL208" i="18" s="1"/>
  <c r="AF107" i="18"/>
  <c r="AN107" i="18" s="1"/>
  <c r="AM107" i="18"/>
  <c r="AD322" i="18"/>
  <c r="AL322" i="18" s="1"/>
  <c r="AF146" i="16" a="1"/>
  <c r="AF146" i="16" s="1"/>
  <c r="AN146" i="16" s="1" a="1"/>
  <c r="AN146" i="16" s="1"/>
  <c r="AF290" i="16" a="1"/>
  <c r="AF290" i="16" s="1"/>
  <c r="AN290" i="16" s="1" a="1"/>
  <c r="AN290" i="16" s="1"/>
  <c r="AI300" i="16" a="1"/>
  <c r="AI300" i="16" s="1"/>
  <c r="AJ300" i="16" s="1" a="1"/>
  <c r="AJ300" i="16" s="1"/>
  <c r="AE233" i="16" a="1"/>
  <c r="AE233" i="16" s="1"/>
  <c r="AM233" i="16" s="1" a="1"/>
  <c r="AM233" i="16" s="1"/>
  <c r="AE254" i="16" a="1"/>
  <c r="AE254" i="16" s="1"/>
  <c r="AM254" i="16" s="1" a="1"/>
  <c r="AM254" i="16" s="1"/>
  <c r="AI282" i="16" a="1"/>
  <c r="AI282" i="16" s="1"/>
  <c r="AJ282" i="16" s="1" a="1"/>
  <c r="AJ282" i="16" s="1"/>
  <c r="AE315" i="16" a="1"/>
  <c r="AE315" i="16" s="1"/>
  <c r="AM315" i="16" s="1" a="1"/>
  <c r="AM315" i="16" s="1"/>
  <c r="AI149" i="16" a="1"/>
  <c r="AI149" i="16" s="1"/>
  <c r="AJ149" i="16" s="1" a="1"/>
  <c r="AJ149" i="16" s="1"/>
  <c r="AE269" i="16" a="1"/>
  <c r="AE269" i="16" s="1"/>
  <c r="AM269" i="16" s="1" a="1"/>
  <c r="AM269" i="16" s="1"/>
  <c r="AE134" i="16" a="1"/>
  <c r="AE134" i="16" s="1"/>
  <c r="AM134" i="16" s="1" a="1"/>
  <c r="AM134" i="16" s="1"/>
  <c r="AD164" i="16" a="1"/>
  <c r="AD164" i="16" s="1"/>
  <c r="AE142" i="16" a="1"/>
  <c r="AE142" i="16" s="1"/>
  <c r="AM142" i="16" s="1" a="1"/>
  <c r="AM142" i="16" s="1"/>
  <c r="AF31" i="16" a="1"/>
  <c r="AF31" i="16" s="1"/>
  <c r="AN31" i="16" s="1" a="1"/>
  <c r="AN31" i="16" s="1"/>
  <c r="AE70" i="16" a="1"/>
  <c r="AE70" i="16" s="1"/>
  <c r="AM70" i="16" s="1" a="1"/>
  <c r="AM70" i="16" s="1"/>
  <c r="AE52" i="16" a="1"/>
  <c r="AE52" i="16" s="1"/>
  <c r="AM52" i="16" s="1" a="1"/>
  <c r="AM52" i="16" s="1"/>
  <c r="AE59" i="16" a="1"/>
  <c r="AE59" i="16" s="1"/>
  <c r="AM59" i="16" s="1" a="1"/>
  <c r="AM59" i="16" s="1"/>
  <c r="AE160" i="16" a="1"/>
  <c r="AE160" i="16" s="1"/>
  <c r="AM160" i="16" s="1" a="1"/>
  <c r="AM160" i="16" s="1"/>
  <c r="AJ284" i="16" a="1"/>
  <c r="AJ284" i="16" s="1"/>
  <c r="AI160" i="16" a="1"/>
  <c r="AI160" i="16" s="1"/>
  <c r="AJ160" i="16" s="1" a="1"/>
  <c r="AJ160" i="16" s="1"/>
  <c r="AI285" i="16" a="1"/>
  <c r="AI285" i="16" s="1"/>
  <c r="AJ285" i="16" s="1" a="1"/>
  <c r="AJ285" i="16" s="1"/>
  <c r="AI250" i="16" a="1"/>
  <c r="AI250" i="16" s="1"/>
  <c r="AJ250" i="16" s="1" a="1"/>
  <c r="AJ250" i="16" s="1"/>
  <c r="AF171" i="16" a="1"/>
  <c r="AF171" i="16" s="1"/>
  <c r="AN171" i="16" s="1" a="1"/>
  <c r="AN171" i="16" s="1"/>
  <c r="AI96" i="16" a="1"/>
  <c r="AI96" i="16" s="1"/>
  <c r="AJ96" i="16" s="1" a="1"/>
  <c r="AJ96" i="16" s="1"/>
  <c r="AE244" i="16" a="1"/>
  <c r="AE244" i="16" s="1"/>
  <c r="AM244" i="16" s="1" a="1"/>
  <c r="AM244" i="16" s="1"/>
  <c r="AE26" i="16" a="1"/>
  <c r="AE26" i="16" s="1"/>
  <c r="AM26" i="16" s="1" a="1"/>
  <c r="AM26" i="16" s="1"/>
  <c r="AI244" i="16" a="1"/>
  <c r="AI244" i="16" s="1"/>
  <c r="AJ244" i="16" s="1" a="1"/>
  <c r="AJ244" i="16" s="1"/>
  <c r="AE109" i="16" a="1"/>
  <c r="AE109" i="16" s="1"/>
  <c r="AM109" i="16" s="1" a="1"/>
  <c r="AM109" i="16" s="1"/>
  <c r="AI288" i="16" a="1"/>
  <c r="AI288" i="16" s="1"/>
  <c r="AJ288" i="16" s="1" a="1"/>
  <c r="AJ288" i="16" s="1"/>
  <c r="AE297" i="16" a="1"/>
  <c r="AE297" i="16" s="1"/>
  <c r="AM297" i="16" s="1" a="1"/>
  <c r="AM297" i="16" s="1"/>
  <c r="AE299" i="16" a="1"/>
  <c r="AE299" i="16" s="1"/>
  <c r="AM299" i="16" s="1" a="1"/>
  <c r="AM299" i="16" s="1"/>
  <c r="AD117" i="16" a="1"/>
  <c r="AD117" i="16" s="1"/>
  <c r="AF123" i="16" a="1"/>
  <c r="AF123" i="16" s="1"/>
  <c r="AN123" i="16" s="1" a="1"/>
  <c r="AN123" i="16" s="1"/>
  <c r="AF301" i="16" a="1"/>
  <c r="AF301" i="16" s="1"/>
  <c r="AN301" i="16" s="1" a="1"/>
  <c r="AN301" i="16" s="1"/>
  <c r="AE270" i="16" a="1"/>
  <c r="AE270" i="16" s="1"/>
  <c r="AM270" i="16" s="1" a="1"/>
  <c r="AM270" i="16" s="1"/>
  <c r="AI270" i="16" a="1"/>
  <c r="AI270" i="16" s="1"/>
  <c r="AJ270" i="16" s="1" a="1"/>
  <c r="AJ270" i="16" s="1"/>
  <c r="AE115" i="16" a="1"/>
  <c r="AE115" i="16" s="1"/>
  <c r="AM115" i="16" s="1" a="1"/>
  <c r="AM115" i="16" s="1"/>
  <c r="AF80" i="16" a="1"/>
  <c r="AF80" i="16" s="1"/>
  <c r="AN80" i="16" s="1" a="1"/>
  <c r="AN80" i="16" s="1"/>
  <c r="AE281" i="16" a="1"/>
  <c r="AE281" i="16" s="1"/>
  <c r="AM281" i="16" s="1" a="1"/>
  <c r="AM281" i="16" s="1"/>
  <c r="AI80" i="16" a="1"/>
  <c r="AI80" i="16" s="1"/>
  <c r="AJ80" i="16" s="1" a="1"/>
  <c r="AJ80" i="16" s="1"/>
  <c r="AE295" i="16" a="1"/>
  <c r="AE295" i="16" s="1"/>
  <c r="AM295" i="16" s="1" a="1"/>
  <c r="AM295" i="16" s="1"/>
  <c r="AE135" i="16" a="1"/>
  <c r="AE135" i="16" s="1"/>
  <c r="AM135" i="16" s="1" a="1"/>
  <c r="AM135" i="16" s="1"/>
  <c r="AE284" i="16" a="1"/>
  <c r="AE284" i="16" s="1"/>
  <c r="AM284" i="16" s="1" a="1"/>
  <c r="AM284" i="16" s="1"/>
  <c r="AE310" i="16" a="1"/>
  <c r="AE310" i="16" s="1"/>
  <c r="AM310" i="16" s="1" a="1"/>
  <c r="AM310" i="16" s="1"/>
  <c r="AE169" i="16" a="1"/>
  <c r="AE169" i="16" s="1"/>
  <c r="AM169" i="16" s="1" a="1"/>
  <c r="AM169" i="16" s="1"/>
  <c r="AE117" i="16" a="1"/>
  <c r="AE117" i="16" s="1"/>
  <c r="AM117" i="16" s="1" a="1"/>
  <c r="AM117" i="16" s="1"/>
  <c r="AF124" i="16" a="1"/>
  <c r="AF124" i="16" s="1"/>
  <c r="AN124" i="16" s="1" a="1"/>
  <c r="AN124" i="16" s="1"/>
  <c r="AE88" i="16" a="1"/>
  <c r="AE88" i="16" s="1"/>
  <c r="AM88" i="16" s="1" a="1"/>
  <c r="AM88" i="16" s="1"/>
  <c r="AE139" i="16" a="1"/>
  <c r="AE139" i="16" s="1"/>
  <c r="AM139" i="16" s="1" a="1"/>
  <c r="AM139" i="16" s="1"/>
  <c r="AC39" i="16" a="1"/>
  <c r="AC39" i="16" s="1"/>
  <c r="AD39" i="16" s="1" a="1"/>
  <c r="AD39" i="16" s="1"/>
  <c r="AE219" i="16" a="1"/>
  <c r="AE219" i="16" s="1"/>
  <c r="AM219" i="16" s="1" a="1"/>
  <c r="AM219" i="16" s="1"/>
  <c r="AF157" i="16" a="1"/>
  <c r="AF157" i="16" s="1"/>
  <c r="AN157" i="16" s="1" a="1"/>
  <c r="AN157" i="16" s="1"/>
  <c r="AF202" i="16" a="1"/>
  <c r="AF202" i="16" s="1"/>
  <c r="AN202" i="16" s="1" a="1"/>
  <c r="AN202" i="16" s="1"/>
  <c r="AF28" i="16" a="1"/>
  <c r="AF28" i="16" s="1"/>
  <c r="AN28" i="16" s="1" a="1"/>
  <c r="AN28" i="16" s="1"/>
  <c r="AM300" i="16" a="1"/>
  <c r="AM300" i="16" s="1"/>
  <c r="AF300" i="16" a="1"/>
  <c r="AF300" i="16" s="1"/>
  <c r="AN300" i="16" s="1" a="1"/>
  <c r="AN300" i="16" s="1"/>
  <c r="AM75" i="16" a="1"/>
  <c r="AM75" i="16" s="1"/>
  <c r="AF75" i="16" a="1"/>
  <c r="AF75" i="16" s="1"/>
  <c r="AN75" i="16" s="1" a="1"/>
  <c r="AN75" i="16" s="1"/>
  <c r="AF312" i="16" a="1"/>
  <c r="AF312" i="16" s="1"/>
  <c r="AN312" i="16" s="1" a="1"/>
  <c r="AN312" i="16" s="1"/>
  <c r="AE78" i="16" a="1"/>
  <c r="AE78" i="16" s="1"/>
  <c r="AM78" i="16" s="1" a="1"/>
  <c r="AM78" i="16" s="1"/>
  <c r="AI75" i="16" a="1"/>
  <c r="AI75" i="16" s="1"/>
  <c r="AJ75" i="16" s="1" a="1"/>
  <c r="AJ75" i="16" s="1"/>
  <c r="AF276" i="16" a="1"/>
  <c r="AF276" i="16" s="1"/>
  <c r="AN276" i="16" s="1" a="1"/>
  <c r="AN276" i="16" s="1"/>
  <c r="AF162" i="16" a="1"/>
  <c r="AF162" i="16" s="1"/>
  <c r="AN162" i="16" s="1" a="1"/>
  <c r="AN162" i="16" s="1"/>
  <c r="AJ78" i="16" a="1"/>
  <c r="AJ78" i="16" s="1"/>
  <c r="AF120" i="16" a="1"/>
  <c r="AF120" i="16" s="1"/>
  <c r="AN120" i="16" s="1" a="1"/>
  <c r="AN120" i="16" s="1"/>
  <c r="AE256" i="16" a="1"/>
  <c r="AE256" i="16" s="1"/>
  <c r="AM256" i="16" s="1" a="1"/>
  <c r="AM256" i="16" s="1"/>
  <c r="AF173" i="16" a="1"/>
  <c r="AF173" i="16" s="1"/>
  <c r="AN173" i="16" s="1" a="1"/>
  <c r="AN173" i="16" s="1"/>
  <c r="AE104" i="16" a="1"/>
  <c r="AE104" i="16" s="1"/>
  <c r="AM104" i="16" s="1" a="1"/>
  <c r="AM104" i="16" s="1"/>
  <c r="AF144" i="16" a="1"/>
  <c r="AF144" i="16" s="1"/>
  <c r="AN144" i="16" s="1" a="1"/>
  <c r="AN144" i="16" s="1"/>
  <c r="AF255" i="16" a="1"/>
  <c r="AF255" i="16" s="1"/>
  <c r="AN255" i="16" s="1" a="1"/>
  <c r="AN255" i="16" s="1"/>
  <c r="AI279" i="16" a="1"/>
  <c r="AI279" i="16" s="1"/>
  <c r="AJ279" i="16" s="1" a="1"/>
  <c r="AJ279" i="16" s="1"/>
  <c r="AJ251" i="16" a="1"/>
  <c r="AJ251" i="16" s="1"/>
  <c r="AF164" i="16" a="1"/>
  <c r="AF164" i="16" s="1"/>
  <c r="AN164" i="16" s="1" a="1"/>
  <c r="AN164" i="16" s="1"/>
  <c r="AF288" i="16" a="1"/>
  <c r="AF288" i="16" s="1"/>
  <c r="AN288" i="16" s="1" a="1"/>
  <c r="AN288" i="16" s="1"/>
  <c r="AC312" i="16" a="1"/>
  <c r="AC312" i="16" s="1"/>
  <c r="AD312" i="16" s="1" a="1"/>
  <c r="AD312" i="16" s="1"/>
  <c r="AI220" i="16" a="1"/>
  <c r="AI220" i="16" s="1"/>
  <c r="AJ220" i="16" s="1" a="1"/>
  <c r="AJ220" i="16" s="1"/>
  <c r="AF140" i="16" a="1"/>
  <c r="AF140" i="16" s="1"/>
  <c r="AN140" i="16" s="1" a="1"/>
  <c r="AN140" i="16" s="1"/>
  <c r="AF103" i="16" a="1"/>
  <c r="AF103" i="16" s="1"/>
  <c r="AN103" i="16" s="1" a="1"/>
  <c r="AN103" i="16" s="1"/>
  <c r="AF153" i="16" a="1"/>
  <c r="AF153" i="16" s="1"/>
  <c r="AN153" i="16" s="1" a="1"/>
  <c r="AN153" i="16" s="1"/>
  <c r="AF68" i="16" a="1"/>
  <c r="AF68" i="16" s="1"/>
  <c r="AN68" i="16" s="1" a="1"/>
  <c r="AN68" i="16" s="1"/>
  <c r="AF287" i="16" a="1"/>
  <c r="AF287" i="16" s="1"/>
  <c r="AN287" i="16" s="1" a="1"/>
  <c r="AN287" i="16" s="1"/>
  <c r="AF114" i="16" a="1"/>
  <c r="AF114" i="16" s="1"/>
  <c r="AN114" i="16" s="1" a="1"/>
  <c r="AN114" i="16" s="1"/>
  <c r="AF106" i="16" a="1"/>
  <c r="AF106" i="16" s="1"/>
  <c r="AN106" i="16" s="1" a="1"/>
  <c r="AN106" i="16" s="1"/>
  <c r="AF69" i="16" a="1"/>
  <c r="AF69" i="16" s="1"/>
  <c r="AN69" i="16" s="1" a="1"/>
  <c r="AN69" i="16" s="1"/>
  <c r="AF324" i="16" a="1"/>
  <c r="AF324" i="16" s="1"/>
  <c r="AN324" i="16" s="1" a="1"/>
  <c r="AN324" i="16" s="1"/>
  <c r="AF50" i="16" a="1"/>
  <c r="AF50" i="16" s="1"/>
  <c r="AN50" i="16" s="1" a="1"/>
  <c r="AN50" i="16" s="1"/>
  <c r="AF107" i="16" a="1"/>
  <c r="AF107" i="16" s="1"/>
  <c r="AN107" i="16" s="1" a="1"/>
  <c r="AN107" i="16" s="1"/>
  <c r="AF220" i="16" a="1"/>
  <c r="AF220" i="16" s="1"/>
  <c r="AN220" i="16" s="1" a="1"/>
  <c r="AN220" i="16" s="1"/>
  <c r="AF72" i="16" a="1"/>
  <c r="AF72" i="16" s="1"/>
  <c r="AN72" i="16" s="1" a="1"/>
  <c r="AN72" i="16" s="1"/>
  <c r="AF243" i="16" a="1"/>
  <c r="AF243" i="16" s="1"/>
  <c r="AN243" i="16" s="1" a="1"/>
  <c r="AN243" i="16" s="1"/>
  <c r="AF309" i="16" a="1"/>
  <c r="AF309" i="16" s="1"/>
  <c r="AN309" i="16" s="1" a="1"/>
  <c r="AN309" i="16" s="1"/>
  <c r="AF86" i="16" a="1"/>
  <c r="AF86" i="16" s="1"/>
  <c r="AN86" i="16" s="1" a="1"/>
  <c r="AN86" i="16" s="1"/>
  <c r="AF277" i="16" a="1"/>
  <c r="AF277" i="16" s="1"/>
  <c r="AN277" i="16" s="1" a="1"/>
  <c r="AN277" i="16" s="1"/>
  <c r="AF145" i="16" a="1"/>
  <c r="AF145" i="16" s="1"/>
  <c r="AN145" i="16" s="1" a="1"/>
  <c r="AN145" i="16" s="1"/>
  <c r="AF74" i="16" a="1"/>
  <c r="AF74" i="16" s="1"/>
  <c r="AN74" i="16" s="1" a="1"/>
  <c r="AN74" i="16" s="1"/>
  <c r="AF57" i="16" a="1"/>
  <c r="AF57" i="16" s="1"/>
  <c r="AN57" i="16" s="1" a="1"/>
  <c r="AN57" i="16" s="1"/>
  <c r="AF262" i="16" a="1"/>
  <c r="AF262" i="16" s="1"/>
  <c r="AN262" i="16" s="1" a="1"/>
  <c r="AN262" i="16" s="1"/>
  <c r="AF39" i="16" a="1"/>
  <c r="AF39" i="16" s="1"/>
  <c r="AN39" i="16" s="1" a="1"/>
  <c r="AN39" i="16" s="1"/>
  <c r="AF252" i="16" a="1"/>
  <c r="AF252" i="16" s="1"/>
  <c r="AN252" i="16" s="1" a="1"/>
  <c r="AN252" i="16" s="1"/>
  <c r="AF319" i="16" a="1"/>
  <c r="AF319" i="16" s="1"/>
  <c r="AN319" i="16" s="1" a="1"/>
  <c r="AN319" i="16" s="1"/>
  <c r="AF47" i="16" a="1"/>
  <c r="AF47" i="16" s="1"/>
  <c r="AN47" i="16" s="1" a="1"/>
  <c r="AN47" i="16" s="1"/>
  <c r="AF278" i="16" a="1"/>
  <c r="AF278" i="16" s="1"/>
  <c r="AN278" i="16" s="1" a="1"/>
  <c r="AN278" i="16" s="1"/>
  <c r="AF42" i="16" a="1"/>
  <c r="AF42" i="16" s="1"/>
  <c r="AN42" i="16" s="1" a="1"/>
  <c r="AN42" i="16" s="1"/>
  <c r="AF92" i="16" a="1"/>
  <c r="AF92" i="16" s="1"/>
  <c r="AN92" i="16" s="1" a="1"/>
  <c r="AN92" i="16" s="1"/>
  <c r="AF131" i="16" a="1"/>
  <c r="AF131" i="16" s="1"/>
  <c r="AN131" i="16" s="1" a="1"/>
  <c r="AN131" i="16" s="1"/>
  <c r="AF237" i="16" a="1"/>
  <c r="AF237" i="16" s="1"/>
  <c r="AN237" i="16" s="1" a="1"/>
  <c r="AN237" i="16" s="1"/>
  <c r="AF46" i="16" a="1"/>
  <c r="AF46" i="16" s="1"/>
  <c r="AN46" i="16" s="1" a="1"/>
  <c r="AN46" i="16" s="1"/>
  <c r="AD20" i="16" a="1"/>
  <c r="AD20" i="16" s="1"/>
  <c r="AF55" i="16" a="1"/>
  <c r="AF55" i="16" s="1"/>
  <c r="AN55" i="16" s="1" a="1"/>
  <c r="AN55" i="16" s="1"/>
  <c r="AF260" i="16" a="1"/>
  <c r="AF260" i="16" s="1"/>
  <c r="AN260" i="16" s="1" a="1"/>
  <c r="AN260" i="16" s="1"/>
  <c r="AF40" i="16" a="1"/>
  <c r="AF40" i="16" s="1"/>
  <c r="AN40" i="16" s="1" a="1"/>
  <c r="AN40" i="16" s="1"/>
  <c r="AF84" i="16" a="1"/>
  <c r="AF84" i="16" s="1"/>
  <c r="AN84" i="16" s="1" a="1"/>
  <c r="AN84" i="16" s="1"/>
  <c r="AF30" i="16" a="1"/>
  <c r="AF30" i="16" s="1"/>
  <c r="AN30" i="16" s="1" a="1"/>
  <c r="AN30" i="16" s="1"/>
  <c r="AF318" i="16" a="1"/>
  <c r="AF318" i="16" s="1"/>
  <c r="AN318" i="16" s="1" a="1"/>
  <c r="AN318" i="16" s="1"/>
  <c r="AE67" i="16" a="1"/>
  <c r="AE67" i="16" s="1"/>
  <c r="AM67" i="16" s="1" a="1"/>
  <c r="AM67" i="16" s="1"/>
  <c r="AI67" i="16" a="1"/>
  <c r="AI67" i="16" s="1"/>
  <c r="AJ67" i="16" s="1" a="1"/>
  <c r="AJ67" i="16" s="1"/>
  <c r="AE195" i="16" a="1"/>
  <c r="AE195" i="16" s="1"/>
  <c r="AM195" i="16" s="1" a="1"/>
  <c r="AM195" i="16" s="1"/>
  <c r="AI195" i="16" a="1"/>
  <c r="AI195" i="16" s="1"/>
  <c r="AJ195" i="16" s="1" a="1"/>
  <c r="AJ195" i="16" s="1"/>
  <c r="AC142" i="16" a="1"/>
  <c r="AC142" i="16" s="1"/>
  <c r="AD142" i="16" s="1" a="1"/>
  <c r="AD142" i="16" s="1"/>
  <c r="AC285" i="16" a="1"/>
  <c r="AC285" i="16" s="1"/>
  <c r="AD285" i="16" s="1" a="1"/>
  <c r="AD285" i="16" s="1"/>
  <c r="AI224" i="16" a="1"/>
  <c r="AI224" i="16" s="1"/>
  <c r="AJ224" i="16" s="1" a="1"/>
  <c r="AJ224" i="16" s="1"/>
  <c r="AE224" i="16" a="1"/>
  <c r="AE224" i="16" s="1"/>
  <c r="AM224" i="16" s="1" a="1"/>
  <c r="AM224" i="16" s="1"/>
  <c r="AI176" i="16" a="1"/>
  <c r="AI176" i="16" s="1"/>
  <c r="AJ176" i="16" s="1" a="1"/>
  <c r="AJ176" i="16" s="1"/>
  <c r="AE176" i="16" a="1"/>
  <c r="AE176" i="16" s="1"/>
  <c r="AM176" i="16" s="1" a="1"/>
  <c r="AM176" i="16" s="1"/>
  <c r="AI10" i="16" a="1"/>
  <c r="AI10" i="16" s="1"/>
  <c r="AJ10" i="16" s="1" a="1"/>
  <c r="AJ10" i="16" s="1"/>
  <c r="AE10" i="16" a="1"/>
  <c r="AE10" i="16" s="1"/>
  <c r="AM10" i="16" s="1" a="1"/>
  <c r="AM10" i="16" s="1"/>
  <c r="AC72" i="16" a="1"/>
  <c r="AC72" i="16" s="1"/>
  <c r="AD72" i="16" s="1" a="1"/>
  <c r="AD72" i="16" s="1"/>
  <c r="AC162" i="16" a="1"/>
  <c r="AC162" i="16" s="1"/>
  <c r="AD162" i="16" s="1" a="1"/>
  <c r="AD162" i="16" s="1"/>
  <c r="AC62" i="16" a="1"/>
  <c r="AC62" i="16" s="1"/>
  <c r="AD62" i="16" s="1" a="1"/>
  <c r="AD62" i="16" s="1"/>
  <c r="AE11" i="16" a="1"/>
  <c r="AE11" i="16" s="1"/>
  <c r="AM11" i="16" s="1" a="1"/>
  <c r="AM11" i="16" s="1"/>
  <c r="AI11" i="16" a="1"/>
  <c r="AI11" i="16" s="1"/>
  <c r="AJ11" i="16" s="1" a="1"/>
  <c r="AJ11" i="16" s="1"/>
  <c r="AC17" i="16" a="1"/>
  <c r="AC17" i="16" s="1"/>
  <c r="AD17" i="16" s="1" a="1"/>
  <c r="AD17" i="16" s="1"/>
  <c r="AF307" i="16" a="1"/>
  <c r="AF307" i="16" s="1"/>
  <c r="AN307" i="16" s="1" a="1"/>
  <c r="AN307" i="16" s="1"/>
  <c r="AF94" i="16" a="1"/>
  <c r="AF94" i="16" s="1"/>
  <c r="AN94" i="16" s="1" a="1"/>
  <c r="AN94" i="16" s="1"/>
  <c r="AC322" i="16" a="1"/>
  <c r="AC322" i="16" s="1"/>
  <c r="AD322" i="16" s="1" a="1"/>
  <c r="AD322" i="16" s="1"/>
  <c r="AI283" i="16" a="1"/>
  <c r="AI283" i="16" s="1"/>
  <c r="AJ283" i="16" s="1" a="1"/>
  <c r="AJ283" i="16" s="1"/>
  <c r="AE283" i="16" a="1"/>
  <c r="AE283" i="16" s="1"/>
  <c r="AM283" i="16" s="1" a="1"/>
  <c r="AM283" i="16" s="1"/>
  <c r="AC324" i="16" a="1"/>
  <c r="AC324" i="16" s="1"/>
  <c r="AD324" i="16" s="1" a="1"/>
  <c r="AD324" i="16" s="1"/>
  <c r="AC134" i="16" a="1"/>
  <c r="AC134" i="16" s="1"/>
  <c r="AD134" i="16" s="1" a="1"/>
  <c r="AD134" i="16" s="1"/>
  <c r="AF248" i="16" a="1"/>
  <c r="AF248" i="16" s="1"/>
  <c r="AN248" i="16" s="1" a="1"/>
  <c r="AN248" i="16" s="1"/>
  <c r="AF71" i="16" a="1"/>
  <c r="AF71" i="16" s="1"/>
  <c r="AN71" i="16" s="1" a="1"/>
  <c r="AN71" i="16" s="1"/>
  <c r="AI210" i="16" a="1"/>
  <c r="AI210" i="16" s="1"/>
  <c r="AJ210" i="16" s="1" a="1"/>
  <c r="AJ210" i="16" s="1"/>
  <c r="AE210" i="16" a="1"/>
  <c r="AE210" i="16" s="1"/>
  <c r="AM210" i="16" s="1" a="1"/>
  <c r="AM210" i="16" s="1"/>
  <c r="AI206" i="16" a="1"/>
  <c r="AI206" i="16" s="1"/>
  <c r="AJ206" i="16" s="1" a="1"/>
  <c r="AJ206" i="16" s="1"/>
  <c r="AE206" i="16" a="1"/>
  <c r="AE206" i="16" s="1"/>
  <c r="AM206" i="16" s="1" a="1"/>
  <c r="AM206" i="16" s="1"/>
  <c r="AF98" i="16" a="1"/>
  <c r="AF98" i="16" s="1"/>
  <c r="AN98" i="16" s="1" a="1"/>
  <c r="AN98" i="16" s="1"/>
  <c r="AC66" i="16" a="1"/>
  <c r="AC66" i="16" s="1"/>
  <c r="AD66" i="16" s="1" a="1"/>
  <c r="AD66" i="16" s="1"/>
  <c r="AC88" i="16" a="1"/>
  <c r="AC88" i="16" s="1"/>
  <c r="AD88" i="16" s="1" a="1"/>
  <c r="AD88" i="16" s="1"/>
  <c r="AF83" i="16" a="1"/>
  <c r="AF83" i="16" s="1"/>
  <c r="AN83" i="16" s="1" a="1"/>
  <c r="AN83" i="16" s="1"/>
  <c r="AI192" i="16" a="1"/>
  <c r="AI192" i="16" s="1"/>
  <c r="AJ192" i="16" s="1" a="1"/>
  <c r="AJ192" i="16" s="1"/>
  <c r="AE192" i="16" a="1"/>
  <c r="AE192" i="16" s="1"/>
  <c r="AM192" i="16" s="1" a="1"/>
  <c r="AM192" i="16" s="1"/>
  <c r="AC113" i="16" a="1"/>
  <c r="AC113" i="16" s="1"/>
  <c r="AD113" i="16" s="1" a="1"/>
  <c r="AD113" i="16" s="1"/>
  <c r="AF32" i="16" a="1"/>
  <c r="AF32" i="16" s="1"/>
  <c r="AN32" i="16" s="1" a="1"/>
  <c r="AN32" i="16" s="1"/>
  <c r="AC211" i="16" a="1"/>
  <c r="AC211" i="16" s="1"/>
  <c r="AD211" i="16" s="1" a="1"/>
  <c r="AD211" i="16" s="1"/>
  <c r="AC227" i="16" a="1"/>
  <c r="AC227" i="16" s="1"/>
  <c r="AD227" i="16" s="1" a="1"/>
  <c r="AD227" i="16" s="1"/>
  <c r="AC25" i="16" a="1"/>
  <c r="AC25" i="16" s="1"/>
  <c r="AE12" i="16" a="1"/>
  <c r="AE12" i="16" s="1"/>
  <c r="AM12" i="16" s="1" a="1"/>
  <c r="AM12" i="16" s="1"/>
  <c r="AI12" i="16" a="1"/>
  <c r="AI12" i="16" s="1"/>
  <c r="AJ12" i="16" s="1" a="1"/>
  <c r="AJ12" i="16" s="1"/>
  <c r="AC14" i="16" a="1"/>
  <c r="AC14" i="16" s="1"/>
  <c r="AD14" i="16" s="1" a="1"/>
  <c r="AD14" i="16" s="1"/>
  <c r="AC158" i="16" a="1"/>
  <c r="AC158" i="16" s="1"/>
  <c r="AD158" i="16" s="1" a="1"/>
  <c r="AD158" i="16" s="1"/>
  <c r="AF76" i="16" a="1"/>
  <c r="AF76" i="16" s="1"/>
  <c r="AN76" i="16" s="1" a="1"/>
  <c r="AN76" i="16" s="1"/>
  <c r="AC300" i="16" a="1"/>
  <c r="AC300" i="16" s="1"/>
  <c r="AD300" i="16" s="1" a="1"/>
  <c r="AD300" i="16" s="1"/>
  <c r="AE305" i="16" a="1"/>
  <c r="AE305" i="16" s="1"/>
  <c r="AM305" i="16" s="1" a="1"/>
  <c r="AM305" i="16" s="1"/>
  <c r="AI305" i="16" a="1"/>
  <c r="AI305" i="16" s="1"/>
  <c r="AJ305" i="16" s="1" a="1"/>
  <c r="AJ305" i="16" s="1"/>
  <c r="AI155" i="16" a="1"/>
  <c r="AI155" i="16" s="1"/>
  <c r="AJ155" i="16" s="1" a="1"/>
  <c r="AJ155" i="16" s="1"/>
  <c r="AE155" i="16" a="1"/>
  <c r="AE155" i="16" s="1"/>
  <c r="AM155" i="16" s="1" a="1"/>
  <c r="AM155" i="16" s="1"/>
  <c r="AF22" i="16" a="1"/>
  <c r="AF22" i="16" s="1"/>
  <c r="AN22" i="16" s="1" a="1"/>
  <c r="AN22" i="16" s="1"/>
  <c r="AC99" i="16" a="1"/>
  <c r="AC99" i="16" s="1"/>
  <c r="AD99" i="16" s="1" a="1"/>
  <c r="AD99" i="16" s="1"/>
  <c r="AI223" i="16" a="1"/>
  <c r="AI223" i="16" s="1"/>
  <c r="AJ223" i="16" s="1" a="1"/>
  <c r="AJ223" i="16" s="1"/>
  <c r="AE223" i="16" a="1"/>
  <c r="AE223" i="16" s="1"/>
  <c r="AM223" i="16" s="1" a="1"/>
  <c r="AM223" i="16" s="1"/>
  <c r="AI211" i="16" a="1"/>
  <c r="AI211" i="16" s="1"/>
  <c r="AJ211" i="16" s="1" a="1"/>
  <c r="AJ211" i="16" s="1"/>
  <c r="AE211" i="16" a="1"/>
  <c r="AE211" i="16" s="1"/>
  <c r="AM211" i="16" s="1" a="1"/>
  <c r="AM211" i="16" s="1"/>
  <c r="AC94" i="16" a="1"/>
  <c r="AC94" i="16" s="1"/>
  <c r="AD94" i="16" s="1" a="1"/>
  <c r="AD94" i="16" s="1"/>
  <c r="AF271" i="16" a="1"/>
  <c r="AF271" i="16" s="1"/>
  <c r="AN271" i="16" s="1" a="1"/>
  <c r="AN271" i="16" s="1"/>
  <c r="AC272" i="16" a="1"/>
  <c r="AC272" i="16" s="1"/>
  <c r="AD272" i="16" s="1" a="1"/>
  <c r="AD272" i="16" s="1"/>
  <c r="AC103" i="16" a="1"/>
  <c r="AC103" i="16" s="1"/>
  <c r="AD103" i="16" s="1" a="1"/>
  <c r="AD103" i="16" s="1"/>
  <c r="AI187" i="16" a="1"/>
  <c r="AI187" i="16" s="1"/>
  <c r="AJ187" i="16" s="1" a="1"/>
  <c r="AJ187" i="16" s="1"/>
  <c r="AE187" i="16" a="1"/>
  <c r="AE187" i="16" s="1"/>
  <c r="AM187" i="16" s="1" a="1"/>
  <c r="AM187" i="16" s="1"/>
  <c r="AE189" i="16" a="1"/>
  <c r="AE189" i="16" s="1"/>
  <c r="AM189" i="16" s="1" a="1"/>
  <c r="AM189" i="16" s="1"/>
  <c r="AI189" i="16" a="1"/>
  <c r="AI189" i="16" s="1"/>
  <c r="AJ189" i="16" s="1" a="1"/>
  <c r="AJ189" i="16" s="1"/>
  <c r="AE45" i="16" a="1"/>
  <c r="AE45" i="16" s="1"/>
  <c r="AM45" i="16" s="1" a="1"/>
  <c r="AM45" i="16" s="1"/>
  <c r="AI45" i="16" a="1"/>
  <c r="AI45" i="16" s="1"/>
  <c r="AJ45" i="16" s="1" a="1"/>
  <c r="AJ45" i="16" s="1"/>
  <c r="AC107" i="16" a="1"/>
  <c r="AC107" i="16" s="1"/>
  <c r="AD107" i="16" s="1" a="1"/>
  <c r="AD107" i="16" s="1"/>
  <c r="AC33" i="16" a="1"/>
  <c r="AC33" i="16" s="1"/>
  <c r="AE222" i="16" a="1"/>
  <c r="AE222" i="16" s="1"/>
  <c r="AM222" i="16" s="1" a="1"/>
  <c r="AM222" i="16" s="1"/>
  <c r="AI222" i="16" a="1"/>
  <c r="AI222" i="16" s="1"/>
  <c r="AJ222" i="16" s="1" a="1"/>
  <c r="AJ222" i="16" s="1"/>
  <c r="AC177" i="16" a="1"/>
  <c r="AC177" i="16" s="1"/>
  <c r="AD177" i="16" s="1" a="1"/>
  <c r="AD177" i="16" s="1"/>
  <c r="AC38" i="16" a="1"/>
  <c r="AC38" i="16" s="1"/>
  <c r="AD38" i="16" s="1" a="1"/>
  <c r="AD38" i="16" s="1"/>
  <c r="AC93" i="16" a="1"/>
  <c r="AC93" i="16" s="1"/>
  <c r="AD93" i="16" s="1" a="1"/>
  <c r="AD93" i="16" s="1"/>
  <c r="AC84" i="16" a="1"/>
  <c r="AC84" i="16" s="1"/>
  <c r="AD84" i="16" s="1" a="1"/>
  <c r="AD84" i="16" s="1"/>
  <c r="AC75" i="16" a="1"/>
  <c r="AC75" i="16" s="1"/>
  <c r="AD75" i="16" s="1" a="1"/>
  <c r="AD75" i="16" s="1"/>
  <c r="AI209" i="16" a="1"/>
  <c r="AI209" i="16" s="1"/>
  <c r="AJ209" i="16" s="1" a="1"/>
  <c r="AJ209" i="16" s="1"/>
  <c r="AE209" i="16" a="1"/>
  <c r="AE209" i="16" s="1"/>
  <c r="AM209" i="16" s="1" a="1"/>
  <c r="AM209" i="16" s="1"/>
  <c r="AC114" i="16" a="1"/>
  <c r="AC114" i="16" s="1"/>
  <c r="AD114" i="16" s="1" a="1"/>
  <c r="AD114" i="16" s="1"/>
  <c r="AC154" i="16" a="1"/>
  <c r="AC154" i="16" s="1"/>
  <c r="AD154" i="16" s="1" a="1"/>
  <c r="AD154" i="16" s="1"/>
  <c r="AF291" i="16" a="1"/>
  <c r="AF291" i="16" s="1"/>
  <c r="AN291" i="16" s="1" a="1"/>
  <c r="AN291" i="16" s="1"/>
  <c r="AC92" i="16" a="1"/>
  <c r="AC92" i="16" s="1"/>
  <c r="AD92" i="16" s="1" a="1"/>
  <c r="AD92" i="16" s="1"/>
  <c r="AF130" i="16" a="1"/>
  <c r="AF130" i="16" s="1"/>
  <c r="AN130" i="16" s="1" a="1"/>
  <c r="AN130" i="16" s="1"/>
  <c r="AF264" i="16" a="1"/>
  <c r="AF264" i="16" s="1"/>
  <c r="AN264" i="16" s="1" a="1"/>
  <c r="AN264" i="16" s="1"/>
  <c r="AF274" i="16" a="1"/>
  <c r="AF274" i="16" s="1"/>
  <c r="AN274" i="16" s="1" a="1"/>
  <c r="AN274" i="16" s="1"/>
  <c r="AI194" i="16" a="1"/>
  <c r="AI194" i="16" s="1"/>
  <c r="AJ194" i="16" s="1" a="1"/>
  <c r="AJ194" i="16" s="1"/>
  <c r="AE194" i="16" a="1"/>
  <c r="AE194" i="16" s="1"/>
  <c r="AM194" i="16" s="1" a="1"/>
  <c r="AM194" i="16" s="1"/>
  <c r="AC18" i="16" a="1"/>
  <c r="AC18" i="16" s="1"/>
  <c r="AF91" i="16" a="1"/>
  <c r="AF91" i="16" s="1"/>
  <c r="AN91" i="16" s="1" a="1"/>
  <c r="AN91" i="16" s="1"/>
  <c r="AC110" i="16" a="1"/>
  <c r="AC110" i="16" s="1"/>
  <c r="AD110" i="16" s="1" a="1"/>
  <c r="AD110" i="16" s="1"/>
  <c r="AC95" i="16" a="1"/>
  <c r="AC95" i="16" s="1"/>
  <c r="AD95" i="16" s="1" a="1"/>
  <c r="AD95" i="16" s="1"/>
  <c r="AC26" i="16" a="1"/>
  <c r="AC26" i="16" s="1"/>
  <c r="AI205" i="16" a="1"/>
  <c r="AI205" i="16" s="1"/>
  <c r="AJ205" i="16" s="1" a="1"/>
  <c r="AJ205" i="16" s="1"/>
  <c r="AE205" i="16" a="1"/>
  <c r="AE205" i="16" s="1"/>
  <c r="AM205" i="16" s="1" a="1"/>
  <c r="AM205" i="16" s="1"/>
  <c r="AI188" i="16" a="1"/>
  <c r="AI188" i="16" s="1"/>
  <c r="AJ188" i="16" s="1" a="1"/>
  <c r="AJ188" i="16" s="1"/>
  <c r="AE188" i="16" a="1"/>
  <c r="AE188" i="16" s="1"/>
  <c r="AM188" i="16" s="1" a="1"/>
  <c r="AM188" i="16" s="1"/>
  <c r="AE213" i="16" a="1"/>
  <c r="AE213" i="16" s="1"/>
  <c r="AM213" i="16" s="1" a="1"/>
  <c r="AM213" i="16" s="1"/>
  <c r="AI213" i="16" a="1"/>
  <c r="AI213" i="16" s="1"/>
  <c r="AJ213" i="16" s="1" a="1"/>
  <c r="AJ213" i="16" s="1"/>
  <c r="AI73" i="16" a="1"/>
  <c r="AI73" i="16" s="1"/>
  <c r="AJ73" i="16" s="1" a="1"/>
  <c r="AJ73" i="16" s="1"/>
  <c r="AE73" i="16" a="1"/>
  <c r="AE73" i="16" s="1"/>
  <c r="AM73" i="16" s="1" a="1"/>
  <c r="AM73" i="16" s="1"/>
  <c r="AI215" i="16" a="1"/>
  <c r="AI215" i="16" s="1"/>
  <c r="AJ215" i="16" s="1" a="1"/>
  <c r="AJ215" i="16" s="1"/>
  <c r="AE215" i="16" a="1"/>
  <c r="AE215" i="16" s="1"/>
  <c r="AM215" i="16" s="1" a="1"/>
  <c r="AM215" i="16" s="1"/>
  <c r="AC76" i="16" a="1"/>
  <c r="AC76" i="16" s="1"/>
  <c r="AD76" i="16" s="1" a="1"/>
  <c r="AD76" i="16" s="1"/>
  <c r="AC195" i="16" a="1"/>
  <c r="AC195" i="16" s="1"/>
  <c r="AD195" i="16" s="1" a="1"/>
  <c r="AD195" i="16" s="1"/>
  <c r="AE8" i="16" a="1"/>
  <c r="AE8" i="16" s="1"/>
  <c r="AM8" i="16" s="1" a="1"/>
  <c r="AM8" i="16" s="1"/>
  <c r="AI8" i="16" a="1"/>
  <c r="AI8" i="16" s="1"/>
  <c r="AJ8" i="16" s="1" a="1"/>
  <c r="AJ8" i="16" s="1"/>
  <c r="AC166" i="16" a="1"/>
  <c r="AC166" i="16" s="1"/>
  <c r="AD166" i="16" s="1" a="1"/>
  <c r="AD166" i="16" s="1"/>
  <c r="AE41" i="16" a="1"/>
  <c r="AE41" i="16" s="1"/>
  <c r="AM41" i="16" s="1" a="1"/>
  <c r="AM41" i="16" s="1"/>
  <c r="AI41" i="16" a="1"/>
  <c r="AI41" i="16" s="1"/>
  <c r="AJ41" i="16" s="1" a="1"/>
  <c r="AJ41" i="16" s="1"/>
  <c r="AE27" i="16" a="1"/>
  <c r="AE27" i="16" s="1"/>
  <c r="AM27" i="16" s="1" a="1"/>
  <c r="AM27" i="16" s="1"/>
  <c r="AI27" i="16" a="1"/>
  <c r="AI27" i="16" s="1"/>
  <c r="AJ27" i="16" s="1" a="1"/>
  <c r="AJ27" i="16" s="1"/>
  <c r="AI23" i="16" a="1"/>
  <c r="AI23" i="16" s="1"/>
  <c r="AJ23" i="16" s="1" a="1"/>
  <c r="AJ23" i="16" s="1"/>
  <c r="AE23" i="16" a="1"/>
  <c r="AE23" i="16" s="1"/>
  <c r="AM23" i="16" s="1" a="1"/>
  <c r="AM23" i="16" s="1"/>
  <c r="AI15" i="16" a="1"/>
  <c r="AI15" i="16" s="1"/>
  <c r="AJ15" i="16" s="1" a="1"/>
  <c r="AJ15" i="16" s="1"/>
  <c r="AE15" i="16" a="1"/>
  <c r="AE15" i="16" s="1"/>
  <c r="AM15" i="16" s="1" a="1"/>
  <c r="AM15" i="16" s="1"/>
  <c r="AI273" i="16" a="1"/>
  <c r="AI273" i="16" s="1"/>
  <c r="AJ273" i="16" s="1" a="1"/>
  <c r="AJ273" i="16" s="1"/>
  <c r="AE273" i="16" a="1"/>
  <c r="AE273" i="16" s="1"/>
  <c r="AM273" i="16" s="1" a="1"/>
  <c r="AM273" i="16" s="1"/>
  <c r="AE24" i="16" a="1"/>
  <c r="AE24" i="16" s="1"/>
  <c r="AM24" i="16" s="1" a="1"/>
  <c r="AM24" i="16" s="1"/>
  <c r="AI24" i="16" a="1"/>
  <c r="AI24" i="16" s="1"/>
  <c r="AJ24" i="16" s="1" a="1"/>
  <c r="AJ24" i="16" s="1"/>
  <c r="AF95" i="16" a="1"/>
  <c r="AF95" i="16" s="1"/>
  <c r="AN95" i="16" s="1" a="1"/>
  <c r="AN95" i="16" s="1"/>
  <c r="AF250" i="16" a="1"/>
  <c r="AF250" i="16" s="1"/>
  <c r="AN250" i="16" s="1" a="1"/>
  <c r="AN250" i="16" s="1"/>
  <c r="AF320" i="16" a="1"/>
  <c r="AF320" i="16" s="1"/>
  <c r="AN320" i="16" s="1" a="1"/>
  <c r="AN320" i="16" s="1"/>
  <c r="AE63" i="16" a="1"/>
  <c r="AE63" i="16" s="1"/>
  <c r="AM63" i="16" s="1" a="1"/>
  <c r="AM63" i="16" s="1"/>
  <c r="AI63" i="16" a="1"/>
  <c r="AI63" i="16" s="1"/>
  <c r="AJ63" i="16" s="1" a="1"/>
  <c r="AJ63" i="16" s="1"/>
  <c r="AI275" i="16" a="1"/>
  <c r="AI275" i="16" s="1"/>
  <c r="AJ275" i="16" s="1" a="1"/>
  <c r="AJ275" i="16" s="1"/>
  <c r="AE275" i="16" a="1"/>
  <c r="AE275" i="16" s="1"/>
  <c r="AM275" i="16" s="1" a="1"/>
  <c r="AM275" i="16" s="1"/>
  <c r="AI56" i="16" a="1"/>
  <c r="AI56" i="16" s="1"/>
  <c r="AJ56" i="16" s="1" a="1"/>
  <c r="AJ56" i="16" s="1"/>
  <c r="AE56" i="16" a="1"/>
  <c r="AE56" i="16" s="1"/>
  <c r="AM56" i="16" s="1" a="1"/>
  <c r="AM56" i="16" s="1"/>
  <c r="AC239" i="16" a="1"/>
  <c r="AC239" i="16" s="1"/>
  <c r="AD239" i="16" s="1" a="1"/>
  <c r="AD239" i="16" s="1"/>
  <c r="AF85" i="16" a="1"/>
  <c r="AF85" i="16" s="1"/>
  <c r="AN85" i="16" s="1" a="1"/>
  <c r="AN85" i="16" s="1"/>
  <c r="AF308" i="16" a="1"/>
  <c r="AF308" i="16" s="1"/>
  <c r="AN308" i="16" s="1" a="1"/>
  <c r="AN308" i="16" s="1"/>
  <c r="AC313" i="16" a="1"/>
  <c r="AC313" i="16" s="1"/>
  <c r="AD313" i="16" s="1" a="1"/>
  <c r="AD313" i="16" s="1"/>
  <c r="AF7" i="16" a="1"/>
  <c r="AF7" i="16" s="1"/>
  <c r="AN7" i="16" s="1" a="1"/>
  <c r="AN7" i="16" s="1"/>
  <c r="AF108" i="16" a="1"/>
  <c r="AF108" i="16" s="1"/>
  <c r="AN108" i="16" s="1" a="1"/>
  <c r="AN108" i="16" s="1"/>
  <c r="AF286" i="16" a="1"/>
  <c r="AF286" i="16" s="1"/>
  <c r="AN286" i="16" s="1" a="1"/>
  <c r="AN286" i="16" s="1"/>
  <c r="AC172" i="16" a="1"/>
  <c r="AC172" i="16" s="1"/>
  <c r="AD172" i="16" s="1" a="1"/>
  <c r="AD172" i="16" s="1"/>
  <c r="AC116" i="16" a="1"/>
  <c r="AC116" i="16" s="1"/>
  <c r="AD116" i="16" s="1" a="1"/>
  <c r="AD116" i="16" s="1"/>
  <c r="AC111" i="16" a="1"/>
  <c r="AC111" i="16" s="1"/>
  <c r="AD111" i="16" s="1" a="1"/>
  <c r="AD111" i="16" s="1"/>
  <c r="AC82" i="16" a="1"/>
  <c r="AC82" i="16" s="1"/>
  <c r="AD82" i="16" s="1" a="1"/>
  <c r="AD82" i="16" s="1"/>
  <c r="AF235" i="16" a="1"/>
  <c r="AF235" i="16" s="1"/>
  <c r="AN235" i="16" s="1" a="1"/>
  <c r="AN235" i="16" s="1"/>
  <c r="AC257" i="16" a="1"/>
  <c r="AC257" i="16" s="1"/>
  <c r="AD257" i="16" s="1" a="1"/>
  <c r="AD257" i="16" s="1"/>
  <c r="AI229" i="16" a="1"/>
  <c r="AI229" i="16" s="1"/>
  <c r="AJ229" i="16" s="1" a="1"/>
  <c r="AJ229" i="16" s="1"/>
  <c r="AE229" i="16" a="1"/>
  <c r="AE229" i="16" s="1"/>
  <c r="AM229" i="16" s="1" a="1"/>
  <c r="AM229" i="16" s="1"/>
  <c r="AC168" i="16" a="1"/>
  <c r="AC168" i="16" s="1"/>
  <c r="AD168" i="16" s="1" a="1"/>
  <c r="AD168" i="16" s="1"/>
  <c r="AC30" i="16" a="1"/>
  <c r="AC30" i="16" s="1"/>
  <c r="AD30" i="16" s="1" a="1"/>
  <c r="AD30" i="16" s="1"/>
  <c r="AC237" i="16" a="1"/>
  <c r="AC237" i="16" s="1"/>
  <c r="AD237" i="16" s="1" a="1"/>
  <c r="AD237" i="16" s="1"/>
  <c r="AC7" i="16" a="1"/>
  <c r="AC7" i="16" s="1"/>
  <c r="AD7" i="16" s="1" a="1"/>
  <c r="AD7" i="16" s="1"/>
  <c r="AC15" i="16" a="1"/>
  <c r="AC15" i="16" s="1"/>
  <c r="AI167" i="16" a="1"/>
  <c r="AI167" i="16" s="1"/>
  <c r="AJ167" i="16" s="1" a="1"/>
  <c r="AJ167" i="16" s="1"/>
  <c r="AE167" i="16" a="1"/>
  <c r="AE167" i="16" s="1"/>
  <c r="AM167" i="16" s="1" a="1"/>
  <c r="AM167" i="16" s="1"/>
  <c r="AI185" i="16" a="1"/>
  <c r="AI185" i="16" s="1"/>
  <c r="AJ185" i="16" s="1" a="1"/>
  <c r="AJ185" i="16" s="1"/>
  <c r="AE185" i="16" a="1"/>
  <c r="AE185" i="16" s="1"/>
  <c r="AM185" i="16" s="1" a="1"/>
  <c r="AM185" i="16" s="1"/>
  <c r="AF289" i="16" a="1"/>
  <c r="AF289" i="16" s="1"/>
  <c r="AN289" i="16" s="1" a="1"/>
  <c r="AN289" i="16" s="1"/>
  <c r="AF178" i="16" a="1"/>
  <c r="AF178" i="16" s="1"/>
  <c r="AN178" i="16" s="1" a="1"/>
  <c r="AN178" i="16" s="1"/>
  <c r="AF225" i="16" a="1"/>
  <c r="AF225" i="16" s="1"/>
  <c r="AN225" i="16" s="1" a="1"/>
  <c r="AN225" i="16" s="1"/>
  <c r="AE62" i="16" a="1"/>
  <c r="AE62" i="16" s="1"/>
  <c r="AM62" i="16" s="1" a="1"/>
  <c r="AM62" i="16" s="1"/>
  <c r="AI62" i="16" a="1"/>
  <c r="AI62" i="16" s="1"/>
  <c r="AJ62" i="16" s="1" a="1"/>
  <c r="AJ62" i="16" s="1"/>
  <c r="AI161" i="16" a="1"/>
  <c r="AI161" i="16" s="1"/>
  <c r="AJ161" i="16" s="1" a="1"/>
  <c r="AJ161" i="16" s="1"/>
  <c r="AE161" i="16" a="1"/>
  <c r="AE161" i="16" s="1"/>
  <c r="AM161" i="16" s="1" a="1"/>
  <c r="AM161" i="16" s="1"/>
  <c r="AC221" i="16" a="1"/>
  <c r="AC221" i="16" s="1"/>
  <c r="AD221" i="16" s="1" a="1"/>
  <c r="AD221" i="16" s="1"/>
  <c r="AC91" i="16" a="1"/>
  <c r="AC91" i="16" s="1"/>
  <c r="AD91" i="16" s="1" a="1"/>
  <c r="AD91" i="16" s="1"/>
  <c r="AF79" i="16" a="1"/>
  <c r="AF79" i="16" s="1"/>
  <c r="AN79" i="16" s="1" a="1"/>
  <c r="AN79" i="16" s="1"/>
  <c r="AC120" i="16" a="1"/>
  <c r="AC120" i="16" s="1"/>
  <c r="AD120" i="16" s="1" a="1"/>
  <c r="AD120" i="16" s="1"/>
  <c r="AC106" i="16" a="1"/>
  <c r="AC106" i="16" s="1"/>
  <c r="AD106" i="16" s="1" a="1"/>
  <c r="AD106" i="16" s="1"/>
  <c r="AC150" i="16" a="1"/>
  <c r="AC150" i="16" s="1"/>
  <c r="AD150" i="16" s="1" a="1"/>
  <c r="AD150" i="16" s="1"/>
  <c r="AF125" i="16" a="1"/>
  <c r="AF125" i="16" s="1"/>
  <c r="AN125" i="16" s="1" a="1"/>
  <c r="AN125" i="16" s="1"/>
  <c r="AI193" i="16" a="1"/>
  <c r="AI193" i="16" s="1"/>
  <c r="AJ193" i="16" s="1" a="1"/>
  <c r="AJ193" i="16" s="1"/>
  <c r="AE193" i="16" a="1"/>
  <c r="AE193" i="16" s="1"/>
  <c r="AM193" i="16" s="1" a="1"/>
  <c r="AM193" i="16" s="1"/>
  <c r="AE170" i="16" a="1"/>
  <c r="AE170" i="16" s="1"/>
  <c r="AM170" i="16" s="1" a="1"/>
  <c r="AM170" i="16" s="1"/>
  <c r="AI170" i="16" a="1"/>
  <c r="AI170" i="16" s="1"/>
  <c r="AJ170" i="16" s="1" a="1"/>
  <c r="AJ170" i="16" s="1"/>
  <c r="AC98" i="16" a="1"/>
  <c r="AC98" i="16" s="1"/>
  <c r="AD98" i="16" s="1" a="1"/>
  <c r="AD98" i="16" s="1"/>
  <c r="AC100" i="16" a="1"/>
  <c r="AC100" i="16" s="1"/>
  <c r="AD100" i="16" s="1" a="1"/>
  <c r="AD100" i="16" s="1"/>
  <c r="AI197" i="16" a="1"/>
  <c r="AI197" i="16" s="1"/>
  <c r="AJ197" i="16" s="1" a="1"/>
  <c r="AJ197" i="16" s="1"/>
  <c r="AE197" i="16" a="1"/>
  <c r="AE197" i="16" s="1"/>
  <c r="AM197" i="16" s="1" a="1"/>
  <c r="AM197" i="16" s="1"/>
  <c r="AC28" i="16" a="1"/>
  <c r="AC28" i="16" s="1"/>
  <c r="AC24" i="16" a="1"/>
  <c r="AC24" i="16" s="1"/>
  <c r="AD24" i="16" s="1" a="1"/>
  <c r="AD24" i="16" s="1"/>
  <c r="AE33" i="16" a="1"/>
  <c r="AE33" i="16" s="1"/>
  <c r="AM33" i="16" s="1" a="1"/>
  <c r="AM33" i="16" s="1"/>
  <c r="AI33" i="16" a="1"/>
  <c r="AI33" i="16" s="1"/>
  <c r="AJ33" i="16" s="1" a="1"/>
  <c r="AJ33" i="16" s="1"/>
  <c r="AC297" i="16" a="1"/>
  <c r="AC297" i="16" s="1"/>
  <c r="AD297" i="16" s="1" a="1"/>
  <c r="AD297" i="16" s="1"/>
  <c r="AI190" i="16" a="1"/>
  <c r="AI190" i="16" s="1"/>
  <c r="AJ190" i="16" s="1" a="1"/>
  <c r="AJ190" i="16" s="1"/>
  <c r="AE190" i="16" a="1"/>
  <c r="AE190" i="16" s="1"/>
  <c r="AM190" i="16" s="1" a="1"/>
  <c r="AM190" i="16" s="1"/>
  <c r="AI236" i="16" a="1"/>
  <c r="AI236" i="16" s="1"/>
  <c r="AJ236" i="16" s="1" a="1"/>
  <c r="AJ236" i="16" s="1"/>
  <c r="AE236" i="16" a="1"/>
  <c r="AE236" i="16" s="1"/>
  <c r="AM236" i="16" s="1" a="1"/>
  <c r="AM236" i="16" s="1"/>
  <c r="AI313" i="16" a="1"/>
  <c r="AI313" i="16" s="1"/>
  <c r="AJ313" i="16" s="1" a="1"/>
  <c r="AJ313" i="16" s="1"/>
  <c r="AE313" i="16" a="1"/>
  <c r="AE313" i="16" s="1"/>
  <c r="AM313" i="16" s="1" a="1"/>
  <c r="AM313" i="16" s="1"/>
  <c r="AI136" i="16" a="1"/>
  <c r="AI136" i="16" s="1"/>
  <c r="AJ136" i="16" s="1" a="1"/>
  <c r="AJ136" i="16" s="1"/>
  <c r="AE136" i="16" a="1"/>
  <c r="AE136" i="16" s="1"/>
  <c r="AM136" i="16" s="1" a="1"/>
  <c r="AM136" i="16" s="1"/>
  <c r="AI116" i="16" a="1"/>
  <c r="AI116" i="16" s="1"/>
  <c r="AJ116" i="16" s="1" a="1"/>
  <c r="AJ116" i="16" s="1"/>
  <c r="AE116" i="16" a="1"/>
  <c r="AE116" i="16" s="1"/>
  <c r="AM116" i="16" s="1" a="1"/>
  <c r="AM116" i="16" s="1"/>
  <c r="AF149" i="16" a="1"/>
  <c r="AF149" i="16" s="1"/>
  <c r="AN149" i="16" s="1" a="1"/>
  <c r="AN149" i="16" s="1"/>
  <c r="AC241" i="16" a="1"/>
  <c r="AC241" i="16" s="1"/>
  <c r="AD241" i="16" s="1" a="1"/>
  <c r="AD241" i="16" s="1"/>
  <c r="AC289" i="16" a="1"/>
  <c r="AC289" i="16" s="1"/>
  <c r="AD289" i="16" s="1" a="1"/>
  <c r="AD289" i="16" s="1"/>
  <c r="AC79" i="16" a="1"/>
  <c r="AC79" i="16" s="1"/>
  <c r="AD79" i="16" s="1" a="1"/>
  <c r="AD79" i="16" s="1"/>
  <c r="AI231" i="16" a="1"/>
  <c r="AI231" i="16" s="1"/>
  <c r="AJ231" i="16" s="1" a="1"/>
  <c r="AJ231" i="16" s="1"/>
  <c r="AE231" i="16" a="1"/>
  <c r="AE231" i="16" s="1"/>
  <c r="AM231" i="16" s="1" a="1"/>
  <c r="AM231" i="16" s="1"/>
  <c r="AC146" i="16" a="1"/>
  <c r="AC146" i="16" s="1"/>
  <c r="AD146" i="16" s="1" a="1"/>
  <c r="AD146" i="16" s="1"/>
  <c r="AI208" i="16" a="1"/>
  <c r="AI208" i="16" s="1"/>
  <c r="AJ208" i="16" s="1" a="1"/>
  <c r="AJ208" i="16" s="1"/>
  <c r="AE208" i="16" a="1"/>
  <c r="AE208" i="16" s="1"/>
  <c r="AM208" i="16" s="1" a="1"/>
  <c r="AM208" i="16" s="1"/>
  <c r="AF138" i="16" a="1"/>
  <c r="AF138" i="16" s="1"/>
  <c r="AN138" i="16" s="1" a="1"/>
  <c r="AN138" i="16" s="1"/>
  <c r="AI214" i="16" a="1"/>
  <c r="AI214" i="16" s="1"/>
  <c r="AJ214" i="16" s="1" a="1"/>
  <c r="AJ214" i="16" s="1"/>
  <c r="AE214" i="16" a="1"/>
  <c r="AE214" i="16" s="1"/>
  <c r="AM214" i="16" s="1" a="1"/>
  <c r="AM214" i="16" s="1"/>
  <c r="AC70" i="16" a="1"/>
  <c r="AC70" i="16" s="1"/>
  <c r="AD70" i="16" s="1" a="1"/>
  <c r="AD70" i="16" s="1"/>
  <c r="AE228" i="16" a="1"/>
  <c r="AE228" i="16" s="1"/>
  <c r="AM228" i="16" s="1" a="1"/>
  <c r="AM228" i="16" s="1"/>
  <c r="AI228" i="16" a="1"/>
  <c r="AI228" i="16" s="1"/>
  <c r="AJ228" i="16" s="1" a="1"/>
  <c r="AJ228" i="16" s="1"/>
  <c r="AC189" i="16" a="1"/>
  <c r="AC189" i="16" s="1"/>
  <c r="AD189" i="16" s="1" a="1"/>
  <c r="AD189" i="16" s="1"/>
  <c r="AC109" i="16" a="1"/>
  <c r="AC109" i="16" s="1"/>
  <c r="AD109" i="16" s="1" a="1"/>
  <c r="AD109" i="16" s="1"/>
  <c r="AC19" i="16" a="1"/>
  <c r="AC19" i="16" s="1"/>
  <c r="AI6" i="16" a="1"/>
  <c r="AI6" i="16" s="1"/>
  <c r="AJ6" i="16" s="1" a="1"/>
  <c r="AJ6" i="16" s="1"/>
  <c r="AE6" i="16" a="1"/>
  <c r="AE6" i="16" s="1"/>
  <c r="AM6" i="16" s="1" a="1"/>
  <c r="AM6" i="16" s="1"/>
  <c r="AC73" i="16" a="1"/>
  <c r="AC73" i="16" s="1"/>
  <c r="AD73" i="16" s="1" a="1"/>
  <c r="AD73" i="16" s="1"/>
  <c r="AF285" i="16" a="1"/>
  <c r="AF285" i="16" s="1"/>
  <c r="AN285" i="16" s="1" a="1"/>
  <c r="AN285" i="16" s="1"/>
  <c r="AC242" i="16" a="1"/>
  <c r="AC242" i="16" s="1"/>
  <c r="AD242" i="16" s="1" a="1"/>
  <c r="AD242" i="16" s="1"/>
  <c r="AI128" i="16" a="1"/>
  <c r="AI128" i="16" s="1"/>
  <c r="AJ128" i="16" s="1" a="1"/>
  <c r="AJ128" i="16" s="1"/>
  <c r="AE128" i="16" a="1"/>
  <c r="AE128" i="16" s="1"/>
  <c r="AM128" i="16" s="1" a="1"/>
  <c r="AM128" i="16" s="1"/>
  <c r="AI165" i="16" a="1"/>
  <c r="AI165" i="16" s="1"/>
  <c r="AJ165" i="16" s="1" a="1"/>
  <c r="AJ165" i="16" s="1"/>
  <c r="AE165" i="16" a="1"/>
  <c r="AE165" i="16" s="1"/>
  <c r="AM165" i="16" s="1" a="1"/>
  <c r="AM165" i="16" s="1"/>
  <c r="AI246" i="16" a="1"/>
  <c r="AI246" i="16" s="1"/>
  <c r="AJ246" i="16" s="1" a="1"/>
  <c r="AJ246" i="16" s="1"/>
  <c r="AE246" i="16" a="1"/>
  <c r="AE246" i="16" s="1"/>
  <c r="AM246" i="16" s="1" a="1"/>
  <c r="AM246" i="16" s="1"/>
  <c r="AC78" i="16" a="1"/>
  <c r="AC78" i="16" s="1"/>
  <c r="AD78" i="16" s="1" a="1"/>
  <c r="AD78" i="16" s="1"/>
  <c r="AD10" i="16" a="1"/>
  <c r="AD10" i="16" s="1"/>
  <c r="AF9" i="16" a="1"/>
  <c r="AF9" i="16" s="1"/>
  <c r="AN9" i="16" s="1" a="1"/>
  <c r="AN9" i="16" s="1"/>
  <c r="AC293" i="16" a="1"/>
  <c r="AC293" i="16" s="1"/>
  <c r="AD293" i="16" s="1" a="1"/>
  <c r="AD293" i="16" s="1"/>
  <c r="AF121" i="16" a="1"/>
  <c r="AF121" i="16" s="1"/>
  <c r="AN121" i="16" s="1" a="1"/>
  <c r="AN121" i="16" s="1"/>
  <c r="AC203" i="16" a="1"/>
  <c r="AC203" i="16" s="1"/>
  <c r="AD203" i="16" s="1" a="1"/>
  <c r="AD203" i="16" s="1"/>
  <c r="AC251" i="16" a="1"/>
  <c r="AC251" i="16" s="1"/>
  <c r="AD251" i="16" s="1" a="1"/>
  <c r="AD251" i="16" s="1"/>
  <c r="AF13" i="16" a="1"/>
  <c r="AF13" i="16" s="1"/>
  <c r="AN13" i="16" s="1" a="1"/>
  <c r="AN13" i="16" s="1"/>
  <c r="AE181" i="16" a="1"/>
  <c r="AE181" i="16" s="1"/>
  <c r="AM181" i="16" s="1" a="1"/>
  <c r="AM181" i="16" s="1"/>
  <c r="AI181" i="16" a="1"/>
  <c r="AI181" i="16" s="1"/>
  <c r="AJ181" i="16" s="1" a="1"/>
  <c r="AJ181" i="16" s="1"/>
  <c r="AF143" i="16" a="1"/>
  <c r="AF143" i="16" s="1"/>
  <c r="AN143" i="16" s="1" a="1"/>
  <c r="AN143" i="16" s="1"/>
  <c r="AC276" i="16" a="1"/>
  <c r="AC276" i="16" s="1"/>
  <c r="AD276" i="16" s="1" a="1"/>
  <c r="AD276" i="16" s="1"/>
  <c r="AF133" i="16" a="1"/>
  <c r="AF133" i="16" s="1"/>
  <c r="AN133" i="16" s="1" a="1"/>
  <c r="AN133" i="16" s="1"/>
  <c r="AF284" i="16" a="1"/>
  <c r="AF284" i="16" s="1"/>
  <c r="AN284" i="16" s="1" a="1"/>
  <c r="AN284" i="16" s="1"/>
  <c r="AF298" i="16" a="1"/>
  <c r="AF298" i="16" s="1"/>
  <c r="AN298" i="16" s="1" a="1"/>
  <c r="AN298" i="16" s="1"/>
  <c r="AC108" i="16" a="1"/>
  <c r="AC108" i="16" s="1"/>
  <c r="AD108" i="16" s="1" a="1"/>
  <c r="AD108" i="16" s="1"/>
  <c r="AE53" i="16" a="1"/>
  <c r="AE53" i="16" s="1"/>
  <c r="AM53" i="16" s="1" a="1"/>
  <c r="AM53" i="16" s="1"/>
  <c r="AI53" i="16" a="1"/>
  <c r="AI53" i="16" s="1"/>
  <c r="AJ53" i="16" s="1" a="1"/>
  <c r="AJ53" i="16" s="1"/>
  <c r="AC6" i="16" a="1"/>
  <c r="AC6" i="16" s="1"/>
  <c r="AI261" i="16" a="1"/>
  <c r="AI261" i="16" s="1"/>
  <c r="AJ261" i="16" s="1" a="1"/>
  <c r="AJ261" i="16" s="1"/>
  <c r="AE261" i="16" a="1"/>
  <c r="AE261" i="16" s="1"/>
  <c r="AM261" i="16" s="1" a="1"/>
  <c r="AM261" i="16" s="1"/>
  <c r="AE29" i="16" a="1"/>
  <c r="AE29" i="16" s="1"/>
  <c r="AM29" i="16" s="1" a="1"/>
  <c r="AM29" i="16" s="1"/>
  <c r="AI29" i="16" a="1"/>
  <c r="AI29" i="16" s="1"/>
  <c r="AJ29" i="16" s="1" a="1"/>
  <c r="AJ29" i="16" s="1"/>
  <c r="AI5" i="16" a="1"/>
  <c r="AI5" i="16" s="1"/>
  <c r="AJ5" i="16" s="1" a="1"/>
  <c r="AJ5" i="16" s="1"/>
  <c r="AE5" i="16" a="1"/>
  <c r="AE5" i="16" s="1"/>
  <c r="AM5" i="16" s="1" a="1"/>
  <c r="AM5" i="16" s="1"/>
  <c r="AI172" i="16" a="1"/>
  <c r="AI172" i="16" s="1"/>
  <c r="AJ172" i="16" s="1" a="1"/>
  <c r="AJ172" i="16" s="1"/>
  <c r="AE172" i="16" a="1"/>
  <c r="AE172" i="16" s="1"/>
  <c r="AM172" i="16" s="1" a="1"/>
  <c r="AM172" i="16" s="1"/>
  <c r="AC182" i="16" a="1"/>
  <c r="AC182" i="16" s="1"/>
  <c r="AD182" i="16" s="1" a="1"/>
  <c r="AD182" i="16" s="1"/>
  <c r="AI64" i="16" a="1"/>
  <c r="AI64" i="16" s="1"/>
  <c r="AJ64" i="16" s="1" a="1"/>
  <c r="AJ64" i="16" s="1"/>
  <c r="AE64" i="16" a="1"/>
  <c r="AE64" i="16" s="1"/>
  <c r="AM64" i="16" s="1" a="1"/>
  <c r="AM64" i="16" s="1"/>
  <c r="AE302" i="16" a="1"/>
  <c r="AE302" i="16" s="1"/>
  <c r="AM302" i="16" s="1" a="1"/>
  <c r="AM302" i="16" s="1"/>
  <c r="AI302" i="16" a="1"/>
  <c r="AI302" i="16" s="1"/>
  <c r="AJ302" i="16" s="1" a="1"/>
  <c r="AJ302" i="16" s="1"/>
  <c r="AI151" i="16" a="1"/>
  <c r="AI151" i="16" s="1"/>
  <c r="AJ151" i="16" s="1" a="1"/>
  <c r="AJ151" i="16" s="1"/>
  <c r="AE151" i="16" a="1"/>
  <c r="AE151" i="16" s="1"/>
  <c r="AM151" i="16" s="1" a="1"/>
  <c r="AM151" i="16" s="1"/>
  <c r="AE49" i="16" a="1"/>
  <c r="AE49" i="16" s="1"/>
  <c r="AM49" i="16" s="1" a="1"/>
  <c r="AM49" i="16" s="1"/>
  <c r="AI49" i="16" a="1"/>
  <c r="AI49" i="16" s="1"/>
  <c r="AJ49" i="16" s="1" a="1"/>
  <c r="AJ49" i="16" s="1"/>
  <c r="AI61" i="16" a="1"/>
  <c r="AI61" i="16" s="1"/>
  <c r="AJ61" i="16" s="1" a="1"/>
  <c r="AJ61" i="16" s="1"/>
  <c r="AE61" i="16" a="1"/>
  <c r="AE61" i="16" s="1"/>
  <c r="AM61" i="16" s="1" a="1"/>
  <c r="AM61" i="16" s="1"/>
  <c r="AC179" i="16" a="1"/>
  <c r="AC179" i="16" s="1"/>
  <c r="AD179" i="16" s="1" a="1"/>
  <c r="AD179" i="16" s="1"/>
  <c r="AI212" i="16" a="1"/>
  <c r="AI212" i="16" s="1"/>
  <c r="AJ212" i="16" s="1" a="1"/>
  <c r="AJ212" i="16" s="1"/>
  <c r="AE212" i="16" a="1"/>
  <c r="AE212" i="16" s="1"/>
  <c r="AM212" i="16" s="1" a="1"/>
  <c r="AM212" i="16" s="1"/>
  <c r="AI196" i="16" a="1"/>
  <c r="AI196" i="16" s="1"/>
  <c r="AJ196" i="16" s="1" a="1"/>
  <c r="AJ196" i="16" s="1"/>
  <c r="AE196" i="16" a="1"/>
  <c r="AE196" i="16" s="1"/>
  <c r="AM196" i="16" s="1" a="1"/>
  <c r="AM196" i="16" s="1"/>
  <c r="AC126" i="16" a="1"/>
  <c r="AC126" i="16" s="1"/>
  <c r="AD126" i="16" s="1" a="1"/>
  <c r="AD126" i="16" s="1"/>
  <c r="AF58" i="16" a="1"/>
  <c r="AF58" i="16" s="1"/>
  <c r="AN58" i="16" s="1" a="1"/>
  <c r="AN58" i="16" s="1"/>
  <c r="AF60" i="16" a="1"/>
  <c r="AF60" i="16" s="1"/>
  <c r="AN60" i="16" s="1" a="1"/>
  <c r="AN60" i="16" s="1"/>
  <c r="AC86" i="16" a="1"/>
  <c r="AC86" i="16" s="1"/>
  <c r="AD86" i="16" s="1" a="1"/>
  <c r="AD86" i="16" s="1"/>
  <c r="AI199" i="16" a="1"/>
  <c r="AI199" i="16" s="1"/>
  <c r="AJ199" i="16" s="1" a="1"/>
  <c r="AJ199" i="16" s="1"/>
  <c r="AE199" i="16" a="1"/>
  <c r="AE199" i="16" s="1"/>
  <c r="AM199" i="16" s="1" a="1"/>
  <c r="AM199" i="16" s="1"/>
  <c r="AC27" i="16" a="1"/>
  <c r="AC27" i="16" s="1"/>
  <c r="AD27" i="16" s="1" a="1"/>
  <c r="AD27" i="16" s="1"/>
  <c r="AC16" i="16" a="1"/>
  <c r="AC16" i="16" s="1"/>
  <c r="AE4" i="16" a="1"/>
  <c r="AE4" i="16" s="1"/>
  <c r="AM4" i="16" s="1" a="1"/>
  <c r="AM4" i="16" s="1"/>
  <c r="AI4" i="16" a="1"/>
  <c r="AI4" i="16" s="1"/>
  <c r="AJ4" i="16" s="1" a="1"/>
  <c r="AJ4" i="16" s="1"/>
  <c r="AC4" i="16" a="1"/>
  <c r="AC4" i="16" s="1"/>
  <c r="AC74" i="16" a="1"/>
  <c r="AC74" i="16" s="1"/>
  <c r="AD74" i="16" s="1" a="1"/>
  <c r="AD74" i="16" s="1"/>
  <c r="AC233" i="16" a="1"/>
  <c r="AC233" i="16" s="1"/>
  <c r="AD233" i="16" s="1" a="1"/>
  <c r="AD233" i="16" s="1"/>
  <c r="AI292" i="16" a="1"/>
  <c r="AI292" i="16" s="1"/>
  <c r="AJ292" i="16" s="1" a="1"/>
  <c r="AJ292" i="16" s="1"/>
  <c r="AE292" i="16" a="1"/>
  <c r="AE292" i="16" s="1"/>
  <c r="AM292" i="16" s="1" a="1"/>
  <c r="AM292" i="16" s="1"/>
  <c r="AI154" i="16" a="1"/>
  <c r="AI154" i="16" s="1"/>
  <c r="AJ154" i="16" s="1" a="1"/>
  <c r="AJ154" i="16" s="1"/>
  <c r="AE154" i="16" a="1"/>
  <c r="AE154" i="16" s="1"/>
  <c r="AM154" i="16" s="1" a="1"/>
  <c r="AM154" i="16" s="1"/>
  <c r="AI150" i="16" a="1"/>
  <c r="AI150" i="16" s="1"/>
  <c r="AJ150" i="16" s="1" a="1"/>
  <c r="AJ150" i="16" s="1"/>
  <c r="AE150" i="16" a="1"/>
  <c r="AE150" i="16" s="1"/>
  <c r="AM150" i="16" s="1" a="1"/>
  <c r="AM150" i="16" s="1"/>
  <c r="AD31" i="16" a="1"/>
  <c r="AD31" i="16" s="1"/>
  <c r="AF96" i="16" a="1"/>
  <c r="AF96" i="16" s="1"/>
  <c r="AN96" i="16" s="1" a="1"/>
  <c r="AN96" i="16" s="1"/>
  <c r="AI180" i="16" a="1"/>
  <c r="AI180" i="16" s="1"/>
  <c r="AJ180" i="16" s="1" a="1"/>
  <c r="AJ180" i="16" s="1"/>
  <c r="AE180" i="16" a="1"/>
  <c r="AE180" i="16" s="1"/>
  <c r="AM180" i="16" s="1" a="1"/>
  <c r="AM180" i="16" s="1"/>
  <c r="AF163" i="16" a="1"/>
  <c r="AF163" i="16" s="1"/>
  <c r="AN163" i="16" s="1" a="1"/>
  <c r="AN163" i="16" s="1"/>
  <c r="AC83" i="16" a="1"/>
  <c r="AC83" i="16" s="1"/>
  <c r="AD83" i="16" s="1" a="1"/>
  <c r="AD83" i="16" s="1"/>
  <c r="AC112" i="16" a="1"/>
  <c r="AC112" i="16" s="1"/>
  <c r="AD112" i="16" s="1" a="1"/>
  <c r="AD112" i="16" s="1"/>
  <c r="AC238" i="16" a="1"/>
  <c r="AC238" i="16" s="1"/>
  <c r="AD238" i="16" s="1" a="1"/>
  <c r="AD238" i="16" s="1"/>
  <c r="AC81" i="16" a="1"/>
  <c r="AC81" i="16" s="1"/>
  <c r="AD81" i="16" s="1" a="1"/>
  <c r="AD81" i="16" s="1"/>
  <c r="AC64" i="16" a="1"/>
  <c r="AC64" i="16" s="1"/>
  <c r="AD64" i="16" s="1" a="1"/>
  <c r="AD64" i="16" s="1"/>
  <c r="AI204" i="16" a="1"/>
  <c r="AI204" i="16" s="1"/>
  <c r="AJ204" i="16" s="1" a="1"/>
  <c r="AJ204" i="16" s="1"/>
  <c r="AE204" i="16" a="1"/>
  <c r="AE204" i="16" s="1"/>
  <c r="AM204" i="16" s="1" a="1"/>
  <c r="AM204" i="16" s="1"/>
  <c r="AI207" i="16" a="1"/>
  <c r="AI207" i="16" s="1"/>
  <c r="AJ207" i="16" s="1" a="1"/>
  <c r="AJ207" i="16" s="1"/>
  <c r="AE207" i="16" a="1"/>
  <c r="AE207" i="16" s="1"/>
  <c r="AM207" i="16" s="1" a="1"/>
  <c r="AM207" i="16" s="1"/>
  <c r="AC311" i="16" a="1"/>
  <c r="AC311" i="16" s="1"/>
  <c r="AD311" i="16" s="1" a="1"/>
  <c r="AD311" i="16" s="1"/>
  <c r="AC11" i="16" a="1"/>
  <c r="AC11" i="16" s="1"/>
  <c r="AI44" i="16" a="1"/>
  <c r="AI44" i="16" s="1"/>
  <c r="AJ44" i="16" s="1" a="1"/>
  <c r="AJ44" i="16" s="1"/>
  <c r="AE44" i="16" a="1"/>
  <c r="AE44" i="16" s="1"/>
  <c r="AM44" i="16" s="1" a="1"/>
  <c r="AM44" i="16" s="1"/>
  <c r="AC273" i="16" a="1"/>
  <c r="AC273" i="16" s="1"/>
  <c r="AD273" i="16" s="1" a="1"/>
  <c r="AD273" i="16" s="1"/>
  <c r="AC262" i="16" a="1"/>
  <c r="AC262" i="16" s="1"/>
  <c r="AD262" i="16" s="1" a="1"/>
  <c r="AD262" i="16" s="1"/>
  <c r="AE25" i="16" a="1"/>
  <c r="AE25" i="16" s="1"/>
  <c r="AM25" i="16" s="1" a="1"/>
  <c r="AM25" i="16" s="1"/>
  <c r="AI25" i="16" a="1"/>
  <c r="AI25" i="16" s="1"/>
  <c r="AJ25" i="16" s="1" a="1"/>
  <c r="AJ25" i="16" s="1"/>
  <c r="AF245" i="16" a="1"/>
  <c r="AF245" i="16" s="1"/>
  <c r="AN245" i="16" s="1" a="1"/>
  <c r="AN245" i="16" s="1"/>
  <c r="AI179" i="16" a="1"/>
  <c r="AI179" i="16" s="1"/>
  <c r="AJ179" i="16" s="1" a="1"/>
  <c r="AJ179" i="16" s="1"/>
  <c r="AE179" i="16" a="1"/>
  <c r="AE179" i="16" s="1"/>
  <c r="AM179" i="16" s="1" a="1"/>
  <c r="AM179" i="16" s="1"/>
  <c r="AC245" i="16" a="1"/>
  <c r="AC245" i="16" s="1"/>
  <c r="AD245" i="16" s="1" a="1"/>
  <c r="AD245" i="16" s="1"/>
  <c r="AC89" i="16" a="1"/>
  <c r="AC89" i="16" s="1"/>
  <c r="AD89" i="16" s="1" a="1"/>
  <c r="AD89" i="16" s="1"/>
  <c r="AI221" i="16" a="1"/>
  <c r="AI221" i="16" s="1"/>
  <c r="AJ221" i="16" s="1" a="1"/>
  <c r="AJ221" i="16" s="1"/>
  <c r="AE221" i="16" a="1"/>
  <c r="AE221" i="16" s="1"/>
  <c r="AM221" i="16" s="1" a="1"/>
  <c r="AM221" i="16" s="1"/>
  <c r="AC253" i="16" a="1"/>
  <c r="AC253" i="16" s="1"/>
  <c r="AD253" i="16" s="1" a="1"/>
  <c r="AD253" i="16" s="1"/>
  <c r="AF234" i="16" a="1"/>
  <c r="AF234" i="16" s="1"/>
  <c r="AN234" i="16" s="1" a="1"/>
  <c r="AN234" i="16" s="1"/>
  <c r="AC96" i="16" a="1"/>
  <c r="AC96" i="16" s="1"/>
  <c r="AD96" i="16" s="1" a="1"/>
  <c r="AD96" i="16" s="1"/>
  <c r="AF265" i="16" a="1"/>
  <c r="AF265" i="16" s="1"/>
  <c r="AN265" i="16" s="1" a="1"/>
  <c r="AN265" i="16" s="1"/>
  <c r="AF77" i="16" a="1"/>
  <c r="AF77" i="16" s="1"/>
  <c r="AN77" i="16" s="1" a="1"/>
  <c r="AN77" i="16" s="1"/>
  <c r="AC187" i="16" a="1"/>
  <c r="AC187" i="16" s="1"/>
  <c r="AD187" i="16" s="1" a="1"/>
  <c r="AD187" i="16" s="1"/>
  <c r="AI186" i="16" a="1"/>
  <c r="AI186" i="16" s="1"/>
  <c r="AJ186" i="16" s="1" a="1"/>
  <c r="AJ186" i="16" s="1"/>
  <c r="AE186" i="16" a="1"/>
  <c r="AE186" i="16" s="1"/>
  <c r="AM186" i="16" s="1" a="1"/>
  <c r="AM186" i="16" s="1"/>
  <c r="AE17" i="16" a="1"/>
  <c r="AE17" i="16" s="1"/>
  <c r="AM17" i="16" s="1" a="1"/>
  <c r="AM17" i="16" s="1"/>
  <c r="AI17" i="16" a="1"/>
  <c r="AI17" i="16" s="1"/>
  <c r="AJ17" i="16" s="1" a="1"/>
  <c r="AJ17" i="16" s="1"/>
  <c r="AC21" i="16" a="1"/>
  <c r="AC21" i="16" s="1"/>
  <c r="AD21" i="16" s="1" a="1"/>
  <c r="AD21" i="16" s="1"/>
  <c r="AC12" i="16" a="1"/>
  <c r="AC12" i="16" s="1"/>
  <c r="AI35" i="16" a="1"/>
  <c r="AI35" i="16" s="1"/>
  <c r="AJ35" i="16" s="1" a="1"/>
  <c r="AJ35" i="16" s="1"/>
  <c r="AE35" i="16" a="1"/>
  <c r="AE35" i="16" s="1"/>
  <c r="AM35" i="16" s="1" a="1"/>
  <c r="AM35" i="16" s="1"/>
  <c r="AI112" i="16" a="1"/>
  <c r="AI112" i="16" s="1"/>
  <c r="AJ112" i="16" s="1" a="1"/>
  <c r="AJ112" i="16" s="1"/>
  <c r="AE112" i="16" a="1"/>
  <c r="AE112" i="16" s="1"/>
  <c r="AM112" i="16" s="1" a="1"/>
  <c r="AM112" i="16" s="1"/>
  <c r="AC215" i="16" a="1"/>
  <c r="AC215" i="16" s="1"/>
  <c r="AD215" i="16" s="1" a="1"/>
  <c r="AD215" i="16" s="1"/>
  <c r="AI14" i="16" a="1"/>
  <c r="AI14" i="16" s="1"/>
  <c r="AJ14" i="16" s="1" a="1"/>
  <c r="AJ14" i="16" s="1"/>
  <c r="AE14" i="16" a="1"/>
  <c r="AE14" i="16" s="1"/>
  <c r="AM14" i="16" s="1" a="1"/>
  <c r="AM14" i="16" s="1"/>
  <c r="AE203" i="16" a="1"/>
  <c r="AE203" i="16" s="1"/>
  <c r="AM203" i="16" s="1" a="1"/>
  <c r="AM203" i="16" s="1"/>
  <c r="AI203" i="16" a="1"/>
  <c r="AI203" i="16" s="1"/>
  <c r="AJ203" i="16" s="1" a="1"/>
  <c r="AJ203" i="16" s="1"/>
  <c r="AD9" i="16" a="1"/>
  <c r="AD9" i="16" s="1"/>
  <c r="AI230" i="16" a="1"/>
  <c r="AI230" i="16" s="1"/>
  <c r="AJ230" i="16" s="1" a="1"/>
  <c r="AJ230" i="16" s="1"/>
  <c r="AE230" i="16" a="1"/>
  <c r="AE230" i="16" s="1"/>
  <c r="AM230" i="16" s="1" a="1"/>
  <c r="AM230" i="16" s="1"/>
  <c r="AF126" i="16" a="1"/>
  <c r="AF126" i="16" s="1"/>
  <c r="AN126" i="16" s="1" a="1"/>
  <c r="AN126" i="16" s="1"/>
  <c r="AF280" i="16" a="1"/>
  <c r="AF280" i="16" s="1"/>
  <c r="AN280" i="16" s="1" a="1"/>
  <c r="AN280" i="16" s="1"/>
  <c r="AF323" i="16" a="1"/>
  <c r="AF323" i="16" s="1"/>
  <c r="AN323" i="16" s="1" a="1"/>
  <c r="AN323" i="16" s="1"/>
  <c r="AC87" i="16" a="1"/>
  <c r="AC87" i="16" s="1"/>
  <c r="AD87" i="16" s="1" a="1"/>
  <c r="AD87" i="16" s="1"/>
  <c r="AF82" i="16" a="1"/>
  <c r="AF82" i="16" s="1"/>
  <c r="AN82" i="16" s="1" a="1"/>
  <c r="AN82" i="16" s="1"/>
  <c r="AI198" i="16" a="1"/>
  <c r="AI198" i="16" s="1"/>
  <c r="AJ198" i="16" s="1" a="1"/>
  <c r="AJ198" i="16" s="1"/>
  <c r="AE198" i="16" a="1"/>
  <c r="AE198" i="16" s="1"/>
  <c r="AM198" i="16" s="1" a="1"/>
  <c r="AM198" i="16" s="1"/>
  <c r="AC68" i="16" a="1"/>
  <c r="AC68" i="16" s="1"/>
  <c r="AD68" i="16" s="1" a="1"/>
  <c r="AD68" i="16" s="1"/>
  <c r="AI200" i="16" a="1"/>
  <c r="AI200" i="16" s="1"/>
  <c r="AJ200" i="16" s="1" a="1"/>
  <c r="AJ200" i="16" s="1"/>
  <c r="AE200" i="16" a="1"/>
  <c r="AE200" i="16" s="1"/>
  <c r="AM200" i="16" s="1" a="1"/>
  <c r="AM200" i="16" s="1"/>
  <c r="AI177" i="16" a="1"/>
  <c r="AI177" i="16" s="1"/>
  <c r="AJ177" i="16" s="1" a="1"/>
  <c r="AJ177" i="16" s="1"/>
  <c r="AE177" i="16" a="1"/>
  <c r="AE177" i="16" s="1"/>
  <c r="AM177" i="16" s="1" a="1"/>
  <c r="AM177" i="16" s="1"/>
  <c r="AI191" i="16" a="1"/>
  <c r="AI191" i="16" s="1"/>
  <c r="AJ191" i="16" s="1" a="1"/>
  <c r="AJ191" i="16" s="1"/>
  <c r="AE191" i="16" a="1"/>
  <c r="AE191" i="16" s="1"/>
  <c r="AM191" i="16" s="1" a="1"/>
  <c r="AM191" i="16" s="1"/>
  <c r="AC130" i="16" a="1"/>
  <c r="AC130" i="16" s="1"/>
  <c r="AD130" i="16" s="1" a="1"/>
  <c r="AD130" i="16" s="1"/>
  <c r="AI21" i="16" a="1"/>
  <c r="AI21" i="16" s="1"/>
  <c r="AJ21" i="16" s="1" a="1"/>
  <c r="AJ21" i="16" s="1"/>
  <c r="AE21" i="16" a="1"/>
  <c r="AE21" i="16" s="1"/>
  <c r="AM21" i="16" s="1" a="1"/>
  <c r="AM21" i="16" s="1"/>
  <c r="AC22" i="16" a="1"/>
  <c r="AC22" i="16" s="1"/>
  <c r="AC13" i="16" a="1"/>
  <c r="AC13" i="16" s="1"/>
  <c r="AF272" i="16" a="1"/>
  <c r="AF272" i="16" s="1"/>
  <c r="AN272" i="16" s="1" a="1"/>
  <c r="AN272" i="16" s="1"/>
  <c r="AC176" i="16" a="1"/>
  <c r="AC176" i="16" s="1"/>
  <c r="AD176" i="16" s="1" a="1"/>
  <c r="AD176" i="16" s="1"/>
  <c r="AI89" i="16" a="1"/>
  <c r="AI89" i="16" s="1"/>
  <c r="AJ89" i="16" s="1" a="1"/>
  <c r="AJ89" i="16" s="1"/>
  <c r="AE89" i="16" a="1"/>
  <c r="AE89" i="16" s="1"/>
  <c r="AM89" i="16" s="1" a="1"/>
  <c r="AM89" i="16" s="1"/>
  <c r="AC308" i="16" a="1"/>
  <c r="AC308" i="16" s="1"/>
  <c r="AD308" i="16" s="1" a="1"/>
  <c r="AD308" i="16" s="1"/>
  <c r="AC5" i="16" a="1"/>
  <c r="AC5" i="16" s="1"/>
  <c r="AC105" i="16" a="1"/>
  <c r="AC105" i="16" s="1"/>
  <c r="AD105" i="16" s="1" a="1"/>
  <c r="AD105" i="16" s="1"/>
  <c r="AF253" i="16" a="1"/>
  <c r="AF253" i="16" s="1"/>
  <c r="AN253" i="16" s="1" a="1"/>
  <c r="AN253" i="16" s="1"/>
  <c r="AI216" i="16" a="1"/>
  <c r="AI216" i="16" s="1"/>
  <c r="AJ216" i="16" s="1" a="1"/>
  <c r="AJ216" i="16" s="1"/>
  <c r="AE216" i="16" a="1"/>
  <c r="AE216" i="16" s="1"/>
  <c r="AM216" i="16" s="1" a="1"/>
  <c r="AM216" i="16" s="1"/>
  <c r="AC90" i="16" a="1"/>
  <c r="AC90" i="16" s="1"/>
  <c r="AD90" i="16" s="1" a="1"/>
  <c r="AD90" i="16" s="1"/>
  <c r="AF148" i="16" a="1"/>
  <c r="AF148" i="16" s="1"/>
  <c r="AN148" i="16" s="1" a="1"/>
  <c r="AN148" i="16" s="1"/>
  <c r="AC102" i="16" a="1"/>
  <c r="AC102" i="16" s="1"/>
  <c r="AD102" i="16" s="1" a="1"/>
  <c r="AD102" i="16" s="1"/>
  <c r="AC101" i="16" a="1"/>
  <c r="AC101" i="16" s="1"/>
  <c r="AD101" i="16" s="1" a="1"/>
  <c r="AD101" i="16" s="1"/>
  <c r="AI168" i="16" a="1"/>
  <c r="AI168" i="16" s="1"/>
  <c r="AJ168" i="16" s="1" a="1"/>
  <c r="AJ168" i="16" s="1"/>
  <c r="AE168" i="16" a="1"/>
  <c r="AE168" i="16" s="1"/>
  <c r="AM168" i="16" s="1" a="1"/>
  <c r="AM168" i="16" s="1"/>
  <c r="AC317" i="16" a="1"/>
  <c r="AC317" i="16" s="1"/>
  <c r="AD317" i="16" s="1" a="1"/>
  <c r="AD317" i="16" s="1"/>
  <c r="AC243" i="16" a="1"/>
  <c r="AC243" i="16" s="1"/>
  <c r="AD243" i="16" s="1" a="1"/>
  <c r="AD243" i="16" s="1"/>
  <c r="AF279" i="16" a="1"/>
  <c r="AF279" i="16" s="1"/>
  <c r="AN279" i="16" s="1" a="1"/>
  <c r="AN279" i="16" s="1"/>
  <c r="AC280" i="16" a="1"/>
  <c r="AC280" i="16" s="1"/>
  <c r="AD280" i="16" s="1" a="1"/>
  <c r="AD280" i="16" s="1"/>
  <c r="AI16" i="16" a="1"/>
  <c r="AI16" i="16" s="1"/>
  <c r="AJ16" i="16" s="1" a="1"/>
  <c r="AJ16" i="16" s="1"/>
  <c r="AE16" i="16" a="1"/>
  <c r="AE16" i="16" s="1"/>
  <c r="AM16" i="16" s="1" a="1"/>
  <c r="AM16" i="16" s="1"/>
  <c r="AC23" i="16" a="1"/>
  <c r="AC23" i="16" s="1"/>
  <c r="AI303" i="16" a="1"/>
  <c r="AI303" i="16" s="1"/>
  <c r="AJ303" i="16" s="1" a="1"/>
  <c r="AJ303" i="16" s="1"/>
  <c r="AE303" i="16" a="1"/>
  <c r="AE303" i="16" s="1"/>
  <c r="AM303" i="16" s="1" a="1"/>
  <c r="AM303" i="16" s="1"/>
  <c r="AI240" i="16" a="1"/>
  <c r="AI240" i="16" s="1"/>
  <c r="AJ240" i="16" s="1" a="1"/>
  <c r="AJ240" i="16" s="1"/>
  <c r="AE240" i="16" a="1"/>
  <c r="AE240" i="16" s="1"/>
  <c r="AM240" i="16" s="1" a="1"/>
  <c r="AM240" i="16" s="1"/>
  <c r="AI119" i="16" a="1"/>
  <c r="AI119" i="16" s="1"/>
  <c r="AJ119" i="16" s="1" a="1"/>
  <c r="AJ119" i="16" s="1"/>
  <c r="AE119" i="16" a="1"/>
  <c r="AE119" i="16" s="1"/>
  <c r="AM119" i="16" s="1" a="1"/>
  <c r="AM119" i="16" s="1"/>
  <c r="AE227" i="16" a="1"/>
  <c r="AE227" i="16" s="1"/>
  <c r="AM227" i="16" s="1" a="1"/>
  <c r="AM227" i="16" s="1"/>
  <c r="AI227" i="16" a="1"/>
  <c r="AI227" i="16" s="1"/>
  <c r="AJ227" i="16" s="1" a="1"/>
  <c r="AJ227" i="16" s="1"/>
  <c r="AC138" i="16" a="1"/>
  <c r="AC138" i="16" s="1"/>
  <c r="AD138" i="16" s="1" a="1"/>
  <c r="AD138" i="16" s="1"/>
  <c r="AC264" i="16" a="1"/>
  <c r="AC264" i="16" s="1"/>
  <c r="AD264" i="16" s="1" a="1"/>
  <c r="AD264" i="16" s="1"/>
  <c r="AI182" i="16" a="1"/>
  <c r="AI182" i="16" s="1"/>
  <c r="AJ182" i="16" s="1" a="1"/>
  <c r="AJ182" i="16" s="1"/>
  <c r="AE182" i="16" a="1"/>
  <c r="AE182" i="16" s="1"/>
  <c r="AM182" i="16" s="1" a="1"/>
  <c r="AM182" i="16" s="1"/>
  <c r="AE201" i="16" a="1"/>
  <c r="AE201" i="16" s="1"/>
  <c r="AM201" i="16" s="1" a="1"/>
  <c r="AM201" i="16" s="1"/>
  <c r="AI201" i="16" a="1"/>
  <c r="AI201" i="16" s="1"/>
  <c r="AJ201" i="16" s="1" a="1"/>
  <c r="AJ201" i="16" s="1"/>
  <c r="AC85" i="16" a="1"/>
  <c r="AC85" i="16" s="1"/>
  <c r="AD85" i="16" s="1" a="1"/>
  <c r="AD85" i="16" s="1"/>
  <c r="AI183" i="16" a="1"/>
  <c r="AI183" i="16" s="1"/>
  <c r="AJ183" i="16" s="1" a="1"/>
  <c r="AJ183" i="16" s="1"/>
  <c r="AE183" i="16" a="1"/>
  <c r="AE183" i="16" s="1"/>
  <c r="AM183" i="16" s="1" a="1"/>
  <c r="AM183" i="16" s="1"/>
  <c r="AF282" i="16" a="1"/>
  <c r="AF282" i="16" s="1"/>
  <c r="AN282" i="16" s="1" a="1"/>
  <c r="AN282" i="16" s="1"/>
  <c r="AF251" i="16" a="1"/>
  <c r="AF251" i="16" s="1"/>
  <c r="AN251" i="16" s="1" a="1"/>
  <c r="AN251" i="16" s="1"/>
  <c r="AC255" i="16" a="1"/>
  <c r="AC255" i="16" s="1"/>
  <c r="AD255" i="16" s="1" a="1"/>
  <c r="AD255" i="16" s="1"/>
  <c r="AC305" i="16" a="1"/>
  <c r="AC305" i="16" s="1"/>
  <c r="AD305" i="16" s="1" a="1"/>
  <c r="AD305" i="16" s="1"/>
  <c r="AE19" i="16" a="1"/>
  <c r="AE19" i="16" s="1"/>
  <c r="AM19" i="16" s="1" a="1"/>
  <c r="AM19" i="16" s="1"/>
  <c r="AI19" i="16" a="1"/>
  <c r="AI19" i="16" s="1"/>
  <c r="AJ19" i="16" s="1" a="1"/>
  <c r="AJ19" i="16" s="1"/>
  <c r="AI20" i="16" a="1"/>
  <c r="AI20" i="16" s="1"/>
  <c r="AJ20" i="16" s="1" a="1"/>
  <c r="AJ20" i="16" s="1"/>
  <c r="AE20" i="16" a="1"/>
  <c r="AE20" i="16" s="1"/>
  <c r="AM20" i="16" s="1" a="1"/>
  <c r="AM20" i="16" s="1"/>
  <c r="AI18" i="16" a="1"/>
  <c r="AI18" i="16" s="1"/>
  <c r="AJ18" i="16" s="1" a="1"/>
  <c r="AJ18" i="16" s="1"/>
  <c r="AE18" i="16" a="1"/>
  <c r="AE18" i="16" s="1"/>
  <c r="AM18" i="16" s="1" a="1"/>
  <c r="AM18" i="16" s="1"/>
  <c r="AE99" i="16" a="1"/>
  <c r="AE99" i="16" s="1"/>
  <c r="AM99" i="16" s="1" a="1"/>
  <c r="AM99" i="16" s="1"/>
  <c r="AI99" i="16" a="1"/>
  <c r="AI99" i="16" s="1"/>
  <c r="AJ99" i="16" s="1" a="1"/>
  <c r="AJ99" i="16" s="1"/>
  <c r="AE87" i="16" a="1"/>
  <c r="AE87" i="16" s="1"/>
  <c r="AM87" i="16" s="1" a="1"/>
  <c r="AM87" i="16" s="1"/>
  <c r="AI87" i="16" a="1"/>
  <c r="AI87" i="16" s="1"/>
  <c r="AJ87" i="16" s="1" a="1"/>
  <c r="AJ87" i="16" s="1"/>
  <c r="AC278" i="16" a="1"/>
  <c r="AC278" i="16" s="1"/>
  <c r="AD278" i="16" s="1" a="1"/>
  <c r="AD278" i="16" s="1"/>
  <c r="AF247" i="16" a="1"/>
  <c r="AF247" i="16" s="1"/>
  <c r="AN247" i="16" s="1" a="1"/>
  <c r="AN247" i="16" s="1"/>
  <c r="AC234" i="16" a="1"/>
  <c r="AC234" i="16" s="1"/>
  <c r="AD234" i="16" s="1" a="1"/>
  <c r="AD234" i="16" s="1"/>
  <c r="AI184" i="16" a="1"/>
  <c r="AI184" i="16" s="1"/>
  <c r="AJ184" i="16" s="1" a="1"/>
  <c r="AJ184" i="16" s="1"/>
  <c r="AE184" i="16" a="1"/>
  <c r="AE184" i="16" s="1"/>
  <c r="AM184" i="16" s="1" a="1"/>
  <c r="AM184" i="16" s="1"/>
  <c r="AE37" i="16" a="1"/>
  <c r="AE37" i="16" s="1"/>
  <c r="AM37" i="16" s="1" a="1"/>
  <c r="AM37" i="16" s="1"/>
  <c r="AI37" i="16" a="1"/>
  <c r="AI37" i="16" s="1"/>
  <c r="AJ37" i="16" s="1" a="1"/>
  <c r="AJ37" i="16" s="1"/>
  <c r="AF238" i="16" a="1"/>
  <c r="AF238" i="16" s="1"/>
  <c r="AN238" i="16" s="1" a="1"/>
  <c r="AN238" i="16" s="1"/>
  <c r="AC219" i="16" a="1"/>
  <c r="AC219" i="16" s="1"/>
  <c r="AD219" i="16" s="1" a="1"/>
  <c r="AD219" i="16" s="1"/>
  <c r="AI217" i="16" a="1"/>
  <c r="AI217" i="16" s="1"/>
  <c r="AJ217" i="16" s="1" a="1"/>
  <c r="AJ217" i="16" s="1"/>
  <c r="AE217" i="16" a="1"/>
  <c r="AE217" i="16" s="1"/>
  <c r="AM217" i="16" s="1" a="1"/>
  <c r="AM217" i="16" s="1"/>
  <c r="AI174" i="16" a="1"/>
  <c r="AI174" i="16" s="1"/>
  <c r="AJ174" i="16" s="1" a="1"/>
  <c r="AJ174" i="16" s="1"/>
  <c r="AE174" i="16" a="1"/>
  <c r="AE174" i="16" s="1"/>
  <c r="AM174" i="16" s="1" a="1"/>
  <c r="AM174" i="16" s="1"/>
  <c r="AF259" i="16" a="1"/>
  <c r="AF259" i="16" s="1"/>
  <c r="AN259" i="16" s="1" a="1"/>
  <c r="AN259" i="16" s="1"/>
  <c r="AC268" i="16" a="1"/>
  <c r="AC268" i="16" s="1"/>
  <c r="AD268" i="16" s="1" a="1"/>
  <c r="AD268" i="16" s="1"/>
  <c r="AI218" i="16" a="1"/>
  <c r="AI218" i="16" s="1"/>
  <c r="AJ218" i="16" s="1" a="1"/>
  <c r="AJ218" i="16" s="1"/>
  <c r="AE218" i="16" a="1"/>
  <c r="AE218" i="16" s="1"/>
  <c r="AM218" i="16" s="1" a="1"/>
  <c r="AM218" i="16" s="1"/>
  <c r="J322" i="10"/>
  <c r="S322" i="10" s="1"/>
  <c r="J323" i="10"/>
  <c r="K323" i="10" s="1"/>
  <c r="J324" i="10"/>
  <c r="AD100" i="18" l="1"/>
  <c r="AL100" i="18" s="1"/>
  <c r="AF263" i="18"/>
  <c r="AN263" i="18" s="1"/>
  <c r="AM217" i="18"/>
  <c r="AD119" i="18"/>
  <c r="AL119" i="18" s="1"/>
  <c r="AF266" i="16" a="1"/>
  <c r="AF266" i="16" s="1"/>
  <c r="AN266" i="16" s="1" a="1"/>
  <c r="AN266" i="16" s="1"/>
  <c r="AM93" i="18"/>
  <c r="AF147" i="16" a="1"/>
  <c r="AF147" i="16" s="1"/>
  <c r="AN147" i="16" s="1" a="1"/>
  <c r="AN147" i="16" s="1"/>
  <c r="AF314" i="16" a="1"/>
  <c r="AF314" i="16" s="1"/>
  <c r="AN314" i="16" s="1" a="1"/>
  <c r="AN314" i="16" s="1"/>
  <c r="AF100" i="16" a="1"/>
  <c r="AF100" i="16" s="1"/>
  <c r="AN100" i="16" s="1" a="1"/>
  <c r="AN100" i="16" s="1"/>
  <c r="AF90" i="16" a="1"/>
  <c r="AF90" i="16" s="1"/>
  <c r="AN90" i="16" s="1" a="1"/>
  <c r="AN90" i="16" s="1"/>
  <c r="AF118" i="16" a="1"/>
  <c r="AF118" i="16" s="1"/>
  <c r="AN118" i="16" s="1" a="1"/>
  <c r="AN118" i="16" s="1"/>
  <c r="AM233" i="18"/>
  <c r="AD105" i="18"/>
  <c r="AL105" i="18" s="1"/>
  <c r="AF81" i="16" a="1"/>
  <c r="AF81" i="16" s="1"/>
  <c r="AN81" i="16" s="1" a="1"/>
  <c r="AN81" i="16" s="1"/>
  <c r="AF268" i="16" a="1"/>
  <c r="AF268" i="16" s="1"/>
  <c r="AN268" i="16" s="1" a="1"/>
  <c r="AN268" i="16" s="1"/>
  <c r="AF97" i="16" a="1"/>
  <c r="AF97" i="16" s="1"/>
  <c r="AN97" i="16" s="1" a="1"/>
  <c r="AN97" i="16" s="1"/>
  <c r="AM270" i="18"/>
  <c r="AF242" i="16" a="1"/>
  <c r="AF242" i="16" s="1"/>
  <c r="AN242" i="16" s="1" a="1"/>
  <c r="AN242" i="16" s="1"/>
  <c r="AF93" i="16" a="1"/>
  <c r="AF93" i="16" s="1"/>
  <c r="AN93" i="16" s="1" a="1"/>
  <c r="AN93" i="16" s="1"/>
  <c r="AM58" i="18"/>
  <c r="AF141" i="16" a="1"/>
  <c r="AF141" i="16" s="1"/>
  <c r="AN141" i="16" s="1" a="1"/>
  <c r="AN141" i="16" s="1"/>
  <c r="AF66" i="16" a="1"/>
  <c r="AF66" i="16" s="1"/>
  <c r="AN66" i="16" s="1" a="1"/>
  <c r="AN66" i="16" s="1"/>
  <c r="AF306" i="16" a="1"/>
  <c r="AF306" i="16" s="1"/>
  <c r="AN306" i="16" s="1" a="1"/>
  <c r="AN306" i="16" s="1"/>
  <c r="AF241" i="16" a="1"/>
  <c r="AF241" i="16" s="1"/>
  <c r="AN241" i="16" s="1" a="1"/>
  <c r="AN241" i="16" s="1"/>
  <c r="AD144" i="18"/>
  <c r="AL144" i="18" s="1"/>
  <c r="AM278" i="18"/>
  <c r="AM207" i="18"/>
  <c r="AM276" i="18"/>
  <c r="AF249" i="16" a="1"/>
  <c r="AF249" i="16" s="1"/>
  <c r="AN249" i="16" s="1" a="1"/>
  <c r="AN249" i="16" s="1"/>
  <c r="AM213" i="18"/>
  <c r="AF111" i="16" a="1"/>
  <c r="AF111" i="16" s="1"/>
  <c r="AN111" i="16" s="1" a="1"/>
  <c r="AN111" i="16" s="1"/>
  <c r="AF105" i="16" a="1"/>
  <c r="AF105" i="16" s="1"/>
  <c r="AN105" i="16" s="1" a="1"/>
  <c r="AN105" i="16" s="1"/>
  <c r="AM123" i="18"/>
  <c r="AF101" i="16" a="1"/>
  <c r="AF101" i="16" s="1"/>
  <c r="AN101" i="16" s="1" a="1"/>
  <c r="AN101" i="16" s="1"/>
  <c r="AF293" i="16" a="1"/>
  <c r="AF293" i="16" s="1"/>
  <c r="AN293" i="16" s="1" a="1"/>
  <c r="AN293" i="16" s="1"/>
  <c r="AD180" i="18"/>
  <c r="AL180" i="18" s="1"/>
  <c r="AF132" i="16" a="1"/>
  <c r="AF132" i="16" s="1"/>
  <c r="AN132" i="16" s="1" a="1"/>
  <c r="AN132" i="16" s="1"/>
  <c r="AF26" i="16" a="1"/>
  <c r="AF26" i="16" s="1"/>
  <c r="AN26" i="16" s="1" a="1"/>
  <c r="AN26" i="16" s="1"/>
  <c r="AM324" i="18"/>
  <c r="AF325" i="16" a="1"/>
  <c r="AF325" i="16" s="1"/>
  <c r="AN325" i="16" s="1" a="1"/>
  <c r="AN325" i="16" s="1"/>
  <c r="AF38" i="16" a="1"/>
  <c r="AF38" i="16" s="1"/>
  <c r="AN38" i="16" s="1" a="1"/>
  <c r="AN38" i="16" s="1"/>
  <c r="AF296" i="16" a="1"/>
  <c r="AF296" i="16" s="1"/>
  <c r="AN296" i="16" s="1" a="1"/>
  <c r="AN296" i="16" s="1"/>
  <c r="AM171" i="18"/>
  <c r="AF258" i="16" a="1"/>
  <c r="AF258" i="16" s="1"/>
  <c r="AN258" i="16" s="1" a="1"/>
  <c r="AN258" i="16" s="1"/>
  <c r="AF115" i="16" a="1"/>
  <c r="AF115" i="16" s="1"/>
  <c r="AN115" i="16" s="1" a="1"/>
  <c r="AN115" i="16" s="1"/>
  <c r="AD97" i="18"/>
  <c r="AL97" i="18" s="1"/>
  <c r="AD48" i="18"/>
  <c r="AL48" i="18" s="1"/>
  <c r="AF159" i="16" a="1"/>
  <c r="AF159" i="16" s="1"/>
  <c r="AN159" i="16" s="1" a="1"/>
  <c r="AN159" i="16" s="1"/>
  <c r="AF177" i="18"/>
  <c r="AN177" i="18" s="1"/>
  <c r="AF233" i="16" a="1"/>
  <c r="AF233" i="16" s="1"/>
  <c r="AN233" i="16" s="1" a="1"/>
  <c r="AN233" i="16" s="1"/>
  <c r="AF317" i="16" a="1"/>
  <c r="AF317" i="16" s="1"/>
  <c r="AN317" i="16" s="1" a="1"/>
  <c r="AN317" i="16" s="1"/>
  <c r="AF321" i="16" a="1"/>
  <c r="AF321" i="16" s="1"/>
  <c r="AN321" i="16" s="1" a="1"/>
  <c r="AN321" i="16" s="1"/>
  <c r="AF110" i="16" a="1"/>
  <c r="AF110" i="16" s="1"/>
  <c r="AN110" i="16" s="1" a="1"/>
  <c r="AN110" i="16" s="1"/>
  <c r="AF113" i="16" a="1"/>
  <c r="AF113" i="16" s="1"/>
  <c r="AN113" i="16" s="1" a="1"/>
  <c r="AN113" i="16" s="1"/>
  <c r="AF263" i="16" a="1"/>
  <c r="AF263" i="16" s="1"/>
  <c r="AN263" i="16" s="1" a="1"/>
  <c r="AN263" i="16" s="1"/>
  <c r="AF304" i="16" a="1"/>
  <c r="AF304" i="16" s="1"/>
  <c r="AN304" i="16" s="1" a="1"/>
  <c r="AN304" i="16" s="1"/>
  <c r="AF322" i="16" a="1"/>
  <c r="AF322" i="16" s="1"/>
  <c r="AN322" i="16" s="1" a="1"/>
  <c r="AN322" i="16" s="1"/>
  <c r="AM279" i="18"/>
  <c r="AM185" i="18"/>
  <c r="AM288" i="18"/>
  <c r="AF289" i="18"/>
  <c r="AN289" i="18" s="1"/>
  <c r="AF297" i="16" a="1"/>
  <c r="AF297" i="16" s="1"/>
  <c r="AN297" i="16" s="1" a="1"/>
  <c r="AN297" i="16" s="1"/>
  <c r="AD92" i="18"/>
  <c r="AL92" i="18" s="1"/>
  <c r="AF134" i="16" a="1"/>
  <c r="AF134" i="16" s="1"/>
  <c r="AN134" i="16" s="1" a="1"/>
  <c r="AN134" i="16" s="1"/>
  <c r="AF127" i="16" a="1"/>
  <c r="AF127" i="16" s="1"/>
  <c r="AN127" i="16" s="1" a="1"/>
  <c r="AN127" i="16" s="1"/>
  <c r="AF256" i="16" a="1"/>
  <c r="AF256" i="16" s="1"/>
  <c r="AN256" i="16" s="1" a="1"/>
  <c r="AN256" i="16" s="1"/>
  <c r="AF152" i="16" a="1"/>
  <c r="AF152" i="16" s="1"/>
  <c r="AN152" i="16" s="1" a="1"/>
  <c r="AN152" i="16" s="1"/>
  <c r="AM285" i="18"/>
  <c r="AF59" i="16" a="1"/>
  <c r="AF59" i="16" s="1"/>
  <c r="AN59" i="16" s="1" a="1"/>
  <c r="AN59" i="16" s="1"/>
  <c r="AM65" i="18"/>
  <c r="AF122" i="16" a="1"/>
  <c r="AF122" i="16" s="1"/>
  <c r="AN122" i="16" s="1" a="1"/>
  <c r="AN122" i="16" s="1"/>
  <c r="AF65" i="16" a="1"/>
  <c r="AF65" i="16" s="1"/>
  <c r="AN65" i="16" s="1" a="1"/>
  <c r="AN65" i="16" s="1"/>
  <c r="AF239" i="16" a="1"/>
  <c r="AF239" i="16" s="1"/>
  <c r="AN239" i="16" s="1" a="1"/>
  <c r="AN239" i="16" s="1"/>
  <c r="AF48" i="16" a="1"/>
  <c r="AF48" i="16" s="1"/>
  <c r="AN48" i="16" s="1" a="1"/>
  <c r="AN48" i="16" s="1"/>
  <c r="AM115" i="18"/>
  <c r="AF281" i="16" a="1"/>
  <c r="AF281" i="16" s="1"/>
  <c r="AN281" i="16" s="1" a="1"/>
  <c r="AN281" i="16" s="1"/>
  <c r="AF271" i="18"/>
  <c r="AN271" i="18" s="1"/>
  <c r="AD74" i="18"/>
  <c r="AL74" i="18" s="1"/>
  <c r="AF70" i="16" a="1"/>
  <c r="AF70" i="16" s="1"/>
  <c r="AN70" i="16" s="1" a="1"/>
  <c r="AN70" i="16" s="1"/>
  <c r="AF54" i="16" a="1"/>
  <c r="AF54" i="16" s="1"/>
  <c r="AN54" i="16" s="1" a="1"/>
  <c r="AN54" i="16" s="1"/>
  <c r="AF299" i="16" a="1"/>
  <c r="AF299" i="16" s="1"/>
  <c r="AN299" i="16" s="1" a="1"/>
  <c r="AN299" i="16" s="1"/>
  <c r="AM51" i="18"/>
  <c r="AF102" i="16" a="1"/>
  <c r="AF102" i="16" s="1"/>
  <c r="AN102" i="16" s="1" a="1"/>
  <c r="AN102" i="16" s="1"/>
  <c r="AM304" i="18"/>
  <c r="AF36" i="16" a="1"/>
  <c r="AF36" i="16" s="1"/>
  <c r="AN36" i="16" s="1" a="1"/>
  <c r="AN36" i="16" s="1"/>
  <c r="AM157" i="18"/>
  <c r="AM95" i="18"/>
  <c r="AM201" i="18"/>
  <c r="AF226" i="16" a="1"/>
  <c r="AF226" i="16" s="1"/>
  <c r="AN226" i="16" s="1" a="1"/>
  <c r="AN226" i="16" s="1"/>
  <c r="AF311" i="16" a="1"/>
  <c r="AF311" i="16" s="1"/>
  <c r="AN311" i="16" s="1" a="1"/>
  <c r="AN311" i="16" s="1"/>
  <c r="AM45" i="18"/>
  <c r="AF175" i="16" a="1"/>
  <c r="AF175" i="16" s="1"/>
  <c r="AN175" i="16" s="1" a="1"/>
  <c r="AN175" i="16" s="1"/>
  <c r="AD209" i="18"/>
  <c r="AL209" i="18" s="1"/>
  <c r="AF129" i="16" a="1"/>
  <c r="AF129" i="16" s="1"/>
  <c r="AN129" i="16" s="1" a="1"/>
  <c r="AN129" i="16" s="1"/>
  <c r="AM291" i="18"/>
  <c r="AD78" i="18"/>
  <c r="AL78" i="18" s="1"/>
  <c r="AF267" i="16" a="1"/>
  <c r="AF267" i="16" s="1"/>
  <c r="AN267" i="16" s="1" a="1"/>
  <c r="AN267" i="16" s="1"/>
  <c r="AM89" i="18"/>
  <c r="AM323" i="18"/>
  <c r="AF158" i="16" a="1"/>
  <c r="AF158" i="16" s="1"/>
  <c r="AN158" i="16" s="1" a="1"/>
  <c r="AN158" i="16" s="1"/>
  <c r="AM274" i="18"/>
  <c r="AF257" i="16" a="1"/>
  <c r="AF257" i="16" s="1"/>
  <c r="AN257" i="16" s="1" a="1"/>
  <c r="AN257" i="16" s="1"/>
  <c r="AD294" i="18"/>
  <c r="AL294" i="18" s="1"/>
  <c r="AM111" i="18"/>
  <c r="AF315" i="16" a="1"/>
  <c r="AF315" i="16" s="1"/>
  <c r="AN315" i="16" s="1" a="1"/>
  <c r="AN315" i="16" s="1"/>
  <c r="AF166" i="16" a="1"/>
  <c r="AF166" i="16" s="1"/>
  <c r="AN166" i="16" s="1" a="1"/>
  <c r="AN166" i="16" s="1"/>
  <c r="AM54" i="18"/>
  <c r="AM69" i="18"/>
  <c r="AF294" i="16" a="1"/>
  <c r="AF294" i="16" s="1"/>
  <c r="AN294" i="16" s="1" a="1"/>
  <c r="AN294" i="16" s="1"/>
  <c r="AM262" i="18"/>
  <c r="AF244" i="16" a="1"/>
  <c r="AF244" i="16" s="1"/>
  <c r="AN244" i="16" s="1" a="1"/>
  <c r="AN244" i="16" s="1"/>
  <c r="AF310" i="16" a="1"/>
  <c r="AF310" i="16" s="1"/>
  <c r="AN310" i="16" s="1" a="1"/>
  <c r="AN310" i="16" s="1"/>
  <c r="AD118" i="18"/>
  <c r="AL118" i="18" s="1"/>
  <c r="AM38" i="18"/>
  <c r="AD54" i="18"/>
  <c r="AL54" i="18" s="1"/>
  <c r="AF156" i="16" a="1"/>
  <c r="AF156" i="16" s="1"/>
  <c r="AN156" i="16" s="1" a="1"/>
  <c r="AN156" i="16" s="1"/>
  <c r="AF51" i="16" a="1"/>
  <c r="AF51" i="16" s="1"/>
  <c r="AN51" i="16" s="1" a="1"/>
  <c r="AN51" i="16" s="1"/>
  <c r="AF43" i="16" a="1"/>
  <c r="AF43" i="16" s="1"/>
  <c r="AN43" i="16" s="1" a="1"/>
  <c r="AN43" i="16" s="1"/>
  <c r="AF316" i="16" a="1"/>
  <c r="AF316" i="16" s="1"/>
  <c r="AN316" i="16" s="1" a="1"/>
  <c r="AN316" i="16" s="1"/>
  <c r="AF219" i="16" a="1"/>
  <c r="AF219" i="16" s="1"/>
  <c r="AN219" i="16" s="1" a="1"/>
  <c r="AN219" i="16" s="1"/>
  <c r="AM181" i="18"/>
  <c r="AF169" i="16" a="1"/>
  <c r="AF169" i="16" s="1"/>
  <c r="AN169" i="16" s="1" a="1"/>
  <c r="AN169" i="16" s="1"/>
  <c r="AF52" i="16" a="1"/>
  <c r="AF52" i="16" s="1"/>
  <c r="AN52" i="16" s="1" a="1"/>
  <c r="AN52" i="16" s="1"/>
  <c r="AD299" i="18"/>
  <c r="AL299" i="18" s="1"/>
  <c r="AM287" i="18"/>
  <c r="AF142" i="16" a="1"/>
  <c r="AF142" i="16" s="1"/>
  <c r="AN142" i="16" s="1" a="1"/>
  <c r="AN142" i="16" s="1"/>
  <c r="AD217" i="18"/>
  <c r="AL217" i="18" s="1"/>
  <c r="AF160" i="16" a="1"/>
  <c r="AF160" i="16" s="1"/>
  <c r="AN160" i="16" s="1" a="1"/>
  <c r="AN160" i="16" s="1"/>
  <c r="AF137" i="16" a="1"/>
  <c r="AF137" i="16" s="1"/>
  <c r="AN137" i="16" s="1" a="1"/>
  <c r="AN137" i="16" s="1"/>
  <c r="AF232" i="16" a="1"/>
  <c r="AF232" i="16" s="1"/>
  <c r="AN232" i="16" s="1" a="1"/>
  <c r="AN232" i="16" s="1"/>
  <c r="AF88" i="16" a="1"/>
  <c r="AF88" i="16" s="1"/>
  <c r="AN88" i="16" s="1" a="1"/>
  <c r="AN88" i="16" s="1"/>
  <c r="AD243" i="18"/>
  <c r="AL243" i="18" s="1"/>
  <c r="AF224" i="18"/>
  <c r="AN224" i="18" s="1"/>
  <c r="AD68" i="18"/>
  <c r="AL68" i="18" s="1"/>
  <c r="AD56" i="18"/>
  <c r="AL56" i="18" s="1"/>
  <c r="AD157" i="18"/>
  <c r="AL157" i="18" s="1"/>
  <c r="AD39" i="18"/>
  <c r="AL39" i="18" s="1"/>
  <c r="AD225" i="18"/>
  <c r="AL225" i="18" s="1"/>
  <c r="AD238" i="18"/>
  <c r="AL238" i="18" s="1"/>
  <c r="AD310" i="18"/>
  <c r="AL310" i="18" s="1"/>
  <c r="AD170" i="18"/>
  <c r="AL170" i="18" s="1"/>
  <c r="AD71" i="18"/>
  <c r="AL71" i="18" s="1"/>
  <c r="AD183" i="18"/>
  <c r="AL183" i="18" s="1"/>
  <c r="AD167" i="18"/>
  <c r="AL167" i="18" s="1"/>
  <c r="AF112" i="18"/>
  <c r="AN112" i="18" s="1"/>
  <c r="AD268" i="18"/>
  <c r="AL268" i="18" s="1"/>
  <c r="AF128" i="18"/>
  <c r="AN128" i="18" s="1"/>
  <c r="AF284" i="18"/>
  <c r="AN284" i="18" s="1"/>
  <c r="AD270" i="18"/>
  <c r="AL270" i="18" s="1"/>
  <c r="AD224" i="18"/>
  <c r="AL224" i="18" s="1"/>
  <c r="AD59" i="18"/>
  <c r="AL59" i="18" s="1"/>
  <c r="AD138" i="18"/>
  <c r="AL138" i="18" s="1"/>
  <c r="AD201" i="18"/>
  <c r="AL201" i="18" s="1"/>
  <c r="AF270" i="16" a="1"/>
  <c r="AF270" i="16" s="1"/>
  <c r="AN270" i="16" s="1" a="1"/>
  <c r="AN270" i="16" s="1"/>
  <c r="AF254" i="16" a="1"/>
  <c r="AF254" i="16" s="1"/>
  <c r="AN254" i="16" s="1" a="1"/>
  <c r="AN254" i="16" s="1"/>
  <c r="AD120" i="18"/>
  <c r="AL120" i="18" s="1"/>
  <c r="AD200" i="18"/>
  <c r="AL200" i="18" s="1"/>
  <c r="AD255" i="18"/>
  <c r="AL255" i="18" s="1"/>
  <c r="AD70" i="18"/>
  <c r="AL70" i="18" s="1"/>
  <c r="AD101" i="18"/>
  <c r="AL101" i="18" s="1"/>
  <c r="AD325" i="18"/>
  <c r="AL325" i="18" s="1"/>
  <c r="AF240" i="18"/>
  <c r="AN240" i="18" s="1"/>
  <c r="AD55" i="18"/>
  <c r="AL55" i="18" s="1"/>
  <c r="AF208" i="18"/>
  <c r="AN208" i="18" s="1"/>
  <c r="AD147" i="18"/>
  <c r="AL147" i="18" s="1"/>
  <c r="AF192" i="18"/>
  <c r="AN192" i="18" s="1"/>
  <c r="AF176" i="18"/>
  <c r="AN176" i="18" s="1"/>
  <c r="AD46" i="18"/>
  <c r="AL46" i="18" s="1"/>
  <c r="AD175" i="18"/>
  <c r="AL175" i="18" s="1"/>
  <c r="AD99" i="18"/>
  <c r="AL99" i="18" s="1"/>
  <c r="AD221" i="18"/>
  <c r="AL221" i="18" s="1"/>
  <c r="AD186" i="18"/>
  <c r="AL186" i="18" s="1"/>
  <c r="AD134" i="18"/>
  <c r="AL134" i="18" s="1"/>
  <c r="AD233" i="18"/>
  <c r="AL233" i="18" s="1"/>
  <c r="AD182" i="18"/>
  <c r="AL182" i="18" s="1"/>
  <c r="AF64" i="18"/>
  <c r="AN64" i="18" s="1"/>
  <c r="AD173" i="18"/>
  <c r="AL173" i="18" s="1"/>
  <c r="AD160" i="18"/>
  <c r="AL160" i="18" s="1"/>
  <c r="AD229" i="18"/>
  <c r="AL229" i="18" s="1"/>
  <c r="AD159" i="18"/>
  <c r="AL159" i="18" s="1"/>
  <c r="AD140" i="18"/>
  <c r="AL140" i="18" s="1"/>
  <c r="AD300" i="18"/>
  <c r="AL300" i="18" s="1"/>
  <c r="AD91" i="18"/>
  <c r="AL91" i="18" s="1"/>
  <c r="AD236" i="18"/>
  <c r="AL236" i="18" s="1"/>
  <c r="AD203" i="18"/>
  <c r="AL203" i="18" s="1"/>
  <c r="AD187" i="18"/>
  <c r="AL187" i="18" s="1"/>
  <c r="AD306" i="18"/>
  <c r="AL306" i="18" s="1"/>
  <c r="AD145" i="18"/>
  <c r="AL145" i="18" s="1"/>
  <c r="AD129" i="18"/>
  <c r="AL129" i="18" s="1"/>
  <c r="AF220" i="18"/>
  <c r="AN220" i="18" s="1"/>
  <c r="AM220" i="18"/>
  <c r="AF90" i="18"/>
  <c r="AN90" i="18" s="1"/>
  <c r="AM90" i="18"/>
  <c r="AF133" i="18"/>
  <c r="AN133" i="18" s="1"/>
  <c r="AM133" i="18"/>
  <c r="AF251" i="18"/>
  <c r="AN251" i="18" s="1"/>
  <c r="AM251" i="18"/>
  <c r="AF55" i="18"/>
  <c r="AN55" i="18" s="1"/>
  <c r="AM55" i="18"/>
  <c r="AD103" i="18"/>
  <c r="AL103" i="18" s="1"/>
  <c r="AF238" i="18"/>
  <c r="AN238" i="18" s="1"/>
  <c r="AM238" i="18"/>
  <c r="AF261" i="18"/>
  <c r="AN261" i="18" s="1"/>
  <c r="AM261" i="18"/>
  <c r="AD259" i="18"/>
  <c r="AL259" i="18" s="1"/>
  <c r="AF315" i="18"/>
  <c r="AN315" i="18" s="1"/>
  <c r="AM315" i="18"/>
  <c r="AF293" i="18"/>
  <c r="AN293" i="18" s="1"/>
  <c r="AM293" i="18"/>
  <c r="AD60" i="18"/>
  <c r="AL60" i="18" s="1"/>
  <c r="AF186" i="18"/>
  <c r="AN186" i="18" s="1"/>
  <c r="AM186" i="18"/>
  <c r="AF269" i="18"/>
  <c r="AN269" i="18" s="1"/>
  <c r="AM269" i="18"/>
  <c r="AD83" i="18"/>
  <c r="AL83" i="18" s="1"/>
  <c r="AF230" i="18"/>
  <c r="AN230" i="18" s="1"/>
  <c r="AM230" i="18"/>
  <c r="AF269" i="16" a="1"/>
  <c r="AF269" i="16" s="1"/>
  <c r="AN269" i="16" s="1" a="1"/>
  <c r="AN269" i="16" s="1"/>
  <c r="AD168" i="18"/>
  <c r="AL168" i="18" s="1"/>
  <c r="AF113" i="18"/>
  <c r="AN113" i="18" s="1"/>
  <c r="AM113" i="18"/>
  <c r="AF252" i="18"/>
  <c r="AN252" i="18" s="1"/>
  <c r="AM252" i="18"/>
  <c r="AF194" i="18"/>
  <c r="AN194" i="18" s="1"/>
  <c r="AM194" i="18"/>
  <c r="AF178" i="18"/>
  <c r="AN178" i="18" s="1"/>
  <c r="AM178" i="18"/>
  <c r="AF247" i="18"/>
  <c r="AN247" i="18" s="1"/>
  <c r="AM247" i="18"/>
  <c r="AF173" i="18"/>
  <c r="AN173" i="18" s="1"/>
  <c r="AM173" i="18"/>
  <c r="AF130" i="18"/>
  <c r="AN130" i="18" s="1"/>
  <c r="AM130" i="18"/>
  <c r="AF250" i="18"/>
  <c r="AN250" i="18" s="1"/>
  <c r="AM250" i="18"/>
  <c r="AF139" i="18"/>
  <c r="AN139" i="18" s="1"/>
  <c r="AM139" i="18"/>
  <c r="AF151" i="18"/>
  <c r="AN151" i="18" s="1"/>
  <c r="AM151" i="18"/>
  <c r="AF164" i="18"/>
  <c r="AN164" i="18" s="1"/>
  <c r="AM164" i="18"/>
  <c r="AF227" i="18"/>
  <c r="AN227" i="18" s="1"/>
  <c r="AM227" i="18"/>
  <c r="AD148" i="18"/>
  <c r="AL148" i="18" s="1"/>
  <c r="AD301" i="18"/>
  <c r="AL301" i="18" s="1"/>
  <c r="AD206" i="18"/>
  <c r="AL206" i="18" s="1"/>
  <c r="AF254" i="18"/>
  <c r="AN254" i="18" s="1"/>
  <c r="AM254" i="18"/>
  <c r="AD247" i="18"/>
  <c r="AL247" i="18" s="1"/>
  <c r="AF172" i="18"/>
  <c r="AN172" i="18" s="1"/>
  <c r="AM172" i="18"/>
  <c r="AF290" i="18"/>
  <c r="AN290" i="18" s="1"/>
  <c r="AM290" i="18"/>
  <c r="AF108" i="18"/>
  <c r="AN108" i="18" s="1"/>
  <c r="AM108" i="18"/>
  <c r="AF282" i="18"/>
  <c r="AN282" i="18" s="1"/>
  <c r="AM282" i="18"/>
  <c r="AF87" i="18"/>
  <c r="AN87" i="18" s="1"/>
  <c r="AM87" i="18"/>
  <c r="AF245" i="18"/>
  <c r="AN245" i="18" s="1"/>
  <c r="AM245" i="18"/>
  <c r="AF197" i="18"/>
  <c r="AN197" i="18" s="1"/>
  <c r="AM197" i="18"/>
  <c r="AF313" i="18"/>
  <c r="AN313" i="18" s="1"/>
  <c r="AM313" i="18"/>
  <c r="AD269" i="18"/>
  <c r="AL269" i="18" s="1"/>
  <c r="AD289" i="18"/>
  <c r="AL289" i="18" s="1"/>
  <c r="AF155" i="18"/>
  <c r="AN155" i="18" s="1"/>
  <c r="AM155" i="18"/>
  <c r="AF122" i="18"/>
  <c r="AN122" i="18" s="1"/>
  <c r="AM122" i="18"/>
  <c r="AD194" i="18"/>
  <c r="AL194" i="18" s="1"/>
  <c r="AF199" i="18"/>
  <c r="AN199" i="18" s="1"/>
  <c r="AM199" i="18"/>
  <c r="AF168" i="18"/>
  <c r="AN168" i="18" s="1"/>
  <c r="AM168" i="18"/>
  <c r="AF88" i="18"/>
  <c r="AN88" i="18" s="1"/>
  <c r="AM88" i="18"/>
  <c r="AF68" i="18"/>
  <c r="AN68" i="18" s="1"/>
  <c r="AM68" i="18"/>
  <c r="AF180" i="18"/>
  <c r="AN180" i="18" s="1"/>
  <c r="AM180" i="18"/>
  <c r="AF306" i="18"/>
  <c r="AN306" i="18" s="1"/>
  <c r="AM306" i="18"/>
  <c r="AF249" i="18"/>
  <c r="AN249" i="18" s="1"/>
  <c r="AM249" i="18"/>
  <c r="AD313" i="18"/>
  <c r="AL313" i="18" s="1"/>
  <c r="AF82" i="18"/>
  <c r="AN82" i="18" s="1"/>
  <c r="AM82" i="18"/>
  <c r="AF314" i="18"/>
  <c r="AN314" i="18" s="1"/>
  <c r="AM314" i="18"/>
  <c r="AD317" i="18"/>
  <c r="AL317" i="18" s="1"/>
  <c r="AD212" i="18"/>
  <c r="AL212" i="18" s="1"/>
  <c r="AF148" i="18"/>
  <c r="AN148" i="18" s="1"/>
  <c r="AM148" i="18"/>
  <c r="AF307" i="18"/>
  <c r="AN307" i="18" s="1"/>
  <c r="AM307" i="18"/>
  <c r="AF126" i="18"/>
  <c r="AN126" i="18" s="1"/>
  <c r="AM126" i="18"/>
  <c r="AD65" i="18"/>
  <c r="AL65" i="18" s="1"/>
  <c r="AF302" i="18"/>
  <c r="AN302" i="18" s="1"/>
  <c r="AM302" i="18"/>
  <c r="AF321" i="18"/>
  <c r="AN321" i="18" s="1"/>
  <c r="AM321" i="18"/>
  <c r="AF162" i="18"/>
  <c r="AN162" i="18" s="1"/>
  <c r="AM162" i="18"/>
  <c r="AD112" i="18"/>
  <c r="AL112" i="18" s="1"/>
  <c r="AF76" i="18"/>
  <c r="AN76" i="18" s="1"/>
  <c r="AM76" i="18"/>
  <c r="AF320" i="18"/>
  <c r="AN320" i="18" s="1"/>
  <c r="AM320" i="18"/>
  <c r="AF281" i="18"/>
  <c r="AN281" i="18" s="1"/>
  <c r="AM281" i="18"/>
  <c r="AF44" i="18"/>
  <c r="AN44" i="18" s="1"/>
  <c r="AM44" i="18"/>
  <c r="AF219" i="18"/>
  <c r="AN219" i="18" s="1"/>
  <c r="AM219" i="18"/>
  <c r="AF268" i="18"/>
  <c r="AN268" i="18" s="1"/>
  <c r="AM268" i="18"/>
  <c r="AF105" i="18"/>
  <c r="AN105" i="18" s="1"/>
  <c r="AM105" i="18"/>
  <c r="AF312" i="18"/>
  <c r="AN312" i="18" s="1"/>
  <c r="AM312" i="18"/>
  <c r="AD153" i="18"/>
  <c r="AL153" i="18" s="1"/>
  <c r="AF234" i="18"/>
  <c r="AN234" i="18" s="1"/>
  <c r="AM234" i="18"/>
  <c r="AD152" i="18"/>
  <c r="AL152" i="18" s="1"/>
  <c r="AF255" i="18"/>
  <c r="AN255" i="18" s="1"/>
  <c r="AM255" i="18"/>
  <c r="AD79" i="18"/>
  <c r="AL79" i="18" s="1"/>
  <c r="AF216" i="18"/>
  <c r="AN216" i="18" s="1"/>
  <c r="AM216" i="18"/>
  <c r="AD151" i="18"/>
  <c r="AL151" i="18" s="1"/>
  <c r="AF59" i="18"/>
  <c r="AN59" i="18" s="1"/>
  <c r="AM59" i="18"/>
  <c r="AF46" i="18"/>
  <c r="AN46" i="18" s="1"/>
  <c r="AM46" i="18"/>
  <c r="AF309" i="18"/>
  <c r="AN309" i="18" s="1"/>
  <c r="AM309" i="18"/>
  <c r="AF182" i="18"/>
  <c r="AN182" i="18" s="1"/>
  <c r="AM182" i="18"/>
  <c r="AF127" i="18"/>
  <c r="AN127" i="18" s="1"/>
  <c r="AM127" i="18"/>
  <c r="AD190" i="18"/>
  <c r="AL190" i="18" s="1"/>
  <c r="AF166" i="18"/>
  <c r="AN166" i="18" s="1"/>
  <c r="AM166" i="18"/>
  <c r="AF198" i="18"/>
  <c r="AN198" i="18" s="1"/>
  <c r="AM198" i="18"/>
  <c r="AF200" i="18"/>
  <c r="AN200" i="18" s="1"/>
  <c r="AM200" i="18"/>
  <c r="AD45" i="18"/>
  <c r="AL45" i="18" s="1"/>
  <c r="AD62" i="18"/>
  <c r="AL62" i="18" s="1"/>
  <c r="AF116" i="18"/>
  <c r="AN116" i="18" s="1"/>
  <c r="AM116" i="18"/>
  <c r="AD131" i="18"/>
  <c r="AL131" i="18" s="1"/>
  <c r="AD245" i="18"/>
  <c r="AL245" i="18" s="1"/>
  <c r="AF310" i="18"/>
  <c r="AN310" i="18" s="1"/>
  <c r="AM310" i="18"/>
  <c r="AF221" i="18"/>
  <c r="AN221" i="18" s="1"/>
  <c r="AM221" i="18"/>
  <c r="AF174" i="18"/>
  <c r="AN174" i="18" s="1"/>
  <c r="AM174" i="18"/>
  <c r="AF212" i="18"/>
  <c r="AN212" i="18" s="1"/>
  <c r="AM212" i="18"/>
  <c r="AF259" i="18"/>
  <c r="AN259" i="18" s="1"/>
  <c r="AM259" i="18"/>
  <c r="AF143" i="18"/>
  <c r="AN143" i="18" s="1"/>
  <c r="AM143" i="18"/>
  <c r="AF223" i="18"/>
  <c r="AN223" i="18" s="1"/>
  <c r="AM223" i="18"/>
  <c r="AF77" i="18"/>
  <c r="AN77" i="18" s="1"/>
  <c r="AM77" i="18"/>
  <c r="AF98" i="18"/>
  <c r="AN98" i="18" s="1"/>
  <c r="AM98" i="18"/>
  <c r="AF136" i="18"/>
  <c r="AN136" i="18" s="1"/>
  <c r="AM136" i="18"/>
  <c r="AF52" i="18"/>
  <c r="AN52" i="18" s="1"/>
  <c r="AM52" i="18"/>
  <c r="AF125" i="18"/>
  <c r="AN125" i="18" s="1"/>
  <c r="AM125" i="18"/>
  <c r="AF152" i="18"/>
  <c r="AN152" i="18" s="1"/>
  <c r="AM152" i="18"/>
  <c r="AF295" i="18"/>
  <c r="AN295" i="18" s="1"/>
  <c r="AM295" i="18"/>
  <c r="AF229" i="18"/>
  <c r="AN229" i="18" s="1"/>
  <c r="AM229" i="18"/>
  <c r="AD258" i="18"/>
  <c r="AL258" i="18" s="1"/>
  <c r="AD285" i="18"/>
  <c r="AL285" i="18" s="1"/>
  <c r="AD314" i="18"/>
  <c r="AL314" i="18" s="1"/>
  <c r="AD135" i="18"/>
  <c r="AL135" i="18" s="1"/>
  <c r="AF117" i="18"/>
  <c r="AN117" i="18" s="1"/>
  <c r="AM117" i="18"/>
  <c r="AD63" i="18"/>
  <c r="AL63" i="18" s="1"/>
  <c r="AD276" i="18"/>
  <c r="AL276" i="18" s="1"/>
  <c r="AD142" i="18"/>
  <c r="AL142" i="18" s="1"/>
  <c r="AD67" i="18"/>
  <c r="AL67" i="18" s="1"/>
  <c r="AF137" i="18"/>
  <c r="AN137" i="18" s="1"/>
  <c r="AM137" i="18"/>
  <c r="AF160" i="18"/>
  <c r="AN160" i="18" s="1"/>
  <c r="AF235" i="18"/>
  <c r="AN235" i="18" s="1"/>
  <c r="AM235" i="18"/>
  <c r="AD297" i="18"/>
  <c r="AL297" i="18" s="1"/>
  <c r="AD246" i="18"/>
  <c r="AL246" i="18" s="1"/>
  <c r="AF140" i="18"/>
  <c r="AN140" i="18" s="1"/>
  <c r="AM140" i="18"/>
  <c r="AF187" i="18"/>
  <c r="AN187" i="18" s="1"/>
  <c r="AM187" i="18"/>
  <c r="AF209" i="18"/>
  <c r="AN209" i="18" s="1"/>
  <c r="AM209" i="18"/>
  <c r="AF273" i="18"/>
  <c r="AN273" i="18" s="1"/>
  <c r="AM273" i="18"/>
  <c r="AF56" i="18"/>
  <c r="AN56" i="18" s="1"/>
  <c r="AM56" i="18"/>
  <c r="AF106" i="18"/>
  <c r="AN106" i="18" s="1"/>
  <c r="AM106" i="18"/>
  <c r="AF114" i="18"/>
  <c r="AN114" i="18" s="1"/>
  <c r="AM114" i="18"/>
  <c r="AF150" i="18"/>
  <c r="AN150" i="18" s="1"/>
  <c r="AM150" i="18"/>
  <c r="AF286" i="18"/>
  <c r="AN286" i="18" s="1"/>
  <c r="AM286" i="18"/>
  <c r="AF71" i="18"/>
  <c r="AN71" i="18" s="1"/>
  <c r="AM71" i="18"/>
  <c r="AF43" i="18"/>
  <c r="AN43" i="18" s="1"/>
  <c r="AM43" i="18"/>
  <c r="AF190" i="18"/>
  <c r="AN190" i="18" s="1"/>
  <c r="AM190" i="18"/>
  <c r="AD44" i="18"/>
  <c r="AL44" i="18" s="1"/>
  <c r="AD315" i="18"/>
  <c r="AL315" i="18" s="1"/>
  <c r="AD181" i="18"/>
  <c r="AL181" i="18" s="1"/>
  <c r="AD128" i="18"/>
  <c r="AL128" i="18" s="1"/>
  <c r="AF73" i="18"/>
  <c r="AN73" i="18" s="1"/>
  <c r="AM73" i="18"/>
  <c r="AF297" i="18"/>
  <c r="AN297" i="18" s="1"/>
  <c r="AM297" i="18"/>
  <c r="AF248" i="18"/>
  <c r="AN248" i="18" s="1"/>
  <c r="AM248" i="18"/>
  <c r="AF101" i="18"/>
  <c r="AN101" i="18" s="1"/>
  <c r="AM101" i="18"/>
  <c r="AF167" i="18"/>
  <c r="AN167" i="18" s="1"/>
  <c r="AM167" i="18"/>
  <c r="AF283" i="18"/>
  <c r="AN283" i="18" s="1"/>
  <c r="AM283" i="18"/>
  <c r="AF226" i="18"/>
  <c r="AN226" i="18" s="1"/>
  <c r="AM226" i="18"/>
  <c r="AF110" i="18"/>
  <c r="AN110" i="18" s="1"/>
  <c r="AM110" i="18"/>
  <c r="AF131" i="18"/>
  <c r="AN131" i="18" s="1"/>
  <c r="AM131" i="18"/>
  <c r="AF179" i="18"/>
  <c r="AN179" i="18" s="1"/>
  <c r="AM179" i="18"/>
  <c r="AF170" i="18"/>
  <c r="AN170" i="18" s="1"/>
  <c r="AM170" i="18"/>
  <c r="AF243" i="18"/>
  <c r="AN243" i="18" s="1"/>
  <c r="AM243" i="18"/>
  <c r="AF236" i="18"/>
  <c r="AN236" i="18" s="1"/>
  <c r="AM236" i="18"/>
  <c r="AD169" i="18"/>
  <c r="AL169" i="18" s="1"/>
  <c r="AD272" i="18"/>
  <c r="AL272" i="18" s="1"/>
  <c r="AD155" i="18"/>
  <c r="AL155" i="18" s="1"/>
  <c r="AF96" i="18"/>
  <c r="AN96" i="18" s="1"/>
  <c r="AF50" i="18"/>
  <c r="AN50" i="18" s="1"/>
  <c r="AM50" i="18"/>
  <c r="AD161" i="18"/>
  <c r="AL161" i="18" s="1"/>
  <c r="AD104" i="18"/>
  <c r="AL104" i="18" s="1"/>
  <c r="AD305" i="18"/>
  <c r="AL305" i="18" s="1"/>
  <c r="AF72" i="18"/>
  <c r="AN72" i="18" s="1"/>
  <c r="AM72" i="18"/>
  <c r="AD164" i="18"/>
  <c r="AL164" i="18" s="1"/>
  <c r="AD95" i="18"/>
  <c r="AL95" i="18" s="1"/>
  <c r="AD77" i="18"/>
  <c r="AL77" i="18" s="1"/>
  <c r="AD218" i="18"/>
  <c r="AL218" i="18" s="1"/>
  <c r="AF292" i="18"/>
  <c r="AN292" i="18" s="1"/>
  <c r="AM292" i="18"/>
  <c r="AF39" i="18"/>
  <c r="AN39" i="18" s="1"/>
  <c r="AM39" i="18"/>
  <c r="AF241" i="18"/>
  <c r="AN241" i="18" s="1"/>
  <c r="AM241" i="18"/>
  <c r="AF246" i="18"/>
  <c r="AN246" i="18" s="1"/>
  <c r="AM246" i="18"/>
  <c r="AF258" i="18"/>
  <c r="AN258" i="18" s="1"/>
  <c r="AM258" i="18"/>
  <c r="AF214" i="18"/>
  <c r="AN214" i="18" s="1"/>
  <c r="AM214" i="18"/>
  <c r="AF84" i="18"/>
  <c r="AN84" i="18" s="1"/>
  <c r="AM84" i="18"/>
  <c r="AF218" i="18"/>
  <c r="AN218" i="18" s="1"/>
  <c r="AM218" i="18"/>
  <c r="AF193" i="18"/>
  <c r="AN193" i="18" s="1"/>
  <c r="AM193" i="18"/>
  <c r="AF135" i="18"/>
  <c r="AN135" i="18" s="1"/>
  <c r="AM135" i="18"/>
  <c r="AF156" i="18"/>
  <c r="AN156" i="18" s="1"/>
  <c r="AM156" i="18"/>
  <c r="AF318" i="18"/>
  <c r="AN318" i="18" s="1"/>
  <c r="AM318" i="18"/>
  <c r="AF120" i="18"/>
  <c r="AN120" i="18" s="1"/>
  <c r="AM120" i="18"/>
  <c r="AF92" i="18"/>
  <c r="AN92" i="18" s="1"/>
  <c r="AM92" i="18"/>
  <c r="AF298" i="18"/>
  <c r="AN298" i="18" s="1"/>
  <c r="AM298" i="18"/>
  <c r="AF228" i="18"/>
  <c r="AN228" i="18" s="1"/>
  <c r="AM228" i="18"/>
  <c r="AF275" i="18"/>
  <c r="AN275" i="18" s="1"/>
  <c r="AM275" i="18"/>
  <c r="AF70" i="18"/>
  <c r="AN70" i="18" s="1"/>
  <c r="AM70" i="18"/>
  <c r="AF232" i="18"/>
  <c r="AN232" i="18" s="1"/>
  <c r="AM232" i="18"/>
  <c r="AD210" i="18"/>
  <c r="AL210" i="18" s="1"/>
  <c r="AD320" i="18"/>
  <c r="AL320" i="18" s="1"/>
  <c r="AD53" i="18"/>
  <c r="AL53" i="18" s="1"/>
  <c r="AF196" i="18"/>
  <c r="AN196" i="18" s="1"/>
  <c r="AM196" i="18"/>
  <c r="AD312" i="18"/>
  <c r="AL312" i="18" s="1"/>
  <c r="AD321" i="18"/>
  <c r="AL321" i="18" s="1"/>
  <c r="AD264" i="18"/>
  <c r="AL264" i="18" s="1"/>
  <c r="AF138" i="18"/>
  <c r="AN138" i="18" s="1"/>
  <c r="AM138" i="18"/>
  <c r="AF184" i="18"/>
  <c r="AN184" i="18" s="1"/>
  <c r="AM184" i="18"/>
  <c r="AD189" i="18"/>
  <c r="AL189" i="18" s="1"/>
  <c r="AF153" i="18"/>
  <c r="AN153" i="18" s="1"/>
  <c r="AM153" i="18"/>
  <c r="AF141" i="18"/>
  <c r="AN141" i="18" s="1"/>
  <c r="AM141" i="18"/>
  <c r="AD64" i="18"/>
  <c r="AL64" i="18" s="1"/>
  <c r="AD205" i="18"/>
  <c r="AL205" i="18" s="1"/>
  <c r="AF144" i="18"/>
  <c r="AN144" i="18" s="1"/>
  <c r="AD102" i="18"/>
  <c r="AL102" i="18" s="1"/>
  <c r="AF222" i="18"/>
  <c r="AN222" i="18" s="1"/>
  <c r="AM222" i="18"/>
  <c r="AD113" i="18"/>
  <c r="AL113" i="18" s="1"/>
  <c r="AD52" i="18"/>
  <c r="AL52" i="18" s="1"/>
  <c r="AD179" i="18"/>
  <c r="AL179" i="18" s="1"/>
  <c r="AD163" i="18"/>
  <c r="AL163" i="18" s="1"/>
  <c r="AF132" i="18"/>
  <c r="AN132" i="18" s="1"/>
  <c r="AM132" i="18"/>
  <c r="AF80" i="18"/>
  <c r="AN80" i="18" s="1"/>
  <c r="AF225" i="18"/>
  <c r="AN225" i="18" s="1"/>
  <c r="AM225" i="18"/>
  <c r="AD309" i="18"/>
  <c r="AL309" i="18" s="1"/>
  <c r="AF277" i="18"/>
  <c r="AN277" i="18" s="1"/>
  <c r="AM277" i="18"/>
  <c r="AF154" i="18"/>
  <c r="AN154" i="18" s="1"/>
  <c r="AM154" i="18"/>
  <c r="AF134" i="18"/>
  <c r="AN134" i="18" s="1"/>
  <c r="AM134" i="18"/>
  <c r="AD280" i="18"/>
  <c r="AL280" i="18" s="1"/>
  <c r="AF100" i="18"/>
  <c r="AN100" i="18" s="1"/>
  <c r="AM100" i="18"/>
  <c r="AF161" i="18"/>
  <c r="AN161" i="18" s="1"/>
  <c r="AM161" i="18"/>
  <c r="AF124" i="18"/>
  <c r="AN124" i="18" s="1"/>
  <c r="AM124" i="18"/>
  <c r="AF294" i="18"/>
  <c r="AN294" i="18" s="1"/>
  <c r="AM294" i="18"/>
  <c r="AF206" i="18"/>
  <c r="AN206" i="18" s="1"/>
  <c r="AM206" i="18"/>
  <c r="AF264" i="18"/>
  <c r="AN264" i="18" s="1"/>
  <c r="AM264" i="18"/>
  <c r="AF104" i="18"/>
  <c r="AN104" i="18" s="1"/>
  <c r="AM104" i="18"/>
  <c r="AF102" i="18"/>
  <c r="AN102" i="18" s="1"/>
  <c r="AM102" i="18"/>
  <c r="AF142" i="18"/>
  <c r="AN142" i="18" s="1"/>
  <c r="AM142" i="18"/>
  <c r="AF244" i="18"/>
  <c r="AN244" i="18" s="1"/>
  <c r="AM244" i="18"/>
  <c r="AF266" i="18"/>
  <c r="AN266" i="18" s="1"/>
  <c r="AM266" i="18"/>
  <c r="AF210" i="18"/>
  <c r="AN210" i="18" s="1"/>
  <c r="AM210" i="18"/>
  <c r="AF215" i="18"/>
  <c r="AN215" i="18" s="1"/>
  <c r="AM215" i="18"/>
  <c r="AF265" i="18"/>
  <c r="AN265" i="18" s="1"/>
  <c r="AM265" i="18"/>
  <c r="AF242" i="18"/>
  <c r="AN242" i="18" s="1"/>
  <c r="AM242" i="18"/>
  <c r="AD57" i="18"/>
  <c r="AL57" i="18" s="1"/>
  <c r="AF147" i="18"/>
  <c r="AN147" i="18" s="1"/>
  <c r="AM147" i="18"/>
  <c r="AF231" i="18"/>
  <c r="AN231" i="18" s="1"/>
  <c r="AM231" i="18"/>
  <c r="AD171" i="18"/>
  <c r="AL171" i="18" s="1"/>
  <c r="AF53" i="18"/>
  <c r="AN53" i="18" s="1"/>
  <c r="AM53" i="18"/>
  <c r="AF253" i="18"/>
  <c r="AN253" i="18" s="1"/>
  <c r="AM253" i="18"/>
  <c r="AD293" i="18"/>
  <c r="AL293" i="18" s="1"/>
  <c r="AF146" i="18"/>
  <c r="AN146" i="18" s="1"/>
  <c r="AM146" i="18"/>
  <c r="AF257" i="18"/>
  <c r="AN257" i="18" s="1"/>
  <c r="AM257" i="18"/>
  <c r="AF311" i="18"/>
  <c r="AN311" i="18" s="1"/>
  <c r="AM311" i="18"/>
  <c r="AD178" i="18"/>
  <c r="AL178" i="18" s="1"/>
  <c r="AF211" i="18"/>
  <c r="AN211" i="18" s="1"/>
  <c r="AM211" i="18"/>
  <c r="AD82" i="18"/>
  <c r="AL82" i="18" s="1"/>
  <c r="AD290" i="18"/>
  <c r="AL290" i="18" s="1"/>
  <c r="AF198" i="16" a="1"/>
  <c r="AF198" i="16" s="1"/>
  <c r="AN198" i="16" s="1" a="1"/>
  <c r="AN198" i="16" s="1"/>
  <c r="AF188" i="18"/>
  <c r="AN188" i="18" s="1"/>
  <c r="AM188" i="18"/>
  <c r="AF57" i="18"/>
  <c r="AN57" i="18" s="1"/>
  <c r="AM57" i="18"/>
  <c r="AF158" i="18"/>
  <c r="AN158" i="18" s="1"/>
  <c r="AM158" i="18"/>
  <c r="AF204" i="18"/>
  <c r="AN204" i="18" s="1"/>
  <c r="AM204" i="18"/>
  <c r="AF60" i="18"/>
  <c r="AN60" i="18" s="1"/>
  <c r="AM60" i="18"/>
  <c r="AD254" i="18"/>
  <c r="AL254" i="18" s="1"/>
  <c r="AD141" i="18"/>
  <c r="AL141" i="18" s="1"/>
  <c r="AF121" i="18"/>
  <c r="AN121" i="18" s="1"/>
  <c r="AM121" i="18"/>
  <c r="AF47" i="18"/>
  <c r="AN47" i="18" s="1"/>
  <c r="AM47" i="18"/>
  <c r="AF129" i="18"/>
  <c r="AN129" i="18" s="1"/>
  <c r="AM129" i="18"/>
  <c r="AD75" i="18"/>
  <c r="AL75" i="18" s="1"/>
  <c r="AF118" i="18"/>
  <c r="AN118" i="18" s="1"/>
  <c r="AM118" i="18"/>
  <c r="AF86" i="18"/>
  <c r="AN86" i="18" s="1"/>
  <c r="AM86" i="18"/>
  <c r="AD191" i="18"/>
  <c r="AL191" i="18" s="1"/>
  <c r="AF239" i="18"/>
  <c r="AN239" i="18" s="1"/>
  <c r="AM239" i="18"/>
  <c r="AF322" i="18"/>
  <c r="AN322" i="18" s="1"/>
  <c r="AM322" i="18"/>
  <c r="AF109" i="18"/>
  <c r="AN109" i="18" s="1"/>
  <c r="AM109" i="18"/>
  <c r="AF104" i="16" a="1"/>
  <c r="AF104" i="16" s="1"/>
  <c r="AN104" i="16" s="1" a="1"/>
  <c r="AN104" i="16" s="1"/>
  <c r="AF119" i="16" a="1"/>
  <c r="AF119" i="16" s="1"/>
  <c r="AN119" i="16" s="1" a="1"/>
  <c r="AN119" i="16" s="1"/>
  <c r="AF261" i="16" a="1"/>
  <c r="AF261" i="16" s="1"/>
  <c r="AN261" i="16" s="1" a="1"/>
  <c r="AN261" i="16" s="1"/>
  <c r="AF223" i="16" a="1"/>
  <c r="AF223" i="16" s="1"/>
  <c r="AN223" i="16" s="1" a="1"/>
  <c r="AN223" i="16" s="1"/>
  <c r="AF139" i="16" a="1"/>
  <c r="AF139" i="16" s="1"/>
  <c r="AN139" i="16" s="1" a="1"/>
  <c r="AN139" i="16" s="1"/>
  <c r="AF211" i="16" a="1"/>
  <c r="AF211" i="16" s="1"/>
  <c r="AN211" i="16" s="1" a="1"/>
  <c r="AN211" i="16" s="1"/>
  <c r="AF204" i="16" a="1"/>
  <c r="AF204" i="16" s="1"/>
  <c r="AN204" i="16" s="1" a="1"/>
  <c r="AN204" i="16" s="1"/>
  <c r="AF236" i="16" a="1"/>
  <c r="AF236" i="16" s="1"/>
  <c r="AN236" i="16" s="1" a="1"/>
  <c r="AN236" i="16" s="1"/>
  <c r="AF117" i="16" a="1"/>
  <c r="AF117" i="16" s="1"/>
  <c r="AN117" i="16" s="1" a="1"/>
  <c r="AN117" i="16" s="1"/>
  <c r="AF209" i="16" a="1"/>
  <c r="AF209" i="16" s="1"/>
  <c r="AN209" i="16" s="1" a="1"/>
  <c r="AN209" i="16" s="1"/>
  <c r="AF109" i="16" a="1"/>
  <c r="AF109" i="16" s="1"/>
  <c r="AN109" i="16" s="1" a="1"/>
  <c r="AN109" i="16" s="1"/>
  <c r="AF89" i="16" a="1"/>
  <c r="AF89" i="16" s="1"/>
  <c r="AN89" i="16" s="1" a="1"/>
  <c r="AN89" i="16" s="1"/>
  <c r="AF87" i="16" a="1"/>
  <c r="AF87" i="16" s="1"/>
  <c r="AN87" i="16" s="1" a="1"/>
  <c r="AN87" i="16" s="1"/>
  <c r="AF295" i="16" a="1"/>
  <c r="AF295" i="16" s="1"/>
  <c r="AN295" i="16" s="1" a="1"/>
  <c r="AN295" i="16" s="1"/>
  <c r="AF181" i="16" a="1"/>
  <c r="AF181" i="16" s="1"/>
  <c r="AN181" i="16" s="1" a="1"/>
  <c r="AN181" i="16" s="1"/>
  <c r="AF200" i="16" a="1"/>
  <c r="AF200" i="16" s="1"/>
  <c r="AN200" i="16" s="1" a="1"/>
  <c r="AN200" i="16" s="1"/>
  <c r="AF135" i="16" a="1"/>
  <c r="AF135" i="16" s="1"/>
  <c r="AN135" i="16" s="1" a="1"/>
  <c r="AN135" i="16" s="1"/>
  <c r="AF192" i="16" a="1"/>
  <c r="AF192" i="16" s="1"/>
  <c r="AN192" i="16" s="1" a="1"/>
  <c r="AN192" i="16" s="1"/>
  <c r="AF201" i="16" a="1"/>
  <c r="AF201" i="16" s="1"/>
  <c r="AN201" i="16" s="1" a="1"/>
  <c r="AN201" i="16" s="1"/>
  <c r="AF182" i="16" a="1"/>
  <c r="AF182" i="16" s="1"/>
  <c r="AN182" i="16" s="1" a="1"/>
  <c r="AN182" i="16" s="1"/>
  <c r="AF128" i="16" a="1"/>
  <c r="AF128" i="16" s="1"/>
  <c r="AN128" i="16" s="1" a="1"/>
  <c r="AN128" i="16" s="1"/>
  <c r="AF17" i="16" a="1"/>
  <c r="AF17" i="16" s="1"/>
  <c r="AN17" i="16" s="1" a="1"/>
  <c r="AN17" i="16" s="1"/>
  <c r="AF10" i="16" a="1"/>
  <c r="AF10" i="16" s="1"/>
  <c r="AN10" i="16" s="1" a="1"/>
  <c r="AN10" i="16" s="1"/>
  <c r="AF27" i="16" a="1"/>
  <c r="AF27" i="16" s="1"/>
  <c r="AN27" i="16" s="1" a="1"/>
  <c r="AN27" i="16" s="1"/>
  <c r="AF194" i="16" a="1"/>
  <c r="AF194" i="16" s="1"/>
  <c r="AN194" i="16" s="1" a="1"/>
  <c r="AN194" i="16" s="1"/>
  <c r="AF190" i="16" a="1"/>
  <c r="AF190" i="16" s="1"/>
  <c r="AN190" i="16" s="1" a="1"/>
  <c r="AN190" i="16" s="1"/>
  <c r="AF53" i="16" a="1"/>
  <c r="AF53" i="16" s="1"/>
  <c r="AN53" i="16" s="1" a="1"/>
  <c r="AN53" i="16" s="1"/>
  <c r="AF172" i="16" a="1"/>
  <c r="AF172" i="16" s="1"/>
  <c r="AN172" i="16" s="1" a="1"/>
  <c r="AN172" i="16" s="1"/>
  <c r="AF6" i="16" a="1"/>
  <c r="AF6" i="16" s="1"/>
  <c r="AN6" i="16" s="1" a="1"/>
  <c r="AN6" i="16" s="1"/>
  <c r="AF78" i="16" a="1"/>
  <c r="AF78" i="16" s="1"/>
  <c r="AN78" i="16" s="1" a="1"/>
  <c r="AN78" i="16" s="1"/>
  <c r="AF154" i="16" a="1"/>
  <c r="AF154" i="16" s="1"/>
  <c r="AN154" i="16" s="1" a="1"/>
  <c r="AN154" i="16" s="1"/>
  <c r="AF45" i="16" a="1"/>
  <c r="AF45" i="16" s="1"/>
  <c r="AN45" i="16" s="1" a="1"/>
  <c r="AN45" i="16" s="1"/>
  <c r="AF273" i="16" a="1"/>
  <c r="AF273" i="16" s="1"/>
  <c r="AN273" i="16" s="1" a="1"/>
  <c r="AN273" i="16" s="1"/>
  <c r="AF189" i="16" a="1"/>
  <c r="AF189" i="16" s="1"/>
  <c r="AN189" i="16" s="1" a="1"/>
  <c r="AN189" i="16" s="1"/>
  <c r="AF35" i="16" a="1"/>
  <c r="AF35" i="16" s="1"/>
  <c r="AN35" i="16" s="1" a="1"/>
  <c r="AN35" i="16" s="1"/>
  <c r="AF161" i="16" a="1"/>
  <c r="AF161" i="16" s="1"/>
  <c r="AN161" i="16" s="1" a="1"/>
  <c r="AN161" i="16" s="1"/>
  <c r="AF210" i="16" a="1"/>
  <c r="AF210" i="16" s="1"/>
  <c r="AN210" i="16" s="1" a="1"/>
  <c r="AN210" i="16" s="1"/>
  <c r="AF16" i="16" a="1"/>
  <c r="AF16" i="16" s="1"/>
  <c r="AN16" i="16" s="1" a="1"/>
  <c r="AN16" i="16" s="1"/>
  <c r="AF177" i="16" a="1"/>
  <c r="AF177" i="16" s="1"/>
  <c r="AN177" i="16" s="1" a="1"/>
  <c r="AN177" i="16" s="1"/>
  <c r="AF305" i="16" a="1"/>
  <c r="AF305" i="16" s="1"/>
  <c r="AN305" i="16" s="1" a="1"/>
  <c r="AN305" i="16" s="1"/>
  <c r="AF224" i="16" a="1"/>
  <c r="AF224" i="16" s="1"/>
  <c r="AN224" i="16" s="1" a="1"/>
  <c r="AN224" i="16" s="1"/>
  <c r="AF49" i="16" a="1"/>
  <c r="AF49" i="16" s="1"/>
  <c r="AN49" i="16" s="1" a="1"/>
  <c r="AN49" i="16" s="1"/>
  <c r="AF24" i="16" a="1"/>
  <c r="AF24" i="16" s="1"/>
  <c r="AN24" i="16" s="1" a="1"/>
  <c r="AN24" i="16" s="1"/>
  <c r="AF240" i="16" a="1"/>
  <c r="AF240" i="16" s="1"/>
  <c r="AN240" i="16" s="1" a="1"/>
  <c r="AN240" i="16" s="1"/>
  <c r="AD5" i="16" a="1"/>
  <c r="AD5" i="16" s="1"/>
  <c r="AF292" i="16" a="1"/>
  <c r="AF292" i="16" s="1"/>
  <c r="AN292" i="16" s="1" a="1"/>
  <c r="AN292" i="16" s="1"/>
  <c r="AF187" i="16" a="1"/>
  <c r="AF187" i="16" s="1"/>
  <c r="AN187" i="16" s="1" a="1"/>
  <c r="AN187" i="16" s="1"/>
  <c r="AF136" i="16" a="1"/>
  <c r="AF136" i="16" s="1"/>
  <c r="AN136" i="16" s="1" a="1"/>
  <c r="AN136" i="16" s="1"/>
  <c r="AF56" i="16" a="1"/>
  <c r="AF56" i="16" s="1"/>
  <c r="AN56" i="16" s="1" a="1"/>
  <c r="AN56" i="16" s="1"/>
  <c r="AF186" i="16" a="1"/>
  <c r="AF186" i="16" s="1"/>
  <c r="AN186" i="16" s="1" a="1"/>
  <c r="AN186" i="16" s="1"/>
  <c r="AF196" i="16" a="1"/>
  <c r="AF196" i="16" s="1"/>
  <c r="AN196" i="16" s="1" a="1"/>
  <c r="AN196" i="16" s="1"/>
  <c r="AF275" i="16" a="1"/>
  <c r="AF275" i="16" s="1"/>
  <c r="AN275" i="16" s="1" a="1"/>
  <c r="AN275" i="16" s="1"/>
  <c r="AF29" i="16" a="1"/>
  <c r="AF29" i="16" s="1"/>
  <c r="AN29" i="16" s="1" a="1"/>
  <c r="AN29" i="16" s="1"/>
  <c r="AF15" i="16" a="1"/>
  <c r="AF15" i="16" s="1"/>
  <c r="AN15" i="16" s="1" a="1"/>
  <c r="AN15" i="16" s="1"/>
  <c r="AF8" i="16" a="1"/>
  <c r="AF8" i="16" s="1"/>
  <c r="AN8" i="16" s="1" a="1"/>
  <c r="AN8" i="16" s="1"/>
  <c r="AF213" i="16" a="1"/>
  <c r="AF213" i="16" s="1"/>
  <c r="AN213" i="16" s="1" a="1"/>
  <c r="AN213" i="16" s="1"/>
  <c r="AF18" i="16" a="1"/>
  <c r="AF18" i="16" s="1"/>
  <c r="AN18" i="16" s="1" a="1"/>
  <c r="AN18" i="16" s="1"/>
  <c r="AF302" i="16" a="1"/>
  <c r="AF302" i="16" s="1"/>
  <c r="AN302" i="16" s="1" a="1"/>
  <c r="AN302" i="16" s="1"/>
  <c r="AF21" i="16" a="1"/>
  <c r="AF21" i="16" s="1"/>
  <c r="AN21" i="16" s="1" a="1"/>
  <c r="AN21" i="16" s="1"/>
  <c r="AF193" i="16" a="1"/>
  <c r="AF193" i="16" s="1"/>
  <c r="AN193" i="16" s="1" a="1"/>
  <c r="AN193" i="16" s="1"/>
  <c r="AF174" i="16" a="1"/>
  <c r="AF174" i="16" s="1"/>
  <c r="AN174" i="16" s="1" a="1"/>
  <c r="AN174" i="16" s="1"/>
  <c r="AD28" i="16" a="1"/>
  <c r="AD28" i="16" s="1"/>
  <c r="AF195" i="16" a="1"/>
  <c r="AF195" i="16" s="1"/>
  <c r="AN195" i="16" s="1" a="1"/>
  <c r="AN195" i="16" s="1"/>
  <c r="AF183" i="16" a="1"/>
  <c r="AF183" i="16" s="1"/>
  <c r="AN183" i="16" s="1" a="1"/>
  <c r="AN183" i="16" s="1"/>
  <c r="AF230" i="16" a="1"/>
  <c r="AF230" i="16" s="1"/>
  <c r="AN230" i="16" s="1" a="1"/>
  <c r="AN230" i="16" s="1"/>
  <c r="AF167" i="16" a="1"/>
  <c r="AF167" i="16" s="1"/>
  <c r="AN167" i="16" s="1" a="1"/>
  <c r="AN167" i="16" s="1"/>
  <c r="AF63" i="16" a="1"/>
  <c r="AF63" i="16" s="1"/>
  <c r="AN63" i="16" s="1" a="1"/>
  <c r="AN63" i="16" s="1"/>
  <c r="AF188" i="16" a="1"/>
  <c r="AF188" i="16" s="1"/>
  <c r="AN188" i="16" s="1" a="1"/>
  <c r="AN188" i="16" s="1"/>
  <c r="AF19" i="16" a="1"/>
  <c r="AF19" i="16" s="1"/>
  <c r="AN19" i="16" s="1" a="1"/>
  <c r="AN19" i="16" s="1"/>
  <c r="AF168" i="16" a="1"/>
  <c r="AF168" i="16" s="1"/>
  <c r="AN168" i="16" s="1" a="1"/>
  <c r="AN168" i="16" s="1"/>
  <c r="AF150" i="16" a="1"/>
  <c r="AF150" i="16" s="1"/>
  <c r="AN150" i="16" s="1" a="1"/>
  <c r="AN150" i="16" s="1"/>
  <c r="AD4" i="16" a="1"/>
  <c r="AD4" i="16" s="1"/>
  <c r="AF61" i="16" a="1"/>
  <c r="AF61" i="16" s="1"/>
  <c r="AN61" i="16" s="1" a="1"/>
  <c r="AN61" i="16" s="1"/>
  <c r="AF208" i="16" a="1"/>
  <c r="AF208" i="16" s="1"/>
  <c r="AN208" i="16" s="1" a="1"/>
  <c r="AN208" i="16" s="1"/>
  <c r="AF155" i="16" a="1"/>
  <c r="AF155" i="16" s="1"/>
  <c r="AN155" i="16" s="1" a="1"/>
  <c r="AN155" i="16" s="1"/>
  <c r="AF176" i="16" a="1"/>
  <c r="AF176" i="16" s="1"/>
  <c r="AN176" i="16" s="1" a="1"/>
  <c r="AN176" i="16" s="1"/>
  <c r="AF191" i="16" a="1"/>
  <c r="AF191" i="16" s="1"/>
  <c r="AN191" i="16" s="1" a="1"/>
  <c r="AN191" i="16" s="1"/>
  <c r="AF203" i="16" a="1"/>
  <c r="AF203" i="16" s="1"/>
  <c r="AN203" i="16" s="1" a="1"/>
  <c r="AN203" i="16" s="1"/>
  <c r="AD6" i="16" a="1"/>
  <c r="AD6" i="16" s="1"/>
  <c r="AD15" i="16" a="1"/>
  <c r="AD15" i="16" s="1"/>
  <c r="AF215" i="16" a="1"/>
  <c r="AF215" i="16" s="1"/>
  <c r="AN215" i="16" s="1" a="1"/>
  <c r="AN215" i="16" s="1"/>
  <c r="AF20" i="16" a="1"/>
  <c r="AF20" i="16" s="1"/>
  <c r="AN20" i="16" s="1" a="1"/>
  <c r="AN20" i="16" s="1"/>
  <c r="AD13" i="16" a="1"/>
  <c r="AD13" i="16" s="1"/>
  <c r="AF112" i="16" a="1"/>
  <c r="AF112" i="16" s="1"/>
  <c r="AN112" i="16" s="1" a="1"/>
  <c r="AN112" i="16" s="1"/>
  <c r="AF207" i="16" a="1"/>
  <c r="AF207" i="16" s="1"/>
  <c r="AN207" i="16" s="1" a="1"/>
  <c r="AN207" i="16" s="1"/>
  <c r="AF180" i="16" a="1"/>
  <c r="AF180" i="16" s="1"/>
  <c r="AN180" i="16" s="1" a="1"/>
  <c r="AN180" i="16" s="1"/>
  <c r="AF214" i="16" a="1"/>
  <c r="AF214" i="16" s="1"/>
  <c r="AN214" i="16" s="1" a="1"/>
  <c r="AN214" i="16" s="1"/>
  <c r="AD33" i="16" a="1"/>
  <c r="AD33" i="16" s="1"/>
  <c r="AF37" i="16" a="1"/>
  <c r="AF37" i="16" s="1"/>
  <c r="AN37" i="16" s="1" a="1"/>
  <c r="AN37" i="16" s="1"/>
  <c r="AD16" i="16" a="1"/>
  <c r="AD16" i="16" s="1"/>
  <c r="AF5" i="16" a="1"/>
  <c r="AF5" i="16" s="1"/>
  <c r="AN5" i="16" s="1" a="1"/>
  <c r="AN5" i="16" s="1"/>
  <c r="AF246" i="16" a="1"/>
  <c r="AF246" i="16" s="1"/>
  <c r="AN246" i="16" s="1" a="1"/>
  <c r="AN246" i="16" s="1"/>
  <c r="AF197" i="16" a="1"/>
  <c r="AF197" i="16" s="1"/>
  <c r="AN197" i="16" s="1" a="1"/>
  <c r="AN197" i="16" s="1"/>
  <c r="AF283" i="16" a="1"/>
  <c r="AF283" i="16" s="1"/>
  <c r="AN283" i="16" s="1" a="1"/>
  <c r="AN283" i="16" s="1"/>
  <c r="AF216" i="16" a="1"/>
  <c r="AF216" i="16" s="1"/>
  <c r="AN216" i="16" s="1" a="1"/>
  <c r="AN216" i="16" s="1"/>
  <c r="AF179" i="16" a="1"/>
  <c r="AF179" i="16" s="1"/>
  <c r="AN179" i="16" s="1" a="1"/>
  <c r="AN179" i="16" s="1"/>
  <c r="AF62" i="16" a="1"/>
  <c r="AF62" i="16" s="1"/>
  <c r="AN62" i="16" s="1" a="1"/>
  <c r="AN62" i="16" s="1"/>
  <c r="AF11" i="16" a="1"/>
  <c r="AF11" i="16" s="1"/>
  <c r="AN11" i="16" s="1" a="1"/>
  <c r="AN11" i="16" s="1"/>
  <c r="AD22" i="16" a="1"/>
  <c r="AD22" i="16" s="1"/>
  <c r="AF44" i="16" a="1"/>
  <c r="AF44" i="16" s="1"/>
  <c r="AN44" i="16" s="1" a="1"/>
  <c r="AN44" i="16" s="1"/>
  <c r="AF64" i="16" a="1"/>
  <c r="AF64" i="16" s="1"/>
  <c r="AN64" i="16" s="1" a="1"/>
  <c r="AN64" i="16" s="1"/>
  <c r="AF165" i="16" a="1"/>
  <c r="AF165" i="16" s="1"/>
  <c r="AN165" i="16" s="1" a="1"/>
  <c r="AN165" i="16" s="1"/>
  <c r="AF313" i="16" a="1"/>
  <c r="AF313" i="16" s="1"/>
  <c r="AN313" i="16" s="1" a="1"/>
  <c r="AN313" i="16" s="1"/>
  <c r="AF184" i="16" a="1"/>
  <c r="AF184" i="16" s="1"/>
  <c r="AN184" i="16" s="1" a="1"/>
  <c r="AN184" i="16" s="1"/>
  <c r="AF303" i="16" a="1"/>
  <c r="AF303" i="16" s="1"/>
  <c r="AN303" i="16" s="1" a="1"/>
  <c r="AN303" i="16" s="1"/>
  <c r="AF33" i="16" a="1"/>
  <c r="AF33" i="16" s="1"/>
  <c r="AN33" i="16" s="1" a="1"/>
  <c r="AN33" i="16" s="1"/>
  <c r="AF41" i="16" a="1"/>
  <c r="AF41" i="16" s="1"/>
  <c r="AN41" i="16" s="1" a="1"/>
  <c r="AN41" i="16" s="1"/>
  <c r="AF218" i="16" a="1"/>
  <c r="AF218" i="16" s="1"/>
  <c r="AN218" i="16" s="1" a="1"/>
  <c r="AN218" i="16" s="1"/>
  <c r="AF217" i="16" a="1"/>
  <c r="AF217" i="16" s="1"/>
  <c r="AN217" i="16" s="1" a="1"/>
  <c r="AN217" i="16" s="1"/>
  <c r="AF99" i="16" a="1"/>
  <c r="AF99" i="16" s="1"/>
  <c r="AN99" i="16" s="1" a="1"/>
  <c r="AN99" i="16" s="1"/>
  <c r="AF14" i="16" a="1"/>
  <c r="AF14" i="16" s="1"/>
  <c r="AN14" i="16" s="1" a="1"/>
  <c r="AN14" i="16" s="1"/>
  <c r="AD12" i="16" a="1"/>
  <c r="AD12" i="16" s="1"/>
  <c r="AF221" i="16" a="1"/>
  <c r="AF221" i="16" s="1"/>
  <c r="AN221" i="16" s="1" a="1"/>
  <c r="AN221" i="16" s="1"/>
  <c r="AF25" i="16" a="1"/>
  <c r="AF25" i="16" s="1"/>
  <c r="AN25" i="16" s="1" a="1"/>
  <c r="AN25" i="16" s="1"/>
  <c r="AD11" i="16" a="1"/>
  <c r="AD11" i="16" s="1"/>
  <c r="AF228" i="16" a="1"/>
  <c r="AF228" i="16" s="1"/>
  <c r="AN228" i="16" s="1" a="1"/>
  <c r="AN228" i="16" s="1"/>
  <c r="AF229" i="16" a="1"/>
  <c r="AF229" i="16" s="1"/>
  <c r="AN229" i="16" s="1" a="1"/>
  <c r="AN229" i="16" s="1"/>
  <c r="AF205" i="16" a="1"/>
  <c r="AF205" i="16" s="1"/>
  <c r="AN205" i="16" s="1" a="1"/>
  <c r="AN205" i="16" s="1"/>
  <c r="AF12" i="16" a="1"/>
  <c r="AF12" i="16" s="1"/>
  <c r="AN12" i="16" s="1" a="1"/>
  <c r="AN12" i="16" s="1"/>
  <c r="AF227" i="16" a="1"/>
  <c r="AF227" i="16" s="1"/>
  <c r="AN227" i="16" s="1" a="1"/>
  <c r="AN227" i="16" s="1"/>
  <c r="AD18" i="16" a="1"/>
  <c r="AD18" i="16" s="1"/>
  <c r="AD25" i="16" a="1"/>
  <c r="AD25" i="16" s="1"/>
  <c r="AD23" i="16" a="1"/>
  <c r="AD23" i="16" s="1"/>
  <c r="AF199" i="16" a="1"/>
  <c r="AF199" i="16" s="1"/>
  <c r="AN199" i="16" s="1" a="1"/>
  <c r="AN199" i="16" s="1"/>
  <c r="AD19" i="16" a="1"/>
  <c r="AD19" i="16" s="1"/>
  <c r="AF185" i="16" a="1"/>
  <c r="AF185" i="16" s="1"/>
  <c r="AN185" i="16" s="1" a="1"/>
  <c r="AN185" i="16" s="1"/>
  <c r="AF4" i="16" a="1"/>
  <c r="AF4" i="16" s="1"/>
  <c r="AN4" i="16" s="1" a="1"/>
  <c r="AN4" i="16" s="1"/>
  <c r="AF231" i="16" a="1"/>
  <c r="AF231" i="16" s="1"/>
  <c r="AN231" i="16" s="1" a="1"/>
  <c r="AN231" i="16" s="1"/>
  <c r="AF23" i="16" a="1"/>
  <c r="AF23" i="16" s="1"/>
  <c r="AN23" i="16" s="1" a="1"/>
  <c r="AN23" i="16" s="1"/>
  <c r="AF73" i="16" a="1"/>
  <c r="AF73" i="16" s="1"/>
  <c r="AN73" i="16" s="1" a="1"/>
  <c r="AN73" i="16" s="1"/>
  <c r="AD26" i="16" a="1"/>
  <c r="AD26" i="16" s="1"/>
  <c r="AF222" i="16" a="1"/>
  <c r="AF222" i="16" s="1"/>
  <c r="AN222" i="16" s="1" a="1"/>
  <c r="AN222" i="16" s="1"/>
  <c r="AF67" i="16" a="1"/>
  <c r="AF67" i="16" s="1"/>
  <c r="AN67" i="16" s="1" a="1"/>
  <c r="AN67" i="16" s="1"/>
  <c r="AF212" i="16" a="1"/>
  <c r="AF212" i="16" s="1"/>
  <c r="AN212" i="16" s="1" a="1"/>
  <c r="AN212" i="16" s="1"/>
  <c r="AF151" i="16" a="1"/>
  <c r="AF151" i="16" s="1"/>
  <c r="AN151" i="16" s="1" a="1"/>
  <c r="AN151" i="16" s="1"/>
  <c r="AF116" i="16" a="1"/>
  <c r="AF116" i="16" s="1"/>
  <c r="AN116" i="16" s="1" a="1"/>
  <c r="AN116" i="16" s="1"/>
  <c r="AF170" i="16" a="1"/>
  <c r="AF170" i="16" s="1"/>
  <c r="AN170" i="16" s="1" a="1"/>
  <c r="AN170" i="16" s="1"/>
  <c r="AF206" i="16" a="1"/>
  <c r="AF206" i="16" s="1"/>
  <c r="AN206" i="16" s="1" a="1"/>
  <c r="AN206" i="16" s="1"/>
  <c r="K324" i="10"/>
  <c r="S323" i="10"/>
  <c r="K322" i="10"/>
  <c r="C45" i="4" l="1"/>
  <c r="C36" i="4"/>
  <c r="C27" i="4"/>
  <c r="C48" i="4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E326" i="5"/>
  <c r="AR68" i="7" l="1"/>
  <c r="AR149" i="7"/>
  <c r="AR124" i="7"/>
  <c r="AR41" i="7"/>
  <c r="AR113" i="7"/>
  <c r="AR171" i="7"/>
  <c r="AR111" i="7"/>
  <c r="AR262" i="7"/>
  <c r="AR204" i="7"/>
  <c r="AR40" i="7"/>
  <c r="AR296" i="7"/>
  <c r="AR252" i="7"/>
  <c r="AR261" i="7"/>
  <c r="AR86" i="7"/>
  <c r="AR210" i="7"/>
  <c r="AR284" i="7"/>
  <c r="AR227" i="7"/>
  <c r="AR300" i="7"/>
  <c r="AR316" i="7"/>
  <c r="AR282" i="7"/>
  <c r="AR98" i="7"/>
  <c r="AR163" i="7"/>
  <c r="AR131" i="7"/>
  <c r="AR62" i="7"/>
  <c r="AR164" i="7"/>
  <c r="AR178" i="7"/>
  <c r="AR116" i="7"/>
  <c r="AR56" i="7"/>
  <c r="AR211" i="7"/>
  <c r="AR156" i="7"/>
  <c r="AR301" i="7"/>
  <c r="AR257" i="7"/>
  <c r="AR224" i="7"/>
  <c r="AR158" i="7"/>
  <c r="AR222" i="7"/>
  <c r="AR289" i="7"/>
  <c r="AR246" i="7"/>
  <c r="AR194" i="7"/>
  <c r="AR315" i="7"/>
  <c r="AR105" i="7"/>
  <c r="AR170" i="7"/>
  <c r="AR138" i="7"/>
  <c r="AR64" i="7"/>
  <c r="AR37" i="7"/>
  <c r="AR185" i="7"/>
  <c r="AR155" i="7"/>
  <c r="AR146" i="7"/>
  <c r="AR244" i="7"/>
  <c r="AR195" i="7"/>
  <c r="AR166" i="7"/>
  <c r="AR270" i="7"/>
  <c r="AR231" i="7"/>
  <c r="AR167" i="7"/>
  <c r="AR243" i="7"/>
  <c r="AR291" i="7"/>
  <c r="AR314" i="7"/>
  <c r="AR324" i="7"/>
  <c r="AR308" i="7"/>
  <c r="AR119" i="7"/>
  <c r="AR36" i="7"/>
  <c r="AR140" i="7"/>
  <c r="AR69" i="7"/>
  <c r="AR39" i="7"/>
  <c r="AR60" i="7"/>
  <c r="AR162" i="7"/>
  <c r="AR165" i="7"/>
  <c r="AR181" i="7"/>
  <c r="AR209" i="7"/>
  <c r="AR173" i="7"/>
  <c r="AR277" i="7"/>
  <c r="AR238" i="7"/>
  <c r="AR182" i="7"/>
  <c r="AR286" i="7"/>
  <c r="AR206" i="7"/>
  <c r="AR317" i="7"/>
  <c r="AR280" i="7"/>
  <c r="AR299" i="7"/>
  <c r="AR292" i="7"/>
  <c r="AR126" i="7"/>
  <c r="AR59" i="7"/>
  <c r="AR147" i="7"/>
  <c r="AR71" i="7"/>
  <c r="AR104" i="7"/>
  <c r="AR67" i="7"/>
  <c r="AR169" i="7"/>
  <c r="AR190" i="7"/>
  <c r="AR216" i="7"/>
  <c r="AR228" i="7"/>
  <c r="AR176" i="7"/>
  <c r="AR283" i="7"/>
  <c r="AR255" i="7"/>
  <c r="AR189" i="7"/>
  <c r="AR109" i="7"/>
  <c r="AR307" i="7"/>
  <c r="AR294" i="7"/>
  <c r="AR157" i="7"/>
  <c r="AR306" i="7"/>
  <c r="AR128" i="7"/>
  <c r="AR103" i="7"/>
  <c r="AR161" i="7"/>
  <c r="AR120" i="7"/>
  <c r="AR127" i="7"/>
  <c r="AR74" i="7"/>
  <c r="AR42" i="7"/>
  <c r="AR230" i="7"/>
  <c r="AR223" i="7"/>
  <c r="AR79" i="7"/>
  <c r="AR193" i="7"/>
  <c r="AR290" i="7"/>
  <c r="AR268" i="7"/>
  <c r="AR248" i="7"/>
  <c r="AR168" i="7"/>
  <c r="AR325" i="7"/>
  <c r="AR236" i="7"/>
  <c r="AR213" i="7"/>
  <c r="AR322" i="7"/>
  <c r="AR47" i="7"/>
  <c r="AR133" i="7"/>
  <c r="AR43" i="7"/>
  <c r="AR175" i="7"/>
  <c r="AR129" i="7"/>
  <c r="AR134" i="7"/>
  <c r="AR125" i="7"/>
  <c r="AR65" i="7"/>
  <c r="AR249" i="7"/>
  <c r="AR237" i="7"/>
  <c r="AR186" i="7"/>
  <c r="AR207" i="7"/>
  <c r="AR63" i="7"/>
  <c r="AR275" i="7"/>
  <c r="AR260" i="7"/>
  <c r="AR199" i="7"/>
  <c r="AR302" i="7"/>
  <c r="AR273" i="7"/>
  <c r="AR215" i="7"/>
  <c r="AR102" i="7"/>
  <c r="AR208" i="7"/>
  <c r="AR54" i="7"/>
  <c r="AR135" i="7"/>
  <c r="AR82" i="7"/>
  <c r="AR50" i="7"/>
  <c r="AR136" i="7"/>
  <c r="AR143" i="7"/>
  <c r="AR132" i="7"/>
  <c r="AR72" i="7"/>
  <c r="AR256" i="7"/>
  <c r="AR254" i="7"/>
  <c r="AR188" i="7"/>
  <c r="AR221" i="7"/>
  <c r="AR137" i="7"/>
  <c r="AR266" i="7"/>
  <c r="AR225" i="7"/>
  <c r="AR305" i="7"/>
  <c r="AR152" i="7"/>
  <c r="AR77" i="7"/>
  <c r="AR142" i="7"/>
  <c r="AR89" i="7"/>
  <c r="AR57" i="7"/>
  <c r="AR145" i="7"/>
  <c r="AR76" i="7"/>
  <c r="AR141" i="7"/>
  <c r="AR95" i="7"/>
  <c r="AR265" i="7"/>
  <c r="AR200" i="7"/>
  <c r="AR242" i="7"/>
  <c r="AR179" i="7"/>
  <c r="AR288" i="7"/>
  <c r="AR232" i="7"/>
  <c r="AR313" i="7"/>
  <c r="AR187" i="7"/>
  <c r="AR159" i="7"/>
  <c r="AR49" i="7"/>
  <c r="AR84" i="7"/>
  <c r="AR144" i="7"/>
  <c r="AR96" i="7"/>
  <c r="AR78" i="7"/>
  <c r="AR46" i="7"/>
  <c r="AR83" i="7"/>
  <c r="AR148" i="7"/>
  <c r="AR123" i="7"/>
  <c r="AR298" i="7"/>
  <c r="AR267" i="7"/>
  <c r="AR214" i="7"/>
  <c r="AR263" i="7"/>
  <c r="AR184" i="7"/>
  <c r="AR121" i="7"/>
  <c r="AR297" i="7"/>
  <c r="AR251" i="7"/>
  <c r="AR264" i="7"/>
  <c r="AR108" i="7"/>
  <c r="AR201" i="7"/>
  <c r="AR93" i="7"/>
  <c r="AR45" i="7"/>
  <c r="AR101" i="7"/>
  <c r="AR80" i="7"/>
  <c r="AR48" i="7"/>
  <c r="AR90" i="7"/>
  <c r="AR44" i="7"/>
  <c r="AR139" i="7"/>
  <c r="AR310" i="7"/>
  <c r="AR274" i="7"/>
  <c r="AR235" i="7"/>
  <c r="AR272" i="7"/>
  <c r="AR191" i="7"/>
  <c r="AR174" i="7"/>
  <c r="AR309" i="7"/>
  <c r="AR258" i="7"/>
  <c r="AR293" i="7"/>
  <c r="AR311" i="7"/>
  <c r="AR234" i="7"/>
  <c r="AR239" i="7"/>
  <c r="AR107" i="7"/>
  <c r="AR52" i="7"/>
  <c r="AR154" i="7"/>
  <c r="AR85" i="7"/>
  <c r="AR53" i="7"/>
  <c r="AR92" i="7"/>
  <c r="AR51" i="7"/>
  <c r="AR192" i="7"/>
  <c r="AR130" i="7"/>
  <c r="AR281" i="7"/>
  <c r="AR247" i="7"/>
  <c r="AR100" i="7"/>
  <c r="AR205" i="7"/>
  <c r="AR196" i="7"/>
  <c r="AR321" i="7"/>
  <c r="AR269" i="7"/>
  <c r="AR35" i="7"/>
  <c r="AR304" i="7"/>
  <c r="AR253" i="7"/>
  <c r="AR241" i="7"/>
  <c r="AR117" i="7"/>
  <c r="AR245" i="7"/>
  <c r="AR114" i="7"/>
  <c r="AR75" i="7"/>
  <c r="AR66" i="7"/>
  <c r="AR87" i="7"/>
  <c r="AR55" i="7"/>
  <c r="AR97" i="7"/>
  <c r="AR58" i="7"/>
  <c r="AR197" i="7"/>
  <c r="AR160" i="7"/>
  <c r="AR259" i="7"/>
  <c r="AR198" i="7"/>
  <c r="AR212" i="7"/>
  <c r="AR203" i="7"/>
  <c r="AR271" i="7"/>
  <c r="AR320" i="7"/>
  <c r="AR295" i="7"/>
  <c r="AR323" i="7"/>
  <c r="AR202" i="7"/>
  <c r="AR151" i="7"/>
  <c r="AR91" i="7"/>
  <c r="AR73" i="7"/>
  <c r="AR94" i="7"/>
  <c r="AR99" i="7"/>
  <c r="AR118" i="7"/>
  <c r="AR81" i="7"/>
  <c r="AR218" i="7"/>
  <c r="AR172" i="7"/>
  <c r="AR287" i="7"/>
  <c r="AR279" i="7"/>
  <c r="AR226" i="7"/>
  <c r="AR219" i="7"/>
  <c r="AR217" i="7"/>
  <c r="AR153" i="7"/>
  <c r="AR276" i="7"/>
  <c r="AR319" i="7"/>
  <c r="AR180" i="7"/>
  <c r="AR318" i="7"/>
  <c r="AR38" i="7"/>
  <c r="AR112" i="7"/>
  <c r="AR110" i="7"/>
  <c r="AR115" i="7"/>
  <c r="AR106" i="7"/>
  <c r="AR150" i="7"/>
  <c r="AR88" i="7"/>
  <c r="AR220" i="7"/>
  <c r="AR183" i="7"/>
  <c r="AR303" i="7"/>
  <c r="AR285" i="7"/>
  <c r="AR233" i="7"/>
  <c r="AR240" i="7"/>
  <c r="AR229" i="7"/>
  <c r="AR177" i="7"/>
  <c r="AR278" i="7"/>
  <c r="AR70" i="7"/>
  <c r="AR312" i="7"/>
  <c r="AR61" i="7"/>
  <c r="AR122" i="7"/>
  <c r="AR250" i="7"/>
  <c r="AT34" i="7" l="1"/>
  <c r="J4" i="10" l="1"/>
  <c r="J5" i="10"/>
  <c r="J6" i="10"/>
  <c r="J7" i="10"/>
  <c r="J8" i="10"/>
  <c r="K8" i="10" s="1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D325" i="10"/>
  <c r="F325" i="10"/>
  <c r="E325" i="10"/>
  <c r="J146" i="10" l="1"/>
  <c r="S146" i="10" s="1"/>
  <c r="J306" i="10"/>
  <c r="J290" i="10"/>
  <c r="J274" i="10"/>
  <c r="S274" i="10" s="1"/>
  <c r="J130" i="10"/>
  <c r="S130" i="10" s="1"/>
  <c r="J114" i="10"/>
  <c r="J98" i="10"/>
  <c r="J82" i="10"/>
  <c r="S82" i="10" s="1"/>
  <c r="J66" i="10"/>
  <c r="S66" i="10" s="1"/>
  <c r="J50" i="10"/>
  <c r="S50" i="10" s="1"/>
  <c r="J318" i="10"/>
  <c r="S318" i="10" s="1"/>
  <c r="J310" i="10"/>
  <c r="S310" i="10" s="1"/>
  <c r="J302" i="10"/>
  <c r="J294" i="10"/>
  <c r="J286" i="10"/>
  <c r="J278" i="10"/>
  <c r="J270" i="10"/>
  <c r="J262" i="10"/>
  <c r="J254" i="10"/>
  <c r="S254" i="10" s="1"/>
  <c r="J246" i="10"/>
  <c r="S246" i="10" s="1"/>
  <c r="J238" i="10"/>
  <c r="J230" i="10"/>
  <c r="J222" i="10"/>
  <c r="J214" i="10"/>
  <c r="S214" i="10" s="1"/>
  <c r="J206" i="10"/>
  <c r="S206" i="10" s="1"/>
  <c r="J198" i="10"/>
  <c r="S198" i="10" s="1"/>
  <c r="J190" i="10"/>
  <c r="J182" i="10"/>
  <c r="J174" i="10"/>
  <c r="J166" i="10"/>
  <c r="J158" i="10"/>
  <c r="S158" i="10" s="1"/>
  <c r="J150" i="10"/>
  <c r="J142" i="10"/>
  <c r="J134" i="10"/>
  <c r="J126" i="10"/>
  <c r="S126" i="10" s="1"/>
  <c r="J118" i="10"/>
  <c r="J110" i="10"/>
  <c r="J102" i="10"/>
  <c r="J94" i="10"/>
  <c r="J86" i="10"/>
  <c r="S86" i="10" s="1"/>
  <c r="J78" i="10"/>
  <c r="J70" i="10"/>
  <c r="J62" i="10"/>
  <c r="S62" i="10" s="1"/>
  <c r="J54" i="10"/>
  <c r="J46" i="10"/>
  <c r="S46" i="10" s="1"/>
  <c r="J38" i="10"/>
  <c r="S38" i="10" s="1"/>
  <c r="J315" i="10"/>
  <c r="J307" i="10"/>
  <c r="J299" i="10"/>
  <c r="J291" i="10"/>
  <c r="J283" i="10"/>
  <c r="J275" i="10"/>
  <c r="J267" i="10"/>
  <c r="J259" i="10"/>
  <c r="J251" i="10"/>
  <c r="J243" i="10"/>
  <c r="J235" i="10"/>
  <c r="J227" i="10"/>
  <c r="S227" i="10" s="1"/>
  <c r="J219" i="10"/>
  <c r="J211" i="10"/>
  <c r="S211" i="10" s="1"/>
  <c r="J203" i="10"/>
  <c r="J195" i="10"/>
  <c r="S195" i="10" s="1"/>
  <c r="J187" i="10"/>
  <c r="J179" i="10"/>
  <c r="J171" i="10"/>
  <c r="J163" i="10"/>
  <c r="J155" i="10"/>
  <c r="S155" i="10" s="1"/>
  <c r="J147" i="10"/>
  <c r="J139" i="10"/>
  <c r="J131" i="10"/>
  <c r="S131" i="10" s="1"/>
  <c r="J123" i="10"/>
  <c r="J115" i="10"/>
  <c r="J107" i="10"/>
  <c r="J99" i="10"/>
  <c r="J91" i="10"/>
  <c r="S91" i="10" s="1"/>
  <c r="J83" i="10"/>
  <c r="S83" i="10" s="1"/>
  <c r="J75" i="10"/>
  <c r="S75" i="10" s="1"/>
  <c r="J67" i="10"/>
  <c r="S67" i="10" s="1"/>
  <c r="J59" i="10"/>
  <c r="J51" i="10"/>
  <c r="S51" i="10" s="1"/>
  <c r="J43" i="10"/>
  <c r="S43" i="10" s="1"/>
  <c r="J35" i="10"/>
  <c r="S35" i="10" s="1"/>
  <c r="J320" i="10"/>
  <c r="S320" i="10" s="1"/>
  <c r="J312" i="10"/>
  <c r="J304" i="10"/>
  <c r="J296" i="10"/>
  <c r="J288" i="10"/>
  <c r="J280" i="10"/>
  <c r="J272" i="10"/>
  <c r="J264" i="10"/>
  <c r="J256" i="10"/>
  <c r="J248" i="10"/>
  <c r="J240" i="10"/>
  <c r="J232" i="10"/>
  <c r="J224" i="10"/>
  <c r="J216" i="10"/>
  <c r="S216" i="10" s="1"/>
  <c r="J208" i="10"/>
  <c r="J200" i="10"/>
  <c r="J192" i="10"/>
  <c r="S192" i="10" s="1"/>
  <c r="J184" i="10"/>
  <c r="J176" i="10"/>
  <c r="J168" i="10"/>
  <c r="J160" i="10"/>
  <c r="J152" i="10"/>
  <c r="J144" i="10"/>
  <c r="J136" i="10"/>
  <c r="J128" i="10"/>
  <c r="S128" i="10" s="1"/>
  <c r="J120" i="10"/>
  <c r="S120" i="10" s="1"/>
  <c r="J112" i="10"/>
  <c r="S112" i="10" s="1"/>
  <c r="J104" i="10"/>
  <c r="J96" i="10"/>
  <c r="J88" i="10"/>
  <c r="S88" i="10" s="1"/>
  <c r="J80" i="10"/>
  <c r="S80" i="10" s="1"/>
  <c r="J72" i="10"/>
  <c r="J64" i="10"/>
  <c r="J56" i="10"/>
  <c r="S56" i="10" s="1"/>
  <c r="J48" i="10"/>
  <c r="S48" i="10" s="1"/>
  <c r="J40" i="10"/>
  <c r="J317" i="10"/>
  <c r="S317" i="10" s="1"/>
  <c r="J309" i="10"/>
  <c r="S309" i="10" s="1"/>
  <c r="J301" i="10"/>
  <c r="J293" i="10"/>
  <c r="J285" i="10"/>
  <c r="J277" i="10"/>
  <c r="J269" i="10"/>
  <c r="J261" i="10"/>
  <c r="J253" i="10"/>
  <c r="S253" i="10" s="1"/>
  <c r="J245" i="10"/>
  <c r="J237" i="10"/>
  <c r="J229" i="10"/>
  <c r="S229" i="10" s="1"/>
  <c r="J221" i="10"/>
  <c r="J213" i="10"/>
  <c r="S213" i="10" s="1"/>
  <c r="J205" i="10"/>
  <c r="S205" i="10" s="1"/>
  <c r="J197" i="10"/>
  <c r="J189" i="10"/>
  <c r="J181" i="10"/>
  <c r="J173" i="10"/>
  <c r="J165" i="10"/>
  <c r="J157" i="10"/>
  <c r="J149" i="10"/>
  <c r="J141" i="10"/>
  <c r="J133" i="10"/>
  <c r="S133" i="10" s="1"/>
  <c r="J125" i="10"/>
  <c r="S125" i="10" s="1"/>
  <c r="J117" i="10"/>
  <c r="S117" i="10" s="1"/>
  <c r="J109" i="10"/>
  <c r="J101" i="10"/>
  <c r="J93" i="10"/>
  <c r="J85" i="10"/>
  <c r="J77" i="10"/>
  <c r="J69" i="10"/>
  <c r="J61" i="10"/>
  <c r="J53" i="10"/>
  <c r="S53" i="10" s="1"/>
  <c r="J45" i="10"/>
  <c r="J37" i="10"/>
  <c r="S37" i="10" s="1"/>
  <c r="J314" i="10"/>
  <c r="S314" i="10" s="1"/>
  <c r="J298" i="10"/>
  <c r="S298" i="10" s="1"/>
  <c r="J282" i="10"/>
  <c r="J266" i="10"/>
  <c r="J250" i="10"/>
  <c r="S250" i="10" s="1"/>
  <c r="J234" i="10"/>
  <c r="J218" i="10"/>
  <c r="J202" i="10"/>
  <c r="J186" i="10"/>
  <c r="J170" i="10"/>
  <c r="J154" i="10"/>
  <c r="S154" i="10" s="1"/>
  <c r="J138" i="10"/>
  <c r="J122" i="10"/>
  <c r="J106" i="10"/>
  <c r="J90" i="10"/>
  <c r="J74" i="10"/>
  <c r="J58" i="10"/>
  <c r="J42" i="10"/>
  <c r="J258" i="10"/>
  <c r="J34" i="10"/>
  <c r="J242" i="10"/>
  <c r="J319" i="10"/>
  <c r="S319" i="10" s="1"/>
  <c r="J311" i="10"/>
  <c r="S311" i="10" s="1"/>
  <c r="J303" i="10"/>
  <c r="J295" i="10"/>
  <c r="J287" i="10"/>
  <c r="S287" i="10" s="1"/>
  <c r="J279" i="10"/>
  <c r="J271" i="10"/>
  <c r="S271" i="10" s="1"/>
  <c r="J263" i="10"/>
  <c r="J255" i="10"/>
  <c r="J247" i="10"/>
  <c r="S247" i="10" s="1"/>
  <c r="J239" i="10"/>
  <c r="J231" i="10"/>
  <c r="J223" i="10"/>
  <c r="J215" i="10"/>
  <c r="J207" i="10"/>
  <c r="S207" i="10" s="1"/>
  <c r="J199" i="10"/>
  <c r="J191" i="10"/>
  <c r="J183" i="10"/>
  <c r="J175" i="10"/>
  <c r="J167" i="10"/>
  <c r="J159" i="10"/>
  <c r="J151" i="10"/>
  <c r="J143" i="10"/>
  <c r="S143" i="10" s="1"/>
  <c r="J135" i="10"/>
  <c r="J127" i="10"/>
  <c r="S127" i="10" s="1"/>
  <c r="J119" i="10"/>
  <c r="S119" i="10" s="1"/>
  <c r="J111" i="10"/>
  <c r="J103" i="10"/>
  <c r="S103" i="10" s="1"/>
  <c r="J95" i="10"/>
  <c r="J87" i="10"/>
  <c r="S87" i="10" s="1"/>
  <c r="J79" i="10"/>
  <c r="J71" i="10"/>
  <c r="J63" i="10"/>
  <c r="J55" i="10"/>
  <c r="J47" i="10"/>
  <c r="S47" i="10" s="1"/>
  <c r="J39" i="10"/>
  <c r="J226" i="10"/>
  <c r="J210" i="10"/>
  <c r="S210" i="10" s="1"/>
  <c r="J316" i="10"/>
  <c r="S316" i="10" s="1"/>
  <c r="J308" i="10"/>
  <c r="J300" i="10"/>
  <c r="J292" i="10"/>
  <c r="J284" i="10"/>
  <c r="S284" i="10" s="1"/>
  <c r="J276" i="10"/>
  <c r="J268" i="10"/>
  <c r="J260" i="10"/>
  <c r="J252" i="10"/>
  <c r="J244" i="10"/>
  <c r="S244" i="10" s="1"/>
  <c r="J236" i="10"/>
  <c r="S236" i="10" s="1"/>
  <c r="J228" i="10"/>
  <c r="S228" i="10" s="1"/>
  <c r="J220" i="10"/>
  <c r="J212" i="10"/>
  <c r="J204" i="10"/>
  <c r="S204" i="10" s="1"/>
  <c r="J196" i="10"/>
  <c r="J188" i="10"/>
  <c r="S188" i="10" s="1"/>
  <c r="J180" i="10"/>
  <c r="J172" i="10"/>
  <c r="J164" i="10"/>
  <c r="J156" i="10"/>
  <c r="S156" i="10" s="1"/>
  <c r="J148" i="10"/>
  <c r="J140" i="10"/>
  <c r="S140" i="10" s="1"/>
  <c r="J132" i="10"/>
  <c r="S132" i="10" s="1"/>
  <c r="J124" i="10"/>
  <c r="S124" i="10" s="1"/>
  <c r="J116" i="10"/>
  <c r="J108" i="10"/>
  <c r="J100" i="10"/>
  <c r="J92" i="10"/>
  <c r="J84" i="10"/>
  <c r="S84" i="10" s="1"/>
  <c r="J76" i="10"/>
  <c r="J68" i="10"/>
  <c r="S68" i="10" s="1"/>
  <c r="J60" i="10"/>
  <c r="J52" i="10"/>
  <c r="S52" i="10" s="1"/>
  <c r="J44" i="10"/>
  <c r="S44" i="10" s="1"/>
  <c r="J36" i="10"/>
  <c r="S36" i="10" s="1"/>
  <c r="J194" i="10"/>
  <c r="J178" i="10"/>
  <c r="J321" i="10"/>
  <c r="S321" i="10" s="1"/>
  <c r="J313" i="10"/>
  <c r="S313" i="10" s="1"/>
  <c r="J305" i="10"/>
  <c r="J297" i="10"/>
  <c r="J289" i="10"/>
  <c r="J281" i="10"/>
  <c r="J273" i="10"/>
  <c r="J265" i="10"/>
  <c r="J257" i="10"/>
  <c r="J249" i="10"/>
  <c r="J241" i="10"/>
  <c r="J233" i="10"/>
  <c r="J225" i="10"/>
  <c r="S225" i="10" s="1"/>
  <c r="J217" i="10"/>
  <c r="J209" i="10"/>
  <c r="S209" i="10" s="1"/>
  <c r="J201" i="10"/>
  <c r="S201" i="10" s="1"/>
  <c r="J193" i="10"/>
  <c r="J185" i="10"/>
  <c r="J177" i="10"/>
  <c r="S177" i="10" s="1"/>
  <c r="J169" i="10"/>
  <c r="J161" i="10"/>
  <c r="S161" i="10" s="1"/>
  <c r="J153" i="10"/>
  <c r="J145" i="10"/>
  <c r="S145" i="10" s="1"/>
  <c r="J137" i="10"/>
  <c r="J129" i="10"/>
  <c r="S129" i="10" s="1"/>
  <c r="J121" i="10"/>
  <c r="S121" i="10" s="1"/>
  <c r="J113" i="10"/>
  <c r="J105" i="10"/>
  <c r="J97" i="10"/>
  <c r="J89" i="10"/>
  <c r="S89" i="10" s="1"/>
  <c r="J81" i="10"/>
  <c r="J73" i="10"/>
  <c r="J65" i="10"/>
  <c r="S65" i="10" s="1"/>
  <c r="J57" i="10"/>
  <c r="J49" i="10"/>
  <c r="S49" i="10" s="1"/>
  <c r="J41" i="10"/>
  <c r="S41" i="10" s="1"/>
  <c r="J162" i="10"/>
  <c r="K9" i="10"/>
  <c r="K76" i="10" l="1"/>
  <c r="S76" i="10" s="1"/>
  <c r="K78" i="10"/>
  <c r="S78" i="10"/>
  <c r="K80" i="10"/>
  <c r="K83" i="10"/>
  <c r="K75" i="10"/>
  <c r="K79" i="10"/>
  <c r="K82" i="10"/>
  <c r="K77" i="10"/>
  <c r="S77" i="10" s="1"/>
  <c r="K81" i="10"/>
  <c r="B1" i="5" l="1"/>
  <c r="C1" i="5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V1" i="5"/>
  <c r="W1" i="5"/>
  <c r="X1" i="5"/>
  <c r="Y1" i="5"/>
  <c r="Z1" i="5"/>
  <c r="AA1" i="5"/>
  <c r="AB1" i="5"/>
  <c r="A1" i="5"/>
  <c r="C47" i="4"/>
  <c r="G48" i="4" l="1"/>
  <c r="G47" i="4"/>
  <c r="G46" i="4"/>
  <c r="G45" i="4"/>
  <c r="G35" i="4"/>
  <c r="G34" i="4"/>
  <c r="G33" i="4"/>
  <c r="G32" i="4"/>
  <c r="G10" i="4"/>
  <c r="G9" i="4"/>
  <c r="G8" i="4"/>
  <c r="G7" i="4"/>
  <c r="B1" i="10" l="1"/>
  <c r="C1" i="10" s="1"/>
  <c r="G325" i="10" l="1"/>
  <c r="H325" i="10"/>
  <c r="I325" i="10"/>
  <c r="K3" i="10"/>
  <c r="K24" i="10"/>
  <c r="K31" i="10"/>
  <c r="K23" i="10"/>
  <c r="K26" i="10"/>
  <c r="K30" i="10"/>
  <c r="K28" i="10"/>
  <c r="K18" i="10"/>
  <c r="K22" i="10"/>
  <c r="K25" i="10"/>
  <c r="K13" i="10"/>
  <c r="K17" i="10"/>
  <c r="K21" i="10"/>
  <c r="K190" i="10"/>
  <c r="S190" i="10" s="1"/>
  <c r="K10" i="10"/>
  <c r="K11" i="10"/>
  <c r="K15" i="10"/>
  <c r="K19" i="10"/>
  <c r="K12" i="10"/>
  <c r="K20" i="10"/>
  <c r="K6" i="10"/>
  <c r="K29" i="10"/>
  <c r="K7" i="10"/>
  <c r="K16" i="10"/>
  <c r="K4" i="10"/>
  <c r="K27" i="10"/>
  <c r="K14" i="10"/>
  <c r="K5" i="10"/>
  <c r="K312" i="10" l="1"/>
  <c r="S312" i="10" s="1"/>
  <c r="K237" i="10"/>
  <c r="S237" i="10" s="1"/>
  <c r="K44" i="10"/>
  <c r="K240" i="10"/>
  <c r="K303" i="10"/>
  <c r="K68" i="10"/>
  <c r="K263" i="10"/>
  <c r="S263" i="10" s="1"/>
  <c r="K175" i="10"/>
  <c r="K189" i="10"/>
  <c r="K264" i="10"/>
  <c r="K287" i="10"/>
  <c r="K136" i="10"/>
  <c r="K252" i="10"/>
  <c r="K196" i="10"/>
  <c r="S196" i="10" s="1"/>
  <c r="K239" i="10"/>
  <c r="K69" i="10"/>
  <c r="K138" i="10"/>
  <c r="S138" i="10" s="1"/>
  <c r="K53" i="10"/>
  <c r="K168" i="10"/>
  <c r="K171" i="10"/>
  <c r="S171" i="10" s="1"/>
  <c r="K112" i="10"/>
  <c r="K306" i="10"/>
  <c r="K278" i="10"/>
  <c r="S278" i="10" s="1"/>
  <c r="K180" i="10"/>
  <c r="S180" i="10" s="1"/>
  <c r="K55" i="10"/>
  <c r="K208" i="10"/>
  <c r="K46" i="10"/>
  <c r="K177" i="10"/>
  <c r="K260" i="10"/>
  <c r="S260" i="10" s="1"/>
  <c r="K280" i="10"/>
  <c r="K132" i="10"/>
  <c r="K244" i="10"/>
  <c r="K131" i="10"/>
  <c r="K231" i="10"/>
  <c r="S231" i="10" s="1"/>
  <c r="K42" i="10"/>
  <c r="K110" i="10"/>
  <c r="K160" i="10"/>
  <c r="S160" i="10" s="1"/>
  <c r="K159" i="10"/>
  <c r="K241" i="10"/>
  <c r="K298" i="10"/>
  <c r="K277" i="10"/>
  <c r="K319" i="10"/>
  <c r="K270" i="10"/>
  <c r="S270" i="10" s="1"/>
  <c r="K256" i="10"/>
  <c r="S256" i="10" s="1"/>
  <c r="K262" i="10"/>
  <c r="K57" i="10"/>
  <c r="K134" i="10"/>
  <c r="S134" i="10" s="1"/>
  <c r="K254" i="10"/>
  <c r="K109" i="10"/>
  <c r="K294" i="10"/>
  <c r="K141" i="10"/>
  <c r="S141" i="10" s="1"/>
  <c r="K304" i="10"/>
  <c r="K162" i="10"/>
  <c r="S162" i="10" s="1"/>
  <c r="K199" i="10"/>
  <c r="K186" i="10"/>
  <c r="K98" i="10"/>
  <c r="K169" i="10"/>
  <c r="K225" i="10"/>
  <c r="K128" i="10"/>
  <c r="K236" i="10"/>
  <c r="K96" i="10"/>
  <c r="K50" i="10"/>
  <c r="K34" i="10"/>
  <c r="K102" i="10"/>
  <c r="K67" i="10"/>
  <c r="K156" i="10"/>
  <c r="K155" i="10"/>
  <c r="K209" i="10"/>
  <c r="K273" i="10"/>
  <c r="K305" i="10"/>
  <c r="K173" i="10"/>
  <c r="K198" i="10"/>
  <c r="K281" i="10"/>
  <c r="K130" i="10"/>
  <c r="K261" i="10"/>
  <c r="K140" i="10"/>
  <c r="K125" i="10"/>
  <c r="K164" i="10"/>
  <c r="K165" i="10"/>
  <c r="K253" i="10"/>
  <c r="K221" i="10"/>
  <c r="K124" i="10"/>
  <c r="K232" i="10"/>
  <c r="S232" i="10" s="1"/>
  <c r="K92" i="10"/>
  <c r="K61" i="10"/>
  <c r="K120" i="10"/>
  <c r="K152" i="10"/>
  <c r="K265" i="10"/>
  <c r="S265" i="10" s="1"/>
  <c r="K205" i="10"/>
  <c r="K182" i="10"/>
  <c r="K301" i="10"/>
  <c r="K251" i="10"/>
  <c r="K142" i="10"/>
  <c r="K56" i="10"/>
  <c r="K161" i="10"/>
  <c r="K249" i="10"/>
  <c r="K217" i="10"/>
  <c r="K228" i="10"/>
  <c r="K88" i="10"/>
  <c r="K37" i="10"/>
  <c r="K311" i="10"/>
  <c r="K45" i="10"/>
  <c r="S45" i="10" s="1"/>
  <c r="K290" i="10"/>
  <c r="S290" i="10" s="1"/>
  <c r="K257" i="10"/>
  <c r="S257" i="10" s="1"/>
  <c r="K119" i="10"/>
  <c r="K267" i="10"/>
  <c r="K108" i="10"/>
  <c r="K118" i="10"/>
  <c r="K219" i="10"/>
  <c r="K207" i="10"/>
  <c r="K111" i="10"/>
  <c r="K65" i="10"/>
  <c r="K135" i="10"/>
  <c r="K49" i="10"/>
  <c r="K245" i="10"/>
  <c r="K213" i="10"/>
  <c r="K63" i="10"/>
  <c r="K163" i="10"/>
  <c r="S163" i="10" s="1"/>
  <c r="K84" i="10"/>
  <c r="K74" i="10"/>
  <c r="K266" i="10"/>
  <c r="K299" i="10"/>
  <c r="S299" i="10" s="1"/>
  <c r="K286" i="10"/>
  <c r="K216" i="10"/>
  <c r="K151" i="10"/>
  <c r="K272" i="10"/>
  <c r="K176" i="10"/>
  <c r="K179" i="10"/>
  <c r="K97" i="10"/>
  <c r="K230" i="10"/>
  <c r="K72" i="10"/>
  <c r="S72" i="10" s="1"/>
  <c r="K197" i="10"/>
  <c r="K200" i="10"/>
  <c r="S200" i="10" s="1"/>
  <c r="K47" i="10"/>
  <c r="K191" i="10"/>
  <c r="S191" i="10" s="1"/>
  <c r="K71" i="10"/>
  <c r="K223" i="10"/>
  <c r="K233" i="10"/>
  <c r="K93" i="10"/>
  <c r="S93" i="10" s="1"/>
  <c r="K116" i="10"/>
  <c r="K43" i="10"/>
  <c r="K317" i="10"/>
  <c r="K297" i="10"/>
  <c r="K316" i="10"/>
  <c r="K66" i="10"/>
  <c r="K243" i="10"/>
  <c r="K291" i="10"/>
  <c r="K282" i="10"/>
  <c r="K268" i="10"/>
  <c r="K210" i="10"/>
  <c r="K212" i="10"/>
  <c r="S212" i="10" s="1"/>
  <c r="K60" i="10"/>
  <c r="K85" i="10"/>
  <c r="K104" i="10"/>
  <c r="K39" i="10"/>
  <c r="K293" i="10"/>
  <c r="K308" i="10"/>
  <c r="K62" i="10"/>
  <c r="K235" i="10"/>
  <c r="K147" i="10"/>
  <c r="K279" i="10"/>
  <c r="K258" i="10"/>
  <c r="S258" i="10" s="1"/>
  <c r="K321" i="10"/>
  <c r="K38" i="10"/>
  <c r="K117" i="10"/>
  <c r="K51" i="10"/>
  <c r="K35" i="10"/>
  <c r="K289" i="10"/>
  <c r="S289" i="10" s="1"/>
  <c r="K58" i="10"/>
  <c r="K139" i="10"/>
  <c r="K250" i="10"/>
  <c r="K143" i="10"/>
  <c r="K194" i="10"/>
  <c r="K133" i="10"/>
  <c r="K149" i="10"/>
  <c r="S149" i="10" s="1"/>
  <c r="K113" i="10"/>
  <c r="S113" i="10" s="1"/>
  <c r="K59" i="10"/>
  <c r="K211" i="10"/>
  <c r="K285" i="10"/>
  <c r="K218" i="10"/>
  <c r="S218" i="10" s="1"/>
  <c r="K144" i="10"/>
  <c r="K54" i="10"/>
  <c r="K127" i="10"/>
  <c r="K246" i="10"/>
  <c r="K174" i="10"/>
  <c r="K229" i="10"/>
  <c r="K167" i="10"/>
  <c r="S167" i="10" s="1"/>
  <c r="K295" i="10"/>
  <c r="K101" i="10"/>
  <c r="S101" i="10" s="1"/>
  <c r="K248" i="10"/>
  <c r="K100" i="10"/>
  <c r="K271" i="10"/>
  <c r="K274" i="10"/>
  <c r="K90" i="10"/>
  <c r="K181" i="10"/>
  <c r="K307" i="10"/>
  <c r="K206" i="10"/>
  <c r="K157" i="10"/>
  <c r="S157" i="10" s="1"/>
  <c r="K300" i="10"/>
  <c r="S300" i="10" s="1"/>
  <c r="K145" i="10"/>
  <c r="K105" i="10"/>
  <c r="S105" i="10" s="1"/>
  <c r="K166" i="10"/>
  <c r="K178" i="10"/>
  <c r="K185" i="10"/>
  <c r="K259" i="10"/>
  <c r="K123" i="10"/>
  <c r="K242" i="10"/>
  <c r="K269" i="10"/>
  <c r="K99" i="10"/>
  <c r="K247" i="10"/>
  <c r="K146" i="10"/>
  <c r="K36" i="10"/>
  <c r="K313" i="10"/>
  <c r="K296" i="10"/>
  <c r="K137" i="10"/>
  <c r="K89" i="10"/>
  <c r="K314" i="10"/>
  <c r="K158" i="10"/>
  <c r="K154" i="10"/>
  <c r="K153" i="10"/>
  <c r="K201" i="10"/>
  <c r="K204" i="10"/>
  <c r="K115" i="10"/>
  <c r="S115" i="10" s="1"/>
  <c r="K234" i="10"/>
  <c r="K283" i="10"/>
  <c r="S283" i="10" s="1"/>
  <c r="K94" i="10"/>
  <c r="S94" i="10" s="1"/>
  <c r="K255" i="10"/>
  <c r="S255" i="10" s="1"/>
  <c r="K70" i="10"/>
  <c r="K73" i="10"/>
  <c r="K320" i="10"/>
  <c r="K172" i="10"/>
  <c r="S172" i="10" s="1"/>
  <c r="K238" i="10"/>
  <c r="K292" i="10"/>
  <c r="K129" i="10"/>
  <c r="K52" i="10"/>
  <c r="K95" i="10"/>
  <c r="S95" i="10" s="1"/>
  <c r="K114" i="10"/>
  <c r="K193" i="10"/>
  <c r="K192" i="10"/>
  <c r="K107" i="10"/>
  <c r="K226" i="10"/>
  <c r="K32" i="10"/>
  <c r="K202" i="10"/>
  <c r="K276" i="10"/>
  <c r="S276" i="10" s="1"/>
  <c r="K87" i="10"/>
  <c r="K86" i="10"/>
  <c r="K184" i="10"/>
  <c r="K183" i="10"/>
  <c r="S183" i="10" s="1"/>
  <c r="K309" i="10"/>
  <c r="K64" i="10"/>
  <c r="K122" i="10"/>
  <c r="S122" i="10" s="1"/>
  <c r="K170" i="10"/>
  <c r="K195" i="10"/>
  <c r="K48" i="10"/>
  <c r="K148" i="10"/>
  <c r="K214" i="10"/>
  <c r="K302" i="10"/>
  <c r="K310" i="10"/>
  <c r="K224" i="10"/>
  <c r="K41" i="10"/>
  <c r="K126" i="10"/>
  <c r="K318" i="10"/>
  <c r="K203" i="10"/>
  <c r="K150" i="10"/>
  <c r="K288" i="10"/>
  <c r="K227" i="10"/>
  <c r="K284" i="10"/>
  <c r="K121" i="10"/>
  <c r="K315" i="10"/>
  <c r="K40" i="10"/>
  <c r="S40" i="10" s="1"/>
  <c r="K275" i="10"/>
  <c r="K220" i="10"/>
  <c r="K91" i="10"/>
  <c r="K106" i="10"/>
  <c r="S106" i="10" s="1"/>
  <c r="K188" i="10"/>
  <c r="K187" i="10"/>
  <c r="S187" i="10" s="1"/>
  <c r="K215" i="10"/>
  <c r="K103" i="10"/>
  <c r="K222" i="10"/>
  <c r="G70" i="4" l="1"/>
  <c r="G62" i="4"/>
  <c r="G54" i="4"/>
  <c r="B1" i="7" l="1"/>
  <c r="C1" i="7" s="1"/>
  <c r="D1" i="7" s="1"/>
  <c r="E1" i="7" s="1"/>
  <c r="F1" i="7" l="1"/>
  <c r="G1" i="7" s="1"/>
  <c r="H1" i="7" s="1"/>
  <c r="I1" i="7" s="1"/>
  <c r="J1" i="7" s="1"/>
  <c r="G71" i="4"/>
  <c r="G63" i="4"/>
  <c r="O68" i="4"/>
  <c r="K67" i="4"/>
  <c r="K69" i="4" s="1"/>
  <c r="O60" i="4"/>
  <c r="K59" i="4"/>
  <c r="K61" i="4" s="1"/>
  <c r="G55" i="4"/>
  <c r="O52" i="4"/>
  <c r="K51" i="4"/>
  <c r="K53" i="4" s="1"/>
  <c r="G49" i="4"/>
  <c r="G36" i="4"/>
  <c r="H4" i="7" s="1"/>
  <c r="G11" i="4"/>
  <c r="K47" i="4"/>
  <c r="K45" i="4"/>
  <c r="K70" i="4" s="1"/>
  <c r="K72" i="4" s="1"/>
  <c r="O40" i="4"/>
  <c r="K36" i="4"/>
  <c r="K33" i="4"/>
  <c r="K54" i="4" s="1"/>
  <c r="K56" i="4" s="1"/>
  <c r="O29" i="4"/>
  <c r="K14" i="4"/>
  <c r="K12" i="4"/>
  <c r="I4" i="7" l="1"/>
  <c r="I8" i="7"/>
  <c r="I24" i="7"/>
  <c r="I29" i="7"/>
  <c r="I6" i="7"/>
  <c r="I9" i="7"/>
  <c r="I25" i="7"/>
  <c r="I13" i="7"/>
  <c r="I30" i="7"/>
  <c r="I22" i="7"/>
  <c r="I10" i="7"/>
  <c r="I26" i="7"/>
  <c r="I19" i="7"/>
  <c r="I23" i="7"/>
  <c r="I11" i="7"/>
  <c r="I27" i="7"/>
  <c r="I28" i="7"/>
  <c r="I14" i="7"/>
  <c r="I31" i="7"/>
  <c r="I7" i="7"/>
  <c r="I12" i="7"/>
  <c r="I17" i="7"/>
  <c r="I5" i="7"/>
  <c r="I15" i="7"/>
  <c r="I18" i="7"/>
  <c r="I32" i="7"/>
  <c r="I33" i="7"/>
  <c r="I21" i="7"/>
  <c r="I16" i="7"/>
  <c r="I20" i="7"/>
  <c r="I214" i="7"/>
  <c r="I113" i="7"/>
  <c r="I294" i="7"/>
  <c r="I125" i="7"/>
  <c r="I281" i="7"/>
  <c r="I325" i="7"/>
  <c r="I309" i="7"/>
  <c r="I234" i="7"/>
  <c r="I218" i="7"/>
  <c r="I202" i="7"/>
  <c r="I186" i="7"/>
  <c r="I44" i="7"/>
  <c r="I142" i="7"/>
  <c r="I189" i="7"/>
  <c r="I173" i="7"/>
  <c r="I157" i="7"/>
  <c r="I78" i="7"/>
  <c r="I187" i="7"/>
  <c r="I182" i="7"/>
  <c r="I85" i="7"/>
  <c r="I148" i="7"/>
  <c r="I188" i="7"/>
  <c r="I89" i="7"/>
  <c r="I73" i="7"/>
  <c r="I57" i="7"/>
  <c r="I293" i="7"/>
  <c r="I280" i="7"/>
  <c r="I264" i="7"/>
  <c r="I249" i="7"/>
  <c r="I107" i="7"/>
  <c r="I91" i="7"/>
  <c r="I205" i="7"/>
  <c r="I252" i="7"/>
  <c r="I236" i="7"/>
  <c r="I220" i="7"/>
  <c r="I141" i="7"/>
  <c r="I150" i="7"/>
  <c r="I70" i="7"/>
  <c r="I176" i="7"/>
  <c r="I42" i="7"/>
  <c r="I251" i="7"/>
  <c r="I168" i="7"/>
  <c r="I152" i="7"/>
  <c r="I136" i="7"/>
  <c r="I41" i="7"/>
  <c r="I104" i="7"/>
  <c r="I88" i="7"/>
  <c r="I324" i="7"/>
  <c r="I170" i="7"/>
  <c r="I154" i="7"/>
  <c r="I267" i="7"/>
  <c r="I311" i="7"/>
  <c r="I295" i="7"/>
  <c r="I204" i="7"/>
  <c r="I108" i="7"/>
  <c r="I54" i="7"/>
  <c r="I86" i="7"/>
  <c r="I116" i="7"/>
  <c r="I310" i="7"/>
  <c r="I247" i="7"/>
  <c r="I231" i="7"/>
  <c r="I215" i="7"/>
  <c r="I120" i="7"/>
  <c r="I183" i="7"/>
  <c r="I167" i="7"/>
  <c r="I72" i="7"/>
  <c r="I233" i="7"/>
  <c r="I217" i="7"/>
  <c r="I75" i="7"/>
  <c r="I59" i="7"/>
  <c r="I43" i="7"/>
  <c r="I90" i="7"/>
  <c r="I266" i="7"/>
  <c r="I158" i="7"/>
  <c r="I229" i="7"/>
  <c r="I69" i="7"/>
  <c r="I105" i="7"/>
  <c r="I58" i="7"/>
  <c r="I53" i="7"/>
  <c r="I195" i="7"/>
  <c r="I100" i="7"/>
  <c r="I199" i="7"/>
  <c r="I245" i="7"/>
  <c r="I52" i="7"/>
  <c r="I151" i="7"/>
  <c r="I308" i="7"/>
  <c r="I292" i="7"/>
  <c r="I138" i="7"/>
  <c r="I122" i="7"/>
  <c r="I106" i="7"/>
  <c r="I153" i="7"/>
  <c r="I35" i="7"/>
  <c r="I213" i="7"/>
  <c r="I239" i="7"/>
  <c r="I259" i="7"/>
  <c r="I121" i="7"/>
  <c r="I132" i="7"/>
  <c r="I258" i="7"/>
  <c r="I179" i="7"/>
  <c r="I320" i="7"/>
  <c r="I131" i="7"/>
  <c r="I288" i="7"/>
  <c r="I56" i="7"/>
  <c r="I40" i="7"/>
  <c r="I201" i="7"/>
  <c r="I185" i="7"/>
  <c r="I169" i="7"/>
  <c r="I232" i="7"/>
  <c r="I74" i="7"/>
  <c r="I156" i="7"/>
  <c r="I63" i="7"/>
  <c r="I165" i="7"/>
  <c r="I37" i="7"/>
  <c r="I184" i="7"/>
  <c r="I200" i="7"/>
  <c r="I211" i="7"/>
  <c r="I317" i="7"/>
  <c r="I242" i="7"/>
  <c r="I84" i="7"/>
  <c r="I68" i="7"/>
  <c r="I194" i="7"/>
  <c r="I36" i="7"/>
  <c r="I135" i="7"/>
  <c r="I119" i="7"/>
  <c r="I279" i="7"/>
  <c r="I263" i="7"/>
  <c r="I248" i="7"/>
  <c r="I307" i="7"/>
  <c r="I137" i="7"/>
  <c r="I180" i="7"/>
  <c r="I198" i="7"/>
  <c r="I149" i="7"/>
  <c r="I298" i="7"/>
  <c r="I243" i="7"/>
  <c r="I278" i="7"/>
  <c r="I273" i="7"/>
  <c r="I65" i="7"/>
  <c r="I301" i="7"/>
  <c r="I163" i="7"/>
  <c r="I147" i="7"/>
  <c r="I257" i="7"/>
  <c r="I115" i="7"/>
  <c r="I197" i="7"/>
  <c r="I118" i="7"/>
  <c r="I103" i="7"/>
  <c r="I87" i="7"/>
  <c r="I323" i="7"/>
  <c r="I55" i="7"/>
  <c r="I216" i="7"/>
  <c r="I283" i="7"/>
  <c r="I321" i="7"/>
  <c r="I164" i="7"/>
  <c r="I304" i="7"/>
  <c r="I262" i="7"/>
  <c r="I286" i="7"/>
  <c r="I81" i="7"/>
  <c r="I128" i="7"/>
  <c r="I49" i="7"/>
  <c r="I226" i="7"/>
  <c r="I210" i="7"/>
  <c r="I316" i="7"/>
  <c r="I178" i="7"/>
  <c r="I275" i="7"/>
  <c r="I102" i="7"/>
  <c r="I319" i="7"/>
  <c r="I303" i="7"/>
  <c r="I71" i="7"/>
  <c r="I38" i="7"/>
  <c r="I291" i="7"/>
  <c r="I237" i="7"/>
  <c r="I305" i="7"/>
  <c r="I227" i="7"/>
  <c r="I46" i="7"/>
  <c r="I318" i="7"/>
  <c r="I97" i="7"/>
  <c r="I144" i="7"/>
  <c r="I191" i="7"/>
  <c r="I112" i="7"/>
  <c r="I285" i="7"/>
  <c r="I272" i="7"/>
  <c r="I64" i="7"/>
  <c r="I241" i="7"/>
  <c r="I99" i="7"/>
  <c r="I181" i="7"/>
  <c r="I67" i="7"/>
  <c r="I51" i="7"/>
  <c r="I212" i="7"/>
  <c r="I117" i="7"/>
  <c r="I47" i="7"/>
  <c r="I289" i="7"/>
  <c r="I302" i="7"/>
  <c r="I244" i="7"/>
  <c r="I66" i="7"/>
  <c r="I160" i="7"/>
  <c r="I207" i="7"/>
  <c r="I254" i="7"/>
  <c r="I175" i="7"/>
  <c r="I96" i="7"/>
  <c r="I80" i="7"/>
  <c r="I127" i="7"/>
  <c r="I300" i="7"/>
  <c r="I162" i="7"/>
  <c r="I260" i="7"/>
  <c r="I130" i="7"/>
  <c r="I114" i="7"/>
  <c r="I287" i="7"/>
  <c r="I196" i="7"/>
  <c r="I203" i="7"/>
  <c r="I230" i="7"/>
  <c r="I166" i="7"/>
  <c r="I109" i="7"/>
  <c r="I129" i="7"/>
  <c r="I223" i="7"/>
  <c r="I269" i="7"/>
  <c r="I313" i="7"/>
  <c r="I238" i="7"/>
  <c r="I159" i="7"/>
  <c r="I143" i="7"/>
  <c r="I190" i="7"/>
  <c r="I48" i="7"/>
  <c r="I225" i="7"/>
  <c r="I83" i="7"/>
  <c r="I193" i="7"/>
  <c r="I177" i="7"/>
  <c r="I98" i="7"/>
  <c r="I274" i="7"/>
  <c r="I134" i="7"/>
  <c r="I92" i="7"/>
  <c r="I76" i="7"/>
  <c r="I60" i="7"/>
  <c r="I271" i="7"/>
  <c r="I208" i="7"/>
  <c r="I276" i="7"/>
  <c r="I133" i="7"/>
  <c r="I228" i="7"/>
  <c r="I192" i="7"/>
  <c r="I282" i="7"/>
  <c r="I77" i="7"/>
  <c r="I61" i="7"/>
  <c r="I297" i="7"/>
  <c r="I222" i="7"/>
  <c r="I206" i="7"/>
  <c r="I253" i="7"/>
  <c r="I111" i="7"/>
  <c r="I284" i="7"/>
  <c r="I146" i="7"/>
  <c r="I256" i="7"/>
  <c r="I240" i="7"/>
  <c r="I161" i="7"/>
  <c r="I82" i="7"/>
  <c r="I314" i="7"/>
  <c r="I322" i="7"/>
  <c r="I50" i="7"/>
  <c r="I172" i="7"/>
  <c r="I255" i="7"/>
  <c r="I93" i="7"/>
  <c r="I140" i="7"/>
  <c r="I124" i="7"/>
  <c r="I45" i="7"/>
  <c r="I268" i="7"/>
  <c r="I312" i="7"/>
  <c r="I174" i="7"/>
  <c r="I95" i="7"/>
  <c r="I209" i="7"/>
  <c r="I315" i="7"/>
  <c r="I299" i="7"/>
  <c r="I224" i="7"/>
  <c r="I145" i="7"/>
  <c r="I39" i="7"/>
  <c r="I101" i="7"/>
  <c r="I235" i="7"/>
  <c r="I62" i="7"/>
  <c r="I219" i="7"/>
  <c r="I265" i="7"/>
  <c r="I250" i="7"/>
  <c r="I171" i="7"/>
  <c r="I155" i="7"/>
  <c r="I139" i="7"/>
  <c r="I123" i="7"/>
  <c r="I296" i="7"/>
  <c r="I221" i="7"/>
  <c r="I79" i="7"/>
  <c r="I126" i="7"/>
  <c r="I110" i="7"/>
  <c r="I94" i="7"/>
  <c r="I270" i="7"/>
  <c r="I277" i="7"/>
  <c r="I261" i="7"/>
  <c r="I290" i="7"/>
  <c r="I246" i="7"/>
  <c r="I306" i="7"/>
  <c r="H17" i="7"/>
  <c r="H33" i="7"/>
  <c r="H18" i="7"/>
  <c r="H19" i="7"/>
  <c r="H20" i="7"/>
  <c r="H5" i="7"/>
  <c r="H21" i="7"/>
  <c r="H6" i="7"/>
  <c r="H22" i="7"/>
  <c r="H16" i="7"/>
  <c r="H7" i="7"/>
  <c r="H23" i="7"/>
  <c r="H8" i="7"/>
  <c r="H24" i="7"/>
  <c r="H9" i="7"/>
  <c r="H25" i="7"/>
  <c r="H10" i="7"/>
  <c r="H26" i="7"/>
  <c r="H11" i="7"/>
  <c r="H27" i="7"/>
  <c r="H12" i="7"/>
  <c r="H28" i="7"/>
  <c r="H13" i="7"/>
  <c r="H29" i="7"/>
  <c r="H14" i="7"/>
  <c r="H30" i="7"/>
  <c r="H32" i="7"/>
  <c r="H15" i="7"/>
  <c r="H31" i="7"/>
  <c r="C19" i="7"/>
  <c r="C4" i="7"/>
  <c r="D4" i="7" s="1"/>
  <c r="C20" i="7"/>
  <c r="C5" i="7"/>
  <c r="C21" i="7"/>
  <c r="C6" i="7"/>
  <c r="C22" i="7"/>
  <c r="C7" i="7"/>
  <c r="C23" i="7"/>
  <c r="C8" i="7"/>
  <c r="C24" i="7"/>
  <c r="C9" i="7"/>
  <c r="C25" i="7"/>
  <c r="C10" i="7"/>
  <c r="C26" i="7"/>
  <c r="C11" i="7"/>
  <c r="C27" i="7"/>
  <c r="C12" i="7"/>
  <c r="C28" i="7"/>
  <c r="C13" i="7"/>
  <c r="C29" i="7"/>
  <c r="C14" i="7"/>
  <c r="C30" i="7"/>
  <c r="C15" i="7"/>
  <c r="C31" i="7"/>
  <c r="C16" i="7"/>
  <c r="C32" i="7"/>
  <c r="C17" i="7"/>
  <c r="C33" i="7"/>
  <c r="C18" i="7"/>
  <c r="H69" i="7"/>
  <c r="H191" i="7"/>
  <c r="H144" i="7"/>
  <c r="H97" i="7"/>
  <c r="H302" i="7"/>
  <c r="H259" i="7"/>
  <c r="H212" i="7"/>
  <c r="H165" i="7"/>
  <c r="H118" i="7"/>
  <c r="H38" i="7"/>
  <c r="H307" i="7"/>
  <c r="H248" i="7"/>
  <c r="H185" i="7"/>
  <c r="H138" i="7"/>
  <c r="H91" i="7"/>
  <c r="H296" i="7"/>
  <c r="H158" i="7"/>
  <c r="H206" i="7"/>
  <c r="H41" i="7"/>
  <c r="H207" i="7"/>
  <c r="H160" i="7"/>
  <c r="H113" i="7"/>
  <c r="H57" i="7"/>
  <c r="H318" i="7"/>
  <c r="H274" i="7"/>
  <c r="H228" i="7"/>
  <c r="H181" i="7"/>
  <c r="H134" i="7"/>
  <c r="H65" i="7"/>
  <c r="H323" i="7"/>
  <c r="H263" i="7"/>
  <c r="H201" i="7"/>
  <c r="H154" i="7"/>
  <c r="H107" i="7"/>
  <c r="H46" i="7"/>
  <c r="H312" i="7"/>
  <c r="H282" i="7"/>
  <c r="H42" i="7"/>
  <c r="H223" i="7"/>
  <c r="H176" i="7"/>
  <c r="H129" i="7"/>
  <c r="H81" i="7"/>
  <c r="H287" i="7"/>
  <c r="H244" i="7"/>
  <c r="H197" i="7"/>
  <c r="H150" i="7"/>
  <c r="H87" i="7"/>
  <c r="H279" i="7"/>
  <c r="H217" i="7"/>
  <c r="H170" i="7"/>
  <c r="H123" i="7"/>
  <c r="H73" i="7"/>
  <c r="H173" i="7"/>
  <c r="H93" i="7"/>
  <c r="H58" i="7"/>
  <c r="H239" i="7"/>
  <c r="H192" i="7"/>
  <c r="H145" i="7"/>
  <c r="H98" i="7"/>
  <c r="H303" i="7"/>
  <c r="H260" i="7"/>
  <c r="H213" i="7"/>
  <c r="H166" i="7"/>
  <c r="H103" i="7"/>
  <c r="H292" i="7"/>
  <c r="H233" i="7"/>
  <c r="H186" i="7"/>
  <c r="H139" i="7"/>
  <c r="H92" i="7"/>
  <c r="H297" i="7"/>
  <c r="H221" i="7"/>
  <c r="H74" i="7"/>
  <c r="H255" i="7"/>
  <c r="H208" i="7"/>
  <c r="H161" i="7"/>
  <c r="H114" i="7"/>
  <c r="H60" i="7"/>
  <c r="H319" i="7"/>
  <c r="H275" i="7"/>
  <c r="H229" i="7"/>
  <c r="H182" i="7"/>
  <c r="H119" i="7"/>
  <c r="H39" i="7"/>
  <c r="H308" i="7"/>
  <c r="H249" i="7"/>
  <c r="H202" i="7"/>
  <c r="H155" i="7"/>
  <c r="H108" i="7"/>
  <c r="H110" i="7"/>
  <c r="H174" i="7"/>
  <c r="H47" i="7"/>
  <c r="H43" i="7"/>
  <c r="H270" i="7"/>
  <c r="H224" i="7"/>
  <c r="H177" i="7"/>
  <c r="H130" i="7"/>
  <c r="H82" i="7"/>
  <c r="H288" i="7"/>
  <c r="H245" i="7"/>
  <c r="H198" i="7"/>
  <c r="H135" i="7"/>
  <c r="H66" i="7"/>
  <c r="H324" i="7"/>
  <c r="H264" i="7"/>
  <c r="H218" i="7"/>
  <c r="H171" i="7"/>
  <c r="H124" i="7"/>
  <c r="H238" i="7"/>
  <c r="H298" i="7"/>
  <c r="H94" i="7"/>
  <c r="H63" i="7"/>
  <c r="H59" i="7"/>
  <c r="H283" i="7"/>
  <c r="H240" i="7"/>
  <c r="H193" i="7"/>
  <c r="H146" i="7"/>
  <c r="H99" i="7"/>
  <c r="H304" i="7"/>
  <c r="H214" i="7"/>
  <c r="H151" i="7"/>
  <c r="H88" i="7"/>
  <c r="H280" i="7"/>
  <c r="H234" i="7"/>
  <c r="H187" i="7"/>
  <c r="H140" i="7"/>
  <c r="H125" i="7"/>
  <c r="H48" i="7"/>
  <c r="H109" i="7"/>
  <c r="H49" i="7"/>
  <c r="H75" i="7"/>
  <c r="H299" i="7"/>
  <c r="H256" i="7"/>
  <c r="H209" i="7"/>
  <c r="H162" i="7"/>
  <c r="H115" i="7"/>
  <c r="H61" i="7"/>
  <c r="H320" i="7"/>
  <c r="H276" i="7"/>
  <c r="H230" i="7"/>
  <c r="H167" i="7"/>
  <c r="H104" i="7"/>
  <c r="H293" i="7"/>
  <c r="H250" i="7"/>
  <c r="H203" i="7"/>
  <c r="H156" i="7"/>
  <c r="H253" i="7"/>
  <c r="H189" i="7"/>
  <c r="H222" i="7"/>
  <c r="H51" i="7"/>
  <c r="H54" i="7"/>
  <c r="H315" i="7"/>
  <c r="H271" i="7"/>
  <c r="H225" i="7"/>
  <c r="H178" i="7"/>
  <c r="H131" i="7"/>
  <c r="H84" i="7"/>
  <c r="H289" i="7"/>
  <c r="H246" i="7"/>
  <c r="H183" i="7"/>
  <c r="H120" i="7"/>
  <c r="H40" i="7"/>
  <c r="H309" i="7"/>
  <c r="H265" i="7"/>
  <c r="H219" i="7"/>
  <c r="H172" i="7"/>
  <c r="H126" i="7"/>
  <c r="H313" i="7"/>
  <c r="H237" i="7"/>
  <c r="H67" i="7"/>
  <c r="H78" i="7"/>
  <c r="H284" i="7"/>
  <c r="H241" i="7"/>
  <c r="H194" i="7"/>
  <c r="H147" i="7"/>
  <c r="H100" i="7"/>
  <c r="H305" i="7"/>
  <c r="H261" i="7"/>
  <c r="H199" i="7"/>
  <c r="H136" i="7"/>
  <c r="H70" i="7"/>
  <c r="H325" i="7"/>
  <c r="H281" i="7"/>
  <c r="H235" i="7"/>
  <c r="H188" i="7"/>
  <c r="H254" i="7"/>
  <c r="H50" i="7"/>
  <c r="H83" i="7"/>
  <c r="H95" i="7"/>
  <c r="H300" i="7"/>
  <c r="H257" i="7"/>
  <c r="H210" i="7"/>
  <c r="H163" i="7"/>
  <c r="H116" i="7"/>
  <c r="H62" i="7"/>
  <c r="H321" i="7"/>
  <c r="H277" i="7"/>
  <c r="H215" i="7"/>
  <c r="H152" i="7"/>
  <c r="H89" i="7"/>
  <c r="H294" i="7"/>
  <c r="H251" i="7"/>
  <c r="H204" i="7"/>
  <c r="H141" i="7"/>
  <c r="H190" i="7"/>
  <c r="H36" i="7"/>
  <c r="H111" i="7"/>
  <c r="H55" i="7"/>
  <c r="H316" i="7"/>
  <c r="H272" i="7"/>
  <c r="H226" i="7"/>
  <c r="H179" i="7"/>
  <c r="H132" i="7"/>
  <c r="H85" i="7"/>
  <c r="H290" i="7"/>
  <c r="H231" i="7"/>
  <c r="H168" i="7"/>
  <c r="H105" i="7"/>
  <c r="H44" i="7"/>
  <c r="H310" i="7"/>
  <c r="H266" i="7"/>
  <c r="H220" i="7"/>
  <c r="H268" i="7"/>
  <c r="H314" i="7"/>
  <c r="H52" i="7"/>
  <c r="H127" i="7"/>
  <c r="H79" i="7"/>
  <c r="H285" i="7"/>
  <c r="H242" i="7"/>
  <c r="H195" i="7"/>
  <c r="H148" i="7"/>
  <c r="H101" i="7"/>
  <c r="H306" i="7"/>
  <c r="H247" i="7"/>
  <c r="H184" i="7"/>
  <c r="H121" i="7"/>
  <c r="H71" i="7"/>
  <c r="H35" i="7"/>
  <c r="H236" i="7"/>
  <c r="H142" i="7"/>
  <c r="H76" i="7"/>
  <c r="H68" i="7"/>
  <c r="H143" i="7"/>
  <c r="H96" i="7"/>
  <c r="H301" i="7"/>
  <c r="H258" i="7"/>
  <c r="H211" i="7"/>
  <c r="H164" i="7"/>
  <c r="H117" i="7"/>
  <c r="H64" i="7"/>
  <c r="H322" i="7"/>
  <c r="H262" i="7"/>
  <c r="H200" i="7"/>
  <c r="H137" i="7"/>
  <c r="H90" i="7"/>
  <c r="H295" i="7"/>
  <c r="H252" i="7"/>
  <c r="H269" i="7"/>
  <c r="H205" i="7"/>
  <c r="H317" i="7"/>
  <c r="H216" i="7"/>
  <c r="H232" i="7"/>
  <c r="H273" i="7"/>
  <c r="H153" i="7"/>
  <c r="H286" i="7"/>
  <c r="H169" i="7"/>
  <c r="H227" i="7"/>
  <c r="H106" i="7"/>
  <c r="H243" i="7"/>
  <c r="H122" i="7"/>
  <c r="H180" i="7"/>
  <c r="H45" i="7"/>
  <c r="H196" i="7"/>
  <c r="H72" i="7"/>
  <c r="H37" i="7"/>
  <c r="H133" i="7"/>
  <c r="H311" i="7"/>
  <c r="H53" i="7"/>
  <c r="H149" i="7"/>
  <c r="H159" i="7"/>
  <c r="H86" i="7"/>
  <c r="H267" i="7"/>
  <c r="H175" i="7"/>
  <c r="H102" i="7"/>
  <c r="H112" i="7"/>
  <c r="H157" i="7"/>
  <c r="H128" i="7"/>
  <c r="H56" i="7"/>
  <c r="H80" i="7"/>
  <c r="H278" i="7"/>
  <c r="H291" i="7"/>
  <c r="H77" i="7"/>
  <c r="C48" i="7"/>
  <c r="C81" i="7"/>
  <c r="C114" i="7"/>
  <c r="C147" i="7"/>
  <c r="C180" i="7"/>
  <c r="C213" i="7"/>
  <c r="C230" i="7"/>
  <c r="C40" i="7"/>
  <c r="C170" i="7"/>
  <c r="C235" i="7"/>
  <c r="C61" i="7"/>
  <c r="C234" i="7"/>
  <c r="C105" i="7"/>
  <c r="C301" i="7"/>
  <c r="C201" i="7"/>
  <c r="C277" i="7"/>
  <c r="C73" i="7"/>
  <c r="C309" i="7"/>
  <c r="C264" i="7"/>
  <c r="C64" i="7"/>
  <c r="C97" i="7"/>
  <c r="C130" i="7"/>
  <c r="C163" i="7"/>
  <c r="C196" i="7"/>
  <c r="C229" i="7"/>
  <c r="C246" i="7"/>
  <c r="C56" i="7"/>
  <c r="C186" i="7"/>
  <c r="C44" i="7"/>
  <c r="C77" i="7"/>
  <c r="C266" i="7"/>
  <c r="C184" i="7"/>
  <c r="C317" i="7"/>
  <c r="C254" i="7"/>
  <c r="C290" i="7"/>
  <c r="C158" i="7"/>
  <c r="C325" i="7"/>
  <c r="C265" i="7"/>
  <c r="C80" i="7"/>
  <c r="C113" i="7"/>
  <c r="C146" i="7"/>
  <c r="C179" i="7"/>
  <c r="C212" i="7"/>
  <c r="C245" i="7"/>
  <c r="C39" i="7"/>
  <c r="C72" i="7"/>
  <c r="C202" i="7"/>
  <c r="C60" i="7"/>
  <c r="C93" i="7"/>
  <c r="C239" i="7"/>
  <c r="C111" i="7"/>
  <c r="C274" i="7"/>
  <c r="C57" i="7"/>
  <c r="C306" i="7"/>
  <c r="C222" i="7"/>
  <c r="C294" i="7"/>
  <c r="C96" i="7"/>
  <c r="C129" i="7"/>
  <c r="C162" i="7"/>
  <c r="C195" i="7"/>
  <c r="C228" i="7"/>
  <c r="C55" i="7"/>
  <c r="C88" i="7"/>
  <c r="C218" i="7"/>
  <c r="C76" i="7"/>
  <c r="C109" i="7"/>
  <c r="C296" i="7"/>
  <c r="C269" i="7"/>
  <c r="C190" i="7"/>
  <c r="C287" i="7"/>
  <c r="C142" i="7"/>
  <c r="C322" i="7"/>
  <c r="C262" i="7"/>
  <c r="C295" i="7"/>
  <c r="C281" i="7"/>
  <c r="C112" i="7"/>
  <c r="C145" i="7"/>
  <c r="C178" i="7"/>
  <c r="C211" i="7"/>
  <c r="C244" i="7"/>
  <c r="C38" i="7"/>
  <c r="C71" i="7"/>
  <c r="C104" i="7"/>
  <c r="C43" i="7"/>
  <c r="C92" i="7"/>
  <c r="C125" i="7"/>
  <c r="C312" i="7"/>
  <c r="C282" i="7"/>
  <c r="C249" i="7"/>
  <c r="C41" i="7"/>
  <c r="C303" i="7"/>
  <c r="C207" i="7"/>
  <c r="C279" i="7"/>
  <c r="C310" i="7"/>
  <c r="C128" i="7"/>
  <c r="C161" i="7"/>
  <c r="C194" i="7"/>
  <c r="C227" i="7"/>
  <c r="C37" i="7"/>
  <c r="C54" i="7"/>
  <c r="C87" i="7"/>
  <c r="C120" i="7"/>
  <c r="C59" i="7"/>
  <c r="C108" i="7"/>
  <c r="C141" i="7"/>
  <c r="C298" i="7"/>
  <c r="C271" i="7"/>
  <c r="C126" i="7"/>
  <c r="C319" i="7"/>
  <c r="C259" i="7"/>
  <c r="C292" i="7"/>
  <c r="C311" i="7"/>
  <c r="C144" i="7"/>
  <c r="C177" i="7"/>
  <c r="C210" i="7"/>
  <c r="C243" i="7"/>
  <c r="C53" i="7"/>
  <c r="C70" i="7"/>
  <c r="C103" i="7"/>
  <c r="C136" i="7"/>
  <c r="C75" i="7"/>
  <c r="C124" i="7"/>
  <c r="C157" i="7"/>
  <c r="C314" i="7"/>
  <c r="C284" i="7"/>
  <c r="C200" i="7"/>
  <c r="C276" i="7"/>
  <c r="C63" i="7"/>
  <c r="C308" i="7"/>
  <c r="C35" i="7"/>
  <c r="C160" i="7"/>
  <c r="C193" i="7"/>
  <c r="C226" i="7"/>
  <c r="C36" i="7"/>
  <c r="C69" i="7"/>
  <c r="C86" i="7"/>
  <c r="C119" i="7"/>
  <c r="C152" i="7"/>
  <c r="C91" i="7"/>
  <c r="C140" i="7"/>
  <c r="C173" i="7"/>
  <c r="C95" i="7"/>
  <c r="C300" i="7"/>
  <c r="C251" i="7"/>
  <c r="C289" i="7"/>
  <c r="C153" i="7"/>
  <c r="C324" i="7"/>
  <c r="C176" i="7"/>
  <c r="C209" i="7"/>
  <c r="C242" i="7"/>
  <c r="C52" i="7"/>
  <c r="C85" i="7"/>
  <c r="C102" i="7"/>
  <c r="C135" i="7"/>
  <c r="C42" i="7"/>
  <c r="C107" i="7"/>
  <c r="C156" i="7"/>
  <c r="C189" i="7"/>
  <c r="C175" i="7"/>
  <c r="C316" i="7"/>
  <c r="C273" i="7"/>
  <c r="C47" i="7"/>
  <c r="C305" i="7"/>
  <c r="C217" i="7"/>
  <c r="C79" i="7"/>
  <c r="C192" i="7"/>
  <c r="C225" i="7"/>
  <c r="C258" i="7"/>
  <c r="C68" i="7"/>
  <c r="C101" i="7"/>
  <c r="C118" i="7"/>
  <c r="C151" i="7"/>
  <c r="C58" i="7"/>
  <c r="C123" i="7"/>
  <c r="C172" i="7"/>
  <c r="C205" i="7"/>
  <c r="C238" i="7"/>
  <c r="C110" i="7"/>
  <c r="C286" i="7"/>
  <c r="C137" i="7"/>
  <c r="C321" i="7"/>
  <c r="C261" i="7"/>
  <c r="C208" i="7"/>
  <c r="C241" i="7"/>
  <c r="C51" i="7"/>
  <c r="C84" i="7"/>
  <c r="C117" i="7"/>
  <c r="C134" i="7"/>
  <c r="C167" i="7"/>
  <c r="C74" i="7"/>
  <c r="C139" i="7"/>
  <c r="C188" i="7"/>
  <c r="C221" i="7"/>
  <c r="C267" i="7"/>
  <c r="C185" i="7"/>
  <c r="C302" i="7"/>
  <c r="C206" i="7"/>
  <c r="C278" i="7"/>
  <c r="C78" i="7"/>
  <c r="C89" i="7"/>
  <c r="C224" i="7"/>
  <c r="C257" i="7"/>
  <c r="C67" i="7"/>
  <c r="C100" i="7"/>
  <c r="C133" i="7"/>
  <c r="C150" i="7"/>
  <c r="C183" i="7"/>
  <c r="C90" i="7"/>
  <c r="C155" i="7"/>
  <c r="C204" i="7"/>
  <c r="C237" i="7"/>
  <c r="C248" i="7"/>
  <c r="C121" i="7"/>
  <c r="C318" i="7"/>
  <c r="C255" i="7"/>
  <c r="C291" i="7"/>
  <c r="C159" i="7"/>
  <c r="C240" i="7"/>
  <c r="C50" i="7"/>
  <c r="C83" i="7"/>
  <c r="C116" i="7"/>
  <c r="C149" i="7"/>
  <c r="C166" i="7"/>
  <c r="C199" i="7"/>
  <c r="C106" i="7"/>
  <c r="C171" i="7"/>
  <c r="C220" i="7"/>
  <c r="C253" i="7"/>
  <c r="C297" i="7"/>
  <c r="C270" i="7"/>
  <c r="C191" i="7"/>
  <c r="C275" i="7"/>
  <c r="C62" i="7"/>
  <c r="C307" i="7"/>
  <c r="C223" i="7"/>
  <c r="C168" i="7"/>
  <c r="C256" i="7"/>
  <c r="C66" i="7"/>
  <c r="C99" i="7"/>
  <c r="C132" i="7"/>
  <c r="C165" i="7"/>
  <c r="C182" i="7"/>
  <c r="C215" i="7"/>
  <c r="C122" i="7"/>
  <c r="C187" i="7"/>
  <c r="C236" i="7"/>
  <c r="C268" i="7"/>
  <c r="C313" i="7"/>
  <c r="C283" i="7"/>
  <c r="C250" i="7"/>
  <c r="C288" i="7"/>
  <c r="C143" i="7"/>
  <c r="C323" i="7"/>
  <c r="C263" i="7"/>
  <c r="C169" i="7"/>
  <c r="C49" i="7"/>
  <c r="C203" i="7"/>
  <c r="C216" i="7"/>
  <c r="C65" i="7"/>
  <c r="C219" i="7"/>
  <c r="C260" i="7"/>
  <c r="C82" i="7"/>
  <c r="C252" i="7"/>
  <c r="C98" i="7"/>
  <c r="C45" i="7"/>
  <c r="C115" i="7"/>
  <c r="C94" i="7"/>
  <c r="C280" i="7"/>
  <c r="C131" i="7"/>
  <c r="C174" i="7"/>
  <c r="C293" i="7"/>
  <c r="C148" i="7"/>
  <c r="C232" i="7"/>
  <c r="C164" i="7"/>
  <c r="C233" i="7"/>
  <c r="C181" i="7"/>
  <c r="C299" i="7"/>
  <c r="C197" i="7"/>
  <c r="C315" i="7"/>
  <c r="C198" i="7"/>
  <c r="C272" i="7"/>
  <c r="C214" i="7"/>
  <c r="C285" i="7"/>
  <c r="C231" i="7"/>
  <c r="C46" i="7"/>
  <c r="C247" i="7"/>
  <c r="C127" i="7"/>
  <c r="C138" i="7"/>
  <c r="C154" i="7"/>
  <c r="C304" i="7"/>
  <c r="C320" i="7"/>
  <c r="K1" i="7"/>
  <c r="G26" i="4"/>
  <c r="G4" i="7" s="1"/>
  <c r="G12" i="4"/>
  <c r="O4" i="4" s="1"/>
  <c r="K62" i="4"/>
  <c r="K64" i="4" s="1"/>
  <c r="K65" i="4" s="1"/>
  <c r="K46" i="4"/>
  <c r="K48" i="4" s="1"/>
  <c r="K34" i="4"/>
  <c r="K37" i="4" s="1"/>
  <c r="O28" i="4"/>
  <c r="O30" i="4" s="1"/>
  <c r="O51" i="4"/>
  <c r="O53" i="4" s="1"/>
  <c r="O67" i="4"/>
  <c r="O69" i="4" s="1"/>
  <c r="G22" i="4"/>
  <c r="K73" i="4"/>
  <c r="K57" i="4"/>
  <c r="O39" i="4"/>
  <c r="O41" i="4" s="1"/>
  <c r="O59" i="4"/>
  <c r="O61" i="4" s="1"/>
  <c r="J220" i="16" l="1"/>
  <c r="J66" i="16"/>
  <c r="J36" i="16"/>
  <c r="J314" i="16"/>
  <c r="J37" i="16"/>
  <c r="J266" i="16"/>
  <c r="J118" i="16"/>
  <c r="J227" i="16"/>
  <c r="J262" i="16"/>
  <c r="J229" i="16"/>
  <c r="J107" i="16"/>
  <c r="J145" i="16"/>
  <c r="J103" i="16"/>
  <c r="J64" i="16"/>
  <c r="J55" i="16"/>
  <c r="J35" i="16"/>
  <c r="J140" i="16"/>
  <c r="J163" i="16"/>
  <c r="J291" i="16"/>
  <c r="J89" i="16"/>
  <c r="J268" i="16"/>
  <c r="J195" i="16"/>
  <c r="J198" i="16"/>
  <c r="J160" i="16"/>
  <c r="J289" i="16"/>
  <c r="J166" i="16"/>
  <c r="J109" i="16"/>
  <c r="J285" i="16"/>
  <c r="J204" i="16"/>
  <c r="J93" i="16"/>
  <c r="J54" i="16"/>
  <c r="J129" i="16"/>
  <c r="J77" i="16"/>
  <c r="J209" i="16"/>
  <c r="J304" i="16"/>
  <c r="J244" i="16"/>
  <c r="J182" i="16"/>
  <c r="J231" i="16"/>
  <c r="J226" i="16"/>
  <c r="J99" i="16"/>
  <c r="J128" i="16"/>
  <c r="J221" i="16"/>
  <c r="J235" i="16"/>
  <c r="J40" i="16"/>
  <c r="J79" i="16"/>
  <c r="J311" i="16"/>
  <c r="J108" i="16"/>
  <c r="J298" i="16"/>
  <c r="J282" i="16"/>
  <c r="J324" i="16"/>
  <c r="J276" i="16"/>
  <c r="J122" i="16"/>
  <c r="J255" i="16"/>
  <c r="J283" i="16"/>
  <c r="J105" i="16"/>
  <c r="J60" i="16"/>
  <c r="J242" i="16"/>
  <c r="J193" i="16"/>
  <c r="J194" i="16"/>
  <c r="J162" i="16"/>
  <c r="J69" i="16"/>
  <c r="J104" i="16"/>
  <c r="J116" i="16"/>
  <c r="J200" i="16"/>
  <c r="J124" i="16"/>
  <c r="J184" i="16"/>
  <c r="J56" i="16"/>
  <c r="J307" i="16"/>
  <c r="J91" i="16"/>
  <c r="J181" i="16"/>
  <c r="J92" i="16"/>
  <c r="J119" i="16"/>
  <c r="J146" i="16"/>
  <c r="J219" i="16"/>
  <c r="J312" i="16"/>
  <c r="J57" i="16"/>
  <c r="J152" i="16"/>
  <c r="J313" i="16"/>
  <c r="J154" i="16"/>
  <c r="J303" i="16"/>
  <c r="J130" i="16"/>
  <c r="J117" i="16"/>
  <c r="J192" i="16"/>
  <c r="J310" i="16"/>
  <c r="J259" i="16"/>
  <c r="J102" i="16"/>
  <c r="J189" i="16"/>
  <c r="J205" i="16"/>
  <c r="J279" i="16"/>
  <c r="J53" i="16"/>
  <c r="J211" i="16"/>
  <c r="J249" i="16"/>
  <c r="J318" i="16"/>
  <c r="J133" i="16"/>
  <c r="J80" i="16"/>
  <c r="J210" i="16"/>
  <c r="J278" i="16"/>
  <c r="J167" i="16"/>
  <c r="J191" i="16"/>
  <c r="J131" i="16"/>
  <c r="J126" i="16"/>
  <c r="J48" i="16"/>
  <c r="J305" i="16"/>
  <c r="J164" i="16"/>
  <c r="J295" i="16"/>
  <c r="J292" i="16"/>
  <c r="J170" i="16"/>
  <c r="J67" i="16"/>
  <c r="J142" i="16"/>
  <c r="J280" i="16"/>
  <c r="J174" i="16"/>
  <c r="J319" i="16"/>
  <c r="J173" i="16"/>
  <c r="J232" i="16"/>
  <c r="J144" i="16"/>
  <c r="J258" i="16"/>
  <c r="J265" i="16"/>
  <c r="J75" i="16"/>
  <c r="J252" i="16"/>
  <c r="J68" i="16"/>
  <c r="J208" i="16"/>
  <c r="J218" i="16"/>
  <c r="J51" i="16"/>
  <c r="J256" i="16"/>
  <c r="J301" i="16"/>
  <c r="J288" i="16"/>
  <c r="J203" i="16"/>
  <c r="J206" i="16"/>
  <c r="J149" i="16"/>
  <c r="J287" i="16"/>
  <c r="J315" i="16"/>
  <c r="J42" i="16"/>
  <c r="J253" i="16"/>
  <c r="J50" i="16"/>
  <c r="J100" i="16"/>
  <c r="J199" i="16"/>
  <c r="J274" i="16"/>
  <c r="J294" i="16"/>
  <c r="J47" i="16"/>
  <c r="J185" i="16"/>
  <c r="J271" i="16"/>
  <c r="J197" i="16"/>
  <c r="J43" i="16"/>
  <c r="J269" i="16"/>
  <c r="J46" i="16"/>
  <c r="J190" i="16"/>
  <c r="J137" i="16"/>
  <c r="J238" i="16"/>
  <c r="J180" i="16"/>
  <c r="J139" i="16"/>
  <c r="J224" i="16"/>
  <c r="J83" i="16"/>
  <c r="J175" i="16"/>
  <c r="J95" i="16"/>
  <c r="J70" i="16"/>
  <c r="J251" i="16"/>
  <c r="J222" i="16"/>
  <c r="J248" i="16"/>
  <c r="J237" i="16"/>
  <c r="J90" i="16"/>
  <c r="J236" i="16"/>
  <c r="J112" i="16"/>
  <c r="J260" i="16"/>
  <c r="J275" i="16"/>
  <c r="J135" i="16"/>
  <c r="J52" i="16"/>
  <c r="J316" i="16"/>
  <c r="J110" i="16"/>
  <c r="J263" i="16"/>
  <c r="J125" i="16"/>
  <c r="J62" i="16"/>
  <c r="J196" i="16"/>
  <c r="J153" i="16"/>
  <c r="J113" i="16"/>
  <c r="J267" i="16"/>
  <c r="J157" i="16"/>
  <c r="J243" i="16"/>
  <c r="J178" i="16"/>
  <c r="J106" i="16"/>
  <c r="J286" i="16"/>
  <c r="J73" i="16"/>
  <c r="J293" i="16"/>
  <c r="J172" i="16"/>
  <c r="J158" i="16"/>
  <c r="J76" i="16"/>
  <c r="J134" i="16"/>
  <c r="J159" i="16"/>
  <c r="J320" i="16"/>
  <c r="J300" i="16"/>
  <c r="J115" i="16"/>
  <c r="J165" i="16"/>
  <c r="J87" i="16"/>
  <c r="J296" i="16"/>
  <c r="J61" i="16"/>
  <c r="J127" i="16"/>
  <c r="J86" i="16"/>
  <c r="J272" i="16"/>
  <c r="J261" i="16"/>
  <c r="J136" i="16"/>
  <c r="J273" i="16"/>
  <c r="J176" i="16"/>
  <c r="J96" i="16"/>
  <c r="J188" i="16"/>
  <c r="J228" i="16"/>
  <c r="J82" i="16"/>
  <c r="J81" i="16"/>
  <c r="J65" i="16"/>
  <c r="J39" i="16"/>
  <c r="J161" i="16"/>
  <c r="J141" i="16"/>
  <c r="J84" i="16"/>
  <c r="J45" i="16"/>
  <c r="J297" i="16"/>
  <c r="J245" i="16"/>
  <c r="J94" i="16"/>
  <c r="J325" i="16"/>
  <c r="J155" i="16"/>
  <c r="J147" i="16"/>
  <c r="J302" i="16"/>
  <c r="J177" i="16"/>
  <c r="J97" i="16"/>
  <c r="J168" i="16"/>
  <c r="J63" i="16"/>
  <c r="J44" i="16"/>
  <c r="J239" i="16"/>
  <c r="J72" i="16"/>
  <c r="J156" i="16"/>
  <c r="J230" i="16"/>
  <c r="J171" i="16"/>
  <c r="J233" i="16"/>
  <c r="J132" i="16"/>
  <c r="J247" i="16"/>
  <c r="J223" i="16"/>
  <c r="J212" i="16"/>
  <c r="J187" i="16"/>
  <c r="J270" i="16"/>
  <c r="J322" i="16"/>
  <c r="J201" i="16"/>
  <c r="J114" i="16"/>
  <c r="J225" i="16"/>
  <c r="J264" i="16"/>
  <c r="J207" i="16"/>
  <c r="J98" i="16"/>
  <c r="J71" i="16"/>
  <c r="J317" i="16"/>
  <c r="J321" i="16"/>
  <c r="J179" i="16"/>
  <c r="J306" i="16"/>
  <c r="J323" i="16"/>
  <c r="J277" i="16"/>
  <c r="J290" i="16"/>
  <c r="J213" i="16"/>
  <c r="J281" i="16"/>
  <c r="J217" i="16"/>
  <c r="J254" i="16"/>
  <c r="J78" i="16"/>
  <c r="J138" i="16"/>
  <c r="J120" i="16"/>
  <c r="J299" i="16"/>
  <c r="J284" i="16"/>
  <c r="J151" i="16"/>
  <c r="J309" i="16"/>
  <c r="J58" i="16"/>
  <c r="J150" i="16"/>
  <c r="J169" i="16"/>
  <c r="J88" i="16"/>
  <c r="J59" i="16"/>
  <c r="J121" i="16"/>
  <c r="J216" i="16"/>
  <c r="J240" i="16"/>
  <c r="J214" i="16"/>
  <c r="J250" i="16"/>
  <c r="J41" i="16"/>
  <c r="J308" i="16"/>
  <c r="J111" i="16"/>
  <c r="J143" i="16"/>
  <c r="J101" i="16"/>
  <c r="J123" i="16"/>
  <c r="J234" i="16"/>
  <c r="J49" i="16"/>
  <c r="J215" i="16"/>
  <c r="J241" i="16"/>
  <c r="J202" i="16"/>
  <c r="J183" i="16"/>
  <c r="J85" i="16"/>
  <c r="J148" i="16"/>
  <c r="J186" i="16"/>
  <c r="J38" i="16"/>
  <c r="J74" i="16"/>
  <c r="J257" i="16"/>
  <c r="J246" i="16"/>
  <c r="Y5" i="7"/>
  <c r="Y21" i="7"/>
  <c r="Y6" i="7"/>
  <c r="Y22" i="7"/>
  <c r="Y7" i="7"/>
  <c r="Y23" i="7"/>
  <c r="Y20" i="7"/>
  <c r="Y8" i="7"/>
  <c r="Y24" i="7"/>
  <c r="Y9" i="7"/>
  <c r="Y25" i="7"/>
  <c r="Y10" i="7"/>
  <c r="Y26" i="7"/>
  <c r="Y33" i="7"/>
  <c r="Y11" i="7"/>
  <c r="Y27" i="7"/>
  <c r="Y12" i="7"/>
  <c r="Y28" i="7"/>
  <c r="Y13" i="7"/>
  <c r="Y29" i="7"/>
  <c r="Y14" i="7"/>
  <c r="Y30" i="7"/>
  <c r="Y15" i="7"/>
  <c r="Y31" i="7"/>
  <c r="Y16" i="7"/>
  <c r="Y32" i="7"/>
  <c r="Y17" i="7"/>
  <c r="Y18" i="7"/>
  <c r="Y4" i="7"/>
  <c r="Y19" i="7"/>
  <c r="J26" i="16"/>
  <c r="AG26" i="16" s="1" a="1"/>
  <c r="AG26" i="16" s="1"/>
  <c r="AH26" i="16" s="1"/>
  <c r="J12" i="16"/>
  <c r="J33" i="16"/>
  <c r="AG33" i="16" s="1" a="1"/>
  <c r="AG33" i="16" s="1"/>
  <c r="AH33" i="16" s="1"/>
  <c r="J31" i="16"/>
  <c r="AG31" i="16" s="1" a="1"/>
  <c r="AG31" i="16" s="1"/>
  <c r="AH31" i="16" s="1"/>
  <c r="J29" i="16"/>
  <c r="AG29" i="16" s="1" a="1"/>
  <c r="AG29" i="16" s="1"/>
  <c r="AH29" i="16" s="1"/>
  <c r="J18" i="16"/>
  <c r="AG18" i="16" s="1" a="1"/>
  <c r="AG18" i="16" s="1"/>
  <c r="AH18" i="16" s="1"/>
  <c r="J25" i="16"/>
  <c r="AG25" i="16" s="1" a="1"/>
  <c r="AG25" i="16" s="1"/>
  <c r="AH25" i="16" s="1"/>
  <c r="J7" i="16"/>
  <c r="AG7" i="16" s="1" a="1"/>
  <c r="AG7" i="16" s="1"/>
  <c r="AH7" i="16" s="1"/>
  <c r="J32" i="16"/>
  <c r="AG32" i="16" s="1" a="1"/>
  <c r="AG32" i="16" s="1"/>
  <c r="AH32" i="16" s="1"/>
  <c r="J23" i="16"/>
  <c r="J16" i="16"/>
  <c r="AG16" i="16" s="1" a="1"/>
  <c r="AG16" i="16" s="1"/>
  <c r="AH16" i="16" s="1"/>
  <c r="J30" i="16"/>
  <c r="J21" i="16"/>
  <c r="AG21" i="16" s="1" a="1"/>
  <c r="AG21" i="16" s="1"/>
  <c r="AH21" i="16" s="1"/>
  <c r="J8" i="16"/>
  <c r="AG8" i="16" s="1" a="1"/>
  <c r="AG8" i="16" s="1"/>
  <c r="AH8" i="16" s="1"/>
  <c r="J4" i="16"/>
  <c r="J24" i="16"/>
  <c r="AG24" i="16" s="1" a="1"/>
  <c r="AG24" i="16" s="1"/>
  <c r="AH24" i="16" s="1"/>
  <c r="J17" i="16"/>
  <c r="AG17" i="16" s="1" a="1"/>
  <c r="AG17" i="16" s="1"/>
  <c r="AH17" i="16" s="1"/>
  <c r="J5" i="16"/>
  <c r="J14" i="16"/>
  <c r="J20" i="16"/>
  <c r="AG20" i="16" s="1" a="1"/>
  <c r="AG20" i="16" s="1"/>
  <c r="AH20" i="16" s="1"/>
  <c r="J9" i="16"/>
  <c r="AG9" i="16" s="1" a="1"/>
  <c r="AG9" i="16" s="1"/>
  <c r="AH9" i="16" s="1"/>
  <c r="J11" i="16"/>
  <c r="AG11" i="16" s="1" a="1"/>
  <c r="AG11" i="16" s="1"/>
  <c r="AH11" i="16" s="1"/>
  <c r="J28" i="16"/>
  <c r="J19" i="16"/>
  <c r="AG19" i="16" s="1" a="1"/>
  <c r="AG19" i="16" s="1"/>
  <c r="AH19" i="16" s="1"/>
  <c r="J27" i="16"/>
  <c r="AG27" i="16" s="1" a="1"/>
  <c r="AG27" i="16" s="1"/>
  <c r="AH27" i="16" s="1"/>
  <c r="J22" i="16"/>
  <c r="J13" i="16"/>
  <c r="J6" i="16"/>
  <c r="J15" i="16"/>
  <c r="J10" i="16"/>
  <c r="F4" i="7"/>
  <c r="X6" i="7"/>
  <c r="X22" i="7"/>
  <c r="X4" i="7"/>
  <c r="X7" i="7"/>
  <c r="X23" i="7"/>
  <c r="X8" i="7"/>
  <c r="X24" i="7"/>
  <c r="X9" i="7"/>
  <c r="X25" i="7"/>
  <c r="X10" i="7"/>
  <c r="X26" i="7"/>
  <c r="X16" i="7"/>
  <c r="X18" i="7"/>
  <c r="X11" i="7"/>
  <c r="X27" i="7"/>
  <c r="X5" i="7"/>
  <c r="X12" i="7"/>
  <c r="X28" i="7"/>
  <c r="X13" i="7"/>
  <c r="X29" i="7"/>
  <c r="X14" i="7"/>
  <c r="X30" i="7"/>
  <c r="X15" i="7"/>
  <c r="X31" i="7"/>
  <c r="X32" i="7"/>
  <c r="X17" i="7"/>
  <c r="X33" i="7"/>
  <c r="X21" i="7"/>
  <c r="X19" i="7"/>
  <c r="X20" i="7"/>
  <c r="Q9" i="7"/>
  <c r="Q25" i="7"/>
  <c r="Q22" i="7"/>
  <c r="Q10" i="7"/>
  <c r="Q26" i="7"/>
  <c r="Q11" i="7"/>
  <c r="Q27" i="7"/>
  <c r="Q21" i="7"/>
  <c r="Q12" i="7"/>
  <c r="Q28" i="7"/>
  <c r="Q5" i="7"/>
  <c r="Q7" i="7"/>
  <c r="Q13" i="7"/>
  <c r="Q29" i="7"/>
  <c r="Q14" i="7"/>
  <c r="Q30" i="7"/>
  <c r="Q15" i="7"/>
  <c r="Q31" i="7"/>
  <c r="Q16" i="7"/>
  <c r="Q32" i="7"/>
  <c r="Q8" i="7"/>
  <c r="Q17" i="7"/>
  <c r="Q33" i="7"/>
  <c r="Q19" i="7"/>
  <c r="Q18" i="7"/>
  <c r="Q24" i="7"/>
  <c r="Q23" i="7"/>
  <c r="Q20" i="7"/>
  <c r="Q6" i="7"/>
  <c r="Q4" i="7"/>
  <c r="P11" i="7"/>
  <c r="P27" i="7"/>
  <c r="P26" i="7"/>
  <c r="P12" i="7"/>
  <c r="P28" i="7"/>
  <c r="P8" i="7"/>
  <c r="P13" i="7"/>
  <c r="P29" i="7"/>
  <c r="P5" i="7"/>
  <c r="P6" i="7"/>
  <c r="P24" i="7"/>
  <c r="P14" i="7"/>
  <c r="P30" i="7"/>
  <c r="P10" i="7"/>
  <c r="P15" i="7"/>
  <c r="P31" i="7"/>
  <c r="P23" i="7"/>
  <c r="P9" i="7"/>
  <c r="P16" i="7"/>
  <c r="P32" i="7"/>
  <c r="P17" i="7"/>
  <c r="P33" i="7"/>
  <c r="P21" i="7"/>
  <c r="P7" i="7"/>
  <c r="P25" i="7"/>
  <c r="P18" i="7"/>
  <c r="P19" i="7"/>
  <c r="P22" i="7"/>
  <c r="P20" i="7"/>
  <c r="P4" i="7"/>
  <c r="P206" i="7"/>
  <c r="P143" i="7"/>
  <c r="P80" i="7"/>
  <c r="P97" i="7"/>
  <c r="P273" i="7"/>
  <c r="P227" i="7"/>
  <c r="P164" i="7"/>
  <c r="P101" i="7"/>
  <c r="P54" i="7"/>
  <c r="P306" i="7"/>
  <c r="P247" i="7"/>
  <c r="P184" i="7"/>
  <c r="P121" i="7"/>
  <c r="P74" i="7"/>
  <c r="P35" i="7"/>
  <c r="P251" i="7"/>
  <c r="P188" i="7"/>
  <c r="P141" i="7"/>
  <c r="P222" i="7"/>
  <c r="P159" i="7"/>
  <c r="P96" i="7"/>
  <c r="P285" i="7"/>
  <c r="P286" i="7"/>
  <c r="P243" i="7"/>
  <c r="P180" i="7"/>
  <c r="P117" i="7"/>
  <c r="P70" i="7"/>
  <c r="P322" i="7"/>
  <c r="P262" i="7"/>
  <c r="P200" i="7"/>
  <c r="P137" i="7"/>
  <c r="P90" i="7"/>
  <c r="P113" i="7"/>
  <c r="P266" i="7"/>
  <c r="P204" i="7"/>
  <c r="P157" i="7"/>
  <c r="P238" i="7"/>
  <c r="P175" i="7"/>
  <c r="P112" i="7"/>
  <c r="P50" i="7"/>
  <c r="P302" i="7"/>
  <c r="P259" i="7"/>
  <c r="P196" i="7"/>
  <c r="P133" i="7"/>
  <c r="P86" i="7"/>
  <c r="P241" i="7"/>
  <c r="P278" i="7"/>
  <c r="P216" i="7"/>
  <c r="P153" i="7"/>
  <c r="P106" i="7"/>
  <c r="P317" i="7"/>
  <c r="P220" i="7"/>
  <c r="P173" i="7"/>
  <c r="P254" i="7"/>
  <c r="P191" i="7"/>
  <c r="P128" i="7"/>
  <c r="P66" i="7"/>
  <c r="P318" i="7"/>
  <c r="P274" i="7"/>
  <c r="P212" i="7"/>
  <c r="P149" i="7"/>
  <c r="P102" i="7"/>
  <c r="P39" i="7"/>
  <c r="P291" i="7"/>
  <c r="P232" i="7"/>
  <c r="P169" i="7"/>
  <c r="P122" i="7"/>
  <c r="P43" i="7"/>
  <c r="P295" i="7"/>
  <c r="P236" i="7"/>
  <c r="P189" i="7"/>
  <c r="P269" i="7"/>
  <c r="P207" i="7"/>
  <c r="P144" i="7"/>
  <c r="P82" i="7"/>
  <c r="P209" i="7"/>
  <c r="P287" i="7"/>
  <c r="P228" i="7"/>
  <c r="P165" i="7"/>
  <c r="P118" i="7"/>
  <c r="P55" i="7"/>
  <c r="P307" i="7"/>
  <c r="P248" i="7"/>
  <c r="P185" i="7"/>
  <c r="P138" i="7"/>
  <c r="P59" i="7"/>
  <c r="P311" i="7"/>
  <c r="P252" i="7"/>
  <c r="P205" i="7"/>
  <c r="P282" i="7"/>
  <c r="P223" i="7"/>
  <c r="P160" i="7"/>
  <c r="P98" i="7"/>
  <c r="P51" i="7"/>
  <c r="P303" i="7"/>
  <c r="P244" i="7"/>
  <c r="P181" i="7"/>
  <c r="P134" i="7"/>
  <c r="P71" i="7"/>
  <c r="P323" i="7"/>
  <c r="P263" i="7"/>
  <c r="P201" i="7"/>
  <c r="P154" i="7"/>
  <c r="P75" i="7"/>
  <c r="P81" i="7"/>
  <c r="P267" i="7"/>
  <c r="P221" i="7"/>
  <c r="P46" i="7"/>
  <c r="P298" i="7"/>
  <c r="P239" i="7"/>
  <c r="P176" i="7"/>
  <c r="P114" i="7"/>
  <c r="P67" i="7"/>
  <c r="P319" i="7"/>
  <c r="P260" i="7"/>
  <c r="P197" i="7"/>
  <c r="P150" i="7"/>
  <c r="P87" i="7"/>
  <c r="P301" i="7"/>
  <c r="P279" i="7"/>
  <c r="P217" i="7"/>
  <c r="P170" i="7"/>
  <c r="P91" i="7"/>
  <c r="P257" i="7"/>
  <c r="P237" i="7"/>
  <c r="P62" i="7"/>
  <c r="P314" i="7"/>
  <c r="P255" i="7"/>
  <c r="P192" i="7"/>
  <c r="P130" i="7"/>
  <c r="P83" i="7"/>
  <c r="P321" i="7"/>
  <c r="P275" i="7"/>
  <c r="P213" i="7"/>
  <c r="P166" i="7"/>
  <c r="P103" i="7"/>
  <c r="P40" i="7"/>
  <c r="P292" i="7"/>
  <c r="P233" i="7"/>
  <c r="P186" i="7"/>
  <c r="P107" i="7"/>
  <c r="P44" i="7"/>
  <c r="P296" i="7"/>
  <c r="P253" i="7"/>
  <c r="P78" i="7"/>
  <c r="P65" i="7"/>
  <c r="P270" i="7"/>
  <c r="P208" i="7"/>
  <c r="P146" i="7"/>
  <c r="P99" i="7"/>
  <c r="P36" i="7"/>
  <c r="P288" i="7"/>
  <c r="P229" i="7"/>
  <c r="P182" i="7"/>
  <c r="P119" i="7"/>
  <c r="P56" i="7"/>
  <c r="P308" i="7"/>
  <c r="P249" i="7"/>
  <c r="P202" i="7"/>
  <c r="P123" i="7"/>
  <c r="P60" i="7"/>
  <c r="P312" i="7"/>
  <c r="P268" i="7"/>
  <c r="P94" i="7"/>
  <c r="P225" i="7"/>
  <c r="P283" i="7"/>
  <c r="P224" i="7"/>
  <c r="P162" i="7"/>
  <c r="P115" i="7"/>
  <c r="P52" i="7"/>
  <c r="P304" i="7"/>
  <c r="P245" i="7"/>
  <c r="P198" i="7"/>
  <c r="P135" i="7"/>
  <c r="P72" i="7"/>
  <c r="P324" i="7"/>
  <c r="P264" i="7"/>
  <c r="P218" i="7"/>
  <c r="P139" i="7"/>
  <c r="P76" i="7"/>
  <c r="P145" i="7"/>
  <c r="P110" i="7"/>
  <c r="P47" i="7"/>
  <c r="P299" i="7"/>
  <c r="P240" i="7"/>
  <c r="P178" i="7"/>
  <c r="P131" i="7"/>
  <c r="P68" i="7"/>
  <c r="P320" i="7"/>
  <c r="P214" i="7"/>
  <c r="P151" i="7"/>
  <c r="P88" i="7"/>
  <c r="P193" i="7"/>
  <c r="P280" i="7"/>
  <c r="P234" i="7"/>
  <c r="P155" i="7"/>
  <c r="P92" i="7"/>
  <c r="P45" i="7"/>
  <c r="P297" i="7"/>
  <c r="P126" i="7"/>
  <c r="P63" i="7"/>
  <c r="P315" i="7"/>
  <c r="P256" i="7"/>
  <c r="P194" i="7"/>
  <c r="P147" i="7"/>
  <c r="P84" i="7"/>
  <c r="P161" i="7"/>
  <c r="P276" i="7"/>
  <c r="P230" i="7"/>
  <c r="P167" i="7"/>
  <c r="P104" i="7"/>
  <c r="P41" i="7"/>
  <c r="P293" i="7"/>
  <c r="P250" i="7"/>
  <c r="P171" i="7"/>
  <c r="P108" i="7"/>
  <c r="P61" i="7"/>
  <c r="P313" i="7"/>
  <c r="P142" i="7"/>
  <c r="P79" i="7"/>
  <c r="P49" i="7"/>
  <c r="P271" i="7"/>
  <c r="P210" i="7"/>
  <c r="P163" i="7"/>
  <c r="P100" i="7"/>
  <c r="P37" i="7"/>
  <c r="P289" i="7"/>
  <c r="P246" i="7"/>
  <c r="P183" i="7"/>
  <c r="P120" i="7"/>
  <c r="P57" i="7"/>
  <c r="P309" i="7"/>
  <c r="P265" i="7"/>
  <c r="P187" i="7"/>
  <c r="P124" i="7"/>
  <c r="P77" i="7"/>
  <c r="P129" i="7"/>
  <c r="P158" i="7"/>
  <c r="P95" i="7"/>
  <c r="P177" i="7"/>
  <c r="P284" i="7"/>
  <c r="P226" i="7"/>
  <c r="P179" i="7"/>
  <c r="P116" i="7"/>
  <c r="P53" i="7"/>
  <c r="P305" i="7"/>
  <c r="P261" i="7"/>
  <c r="P199" i="7"/>
  <c r="P136" i="7"/>
  <c r="P73" i="7"/>
  <c r="P325" i="7"/>
  <c r="P281" i="7"/>
  <c r="P203" i="7"/>
  <c r="P140" i="7"/>
  <c r="P93" i="7"/>
  <c r="P190" i="7"/>
  <c r="P127" i="7"/>
  <c r="P64" i="7"/>
  <c r="P316" i="7"/>
  <c r="P258" i="7"/>
  <c r="P211" i="7"/>
  <c r="P148" i="7"/>
  <c r="P85" i="7"/>
  <c r="P38" i="7"/>
  <c r="P290" i="7"/>
  <c r="P168" i="7"/>
  <c r="P105" i="7"/>
  <c r="P58" i="7"/>
  <c r="P310" i="7"/>
  <c r="P235" i="7"/>
  <c r="P172" i="7"/>
  <c r="P125" i="7"/>
  <c r="P174" i="7"/>
  <c r="P111" i="7"/>
  <c r="P48" i="7"/>
  <c r="P300" i="7"/>
  <c r="P242" i="7"/>
  <c r="P195" i="7"/>
  <c r="P132" i="7"/>
  <c r="P69" i="7"/>
  <c r="P272" i="7"/>
  <c r="P277" i="7"/>
  <c r="P215" i="7"/>
  <c r="P152" i="7"/>
  <c r="P89" i="7"/>
  <c r="P42" i="7"/>
  <c r="P294" i="7"/>
  <c r="P219" i="7"/>
  <c r="P156" i="7"/>
  <c r="P109" i="7"/>
  <c r="P231" i="7"/>
  <c r="E4" i="7"/>
  <c r="D12" i="7"/>
  <c r="E12" i="7"/>
  <c r="Q124" i="7"/>
  <c r="Q270" i="7"/>
  <c r="Q70" i="7"/>
  <c r="Q299" i="7"/>
  <c r="Q164" i="7"/>
  <c r="Q286" i="7"/>
  <c r="Q35" i="7"/>
  <c r="Q172" i="7"/>
  <c r="Q149" i="7"/>
  <c r="Q43" i="7"/>
  <c r="Q276" i="7"/>
  <c r="Q112" i="7"/>
  <c r="Q137" i="7"/>
  <c r="Q314" i="7"/>
  <c r="Q194" i="7"/>
  <c r="Q139" i="7"/>
  <c r="Q321" i="7"/>
  <c r="Q142" i="7"/>
  <c r="Q104" i="7"/>
  <c r="Q297" i="7"/>
  <c r="Q256" i="7"/>
  <c r="Q129" i="7"/>
  <c r="Q190" i="7"/>
  <c r="Q247" i="7"/>
  <c r="Q77" i="7"/>
  <c r="Q134" i="7"/>
  <c r="Q295" i="7"/>
  <c r="Q260" i="7"/>
  <c r="Q97" i="7"/>
  <c r="Q42" i="7"/>
  <c r="Q115" i="7"/>
  <c r="Q239" i="7"/>
  <c r="Q279" i="7"/>
  <c r="Q44" i="7"/>
  <c r="Q66" i="7"/>
  <c r="Q63" i="7"/>
  <c r="Q281" i="7"/>
  <c r="Q206" i="7"/>
  <c r="Q94" i="7"/>
  <c r="Q98" i="7"/>
  <c r="Q264" i="7"/>
  <c r="Q168" i="7"/>
  <c r="Q209" i="7"/>
  <c r="Q242" i="7"/>
  <c r="Q204" i="7"/>
  <c r="Q181" i="7"/>
  <c r="Q75" i="7"/>
  <c r="Q36" i="7"/>
  <c r="Q144" i="7"/>
  <c r="Q169" i="7"/>
  <c r="Q296" i="7"/>
  <c r="Q261" i="7"/>
  <c r="Q195" i="7"/>
  <c r="Q315" i="7"/>
  <c r="Q249" i="7"/>
  <c r="Q108" i="7"/>
  <c r="Q136" i="7"/>
  <c r="Q227" i="7"/>
  <c r="Q57" i="7"/>
  <c r="Q238" i="7"/>
  <c r="Q278" i="7"/>
  <c r="Q109" i="7"/>
  <c r="Q166" i="7"/>
  <c r="Q113" i="7"/>
  <c r="Q288" i="7"/>
  <c r="Q257" i="7"/>
  <c r="Q74" i="7"/>
  <c r="Q147" i="7"/>
  <c r="Q205" i="7"/>
  <c r="Q151" i="7"/>
  <c r="Q116" i="7"/>
  <c r="Q224" i="7"/>
  <c r="Q154" i="7"/>
  <c r="Q259" i="7"/>
  <c r="Q309" i="7"/>
  <c r="Q159" i="7"/>
  <c r="Q200" i="7"/>
  <c r="Q114" i="7"/>
  <c r="Q55" i="7"/>
  <c r="Q236" i="7"/>
  <c r="Q213" i="7"/>
  <c r="Q107" i="7"/>
  <c r="Q68" i="7"/>
  <c r="Q110" i="7"/>
  <c r="Q72" i="7"/>
  <c r="Q37" i="7"/>
  <c r="Q187" i="7"/>
  <c r="Q180" i="7"/>
  <c r="Q284" i="7"/>
  <c r="Q317" i="7"/>
  <c r="Q47" i="7"/>
  <c r="Q234" i="7"/>
  <c r="Q287" i="7"/>
  <c r="Q64" i="7"/>
  <c r="Q89" i="7"/>
  <c r="Q269" i="7"/>
  <c r="Q307" i="7"/>
  <c r="Q141" i="7"/>
  <c r="Q198" i="7"/>
  <c r="Q285" i="7"/>
  <c r="Q320" i="7"/>
  <c r="Q210" i="7"/>
  <c r="Q324" i="7"/>
  <c r="Q178" i="7"/>
  <c r="Q92" i="7"/>
  <c r="Q101" i="7"/>
  <c r="Q174" i="7"/>
  <c r="Q189" i="7"/>
  <c r="Q208" i="7"/>
  <c r="Q85" i="7"/>
  <c r="Q170" i="7"/>
  <c r="Q251" i="7"/>
  <c r="Q212" i="7"/>
  <c r="Q316" i="7"/>
  <c r="Q265" i="7"/>
  <c r="Q67" i="7"/>
  <c r="Q191" i="7"/>
  <c r="Q232" i="7"/>
  <c r="Q46" i="7"/>
  <c r="Q87" i="7"/>
  <c r="Q267" i="7"/>
  <c r="Q245" i="7"/>
  <c r="Q163" i="7"/>
  <c r="Q283" i="7"/>
  <c r="Q217" i="7"/>
  <c r="Q277" i="7"/>
  <c r="Q241" i="7"/>
  <c r="Q86" i="7"/>
  <c r="Q302" i="7"/>
  <c r="Q54" i="7"/>
  <c r="Q199" i="7"/>
  <c r="Q226" i="7"/>
  <c r="Q111" i="7"/>
  <c r="Q148" i="7"/>
  <c r="Q156" i="7"/>
  <c r="Q133" i="7"/>
  <c r="Q162" i="7"/>
  <c r="Q319" i="7"/>
  <c r="Q96" i="7"/>
  <c r="Q121" i="7"/>
  <c r="Q298" i="7"/>
  <c r="Q310" i="7"/>
  <c r="Q173" i="7"/>
  <c r="Q230" i="7"/>
  <c r="Q84" i="7"/>
  <c r="Q192" i="7"/>
  <c r="Q122" i="7"/>
  <c r="Q167" i="7"/>
  <c r="Q253" i="7"/>
  <c r="Q250" i="7"/>
  <c r="Q203" i="7"/>
  <c r="Q61" i="7"/>
  <c r="Q118" i="7"/>
  <c r="Q244" i="7"/>
  <c r="Q65" i="7"/>
  <c r="Q318" i="7"/>
  <c r="Q99" i="7"/>
  <c r="Q223" i="7"/>
  <c r="Q263" i="7"/>
  <c r="Q78" i="7"/>
  <c r="Q119" i="7"/>
  <c r="Q289" i="7"/>
  <c r="Q155" i="7"/>
  <c r="Q88" i="7"/>
  <c r="Q158" i="7"/>
  <c r="Q231" i="7"/>
  <c r="Q69" i="7"/>
  <c r="Q313" i="7"/>
  <c r="Q272" i="7"/>
  <c r="Q188" i="7"/>
  <c r="Q165" i="7"/>
  <c r="Q59" i="7"/>
  <c r="Q305" i="7"/>
  <c r="Q128" i="7"/>
  <c r="Q153" i="7"/>
  <c r="Q225" i="7"/>
  <c r="Q40" i="7"/>
  <c r="Q60" i="7"/>
  <c r="Q218" i="7"/>
  <c r="Q79" i="7"/>
  <c r="Q152" i="7"/>
  <c r="Q120" i="7"/>
  <c r="Q193" i="7"/>
  <c r="Q219" i="7"/>
  <c r="Q222" i="7"/>
  <c r="Q262" i="7"/>
  <c r="Q93" i="7"/>
  <c r="Q150" i="7"/>
  <c r="Q311" i="7"/>
  <c r="Q275" i="7"/>
  <c r="Q161" i="7"/>
  <c r="Q58" i="7"/>
  <c r="Q131" i="7"/>
  <c r="Q255" i="7"/>
  <c r="Q292" i="7"/>
  <c r="Q246" i="7"/>
  <c r="Q312" i="7"/>
  <c r="Q233" i="7"/>
  <c r="Q211" i="7"/>
  <c r="Q81" i="7"/>
  <c r="Q41" i="7"/>
  <c r="Q82" i="7"/>
  <c r="Q143" i="7"/>
  <c r="Q184" i="7"/>
  <c r="Q50" i="7"/>
  <c r="Q39" i="7"/>
  <c r="Q220" i="7"/>
  <c r="Q197" i="7"/>
  <c r="Q91" i="7"/>
  <c r="Q52" i="7"/>
  <c r="Q160" i="7"/>
  <c r="Q185" i="7"/>
  <c r="Q135" i="7"/>
  <c r="Q221" i="7"/>
  <c r="Q138" i="7"/>
  <c r="Q132" i="7"/>
  <c r="Q240" i="7"/>
  <c r="Q293" i="7"/>
  <c r="Q271" i="7"/>
  <c r="Q280" i="7"/>
  <c r="Q274" i="7"/>
  <c r="Q48" i="7"/>
  <c r="Q73" i="7"/>
  <c r="Q254" i="7"/>
  <c r="Q291" i="7"/>
  <c r="Q125" i="7"/>
  <c r="Q182" i="7"/>
  <c r="Q177" i="7"/>
  <c r="Q304" i="7"/>
  <c r="Q130" i="7"/>
  <c r="Q90" i="7"/>
  <c r="Q56" i="7"/>
  <c r="Q171" i="7"/>
  <c r="Q53" i="7"/>
  <c r="Q202" i="7"/>
  <c r="Q126" i="7"/>
  <c r="Q322" i="7"/>
  <c r="Q306" i="7"/>
  <c r="Q127" i="7"/>
  <c r="Q243" i="7"/>
  <c r="Q196" i="7"/>
  <c r="Q300" i="7"/>
  <c r="Q325" i="7"/>
  <c r="Q51" i="7"/>
  <c r="Q175" i="7"/>
  <c r="Q216" i="7"/>
  <c r="Q273" i="7"/>
  <c r="Q71" i="7"/>
  <c r="Q252" i="7"/>
  <c r="Q229" i="7"/>
  <c r="Q123" i="7"/>
  <c r="Q308" i="7"/>
  <c r="Q76" i="7"/>
  <c r="Q38" i="7"/>
  <c r="Q235" i="7"/>
  <c r="Q146" i="7"/>
  <c r="Q176" i="7"/>
  <c r="Q268" i="7"/>
  <c r="Q95" i="7"/>
  <c r="Q117" i="7"/>
  <c r="Q294" i="7"/>
  <c r="Q303" i="7"/>
  <c r="Q80" i="7"/>
  <c r="Q105" i="7"/>
  <c r="Q282" i="7"/>
  <c r="Q323" i="7"/>
  <c r="Q157" i="7"/>
  <c r="Q214" i="7"/>
  <c r="Q258" i="7"/>
  <c r="Q201" i="7"/>
  <c r="Q179" i="7"/>
  <c r="Q145" i="7"/>
  <c r="Q290" i="7"/>
  <c r="Q140" i="7"/>
  <c r="Q186" i="7"/>
  <c r="Q102" i="7"/>
  <c r="Q266" i="7"/>
  <c r="Q228" i="7"/>
  <c r="Q49" i="7"/>
  <c r="Q301" i="7"/>
  <c r="Q83" i="7"/>
  <c r="Q207" i="7"/>
  <c r="Q248" i="7"/>
  <c r="Q62" i="7"/>
  <c r="Q103" i="7"/>
  <c r="Q106" i="7"/>
  <c r="Q100" i="7"/>
  <c r="Q237" i="7"/>
  <c r="Q183" i="7"/>
  <c r="Q45" i="7"/>
  <c r="Q215" i="7"/>
  <c r="G19" i="7"/>
  <c r="G20" i="7"/>
  <c r="G5" i="7"/>
  <c r="G21" i="7"/>
  <c r="G6" i="7"/>
  <c r="G22" i="7"/>
  <c r="G7" i="7"/>
  <c r="G23" i="7"/>
  <c r="G8" i="7"/>
  <c r="G24" i="7"/>
  <c r="G9" i="7"/>
  <c r="G25" i="7"/>
  <c r="G10" i="7"/>
  <c r="G26" i="7"/>
  <c r="G11" i="7"/>
  <c r="G27" i="7"/>
  <c r="G12" i="7"/>
  <c r="G28" i="7"/>
  <c r="G13" i="7"/>
  <c r="G29" i="7"/>
  <c r="G14" i="7"/>
  <c r="G30" i="7"/>
  <c r="G18" i="7"/>
  <c r="G15" i="7"/>
  <c r="G31" i="7"/>
  <c r="G16" i="7"/>
  <c r="G32" i="7"/>
  <c r="G17" i="7"/>
  <c r="G33" i="7"/>
  <c r="D27" i="7"/>
  <c r="E27" i="7"/>
  <c r="D19" i="7"/>
  <c r="E19" i="7"/>
  <c r="D11" i="7"/>
  <c r="E11" i="7"/>
  <c r="D26" i="7"/>
  <c r="E26" i="7"/>
  <c r="E18" i="7"/>
  <c r="D18" i="7"/>
  <c r="D10" i="7"/>
  <c r="E10" i="7"/>
  <c r="D33" i="7"/>
  <c r="E33" i="7"/>
  <c r="D25" i="7"/>
  <c r="E25" i="7"/>
  <c r="D17" i="7"/>
  <c r="E17" i="7"/>
  <c r="D9" i="7"/>
  <c r="E9" i="7"/>
  <c r="Y207" i="7"/>
  <c r="Y117" i="7"/>
  <c r="Y38" i="7"/>
  <c r="Y255" i="7"/>
  <c r="Y59" i="7"/>
  <c r="Y288" i="7"/>
  <c r="Y126" i="7"/>
  <c r="Y280" i="7"/>
  <c r="Y179" i="7"/>
  <c r="Y152" i="7"/>
  <c r="Y50" i="7"/>
  <c r="Y39" i="7"/>
  <c r="Y271" i="7"/>
  <c r="Y297" i="7"/>
  <c r="Y222" i="7"/>
  <c r="Y164" i="7"/>
  <c r="Y225" i="7"/>
  <c r="Y108" i="7"/>
  <c r="Y119" i="7"/>
  <c r="Y76" i="7"/>
  <c r="Y313" i="7"/>
  <c r="Y67" i="7"/>
  <c r="Y201" i="7"/>
  <c r="Y290" i="7"/>
  <c r="Y160" i="7"/>
  <c r="Y311" i="7"/>
  <c r="Y181" i="7"/>
  <c r="Y186" i="7"/>
  <c r="Y68" i="7"/>
  <c r="Y57" i="7"/>
  <c r="Y302" i="7"/>
  <c r="Y291" i="7"/>
  <c r="Y177" i="7"/>
  <c r="Y93" i="7"/>
  <c r="Y127" i="7"/>
  <c r="Y281" i="7"/>
  <c r="Y53" i="7"/>
  <c r="Y130" i="7"/>
  <c r="Y44" i="7"/>
  <c r="Y285" i="7"/>
  <c r="Y237" i="7"/>
  <c r="Y261" i="7"/>
  <c r="Y183" i="7"/>
  <c r="Y65" i="7"/>
  <c r="Y70" i="7"/>
  <c r="Y283" i="7"/>
  <c r="Y91" i="7"/>
  <c r="Y320" i="7"/>
  <c r="Y158" i="7"/>
  <c r="Y309" i="7"/>
  <c r="Y211" i="7"/>
  <c r="Y184" i="7"/>
  <c r="Y82" i="7"/>
  <c r="Y267" i="7"/>
  <c r="Y187" i="7"/>
  <c r="Y305" i="7"/>
  <c r="Y263" i="7"/>
  <c r="Y194" i="7"/>
  <c r="Y191" i="7"/>
  <c r="Y46" i="7"/>
  <c r="Y72" i="7"/>
  <c r="Y317" i="7"/>
  <c r="Y124" i="7"/>
  <c r="Y322" i="7"/>
  <c r="Y192" i="7"/>
  <c r="Y213" i="7"/>
  <c r="Y63" i="7"/>
  <c r="Y218" i="7"/>
  <c r="Y100" i="7"/>
  <c r="Y89" i="7"/>
  <c r="Y284" i="7"/>
  <c r="Y60" i="7"/>
  <c r="Y198" i="7"/>
  <c r="Y287" i="7"/>
  <c r="Y169" i="7"/>
  <c r="Y99" i="7"/>
  <c r="Y228" i="7"/>
  <c r="Y109" i="7"/>
  <c r="Y101" i="7"/>
  <c r="Y251" i="7"/>
  <c r="Y106" i="7"/>
  <c r="Y279" i="7"/>
  <c r="Y324" i="7"/>
  <c r="Y226" i="7"/>
  <c r="Y157" i="7"/>
  <c r="Y215" i="7"/>
  <c r="Y97" i="7"/>
  <c r="Y205" i="7"/>
  <c r="Y102" i="7"/>
  <c r="Y315" i="7"/>
  <c r="Y123" i="7"/>
  <c r="Y190" i="7"/>
  <c r="Y243" i="7"/>
  <c r="Y193" i="7"/>
  <c r="Y221" i="7"/>
  <c r="Y87" i="7"/>
  <c r="Y180" i="7"/>
  <c r="Y269" i="7"/>
  <c r="Y74" i="7"/>
  <c r="Y151" i="7"/>
  <c r="Y78" i="7"/>
  <c r="Y233" i="7"/>
  <c r="Y131" i="7"/>
  <c r="Y104" i="7"/>
  <c r="Y224" i="7"/>
  <c r="Y245" i="7"/>
  <c r="Y95" i="7"/>
  <c r="Y250" i="7"/>
  <c r="Y132" i="7"/>
  <c r="Y98" i="7"/>
  <c r="Y141" i="7"/>
  <c r="Y69" i="7"/>
  <c r="Y175" i="7"/>
  <c r="Y35" i="7"/>
  <c r="Y244" i="7"/>
  <c r="Y272" i="7"/>
  <c r="Y96" i="7"/>
  <c r="Y138" i="7"/>
  <c r="Y258" i="7"/>
  <c r="Y247" i="7"/>
  <c r="Y129" i="7"/>
  <c r="Y92" i="7"/>
  <c r="Y134" i="7"/>
  <c r="Y155" i="7"/>
  <c r="Y232" i="7"/>
  <c r="Y321" i="7"/>
  <c r="Y80" i="7"/>
  <c r="Y235" i="7"/>
  <c r="Y133" i="7"/>
  <c r="Y239" i="7"/>
  <c r="Y43" i="7"/>
  <c r="Y275" i="7"/>
  <c r="Y110" i="7"/>
  <c r="Y264" i="7"/>
  <c r="Y163" i="7"/>
  <c r="Y136" i="7"/>
  <c r="Y253" i="7"/>
  <c r="Y256" i="7"/>
  <c r="Y173" i="7"/>
  <c r="Y276" i="7"/>
  <c r="Y259" i="7"/>
  <c r="Y137" i="7"/>
  <c r="Y214" i="7"/>
  <c r="Y61" i="7"/>
  <c r="Y189" i="7"/>
  <c r="Y185" i="7"/>
  <c r="Y144" i="7"/>
  <c r="Y295" i="7"/>
  <c r="Y165" i="7"/>
  <c r="Y170" i="7"/>
  <c r="Y52" i="7"/>
  <c r="Y41" i="7"/>
  <c r="Y286" i="7"/>
  <c r="Y278" i="7"/>
  <c r="Y161" i="7"/>
  <c r="Y166" i="7"/>
  <c r="Y148" i="7"/>
  <c r="Y238" i="7"/>
  <c r="Y42" i="7"/>
  <c r="Y103" i="7"/>
  <c r="Y241" i="7"/>
  <c r="Y236" i="7"/>
  <c r="Y277" i="7"/>
  <c r="Y40" i="7"/>
  <c r="Y246" i="7"/>
  <c r="Y319" i="7"/>
  <c r="Y49" i="7"/>
  <c r="Y204" i="7"/>
  <c r="Y54" i="7"/>
  <c r="Y270" i="7"/>
  <c r="Y75" i="7"/>
  <c r="Y304" i="7"/>
  <c r="Y142" i="7"/>
  <c r="Y293" i="7"/>
  <c r="Y195" i="7"/>
  <c r="Y168" i="7"/>
  <c r="Y66" i="7"/>
  <c r="Y140" i="7"/>
  <c r="Y55" i="7"/>
  <c r="Y37" i="7"/>
  <c r="Y143" i="7"/>
  <c r="Y294" i="7"/>
  <c r="Y146" i="7"/>
  <c r="Y172" i="7"/>
  <c r="Y167" i="7"/>
  <c r="Y178" i="7"/>
  <c r="Y90" i="7"/>
  <c r="Y301" i="7"/>
  <c r="Y306" i="7"/>
  <c r="Y176" i="7"/>
  <c r="Y197" i="7"/>
  <c r="Y47" i="7"/>
  <c r="Y202" i="7"/>
  <c r="Y84" i="7"/>
  <c r="Y73" i="7"/>
  <c r="Y318" i="7"/>
  <c r="Y307" i="7"/>
  <c r="Y289" i="7"/>
  <c r="Y48" i="7"/>
  <c r="Y203" i="7"/>
  <c r="Y248" i="7"/>
  <c r="Y51" i="7"/>
  <c r="Y56" i="7"/>
  <c r="Y298" i="7"/>
  <c r="Y212" i="7"/>
  <c r="Y210" i="7"/>
  <c r="Y156" i="7"/>
  <c r="Y199" i="7"/>
  <c r="Y81" i="7"/>
  <c r="Y77" i="7"/>
  <c r="Y86" i="7"/>
  <c r="Y299" i="7"/>
  <c r="Y107" i="7"/>
  <c r="Y174" i="7"/>
  <c r="Y325" i="7"/>
  <c r="Y227" i="7"/>
  <c r="Y200" i="7"/>
  <c r="Y182" i="7"/>
  <c r="Y300" i="7"/>
  <c r="Y188" i="7"/>
  <c r="Y153" i="7"/>
  <c r="Y303" i="7"/>
  <c r="Y308" i="7"/>
  <c r="Y135" i="7"/>
  <c r="Y282" i="7"/>
  <c r="Y115" i="7"/>
  <c r="Y88" i="7"/>
  <c r="Y252" i="7"/>
  <c r="Y208" i="7"/>
  <c r="Y229" i="7"/>
  <c r="Y79" i="7"/>
  <c r="Y234" i="7"/>
  <c r="Y116" i="7"/>
  <c r="Y105" i="7"/>
  <c r="Y71" i="7"/>
  <c r="Y209" i="7"/>
  <c r="Y254" i="7"/>
  <c r="Y58" i="7"/>
  <c r="Y196" i="7"/>
  <c r="Y62" i="7"/>
  <c r="Y217" i="7"/>
  <c r="Y257" i="7"/>
  <c r="Y266" i="7"/>
  <c r="Y242" i="7"/>
  <c r="Y231" i="7"/>
  <c r="Y113" i="7"/>
  <c r="Y118" i="7"/>
  <c r="Y139" i="7"/>
  <c r="Y206" i="7"/>
  <c r="Y323" i="7"/>
  <c r="Y114" i="7"/>
  <c r="Y268" i="7"/>
  <c r="Y159" i="7"/>
  <c r="Y310" i="7"/>
  <c r="Y85" i="7"/>
  <c r="Y314" i="7"/>
  <c r="Y122" i="7"/>
  <c r="Y292" i="7"/>
  <c r="Y260" i="7"/>
  <c r="Y94" i="7"/>
  <c r="Y249" i="7"/>
  <c r="Y147" i="7"/>
  <c r="Y120" i="7"/>
  <c r="Y125" i="7"/>
  <c r="Y240" i="7"/>
  <c r="Y45" i="7"/>
  <c r="Y111" i="7"/>
  <c r="Y265" i="7"/>
  <c r="Y216" i="7"/>
  <c r="Y64" i="7"/>
  <c r="Y219" i="7"/>
  <c r="Y223" i="7"/>
  <c r="Y296" i="7"/>
  <c r="Y112" i="7"/>
  <c r="Y83" i="7"/>
  <c r="Y149" i="7"/>
  <c r="Y154" i="7"/>
  <c r="Y36" i="7"/>
  <c r="Y273" i="7"/>
  <c r="Y262" i="7"/>
  <c r="Y145" i="7"/>
  <c r="Y220" i="7"/>
  <c r="Y150" i="7"/>
  <c r="Y171" i="7"/>
  <c r="Y121" i="7"/>
  <c r="Y274" i="7"/>
  <c r="Y316" i="7"/>
  <c r="Y312" i="7"/>
  <c r="Y230" i="7"/>
  <c r="Y128" i="7"/>
  <c r="Y162" i="7"/>
  <c r="D32" i="7"/>
  <c r="E32" i="7"/>
  <c r="D24" i="7"/>
  <c r="E24" i="7"/>
  <c r="D16" i="7"/>
  <c r="E16" i="7"/>
  <c r="D8" i="7"/>
  <c r="E8" i="7"/>
  <c r="D31" i="7"/>
  <c r="E31" i="7"/>
  <c r="D23" i="7"/>
  <c r="E23" i="7"/>
  <c r="D15" i="7"/>
  <c r="E15" i="7"/>
  <c r="D7" i="7"/>
  <c r="E7" i="7"/>
  <c r="D30" i="7"/>
  <c r="E30" i="7"/>
  <c r="D22" i="7"/>
  <c r="E22" i="7"/>
  <c r="F5" i="7"/>
  <c r="F21" i="7"/>
  <c r="F15" i="7"/>
  <c r="F6" i="7"/>
  <c r="F22" i="7"/>
  <c r="F27" i="7"/>
  <c r="F19" i="7"/>
  <c r="F7" i="7"/>
  <c r="F23" i="7"/>
  <c r="F13" i="7"/>
  <c r="F8" i="7"/>
  <c r="F24" i="7"/>
  <c r="F29" i="7"/>
  <c r="F9" i="7"/>
  <c r="F25" i="7"/>
  <c r="F18" i="7"/>
  <c r="F10" i="7"/>
  <c r="F26" i="7"/>
  <c r="F11" i="7"/>
  <c r="F28" i="7"/>
  <c r="F12" i="7"/>
  <c r="F30" i="7"/>
  <c r="F32" i="7"/>
  <c r="F14" i="7"/>
  <c r="F31" i="7"/>
  <c r="F33" i="7"/>
  <c r="F16" i="7"/>
  <c r="F17" i="7"/>
  <c r="F20" i="7"/>
  <c r="D14" i="7"/>
  <c r="E14" i="7"/>
  <c r="D6" i="7"/>
  <c r="E6" i="7"/>
  <c r="X138" i="7"/>
  <c r="X140" i="7"/>
  <c r="X174" i="7"/>
  <c r="X63" i="7"/>
  <c r="X315" i="7"/>
  <c r="X224" i="7"/>
  <c r="X129" i="7"/>
  <c r="X66" i="7"/>
  <c r="X318" i="7"/>
  <c r="X83" i="7"/>
  <c r="X260" i="7"/>
  <c r="X276" i="7"/>
  <c r="X198" i="7"/>
  <c r="X55" i="7"/>
  <c r="X307" i="7"/>
  <c r="X88" i="7"/>
  <c r="X104" i="7"/>
  <c r="X120" i="7"/>
  <c r="X136" i="7"/>
  <c r="X152" i="7"/>
  <c r="X292" i="7"/>
  <c r="X324" i="7"/>
  <c r="X154" i="7"/>
  <c r="X43" i="7"/>
  <c r="X295" i="7"/>
  <c r="X156" i="7"/>
  <c r="X45" i="7"/>
  <c r="X297" i="7"/>
  <c r="X190" i="7"/>
  <c r="X79" i="7"/>
  <c r="X240" i="7"/>
  <c r="X145" i="7"/>
  <c r="X82" i="7"/>
  <c r="X99" i="7"/>
  <c r="X275" i="7"/>
  <c r="X37" i="7"/>
  <c r="X289" i="7"/>
  <c r="X214" i="7"/>
  <c r="X71" i="7"/>
  <c r="X323" i="7"/>
  <c r="X216" i="7"/>
  <c r="X232" i="7"/>
  <c r="X248" i="7"/>
  <c r="X263" i="7"/>
  <c r="X279" i="7"/>
  <c r="X170" i="7"/>
  <c r="X59" i="7"/>
  <c r="X311" i="7"/>
  <c r="X172" i="7"/>
  <c r="X61" i="7"/>
  <c r="X313" i="7"/>
  <c r="X206" i="7"/>
  <c r="X95" i="7"/>
  <c r="X256" i="7"/>
  <c r="X161" i="7"/>
  <c r="X98" i="7"/>
  <c r="X115" i="7"/>
  <c r="X36" i="7"/>
  <c r="X288" i="7"/>
  <c r="X53" i="7"/>
  <c r="X305" i="7"/>
  <c r="X230" i="7"/>
  <c r="X87" i="7"/>
  <c r="X308" i="7"/>
  <c r="X186" i="7"/>
  <c r="X75" i="7"/>
  <c r="X188" i="7"/>
  <c r="X77" i="7"/>
  <c r="X222" i="7"/>
  <c r="X111" i="7"/>
  <c r="X271" i="7"/>
  <c r="X177" i="7"/>
  <c r="X114" i="7"/>
  <c r="X131" i="7"/>
  <c r="X52" i="7"/>
  <c r="X304" i="7"/>
  <c r="X69" i="7"/>
  <c r="X321" i="7"/>
  <c r="X246" i="7"/>
  <c r="X103" i="7"/>
  <c r="X202" i="7"/>
  <c r="X91" i="7"/>
  <c r="X204" i="7"/>
  <c r="X93" i="7"/>
  <c r="X238" i="7"/>
  <c r="X127" i="7"/>
  <c r="X284" i="7"/>
  <c r="X193" i="7"/>
  <c r="X130" i="7"/>
  <c r="X147" i="7"/>
  <c r="X68" i="7"/>
  <c r="X320" i="7"/>
  <c r="X85" i="7"/>
  <c r="X261" i="7"/>
  <c r="X119" i="7"/>
  <c r="X218" i="7"/>
  <c r="X107" i="7"/>
  <c r="X220" i="7"/>
  <c r="X109" i="7"/>
  <c r="X254" i="7"/>
  <c r="X143" i="7"/>
  <c r="X48" i="7"/>
  <c r="X300" i="7"/>
  <c r="X209" i="7"/>
  <c r="X146" i="7"/>
  <c r="X163" i="7"/>
  <c r="X84" i="7"/>
  <c r="X101" i="7"/>
  <c r="X277" i="7"/>
  <c r="X135" i="7"/>
  <c r="X234" i="7"/>
  <c r="X123" i="7"/>
  <c r="X236" i="7"/>
  <c r="X125" i="7"/>
  <c r="X269" i="7"/>
  <c r="X159" i="7"/>
  <c r="X64" i="7"/>
  <c r="X316" i="7"/>
  <c r="X225" i="7"/>
  <c r="X162" i="7"/>
  <c r="X179" i="7"/>
  <c r="X100" i="7"/>
  <c r="X117" i="7"/>
  <c r="X38" i="7"/>
  <c r="X290" i="7"/>
  <c r="X151" i="7"/>
  <c r="X41" i="7"/>
  <c r="X56" i="7"/>
  <c r="X57" i="7"/>
  <c r="X184" i="7"/>
  <c r="X185" i="7"/>
  <c r="X250" i="7"/>
  <c r="X139" i="7"/>
  <c r="X252" i="7"/>
  <c r="X141" i="7"/>
  <c r="X282" i="7"/>
  <c r="X175" i="7"/>
  <c r="X80" i="7"/>
  <c r="X241" i="7"/>
  <c r="X178" i="7"/>
  <c r="X195" i="7"/>
  <c r="X116" i="7"/>
  <c r="X133" i="7"/>
  <c r="X54" i="7"/>
  <c r="X306" i="7"/>
  <c r="X167" i="7"/>
  <c r="X153" i="7"/>
  <c r="X169" i="7"/>
  <c r="X309" i="7"/>
  <c r="X265" i="7"/>
  <c r="X155" i="7"/>
  <c r="X267" i="7"/>
  <c r="X157" i="7"/>
  <c r="X46" i="7"/>
  <c r="X298" i="7"/>
  <c r="X191" i="7"/>
  <c r="X96" i="7"/>
  <c r="X257" i="7"/>
  <c r="X194" i="7"/>
  <c r="X211" i="7"/>
  <c r="X132" i="7"/>
  <c r="X149" i="7"/>
  <c r="X70" i="7"/>
  <c r="X322" i="7"/>
  <c r="X183" i="7"/>
  <c r="X73" i="7"/>
  <c r="X89" i="7"/>
  <c r="X105" i="7"/>
  <c r="X121" i="7"/>
  <c r="X137" i="7"/>
  <c r="X280" i="7"/>
  <c r="X293" i="7"/>
  <c r="X281" i="7"/>
  <c r="X171" i="7"/>
  <c r="X173" i="7"/>
  <c r="X62" i="7"/>
  <c r="X314" i="7"/>
  <c r="X207" i="7"/>
  <c r="X112" i="7"/>
  <c r="X272" i="7"/>
  <c r="X210" i="7"/>
  <c r="X227" i="7"/>
  <c r="X148" i="7"/>
  <c r="X165" i="7"/>
  <c r="X86" i="7"/>
  <c r="X199" i="7"/>
  <c r="X201" i="7"/>
  <c r="X217" i="7"/>
  <c r="X233" i="7"/>
  <c r="X249" i="7"/>
  <c r="X264" i="7"/>
  <c r="X42" i="7"/>
  <c r="X294" i="7"/>
  <c r="X187" i="7"/>
  <c r="X44" i="7"/>
  <c r="X296" i="7"/>
  <c r="X189" i="7"/>
  <c r="X78" i="7"/>
  <c r="X223" i="7"/>
  <c r="X128" i="7"/>
  <c r="X285" i="7"/>
  <c r="X226" i="7"/>
  <c r="X243" i="7"/>
  <c r="X164" i="7"/>
  <c r="X181" i="7"/>
  <c r="X102" i="7"/>
  <c r="X215" i="7"/>
  <c r="X325" i="7"/>
  <c r="X58" i="7"/>
  <c r="X310" i="7"/>
  <c r="X203" i="7"/>
  <c r="X60" i="7"/>
  <c r="X312" i="7"/>
  <c r="X205" i="7"/>
  <c r="X94" i="7"/>
  <c r="X239" i="7"/>
  <c r="X144" i="7"/>
  <c r="X49" i="7"/>
  <c r="X301" i="7"/>
  <c r="X242" i="7"/>
  <c r="X259" i="7"/>
  <c r="X180" i="7"/>
  <c r="X197" i="7"/>
  <c r="X118" i="7"/>
  <c r="X231" i="7"/>
  <c r="X74" i="7"/>
  <c r="X35" i="7"/>
  <c r="X219" i="7"/>
  <c r="X76" i="7"/>
  <c r="X221" i="7"/>
  <c r="X110" i="7"/>
  <c r="X255" i="7"/>
  <c r="X160" i="7"/>
  <c r="X65" i="7"/>
  <c r="X317" i="7"/>
  <c r="X258" i="7"/>
  <c r="X274" i="7"/>
  <c r="X196" i="7"/>
  <c r="X213" i="7"/>
  <c r="X134" i="7"/>
  <c r="X247" i="7"/>
  <c r="X90" i="7"/>
  <c r="X235" i="7"/>
  <c r="X92" i="7"/>
  <c r="X237" i="7"/>
  <c r="X126" i="7"/>
  <c r="X270" i="7"/>
  <c r="X176" i="7"/>
  <c r="X81" i="7"/>
  <c r="X273" i="7"/>
  <c r="X287" i="7"/>
  <c r="X212" i="7"/>
  <c r="X229" i="7"/>
  <c r="X150" i="7"/>
  <c r="X262" i="7"/>
  <c r="X106" i="7"/>
  <c r="X251" i="7"/>
  <c r="X108" i="7"/>
  <c r="X253" i="7"/>
  <c r="X142" i="7"/>
  <c r="X283" i="7"/>
  <c r="X192" i="7"/>
  <c r="X97" i="7"/>
  <c r="X286" i="7"/>
  <c r="X51" i="7"/>
  <c r="X303" i="7"/>
  <c r="X228" i="7"/>
  <c r="X245" i="7"/>
  <c r="X166" i="7"/>
  <c r="X278" i="7"/>
  <c r="X40" i="7"/>
  <c r="X72" i="7"/>
  <c r="X122" i="7"/>
  <c r="X266" i="7"/>
  <c r="X124" i="7"/>
  <c r="X268" i="7"/>
  <c r="X158" i="7"/>
  <c r="X47" i="7"/>
  <c r="X299" i="7"/>
  <c r="X208" i="7"/>
  <c r="X113" i="7"/>
  <c r="X50" i="7"/>
  <c r="X302" i="7"/>
  <c r="X67" i="7"/>
  <c r="X319" i="7"/>
  <c r="X244" i="7"/>
  <c r="X182" i="7"/>
  <c r="X39" i="7"/>
  <c r="X291" i="7"/>
  <c r="X168" i="7"/>
  <c r="X200" i="7"/>
  <c r="D29" i="7"/>
  <c r="E29" i="7"/>
  <c r="D21" i="7"/>
  <c r="E21" i="7"/>
  <c r="D13" i="7"/>
  <c r="E13" i="7"/>
  <c r="D5" i="7"/>
  <c r="E5" i="7"/>
  <c r="D28" i="7"/>
  <c r="E28" i="7"/>
  <c r="E20" i="7"/>
  <c r="D20" i="7"/>
  <c r="S26" i="7"/>
  <c r="K26" i="7"/>
  <c r="D80" i="7"/>
  <c r="S80" i="7"/>
  <c r="K80" i="7"/>
  <c r="E80" i="7"/>
  <c r="E198" i="7"/>
  <c r="S198" i="7"/>
  <c r="D198" i="7"/>
  <c r="K198" i="7"/>
  <c r="S115" i="7"/>
  <c r="E115" i="7"/>
  <c r="D115" i="7"/>
  <c r="K115" i="7"/>
  <c r="E143" i="7"/>
  <c r="K143" i="7"/>
  <c r="S143" i="7"/>
  <c r="D143" i="7"/>
  <c r="D256" i="7"/>
  <c r="K256" i="7"/>
  <c r="S256" i="7"/>
  <c r="E256" i="7"/>
  <c r="D149" i="7"/>
  <c r="K149" i="7"/>
  <c r="S149" i="7"/>
  <c r="E149" i="7"/>
  <c r="D155" i="7"/>
  <c r="K155" i="7"/>
  <c r="S155" i="7"/>
  <c r="E155" i="7"/>
  <c r="E185" i="7"/>
  <c r="K185" i="7"/>
  <c r="S185" i="7"/>
  <c r="D185" i="7"/>
  <c r="D321" i="7"/>
  <c r="E321" i="7"/>
  <c r="S321" i="7"/>
  <c r="K321" i="7"/>
  <c r="D192" i="7"/>
  <c r="K192" i="7"/>
  <c r="S192" i="7"/>
  <c r="E192" i="7"/>
  <c r="D85" i="7"/>
  <c r="E85" i="7"/>
  <c r="S85" i="7"/>
  <c r="K85" i="7"/>
  <c r="D91" i="7"/>
  <c r="K91" i="7"/>
  <c r="S91" i="7"/>
  <c r="E91" i="7"/>
  <c r="S314" i="7"/>
  <c r="E314" i="7"/>
  <c r="D314" i="7"/>
  <c r="K314" i="7"/>
  <c r="S259" i="7"/>
  <c r="E259" i="7"/>
  <c r="D259" i="7"/>
  <c r="K259" i="7"/>
  <c r="D128" i="7"/>
  <c r="K128" i="7"/>
  <c r="S128" i="7"/>
  <c r="E128" i="7"/>
  <c r="E38" i="7"/>
  <c r="K38" i="7"/>
  <c r="S38" i="7"/>
  <c r="D38" i="7"/>
  <c r="D109" i="7"/>
  <c r="E109" i="7"/>
  <c r="K109" i="7"/>
  <c r="S109" i="7"/>
  <c r="K274" i="7"/>
  <c r="E274" i="7"/>
  <c r="D274" i="7"/>
  <c r="S274" i="7"/>
  <c r="D265" i="7"/>
  <c r="E265" i="7"/>
  <c r="S265" i="7"/>
  <c r="K265" i="7"/>
  <c r="D196" i="7"/>
  <c r="K196" i="7"/>
  <c r="S196" i="7"/>
  <c r="E196" i="7"/>
  <c r="D235" i="7"/>
  <c r="S235" i="7"/>
  <c r="K235" i="7"/>
  <c r="E235" i="7"/>
  <c r="D272" i="7"/>
  <c r="S272" i="7"/>
  <c r="E272" i="7"/>
  <c r="K272" i="7"/>
  <c r="E102" i="7"/>
  <c r="K102" i="7"/>
  <c r="S102" i="7"/>
  <c r="D102" i="7"/>
  <c r="E315" i="7"/>
  <c r="S315" i="7"/>
  <c r="D315" i="7"/>
  <c r="K315" i="7"/>
  <c r="S33" i="7"/>
  <c r="K33" i="7"/>
  <c r="D288" i="7"/>
  <c r="S288" i="7"/>
  <c r="E288" i="7"/>
  <c r="K288" i="7"/>
  <c r="D168" i="7"/>
  <c r="K168" i="7"/>
  <c r="S168" i="7"/>
  <c r="E168" i="7"/>
  <c r="D116" i="7"/>
  <c r="S116" i="7"/>
  <c r="K116" i="7"/>
  <c r="E116" i="7"/>
  <c r="D90" i="7"/>
  <c r="S90" i="7"/>
  <c r="K90" i="7"/>
  <c r="E90" i="7"/>
  <c r="D267" i="7"/>
  <c r="K267" i="7"/>
  <c r="S267" i="7"/>
  <c r="E267" i="7"/>
  <c r="E137" i="7"/>
  <c r="K137" i="7"/>
  <c r="S137" i="7"/>
  <c r="D137" i="7"/>
  <c r="E79" i="7"/>
  <c r="K79" i="7"/>
  <c r="S79" i="7"/>
  <c r="D79" i="7"/>
  <c r="D52" i="7"/>
  <c r="K52" i="7"/>
  <c r="E52" i="7"/>
  <c r="S52" i="7"/>
  <c r="D152" i="7"/>
  <c r="S152" i="7"/>
  <c r="E152" i="7"/>
  <c r="K152" i="7"/>
  <c r="K22" i="7"/>
  <c r="S22" i="7"/>
  <c r="S319" i="7"/>
  <c r="E319" i="7"/>
  <c r="D319" i="7"/>
  <c r="K319" i="7"/>
  <c r="D244" i="7"/>
  <c r="S244" i="7"/>
  <c r="K244" i="7"/>
  <c r="E244" i="7"/>
  <c r="D76" i="7"/>
  <c r="K76" i="7"/>
  <c r="S76" i="7"/>
  <c r="E76" i="7"/>
  <c r="K11" i="7"/>
  <c r="S11" i="7"/>
  <c r="E325" i="7"/>
  <c r="K325" i="7"/>
  <c r="S325" i="7"/>
  <c r="D325" i="7"/>
  <c r="D163" i="7"/>
  <c r="E163" i="7"/>
  <c r="K163" i="7"/>
  <c r="S163" i="7"/>
  <c r="D170" i="7"/>
  <c r="S170" i="7"/>
  <c r="E170" i="7"/>
  <c r="K170" i="7"/>
  <c r="D161" i="7"/>
  <c r="S161" i="7"/>
  <c r="K161" i="7"/>
  <c r="E161" i="7"/>
  <c r="D197" i="7"/>
  <c r="K197" i="7"/>
  <c r="E197" i="7"/>
  <c r="S197" i="7"/>
  <c r="D45" i="7"/>
  <c r="S45" i="7"/>
  <c r="E45" i="7"/>
  <c r="K45" i="7"/>
  <c r="S28" i="7"/>
  <c r="K28" i="7"/>
  <c r="D223" i="7"/>
  <c r="S223" i="7"/>
  <c r="E223" i="7"/>
  <c r="K223" i="7"/>
  <c r="K83" i="7"/>
  <c r="D83" i="7"/>
  <c r="S83" i="7"/>
  <c r="E83" i="7"/>
  <c r="D183" i="7"/>
  <c r="K183" i="7"/>
  <c r="S183" i="7"/>
  <c r="E183" i="7"/>
  <c r="D221" i="7"/>
  <c r="E221" i="7"/>
  <c r="K221" i="7"/>
  <c r="S221" i="7"/>
  <c r="D286" i="7"/>
  <c r="S286" i="7"/>
  <c r="E286" i="7"/>
  <c r="K286" i="7"/>
  <c r="K18" i="7"/>
  <c r="S18" i="7"/>
  <c r="D242" i="7"/>
  <c r="S242" i="7"/>
  <c r="K242" i="7"/>
  <c r="E242" i="7"/>
  <c r="D119" i="7"/>
  <c r="S119" i="7"/>
  <c r="E119" i="7"/>
  <c r="K119" i="7"/>
  <c r="D157" i="7"/>
  <c r="S157" i="7"/>
  <c r="E157" i="7"/>
  <c r="K157" i="7"/>
  <c r="E126" i="7"/>
  <c r="D126" i="7"/>
  <c r="S126" i="7"/>
  <c r="K126" i="7"/>
  <c r="D310" i="7"/>
  <c r="K310" i="7"/>
  <c r="S310" i="7"/>
  <c r="E310" i="7"/>
  <c r="K211" i="7"/>
  <c r="E211" i="7"/>
  <c r="D211" i="7"/>
  <c r="S211" i="7"/>
  <c r="D218" i="7"/>
  <c r="K218" i="7"/>
  <c r="S218" i="7"/>
  <c r="E218" i="7"/>
  <c r="D111" i="7"/>
  <c r="S111" i="7"/>
  <c r="E111" i="7"/>
  <c r="K111" i="7"/>
  <c r="S158" i="7"/>
  <c r="E158" i="7"/>
  <c r="K158" i="7"/>
  <c r="D158" i="7"/>
  <c r="D130" i="7"/>
  <c r="K130" i="7"/>
  <c r="S130" i="7"/>
  <c r="E130" i="7"/>
  <c r="D40" i="7"/>
  <c r="S40" i="7"/>
  <c r="K40" i="7"/>
  <c r="E40" i="7"/>
  <c r="D323" i="7"/>
  <c r="K323" i="7"/>
  <c r="S323" i="7"/>
  <c r="E323" i="7"/>
  <c r="D299" i="7"/>
  <c r="E299" i="7"/>
  <c r="S299" i="7"/>
  <c r="K299" i="7"/>
  <c r="D98" i="7"/>
  <c r="S98" i="7"/>
  <c r="E98" i="7"/>
  <c r="K98" i="7"/>
  <c r="D250" i="7"/>
  <c r="E250" i="7"/>
  <c r="S250" i="7"/>
  <c r="K250" i="7"/>
  <c r="D307" i="7"/>
  <c r="S307" i="7"/>
  <c r="E307" i="7"/>
  <c r="K307" i="7"/>
  <c r="D50" i="7"/>
  <c r="S50" i="7"/>
  <c r="K50" i="7"/>
  <c r="E50" i="7"/>
  <c r="D150" i="7"/>
  <c r="K150" i="7"/>
  <c r="S150" i="7"/>
  <c r="E150" i="7"/>
  <c r="D188" i="7"/>
  <c r="S188" i="7"/>
  <c r="K188" i="7"/>
  <c r="E188" i="7"/>
  <c r="S10" i="7"/>
  <c r="K10" i="7"/>
  <c r="D217" i="7"/>
  <c r="S217" i="7"/>
  <c r="E217" i="7"/>
  <c r="K217" i="7"/>
  <c r="D209" i="7"/>
  <c r="S209" i="7"/>
  <c r="E209" i="7"/>
  <c r="K209" i="7"/>
  <c r="D86" i="7"/>
  <c r="K86" i="7"/>
  <c r="S86" i="7"/>
  <c r="E86" i="7"/>
  <c r="D124" i="7"/>
  <c r="S124" i="7"/>
  <c r="K124" i="7"/>
  <c r="E124" i="7"/>
  <c r="D271" i="7"/>
  <c r="K271" i="7"/>
  <c r="S271" i="7"/>
  <c r="E271" i="7"/>
  <c r="D279" i="7"/>
  <c r="E279" i="7"/>
  <c r="K279" i="7"/>
  <c r="S279" i="7"/>
  <c r="D178" i="7"/>
  <c r="S178" i="7"/>
  <c r="E178" i="7"/>
  <c r="K178" i="7"/>
  <c r="D88" i="7"/>
  <c r="S88" i="7"/>
  <c r="K88" i="7"/>
  <c r="E88" i="7"/>
  <c r="D239" i="7"/>
  <c r="S239" i="7"/>
  <c r="E239" i="7"/>
  <c r="K239" i="7"/>
  <c r="E290" i="7"/>
  <c r="K290" i="7"/>
  <c r="S290" i="7"/>
  <c r="D290" i="7"/>
  <c r="D97" i="7"/>
  <c r="E97" i="7"/>
  <c r="K97" i="7"/>
  <c r="S97" i="7"/>
  <c r="E230" i="7"/>
  <c r="S230" i="7"/>
  <c r="D230" i="7"/>
  <c r="K230" i="7"/>
  <c r="D284" i="7"/>
  <c r="K284" i="7"/>
  <c r="S284" i="7"/>
  <c r="E284" i="7"/>
  <c r="D181" i="7"/>
  <c r="S181" i="7"/>
  <c r="K181" i="7"/>
  <c r="E181" i="7"/>
  <c r="K17" i="7"/>
  <c r="S17" i="7"/>
  <c r="D283" i="7"/>
  <c r="K283" i="7"/>
  <c r="S283" i="7"/>
  <c r="E283" i="7"/>
  <c r="S62" i="7"/>
  <c r="K62" i="7"/>
  <c r="D62" i="7"/>
  <c r="E62" i="7"/>
  <c r="D240" i="7"/>
  <c r="K240" i="7"/>
  <c r="S240" i="7"/>
  <c r="E240" i="7"/>
  <c r="D133" i="7"/>
  <c r="K133" i="7"/>
  <c r="S133" i="7"/>
  <c r="E133" i="7"/>
  <c r="D139" i="7"/>
  <c r="K139" i="7"/>
  <c r="S139" i="7"/>
  <c r="E139" i="7"/>
  <c r="D110" i="7"/>
  <c r="S110" i="7"/>
  <c r="K110" i="7"/>
  <c r="E110" i="7"/>
  <c r="D305" i="7"/>
  <c r="E305" i="7"/>
  <c r="S305" i="7"/>
  <c r="K305" i="7"/>
  <c r="D176" i="7"/>
  <c r="K176" i="7"/>
  <c r="S176" i="7"/>
  <c r="E176" i="7"/>
  <c r="D69" i="7"/>
  <c r="S69" i="7"/>
  <c r="K69" i="7"/>
  <c r="E69" i="7"/>
  <c r="D75" i="7"/>
  <c r="S75" i="7"/>
  <c r="E75" i="7"/>
  <c r="K75" i="7"/>
  <c r="E298" i="7"/>
  <c r="D298" i="7"/>
  <c r="S298" i="7"/>
  <c r="K298" i="7"/>
  <c r="K16" i="7"/>
  <c r="S16" i="7"/>
  <c r="D145" i="7"/>
  <c r="S145" i="7"/>
  <c r="K145" i="7"/>
  <c r="E145" i="7"/>
  <c r="D55" i="7"/>
  <c r="K55" i="7"/>
  <c r="S55" i="7"/>
  <c r="E55" i="7"/>
  <c r="S30" i="7"/>
  <c r="K30" i="7"/>
  <c r="D64" i="7"/>
  <c r="K64" i="7"/>
  <c r="S64" i="7"/>
  <c r="E64" i="7"/>
  <c r="D213" i="7"/>
  <c r="K213" i="7"/>
  <c r="S213" i="7"/>
  <c r="E213" i="7"/>
  <c r="D140" i="7"/>
  <c r="S140" i="7"/>
  <c r="K140" i="7"/>
  <c r="E140" i="7"/>
  <c r="D320" i="7"/>
  <c r="S320" i="7"/>
  <c r="K320" i="7"/>
  <c r="E320" i="7"/>
  <c r="E233" i="7"/>
  <c r="K233" i="7"/>
  <c r="S233" i="7"/>
  <c r="D233" i="7"/>
  <c r="D252" i="7"/>
  <c r="K252" i="7"/>
  <c r="S252" i="7"/>
  <c r="E252" i="7"/>
  <c r="D313" i="7"/>
  <c r="S313" i="7"/>
  <c r="E313" i="7"/>
  <c r="K313" i="7"/>
  <c r="D275" i="7"/>
  <c r="K275" i="7"/>
  <c r="S275" i="7"/>
  <c r="E275" i="7"/>
  <c r="S21" i="7"/>
  <c r="K21" i="7"/>
  <c r="D100" i="7"/>
  <c r="S100" i="7"/>
  <c r="K100" i="7"/>
  <c r="E100" i="7"/>
  <c r="D74" i="7"/>
  <c r="K74" i="7"/>
  <c r="S74" i="7"/>
  <c r="E74" i="7"/>
  <c r="K238" i="7"/>
  <c r="D238" i="7"/>
  <c r="S238" i="7"/>
  <c r="E238" i="7"/>
  <c r="D47" i="7"/>
  <c r="K47" i="7"/>
  <c r="S47" i="7"/>
  <c r="E47" i="7"/>
  <c r="S5" i="7"/>
  <c r="K5" i="7"/>
  <c r="D36" i="7"/>
  <c r="E36" i="7"/>
  <c r="K36" i="7"/>
  <c r="S36" i="7"/>
  <c r="D136" i="7"/>
  <c r="S136" i="7"/>
  <c r="K136" i="7"/>
  <c r="E136" i="7"/>
  <c r="S6" i="7"/>
  <c r="K6" i="7"/>
  <c r="E207" i="7"/>
  <c r="S207" i="7"/>
  <c r="K207" i="7"/>
  <c r="D207" i="7"/>
  <c r="D112" i="7"/>
  <c r="E112" i="7"/>
  <c r="K112" i="7"/>
  <c r="S112" i="7"/>
  <c r="D93" i="7"/>
  <c r="E93" i="7"/>
  <c r="K93" i="7"/>
  <c r="S93" i="7"/>
  <c r="D254" i="7"/>
  <c r="E254" i="7"/>
  <c r="K254" i="7"/>
  <c r="S254" i="7"/>
  <c r="E264" i="7"/>
  <c r="S264" i="7"/>
  <c r="D264" i="7"/>
  <c r="K264" i="7"/>
  <c r="D180" i="7"/>
  <c r="S180" i="7"/>
  <c r="E180" i="7"/>
  <c r="K180" i="7"/>
  <c r="F319" i="7"/>
  <c r="F320" i="7"/>
  <c r="F84" i="7"/>
  <c r="F165" i="7"/>
  <c r="F54" i="7"/>
  <c r="F306" i="7"/>
  <c r="F199" i="7"/>
  <c r="F88" i="7"/>
  <c r="F197" i="7"/>
  <c r="F86" i="7"/>
  <c r="F231" i="7"/>
  <c r="F53" i="7"/>
  <c r="F305" i="7"/>
  <c r="F261" i="7"/>
  <c r="F183" i="7"/>
  <c r="F120" i="7"/>
  <c r="F280" i="7"/>
  <c r="F186" i="7"/>
  <c r="F75" i="7"/>
  <c r="F220" i="7"/>
  <c r="F109" i="7"/>
  <c r="F254" i="7"/>
  <c r="F223" i="7"/>
  <c r="F112" i="7"/>
  <c r="F257" i="7"/>
  <c r="F146" i="7"/>
  <c r="F228" i="7"/>
  <c r="F274" i="7"/>
  <c r="F195" i="7"/>
  <c r="F37" i="7"/>
  <c r="F277" i="7"/>
  <c r="F215" i="7"/>
  <c r="F136" i="7"/>
  <c r="F41" i="7"/>
  <c r="F293" i="7"/>
  <c r="F202" i="7"/>
  <c r="F91" i="7"/>
  <c r="F236" i="7"/>
  <c r="F125" i="7"/>
  <c r="F269" i="7"/>
  <c r="F239" i="7"/>
  <c r="F128" i="7"/>
  <c r="F272" i="7"/>
  <c r="F162" i="7"/>
  <c r="F303" i="7"/>
  <c r="F69" i="7"/>
  <c r="F290" i="7"/>
  <c r="F247" i="7"/>
  <c r="F152" i="7"/>
  <c r="F57" i="7"/>
  <c r="F309" i="7"/>
  <c r="F218" i="7"/>
  <c r="F107" i="7"/>
  <c r="F252" i="7"/>
  <c r="F141" i="7"/>
  <c r="F255" i="7"/>
  <c r="F144" i="7"/>
  <c r="F285" i="7"/>
  <c r="F178" i="7"/>
  <c r="F148" i="7"/>
  <c r="F68" i="7"/>
  <c r="F85" i="7"/>
  <c r="F322" i="7"/>
  <c r="F262" i="7"/>
  <c r="F168" i="7"/>
  <c r="F73" i="7"/>
  <c r="F325" i="7"/>
  <c r="F234" i="7"/>
  <c r="F123" i="7"/>
  <c r="F267" i="7"/>
  <c r="F157" i="7"/>
  <c r="F46" i="7"/>
  <c r="F270" i="7"/>
  <c r="F160" i="7"/>
  <c r="F49" i="7"/>
  <c r="F301" i="7"/>
  <c r="F194" i="7"/>
  <c r="F115" i="7"/>
  <c r="F275" i="7"/>
  <c r="F196" i="7"/>
  <c r="F101" i="7"/>
  <c r="F38" i="7"/>
  <c r="F278" i="7"/>
  <c r="F184" i="7"/>
  <c r="F89" i="7"/>
  <c r="F250" i="7"/>
  <c r="F139" i="7"/>
  <c r="F173" i="7"/>
  <c r="F62" i="7"/>
  <c r="F283" i="7"/>
  <c r="F176" i="7"/>
  <c r="F65" i="7"/>
  <c r="F317" i="7"/>
  <c r="F210" i="7"/>
  <c r="F243" i="7"/>
  <c r="F163" i="7"/>
  <c r="F304" i="7"/>
  <c r="F117" i="7"/>
  <c r="F70" i="7"/>
  <c r="F291" i="7"/>
  <c r="F200" i="7"/>
  <c r="F105" i="7"/>
  <c r="F265" i="7"/>
  <c r="F155" i="7"/>
  <c r="F44" i="7"/>
  <c r="F296" i="7"/>
  <c r="F189" i="7"/>
  <c r="F78" i="7"/>
  <c r="F47" i="7"/>
  <c r="F299" i="7"/>
  <c r="F192" i="7"/>
  <c r="F81" i="7"/>
  <c r="F226" i="7"/>
  <c r="F282" i="7"/>
  <c r="F133" i="7"/>
  <c r="F102" i="7"/>
  <c r="F307" i="7"/>
  <c r="F216" i="7"/>
  <c r="F121" i="7"/>
  <c r="F281" i="7"/>
  <c r="F171" i="7"/>
  <c r="F60" i="7"/>
  <c r="F312" i="7"/>
  <c r="F205" i="7"/>
  <c r="F94" i="7"/>
  <c r="F63" i="7"/>
  <c r="F315" i="7"/>
  <c r="F208" i="7"/>
  <c r="F97" i="7"/>
  <c r="F242" i="7"/>
  <c r="F116" i="7"/>
  <c r="F36" i="7"/>
  <c r="F83" i="7"/>
  <c r="F149" i="7"/>
  <c r="F118" i="7"/>
  <c r="F39" i="7"/>
  <c r="F323" i="7"/>
  <c r="F232" i="7"/>
  <c r="F137" i="7"/>
  <c r="F42" i="7"/>
  <c r="F294" i="7"/>
  <c r="F187" i="7"/>
  <c r="F76" i="7"/>
  <c r="F221" i="7"/>
  <c r="F110" i="7"/>
  <c r="F79" i="7"/>
  <c r="F224" i="7"/>
  <c r="F113" i="7"/>
  <c r="F258" i="7"/>
  <c r="F244" i="7"/>
  <c r="F164" i="7"/>
  <c r="F211" i="7"/>
  <c r="F181" i="7"/>
  <c r="F134" i="7"/>
  <c r="F55" i="7"/>
  <c r="F248" i="7"/>
  <c r="F153" i="7"/>
  <c r="F58" i="7"/>
  <c r="F310" i="7"/>
  <c r="F203" i="7"/>
  <c r="F92" i="7"/>
  <c r="F237" i="7"/>
  <c r="F126" i="7"/>
  <c r="F95" i="7"/>
  <c r="F240" i="7"/>
  <c r="F129" i="7"/>
  <c r="F273" i="7"/>
  <c r="F287" i="7"/>
  <c r="F314" i="7"/>
  <c r="F213" i="7"/>
  <c r="F150" i="7"/>
  <c r="F71" i="7"/>
  <c r="F263" i="7"/>
  <c r="F169" i="7"/>
  <c r="F74" i="7"/>
  <c r="F35" i="7"/>
  <c r="F219" i="7"/>
  <c r="F108" i="7"/>
  <c r="F253" i="7"/>
  <c r="F142" i="7"/>
  <c r="F111" i="7"/>
  <c r="F256" i="7"/>
  <c r="F145" i="7"/>
  <c r="F286" i="7"/>
  <c r="F131" i="7"/>
  <c r="F51" i="7"/>
  <c r="F229" i="7"/>
  <c r="F166" i="7"/>
  <c r="F87" i="7"/>
  <c r="F279" i="7"/>
  <c r="F185" i="7"/>
  <c r="F90" i="7"/>
  <c r="F235" i="7"/>
  <c r="F124" i="7"/>
  <c r="F268" i="7"/>
  <c r="F158" i="7"/>
  <c r="F127" i="7"/>
  <c r="F271" i="7"/>
  <c r="F161" i="7"/>
  <c r="F50" i="7"/>
  <c r="F302" i="7"/>
  <c r="F259" i="7"/>
  <c r="F179" i="7"/>
  <c r="F245" i="7"/>
  <c r="F182" i="7"/>
  <c r="F103" i="7"/>
  <c r="F292" i="7"/>
  <c r="F201" i="7"/>
  <c r="F106" i="7"/>
  <c r="F251" i="7"/>
  <c r="F140" i="7"/>
  <c r="F174" i="7"/>
  <c r="F143" i="7"/>
  <c r="F284" i="7"/>
  <c r="F177" i="7"/>
  <c r="F66" i="7"/>
  <c r="F318" i="7"/>
  <c r="F288" i="7"/>
  <c r="F227" i="7"/>
  <c r="F198" i="7"/>
  <c r="F119" i="7"/>
  <c r="F40" i="7"/>
  <c r="F308" i="7"/>
  <c r="F217" i="7"/>
  <c r="F122" i="7"/>
  <c r="F266" i="7"/>
  <c r="F156" i="7"/>
  <c r="F45" i="7"/>
  <c r="F297" i="7"/>
  <c r="F190" i="7"/>
  <c r="F159" i="7"/>
  <c r="F48" i="7"/>
  <c r="F300" i="7"/>
  <c r="F193" i="7"/>
  <c r="F82" i="7"/>
  <c r="F132" i="7"/>
  <c r="F52" i="7"/>
  <c r="F212" i="7"/>
  <c r="F276" i="7"/>
  <c r="F214" i="7"/>
  <c r="F135" i="7"/>
  <c r="F56" i="7"/>
  <c r="F324" i="7"/>
  <c r="F233" i="7"/>
  <c r="F138" i="7"/>
  <c r="F172" i="7"/>
  <c r="F61" i="7"/>
  <c r="F313" i="7"/>
  <c r="F206" i="7"/>
  <c r="F175" i="7"/>
  <c r="F64" i="7"/>
  <c r="F316" i="7"/>
  <c r="F209" i="7"/>
  <c r="F98" i="7"/>
  <c r="F260" i="7"/>
  <c r="F180" i="7"/>
  <c r="F99" i="7"/>
  <c r="F72" i="7"/>
  <c r="F93" i="7"/>
  <c r="F104" i="7"/>
  <c r="F147" i="7"/>
  <c r="F222" i="7"/>
  <c r="F298" i="7"/>
  <c r="F100" i="7"/>
  <c r="F238" i="7"/>
  <c r="F67" i="7"/>
  <c r="F249" i="7"/>
  <c r="F191" i="7"/>
  <c r="F264" i="7"/>
  <c r="F207" i="7"/>
  <c r="F154" i="7"/>
  <c r="F80" i="7"/>
  <c r="F167" i="7"/>
  <c r="F170" i="7"/>
  <c r="F96" i="7"/>
  <c r="F77" i="7"/>
  <c r="F43" i="7"/>
  <c r="F59" i="7"/>
  <c r="F289" i="7"/>
  <c r="F295" i="7"/>
  <c r="F225" i="7"/>
  <c r="F321" i="7"/>
  <c r="F311" i="7"/>
  <c r="F241" i="7"/>
  <c r="F230" i="7"/>
  <c r="F188" i="7"/>
  <c r="F114" i="7"/>
  <c r="F246" i="7"/>
  <c r="F204" i="7"/>
  <c r="F130" i="7"/>
  <c r="F151" i="7"/>
  <c r="D304" i="7"/>
  <c r="S304" i="7"/>
  <c r="E304" i="7"/>
  <c r="K304" i="7"/>
  <c r="S23" i="7"/>
  <c r="K23" i="7"/>
  <c r="D82" i="7"/>
  <c r="K82" i="7"/>
  <c r="S82" i="7"/>
  <c r="E82" i="7"/>
  <c r="D268" i="7"/>
  <c r="S268" i="7"/>
  <c r="K268" i="7"/>
  <c r="E268" i="7"/>
  <c r="K12" i="7"/>
  <c r="S12" i="7"/>
  <c r="D159" i="7"/>
  <c r="K159" i="7"/>
  <c r="E159" i="7"/>
  <c r="S159" i="7"/>
  <c r="S67" i="7"/>
  <c r="E67" i="7"/>
  <c r="D67" i="7"/>
  <c r="K67" i="7"/>
  <c r="D167" i="7"/>
  <c r="K167" i="7"/>
  <c r="S167" i="7"/>
  <c r="E167" i="7"/>
  <c r="D205" i="7"/>
  <c r="K205" i="7"/>
  <c r="E205" i="7"/>
  <c r="S205" i="7"/>
  <c r="D273" i="7"/>
  <c r="S273" i="7"/>
  <c r="E273" i="7"/>
  <c r="K273" i="7"/>
  <c r="D324" i="7"/>
  <c r="S324" i="7"/>
  <c r="K324" i="7"/>
  <c r="E324" i="7"/>
  <c r="D226" i="7"/>
  <c r="K226" i="7"/>
  <c r="S226" i="7"/>
  <c r="E226" i="7"/>
  <c r="D103" i="7"/>
  <c r="S103" i="7"/>
  <c r="E103" i="7"/>
  <c r="K103" i="7"/>
  <c r="D141" i="7"/>
  <c r="E141" i="7"/>
  <c r="K141" i="7"/>
  <c r="S141" i="7"/>
  <c r="K303" i="7"/>
  <c r="E303" i="7"/>
  <c r="D303" i="7"/>
  <c r="S303" i="7"/>
  <c r="D281" i="7"/>
  <c r="S281" i="7"/>
  <c r="E281" i="7"/>
  <c r="K281" i="7"/>
  <c r="D228" i="7"/>
  <c r="S228" i="7"/>
  <c r="K228" i="7"/>
  <c r="E228" i="7"/>
  <c r="D60" i="7"/>
  <c r="K60" i="7"/>
  <c r="S60" i="7"/>
  <c r="E60" i="7"/>
  <c r="D317" i="7"/>
  <c r="S317" i="7"/>
  <c r="K317" i="7"/>
  <c r="E317" i="7"/>
  <c r="E309" i="7"/>
  <c r="K309" i="7"/>
  <c r="S309" i="7"/>
  <c r="D309" i="7"/>
  <c r="K147" i="7"/>
  <c r="D147" i="7"/>
  <c r="E147" i="7"/>
  <c r="S147" i="7"/>
  <c r="D204" i="7"/>
  <c r="K204" i="7"/>
  <c r="S204" i="7"/>
  <c r="E204" i="7"/>
  <c r="E57" i="7"/>
  <c r="S57" i="7"/>
  <c r="K57" i="7"/>
  <c r="D57" i="7"/>
  <c r="D154" i="7"/>
  <c r="S154" i="7"/>
  <c r="K154" i="7"/>
  <c r="E154" i="7"/>
  <c r="D164" i="7"/>
  <c r="E164" i="7"/>
  <c r="S164" i="7"/>
  <c r="K164" i="7"/>
  <c r="D260" i="7"/>
  <c r="K260" i="7"/>
  <c r="E260" i="7"/>
  <c r="S260" i="7"/>
  <c r="D236" i="7"/>
  <c r="K236" i="7"/>
  <c r="S236" i="7"/>
  <c r="E236" i="7"/>
  <c r="E191" i="7"/>
  <c r="K191" i="7"/>
  <c r="D191" i="7"/>
  <c r="S191" i="7"/>
  <c r="D291" i="7"/>
  <c r="K291" i="7"/>
  <c r="S291" i="7"/>
  <c r="E291" i="7"/>
  <c r="D257" i="7"/>
  <c r="E257" i="7"/>
  <c r="S257" i="7"/>
  <c r="K257" i="7"/>
  <c r="E134" i="7"/>
  <c r="K134" i="7"/>
  <c r="S134" i="7"/>
  <c r="D134" i="7"/>
  <c r="D172" i="7"/>
  <c r="S172" i="7"/>
  <c r="E172" i="7"/>
  <c r="K172" i="7"/>
  <c r="D316" i="7"/>
  <c r="E316" i="7"/>
  <c r="S316" i="7"/>
  <c r="K316" i="7"/>
  <c r="D153" i="7"/>
  <c r="K153" i="7"/>
  <c r="S153" i="7"/>
  <c r="E153" i="7"/>
  <c r="D193" i="7"/>
  <c r="K193" i="7"/>
  <c r="E193" i="7"/>
  <c r="S193" i="7"/>
  <c r="E70" i="7"/>
  <c r="K70" i="7"/>
  <c r="S70" i="7"/>
  <c r="D70" i="7"/>
  <c r="D108" i="7"/>
  <c r="K108" i="7"/>
  <c r="S108" i="7"/>
  <c r="E108" i="7"/>
  <c r="E41" i="7"/>
  <c r="K41" i="7"/>
  <c r="S41" i="7"/>
  <c r="D41" i="7"/>
  <c r="D295" i="7"/>
  <c r="K295" i="7"/>
  <c r="S295" i="7"/>
  <c r="E295" i="7"/>
  <c r="D195" i="7"/>
  <c r="S195" i="7"/>
  <c r="E195" i="7"/>
  <c r="K195" i="7"/>
  <c r="D202" i="7"/>
  <c r="S202" i="7"/>
  <c r="K202" i="7"/>
  <c r="E202" i="7"/>
  <c r="K25" i="7"/>
  <c r="S25" i="7"/>
  <c r="E73" i="7"/>
  <c r="S73" i="7"/>
  <c r="K73" i="7"/>
  <c r="D73" i="7"/>
  <c r="D114" i="7"/>
  <c r="K114" i="7"/>
  <c r="S114" i="7"/>
  <c r="E114" i="7"/>
  <c r="K94" i="7"/>
  <c r="E94" i="7"/>
  <c r="S94" i="7"/>
  <c r="D94" i="7"/>
  <c r="D229" i="7"/>
  <c r="K229" i="7"/>
  <c r="S229" i="7"/>
  <c r="E229" i="7"/>
  <c r="D138" i="7"/>
  <c r="S138" i="7"/>
  <c r="E138" i="7"/>
  <c r="K138" i="7"/>
  <c r="D232" i="7"/>
  <c r="S232" i="7"/>
  <c r="K232" i="7"/>
  <c r="E232" i="7"/>
  <c r="D219" i="7"/>
  <c r="K219" i="7"/>
  <c r="S219" i="7"/>
  <c r="E219" i="7"/>
  <c r="D187" i="7"/>
  <c r="K187" i="7"/>
  <c r="S187" i="7"/>
  <c r="E187" i="7"/>
  <c r="E270" i="7"/>
  <c r="K270" i="7"/>
  <c r="S270" i="7"/>
  <c r="D270" i="7"/>
  <c r="K31" i="7"/>
  <c r="S31" i="7"/>
  <c r="D224" i="7"/>
  <c r="E224" i="7"/>
  <c r="S224" i="7"/>
  <c r="K224" i="7"/>
  <c r="D117" i="7"/>
  <c r="K117" i="7"/>
  <c r="S117" i="7"/>
  <c r="E117" i="7"/>
  <c r="D123" i="7"/>
  <c r="K123" i="7"/>
  <c r="S123" i="7"/>
  <c r="E123" i="7"/>
  <c r="S24" i="7"/>
  <c r="K24" i="7"/>
  <c r="D289" i="7"/>
  <c r="E289" i="7"/>
  <c r="K289" i="7"/>
  <c r="S289" i="7"/>
  <c r="D160" i="7"/>
  <c r="K160" i="7"/>
  <c r="S160" i="7"/>
  <c r="E160" i="7"/>
  <c r="D53" i="7"/>
  <c r="K53" i="7"/>
  <c r="S53" i="7"/>
  <c r="E53" i="7"/>
  <c r="D59" i="7"/>
  <c r="S59" i="7"/>
  <c r="E59" i="7"/>
  <c r="K59" i="7"/>
  <c r="E249" i="7"/>
  <c r="D249" i="7"/>
  <c r="S249" i="7"/>
  <c r="K249" i="7"/>
  <c r="D262" i="7"/>
  <c r="K262" i="7"/>
  <c r="S262" i="7"/>
  <c r="E262" i="7"/>
  <c r="D162" i="7"/>
  <c r="S162" i="7"/>
  <c r="E162" i="7"/>
  <c r="K162" i="7"/>
  <c r="D72" i="7"/>
  <c r="S72" i="7"/>
  <c r="E72" i="7"/>
  <c r="K72" i="7"/>
  <c r="D184" i="7"/>
  <c r="S184" i="7"/>
  <c r="E184" i="7"/>
  <c r="K184" i="7"/>
  <c r="D277" i="7"/>
  <c r="K277" i="7"/>
  <c r="S277" i="7"/>
  <c r="E277" i="7"/>
  <c r="D81" i="7"/>
  <c r="E81" i="7"/>
  <c r="K81" i="7"/>
  <c r="S81" i="7"/>
  <c r="D66" i="7"/>
  <c r="S66" i="7"/>
  <c r="K66" i="7"/>
  <c r="E66" i="7"/>
  <c r="D71" i="7"/>
  <c r="K71" i="7"/>
  <c r="S71" i="7"/>
  <c r="E71" i="7"/>
  <c r="E127" i="7"/>
  <c r="K127" i="7"/>
  <c r="S127" i="7"/>
  <c r="D127" i="7"/>
  <c r="K7" i="7"/>
  <c r="S7" i="7"/>
  <c r="D65" i="7"/>
  <c r="S65" i="7"/>
  <c r="E65" i="7"/>
  <c r="K65" i="7"/>
  <c r="D122" i="7"/>
  <c r="S122" i="7"/>
  <c r="E122" i="7"/>
  <c r="K122" i="7"/>
  <c r="D297" i="7"/>
  <c r="E297" i="7"/>
  <c r="S297" i="7"/>
  <c r="K297" i="7"/>
  <c r="E255" i="7"/>
  <c r="D255" i="7"/>
  <c r="K255" i="7"/>
  <c r="S255" i="7"/>
  <c r="D89" i="7"/>
  <c r="K89" i="7"/>
  <c r="S89" i="7"/>
  <c r="E89" i="7"/>
  <c r="D84" i="7"/>
  <c r="S84" i="7"/>
  <c r="E84" i="7"/>
  <c r="K84" i="7"/>
  <c r="D58" i="7"/>
  <c r="K58" i="7"/>
  <c r="S58" i="7"/>
  <c r="E58" i="7"/>
  <c r="D175" i="7"/>
  <c r="K175" i="7"/>
  <c r="S175" i="7"/>
  <c r="E175" i="7"/>
  <c r="S29" i="7"/>
  <c r="K29" i="7"/>
  <c r="D35" i="7"/>
  <c r="E35" i="7"/>
  <c r="S35" i="7"/>
  <c r="K35" i="7"/>
  <c r="K243" i="7"/>
  <c r="D243" i="7"/>
  <c r="E243" i="7"/>
  <c r="S243" i="7"/>
  <c r="D120" i="7"/>
  <c r="S120" i="7"/>
  <c r="E120" i="7"/>
  <c r="K120" i="7"/>
  <c r="K282" i="7"/>
  <c r="E282" i="7"/>
  <c r="D282" i="7"/>
  <c r="S282" i="7"/>
  <c r="E322" i="7"/>
  <c r="D322" i="7"/>
  <c r="K322" i="7"/>
  <c r="S322" i="7"/>
  <c r="D129" i="7"/>
  <c r="E129" i="7"/>
  <c r="S129" i="7"/>
  <c r="K129" i="7"/>
  <c r="D39" i="7"/>
  <c r="K39" i="7"/>
  <c r="S39" i="7"/>
  <c r="E39" i="7"/>
  <c r="D266" i="7"/>
  <c r="K266" i="7"/>
  <c r="S266" i="7"/>
  <c r="E266" i="7"/>
  <c r="K14" i="7"/>
  <c r="S14" i="7"/>
  <c r="D48" i="7"/>
  <c r="K48" i="7"/>
  <c r="S48" i="7"/>
  <c r="E48" i="7"/>
  <c r="E166" i="7"/>
  <c r="S166" i="7"/>
  <c r="K166" i="7"/>
  <c r="D166" i="7"/>
  <c r="S32" i="7"/>
  <c r="K32" i="7"/>
  <c r="D247" i="7"/>
  <c r="S247" i="7"/>
  <c r="K247" i="7"/>
  <c r="E247" i="7"/>
  <c r="D148" i="7"/>
  <c r="K148" i="7"/>
  <c r="S148" i="7"/>
  <c r="E148" i="7"/>
  <c r="D216" i="7"/>
  <c r="S216" i="7"/>
  <c r="K216" i="7"/>
  <c r="E216" i="7"/>
  <c r="D215" i="7"/>
  <c r="K215" i="7"/>
  <c r="S215" i="7"/>
  <c r="E215" i="7"/>
  <c r="D253" i="7"/>
  <c r="K253" i="7"/>
  <c r="E253" i="7"/>
  <c r="S253" i="7"/>
  <c r="D318" i="7"/>
  <c r="K318" i="7"/>
  <c r="S318" i="7"/>
  <c r="E318" i="7"/>
  <c r="S78" i="7"/>
  <c r="E78" i="7"/>
  <c r="K78" i="7"/>
  <c r="D78" i="7"/>
  <c r="S51" i="7"/>
  <c r="E51" i="7"/>
  <c r="D51" i="7"/>
  <c r="K51" i="7"/>
  <c r="D151" i="7"/>
  <c r="E151" i="7"/>
  <c r="S151" i="7"/>
  <c r="K151" i="7"/>
  <c r="D189" i="7"/>
  <c r="E189" i="7"/>
  <c r="K189" i="7"/>
  <c r="S189" i="7"/>
  <c r="D251" i="7"/>
  <c r="K251" i="7"/>
  <c r="S251" i="7"/>
  <c r="E251" i="7"/>
  <c r="D308" i="7"/>
  <c r="S308" i="7"/>
  <c r="K308" i="7"/>
  <c r="E308" i="7"/>
  <c r="D210" i="7"/>
  <c r="K210" i="7"/>
  <c r="S210" i="7"/>
  <c r="E210" i="7"/>
  <c r="D87" i="7"/>
  <c r="S87" i="7"/>
  <c r="K87" i="7"/>
  <c r="E87" i="7"/>
  <c r="D312" i="7"/>
  <c r="K312" i="7"/>
  <c r="S312" i="7"/>
  <c r="E312" i="7"/>
  <c r="S142" i="7"/>
  <c r="K142" i="7"/>
  <c r="E142" i="7"/>
  <c r="D142" i="7"/>
  <c r="D96" i="7"/>
  <c r="S96" i="7"/>
  <c r="K96" i="7"/>
  <c r="E96" i="7"/>
  <c r="D245" i="7"/>
  <c r="S245" i="7"/>
  <c r="E245" i="7"/>
  <c r="K245" i="7"/>
  <c r="D77" i="7"/>
  <c r="S77" i="7"/>
  <c r="E77" i="7"/>
  <c r="K77" i="7"/>
  <c r="E201" i="7"/>
  <c r="S201" i="7"/>
  <c r="D201" i="7"/>
  <c r="K201" i="7"/>
  <c r="D225" i="7"/>
  <c r="S225" i="7"/>
  <c r="K225" i="7"/>
  <c r="E225" i="7"/>
  <c r="D61" i="7"/>
  <c r="S61" i="7"/>
  <c r="E61" i="7"/>
  <c r="K61" i="7"/>
  <c r="S46" i="7"/>
  <c r="E46" i="7"/>
  <c r="K46" i="7"/>
  <c r="D46" i="7"/>
  <c r="E293" i="7"/>
  <c r="K293" i="7"/>
  <c r="S293" i="7"/>
  <c r="D293" i="7"/>
  <c r="D203" i="7"/>
  <c r="K203" i="7"/>
  <c r="S203" i="7"/>
  <c r="E203" i="7"/>
  <c r="E182" i="7"/>
  <c r="K182" i="7"/>
  <c r="S182" i="7"/>
  <c r="D182" i="7"/>
  <c r="D220" i="7"/>
  <c r="K220" i="7"/>
  <c r="S220" i="7"/>
  <c r="E220" i="7"/>
  <c r="E121" i="7"/>
  <c r="K121" i="7"/>
  <c r="S121" i="7"/>
  <c r="D121" i="7"/>
  <c r="D278" i="7"/>
  <c r="K278" i="7"/>
  <c r="S278" i="7"/>
  <c r="E278" i="7"/>
  <c r="D241" i="7"/>
  <c r="S241" i="7"/>
  <c r="E241" i="7"/>
  <c r="K241" i="7"/>
  <c r="E118" i="7"/>
  <c r="K118" i="7"/>
  <c r="S118" i="7"/>
  <c r="D118" i="7"/>
  <c r="D156" i="7"/>
  <c r="K156" i="7"/>
  <c r="S156" i="7"/>
  <c r="E156" i="7"/>
  <c r="D300" i="7"/>
  <c r="K300" i="7"/>
  <c r="S300" i="7"/>
  <c r="E300" i="7"/>
  <c r="E63" i="7"/>
  <c r="K63" i="7"/>
  <c r="S63" i="7"/>
  <c r="D63" i="7"/>
  <c r="D177" i="7"/>
  <c r="S177" i="7"/>
  <c r="K177" i="7"/>
  <c r="E177" i="7"/>
  <c r="E54" i="7"/>
  <c r="K54" i="7"/>
  <c r="S54" i="7"/>
  <c r="D54" i="7"/>
  <c r="D125" i="7"/>
  <c r="E125" i="7"/>
  <c r="K125" i="7"/>
  <c r="S125" i="7"/>
  <c r="K287" i="7"/>
  <c r="S287" i="7"/>
  <c r="D287" i="7"/>
  <c r="E287" i="7"/>
  <c r="D294" i="7"/>
  <c r="K294" i="7"/>
  <c r="S294" i="7"/>
  <c r="E294" i="7"/>
  <c r="D212" i="7"/>
  <c r="K212" i="7"/>
  <c r="S212" i="7"/>
  <c r="E212" i="7"/>
  <c r="D44" i="7"/>
  <c r="K44" i="7"/>
  <c r="S44" i="7"/>
  <c r="E44" i="7"/>
  <c r="D301" i="7"/>
  <c r="E301" i="7"/>
  <c r="K301" i="7"/>
  <c r="S301" i="7"/>
  <c r="D296" i="7"/>
  <c r="S296" i="7"/>
  <c r="K296" i="7"/>
  <c r="E296" i="7"/>
  <c r="D231" i="7"/>
  <c r="K231" i="7"/>
  <c r="S231" i="7"/>
  <c r="E231" i="7"/>
  <c r="K174" i="7"/>
  <c r="E174" i="7"/>
  <c r="D174" i="7"/>
  <c r="S174" i="7"/>
  <c r="S49" i="7"/>
  <c r="E49" i="7"/>
  <c r="K49" i="7"/>
  <c r="D49" i="7"/>
  <c r="D165" i="7"/>
  <c r="S165" i="7"/>
  <c r="K165" i="7"/>
  <c r="E165" i="7"/>
  <c r="D171" i="7"/>
  <c r="S171" i="7"/>
  <c r="K171" i="7"/>
  <c r="E171" i="7"/>
  <c r="D248" i="7"/>
  <c r="E248" i="7"/>
  <c r="S248" i="7"/>
  <c r="K248" i="7"/>
  <c r="K15" i="7"/>
  <c r="S15" i="7"/>
  <c r="D208" i="7"/>
  <c r="K208" i="7"/>
  <c r="S208" i="7"/>
  <c r="E208" i="7"/>
  <c r="D101" i="7"/>
  <c r="S101" i="7"/>
  <c r="K101" i="7"/>
  <c r="E101" i="7"/>
  <c r="D107" i="7"/>
  <c r="K107" i="7"/>
  <c r="S107" i="7"/>
  <c r="E107" i="7"/>
  <c r="K8" i="7"/>
  <c r="S8" i="7"/>
  <c r="D276" i="7"/>
  <c r="S276" i="7"/>
  <c r="K276" i="7"/>
  <c r="E276" i="7"/>
  <c r="D144" i="7"/>
  <c r="K144" i="7"/>
  <c r="S144" i="7"/>
  <c r="E144" i="7"/>
  <c r="D37" i="7"/>
  <c r="S37" i="7"/>
  <c r="E37" i="7"/>
  <c r="K37" i="7"/>
  <c r="D92" i="7"/>
  <c r="K92" i="7"/>
  <c r="S92" i="7"/>
  <c r="E92" i="7"/>
  <c r="S27" i="7"/>
  <c r="K27" i="7"/>
  <c r="K19" i="7"/>
  <c r="S19" i="7"/>
  <c r="K179" i="7"/>
  <c r="D179" i="7"/>
  <c r="E179" i="7"/>
  <c r="S179" i="7"/>
  <c r="D186" i="7"/>
  <c r="K186" i="7"/>
  <c r="S186" i="7"/>
  <c r="E186" i="7"/>
  <c r="S9" i="7"/>
  <c r="K9" i="7"/>
  <c r="E261" i="7"/>
  <c r="S261" i="7"/>
  <c r="D261" i="7"/>
  <c r="K261" i="7"/>
  <c r="D285" i="7"/>
  <c r="E285" i="7"/>
  <c r="S285" i="7"/>
  <c r="K285" i="7"/>
  <c r="S131" i="7"/>
  <c r="D131" i="7"/>
  <c r="K131" i="7"/>
  <c r="E131" i="7"/>
  <c r="E169" i="7"/>
  <c r="K169" i="7"/>
  <c r="S169" i="7"/>
  <c r="D169" i="7"/>
  <c r="D132" i="7"/>
  <c r="K132" i="7"/>
  <c r="E132" i="7"/>
  <c r="S132" i="7"/>
  <c r="D106" i="7"/>
  <c r="K106" i="7"/>
  <c r="E106" i="7"/>
  <c r="S106" i="7"/>
  <c r="D206" i="7"/>
  <c r="S206" i="7"/>
  <c r="E206" i="7"/>
  <c r="K206" i="7"/>
  <c r="K20" i="7"/>
  <c r="S20" i="7"/>
  <c r="D68" i="7"/>
  <c r="S68" i="7"/>
  <c r="K68" i="7"/>
  <c r="E68" i="7"/>
  <c r="K42" i="7"/>
  <c r="E42" i="7"/>
  <c r="D42" i="7"/>
  <c r="S42" i="7"/>
  <c r="D95" i="7"/>
  <c r="S95" i="7"/>
  <c r="E95" i="7"/>
  <c r="K95" i="7"/>
  <c r="S13" i="7"/>
  <c r="K13" i="7"/>
  <c r="D311" i="7"/>
  <c r="S311" i="7"/>
  <c r="K311" i="7"/>
  <c r="E311" i="7"/>
  <c r="D227" i="7"/>
  <c r="S227" i="7"/>
  <c r="E227" i="7"/>
  <c r="K227" i="7"/>
  <c r="D43" i="7"/>
  <c r="S43" i="7"/>
  <c r="K43" i="7"/>
  <c r="E43" i="7"/>
  <c r="E190" i="7"/>
  <c r="S190" i="7"/>
  <c r="D190" i="7"/>
  <c r="K190" i="7"/>
  <c r="D222" i="7"/>
  <c r="E222" i="7"/>
  <c r="S222" i="7"/>
  <c r="K222" i="7"/>
  <c r="D146" i="7"/>
  <c r="K146" i="7"/>
  <c r="S146" i="7"/>
  <c r="E146" i="7"/>
  <c r="D56" i="7"/>
  <c r="S56" i="7"/>
  <c r="K56" i="7"/>
  <c r="E56" i="7"/>
  <c r="E105" i="7"/>
  <c r="K105" i="7"/>
  <c r="S105" i="7"/>
  <c r="D105" i="7"/>
  <c r="G280" i="7"/>
  <c r="G292" i="7"/>
  <c r="G40" i="7"/>
  <c r="G250" i="7"/>
  <c r="G107" i="7"/>
  <c r="G220" i="7"/>
  <c r="G77" i="7"/>
  <c r="G190" i="7"/>
  <c r="G47" i="7"/>
  <c r="G299" i="7"/>
  <c r="G160" i="7"/>
  <c r="G272" i="7"/>
  <c r="G130" i="7"/>
  <c r="G243" i="7"/>
  <c r="G84" i="7"/>
  <c r="G181" i="7"/>
  <c r="G277" i="7"/>
  <c r="G119" i="7"/>
  <c r="G41" i="7"/>
  <c r="G325" i="7"/>
  <c r="G265" i="7"/>
  <c r="G123" i="7"/>
  <c r="G236" i="7"/>
  <c r="G93" i="7"/>
  <c r="G206" i="7"/>
  <c r="G63" i="7"/>
  <c r="G315" i="7"/>
  <c r="G176" i="7"/>
  <c r="G285" i="7"/>
  <c r="G146" i="7"/>
  <c r="G259" i="7"/>
  <c r="G100" i="7"/>
  <c r="G197" i="7"/>
  <c r="G38" i="7"/>
  <c r="G290" i="7"/>
  <c r="G135" i="7"/>
  <c r="G169" i="7"/>
  <c r="G120" i="7"/>
  <c r="G168" i="7"/>
  <c r="G281" i="7"/>
  <c r="G139" i="7"/>
  <c r="G252" i="7"/>
  <c r="G109" i="7"/>
  <c r="G222" i="7"/>
  <c r="G79" i="7"/>
  <c r="G192" i="7"/>
  <c r="G49" i="7"/>
  <c r="G301" i="7"/>
  <c r="G162" i="7"/>
  <c r="G274" i="7"/>
  <c r="G116" i="7"/>
  <c r="G213" i="7"/>
  <c r="G54" i="7"/>
  <c r="G306" i="7"/>
  <c r="G151" i="7"/>
  <c r="G293" i="7"/>
  <c r="G88" i="7"/>
  <c r="G248" i="7"/>
  <c r="G153" i="7"/>
  <c r="G42" i="7"/>
  <c r="G294" i="7"/>
  <c r="G155" i="7"/>
  <c r="G267" i="7"/>
  <c r="G125" i="7"/>
  <c r="G238" i="7"/>
  <c r="G95" i="7"/>
  <c r="G208" i="7"/>
  <c r="G65" i="7"/>
  <c r="G317" i="7"/>
  <c r="G178" i="7"/>
  <c r="G287" i="7"/>
  <c r="G132" i="7"/>
  <c r="G229" i="7"/>
  <c r="G70" i="7"/>
  <c r="G322" i="7"/>
  <c r="G167" i="7"/>
  <c r="G56" i="7"/>
  <c r="G216" i="7"/>
  <c r="G58" i="7"/>
  <c r="G310" i="7"/>
  <c r="G171" i="7"/>
  <c r="G141" i="7"/>
  <c r="G254" i="7"/>
  <c r="G111" i="7"/>
  <c r="G224" i="7"/>
  <c r="G81" i="7"/>
  <c r="G194" i="7"/>
  <c r="G51" i="7"/>
  <c r="G303" i="7"/>
  <c r="G148" i="7"/>
  <c r="G245" i="7"/>
  <c r="G86" i="7"/>
  <c r="G183" i="7"/>
  <c r="G184" i="7"/>
  <c r="G121" i="7"/>
  <c r="G74" i="7"/>
  <c r="G35" i="7"/>
  <c r="G187" i="7"/>
  <c r="G44" i="7"/>
  <c r="G296" i="7"/>
  <c r="G157" i="7"/>
  <c r="G269" i="7"/>
  <c r="G127" i="7"/>
  <c r="G240" i="7"/>
  <c r="G97" i="7"/>
  <c r="G210" i="7"/>
  <c r="G67" i="7"/>
  <c r="G319" i="7"/>
  <c r="G164" i="7"/>
  <c r="G102" i="7"/>
  <c r="G199" i="7"/>
  <c r="G308" i="7"/>
  <c r="G249" i="7"/>
  <c r="G90" i="7"/>
  <c r="G203" i="7"/>
  <c r="G60" i="7"/>
  <c r="G312" i="7"/>
  <c r="G173" i="7"/>
  <c r="G282" i="7"/>
  <c r="G143" i="7"/>
  <c r="G256" i="7"/>
  <c r="G113" i="7"/>
  <c r="G226" i="7"/>
  <c r="G83" i="7"/>
  <c r="G180" i="7"/>
  <c r="G276" i="7"/>
  <c r="G118" i="7"/>
  <c r="G215" i="7"/>
  <c r="G57" i="7"/>
  <c r="G89" i="7"/>
  <c r="G106" i="7"/>
  <c r="G219" i="7"/>
  <c r="G76" i="7"/>
  <c r="G189" i="7"/>
  <c r="G46" i="7"/>
  <c r="G298" i="7"/>
  <c r="G159" i="7"/>
  <c r="G271" i="7"/>
  <c r="G129" i="7"/>
  <c r="G242" i="7"/>
  <c r="G99" i="7"/>
  <c r="G196" i="7"/>
  <c r="G37" i="7"/>
  <c r="G289" i="7"/>
  <c r="G134" i="7"/>
  <c r="G231" i="7"/>
  <c r="G185" i="7"/>
  <c r="G217" i="7"/>
  <c r="G136" i="7"/>
  <c r="G122" i="7"/>
  <c r="G235" i="7"/>
  <c r="G92" i="7"/>
  <c r="G205" i="7"/>
  <c r="G62" i="7"/>
  <c r="G314" i="7"/>
  <c r="G175" i="7"/>
  <c r="G284" i="7"/>
  <c r="G145" i="7"/>
  <c r="G258" i="7"/>
  <c r="G115" i="7"/>
  <c r="G212" i="7"/>
  <c r="G53" i="7"/>
  <c r="G305" i="7"/>
  <c r="G150" i="7"/>
  <c r="G247" i="7"/>
  <c r="G309" i="7"/>
  <c r="G263" i="7"/>
  <c r="G138" i="7"/>
  <c r="G251" i="7"/>
  <c r="G108" i="7"/>
  <c r="G221" i="7"/>
  <c r="G78" i="7"/>
  <c r="G191" i="7"/>
  <c r="G48" i="7"/>
  <c r="G300" i="7"/>
  <c r="G161" i="7"/>
  <c r="G273" i="7"/>
  <c r="G131" i="7"/>
  <c r="G228" i="7"/>
  <c r="G69" i="7"/>
  <c r="G321" i="7"/>
  <c r="G166" i="7"/>
  <c r="G262" i="7"/>
  <c r="G154" i="7"/>
  <c r="G266" i="7"/>
  <c r="G124" i="7"/>
  <c r="G237" i="7"/>
  <c r="G94" i="7"/>
  <c r="G207" i="7"/>
  <c r="G64" i="7"/>
  <c r="G316" i="7"/>
  <c r="G177" i="7"/>
  <c r="G286" i="7"/>
  <c r="G147" i="7"/>
  <c r="G244" i="7"/>
  <c r="G85" i="7"/>
  <c r="G182" i="7"/>
  <c r="G278" i="7"/>
  <c r="G72" i="7"/>
  <c r="G104" i="7"/>
  <c r="G137" i="7"/>
  <c r="G170" i="7"/>
  <c r="G140" i="7"/>
  <c r="G253" i="7"/>
  <c r="G110" i="7"/>
  <c r="G223" i="7"/>
  <c r="G80" i="7"/>
  <c r="G193" i="7"/>
  <c r="G50" i="7"/>
  <c r="G302" i="7"/>
  <c r="G163" i="7"/>
  <c r="G260" i="7"/>
  <c r="G101" i="7"/>
  <c r="G198" i="7"/>
  <c r="G39" i="7"/>
  <c r="G291" i="7"/>
  <c r="G200" i="7"/>
  <c r="G232" i="7"/>
  <c r="G264" i="7"/>
  <c r="G186" i="7"/>
  <c r="G43" i="7"/>
  <c r="G295" i="7"/>
  <c r="G156" i="7"/>
  <c r="G268" i="7"/>
  <c r="G126" i="7"/>
  <c r="G239" i="7"/>
  <c r="G96" i="7"/>
  <c r="G209" i="7"/>
  <c r="G66" i="7"/>
  <c r="G318" i="7"/>
  <c r="G179" i="7"/>
  <c r="G275" i="7"/>
  <c r="G117" i="7"/>
  <c r="G214" i="7"/>
  <c r="G55" i="7"/>
  <c r="G307" i="7"/>
  <c r="G324" i="7"/>
  <c r="G152" i="7"/>
  <c r="G202" i="7"/>
  <c r="G59" i="7"/>
  <c r="G311" i="7"/>
  <c r="G172" i="7"/>
  <c r="G142" i="7"/>
  <c r="G255" i="7"/>
  <c r="G112" i="7"/>
  <c r="G225" i="7"/>
  <c r="G82" i="7"/>
  <c r="G195" i="7"/>
  <c r="G36" i="7"/>
  <c r="G288" i="7"/>
  <c r="G133" i="7"/>
  <c r="G230" i="7"/>
  <c r="G71" i="7"/>
  <c r="G323" i="7"/>
  <c r="G279" i="7"/>
  <c r="G45" i="7"/>
  <c r="G98" i="7"/>
  <c r="G87" i="7"/>
  <c r="G61" i="7"/>
  <c r="G114" i="7"/>
  <c r="G103" i="7"/>
  <c r="G297" i="7"/>
  <c r="G313" i="7"/>
  <c r="G158" i="7"/>
  <c r="G211" i="7"/>
  <c r="G73" i="7"/>
  <c r="G174" i="7"/>
  <c r="G227" i="7"/>
  <c r="G201" i="7"/>
  <c r="G52" i="7"/>
  <c r="G105" i="7"/>
  <c r="G68" i="7"/>
  <c r="G233" i="7"/>
  <c r="G218" i="7"/>
  <c r="G270" i="7"/>
  <c r="G304" i="7"/>
  <c r="G234" i="7"/>
  <c r="G283" i="7"/>
  <c r="G320" i="7"/>
  <c r="G75" i="7"/>
  <c r="G128" i="7"/>
  <c r="G149" i="7"/>
  <c r="G91" i="7"/>
  <c r="G144" i="7"/>
  <c r="G165" i="7"/>
  <c r="G188" i="7"/>
  <c r="G204" i="7"/>
  <c r="G241" i="7"/>
  <c r="G257" i="7"/>
  <c r="G246" i="7"/>
  <c r="G261" i="7"/>
  <c r="D214" i="7"/>
  <c r="S214" i="7"/>
  <c r="E214" i="7"/>
  <c r="K214" i="7"/>
  <c r="D280" i="7"/>
  <c r="K280" i="7"/>
  <c r="S280" i="7"/>
  <c r="E280" i="7"/>
  <c r="D263" i="7"/>
  <c r="E263" i="7"/>
  <c r="K263" i="7"/>
  <c r="S263" i="7"/>
  <c r="S99" i="7"/>
  <c r="K99" i="7"/>
  <c r="E99" i="7"/>
  <c r="D99" i="7"/>
  <c r="D199" i="7"/>
  <c r="K199" i="7"/>
  <c r="S199" i="7"/>
  <c r="E199" i="7"/>
  <c r="D237" i="7"/>
  <c r="E237" i="7"/>
  <c r="K237" i="7"/>
  <c r="S237" i="7"/>
  <c r="D302" i="7"/>
  <c r="S302" i="7"/>
  <c r="K302" i="7"/>
  <c r="E302" i="7"/>
  <c r="S4" i="7"/>
  <c r="K4" i="7"/>
  <c r="D258" i="7"/>
  <c r="K258" i="7"/>
  <c r="S258" i="7"/>
  <c r="E258" i="7"/>
  <c r="D135" i="7"/>
  <c r="K135" i="7"/>
  <c r="S135" i="7"/>
  <c r="E135" i="7"/>
  <c r="D173" i="7"/>
  <c r="E173" i="7"/>
  <c r="K173" i="7"/>
  <c r="S173" i="7"/>
  <c r="D200" i="7"/>
  <c r="S200" i="7"/>
  <c r="K200" i="7"/>
  <c r="E200" i="7"/>
  <c r="D292" i="7"/>
  <c r="K292" i="7"/>
  <c r="S292" i="7"/>
  <c r="E292" i="7"/>
  <c r="D194" i="7"/>
  <c r="S194" i="7"/>
  <c r="E194" i="7"/>
  <c r="K194" i="7"/>
  <c r="D104" i="7"/>
  <c r="S104" i="7"/>
  <c r="E104" i="7"/>
  <c r="K104" i="7"/>
  <c r="K269" i="7"/>
  <c r="D269" i="7"/>
  <c r="E269" i="7"/>
  <c r="S269" i="7"/>
  <c r="E306" i="7"/>
  <c r="S306" i="7"/>
  <c r="D306" i="7"/>
  <c r="K306" i="7"/>
  <c r="D113" i="7"/>
  <c r="E113" i="7"/>
  <c r="K113" i="7"/>
  <c r="S113" i="7"/>
  <c r="E246" i="7"/>
  <c r="D246" i="7"/>
  <c r="K246" i="7"/>
  <c r="S246" i="7"/>
  <c r="D234" i="7"/>
  <c r="K234" i="7"/>
  <c r="E234" i="7"/>
  <c r="S234" i="7"/>
  <c r="L1" i="7"/>
  <c r="M1" i="7" s="1"/>
  <c r="N1" i="7" s="1"/>
  <c r="O1" i="7" s="1"/>
  <c r="P1" i="7" s="1"/>
  <c r="Q1" i="7" s="1"/>
  <c r="R1" i="7" s="1"/>
  <c r="S1" i="7" s="1"/>
  <c r="K24" i="4"/>
  <c r="K25" i="4"/>
  <c r="O25" i="4"/>
  <c r="O24" i="4"/>
  <c r="K21" i="4"/>
  <c r="K17" i="4"/>
  <c r="K20" i="4"/>
  <c r="O20" i="4"/>
  <c r="O21" i="4"/>
  <c r="AO247" i="16" l="1" a="1"/>
  <c r="AO247" i="16" s="1"/>
  <c r="AP247" i="16" s="1" a="1"/>
  <c r="AP247" i="16" s="1"/>
  <c r="AG247" i="16" a="1"/>
  <c r="AG247" i="16" s="1"/>
  <c r="AH247" i="16" s="1"/>
  <c r="AO325" i="16" a="1"/>
  <c r="AO325" i="16" s="1"/>
  <c r="AP325" i="16" s="1" a="1"/>
  <c r="AP325" i="16" s="1"/>
  <c r="AG325" i="16" a="1"/>
  <c r="AG325" i="16" s="1"/>
  <c r="AH325" i="16" s="1"/>
  <c r="AO273" i="16" a="1"/>
  <c r="AO273" i="16" s="1"/>
  <c r="AP273" i="16" s="1" a="1"/>
  <c r="AP273" i="16" s="1"/>
  <c r="AG273" i="16" a="1"/>
  <c r="AG273" i="16" s="1"/>
  <c r="AH273" i="16" s="1"/>
  <c r="AO158" i="16" a="1"/>
  <c r="AO158" i="16" s="1"/>
  <c r="AP158" i="16" s="1" a="1"/>
  <c r="AP158" i="16" s="1"/>
  <c r="AG158" i="16" a="1"/>
  <c r="AG158" i="16" s="1"/>
  <c r="AH158" i="16" s="1"/>
  <c r="AO110" i="16" a="1"/>
  <c r="AO110" i="16" s="1"/>
  <c r="AP110" i="16" s="1" a="1"/>
  <c r="AP110" i="16" s="1"/>
  <c r="AG110" i="16" a="1"/>
  <c r="AG110" i="16" s="1"/>
  <c r="AH110" i="16" s="1"/>
  <c r="AO83" i="16" a="1"/>
  <c r="AO83" i="16" s="1"/>
  <c r="AP83" i="16" s="1" a="1"/>
  <c r="AP83" i="16" s="1"/>
  <c r="AG83" i="16" a="1"/>
  <c r="AG83" i="16" s="1"/>
  <c r="AH83" i="16" s="1"/>
  <c r="AO199" i="16" a="1"/>
  <c r="AO199" i="16" s="1"/>
  <c r="AP199" i="16" s="1" a="1"/>
  <c r="AP199" i="16" s="1"/>
  <c r="AG199" i="16" a="1"/>
  <c r="AG199" i="16" s="1"/>
  <c r="AH199" i="16" s="1"/>
  <c r="AO68" i="16" a="1"/>
  <c r="AO68" i="16" s="1"/>
  <c r="AP68" i="16" s="1" a="1"/>
  <c r="AP68" i="16" s="1"/>
  <c r="AG68" i="16" a="1"/>
  <c r="AG68" i="16" s="1"/>
  <c r="AH68" i="16" s="1"/>
  <c r="AO164" i="16" a="1"/>
  <c r="AO164" i="16" s="1"/>
  <c r="AP164" i="16" s="1" a="1"/>
  <c r="AP164" i="16" s="1"/>
  <c r="AG164" i="16" a="1"/>
  <c r="AG164" i="16" s="1"/>
  <c r="AH164" i="16" s="1"/>
  <c r="AO205" i="16" a="1"/>
  <c r="AO205" i="16" s="1"/>
  <c r="AP205" i="16" s="1" a="1"/>
  <c r="AP205" i="16" s="1"/>
  <c r="AG205" i="16" a="1"/>
  <c r="AG205" i="16" s="1"/>
  <c r="AH205" i="16" s="1"/>
  <c r="AO119" i="16" a="1"/>
  <c r="AO119" i="16" s="1"/>
  <c r="AP119" i="16" s="1" a="1"/>
  <c r="AP119" i="16" s="1"/>
  <c r="AG119" i="16" a="1"/>
  <c r="AG119" i="16" s="1"/>
  <c r="AH119" i="16" s="1"/>
  <c r="AO60" i="16" a="1"/>
  <c r="AO60" i="16" s="1"/>
  <c r="AP60" i="16" s="1" a="1"/>
  <c r="AP60" i="16" s="1"/>
  <c r="AG60" i="16" a="1"/>
  <c r="AG60" i="16" s="1"/>
  <c r="AH60" i="16" s="1"/>
  <c r="AO99" i="16" a="1"/>
  <c r="AO99" i="16" s="1"/>
  <c r="AP99" i="16" s="1" a="1"/>
  <c r="AP99" i="16" s="1"/>
  <c r="AG99" i="16" a="1"/>
  <c r="AG99" i="16" s="1"/>
  <c r="AH99" i="16" s="1"/>
  <c r="AO160" i="16" a="1"/>
  <c r="AO160" i="16" s="1"/>
  <c r="AP160" i="16" s="1" a="1"/>
  <c r="AP160" i="16" s="1"/>
  <c r="AG160" i="16" a="1"/>
  <c r="AG160" i="16" s="1"/>
  <c r="AH160" i="16" s="1"/>
  <c r="AO227" i="16" a="1"/>
  <c r="AO227" i="16" s="1"/>
  <c r="AP227" i="16" s="1" a="1"/>
  <c r="AP227" i="16" s="1"/>
  <c r="AG227" i="16" a="1"/>
  <c r="AG227" i="16" s="1"/>
  <c r="AH227" i="16" s="1"/>
  <c r="AQ15" i="18"/>
  <c r="AQ13" i="18"/>
  <c r="AQ92" i="18"/>
  <c r="AQ51" i="18"/>
  <c r="AQ67" i="18"/>
  <c r="AQ109" i="18"/>
  <c r="AQ98" i="18"/>
  <c r="AQ112" i="18"/>
  <c r="AQ162" i="18"/>
  <c r="AQ141" i="18"/>
  <c r="AQ170" i="18"/>
  <c r="AQ182" i="18"/>
  <c r="AQ196" i="18"/>
  <c r="AQ218" i="18"/>
  <c r="AQ228" i="18"/>
  <c r="AQ252" i="18"/>
  <c r="AQ275" i="18"/>
  <c r="AQ284" i="18"/>
  <c r="AQ302" i="18"/>
  <c r="AQ319" i="18"/>
  <c r="AO49" i="16" a="1"/>
  <c r="AO49" i="16" s="1"/>
  <c r="AP49" i="16" s="1" a="1"/>
  <c r="AP49" i="16" s="1"/>
  <c r="AG49" i="16" a="1"/>
  <c r="AG49" i="16" s="1"/>
  <c r="AH49" i="16" s="1"/>
  <c r="AO316" i="16" a="1"/>
  <c r="AO316" i="16" s="1"/>
  <c r="AP316" i="16" s="1" a="1"/>
  <c r="AP316" i="16" s="1"/>
  <c r="AG316" i="16" a="1"/>
  <c r="AG316" i="16" s="1"/>
  <c r="AH316" i="16" s="1"/>
  <c r="AQ8" i="18"/>
  <c r="AQ72" i="18"/>
  <c r="AQ70" i="18"/>
  <c r="AQ91" i="18"/>
  <c r="AQ320" i="18"/>
  <c r="AO123" i="16" a="1"/>
  <c r="AO123" i="16" s="1"/>
  <c r="AP123" i="16" s="1" a="1"/>
  <c r="AP123" i="16" s="1"/>
  <c r="AG123" i="16" a="1"/>
  <c r="AG123" i="16" s="1"/>
  <c r="AH123" i="16" s="1"/>
  <c r="AO309" i="16" a="1"/>
  <c r="AO309" i="16" s="1"/>
  <c r="AP309" i="16" s="1" a="1"/>
  <c r="AP309" i="16" s="1"/>
  <c r="AG309" i="16" a="1"/>
  <c r="AG309" i="16" s="1"/>
  <c r="AH309" i="16" s="1"/>
  <c r="AO321" i="16" a="1"/>
  <c r="AO321" i="16" s="1"/>
  <c r="AP321" i="16" s="1" a="1"/>
  <c r="AP321" i="16" s="1"/>
  <c r="AG321" i="16" a="1"/>
  <c r="AG321" i="16" s="1"/>
  <c r="AH321" i="16" s="1"/>
  <c r="AO233" i="16" a="1"/>
  <c r="AO233" i="16" s="1"/>
  <c r="AP233" i="16" s="1" a="1"/>
  <c r="AP233" i="16" s="1"/>
  <c r="AG233" i="16" a="1"/>
  <c r="AG233" i="16" s="1"/>
  <c r="AH233" i="16" s="1"/>
  <c r="AO245" i="16" a="1"/>
  <c r="AO245" i="16" s="1"/>
  <c r="AP245" i="16" s="1" a="1"/>
  <c r="AP245" i="16" s="1"/>
  <c r="AG245" i="16" a="1"/>
  <c r="AG245" i="16" s="1"/>
  <c r="AH245" i="16" s="1"/>
  <c r="AO261" i="16" a="1"/>
  <c r="AO261" i="16" s="1"/>
  <c r="AP261" i="16" s="1" a="1"/>
  <c r="AP261" i="16" s="1"/>
  <c r="AG261" i="16" a="1"/>
  <c r="AG261" i="16" s="1"/>
  <c r="AH261" i="16" s="1"/>
  <c r="AO293" i="16" a="1"/>
  <c r="AO293" i="16" s="1"/>
  <c r="AP293" i="16" s="1" a="1"/>
  <c r="AP293" i="16" s="1"/>
  <c r="AG293" i="16" a="1"/>
  <c r="AG293" i="16" s="1"/>
  <c r="AH293" i="16" s="1"/>
  <c r="AO52" i="16" a="1"/>
  <c r="AO52" i="16" s="1"/>
  <c r="AP52" i="16" s="1" a="1"/>
  <c r="AP52" i="16" s="1"/>
  <c r="AG52" i="16" a="1"/>
  <c r="AG52" i="16" s="1"/>
  <c r="AH52" i="16" s="1"/>
  <c r="AO139" i="16" a="1"/>
  <c r="AO139" i="16" s="1"/>
  <c r="AP139" i="16" s="1" a="1"/>
  <c r="AP139" i="16" s="1"/>
  <c r="AG139" i="16" a="1"/>
  <c r="AG139" i="16" s="1"/>
  <c r="AH139" i="16" s="1"/>
  <c r="AO50" i="16" a="1"/>
  <c r="AO50" i="16" s="1"/>
  <c r="AP50" i="16" s="1" a="1"/>
  <c r="AP50" i="16" s="1"/>
  <c r="AG50" i="16" a="1"/>
  <c r="AG50" i="16" s="1"/>
  <c r="AH50" i="16" s="1"/>
  <c r="AO75" i="16" a="1"/>
  <c r="AO75" i="16" s="1"/>
  <c r="AP75" i="16" s="1" a="1"/>
  <c r="AP75" i="16" s="1"/>
  <c r="AG75" i="16" a="1"/>
  <c r="AG75" i="16" s="1"/>
  <c r="AH75" i="16" s="1"/>
  <c r="AO48" i="16" a="1"/>
  <c r="AO48" i="16" s="1"/>
  <c r="AP48" i="16" s="1" a="1"/>
  <c r="AP48" i="16" s="1"/>
  <c r="AG48" i="16" a="1"/>
  <c r="AG48" i="16" s="1"/>
  <c r="AH48" i="16" s="1"/>
  <c r="AO102" i="16" a="1"/>
  <c r="AO102" i="16" s="1"/>
  <c r="AP102" i="16" s="1" a="1"/>
  <c r="AP102" i="16" s="1"/>
  <c r="AG102" i="16" a="1"/>
  <c r="AG102" i="16" s="1"/>
  <c r="AH102" i="16" s="1"/>
  <c r="AO181" i="16" a="1"/>
  <c r="AO181" i="16" s="1"/>
  <c r="AP181" i="16" s="1" a="1"/>
  <c r="AP181" i="16" s="1"/>
  <c r="AG181" i="16" a="1"/>
  <c r="AG181" i="16" s="1"/>
  <c r="AH181" i="16" s="1"/>
  <c r="AO283" i="16" a="1"/>
  <c r="AO283" i="16" s="1"/>
  <c r="AP283" i="16" s="1" a="1"/>
  <c r="AP283" i="16" s="1"/>
  <c r="AG283" i="16" a="1"/>
  <c r="AG283" i="16" s="1"/>
  <c r="AH283" i="16" s="1"/>
  <c r="AO231" i="16" a="1"/>
  <c r="AO231" i="16" s="1"/>
  <c r="AP231" i="16" s="1" a="1"/>
  <c r="AP231" i="16" s="1"/>
  <c r="AG231" i="16" a="1"/>
  <c r="AG231" i="16" s="1"/>
  <c r="AH231" i="16" s="1"/>
  <c r="AO195" i="16" a="1"/>
  <c r="AO195" i="16" s="1"/>
  <c r="AP195" i="16" s="1" a="1"/>
  <c r="AP195" i="16" s="1"/>
  <c r="AG195" i="16" a="1"/>
  <c r="AG195" i="16" s="1"/>
  <c r="AH195" i="16" s="1"/>
  <c r="AO266" i="16" a="1"/>
  <c r="AO266" i="16" s="1"/>
  <c r="AP266" i="16" s="1" a="1"/>
  <c r="AP266" i="16" s="1"/>
  <c r="AG266" i="16" a="1"/>
  <c r="AG266" i="16" s="1"/>
  <c r="AH266" i="16" s="1"/>
  <c r="AQ11" i="18"/>
  <c r="AQ26" i="18"/>
  <c r="AQ52" i="18"/>
  <c r="AQ49" i="18"/>
  <c r="AQ85" i="18"/>
  <c r="AQ97" i="18"/>
  <c r="AQ101" i="18"/>
  <c r="AQ118" i="18"/>
  <c r="AQ181" i="18"/>
  <c r="AQ166" i="18"/>
  <c r="AQ144" i="18"/>
  <c r="AQ185" i="18"/>
  <c r="AQ202" i="18"/>
  <c r="AQ213" i="18"/>
  <c r="AQ248" i="18"/>
  <c r="AQ253" i="18"/>
  <c r="AQ256" i="18"/>
  <c r="AQ286" i="18"/>
  <c r="AQ291" i="18"/>
  <c r="AQ308" i="18"/>
  <c r="AO224" i="16" a="1"/>
  <c r="AO224" i="16" s="1"/>
  <c r="AP224" i="16" s="1" a="1"/>
  <c r="AP224" i="16" s="1"/>
  <c r="AG224" i="16" a="1"/>
  <c r="AG224" i="16" s="1"/>
  <c r="AH224" i="16" s="1"/>
  <c r="AQ232" i="18"/>
  <c r="AO257" i="16" a="1"/>
  <c r="AO257" i="16" s="1"/>
  <c r="AP257" i="16" s="1" a="1"/>
  <c r="AP257" i="16" s="1"/>
  <c r="AG257" i="16" a="1"/>
  <c r="AG257" i="16" s="1"/>
  <c r="AH257" i="16" s="1"/>
  <c r="AO101" i="16" a="1"/>
  <c r="AO101" i="16" s="1"/>
  <c r="AP101" i="16" s="1" a="1"/>
  <c r="AP101" i="16" s="1"/>
  <c r="AG101" i="16" a="1"/>
  <c r="AG101" i="16" s="1"/>
  <c r="AH101" i="16" s="1"/>
  <c r="AO151" i="16" a="1"/>
  <c r="AO151" i="16" s="1"/>
  <c r="AP151" i="16" s="1" a="1"/>
  <c r="AP151" i="16" s="1"/>
  <c r="AG151" i="16" a="1"/>
  <c r="AG151" i="16" s="1"/>
  <c r="AH151" i="16" s="1"/>
  <c r="AO317" i="16" a="1"/>
  <c r="AO317" i="16" s="1"/>
  <c r="AP317" i="16" s="1" a="1"/>
  <c r="AP317" i="16" s="1"/>
  <c r="AG317" i="16" a="1"/>
  <c r="AG317" i="16" s="1"/>
  <c r="AH317" i="16" s="1"/>
  <c r="AO171" i="16" a="1"/>
  <c r="AO171" i="16" s="1"/>
  <c r="AP171" i="16" s="1" a="1"/>
  <c r="AP171" i="16" s="1"/>
  <c r="AG171" i="16" a="1"/>
  <c r="AG171" i="16" s="1"/>
  <c r="AH171" i="16" s="1"/>
  <c r="AO297" i="16" a="1"/>
  <c r="AO297" i="16" s="1"/>
  <c r="AP297" i="16" s="1" a="1"/>
  <c r="AP297" i="16" s="1"/>
  <c r="AG297" i="16" a="1"/>
  <c r="AG297" i="16" s="1"/>
  <c r="AH297" i="16" s="1"/>
  <c r="AO272" i="16" a="1"/>
  <c r="AO272" i="16" s="1"/>
  <c r="AP272" i="16" s="1" a="1"/>
  <c r="AP272" i="16" s="1"/>
  <c r="AG272" i="16" a="1"/>
  <c r="AG272" i="16" s="1"/>
  <c r="AH272" i="16" s="1"/>
  <c r="AO73" i="16" a="1"/>
  <c r="AO73" i="16" s="1"/>
  <c r="AP73" i="16" s="1" a="1"/>
  <c r="AP73" i="16" s="1"/>
  <c r="AG73" i="16" a="1"/>
  <c r="AG73" i="16" s="1"/>
  <c r="AH73" i="16" s="1"/>
  <c r="AO135" i="16" a="1"/>
  <c r="AO135" i="16" s="1"/>
  <c r="AP135" i="16" s="1" a="1"/>
  <c r="AP135" i="16" s="1"/>
  <c r="AG135" i="16" a="1"/>
  <c r="AG135" i="16" s="1"/>
  <c r="AH135" i="16" s="1"/>
  <c r="AO180" i="16" a="1"/>
  <c r="AO180" i="16" s="1"/>
  <c r="AP180" i="16" s="1" a="1"/>
  <c r="AP180" i="16" s="1"/>
  <c r="AG180" i="16" a="1"/>
  <c r="AG180" i="16" s="1"/>
  <c r="AH180" i="16" s="1"/>
  <c r="AO253" i="16" a="1"/>
  <c r="AO253" i="16" s="1"/>
  <c r="AP253" i="16" s="1" a="1"/>
  <c r="AP253" i="16" s="1"/>
  <c r="AG253" i="16" a="1"/>
  <c r="AG253" i="16" s="1"/>
  <c r="AH253" i="16" s="1"/>
  <c r="AO265" i="16" a="1"/>
  <c r="AO265" i="16" s="1"/>
  <c r="AP265" i="16" s="1" a="1"/>
  <c r="AP265" i="16" s="1"/>
  <c r="AG265" i="16" a="1"/>
  <c r="AG265" i="16" s="1"/>
  <c r="AH265" i="16" s="1"/>
  <c r="AO126" i="16" a="1"/>
  <c r="AO126" i="16" s="1"/>
  <c r="AP126" i="16" s="1" a="1"/>
  <c r="AP126" i="16" s="1"/>
  <c r="AG126" i="16" a="1"/>
  <c r="AG126" i="16" s="1"/>
  <c r="AH126" i="16" s="1"/>
  <c r="AO259" i="16" a="1"/>
  <c r="AO259" i="16" s="1"/>
  <c r="AP259" i="16" s="1" a="1"/>
  <c r="AP259" i="16" s="1"/>
  <c r="AG259" i="16" a="1"/>
  <c r="AG259" i="16" s="1"/>
  <c r="AH259" i="16" s="1"/>
  <c r="AO91" i="16" a="1"/>
  <c r="AO91" i="16" s="1"/>
  <c r="AP91" i="16" s="1" a="1"/>
  <c r="AP91" i="16" s="1"/>
  <c r="AG91" i="16" a="1"/>
  <c r="AG91" i="16" s="1"/>
  <c r="AH91" i="16" s="1"/>
  <c r="AO255" i="16" a="1"/>
  <c r="AO255" i="16" s="1"/>
  <c r="AP255" i="16" s="1" a="1"/>
  <c r="AP255" i="16" s="1"/>
  <c r="AG255" i="16" a="1"/>
  <c r="AG255" i="16" s="1"/>
  <c r="AH255" i="16" s="1"/>
  <c r="AO182" i="16" a="1"/>
  <c r="AO182" i="16" s="1"/>
  <c r="AP182" i="16" s="1" a="1"/>
  <c r="AP182" i="16" s="1"/>
  <c r="AG182" i="16" a="1"/>
  <c r="AG182" i="16" s="1"/>
  <c r="AH182" i="16" s="1"/>
  <c r="AO268" i="16" a="1"/>
  <c r="AO268" i="16" s="1"/>
  <c r="AP268" i="16" s="1" a="1"/>
  <c r="AP268" i="16" s="1"/>
  <c r="AG268" i="16" a="1"/>
  <c r="AG268" i="16" s="1"/>
  <c r="AH268" i="16" s="1"/>
  <c r="AO37" i="16" a="1"/>
  <c r="AO37" i="16" s="1"/>
  <c r="AP37" i="16" s="1" a="1"/>
  <c r="AP37" i="16" s="1"/>
  <c r="AG37" i="16" a="1"/>
  <c r="AG37" i="16" s="1"/>
  <c r="AH37" i="16" s="1"/>
  <c r="AQ19" i="18"/>
  <c r="AQ35" i="18"/>
  <c r="AQ32" i="18"/>
  <c r="AQ71" i="18"/>
  <c r="AQ89" i="18"/>
  <c r="AQ100" i="18"/>
  <c r="AQ140" i="18"/>
  <c r="AQ106" i="18"/>
  <c r="AQ123" i="18"/>
  <c r="AQ167" i="18"/>
  <c r="AQ160" i="18"/>
  <c r="AQ188" i="18"/>
  <c r="AQ208" i="18"/>
  <c r="AQ220" i="18"/>
  <c r="AQ230" i="18"/>
  <c r="AQ260" i="18"/>
  <c r="AQ295" i="18"/>
  <c r="AQ297" i="18"/>
  <c r="AQ317" i="18"/>
  <c r="AO150" i="16" a="1"/>
  <c r="AO150" i="16" s="1"/>
  <c r="AP150" i="16" s="1" a="1"/>
  <c r="AP150" i="16" s="1"/>
  <c r="AG150" i="16" a="1"/>
  <c r="AG150" i="16" s="1"/>
  <c r="AH150" i="16" s="1"/>
  <c r="AO226" i="16" a="1"/>
  <c r="AO226" i="16" s="1"/>
  <c r="AP226" i="16" s="1" a="1"/>
  <c r="AP226" i="16" s="1"/>
  <c r="AG226" i="16" a="1"/>
  <c r="AG226" i="16" s="1"/>
  <c r="AH226" i="16" s="1"/>
  <c r="AQ201" i="18"/>
  <c r="AO74" i="16" a="1"/>
  <c r="AO74" i="16" s="1"/>
  <c r="AP74" i="16" s="1" a="1"/>
  <c r="AP74" i="16" s="1"/>
  <c r="AG74" i="16" a="1"/>
  <c r="AG74" i="16" s="1"/>
  <c r="AH74" i="16" s="1"/>
  <c r="AO143" i="16" a="1"/>
  <c r="AO143" i="16" s="1"/>
  <c r="AP143" i="16" s="1" a="1"/>
  <c r="AP143" i="16" s="1"/>
  <c r="AG143" i="16" a="1"/>
  <c r="AG143" i="16" s="1"/>
  <c r="AH143" i="16" s="1"/>
  <c r="AO284" i="16" a="1"/>
  <c r="AO284" i="16" s="1"/>
  <c r="AP284" i="16" s="1" a="1"/>
  <c r="AP284" i="16" s="1"/>
  <c r="AG284" i="16" a="1"/>
  <c r="AG284" i="16" s="1"/>
  <c r="AH284" i="16" s="1"/>
  <c r="AO71" i="16" a="1"/>
  <c r="AO71" i="16" s="1"/>
  <c r="AP71" i="16" s="1" a="1"/>
  <c r="AP71" i="16" s="1"/>
  <c r="AG71" i="16" a="1"/>
  <c r="AG71" i="16" s="1"/>
  <c r="AH71" i="16" s="1"/>
  <c r="AO230" i="16" a="1"/>
  <c r="AO230" i="16" s="1"/>
  <c r="AP230" i="16" s="1" a="1"/>
  <c r="AP230" i="16" s="1"/>
  <c r="AG230" i="16" a="1"/>
  <c r="AG230" i="16" s="1"/>
  <c r="AH230" i="16" s="1"/>
  <c r="AO45" i="16" a="1"/>
  <c r="AO45" i="16" s="1"/>
  <c r="AP45" i="16" s="1" a="1"/>
  <c r="AP45" i="16" s="1"/>
  <c r="AG45" i="16" a="1"/>
  <c r="AG45" i="16" s="1"/>
  <c r="AH45" i="16" s="1"/>
  <c r="AO86" i="16" a="1"/>
  <c r="AO86" i="16" s="1"/>
  <c r="AP86" i="16" s="1" a="1"/>
  <c r="AP86" i="16" s="1"/>
  <c r="AG86" i="16" a="1"/>
  <c r="AG86" i="16" s="1"/>
  <c r="AH86" i="16" s="1"/>
  <c r="AO286" i="16" a="1"/>
  <c r="AO286" i="16" s="1"/>
  <c r="AP286" i="16" s="1" a="1"/>
  <c r="AP286" i="16" s="1"/>
  <c r="AG286" i="16" a="1"/>
  <c r="AG286" i="16" s="1"/>
  <c r="AH286" i="16" s="1"/>
  <c r="AO275" i="16" a="1"/>
  <c r="AO275" i="16" s="1"/>
  <c r="AP275" i="16" s="1" a="1"/>
  <c r="AP275" i="16" s="1"/>
  <c r="AG275" i="16" a="1"/>
  <c r="AG275" i="16" s="1"/>
  <c r="AH275" i="16" s="1"/>
  <c r="AO238" i="16" a="1"/>
  <c r="AO238" i="16" s="1"/>
  <c r="AP238" i="16" s="1" a="1"/>
  <c r="AP238" i="16" s="1"/>
  <c r="AG238" i="16" a="1"/>
  <c r="AG238" i="16" s="1"/>
  <c r="AH238" i="16" s="1"/>
  <c r="AO42" i="16" a="1"/>
  <c r="AO42" i="16" s="1"/>
  <c r="AP42" i="16" s="1" a="1"/>
  <c r="AP42" i="16" s="1"/>
  <c r="AG42" i="16" a="1"/>
  <c r="AG42" i="16" s="1"/>
  <c r="AH42" i="16" s="1"/>
  <c r="AO258" i="16" a="1"/>
  <c r="AO258" i="16" s="1"/>
  <c r="AP258" i="16" s="1" a="1"/>
  <c r="AP258" i="16" s="1"/>
  <c r="AG258" i="16" a="1"/>
  <c r="AG258" i="16" s="1"/>
  <c r="AH258" i="16" s="1"/>
  <c r="AO131" i="16" a="1"/>
  <c r="AO131" i="16" s="1"/>
  <c r="AP131" i="16" s="1" a="1"/>
  <c r="AP131" i="16" s="1"/>
  <c r="AG131" i="16" a="1"/>
  <c r="AG131" i="16" s="1"/>
  <c r="AH131" i="16" s="1"/>
  <c r="AO310" i="16" a="1"/>
  <c r="AO310" i="16" s="1"/>
  <c r="AP310" i="16" s="1" a="1"/>
  <c r="AP310" i="16" s="1"/>
  <c r="AG310" i="16" a="1"/>
  <c r="AG310" i="16" s="1"/>
  <c r="AH310" i="16" s="1"/>
  <c r="AO307" i="16" a="1"/>
  <c r="AO307" i="16" s="1"/>
  <c r="AP307" i="16" s="1" a="1"/>
  <c r="AP307" i="16" s="1"/>
  <c r="AG307" i="16" a="1"/>
  <c r="AG307" i="16" s="1"/>
  <c r="AH307" i="16" s="1"/>
  <c r="AO122" i="16" a="1"/>
  <c r="AO122" i="16" s="1"/>
  <c r="AP122" i="16" s="1" a="1"/>
  <c r="AP122" i="16" s="1"/>
  <c r="AG122" i="16" a="1"/>
  <c r="AG122" i="16" s="1"/>
  <c r="AH122" i="16" s="1"/>
  <c r="AO244" i="16" a="1"/>
  <c r="AO244" i="16" s="1"/>
  <c r="AP244" i="16" s="1" a="1"/>
  <c r="AP244" i="16" s="1"/>
  <c r="AG244" i="16" a="1"/>
  <c r="AG244" i="16" s="1"/>
  <c r="AH244" i="16" s="1"/>
  <c r="AO89" i="16" a="1"/>
  <c r="AO89" i="16" s="1"/>
  <c r="AP89" i="16" s="1" a="1"/>
  <c r="AP89" i="16" s="1"/>
  <c r="AG89" i="16" a="1"/>
  <c r="AG89" i="16" s="1"/>
  <c r="AH89" i="16" s="1"/>
  <c r="AO314" i="16" a="1"/>
  <c r="AO314" i="16" s="1"/>
  <c r="AP314" i="16" s="1" a="1"/>
  <c r="AP314" i="16" s="1"/>
  <c r="AG314" i="16" a="1"/>
  <c r="AG314" i="16" s="1"/>
  <c r="AH314" i="16" s="1"/>
  <c r="AQ14" i="18"/>
  <c r="AQ41" i="18"/>
  <c r="AQ36" i="18"/>
  <c r="AQ53" i="18"/>
  <c r="AQ57" i="18"/>
  <c r="AQ102" i="18"/>
  <c r="AQ104" i="18"/>
  <c r="AQ130" i="18"/>
  <c r="AQ139" i="18"/>
  <c r="AQ177" i="18"/>
  <c r="AQ165" i="18"/>
  <c r="AQ179" i="18"/>
  <c r="AQ211" i="18"/>
  <c r="AQ222" i="18"/>
  <c r="AQ235" i="18"/>
  <c r="AQ264" i="18"/>
  <c r="AQ276" i="18"/>
  <c r="AQ296" i="18"/>
  <c r="AQ303" i="18"/>
  <c r="AQ322" i="18"/>
  <c r="AO172" i="16" a="1"/>
  <c r="AO172" i="16" s="1"/>
  <c r="AP172" i="16" s="1" a="1"/>
  <c r="AP172" i="16" s="1"/>
  <c r="AG172" i="16" a="1"/>
  <c r="AG172" i="16" s="1"/>
  <c r="AH172" i="16" s="1"/>
  <c r="AQ22" i="18"/>
  <c r="AQ189" i="18"/>
  <c r="AO111" i="16" a="1"/>
  <c r="AO111" i="16" s="1"/>
  <c r="AP111" i="16" s="1" a="1"/>
  <c r="AP111" i="16" s="1"/>
  <c r="AG111" i="16" a="1"/>
  <c r="AG111" i="16" s="1"/>
  <c r="AH111" i="16" s="1"/>
  <c r="AO299" i="16" a="1"/>
  <c r="AO299" i="16" s="1"/>
  <c r="AP299" i="16" s="1" a="1"/>
  <c r="AP299" i="16" s="1"/>
  <c r="AG299" i="16" a="1"/>
  <c r="AG299" i="16" s="1"/>
  <c r="AH299" i="16" s="1"/>
  <c r="AO98" i="16" a="1"/>
  <c r="AO98" i="16" s="1"/>
  <c r="AP98" i="16" s="1" a="1"/>
  <c r="AP98" i="16" s="1"/>
  <c r="AG98" i="16" a="1"/>
  <c r="AG98" i="16" s="1"/>
  <c r="AH98" i="16" s="1"/>
  <c r="AO156" i="16" a="1"/>
  <c r="AO156" i="16" s="1"/>
  <c r="AP156" i="16" s="1" a="1"/>
  <c r="AP156" i="16" s="1"/>
  <c r="AG156" i="16" a="1"/>
  <c r="AG156" i="16" s="1"/>
  <c r="AH156" i="16" s="1"/>
  <c r="AO84" i="16" a="1"/>
  <c r="AO84" i="16" s="1"/>
  <c r="AP84" i="16" s="1" a="1"/>
  <c r="AP84" i="16" s="1"/>
  <c r="AG84" i="16" a="1"/>
  <c r="AG84" i="16" s="1"/>
  <c r="AH84" i="16" s="1"/>
  <c r="AO127" i="16" a="1"/>
  <c r="AO127" i="16" s="1"/>
  <c r="AP127" i="16" s="1" a="1"/>
  <c r="AP127" i="16" s="1"/>
  <c r="AG127" i="16" a="1"/>
  <c r="AG127" i="16" s="1"/>
  <c r="AH127" i="16" s="1"/>
  <c r="AO106" i="16" a="1"/>
  <c r="AO106" i="16" s="1"/>
  <c r="AP106" i="16" s="1" a="1"/>
  <c r="AP106" i="16" s="1"/>
  <c r="AG106" i="16" a="1"/>
  <c r="AG106" i="16" s="1"/>
  <c r="AH106" i="16" s="1"/>
  <c r="AO260" i="16" a="1"/>
  <c r="AO260" i="16" s="1"/>
  <c r="AP260" i="16" s="1" a="1"/>
  <c r="AP260" i="16" s="1"/>
  <c r="AG260" i="16" a="1"/>
  <c r="AG260" i="16" s="1"/>
  <c r="AH260" i="16" s="1"/>
  <c r="AO137" i="16" a="1"/>
  <c r="AO137" i="16" s="1"/>
  <c r="AP137" i="16" s="1" a="1"/>
  <c r="AP137" i="16" s="1"/>
  <c r="AG137" i="16" a="1"/>
  <c r="AG137" i="16" s="1"/>
  <c r="AH137" i="16" s="1"/>
  <c r="AO315" i="16" a="1"/>
  <c r="AO315" i="16" s="1"/>
  <c r="AP315" i="16" s="1" a="1"/>
  <c r="AP315" i="16" s="1"/>
  <c r="AG315" i="16" a="1"/>
  <c r="AG315" i="16" s="1"/>
  <c r="AH315" i="16" s="1"/>
  <c r="AO144" i="16" a="1"/>
  <c r="AO144" i="16" s="1"/>
  <c r="AP144" i="16" s="1" a="1"/>
  <c r="AP144" i="16" s="1"/>
  <c r="AG144" i="16" a="1"/>
  <c r="AG144" i="16" s="1"/>
  <c r="AH144" i="16" s="1"/>
  <c r="AO191" i="16" a="1"/>
  <c r="AO191" i="16" s="1"/>
  <c r="AP191" i="16" s="1" a="1"/>
  <c r="AP191" i="16" s="1"/>
  <c r="AG191" i="16" a="1"/>
  <c r="AG191" i="16" s="1"/>
  <c r="AH191" i="16" s="1"/>
  <c r="AO192" i="16" a="1"/>
  <c r="AO192" i="16" s="1"/>
  <c r="AP192" i="16" s="1" a="1"/>
  <c r="AP192" i="16" s="1"/>
  <c r="AG192" i="16" a="1"/>
  <c r="AG192" i="16" s="1"/>
  <c r="AH192" i="16" s="1"/>
  <c r="AO56" i="16" a="1"/>
  <c r="AO56" i="16" s="1"/>
  <c r="AP56" i="16" s="1" a="1"/>
  <c r="AP56" i="16" s="1"/>
  <c r="AG56" i="16" a="1"/>
  <c r="AG56" i="16" s="1"/>
  <c r="AH56" i="16" s="1"/>
  <c r="AO276" i="16" a="1"/>
  <c r="AO276" i="16" s="1"/>
  <c r="AP276" i="16" s="1" a="1"/>
  <c r="AP276" i="16" s="1"/>
  <c r="AG276" i="16" a="1"/>
  <c r="AG276" i="16" s="1"/>
  <c r="AH276" i="16" s="1"/>
  <c r="AO304" i="16" a="1"/>
  <c r="AO304" i="16" s="1"/>
  <c r="AP304" i="16" s="1" a="1"/>
  <c r="AP304" i="16" s="1"/>
  <c r="AG304" i="16" a="1"/>
  <c r="AG304" i="16" s="1"/>
  <c r="AH304" i="16" s="1"/>
  <c r="AO291" i="16" a="1"/>
  <c r="AO291" i="16" s="1"/>
  <c r="AP291" i="16" s="1" a="1"/>
  <c r="AP291" i="16" s="1"/>
  <c r="AG291" i="16" a="1"/>
  <c r="AG291" i="16" s="1"/>
  <c r="AH291" i="16" s="1"/>
  <c r="AO36" i="16" a="1"/>
  <c r="AO36" i="16" s="1"/>
  <c r="AP36" i="16" s="1" a="1"/>
  <c r="AP36" i="16" s="1"/>
  <c r="AG36" i="16" a="1"/>
  <c r="AG36" i="16" s="1"/>
  <c r="AH36" i="16" s="1"/>
  <c r="AQ59" i="18"/>
  <c r="AQ50" i="18"/>
  <c r="AQ44" i="18"/>
  <c r="AQ65" i="18"/>
  <c r="AQ73" i="18"/>
  <c r="AQ119" i="18"/>
  <c r="AQ117" i="18"/>
  <c r="AQ134" i="18"/>
  <c r="AQ149" i="18"/>
  <c r="AQ152" i="18"/>
  <c r="AQ194" i="18"/>
  <c r="AQ186" i="18"/>
  <c r="AQ197" i="18"/>
  <c r="AQ234" i="18"/>
  <c r="AQ236" i="18"/>
  <c r="AQ266" i="18"/>
  <c r="AQ281" i="18"/>
  <c r="AQ305" i="18"/>
  <c r="AQ314" i="18"/>
  <c r="AO234" i="16" a="1"/>
  <c r="AO234" i="16" s="1"/>
  <c r="AP234" i="16" s="1" a="1"/>
  <c r="AP234" i="16" s="1"/>
  <c r="AG234" i="16" a="1"/>
  <c r="AG234" i="16" s="1"/>
  <c r="AH234" i="16" s="1"/>
  <c r="AO100" i="16" a="1"/>
  <c r="AO100" i="16" s="1"/>
  <c r="AP100" i="16" s="1" a="1"/>
  <c r="AP100" i="16" s="1"/>
  <c r="AG100" i="16" a="1"/>
  <c r="AG100" i="16" s="1"/>
  <c r="AH100" i="16" s="1"/>
  <c r="AQ265" i="18"/>
  <c r="AO38" i="16" a="1"/>
  <c r="AO38" i="16" s="1"/>
  <c r="AP38" i="16" s="1" a="1"/>
  <c r="AP38" i="16" s="1"/>
  <c r="AG38" i="16" a="1"/>
  <c r="AG38" i="16" s="1"/>
  <c r="AH38" i="16" s="1"/>
  <c r="AO308" i="16" a="1"/>
  <c r="AO308" i="16" s="1"/>
  <c r="AP308" i="16" s="1" a="1"/>
  <c r="AP308" i="16" s="1"/>
  <c r="AG308" i="16" a="1"/>
  <c r="AG308" i="16" s="1"/>
  <c r="AH308" i="16" s="1"/>
  <c r="AO120" i="16" a="1"/>
  <c r="AO120" i="16" s="1"/>
  <c r="AP120" i="16" s="1" a="1"/>
  <c r="AP120" i="16" s="1"/>
  <c r="AG120" i="16" a="1"/>
  <c r="AG120" i="16" s="1"/>
  <c r="AH120" i="16" s="1"/>
  <c r="AO207" i="16" a="1"/>
  <c r="AO207" i="16" s="1"/>
  <c r="AP207" i="16" s="1" a="1"/>
  <c r="AP207" i="16" s="1"/>
  <c r="AG207" i="16" a="1"/>
  <c r="AG207" i="16" s="1"/>
  <c r="AH207" i="16" s="1"/>
  <c r="AO72" i="16" a="1"/>
  <c r="AO72" i="16" s="1"/>
  <c r="AP72" i="16" s="1" a="1"/>
  <c r="AP72" i="16" s="1"/>
  <c r="AG72" i="16" a="1"/>
  <c r="AG72" i="16" s="1"/>
  <c r="AH72" i="16" s="1"/>
  <c r="AO141" i="16" a="1"/>
  <c r="AO141" i="16" s="1"/>
  <c r="AP141" i="16" s="1" a="1"/>
  <c r="AP141" i="16" s="1"/>
  <c r="AG141" i="16" a="1"/>
  <c r="AG141" i="16" s="1"/>
  <c r="AH141" i="16" s="1"/>
  <c r="AO61" i="16" a="1"/>
  <c r="AO61" i="16" s="1"/>
  <c r="AP61" i="16" s="1" a="1"/>
  <c r="AP61" i="16" s="1"/>
  <c r="AG61" i="16" a="1"/>
  <c r="AG61" i="16" s="1"/>
  <c r="AH61" i="16" s="1"/>
  <c r="AO178" i="16" a="1"/>
  <c r="AO178" i="16" s="1"/>
  <c r="AP178" i="16" s="1" a="1"/>
  <c r="AP178" i="16" s="1"/>
  <c r="AG178" i="16" a="1"/>
  <c r="AG178" i="16" s="1"/>
  <c r="AH178" i="16" s="1"/>
  <c r="AO112" i="16" a="1"/>
  <c r="AO112" i="16" s="1"/>
  <c r="AP112" i="16" s="1" a="1"/>
  <c r="AP112" i="16" s="1"/>
  <c r="AG112" i="16" a="1"/>
  <c r="AG112" i="16" s="1"/>
  <c r="AH112" i="16" s="1"/>
  <c r="AO190" i="16" a="1"/>
  <c r="AO190" i="16" s="1"/>
  <c r="AP190" i="16" s="1" a="1"/>
  <c r="AP190" i="16" s="1"/>
  <c r="AG190" i="16" a="1"/>
  <c r="AG190" i="16" s="1"/>
  <c r="AH190" i="16" s="1"/>
  <c r="AO287" i="16" a="1"/>
  <c r="AO287" i="16" s="1"/>
  <c r="AP287" i="16" s="1" a="1"/>
  <c r="AP287" i="16" s="1"/>
  <c r="AG287" i="16" a="1"/>
  <c r="AG287" i="16" s="1"/>
  <c r="AH287" i="16" s="1"/>
  <c r="AO232" i="16" a="1"/>
  <c r="AO232" i="16" s="1"/>
  <c r="AP232" i="16" s="1" a="1"/>
  <c r="AP232" i="16" s="1"/>
  <c r="AG232" i="16" a="1"/>
  <c r="AG232" i="16" s="1"/>
  <c r="AH232" i="16" s="1"/>
  <c r="AO167" i="16" a="1"/>
  <c r="AO167" i="16" s="1"/>
  <c r="AP167" i="16" s="1" a="1"/>
  <c r="AP167" i="16" s="1"/>
  <c r="AG167" i="16" a="1"/>
  <c r="AG167" i="16" s="1"/>
  <c r="AH167" i="16" s="1"/>
  <c r="AO117" i="16" a="1"/>
  <c r="AO117" i="16" s="1"/>
  <c r="AP117" i="16" s="1" a="1"/>
  <c r="AP117" i="16" s="1"/>
  <c r="AG117" i="16" a="1"/>
  <c r="AG117" i="16" s="1"/>
  <c r="AH117" i="16" s="1"/>
  <c r="AO184" i="16" a="1"/>
  <c r="AO184" i="16" s="1"/>
  <c r="AP184" i="16" s="1" a="1"/>
  <c r="AP184" i="16" s="1"/>
  <c r="AG184" i="16" a="1"/>
  <c r="AG184" i="16" s="1"/>
  <c r="AH184" i="16" s="1"/>
  <c r="AO324" i="16" a="1"/>
  <c r="AO324" i="16" s="1"/>
  <c r="AP324" i="16" s="1" a="1"/>
  <c r="AP324" i="16" s="1"/>
  <c r="AG324" i="16" a="1"/>
  <c r="AG324" i="16" s="1"/>
  <c r="AH324" i="16" s="1"/>
  <c r="AO209" i="16" a="1"/>
  <c r="AO209" i="16" s="1"/>
  <c r="AP209" i="16" s="1" a="1"/>
  <c r="AP209" i="16" s="1"/>
  <c r="AG209" i="16" a="1"/>
  <c r="AG209" i="16" s="1"/>
  <c r="AH209" i="16" s="1"/>
  <c r="AO163" i="16" a="1"/>
  <c r="AO163" i="16" s="1"/>
  <c r="AP163" i="16" s="1" a="1"/>
  <c r="AP163" i="16" s="1"/>
  <c r="AG163" i="16" a="1"/>
  <c r="AG163" i="16" s="1"/>
  <c r="AH163" i="16" s="1"/>
  <c r="AO66" i="16" a="1"/>
  <c r="AO66" i="16" s="1"/>
  <c r="AP66" i="16" s="1" a="1"/>
  <c r="AP66" i="16" s="1"/>
  <c r="AG66" i="16" a="1"/>
  <c r="AG66" i="16" s="1"/>
  <c r="AH66" i="16" s="1"/>
  <c r="AQ17" i="18"/>
  <c r="AQ27" i="18"/>
  <c r="AQ64" i="18"/>
  <c r="AQ68" i="18"/>
  <c r="AQ88" i="18"/>
  <c r="AQ87" i="18"/>
  <c r="AQ120" i="18"/>
  <c r="AQ113" i="18"/>
  <c r="AQ126" i="18"/>
  <c r="AQ163" i="18"/>
  <c r="AQ171" i="18"/>
  <c r="AQ187" i="18"/>
  <c r="AQ214" i="18"/>
  <c r="AQ219" i="18"/>
  <c r="AQ246" i="18"/>
  <c r="AQ255" i="18"/>
  <c r="AQ271" i="18"/>
  <c r="AQ307" i="18"/>
  <c r="AQ324" i="18"/>
  <c r="AO179" i="16" a="1"/>
  <c r="AO179" i="16" s="1"/>
  <c r="AP179" i="16" s="1" a="1"/>
  <c r="AP179" i="16" s="1"/>
  <c r="AG179" i="16" a="1"/>
  <c r="AG179" i="16" s="1"/>
  <c r="AH179" i="16" s="1"/>
  <c r="AO92" i="16" a="1"/>
  <c r="AO92" i="16" s="1"/>
  <c r="AP92" i="16" s="1" a="1"/>
  <c r="AP92" i="16" s="1"/>
  <c r="AG92" i="16" a="1"/>
  <c r="AG92" i="16" s="1"/>
  <c r="AH92" i="16" s="1"/>
  <c r="AQ288" i="18"/>
  <c r="AO186" i="16" a="1"/>
  <c r="AO186" i="16" s="1"/>
  <c r="AP186" i="16" s="1" a="1"/>
  <c r="AP186" i="16" s="1"/>
  <c r="AG186" i="16" a="1"/>
  <c r="AG186" i="16" s="1"/>
  <c r="AH186" i="16" s="1"/>
  <c r="AO41" i="16" a="1"/>
  <c r="AO41" i="16" s="1"/>
  <c r="AP41" i="16" s="1" a="1"/>
  <c r="AP41" i="16" s="1"/>
  <c r="AG41" i="16" a="1"/>
  <c r="AG41" i="16" s="1"/>
  <c r="AH41" i="16" s="1"/>
  <c r="AO138" i="16" a="1"/>
  <c r="AO138" i="16" s="1"/>
  <c r="AP138" i="16" s="1" a="1"/>
  <c r="AP138" i="16" s="1"/>
  <c r="AG138" i="16" a="1"/>
  <c r="AG138" i="16" s="1"/>
  <c r="AH138" i="16" s="1"/>
  <c r="AO264" i="16" a="1"/>
  <c r="AO264" i="16" s="1"/>
  <c r="AP264" i="16" s="1" a="1"/>
  <c r="AP264" i="16" s="1"/>
  <c r="AG264" i="16" a="1"/>
  <c r="AG264" i="16" s="1"/>
  <c r="AH264" i="16" s="1"/>
  <c r="AO239" i="16" a="1"/>
  <c r="AO239" i="16" s="1"/>
  <c r="AP239" i="16" s="1" a="1"/>
  <c r="AP239" i="16" s="1"/>
  <c r="AG239" i="16" a="1"/>
  <c r="AG239" i="16" s="1"/>
  <c r="AH239" i="16" s="1"/>
  <c r="AO161" i="16" a="1"/>
  <c r="AO161" i="16" s="1"/>
  <c r="AP161" i="16" s="1" a="1"/>
  <c r="AP161" i="16" s="1"/>
  <c r="AG161" i="16" a="1"/>
  <c r="AG161" i="16" s="1"/>
  <c r="AH161" i="16" s="1"/>
  <c r="AO296" i="16" a="1"/>
  <c r="AO296" i="16" s="1"/>
  <c r="AP296" i="16" s="1" a="1"/>
  <c r="AP296" i="16" s="1"/>
  <c r="AG296" i="16" a="1"/>
  <c r="AG296" i="16" s="1"/>
  <c r="AH296" i="16" s="1"/>
  <c r="AO243" i="16" a="1"/>
  <c r="AO243" i="16" s="1"/>
  <c r="AP243" i="16" s="1" a="1"/>
  <c r="AP243" i="16" s="1"/>
  <c r="AG243" i="16" a="1"/>
  <c r="AG243" i="16" s="1"/>
  <c r="AH243" i="16" s="1"/>
  <c r="AO236" i="16" a="1"/>
  <c r="AO236" i="16" s="1"/>
  <c r="AP236" i="16" s="1" a="1"/>
  <c r="AP236" i="16" s="1"/>
  <c r="AG236" i="16" a="1"/>
  <c r="AG236" i="16" s="1"/>
  <c r="AH236" i="16" s="1"/>
  <c r="AO46" i="16" a="1"/>
  <c r="AO46" i="16" s="1"/>
  <c r="AP46" i="16" s="1" a="1"/>
  <c r="AP46" i="16" s="1"/>
  <c r="AG46" i="16" a="1"/>
  <c r="AG46" i="16" s="1"/>
  <c r="AH46" i="16" s="1"/>
  <c r="AO149" i="16" a="1"/>
  <c r="AO149" i="16" s="1"/>
  <c r="AP149" i="16" s="1" a="1"/>
  <c r="AP149" i="16" s="1"/>
  <c r="AG149" i="16" a="1"/>
  <c r="AG149" i="16" s="1"/>
  <c r="AH149" i="16" s="1"/>
  <c r="AO173" i="16" a="1"/>
  <c r="AO173" i="16" s="1"/>
  <c r="AP173" i="16" s="1" a="1"/>
  <c r="AP173" i="16" s="1"/>
  <c r="AG173" i="16" a="1"/>
  <c r="AG173" i="16" s="1"/>
  <c r="AH173" i="16" s="1"/>
  <c r="AO278" i="16" a="1"/>
  <c r="AO278" i="16" s="1"/>
  <c r="AP278" i="16" s="1" a="1"/>
  <c r="AP278" i="16" s="1"/>
  <c r="AG278" i="16" a="1"/>
  <c r="AG278" i="16" s="1"/>
  <c r="AH278" i="16" s="1"/>
  <c r="AO130" i="16" a="1"/>
  <c r="AO130" i="16" s="1"/>
  <c r="AP130" i="16" s="1" a="1"/>
  <c r="AP130" i="16" s="1"/>
  <c r="AG130" i="16" a="1"/>
  <c r="AG130" i="16" s="1"/>
  <c r="AH130" i="16" s="1"/>
  <c r="AO124" i="16" a="1"/>
  <c r="AO124" i="16" s="1"/>
  <c r="AP124" i="16" s="1" a="1"/>
  <c r="AP124" i="16" s="1"/>
  <c r="AG124" i="16" a="1"/>
  <c r="AG124" i="16" s="1"/>
  <c r="AH124" i="16" s="1"/>
  <c r="AO282" i="16" a="1"/>
  <c r="AO282" i="16" s="1"/>
  <c r="AP282" i="16" s="1" a="1"/>
  <c r="AP282" i="16" s="1"/>
  <c r="AG282" i="16" a="1"/>
  <c r="AG282" i="16" s="1"/>
  <c r="AH282" i="16" s="1"/>
  <c r="AO77" i="16" a="1"/>
  <c r="AO77" i="16" s="1"/>
  <c r="AP77" i="16" s="1" a="1"/>
  <c r="AP77" i="16" s="1"/>
  <c r="AG77" i="16" a="1"/>
  <c r="AG77" i="16" s="1"/>
  <c r="AH77" i="16" s="1"/>
  <c r="AO140" i="16" a="1"/>
  <c r="AO140" i="16" s="1"/>
  <c r="AP140" i="16" s="1" a="1"/>
  <c r="AP140" i="16" s="1"/>
  <c r="AG140" i="16" a="1"/>
  <c r="AG140" i="16" s="1"/>
  <c r="AH140" i="16" s="1"/>
  <c r="AO220" i="16" a="1"/>
  <c r="AO220" i="16" s="1"/>
  <c r="AP220" i="16" s="1" a="1"/>
  <c r="AP220" i="16" s="1"/>
  <c r="AG220" i="16" a="1"/>
  <c r="AG220" i="16" s="1"/>
  <c r="AH220" i="16" s="1"/>
  <c r="AQ24" i="18"/>
  <c r="AQ39" i="18"/>
  <c r="AQ47" i="18"/>
  <c r="AQ80" i="18"/>
  <c r="AQ114" i="18"/>
  <c r="AQ99" i="18"/>
  <c r="AQ150" i="18"/>
  <c r="AQ124" i="18"/>
  <c r="AQ142" i="18"/>
  <c r="AQ175" i="18"/>
  <c r="AQ180" i="18"/>
  <c r="AQ191" i="18"/>
  <c r="AQ198" i="18"/>
  <c r="AQ233" i="18"/>
  <c r="AQ237" i="18"/>
  <c r="AQ263" i="18"/>
  <c r="AQ279" i="18"/>
  <c r="AQ274" i="18"/>
  <c r="AQ290" i="18"/>
  <c r="AQ323" i="18"/>
  <c r="AO58" i="16" a="1"/>
  <c r="AO58" i="16" s="1"/>
  <c r="AP58" i="16" s="1" a="1"/>
  <c r="AP58" i="16" s="1"/>
  <c r="AG58" i="16" a="1"/>
  <c r="AG58" i="16" s="1"/>
  <c r="AH58" i="16" s="1"/>
  <c r="AO105" i="16" a="1"/>
  <c r="AO105" i="16" s="1"/>
  <c r="AP105" i="16" s="1" a="1"/>
  <c r="AP105" i="16" s="1"/>
  <c r="AG105" i="16" a="1"/>
  <c r="AG105" i="16" s="1"/>
  <c r="AH105" i="16" s="1"/>
  <c r="AQ54" i="18"/>
  <c r="AQ115" i="18"/>
  <c r="AO250" i="16" a="1"/>
  <c r="AO250" i="16" s="1"/>
  <c r="AP250" i="16" s="1" a="1"/>
  <c r="AP250" i="16" s="1"/>
  <c r="AG250" i="16" a="1"/>
  <c r="AG250" i="16" s="1"/>
  <c r="AH250" i="16" s="1"/>
  <c r="AO78" i="16" a="1"/>
  <c r="AO78" i="16" s="1"/>
  <c r="AP78" i="16" s="1" a="1"/>
  <c r="AP78" i="16" s="1"/>
  <c r="AG78" i="16" a="1"/>
  <c r="AG78" i="16" s="1"/>
  <c r="AH78" i="16" s="1"/>
  <c r="AO225" i="16" a="1"/>
  <c r="AO225" i="16" s="1"/>
  <c r="AP225" i="16" s="1" a="1"/>
  <c r="AP225" i="16" s="1"/>
  <c r="AG225" i="16" a="1"/>
  <c r="AG225" i="16" s="1"/>
  <c r="AH225" i="16" s="1"/>
  <c r="AO44" i="16" a="1"/>
  <c r="AO44" i="16" s="1"/>
  <c r="AP44" i="16" s="1" a="1"/>
  <c r="AP44" i="16" s="1"/>
  <c r="AG44" i="16" a="1"/>
  <c r="AG44" i="16" s="1"/>
  <c r="AH44" i="16" s="1"/>
  <c r="AO39" i="16" a="1"/>
  <c r="AO39" i="16" s="1"/>
  <c r="AP39" i="16" s="1" a="1"/>
  <c r="AP39" i="16" s="1"/>
  <c r="AG39" i="16" a="1"/>
  <c r="AG39" i="16" s="1"/>
  <c r="AH39" i="16" s="1"/>
  <c r="AO87" i="16" a="1"/>
  <c r="AO87" i="16" s="1"/>
  <c r="AP87" i="16" s="1" a="1"/>
  <c r="AP87" i="16" s="1"/>
  <c r="AG87" i="16" a="1"/>
  <c r="AG87" i="16" s="1"/>
  <c r="AH87" i="16" s="1"/>
  <c r="AO157" i="16" a="1"/>
  <c r="AO157" i="16" s="1"/>
  <c r="AP157" i="16" s="1" a="1"/>
  <c r="AP157" i="16" s="1"/>
  <c r="AG157" i="16" a="1"/>
  <c r="AG157" i="16" s="1"/>
  <c r="AH157" i="16" s="1"/>
  <c r="AO90" i="16" a="1"/>
  <c r="AO90" i="16" s="1"/>
  <c r="AP90" i="16" s="1" a="1"/>
  <c r="AP90" i="16" s="1"/>
  <c r="AG90" i="16" a="1"/>
  <c r="AG90" i="16" s="1"/>
  <c r="AH90" i="16" s="1"/>
  <c r="AO269" i="16" a="1"/>
  <c r="AO269" i="16" s="1"/>
  <c r="AP269" i="16" s="1" a="1"/>
  <c r="AP269" i="16" s="1"/>
  <c r="AG269" i="16" a="1"/>
  <c r="AG269" i="16" s="1"/>
  <c r="AH269" i="16" s="1"/>
  <c r="AO206" i="16" a="1"/>
  <c r="AO206" i="16" s="1"/>
  <c r="AP206" i="16" s="1" a="1"/>
  <c r="AP206" i="16" s="1"/>
  <c r="AG206" i="16" a="1"/>
  <c r="AG206" i="16" s="1"/>
  <c r="AH206" i="16" s="1"/>
  <c r="AO319" i="16" a="1"/>
  <c r="AO319" i="16" s="1"/>
  <c r="AP319" i="16" s="1" a="1"/>
  <c r="AP319" i="16" s="1"/>
  <c r="AG319" i="16" a="1"/>
  <c r="AG319" i="16" s="1"/>
  <c r="AH319" i="16" s="1"/>
  <c r="AO210" i="16" a="1"/>
  <c r="AO210" i="16" s="1"/>
  <c r="AP210" i="16" s="1" a="1"/>
  <c r="AP210" i="16" s="1"/>
  <c r="AG210" i="16" a="1"/>
  <c r="AG210" i="16" s="1"/>
  <c r="AH210" i="16" s="1"/>
  <c r="AO303" i="16" a="1"/>
  <c r="AO303" i="16" s="1"/>
  <c r="AP303" i="16" s="1" a="1"/>
  <c r="AP303" i="16" s="1"/>
  <c r="AG303" i="16" a="1"/>
  <c r="AG303" i="16" s="1"/>
  <c r="AH303" i="16" s="1"/>
  <c r="AO200" i="16" a="1"/>
  <c r="AO200" i="16" s="1"/>
  <c r="AP200" i="16" s="1" a="1"/>
  <c r="AP200" i="16" s="1"/>
  <c r="AG200" i="16" a="1"/>
  <c r="AG200" i="16" s="1"/>
  <c r="AH200" i="16" s="1"/>
  <c r="AO298" i="16" a="1"/>
  <c r="AO298" i="16" s="1"/>
  <c r="AP298" i="16" s="1" a="1"/>
  <c r="AP298" i="16" s="1"/>
  <c r="AG298" i="16" a="1"/>
  <c r="AG298" i="16" s="1"/>
  <c r="AH298" i="16" s="1"/>
  <c r="AO129" i="16" a="1"/>
  <c r="AO129" i="16" s="1"/>
  <c r="AP129" i="16" s="1" a="1"/>
  <c r="AP129" i="16" s="1"/>
  <c r="AG129" i="16" a="1"/>
  <c r="AG129" i="16" s="1"/>
  <c r="AH129" i="16" s="1"/>
  <c r="AO35" i="16" a="1"/>
  <c r="AO35" i="16" s="1"/>
  <c r="AP35" i="16" s="1" a="1"/>
  <c r="AP35" i="16" s="1"/>
  <c r="AG35" i="16" a="1"/>
  <c r="AG35" i="16" s="1"/>
  <c r="AH35" i="16" s="1"/>
  <c r="AQ28" i="18"/>
  <c r="AQ34" i="18"/>
  <c r="AQ42" i="18"/>
  <c r="AQ82" i="18"/>
  <c r="AQ63" i="18"/>
  <c r="AQ86" i="18"/>
  <c r="AQ159" i="18"/>
  <c r="AQ128" i="18"/>
  <c r="AQ147" i="18"/>
  <c r="AQ176" i="18"/>
  <c r="AQ173" i="18"/>
  <c r="AQ203" i="18"/>
  <c r="AQ205" i="18"/>
  <c r="AQ224" i="18"/>
  <c r="AQ251" i="18"/>
  <c r="AQ267" i="18"/>
  <c r="AQ269" i="18"/>
  <c r="AQ280" i="18"/>
  <c r="AQ293" i="18"/>
  <c r="AQ304" i="18"/>
  <c r="AO252" i="16" a="1"/>
  <c r="AO252" i="16" s="1"/>
  <c r="AP252" i="16" s="1" a="1"/>
  <c r="AP252" i="16" s="1"/>
  <c r="AG252" i="16" a="1"/>
  <c r="AG252" i="16" s="1"/>
  <c r="AH252" i="16" s="1"/>
  <c r="AQ225" i="18"/>
  <c r="AO148" i="16" a="1"/>
  <c r="AO148" i="16" s="1"/>
  <c r="AP148" i="16" s="1" a="1"/>
  <c r="AP148" i="16" s="1"/>
  <c r="AG148" i="16" a="1"/>
  <c r="AG148" i="16" s="1"/>
  <c r="AH148" i="16" s="1"/>
  <c r="AO214" i="16" a="1"/>
  <c r="AO214" i="16" s="1"/>
  <c r="AP214" i="16" s="1" a="1"/>
  <c r="AP214" i="16" s="1"/>
  <c r="AG214" i="16" a="1"/>
  <c r="AG214" i="16" s="1"/>
  <c r="AH214" i="16" s="1"/>
  <c r="AO254" i="16" a="1"/>
  <c r="AO254" i="16" s="1"/>
  <c r="AP254" i="16" s="1" a="1"/>
  <c r="AP254" i="16" s="1"/>
  <c r="AG254" i="16" a="1"/>
  <c r="AG254" i="16" s="1"/>
  <c r="AH254" i="16" s="1"/>
  <c r="AO114" i="16" a="1"/>
  <c r="AO114" i="16" s="1"/>
  <c r="AP114" i="16" s="1" a="1"/>
  <c r="AP114" i="16" s="1"/>
  <c r="AG114" i="16" a="1"/>
  <c r="AG114" i="16" s="1"/>
  <c r="AH114" i="16" s="1"/>
  <c r="AO63" i="16" a="1"/>
  <c r="AO63" i="16" s="1"/>
  <c r="AP63" i="16" s="1" a="1"/>
  <c r="AP63" i="16" s="1"/>
  <c r="AG63" i="16" a="1"/>
  <c r="AG63" i="16" s="1"/>
  <c r="AH63" i="16" s="1"/>
  <c r="AO65" i="16" a="1"/>
  <c r="AO65" i="16" s="1"/>
  <c r="AP65" i="16" s="1" a="1"/>
  <c r="AP65" i="16" s="1"/>
  <c r="AG65" i="16" a="1"/>
  <c r="AG65" i="16" s="1"/>
  <c r="AH65" i="16" s="1"/>
  <c r="AO165" i="16" a="1"/>
  <c r="AO165" i="16" s="1"/>
  <c r="AP165" i="16" s="1" a="1"/>
  <c r="AP165" i="16" s="1"/>
  <c r="AG165" i="16" a="1"/>
  <c r="AG165" i="16" s="1"/>
  <c r="AH165" i="16" s="1"/>
  <c r="AO267" i="16" a="1"/>
  <c r="AO267" i="16" s="1"/>
  <c r="AP267" i="16" s="1" a="1"/>
  <c r="AP267" i="16" s="1"/>
  <c r="AG267" i="16" a="1"/>
  <c r="AG267" i="16" s="1"/>
  <c r="AH267" i="16" s="1"/>
  <c r="AO237" i="16" a="1"/>
  <c r="AO237" i="16" s="1"/>
  <c r="AP237" i="16" s="1" a="1"/>
  <c r="AP237" i="16" s="1"/>
  <c r="AG237" i="16" a="1"/>
  <c r="AG237" i="16" s="1"/>
  <c r="AH237" i="16" s="1"/>
  <c r="AO43" i="16" a="1"/>
  <c r="AO43" i="16" s="1"/>
  <c r="AP43" i="16" s="1" a="1"/>
  <c r="AP43" i="16" s="1"/>
  <c r="AG43" i="16" a="1"/>
  <c r="AG43" i="16" s="1"/>
  <c r="AH43" i="16" s="1"/>
  <c r="AO203" i="16" a="1"/>
  <c r="AO203" i="16" s="1"/>
  <c r="AP203" i="16" s="1" a="1"/>
  <c r="AP203" i="16" s="1"/>
  <c r="AG203" i="16" a="1"/>
  <c r="AG203" i="16" s="1"/>
  <c r="AH203" i="16" s="1"/>
  <c r="AO174" i="16" a="1"/>
  <c r="AO174" i="16" s="1"/>
  <c r="AP174" i="16" s="1" a="1"/>
  <c r="AP174" i="16" s="1"/>
  <c r="AG174" i="16" a="1"/>
  <c r="AG174" i="16" s="1"/>
  <c r="AH174" i="16" s="1"/>
  <c r="AO80" i="16" a="1"/>
  <c r="AO80" i="16" s="1"/>
  <c r="AP80" i="16" s="1" a="1"/>
  <c r="AP80" i="16" s="1"/>
  <c r="AG80" i="16" a="1"/>
  <c r="AG80" i="16" s="1"/>
  <c r="AH80" i="16" s="1"/>
  <c r="AO154" i="16" a="1"/>
  <c r="AO154" i="16" s="1"/>
  <c r="AP154" i="16" s="1" a="1"/>
  <c r="AP154" i="16" s="1"/>
  <c r="AG154" i="16" a="1"/>
  <c r="AG154" i="16" s="1"/>
  <c r="AH154" i="16" s="1"/>
  <c r="AO116" i="16" a="1"/>
  <c r="AO116" i="16" s="1"/>
  <c r="AP116" i="16" s="1" a="1"/>
  <c r="AP116" i="16" s="1"/>
  <c r="AG116" i="16" a="1"/>
  <c r="AG116" i="16" s="1"/>
  <c r="AH116" i="16" s="1"/>
  <c r="AO108" i="16" a="1"/>
  <c r="AO108" i="16" s="1"/>
  <c r="AP108" i="16" s="1" a="1"/>
  <c r="AP108" i="16" s="1"/>
  <c r="AG108" i="16" a="1"/>
  <c r="AG108" i="16" s="1"/>
  <c r="AH108" i="16" s="1"/>
  <c r="AO54" i="16" a="1"/>
  <c r="AO54" i="16" s="1"/>
  <c r="AP54" i="16" s="1" a="1"/>
  <c r="AP54" i="16" s="1"/>
  <c r="AG54" i="16" a="1"/>
  <c r="AG54" i="16" s="1"/>
  <c r="AH54" i="16" s="1"/>
  <c r="AO55" i="16" a="1"/>
  <c r="AO55" i="16" s="1"/>
  <c r="AP55" i="16" s="1" a="1"/>
  <c r="AP55" i="16" s="1"/>
  <c r="AG55" i="16" a="1"/>
  <c r="AG55" i="16" s="1"/>
  <c r="AH55" i="16" s="1"/>
  <c r="AQ21" i="18"/>
  <c r="AQ40" i="18"/>
  <c r="AQ62" i="18"/>
  <c r="AQ60" i="18"/>
  <c r="AQ93" i="18"/>
  <c r="AQ79" i="18"/>
  <c r="AQ90" i="18"/>
  <c r="AQ94" i="18"/>
  <c r="AQ138" i="18"/>
  <c r="AQ129" i="18"/>
  <c r="AQ155" i="18"/>
  <c r="AQ178" i="18"/>
  <c r="AQ200" i="18"/>
  <c r="AQ221" i="18"/>
  <c r="AQ247" i="18"/>
  <c r="AQ241" i="18"/>
  <c r="AQ257" i="18"/>
  <c r="AQ277" i="18"/>
  <c r="AQ292" i="18"/>
  <c r="AQ283" i="18"/>
  <c r="AQ315" i="18"/>
  <c r="AO306" i="16" a="1"/>
  <c r="AO306" i="16" s="1"/>
  <c r="AP306" i="16" s="1" a="1"/>
  <c r="AP306" i="16" s="1"/>
  <c r="AG306" i="16" a="1"/>
  <c r="AG306" i="16" s="1"/>
  <c r="AH306" i="16" s="1"/>
  <c r="AO132" i="16" a="1"/>
  <c r="AO132" i="16" s="1"/>
  <c r="AP132" i="16" s="1" a="1"/>
  <c r="AP132" i="16" s="1"/>
  <c r="AG132" i="16" a="1"/>
  <c r="AG132" i="16" s="1"/>
  <c r="AH132" i="16" s="1"/>
  <c r="AO118" i="16" a="1"/>
  <c r="AO118" i="16" s="1"/>
  <c r="AP118" i="16" s="1" a="1"/>
  <c r="AP118" i="16" s="1"/>
  <c r="AG118" i="16" a="1"/>
  <c r="AG118" i="16" s="1"/>
  <c r="AH118" i="16" s="1"/>
  <c r="AQ133" i="18"/>
  <c r="AO85" i="16" a="1"/>
  <c r="AO85" i="16" s="1"/>
  <c r="AP85" i="16" s="1" a="1"/>
  <c r="AP85" i="16" s="1"/>
  <c r="AG85" i="16" a="1"/>
  <c r="AG85" i="16" s="1"/>
  <c r="AH85" i="16" s="1"/>
  <c r="AO240" i="16" a="1"/>
  <c r="AO240" i="16" s="1"/>
  <c r="AP240" i="16" s="1" a="1"/>
  <c r="AP240" i="16" s="1"/>
  <c r="AG240" i="16" a="1"/>
  <c r="AG240" i="16" s="1"/>
  <c r="AH240" i="16" s="1"/>
  <c r="AO217" i="16" a="1"/>
  <c r="AO217" i="16" s="1"/>
  <c r="AP217" i="16" s="1" a="1"/>
  <c r="AP217" i="16" s="1"/>
  <c r="AG217" i="16" a="1"/>
  <c r="AG217" i="16" s="1"/>
  <c r="AH217" i="16" s="1"/>
  <c r="AO201" i="16" a="1"/>
  <c r="AO201" i="16" s="1"/>
  <c r="AP201" i="16" s="1" a="1"/>
  <c r="AP201" i="16" s="1"/>
  <c r="AG201" i="16" a="1"/>
  <c r="AG201" i="16" s="1"/>
  <c r="AH201" i="16" s="1"/>
  <c r="AO168" i="16" a="1"/>
  <c r="AO168" i="16" s="1"/>
  <c r="AP168" i="16" s="1" a="1"/>
  <c r="AP168" i="16" s="1"/>
  <c r="AG168" i="16" a="1"/>
  <c r="AG168" i="16" s="1"/>
  <c r="AH168" i="16" s="1"/>
  <c r="AO81" i="16" a="1"/>
  <c r="AO81" i="16" s="1"/>
  <c r="AP81" i="16" s="1" a="1"/>
  <c r="AP81" i="16" s="1"/>
  <c r="AG81" i="16" a="1"/>
  <c r="AG81" i="16" s="1"/>
  <c r="AH81" i="16" s="1"/>
  <c r="AO115" i="16" a="1"/>
  <c r="AO115" i="16" s="1"/>
  <c r="AP115" i="16" s="1" a="1"/>
  <c r="AP115" i="16" s="1"/>
  <c r="AG115" i="16" a="1"/>
  <c r="AG115" i="16" s="1"/>
  <c r="AH115" i="16" s="1"/>
  <c r="AO113" i="16" a="1"/>
  <c r="AO113" i="16" s="1"/>
  <c r="AP113" i="16" s="1" a="1"/>
  <c r="AP113" i="16" s="1"/>
  <c r="AG113" i="16" a="1"/>
  <c r="AG113" i="16" s="1"/>
  <c r="AH113" i="16" s="1"/>
  <c r="AO248" i="16" a="1"/>
  <c r="AO248" i="16" s="1"/>
  <c r="AP248" i="16" s="1" a="1"/>
  <c r="AP248" i="16" s="1"/>
  <c r="AG248" i="16" a="1"/>
  <c r="AG248" i="16" s="1"/>
  <c r="AH248" i="16" s="1"/>
  <c r="AO197" i="16" a="1"/>
  <c r="AO197" i="16" s="1"/>
  <c r="AP197" i="16" s="1" a="1"/>
  <c r="AP197" i="16" s="1"/>
  <c r="AG197" i="16" a="1"/>
  <c r="AG197" i="16" s="1"/>
  <c r="AH197" i="16" s="1"/>
  <c r="AO288" i="16" a="1"/>
  <c r="AO288" i="16" s="1"/>
  <c r="AP288" i="16" s="1" a="1"/>
  <c r="AP288" i="16" s="1"/>
  <c r="AG288" i="16" a="1"/>
  <c r="AG288" i="16" s="1"/>
  <c r="AH288" i="16" s="1"/>
  <c r="AO280" i="16" a="1"/>
  <c r="AO280" i="16" s="1"/>
  <c r="AP280" i="16" s="1" a="1"/>
  <c r="AP280" i="16" s="1"/>
  <c r="AG280" i="16" a="1"/>
  <c r="AG280" i="16" s="1"/>
  <c r="AH280" i="16" s="1"/>
  <c r="AO133" i="16" a="1"/>
  <c r="AO133" i="16" s="1"/>
  <c r="AP133" i="16" s="1" a="1"/>
  <c r="AP133" i="16" s="1"/>
  <c r="AG133" i="16" a="1"/>
  <c r="AG133" i="16" s="1"/>
  <c r="AH133" i="16" s="1"/>
  <c r="AO313" i="16" a="1"/>
  <c r="AO313" i="16" s="1"/>
  <c r="AP313" i="16" s="1" a="1"/>
  <c r="AP313" i="16" s="1"/>
  <c r="AG313" i="16" a="1"/>
  <c r="AG313" i="16" s="1"/>
  <c r="AH313" i="16" s="1"/>
  <c r="AO104" i="16" a="1"/>
  <c r="AO104" i="16" s="1"/>
  <c r="AP104" i="16" s="1" a="1"/>
  <c r="AP104" i="16" s="1"/>
  <c r="AG104" i="16" a="1"/>
  <c r="AG104" i="16" s="1"/>
  <c r="AH104" i="16" s="1"/>
  <c r="AO311" i="16" a="1"/>
  <c r="AO311" i="16" s="1"/>
  <c r="AP311" i="16" s="1" a="1"/>
  <c r="AP311" i="16" s="1"/>
  <c r="AG311" i="16" a="1"/>
  <c r="AG311" i="16" s="1"/>
  <c r="AH311" i="16" s="1"/>
  <c r="AO93" i="16" a="1"/>
  <c r="AO93" i="16" s="1"/>
  <c r="AP93" i="16" s="1" a="1"/>
  <c r="AP93" i="16" s="1"/>
  <c r="AG93" i="16" a="1"/>
  <c r="AG93" i="16" s="1"/>
  <c r="AH93" i="16" s="1"/>
  <c r="AO64" i="16" a="1"/>
  <c r="AO64" i="16" s="1"/>
  <c r="AP64" i="16" s="1" a="1"/>
  <c r="AP64" i="16" s="1"/>
  <c r="AG64" i="16" a="1"/>
  <c r="AG64" i="16" s="1"/>
  <c r="AH64" i="16" s="1"/>
  <c r="AQ7" i="18"/>
  <c r="AQ31" i="18"/>
  <c r="AQ45" i="18"/>
  <c r="AQ58" i="18"/>
  <c r="AQ66" i="18"/>
  <c r="AQ105" i="18"/>
  <c r="AQ110" i="18"/>
  <c r="AQ151" i="18"/>
  <c r="AQ116" i="18"/>
  <c r="AQ172" i="18"/>
  <c r="AQ206" i="18"/>
  <c r="AQ193" i="18"/>
  <c r="AQ210" i="18"/>
  <c r="AQ239" i="18"/>
  <c r="AQ242" i="18"/>
  <c r="AQ262" i="18"/>
  <c r="AQ278" i="18"/>
  <c r="AQ300" i="18"/>
  <c r="AQ299" i="18"/>
  <c r="AQ316" i="18"/>
  <c r="AO136" i="16" a="1"/>
  <c r="AO136" i="16" s="1"/>
  <c r="AP136" i="16" s="1" a="1"/>
  <c r="AP136" i="16" s="1"/>
  <c r="AG136" i="16" a="1"/>
  <c r="AG136" i="16" s="1"/>
  <c r="AH136" i="16" s="1"/>
  <c r="AQ268" i="18"/>
  <c r="AO216" i="16" a="1"/>
  <c r="AO216" i="16" s="1"/>
  <c r="AP216" i="16" s="1" a="1"/>
  <c r="AP216" i="16" s="1"/>
  <c r="AG216" i="16" a="1"/>
  <c r="AG216" i="16" s="1"/>
  <c r="AH216" i="16" s="1"/>
  <c r="AO281" i="16" a="1"/>
  <c r="AO281" i="16" s="1"/>
  <c r="AP281" i="16" s="1" a="1"/>
  <c r="AP281" i="16" s="1"/>
  <c r="AG281" i="16" a="1"/>
  <c r="AG281" i="16" s="1"/>
  <c r="AH281" i="16" s="1"/>
  <c r="AO322" i="16" a="1"/>
  <c r="AO322" i="16" s="1"/>
  <c r="AP322" i="16" s="1" a="1"/>
  <c r="AP322" i="16" s="1"/>
  <c r="AG322" i="16" a="1"/>
  <c r="AG322" i="16" s="1"/>
  <c r="AH322" i="16" s="1"/>
  <c r="AO97" i="16" a="1"/>
  <c r="AO97" i="16" s="1"/>
  <c r="AP97" i="16" s="1" a="1"/>
  <c r="AP97" i="16" s="1"/>
  <c r="AG97" i="16" a="1"/>
  <c r="AG97" i="16" s="1"/>
  <c r="AH97" i="16" s="1"/>
  <c r="AO82" i="16" a="1"/>
  <c r="AO82" i="16" s="1"/>
  <c r="AP82" i="16" s="1" a="1"/>
  <c r="AP82" i="16" s="1"/>
  <c r="AG82" i="16" a="1"/>
  <c r="AG82" i="16" s="1"/>
  <c r="AH82" i="16" s="1"/>
  <c r="AO300" i="16" a="1"/>
  <c r="AO300" i="16" s="1"/>
  <c r="AP300" i="16" s="1" a="1"/>
  <c r="AP300" i="16" s="1"/>
  <c r="AG300" i="16" a="1"/>
  <c r="AG300" i="16" s="1"/>
  <c r="AH300" i="16" s="1"/>
  <c r="AO153" i="16" a="1"/>
  <c r="AO153" i="16" s="1"/>
  <c r="AP153" i="16" s="1" a="1"/>
  <c r="AP153" i="16" s="1"/>
  <c r="AG153" i="16" a="1"/>
  <c r="AG153" i="16" s="1"/>
  <c r="AH153" i="16" s="1"/>
  <c r="AO222" i="16" a="1"/>
  <c r="AO222" i="16" s="1"/>
  <c r="AP222" i="16" s="1" a="1"/>
  <c r="AP222" i="16" s="1"/>
  <c r="AG222" i="16" a="1"/>
  <c r="AG222" i="16" s="1"/>
  <c r="AH222" i="16" s="1"/>
  <c r="AO271" i="16" a="1"/>
  <c r="AO271" i="16" s="1"/>
  <c r="AP271" i="16" s="1" a="1"/>
  <c r="AP271" i="16" s="1"/>
  <c r="AG271" i="16" a="1"/>
  <c r="AG271" i="16" s="1"/>
  <c r="AH271" i="16" s="1"/>
  <c r="AO301" i="16" a="1"/>
  <c r="AO301" i="16" s="1"/>
  <c r="AP301" i="16" s="1" a="1"/>
  <c r="AP301" i="16" s="1"/>
  <c r="AG301" i="16" a="1"/>
  <c r="AG301" i="16" s="1"/>
  <c r="AH301" i="16" s="1"/>
  <c r="AO142" i="16" a="1"/>
  <c r="AO142" i="16" s="1"/>
  <c r="AP142" i="16" s="1" a="1"/>
  <c r="AP142" i="16" s="1"/>
  <c r="AG142" i="16" a="1"/>
  <c r="AG142" i="16" s="1"/>
  <c r="AH142" i="16" s="1"/>
  <c r="AO318" i="16" a="1"/>
  <c r="AO318" i="16" s="1"/>
  <c r="AP318" i="16" s="1" a="1"/>
  <c r="AP318" i="16" s="1"/>
  <c r="AG318" i="16" a="1"/>
  <c r="AG318" i="16" s="1"/>
  <c r="AH318" i="16" s="1"/>
  <c r="AO152" i="16" a="1"/>
  <c r="AO152" i="16" s="1"/>
  <c r="AP152" i="16" s="1" a="1"/>
  <c r="AP152" i="16" s="1"/>
  <c r="AG152" i="16" a="1"/>
  <c r="AG152" i="16" s="1"/>
  <c r="AH152" i="16" s="1"/>
  <c r="AO69" i="16" a="1"/>
  <c r="AO69" i="16" s="1"/>
  <c r="AP69" i="16" s="1" a="1"/>
  <c r="AP69" i="16" s="1"/>
  <c r="AG69" i="16" a="1"/>
  <c r="AG69" i="16" s="1"/>
  <c r="AH69" i="16" s="1"/>
  <c r="AO79" i="16" a="1"/>
  <c r="AO79" i="16" s="1"/>
  <c r="AP79" i="16" s="1" a="1"/>
  <c r="AP79" i="16" s="1"/>
  <c r="AG79" i="16" a="1"/>
  <c r="AG79" i="16" s="1"/>
  <c r="AH79" i="16" s="1"/>
  <c r="AO204" i="16" a="1"/>
  <c r="AO204" i="16" s="1"/>
  <c r="AP204" i="16" s="1" a="1"/>
  <c r="AP204" i="16" s="1"/>
  <c r="AG204" i="16" a="1"/>
  <c r="AG204" i="16" s="1"/>
  <c r="AH204" i="16" s="1"/>
  <c r="AO103" i="16" a="1"/>
  <c r="AO103" i="16" s="1"/>
  <c r="AP103" i="16" s="1" a="1"/>
  <c r="AP103" i="16" s="1"/>
  <c r="AG103" i="16" a="1"/>
  <c r="AG103" i="16" s="1"/>
  <c r="AH103" i="16" s="1"/>
  <c r="AQ23" i="18"/>
  <c r="AQ38" i="18"/>
  <c r="AQ29" i="18"/>
  <c r="AQ76" i="18"/>
  <c r="AQ74" i="18"/>
  <c r="AQ69" i="18"/>
  <c r="AQ108" i="18"/>
  <c r="AQ131" i="18"/>
  <c r="AQ154" i="18"/>
  <c r="AQ132" i="18"/>
  <c r="AQ145" i="18"/>
  <c r="AQ190" i="18"/>
  <c r="AQ195" i="18"/>
  <c r="AQ204" i="18"/>
  <c r="AQ243" i="18"/>
  <c r="AQ249" i="18"/>
  <c r="AQ261" i="18"/>
  <c r="AQ273" i="18"/>
  <c r="AQ311" i="18"/>
  <c r="AQ301" i="18"/>
  <c r="AQ310" i="18"/>
  <c r="AO198" i="16" a="1"/>
  <c r="AO198" i="16" s="1"/>
  <c r="AP198" i="16" s="1" a="1"/>
  <c r="AP198" i="16" s="1"/>
  <c r="AG198" i="16" a="1"/>
  <c r="AG198" i="16" s="1"/>
  <c r="AH198" i="16" s="1"/>
  <c r="AQ183" i="18"/>
  <c r="AO183" i="16" a="1"/>
  <c r="AO183" i="16" s="1"/>
  <c r="AP183" i="16" s="1" a="1"/>
  <c r="AP183" i="16" s="1"/>
  <c r="AG183" i="16" a="1"/>
  <c r="AG183" i="16" s="1"/>
  <c r="AH183" i="16" s="1"/>
  <c r="AO121" i="16" a="1"/>
  <c r="AO121" i="16" s="1"/>
  <c r="AP121" i="16" s="1" a="1"/>
  <c r="AP121" i="16" s="1"/>
  <c r="AG121" i="16" a="1"/>
  <c r="AG121" i="16" s="1"/>
  <c r="AH121" i="16" s="1"/>
  <c r="AO213" i="16" a="1"/>
  <c r="AO213" i="16" s="1"/>
  <c r="AP213" i="16" s="1" a="1"/>
  <c r="AP213" i="16" s="1"/>
  <c r="AG213" i="16" a="1"/>
  <c r="AG213" i="16" s="1"/>
  <c r="AH213" i="16" s="1"/>
  <c r="AO270" i="16" a="1"/>
  <c r="AO270" i="16" s="1"/>
  <c r="AP270" i="16" s="1" a="1"/>
  <c r="AP270" i="16" s="1"/>
  <c r="AG270" i="16" a="1"/>
  <c r="AG270" i="16" s="1"/>
  <c r="AH270" i="16" s="1"/>
  <c r="AO177" i="16" a="1"/>
  <c r="AO177" i="16" s="1"/>
  <c r="AP177" i="16" s="1" a="1"/>
  <c r="AP177" i="16" s="1"/>
  <c r="AG177" i="16" a="1"/>
  <c r="AG177" i="16" s="1"/>
  <c r="AH177" i="16" s="1"/>
  <c r="AO228" i="16" a="1"/>
  <c r="AO228" i="16" s="1"/>
  <c r="AP228" i="16" s="1" a="1"/>
  <c r="AP228" i="16" s="1"/>
  <c r="AG228" i="16" a="1"/>
  <c r="AG228" i="16" s="1"/>
  <c r="AH228" i="16" s="1"/>
  <c r="AO320" i="16" a="1"/>
  <c r="AO320" i="16" s="1"/>
  <c r="AP320" i="16" s="1" a="1"/>
  <c r="AP320" i="16" s="1"/>
  <c r="AG320" i="16" a="1"/>
  <c r="AG320" i="16" s="1"/>
  <c r="AH320" i="16" s="1"/>
  <c r="AO196" i="16" a="1"/>
  <c r="AO196" i="16" s="1"/>
  <c r="AP196" i="16" s="1" a="1"/>
  <c r="AP196" i="16" s="1"/>
  <c r="AG196" i="16" a="1"/>
  <c r="AG196" i="16" s="1"/>
  <c r="AH196" i="16" s="1"/>
  <c r="AO251" i="16" a="1"/>
  <c r="AO251" i="16" s="1"/>
  <c r="AP251" i="16" s="1" a="1"/>
  <c r="AP251" i="16" s="1"/>
  <c r="AG251" i="16" a="1"/>
  <c r="AG251" i="16" s="1"/>
  <c r="AH251" i="16" s="1"/>
  <c r="AO185" i="16" a="1"/>
  <c r="AO185" i="16" s="1"/>
  <c r="AP185" i="16" s="1" a="1"/>
  <c r="AP185" i="16" s="1"/>
  <c r="AG185" i="16" a="1"/>
  <c r="AG185" i="16" s="1"/>
  <c r="AH185" i="16" s="1"/>
  <c r="AO256" i="16" a="1"/>
  <c r="AO256" i="16" s="1"/>
  <c r="AP256" i="16" s="1" a="1"/>
  <c r="AP256" i="16" s="1"/>
  <c r="AG256" i="16" a="1"/>
  <c r="AG256" i="16" s="1"/>
  <c r="AH256" i="16" s="1"/>
  <c r="AO67" i="16" a="1"/>
  <c r="AO67" i="16" s="1"/>
  <c r="AP67" i="16" s="1" a="1"/>
  <c r="AP67" i="16" s="1"/>
  <c r="AG67" i="16" a="1"/>
  <c r="AG67" i="16" s="1"/>
  <c r="AH67" i="16" s="1"/>
  <c r="AO249" i="16" a="1"/>
  <c r="AO249" i="16" s="1"/>
  <c r="AP249" i="16" s="1" a="1"/>
  <c r="AP249" i="16" s="1"/>
  <c r="AG249" i="16" a="1"/>
  <c r="AG249" i="16" s="1"/>
  <c r="AH249" i="16" s="1"/>
  <c r="AO57" i="16" a="1"/>
  <c r="AO57" i="16" s="1"/>
  <c r="AP57" i="16" s="1" a="1"/>
  <c r="AP57" i="16" s="1"/>
  <c r="AG57" i="16" a="1"/>
  <c r="AG57" i="16" s="1"/>
  <c r="AH57" i="16" s="1"/>
  <c r="AO162" i="16" a="1"/>
  <c r="AO162" i="16" s="1"/>
  <c r="AP162" i="16" s="1" a="1"/>
  <c r="AP162" i="16" s="1"/>
  <c r="AG162" i="16" a="1"/>
  <c r="AG162" i="16" s="1"/>
  <c r="AH162" i="16" s="1"/>
  <c r="AO40" i="16" a="1"/>
  <c r="AO40" i="16" s="1"/>
  <c r="AP40" i="16" s="1" a="1"/>
  <c r="AP40" i="16" s="1"/>
  <c r="AG40" i="16" a="1"/>
  <c r="AG40" i="16" s="1"/>
  <c r="AH40" i="16" s="1"/>
  <c r="AO285" i="16" a="1"/>
  <c r="AO285" i="16" s="1"/>
  <c r="AP285" i="16" s="1" a="1"/>
  <c r="AP285" i="16" s="1"/>
  <c r="AG285" i="16" a="1"/>
  <c r="AG285" i="16" s="1"/>
  <c r="AH285" i="16" s="1"/>
  <c r="AO145" i="16" a="1"/>
  <c r="AO145" i="16" s="1"/>
  <c r="AP145" i="16" s="1" a="1"/>
  <c r="AP145" i="16" s="1"/>
  <c r="AG145" i="16" a="1"/>
  <c r="AG145" i="16" s="1"/>
  <c r="AH145" i="16" s="1"/>
  <c r="AQ16" i="18"/>
  <c r="AQ30" i="18"/>
  <c r="AQ33" i="18"/>
  <c r="AQ78" i="18"/>
  <c r="AQ81" i="18"/>
  <c r="AQ84" i="18"/>
  <c r="AQ136" i="18"/>
  <c r="AQ137" i="18"/>
  <c r="AQ174" i="18"/>
  <c r="AQ157" i="18"/>
  <c r="AQ161" i="18"/>
  <c r="AQ192" i="18"/>
  <c r="AQ207" i="18"/>
  <c r="AQ229" i="18"/>
  <c r="AQ231" i="18"/>
  <c r="AQ250" i="18"/>
  <c r="AQ254" i="18"/>
  <c r="AQ287" i="18"/>
  <c r="AQ306" i="18"/>
  <c r="AQ318" i="18"/>
  <c r="AQ313" i="18"/>
  <c r="AO246" i="16" a="1"/>
  <c r="AO246" i="16" s="1"/>
  <c r="AP246" i="16" s="1" a="1"/>
  <c r="AP246" i="16" s="1"/>
  <c r="AG246" i="16" a="1"/>
  <c r="AG246" i="16" s="1"/>
  <c r="AH246" i="16" s="1"/>
  <c r="AO189" i="16" a="1"/>
  <c r="AO189" i="16" s="1"/>
  <c r="AP189" i="16" s="1" a="1"/>
  <c r="AP189" i="16" s="1"/>
  <c r="AG189" i="16" a="1"/>
  <c r="AG189" i="16" s="1"/>
  <c r="AH189" i="16" s="1"/>
  <c r="AQ282" i="18"/>
  <c r="AO202" i="16" a="1"/>
  <c r="AO202" i="16" s="1"/>
  <c r="AP202" i="16" s="1" a="1"/>
  <c r="AP202" i="16" s="1"/>
  <c r="AG202" i="16" a="1"/>
  <c r="AG202" i="16" s="1"/>
  <c r="AH202" i="16" s="1"/>
  <c r="AO59" i="16" a="1"/>
  <c r="AO59" i="16" s="1"/>
  <c r="AP59" i="16" s="1" a="1"/>
  <c r="AP59" i="16" s="1"/>
  <c r="AG59" i="16" a="1"/>
  <c r="AG59" i="16" s="1"/>
  <c r="AH59" i="16" s="1"/>
  <c r="AO290" i="16" a="1"/>
  <c r="AO290" i="16" s="1"/>
  <c r="AP290" i="16" s="1" a="1"/>
  <c r="AP290" i="16" s="1"/>
  <c r="AG290" i="16" a="1"/>
  <c r="AG290" i="16" s="1"/>
  <c r="AH290" i="16" s="1"/>
  <c r="AO187" i="16" a="1"/>
  <c r="AO187" i="16" s="1"/>
  <c r="AP187" i="16" s="1" a="1"/>
  <c r="AP187" i="16" s="1"/>
  <c r="AG187" i="16" a="1"/>
  <c r="AG187" i="16" s="1"/>
  <c r="AH187" i="16" s="1"/>
  <c r="AO302" i="16" a="1"/>
  <c r="AO302" i="16" s="1"/>
  <c r="AP302" i="16" s="1" a="1"/>
  <c r="AP302" i="16" s="1"/>
  <c r="AG302" i="16" a="1"/>
  <c r="AG302" i="16" s="1"/>
  <c r="AH302" i="16" s="1"/>
  <c r="AO188" i="16" a="1"/>
  <c r="AO188" i="16" s="1"/>
  <c r="AP188" i="16" s="1" a="1"/>
  <c r="AP188" i="16" s="1"/>
  <c r="AG188" i="16" a="1"/>
  <c r="AG188" i="16" s="1"/>
  <c r="AH188" i="16" s="1"/>
  <c r="AO159" i="16" a="1"/>
  <c r="AO159" i="16" s="1"/>
  <c r="AP159" i="16" s="1" a="1"/>
  <c r="AP159" i="16" s="1"/>
  <c r="AG159" i="16" a="1"/>
  <c r="AG159" i="16" s="1"/>
  <c r="AH159" i="16" s="1"/>
  <c r="AO62" i="16" a="1"/>
  <c r="AO62" i="16" s="1"/>
  <c r="AP62" i="16" s="1" a="1"/>
  <c r="AP62" i="16" s="1"/>
  <c r="AG62" i="16" a="1"/>
  <c r="AG62" i="16" s="1"/>
  <c r="AH62" i="16" s="1"/>
  <c r="AO70" i="16" a="1"/>
  <c r="AO70" i="16" s="1"/>
  <c r="AP70" i="16" s="1" a="1"/>
  <c r="AP70" i="16" s="1"/>
  <c r="AG70" i="16" a="1"/>
  <c r="AG70" i="16" s="1"/>
  <c r="AH70" i="16" s="1"/>
  <c r="AO47" i="16" a="1"/>
  <c r="AO47" i="16" s="1"/>
  <c r="AP47" i="16" s="1" a="1"/>
  <c r="AP47" i="16" s="1"/>
  <c r="AG47" i="16" a="1"/>
  <c r="AG47" i="16" s="1"/>
  <c r="AH47" i="16" s="1"/>
  <c r="AO51" i="16" a="1"/>
  <c r="AO51" i="16" s="1"/>
  <c r="AP51" i="16" s="1" a="1"/>
  <c r="AP51" i="16" s="1"/>
  <c r="AG51" i="16" a="1"/>
  <c r="AG51" i="16" s="1"/>
  <c r="AH51" i="16" s="1"/>
  <c r="AO170" i="16" a="1"/>
  <c r="AO170" i="16" s="1"/>
  <c r="AP170" i="16" s="1" a="1"/>
  <c r="AP170" i="16" s="1"/>
  <c r="AG170" i="16" a="1"/>
  <c r="AG170" i="16" s="1"/>
  <c r="AH170" i="16" s="1"/>
  <c r="AO211" i="16" a="1"/>
  <c r="AO211" i="16" s="1"/>
  <c r="AP211" i="16" s="1" a="1"/>
  <c r="AP211" i="16" s="1"/>
  <c r="AG211" i="16" a="1"/>
  <c r="AG211" i="16" s="1"/>
  <c r="AH211" i="16" s="1"/>
  <c r="AO312" i="16" a="1"/>
  <c r="AO312" i="16" s="1"/>
  <c r="AP312" i="16" s="1" a="1"/>
  <c r="AP312" i="16" s="1"/>
  <c r="AG312" i="16" a="1"/>
  <c r="AG312" i="16" s="1"/>
  <c r="AH312" i="16" s="1"/>
  <c r="AO194" i="16" a="1"/>
  <c r="AO194" i="16" s="1"/>
  <c r="AP194" i="16" s="1" a="1"/>
  <c r="AP194" i="16" s="1"/>
  <c r="AG194" i="16" a="1"/>
  <c r="AG194" i="16" s="1"/>
  <c r="AH194" i="16" s="1"/>
  <c r="AO235" i="16" a="1"/>
  <c r="AO235" i="16" s="1"/>
  <c r="AP235" i="16" s="1" a="1"/>
  <c r="AP235" i="16" s="1"/>
  <c r="AG235" i="16" a="1"/>
  <c r="AG235" i="16" s="1"/>
  <c r="AH235" i="16" s="1"/>
  <c r="AO109" i="16" a="1"/>
  <c r="AO109" i="16" s="1"/>
  <c r="AP109" i="16" s="1" a="1"/>
  <c r="AP109" i="16" s="1"/>
  <c r="AG109" i="16" a="1"/>
  <c r="AG109" i="16" s="1"/>
  <c r="AH109" i="16" s="1"/>
  <c r="AO107" i="16" a="1"/>
  <c r="AO107" i="16" s="1"/>
  <c r="AP107" i="16" s="1" a="1"/>
  <c r="AP107" i="16" s="1"/>
  <c r="AG107" i="16" a="1"/>
  <c r="AG107" i="16" s="1"/>
  <c r="AH107" i="16" s="1"/>
  <c r="AQ20" i="18"/>
  <c r="AQ18" i="18"/>
  <c r="AQ48" i="18"/>
  <c r="AQ43" i="18"/>
  <c r="AQ107" i="18"/>
  <c r="AQ96" i="18"/>
  <c r="AQ146" i="18"/>
  <c r="AQ121" i="18"/>
  <c r="AQ127" i="18"/>
  <c r="AQ135" i="18"/>
  <c r="AQ164" i="18"/>
  <c r="AQ199" i="18"/>
  <c r="AQ226" i="18"/>
  <c r="AQ240" i="18"/>
  <c r="AQ258" i="18"/>
  <c r="AQ245" i="18"/>
  <c r="AQ259" i="18"/>
  <c r="AQ289" i="18"/>
  <c r="AQ309" i="18"/>
  <c r="AQ321" i="18"/>
  <c r="AO94" i="16" a="1"/>
  <c r="AO94" i="16" s="1"/>
  <c r="AP94" i="16" s="1" a="1"/>
  <c r="AP94" i="16" s="1"/>
  <c r="AG94" i="16" a="1"/>
  <c r="AG94" i="16" s="1"/>
  <c r="AH94" i="16" s="1"/>
  <c r="AQ156" i="18"/>
  <c r="AO241" i="16" a="1"/>
  <c r="AO241" i="16" s="1"/>
  <c r="AP241" i="16" s="1" a="1"/>
  <c r="AP241" i="16" s="1"/>
  <c r="AG241" i="16" a="1"/>
  <c r="AG241" i="16" s="1"/>
  <c r="AH241" i="16" s="1"/>
  <c r="AO88" i="16" a="1"/>
  <c r="AO88" i="16" s="1"/>
  <c r="AP88" i="16" s="1" a="1"/>
  <c r="AP88" i="16" s="1"/>
  <c r="AG88" i="16" a="1"/>
  <c r="AG88" i="16" s="1"/>
  <c r="AH88" i="16" s="1"/>
  <c r="AO277" i="16" a="1"/>
  <c r="AO277" i="16" s="1"/>
  <c r="AP277" i="16" s="1" a="1"/>
  <c r="AP277" i="16" s="1"/>
  <c r="AG277" i="16" a="1"/>
  <c r="AG277" i="16" s="1"/>
  <c r="AH277" i="16" s="1"/>
  <c r="AO212" i="16" a="1"/>
  <c r="AO212" i="16" s="1"/>
  <c r="AP212" i="16" s="1" a="1"/>
  <c r="AP212" i="16" s="1"/>
  <c r="AG212" i="16" a="1"/>
  <c r="AG212" i="16" s="1"/>
  <c r="AH212" i="16" s="1"/>
  <c r="AO147" i="16" a="1"/>
  <c r="AO147" i="16" s="1"/>
  <c r="AP147" i="16" s="1" a="1"/>
  <c r="AP147" i="16" s="1"/>
  <c r="AG147" i="16" a="1"/>
  <c r="AG147" i="16" s="1"/>
  <c r="AH147" i="16" s="1"/>
  <c r="AO96" i="16" a="1"/>
  <c r="AO96" i="16" s="1"/>
  <c r="AP96" i="16" s="1" a="1"/>
  <c r="AP96" i="16" s="1"/>
  <c r="AG96" i="16" a="1"/>
  <c r="AG96" i="16" s="1"/>
  <c r="AH96" i="16" s="1"/>
  <c r="AO134" i="16" a="1"/>
  <c r="AO134" i="16" s="1"/>
  <c r="AP134" i="16" s="1" a="1"/>
  <c r="AP134" i="16" s="1"/>
  <c r="AG134" i="16" a="1"/>
  <c r="AG134" i="16" s="1"/>
  <c r="AH134" i="16" s="1"/>
  <c r="AO125" i="16" a="1"/>
  <c r="AO125" i="16" s="1"/>
  <c r="AP125" i="16" s="1" a="1"/>
  <c r="AP125" i="16" s="1"/>
  <c r="AG125" i="16" a="1"/>
  <c r="AG125" i="16" s="1"/>
  <c r="AH125" i="16" s="1"/>
  <c r="AO95" i="16" a="1"/>
  <c r="AO95" i="16" s="1"/>
  <c r="AP95" i="16" s="1" a="1"/>
  <c r="AP95" i="16" s="1"/>
  <c r="AG95" i="16" a="1"/>
  <c r="AG95" i="16" s="1"/>
  <c r="AH95" i="16" s="1"/>
  <c r="AO294" i="16" a="1"/>
  <c r="AO294" i="16" s="1"/>
  <c r="AP294" i="16" s="1" a="1"/>
  <c r="AP294" i="16" s="1"/>
  <c r="AG294" i="16" a="1"/>
  <c r="AG294" i="16" s="1"/>
  <c r="AH294" i="16" s="1"/>
  <c r="AO218" i="16" a="1"/>
  <c r="AO218" i="16" s="1"/>
  <c r="AP218" i="16" s="1" a="1"/>
  <c r="AP218" i="16" s="1"/>
  <c r="AG218" i="16" a="1"/>
  <c r="AG218" i="16" s="1"/>
  <c r="AH218" i="16" s="1"/>
  <c r="AO292" i="16" a="1"/>
  <c r="AO292" i="16" s="1"/>
  <c r="AP292" i="16" s="1" a="1"/>
  <c r="AP292" i="16" s="1"/>
  <c r="AG292" i="16" a="1"/>
  <c r="AG292" i="16" s="1"/>
  <c r="AH292" i="16" s="1"/>
  <c r="AO53" i="16" a="1"/>
  <c r="AO53" i="16" s="1"/>
  <c r="AP53" i="16" s="1" a="1"/>
  <c r="AP53" i="16" s="1"/>
  <c r="AG53" i="16" a="1"/>
  <c r="AG53" i="16" s="1"/>
  <c r="AH53" i="16" s="1"/>
  <c r="AO219" i="16" a="1"/>
  <c r="AO219" i="16" s="1"/>
  <c r="AP219" i="16" s="1" a="1"/>
  <c r="AP219" i="16" s="1"/>
  <c r="AG219" i="16" a="1"/>
  <c r="AG219" i="16" s="1"/>
  <c r="AH219" i="16" s="1"/>
  <c r="AO193" i="16" a="1"/>
  <c r="AO193" i="16" s="1"/>
  <c r="AP193" i="16" s="1" a="1"/>
  <c r="AP193" i="16" s="1"/>
  <c r="AG193" i="16" a="1"/>
  <c r="AG193" i="16" s="1"/>
  <c r="AH193" i="16" s="1"/>
  <c r="AO221" i="16" a="1"/>
  <c r="AO221" i="16" s="1"/>
  <c r="AP221" i="16" s="1" a="1"/>
  <c r="AP221" i="16" s="1"/>
  <c r="AG221" i="16" a="1"/>
  <c r="AG221" i="16" s="1"/>
  <c r="AH221" i="16" s="1"/>
  <c r="AO166" i="16" a="1"/>
  <c r="AO166" i="16" s="1"/>
  <c r="AP166" i="16" s="1" a="1"/>
  <c r="AP166" i="16" s="1"/>
  <c r="AG166" i="16" a="1"/>
  <c r="AG166" i="16" s="1"/>
  <c r="AH166" i="16" s="1"/>
  <c r="AO229" i="16" a="1"/>
  <c r="AO229" i="16" s="1"/>
  <c r="AP229" i="16" s="1" a="1"/>
  <c r="AP229" i="16" s="1"/>
  <c r="AG229" i="16" a="1"/>
  <c r="AG229" i="16" s="1"/>
  <c r="AH229" i="16" s="1"/>
  <c r="AQ10" i="18"/>
  <c r="AQ25" i="18"/>
  <c r="AQ56" i="18"/>
  <c r="AQ61" i="18"/>
  <c r="AQ75" i="18"/>
  <c r="AQ95" i="18"/>
  <c r="AQ122" i="18"/>
  <c r="AQ143" i="18"/>
  <c r="AQ153" i="18"/>
  <c r="AQ168" i="18"/>
  <c r="AQ184" i="18"/>
  <c r="AQ212" i="18"/>
  <c r="AQ215" i="18"/>
  <c r="AQ227" i="18"/>
  <c r="AQ238" i="18"/>
  <c r="AQ270" i="18"/>
  <c r="AQ294" i="18"/>
  <c r="AQ298" i="18"/>
  <c r="AQ312" i="18"/>
  <c r="AO305" i="16" a="1"/>
  <c r="AO305" i="16" s="1"/>
  <c r="AP305" i="16" s="1" a="1"/>
  <c r="AP305" i="16" s="1"/>
  <c r="AG305" i="16" a="1"/>
  <c r="AG305" i="16" s="1"/>
  <c r="AH305" i="16" s="1"/>
  <c r="AQ169" i="18"/>
  <c r="AO215" i="16" a="1"/>
  <c r="AO215" i="16" s="1"/>
  <c r="AP215" i="16" s="1" a="1"/>
  <c r="AP215" i="16" s="1"/>
  <c r="AG215" i="16" a="1"/>
  <c r="AG215" i="16" s="1"/>
  <c r="AH215" i="16" s="1"/>
  <c r="AO169" i="16" a="1"/>
  <c r="AO169" i="16" s="1"/>
  <c r="AP169" i="16" s="1" a="1"/>
  <c r="AP169" i="16" s="1"/>
  <c r="AG169" i="16" a="1"/>
  <c r="AG169" i="16" s="1"/>
  <c r="AH169" i="16" s="1"/>
  <c r="AO323" i="16" a="1"/>
  <c r="AO323" i="16" s="1"/>
  <c r="AP323" i="16" s="1" a="1"/>
  <c r="AP323" i="16" s="1"/>
  <c r="AG323" i="16" a="1"/>
  <c r="AG323" i="16" s="1"/>
  <c r="AH323" i="16" s="1"/>
  <c r="AO223" i="16" a="1"/>
  <c r="AO223" i="16" s="1"/>
  <c r="AP223" i="16" s="1" a="1"/>
  <c r="AP223" i="16" s="1"/>
  <c r="AG223" i="16" a="1"/>
  <c r="AG223" i="16" s="1"/>
  <c r="AH223" i="16" s="1"/>
  <c r="AO155" i="16" a="1"/>
  <c r="AO155" i="16" s="1"/>
  <c r="AP155" i="16" s="1" a="1"/>
  <c r="AP155" i="16" s="1"/>
  <c r="AG155" i="16" a="1"/>
  <c r="AG155" i="16" s="1"/>
  <c r="AH155" i="16" s="1"/>
  <c r="AO176" i="16" a="1"/>
  <c r="AO176" i="16" s="1"/>
  <c r="AP176" i="16" s="1" a="1"/>
  <c r="AP176" i="16" s="1"/>
  <c r="AG176" i="16" a="1"/>
  <c r="AG176" i="16" s="1"/>
  <c r="AH176" i="16" s="1"/>
  <c r="AO76" i="16" a="1"/>
  <c r="AO76" i="16" s="1"/>
  <c r="AP76" i="16" s="1" a="1"/>
  <c r="AP76" i="16" s="1"/>
  <c r="AG76" i="16" a="1"/>
  <c r="AG76" i="16" s="1"/>
  <c r="AH76" i="16" s="1"/>
  <c r="AO263" i="16" a="1"/>
  <c r="AO263" i="16" s="1"/>
  <c r="AP263" i="16" s="1" a="1"/>
  <c r="AP263" i="16" s="1"/>
  <c r="AG263" i="16" a="1"/>
  <c r="AG263" i="16" s="1"/>
  <c r="AH263" i="16" s="1"/>
  <c r="AO175" i="16" a="1"/>
  <c r="AO175" i="16" s="1"/>
  <c r="AP175" i="16" s="1" a="1"/>
  <c r="AP175" i="16" s="1"/>
  <c r="AG175" i="16" a="1"/>
  <c r="AG175" i="16" s="1"/>
  <c r="AH175" i="16" s="1"/>
  <c r="AO274" i="16" a="1"/>
  <c r="AO274" i="16" s="1"/>
  <c r="AP274" i="16" s="1" a="1"/>
  <c r="AP274" i="16" s="1"/>
  <c r="AG274" i="16" a="1"/>
  <c r="AG274" i="16" s="1"/>
  <c r="AH274" i="16" s="1"/>
  <c r="AO208" i="16" a="1"/>
  <c r="AO208" i="16" s="1"/>
  <c r="AP208" i="16" s="1" a="1"/>
  <c r="AP208" i="16" s="1"/>
  <c r="AG208" i="16" a="1"/>
  <c r="AG208" i="16" s="1"/>
  <c r="AH208" i="16" s="1"/>
  <c r="AO295" i="16" a="1"/>
  <c r="AO295" i="16" s="1"/>
  <c r="AP295" i="16" s="1" a="1"/>
  <c r="AP295" i="16" s="1"/>
  <c r="AG295" i="16" a="1"/>
  <c r="AG295" i="16" s="1"/>
  <c r="AH295" i="16" s="1"/>
  <c r="AO279" i="16" a="1"/>
  <c r="AO279" i="16" s="1"/>
  <c r="AP279" i="16" s="1" a="1"/>
  <c r="AP279" i="16" s="1"/>
  <c r="AG279" i="16" a="1"/>
  <c r="AG279" i="16" s="1"/>
  <c r="AH279" i="16" s="1"/>
  <c r="AO146" i="16" a="1"/>
  <c r="AO146" i="16" s="1"/>
  <c r="AP146" i="16" s="1" a="1"/>
  <c r="AP146" i="16" s="1"/>
  <c r="AG146" i="16" a="1"/>
  <c r="AG146" i="16" s="1"/>
  <c r="AH146" i="16" s="1"/>
  <c r="AO242" i="16" a="1"/>
  <c r="AO242" i="16" s="1"/>
  <c r="AP242" i="16" s="1" a="1"/>
  <c r="AP242" i="16" s="1"/>
  <c r="AG242" i="16" a="1"/>
  <c r="AG242" i="16" s="1"/>
  <c r="AH242" i="16" s="1"/>
  <c r="AO128" i="16" a="1"/>
  <c r="AO128" i="16" s="1"/>
  <c r="AP128" i="16" s="1" a="1"/>
  <c r="AP128" i="16" s="1"/>
  <c r="AG128" i="16" a="1"/>
  <c r="AG128" i="16" s="1"/>
  <c r="AH128" i="16" s="1"/>
  <c r="AO289" i="16" a="1"/>
  <c r="AO289" i="16" s="1"/>
  <c r="AP289" i="16" s="1" a="1"/>
  <c r="AP289" i="16" s="1"/>
  <c r="AG289" i="16" a="1"/>
  <c r="AG289" i="16" s="1"/>
  <c r="AH289" i="16" s="1"/>
  <c r="AO262" i="16" a="1"/>
  <c r="AO262" i="16" s="1"/>
  <c r="AP262" i="16" s="1" a="1"/>
  <c r="AP262" i="16" s="1"/>
  <c r="AG262" i="16" a="1"/>
  <c r="AG262" i="16" s="1"/>
  <c r="AH262" i="16" s="1"/>
  <c r="AQ12" i="18"/>
  <c r="AQ9" i="18"/>
  <c r="AQ55" i="18"/>
  <c r="AQ46" i="18"/>
  <c r="AQ77" i="18"/>
  <c r="AQ83" i="18"/>
  <c r="AQ111" i="18"/>
  <c r="AQ103" i="18"/>
  <c r="AQ158" i="18"/>
  <c r="AQ125" i="18"/>
  <c r="AQ148" i="18"/>
  <c r="AQ209" i="18"/>
  <c r="AQ216" i="18"/>
  <c r="AQ217" i="18"/>
  <c r="AQ223" i="18"/>
  <c r="AQ244" i="18"/>
  <c r="AQ272" i="18"/>
  <c r="AQ285" i="18"/>
  <c r="AQ325" i="18"/>
  <c r="AG5" i="16" a="1"/>
  <c r="AG5" i="16" s="1"/>
  <c r="AH5" i="16" s="1"/>
  <c r="AG12" i="16" a="1"/>
  <c r="AG12" i="16" s="1"/>
  <c r="AH12" i="16" s="1"/>
  <c r="AG4" i="16" a="1"/>
  <c r="AG4" i="16" s="1"/>
  <c r="AH4" i="16" s="1"/>
  <c r="AG10" i="16" a="1"/>
  <c r="AG10" i="16" s="1"/>
  <c r="AH10" i="16" s="1"/>
  <c r="AG15" i="16" a="1"/>
  <c r="AG15" i="16" s="1"/>
  <c r="AH15" i="16" s="1"/>
  <c r="AG6" i="16" a="1"/>
  <c r="AG6" i="16" s="1"/>
  <c r="AH6" i="16" s="1"/>
  <c r="AG30" i="16" a="1"/>
  <c r="AG30" i="16" s="1"/>
  <c r="AH30" i="16" s="1"/>
  <c r="AG13" i="16" a="1"/>
  <c r="AG13" i="16" s="1"/>
  <c r="AH13" i="16" s="1"/>
  <c r="AG22" i="16" a="1"/>
  <c r="AG22" i="16" s="1"/>
  <c r="AH22" i="16" s="1"/>
  <c r="AG23" i="16" a="1"/>
  <c r="AG23" i="16" s="1"/>
  <c r="AH23" i="16" s="1"/>
  <c r="AG28" i="16" a="1"/>
  <c r="AG28" i="16" s="1"/>
  <c r="AH28" i="16" s="1"/>
  <c r="AG14" i="16" a="1"/>
  <c r="AG14" i="16" s="1"/>
  <c r="AH14" i="16" s="1"/>
  <c r="AO10" i="16" a="1"/>
  <c r="AO10" i="16" s="1"/>
  <c r="AP10" i="16" s="1" a="1"/>
  <c r="AP10" i="16" s="1"/>
  <c r="AO15" i="16" a="1"/>
  <c r="AO15" i="16" s="1"/>
  <c r="AP15" i="16" s="1" a="1"/>
  <c r="AP15" i="16" s="1"/>
  <c r="AO6" i="16" a="1"/>
  <c r="AO6" i="16" s="1"/>
  <c r="AP6" i="16" s="1" a="1"/>
  <c r="AP6" i="16" s="1"/>
  <c r="AO13" i="16" a="1"/>
  <c r="AO13" i="16" s="1"/>
  <c r="AP13" i="16" s="1" a="1"/>
  <c r="AP13" i="16" s="1"/>
  <c r="AO22" i="16" a="1"/>
  <c r="AO22" i="16" s="1"/>
  <c r="AP22" i="16" s="1" a="1"/>
  <c r="AP22" i="16" s="1"/>
  <c r="AO27" i="16" a="1"/>
  <c r="AO27" i="16" s="1"/>
  <c r="AP27" i="16" s="1" a="1"/>
  <c r="AP27" i="16" s="1"/>
  <c r="AO19" i="16" a="1"/>
  <c r="AO19" i="16" s="1"/>
  <c r="AP19" i="16" s="1" a="1"/>
  <c r="AP19" i="16" s="1"/>
  <c r="AO28" i="16" a="1"/>
  <c r="AO28" i="16" s="1"/>
  <c r="AP28" i="16" s="1" a="1"/>
  <c r="AP28" i="16" s="1"/>
  <c r="AO11" i="16" a="1"/>
  <c r="AO11" i="16" s="1"/>
  <c r="AP11" i="16" s="1" a="1"/>
  <c r="AP11" i="16" s="1"/>
  <c r="AO9" i="16" a="1"/>
  <c r="AO9" i="16" s="1"/>
  <c r="AP9" i="16" s="1" a="1"/>
  <c r="AP9" i="16" s="1"/>
  <c r="AO20" i="16" a="1"/>
  <c r="AO20" i="16" s="1"/>
  <c r="AP20" i="16" s="1" a="1"/>
  <c r="AP20" i="16" s="1"/>
  <c r="AO14" i="16" a="1"/>
  <c r="AO14" i="16" s="1"/>
  <c r="AP14" i="16" s="1" a="1"/>
  <c r="AP14" i="16" s="1"/>
  <c r="AO5" i="16" a="1"/>
  <c r="AO5" i="16" s="1"/>
  <c r="AP5" i="16" s="1" a="1"/>
  <c r="AP5" i="16" s="1"/>
  <c r="AO17" i="16" a="1"/>
  <c r="AO17" i="16" s="1"/>
  <c r="AP17" i="16" s="1" a="1"/>
  <c r="AP17" i="16" s="1"/>
  <c r="AO24" i="16" a="1"/>
  <c r="AO24" i="16" s="1"/>
  <c r="AP24" i="16" s="1" a="1"/>
  <c r="AP24" i="16" s="1"/>
  <c r="AO4" i="16" a="1"/>
  <c r="AO4" i="16" s="1"/>
  <c r="AP4" i="16" s="1" a="1"/>
  <c r="AP4" i="16" s="1"/>
  <c r="AO8" i="16" a="1"/>
  <c r="AO8" i="16" s="1"/>
  <c r="AP8" i="16" s="1" a="1"/>
  <c r="AP8" i="16" s="1"/>
  <c r="AO21" i="16" a="1"/>
  <c r="AO21" i="16" s="1"/>
  <c r="AP21" i="16" s="1" a="1"/>
  <c r="AP21" i="16" s="1"/>
  <c r="AO30" i="16" a="1"/>
  <c r="AO30" i="16" s="1"/>
  <c r="AP30" i="16" s="1" a="1"/>
  <c r="AP30" i="16" s="1"/>
  <c r="AO16" i="16" a="1"/>
  <c r="AO16" i="16" s="1"/>
  <c r="AP16" i="16" s="1" a="1"/>
  <c r="AP16" i="16" s="1"/>
  <c r="AO23" i="16" a="1"/>
  <c r="AO23" i="16" s="1"/>
  <c r="AP23" i="16" s="1" a="1"/>
  <c r="AP23" i="16" s="1"/>
  <c r="AO32" i="16" a="1"/>
  <c r="AO32" i="16" s="1"/>
  <c r="AP32" i="16" s="1" a="1"/>
  <c r="AP32" i="16" s="1"/>
  <c r="AO7" i="16" a="1"/>
  <c r="AO7" i="16" s="1"/>
  <c r="AP7" i="16" s="1" a="1"/>
  <c r="AP7" i="16" s="1"/>
  <c r="AO25" i="16" a="1"/>
  <c r="AO25" i="16" s="1"/>
  <c r="AP25" i="16" s="1" a="1"/>
  <c r="AP25" i="16" s="1"/>
  <c r="AO18" i="16" a="1"/>
  <c r="AO18" i="16" s="1"/>
  <c r="AP18" i="16" s="1" a="1"/>
  <c r="AP18" i="16" s="1"/>
  <c r="AO29" i="16" a="1"/>
  <c r="AO29" i="16" s="1"/>
  <c r="AP29" i="16" s="1" a="1"/>
  <c r="AP29" i="16" s="1"/>
  <c r="AO31" i="16" a="1"/>
  <c r="AO31" i="16" s="1"/>
  <c r="AP31" i="16" s="1" a="1"/>
  <c r="AP31" i="16" s="1"/>
  <c r="AO33" i="16" a="1"/>
  <c r="AO33" i="16" s="1"/>
  <c r="AP33" i="16" s="1" a="1"/>
  <c r="AP33" i="16" s="1"/>
  <c r="AO12" i="16" a="1"/>
  <c r="AO12" i="16" s="1"/>
  <c r="AP12" i="16" s="1" a="1"/>
  <c r="AP12" i="16" s="1"/>
  <c r="AO26" i="16" a="1"/>
  <c r="AO26" i="16" s="1"/>
  <c r="AP26" i="16" s="1" a="1"/>
  <c r="AP26" i="16" s="1"/>
  <c r="J29" i="7"/>
  <c r="AA81" i="16" a="1"/>
  <c r="AA81" i="16" s="1"/>
  <c r="AQ81" i="16"/>
  <c r="AA155" i="16" a="1"/>
  <c r="AA155" i="16" s="1"/>
  <c r="AQ155" i="16"/>
  <c r="AA65" i="16" a="1"/>
  <c r="AA65" i="16" s="1"/>
  <c r="AQ65" i="16"/>
  <c r="AA49" i="16" a="1"/>
  <c r="AA49" i="16" s="1"/>
  <c r="AQ49" i="16"/>
  <c r="AA95" i="16" a="1"/>
  <c r="AA95" i="16" s="1"/>
  <c r="AQ95" i="16"/>
  <c r="AA89" i="16" a="1"/>
  <c r="AA89" i="16" s="1"/>
  <c r="AQ89" i="16"/>
  <c r="AA90" i="16" a="1"/>
  <c r="AA90" i="16" s="1"/>
  <c r="AQ90" i="16"/>
  <c r="AA92" i="16" a="1"/>
  <c r="AA92" i="16" s="1"/>
  <c r="AQ92" i="16"/>
  <c r="AA117" i="16" a="1"/>
  <c r="AA117" i="16" s="1"/>
  <c r="AQ117" i="16"/>
  <c r="AA162" i="16" a="1"/>
  <c r="AA162" i="16" s="1"/>
  <c r="AQ162" i="16"/>
  <c r="AA201" i="16" a="1"/>
  <c r="AA201" i="16" s="1"/>
  <c r="AQ201" i="16"/>
  <c r="AA221" i="16" a="1"/>
  <c r="AA221" i="16" s="1"/>
  <c r="AQ221" i="16"/>
  <c r="AA180" i="16" a="1"/>
  <c r="AA180" i="16" s="1"/>
  <c r="AQ180" i="16"/>
  <c r="AA152" i="16" a="1"/>
  <c r="AA152" i="16" s="1"/>
  <c r="AQ152" i="16"/>
  <c r="AA258" i="16" a="1"/>
  <c r="AA258" i="16" s="1"/>
  <c r="AQ258" i="16"/>
  <c r="AA248" i="16" a="1"/>
  <c r="AA248" i="16" s="1"/>
  <c r="AQ248" i="16"/>
  <c r="AA278" i="16" a="1"/>
  <c r="AA278" i="16" s="1"/>
  <c r="AQ278" i="16"/>
  <c r="AA238" i="16" a="1"/>
  <c r="AA238" i="16" s="1"/>
  <c r="AQ238" i="16"/>
  <c r="AA285" i="16" a="1"/>
  <c r="AA285" i="16" s="1"/>
  <c r="AQ285" i="16"/>
  <c r="AA310" i="16" a="1"/>
  <c r="AA310" i="16" s="1"/>
  <c r="AQ310" i="16"/>
  <c r="AA323" i="16" a="1"/>
  <c r="AA323" i="16" s="1"/>
  <c r="AQ323" i="16"/>
  <c r="AA17" i="16" a="1"/>
  <c r="AA17" i="16" s="1"/>
  <c r="AK17" i="16" s="1" a="1"/>
  <c r="AK17" i="16" s="1"/>
  <c r="AQ17" i="16"/>
  <c r="AA26" i="16" a="1"/>
  <c r="AA26" i="16" s="1"/>
  <c r="AK26" i="16" s="1" a="1"/>
  <c r="AK26" i="16" s="1"/>
  <c r="AQ26" i="16"/>
  <c r="AA93" i="16" a="1"/>
  <c r="AA93" i="16" s="1"/>
  <c r="AQ93" i="16"/>
  <c r="AA115" i="16" a="1"/>
  <c r="AA115" i="16" s="1"/>
  <c r="AQ115" i="16"/>
  <c r="AA113" i="16" a="1"/>
  <c r="AA113" i="16" s="1"/>
  <c r="AQ113" i="16"/>
  <c r="AA12" i="16" a="1"/>
  <c r="AA12" i="16" s="1"/>
  <c r="AK12" i="16" s="1" a="1"/>
  <c r="AK12" i="16" s="1"/>
  <c r="AQ12" i="16"/>
  <c r="AA100" i="16" a="1"/>
  <c r="AA100" i="16" s="1"/>
  <c r="AQ100" i="16"/>
  <c r="AA37" i="16" a="1"/>
  <c r="AA37" i="16" s="1"/>
  <c r="AQ37" i="16"/>
  <c r="AA96" i="16" a="1"/>
  <c r="AA96" i="16" s="1"/>
  <c r="AQ96" i="16"/>
  <c r="AA66" i="16" a="1"/>
  <c r="AA66" i="16" s="1"/>
  <c r="AQ66" i="16"/>
  <c r="AA104" i="16" a="1"/>
  <c r="AA104" i="16" s="1"/>
  <c r="AQ104" i="16"/>
  <c r="AA116" i="16" a="1"/>
  <c r="AA116" i="16" s="1"/>
  <c r="AQ116" i="16"/>
  <c r="AA137" i="16" a="1"/>
  <c r="AA137" i="16" s="1"/>
  <c r="AQ137" i="16"/>
  <c r="AA131" i="16" a="1"/>
  <c r="AA131" i="16" s="1"/>
  <c r="AQ131" i="16"/>
  <c r="AA143" i="16" a="1"/>
  <c r="AA143" i="16" s="1"/>
  <c r="AQ143" i="16"/>
  <c r="AA136" i="16" a="1"/>
  <c r="AA136" i="16" s="1"/>
  <c r="AQ136" i="16"/>
  <c r="AA192" i="16" a="1"/>
  <c r="AA192" i="16" s="1"/>
  <c r="AQ192" i="16"/>
  <c r="AA166" i="16" a="1"/>
  <c r="AA166" i="16" s="1"/>
  <c r="AQ166" i="16"/>
  <c r="AA190" i="16" a="1"/>
  <c r="AA190" i="16" s="1"/>
  <c r="AQ190" i="16"/>
  <c r="AA253" i="16" a="1"/>
  <c r="AA253" i="16" s="1"/>
  <c r="AQ253" i="16"/>
  <c r="AA279" i="16" a="1"/>
  <c r="AA279" i="16" s="1"/>
  <c r="AQ279" i="16"/>
  <c r="AA240" i="16" a="1"/>
  <c r="AA240" i="16" s="1"/>
  <c r="AQ240" i="16"/>
  <c r="AA297" i="16" a="1"/>
  <c r="AA297" i="16" s="1"/>
  <c r="AQ297" i="16"/>
  <c r="AA276" i="16" a="1"/>
  <c r="AA276" i="16" s="1"/>
  <c r="AQ276" i="16"/>
  <c r="AA10" i="16" a="1"/>
  <c r="AA10" i="16" s="1"/>
  <c r="AK10" i="16" s="1" a="1"/>
  <c r="AK10" i="16" s="1"/>
  <c r="AQ10" i="16"/>
  <c r="AA24" i="16" a="1"/>
  <c r="AA24" i="16" s="1"/>
  <c r="AK24" i="16" s="1" a="1"/>
  <c r="AK24" i="16" s="1"/>
  <c r="AQ24" i="16"/>
  <c r="AA239" i="16" a="1"/>
  <c r="AA239" i="16" s="1"/>
  <c r="AQ239" i="16"/>
  <c r="AA47" i="16" a="1"/>
  <c r="AA47" i="16" s="1"/>
  <c r="AQ47" i="16"/>
  <c r="AA45" i="16" a="1"/>
  <c r="AA45" i="16" s="1"/>
  <c r="AQ45" i="16"/>
  <c r="AA97" i="16" a="1"/>
  <c r="AA97" i="16" s="1"/>
  <c r="AQ97" i="16"/>
  <c r="AA55" i="16" a="1"/>
  <c r="AA55" i="16" s="1"/>
  <c r="AQ55" i="16"/>
  <c r="AA120" i="16" a="1"/>
  <c r="AA120" i="16" s="1"/>
  <c r="AQ120" i="16"/>
  <c r="AA123" i="16" a="1"/>
  <c r="AA123" i="16" s="1"/>
  <c r="AQ123" i="16"/>
  <c r="AA158" i="16" a="1"/>
  <c r="AA158" i="16" s="1"/>
  <c r="AQ158" i="16"/>
  <c r="AA133" i="16" a="1"/>
  <c r="AA133" i="16" s="1"/>
  <c r="AQ133" i="16"/>
  <c r="AA150" i="16" a="1"/>
  <c r="AA150" i="16" s="1"/>
  <c r="AQ150" i="16"/>
  <c r="AA171" i="16" a="1"/>
  <c r="AA171" i="16" s="1"/>
  <c r="AQ171" i="16"/>
  <c r="AA223" i="16" a="1"/>
  <c r="AA223" i="16" s="1"/>
  <c r="AQ223" i="16"/>
  <c r="AA191" i="16" a="1"/>
  <c r="AA191" i="16" s="1"/>
  <c r="AQ191" i="16"/>
  <c r="AA206" i="16" a="1"/>
  <c r="AA206" i="16" s="1"/>
  <c r="AQ206" i="16"/>
  <c r="AA271" i="16" a="1"/>
  <c r="AA271" i="16" s="1"/>
  <c r="AQ271" i="16"/>
  <c r="AA290" i="16" a="1"/>
  <c r="AA290" i="16" s="1"/>
  <c r="AQ290" i="16"/>
  <c r="AA252" i="16" a="1"/>
  <c r="AA252" i="16" s="1"/>
  <c r="AQ252" i="16"/>
  <c r="AA301" i="16" a="1"/>
  <c r="AA301" i="16" s="1"/>
  <c r="AQ301" i="16"/>
  <c r="AA317" i="16" a="1"/>
  <c r="AA317" i="16" s="1"/>
  <c r="AQ317" i="16"/>
  <c r="AA15" i="16" a="1"/>
  <c r="AA15" i="16" s="1"/>
  <c r="AK15" i="16" s="1" a="1"/>
  <c r="AK15" i="16" s="1"/>
  <c r="AQ15" i="16"/>
  <c r="AA4" i="16" a="1"/>
  <c r="AA4" i="16" s="1"/>
  <c r="AK4" i="16" s="1" a="1"/>
  <c r="AK4" i="16" s="1"/>
  <c r="AQ4" i="16"/>
  <c r="AA160" i="16" a="1"/>
  <c r="AA160" i="16" s="1"/>
  <c r="AQ160" i="16"/>
  <c r="AA78" i="16" a="1"/>
  <c r="AA78" i="16" s="1"/>
  <c r="AQ78" i="16"/>
  <c r="AA69" i="16" a="1"/>
  <c r="AA69" i="16" s="1"/>
  <c r="AQ69" i="16"/>
  <c r="AA40" i="16" a="1"/>
  <c r="AA40" i="16" s="1"/>
  <c r="AQ40" i="16"/>
  <c r="AA68" i="16" a="1"/>
  <c r="AA68" i="16" s="1"/>
  <c r="AQ68" i="16"/>
  <c r="AA130" i="16" a="1"/>
  <c r="AA130" i="16" s="1"/>
  <c r="AQ130" i="16"/>
  <c r="AA103" i="16" a="1"/>
  <c r="AA103" i="16" s="1"/>
  <c r="AQ103" i="16"/>
  <c r="AA175" i="16" a="1"/>
  <c r="AA175" i="16" s="1"/>
  <c r="AQ175" i="16"/>
  <c r="AA154" i="16" a="1"/>
  <c r="AA154" i="16" s="1"/>
  <c r="AQ154" i="16"/>
  <c r="AA185" i="16" a="1"/>
  <c r="AA185" i="16" s="1"/>
  <c r="AQ185" i="16"/>
  <c r="AA176" i="16" a="1"/>
  <c r="AA176" i="16" s="1"/>
  <c r="AQ176" i="16"/>
  <c r="AA170" i="16" a="1"/>
  <c r="AA170" i="16" s="1"/>
  <c r="AQ170" i="16"/>
  <c r="AA207" i="16" a="1"/>
  <c r="AA207" i="16" s="1"/>
  <c r="AQ207" i="16"/>
  <c r="AA233" i="16" a="1"/>
  <c r="AA233" i="16" s="1"/>
  <c r="AQ233" i="16"/>
  <c r="AA296" i="16" a="1"/>
  <c r="AA296" i="16" s="1"/>
  <c r="AQ296" i="16"/>
  <c r="AA245" i="16" a="1"/>
  <c r="AA245" i="16" s="1"/>
  <c r="AQ245" i="16"/>
  <c r="AA256" i="16" a="1"/>
  <c r="AA256" i="16" s="1"/>
  <c r="AQ256" i="16"/>
  <c r="AA309" i="16" a="1"/>
  <c r="AA309" i="16" s="1"/>
  <c r="AQ309" i="16"/>
  <c r="AA295" i="16" a="1"/>
  <c r="AA295" i="16" s="1"/>
  <c r="AQ295" i="16"/>
  <c r="AA325" i="16" a="1"/>
  <c r="AA325" i="16" s="1"/>
  <c r="AQ325" i="16"/>
  <c r="AA8" i="16" a="1"/>
  <c r="AA8" i="16" s="1"/>
  <c r="AK8" i="16" s="1" a="1"/>
  <c r="AK8" i="16" s="1"/>
  <c r="AQ8" i="16"/>
  <c r="AA288" i="16" a="1"/>
  <c r="AA288" i="16" s="1"/>
  <c r="AQ288" i="16"/>
  <c r="J5" i="7"/>
  <c r="AO5" i="7" s="1"/>
  <c r="AP5" i="7" s="1"/>
  <c r="J22" i="7"/>
  <c r="AA42" i="16" a="1"/>
  <c r="AA42" i="16" s="1"/>
  <c r="AQ42" i="16"/>
  <c r="AA99" i="16" a="1"/>
  <c r="AA99" i="16" s="1"/>
  <c r="AQ99" i="16"/>
  <c r="AA48" i="16" a="1"/>
  <c r="AA48" i="16" s="1"/>
  <c r="AQ48" i="16"/>
  <c r="AA110" i="16" a="1"/>
  <c r="AA110" i="16" s="1"/>
  <c r="AQ110" i="16"/>
  <c r="AA128" i="16" a="1"/>
  <c r="AA128" i="16" s="1"/>
  <c r="AQ128" i="16"/>
  <c r="AA114" i="16" a="1"/>
  <c r="AA114" i="16" s="1"/>
  <c r="AQ114" i="16"/>
  <c r="AA181" i="16" a="1"/>
  <c r="AA181" i="16" s="1"/>
  <c r="AQ181" i="16"/>
  <c r="AA161" i="16" a="1"/>
  <c r="AA161" i="16" s="1"/>
  <c r="AQ161" i="16"/>
  <c r="AA132" i="16" a="1"/>
  <c r="AA132" i="16" s="1"/>
  <c r="AQ132" i="16"/>
  <c r="AA179" i="16" a="1"/>
  <c r="AA179" i="16" s="1"/>
  <c r="AQ179" i="16"/>
  <c r="AA197" i="16" a="1"/>
  <c r="AA197" i="16" s="1"/>
  <c r="AQ197" i="16"/>
  <c r="AA246" i="16" a="1"/>
  <c r="AA246" i="16" s="1"/>
  <c r="AQ246" i="16"/>
  <c r="AA275" i="16" a="1"/>
  <c r="AA275" i="16" s="1"/>
  <c r="AQ275" i="16"/>
  <c r="AA262" i="16" a="1"/>
  <c r="AA262" i="16" s="1"/>
  <c r="AQ262" i="16"/>
  <c r="AA260" i="16" a="1"/>
  <c r="AA260" i="16" s="1"/>
  <c r="AQ260" i="16"/>
  <c r="AA302" i="16" a="1"/>
  <c r="AA302" i="16" s="1"/>
  <c r="AQ302" i="16"/>
  <c r="AA6" i="16" a="1"/>
  <c r="AA6" i="16" s="1"/>
  <c r="AK6" i="16" s="1" a="1"/>
  <c r="AK6" i="16" s="1"/>
  <c r="AQ6" i="16"/>
  <c r="AA21" i="16" a="1"/>
  <c r="AA21" i="16" s="1"/>
  <c r="AK21" i="16" s="1" a="1"/>
  <c r="AK21" i="16" s="1"/>
  <c r="AQ21" i="16"/>
  <c r="AA141" i="16" a="1"/>
  <c r="AA141" i="16" s="1"/>
  <c r="AQ141" i="16"/>
  <c r="W7" i="7"/>
  <c r="W23" i="7"/>
  <c r="W17" i="7"/>
  <c r="W8" i="7"/>
  <c r="W24" i="7"/>
  <c r="W20" i="7"/>
  <c r="W9" i="7"/>
  <c r="W25" i="7"/>
  <c r="W10" i="7"/>
  <c r="W26" i="7"/>
  <c r="W33" i="7"/>
  <c r="W11" i="7"/>
  <c r="W27" i="7"/>
  <c r="W22" i="7"/>
  <c r="W12" i="7"/>
  <c r="W28" i="7"/>
  <c r="W13" i="7"/>
  <c r="W29" i="7"/>
  <c r="W4" i="7"/>
  <c r="W14" i="7"/>
  <c r="W30" i="7"/>
  <c r="W15" i="7"/>
  <c r="W31" i="7"/>
  <c r="W16" i="7"/>
  <c r="W32" i="7"/>
  <c r="W18" i="7"/>
  <c r="W19" i="7"/>
  <c r="W21" i="7"/>
  <c r="W6" i="7"/>
  <c r="W5" i="7"/>
  <c r="AA51" i="16" a="1"/>
  <c r="AA51" i="16" s="1"/>
  <c r="AQ51" i="16"/>
  <c r="AA119" i="16" a="1"/>
  <c r="AA119" i="16" s="1"/>
  <c r="AQ119" i="16"/>
  <c r="AA52" i="16" a="1"/>
  <c r="AA52" i="16" s="1"/>
  <c r="AQ52" i="16"/>
  <c r="AA70" i="16" a="1"/>
  <c r="AA70" i="16" s="1"/>
  <c r="AQ70" i="16"/>
  <c r="AA129" i="16" a="1"/>
  <c r="AA129" i="16" s="1"/>
  <c r="AQ129" i="16"/>
  <c r="AA135" i="16" a="1"/>
  <c r="AA135" i="16" s="1"/>
  <c r="AQ135" i="16"/>
  <c r="AA140" i="16" a="1"/>
  <c r="AA140" i="16" s="1"/>
  <c r="AQ140" i="16"/>
  <c r="AA184" i="16" a="1"/>
  <c r="AA184" i="16" s="1"/>
  <c r="AQ184" i="16"/>
  <c r="AA146" i="16" a="1"/>
  <c r="AA146" i="16" s="1"/>
  <c r="AQ146" i="16"/>
  <c r="AA182" i="16" a="1"/>
  <c r="AA182" i="16" s="1"/>
  <c r="AQ182" i="16"/>
  <c r="AA214" i="16" a="1"/>
  <c r="AA214" i="16" s="1"/>
  <c r="AQ214" i="16"/>
  <c r="AA231" i="16" a="1"/>
  <c r="AA231" i="16" s="1"/>
  <c r="AQ231" i="16"/>
  <c r="AA234" i="16" a="1"/>
  <c r="AA234" i="16" s="1"/>
  <c r="AQ234" i="16"/>
  <c r="AA287" i="16" a="1"/>
  <c r="AA287" i="16" s="1"/>
  <c r="AQ287" i="16"/>
  <c r="AA269" i="16" a="1"/>
  <c r="AA269" i="16" s="1"/>
  <c r="AQ269" i="16"/>
  <c r="AA289" i="16" a="1"/>
  <c r="AA289" i="16" s="1"/>
  <c r="AQ289" i="16"/>
  <c r="AA311" i="16" a="1"/>
  <c r="AA311" i="16" s="1"/>
  <c r="AQ311" i="16"/>
  <c r="AA13" i="16" a="1"/>
  <c r="AA13" i="16" s="1"/>
  <c r="AK13" i="16" s="1" a="1"/>
  <c r="AK13" i="16" s="1"/>
  <c r="AQ13" i="16"/>
  <c r="AA30" i="16" a="1"/>
  <c r="AA30" i="16" s="1"/>
  <c r="AK30" i="16" s="1" a="1"/>
  <c r="AK30" i="16" s="1"/>
  <c r="AQ30" i="16"/>
  <c r="AA244" i="16" a="1"/>
  <c r="AA244" i="16" s="1"/>
  <c r="AQ244" i="16"/>
  <c r="O4" i="7"/>
  <c r="O20" i="7"/>
  <c r="O32" i="7"/>
  <c r="O5" i="7"/>
  <c r="O21" i="7"/>
  <c r="O30" i="7"/>
  <c r="O16" i="7"/>
  <c r="O6" i="7"/>
  <c r="O22" i="7"/>
  <c r="O26" i="7"/>
  <c r="O28" i="7"/>
  <c r="O14" i="7"/>
  <c r="O33" i="7"/>
  <c r="O7" i="7"/>
  <c r="O23" i="7"/>
  <c r="O13" i="7"/>
  <c r="O17" i="7"/>
  <c r="O8" i="7"/>
  <c r="O24" i="7"/>
  <c r="O15" i="7"/>
  <c r="O9" i="7"/>
  <c r="O25" i="7"/>
  <c r="O29" i="7"/>
  <c r="O18" i="7"/>
  <c r="O10" i="7"/>
  <c r="O11" i="7"/>
  <c r="O27" i="7"/>
  <c r="O31" i="7"/>
  <c r="O19" i="7"/>
  <c r="O12" i="7"/>
  <c r="AA80" i="16" a="1"/>
  <c r="AA80" i="16" s="1"/>
  <c r="AQ80" i="16"/>
  <c r="AA122" i="16" a="1"/>
  <c r="AA122" i="16" s="1"/>
  <c r="AQ122" i="16"/>
  <c r="AA61" i="16" a="1"/>
  <c r="AA61" i="16" s="1"/>
  <c r="AQ61" i="16"/>
  <c r="AA63" i="16" a="1"/>
  <c r="AA63" i="16" s="1"/>
  <c r="AQ63" i="16"/>
  <c r="AA87" i="16" a="1"/>
  <c r="AA87" i="16" s="1"/>
  <c r="AQ87" i="16"/>
  <c r="AA111" i="16" a="1"/>
  <c r="AA111" i="16" s="1"/>
  <c r="AQ111" i="16"/>
  <c r="AA153" i="16" a="1"/>
  <c r="AA153" i="16" s="1"/>
  <c r="AQ153" i="16"/>
  <c r="AA126" i="16" a="1"/>
  <c r="AA126" i="16" s="1"/>
  <c r="AQ126" i="16"/>
  <c r="AA151" i="16" a="1"/>
  <c r="AA151" i="16" s="1"/>
  <c r="AQ151" i="16"/>
  <c r="AA199" i="16" a="1"/>
  <c r="AA199" i="16" s="1"/>
  <c r="AQ199" i="16"/>
  <c r="AA211" i="16" a="1"/>
  <c r="AA211" i="16" s="1"/>
  <c r="AQ211" i="16"/>
  <c r="AA237" i="16" a="1"/>
  <c r="AA237" i="16" s="1"/>
  <c r="AQ237" i="16"/>
  <c r="AA235" i="16" a="1"/>
  <c r="AA235" i="16" s="1"/>
  <c r="AQ235" i="16"/>
  <c r="AA299" i="16" a="1"/>
  <c r="AA299" i="16" s="1"/>
  <c r="AQ299" i="16"/>
  <c r="AA304" i="16" a="1"/>
  <c r="AA304" i="16" s="1"/>
  <c r="AQ304" i="16"/>
  <c r="AA225" i="16" a="1"/>
  <c r="AA225" i="16" s="1"/>
  <c r="AQ225" i="16"/>
  <c r="AA292" i="16" a="1"/>
  <c r="AA292" i="16" s="1"/>
  <c r="AQ292" i="16"/>
  <c r="AA313" i="16" a="1"/>
  <c r="AA313" i="16" s="1"/>
  <c r="AQ313" i="16"/>
  <c r="AA22" i="16" a="1"/>
  <c r="AA22" i="16" s="1"/>
  <c r="AK22" i="16" s="1" a="1"/>
  <c r="AK22" i="16" s="1"/>
  <c r="AQ22" i="16"/>
  <c r="AA16" i="16" a="1"/>
  <c r="AA16" i="16" s="1"/>
  <c r="AK16" i="16" s="1" a="1"/>
  <c r="AK16" i="16" s="1"/>
  <c r="AQ16" i="16"/>
  <c r="AA267" i="16" a="1"/>
  <c r="AA267" i="16" s="1"/>
  <c r="AQ267" i="16"/>
  <c r="AA39" i="16" a="1"/>
  <c r="AA39" i="16" s="1"/>
  <c r="AQ39" i="16"/>
  <c r="AA53" i="16" a="1"/>
  <c r="AA53" i="16" s="1"/>
  <c r="AQ53" i="16"/>
  <c r="AA75" i="16" a="1"/>
  <c r="AA75" i="16" s="1"/>
  <c r="AQ75" i="16"/>
  <c r="AA60" i="16" a="1"/>
  <c r="AA60" i="16" s="1"/>
  <c r="AQ60" i="16"/>
  <c r="AA98" i="16" a="1"/>
  <c r="AA98" i="16" s="1"/>
  <c r="AQ98" i="16"/>
  <c r="AA121" i="16" a="1"/>
  <c r="AA121" i="16" s="1"/>
  <c r="AQ121" i="16"/>
  <c r="AA163" i="16" a="1"/>
  <c r="AA163" i="16" s="1"/>
  <c r="AQ163" i="16"/>
  <c r="AA148" i="16" a="1"/>
  <c r="AA148" i="16" s="1"/>
  <c r="AQ148" i="16"/>
  <c r="AA188" i="16" a="1"/>
  <c r="AA188" i="16" s="1"/>
  <c r="AQ188" i="16"/>
  <c r="AA208" i="16" a="1"/>
  <c r="AA208" i="16" s="1"/>
  <c r="AQ208" i="16"/>
  <c r="AA183" i="16" a="1"/>
  <c r="AA183" i="16" s="1"/>
  <c r="AQ183" i="16"/>
  <c r="AA200" i="16" a="1"/>
  <c r="AA200" i="16" s="1"/>
  <c r="AQ200" i="16"/>
  <c r="AA241" i="16" a="1"/>
  <c r="AA241" i="16" s="1"/>
  <c r="AQ241" i="16"/>
  <c r="AA308" i="16" a="1"/>
  <c r="AA308" i="16" s="1"/>
  <c r="AQ308" i="16"/>
  <c r="AA230" i="16" a="1"/>
  <c r="AA230" i="16" s="1"/>
  <c r="AQ230" i="16"/>
  <c r="AA298" i="16" a="1"/>
  <c r="AA298" i="16" s="1"/>
  <c r="AQ298" i="16"/>
  <c r="AA306" i="16" a="1"/>
  <c r="AA306" i="16" s="1"/>
  <c r="AQ306" i="16"/>
  <c r="AA319" i="16" a="1"/>
  <c r="AA319" i="16" s="1"/>
  <c r="AQ319" i="16"/>
  <c r="AA27" i="16" a="1"/>
  <c r="AA27" i="16" s="1"/>
  <c r="AK27" i="16" s="1" a="1"/>
  <c r="AK27" i="16" s="1"/>
  <c r="AQ27" i="16"/>
  <c r="AA23" i="16" a="1"/>
  <c r="AA23" i="16" s="1"/>
  <c r="AK23" i="16" s="1" a="1"/>
  <c r="AK23" i="16" s="1"/>
  <c r="AQ23" i="16"/>
  <c r="AA307" i="16" a="1"/>
  <c r="AA307" i="16" s="1"/>
  <c r="AQ307" i="16"/>
  <c r="AA50" i="16" a="1"/>
  <c r="AA50" i="16" s="1"/>
  <c r="AQ50" i="16"/>
  <c r="AA59" i="16" a="1"/>
  <c r="AA59" i="16" s="1"/>
  <c r="AQ59" i="16"/>
  <c r="AA36" i="16" a="1"/>
  <c r="AA36" i="16" s="1"/>
  <c r="AQ36" i="16"/>
  <c r="AA72" i="16" a="1"/>
  <c r="AA72" i="16" s="1"/>
  <c r="AQ72" i="16"/>
  <c r="AA112" i="16" a="1"/>
  <c r="AA112" i="16" s="1"/>
  <c r="AQ112" i="16"/>
  <c r="AA94" i="16" a="1"/>
  <c r="AA94" i="16" s="1"/>
  <c r="AQ94" i="16"/>
  <c r="AA169" i="16" a="1"/>
  <c r="AA169" i="16" s="1"/>
  <c r="AQ169" i="16"/>
  <c r="AA168" i="16" a="1"/>
  <c r="AA168" i="16" s="1"/>
  <c r="AQ168" i="16"/>
  <c r="AA157" i="16" a="1"/>
  <c r="AA157" i="16" s="1"/>
  <c r="AQ157" i="16"/>
  <c r="AA229" i="16" a="1"/>
  <c r="AA229" i="16" s="1"/>
  <c r="AQ229" i="16"/>
  <c r="AA194" i="16" a="1"/>
  <c r="AA194" i="16" s="1"/>
  <c r="AQ194" i="16"/>
  <c r="AA224" i="16" a="1"/>
  <c r="AA224" i="16" s="1"/>
  <c r="AQ224" i="16"/>
  <c r="AA218" i="16" a="1"/>
  <c r="AA218" i="16" s="1"/>
  <c r="AQ218" i="16"/>
  <c r="AA261" i="16" a="1"/>
  <c r="AA261" i="16" s="1"/>
  <c r="AQ261" i="16"/>
  <c r="AA232" i="16" a="1"/>
  <c r="AA232" i="16" s="1"/>
  <c r="AQ232" i="16"/>
  <c r="AA312" i="16" a="1"/>
  <c r="AA312" i="16" s="1"/>
  <c r="AQ312" i="16"/>
  <c r="AA282" i="16" a="1"/>
  <c r="AA282" i="16" s="1"/>
  <c r="AQ282" i="16"/>
  <c r="AA322" i="16" a="1"/>
  <c r="AA322" i="16" s="1"/>
  <c r="AQ322" i="16"/>
  <c r="AA324" i="16" a="1"/>
  <c r="AA324" i="16" s="1"/>
  <c r="AQ324" i="16"/>
  <c r="AA32" i="16" a="1"/>
  <c r="AA32" i="16" s="1"/>
  <c r="AK32" i="16" s="1" a="1"/>
  <c r="AK32" i="16" s="1"/>
  <c r="AQ32" i="16"/>
  <c r="AA217" i="16" a="1"/>
  <c r="AA217" i="16" s="1"/>
  <c r="AQ217" i="16"/>
  <c r="AA54" i="16" a="1"/>
  <c r="AA54" i="16" s="1"/>
  <c r="AQ54" i="16"/>
  <c r="AA56" i="16" a="1"/>
  <c r="AA56" i="16" s="1"/>
  <c r="AQ56" i="16"/>
  <c r="AA44" i="16" a="1"/>
  <c r="AA44" i="16" s="1"/>
  <c r="AQ44" i="16"/>
  <c r="AA82" i="16" a="1"/>
  <c r="AA82" i="16" s="1"/>
  <c r="AQ82" i="16"/>
  <c r="AA127" i="16" a="1"/>
  <c r="AA127" i="16" s="1"/>
  <c r="AQ127" i="16"/>
  <c r="AA108" i="16" a="1"/>
  <c r="AA108" i="16" s="1"/>
  <c r="AQ108" i="16"/>
  <c r="AA172" i="16" a="1"/>
  <c r="AA172" i="16" s="1"/>
  <c r="AQ172" i="16"/>
  <c r="AA187" i="16" a="1"/>
  <c r="AA187" i="16" s="1"/>
  <c r="AQ187" i="16"/>
  <c r="AA186" i="16" a="1"/>
  <c r="AA186" i="16" s="1"/>
  <c r="AQ186" i="16"/>
  <c r="AA202" i="16" a="1"/>
  <c r="AA202" i="16" s="1"/>
  <c r="AQ202" i="16"/>
  <c r="AA205" i="16" a="1"/>
  <c r="AA205" i="16" s="1"/>
  <c r="AQ205" i="16"/>
  <c r="AA266" i="16" a="1"/>
  <c r="AA266" i="16" s="1"/>
  <c r="AQ266" i="16"/>
  <c r="AA204" i="16" a="1"/>
  <c r="AA204" i="16" s="1"/>
  <c r="AQ204" i="16"/>
  <c r="AA277" i="16" a="1"/>
  <c r="AA277" i="16" s="1"/>
  <c r="AQ277" i="16"/>
  <c r="AA247" i="16" a="1"/>
  <c r="AA247" i="16" s="1"/>
  <c r="AQ247" i="16"/>
  <c r="AA264" i="16" a="1"/>
  <c r="AA264" i="16" s="1"/>
  <c r="AQ264" i="16"/>
  <c r="AA284" i="16" a="1"/>
  <c r="AA284" i="16" s="1"/>
  <c r="AQ284" i="16"/>
  <c r="AA315" i="16" a="1"/>
  <c r="AA315" i="16" s="1"/>
  <c r="AQ315" i="16"/>
  <c r="AA19" i="16" a="1"/>
  <c r="AA19" i="16" s="1"/>
  <c r="AK19" i="16" s="1" a="1"/>
  <c r="AK19" i="16" s="1"/>
  <c r="AQ19" i="16"/>
  <c r="AA7" i="16" a="1"/>
  <c r="AA7" i="16" s="1"/>
  <c r="AK7" i="16" s="1" a="1"/>
  <c r="AK7" i="16" s="1"/>
  <c r="AQ7" i="16"/>
  <c r="AA203" i="16" a="1"/>
  <c r="AA203" i="16" s="1"/>
  <c r="AQ203" i="16"/>
  <c r="J15" i="7"/>
  <c r="AA76" i="16" a="1"/>
  <c r="AA76" i="16" s="1"/>
  <c r="AQ76" i="16"/>
  <c r="AA71" i="16" a="1"/>
  <c r="AA71" i="16" s="1"/>
  <c r="AQ71" i="16"/>
  <c r="AA58" i="16" a="1"/>
  <c r="AA58" i="16" s="1"/>
  <c r="AQ58" i="16"/>
  <c r="AA101" i="16" a="1"/>
  <c r="AA101" i="16" s="1"/>
  <c r="AQ101" i="16"/>
  <c r="AA165" i="16" a="1"/>
  <c r="AA165" i="16" s="1"/>
  <c r="AQ165" i="16"/>
  <c r="AA134" i="16" a="1"/>
  <c r="AA134" i="16" s="1"/>
  <c r="AQ134" i="16"/>
  <c r="AA189" i="16" a="1"/>
  <c r="AA189" i="16" s="1"/>
  <c r="AQ189" i="16"/>
  <c r="AA220" i="16" a="1"/>
  <c r="AA220" i="16" s="1"/>
  <c r="AQ220" i="16"/>
  <c r="AA156" i="16" a="1"/>
  <c r="AA156" i="16" s="1"/>
  <c r="AQ156" i="16"/>
  <c r="AA236" i="16" a="1"/>
  <c r="AA236" i="16" s="1"/>
  <c r="AQ236" i="16"/>
  <c r="AA227" i="16" a="1"/>
  <c r="AA227" i="16" s="1"/>
  <c r="AQ227" i="16"/>
  <c r="AA193" i="16" a="1"/>
  <c r="AA193" i="16" s="1"/>
  <c r="AQ193" i="16"/>
  <c r="AA250" i="16" a="1"/>
  <c r="AA250" i="16" s="1"/>
  <c r="AQ250" i="16"/>
  <c r="AA281" i="16" a="1"/>
  <c r="AA281" i="16" s="1"/>
  <c r="AQ281" i="16"/>
  <c r="AA249" i="16" a="1"/>
  <c r="AA249" i="16" s="1"/>
  <c r="AQ249" i="16"/>
  <c r="AA270" i="16" a="1"/>
  <c r="AA270" i="16" s="1"/>
  <c r="AQ270" i="16"/>
  <c r="AA272" i="16" a="1"/>
  <c r="AA272" i="16" s="1"/>
  <c r="AQ272" i="16"/>
  <c r="AA316" i="16" a="1"/>
  <c r="AA316" i="16" s="1"/>
  <c r="AQ316" i="16"/>
  <c r="AA28" i="16" a="1"/>
  <c r="AA28" i="16" s="1"/>
  <c r="AK28" i="16" s="1" a="1"/>
  <c r="AK28" i="16" s="1"/>
  <c r="AQ28" i="16"/>
  <c r="AA25" i="16" a="1"/>
  <c r="AA25" i="16" s="1"/>
  <c r="AK25" i="16" s="1" a="1"/>
  <c r="AK25" i="16" s="1"/>
  <c r="AQ25" i="16"/>
  <c r="AA263" i="16" a="1"/>
  <c r="AA263" i="16" s="1"/>
  <c r="AQ263" i="16"/>
  <c r="N4" i="7"/>
  <c r="N6" i="7"/>
  <c r="N22" i="7"/>
  <c r="N13" i="7"/>
  <c r="N15" i="7"/>
  <c r="N32" i="7"/>
  <c r="N7" i="7"/>
  <c r="N23" i="7"/>
  <c r="N14" i="7"/>
  <c r="N8" i="7"/>
  <c r="N24" i="7"/>
  <c r="N9" i="7"/>
  <c r="N25" i="7"/>
  <c r="N12" i="7"/>
  <c r="N17" i="7"/>
  <c r="N10" i="7"/>
  <c r="N26" i="7"/>
  <c r="N30" i="7"/>
  <c r="N11" i="7"/>
  <c r="N27" i="7"/>
  <c r="N18" i="7"/>
  <c r="N28" i="7"/>
  <c r="N16" i="7"/>
  <c r="N29" i="7"/>
  <c r="N33" i="7"/>
  <c r="N19" i="7"/>
  <c r="N5" i="7"/>
  <c r="N31" i="7"/>
  <c r="N20" i="7"/>
  <c r="N21" i="7"/>
  <c r="AA85" i="16" a="1"/>
  <c r="AA85" i="16" s="1"/>
  <c r="AQ85" i="16"/>
  <c r="AA73" i="16" a="1"/>
  <c r="AA73" i="16" s="1"/>
  <c r="AQ73" i="16"/>
  <c r="AA77" i="16" a="1"/>
  <c r="AA77" i="16" s="1"/>
  <c r="AQ77" i="16"/>
  <c r="AA57" i="16" a="1"/>
  <c r="AA57" i="16" s="1"/>
  <c r="AQ57" i="16"/>
  <c r="AA196" i="16" a="1"/>
  <c r="AA196" i="16" s="1"/>
  <c r="AQ196" i="16"/>
  <c r="AA138" i="16" a="1"/>
  <c r="AA138" i="16" s="1"/>
  <c r="AQ138" i="16"/>
  <c r="AA142" i="16" a="1"/>
  <c r="AA142" i="16" s="1"/>
  <c r="AQ142" i="16"/>
  <c r="AA145" i="16" a="1"/>
  <c r="AA145" i="16" s="1"/>
  <c r="AQ145" i="16"/>
  <c r="AA195" i="16" a="1"/>
  <c r="AA195" i="16" s="1"/>
  <c r="AQ195" i="16"/>
  <c r="AA167" i="16" a="1"/>
  <c r="AA167" i="16" s="1"/>
  <c r="AQ167" i="16"/>
  <c r="AA242" i="16" a="1"/>
  <c r="AA242" i="16" s="1"/>
  <c r="AQ242" i="16"/>
  <c r="AA210" i="16" a="1"/>
  <c r="AA210" i="16" s="1"/>
  <c r="AQ210" i="16"/>
  <c r="AA254" i="16" a="1"/>
  <c r="AA254" i="16" s="1"/>
  <c r="AQ254" i="16"/>
  <c r="AA226" i="16" a="1"/>
  <c r="AA226" i="16" s="1"/>
  <c r="AQ226" i="16"/>
  <c r="AA259" i="16" a="1"/>
  <c r="AA259" i="16" s="1"/>
  <c r="AQ259" i="16"/>
  <c r="AA293" i="16" a="1"/>
  <c r="AA293" i="16" s="1"/>
  <c r="AQ293" i="16"/>
  <c r="AA294" i="16" a="1"/>
  <c r="AA294" i="16" s="1"/>
  <c r="AQ294" i="16"/>
  <c r="AA314" i="16" a="1"/>
  <c r="AA314" i="16" s="1"/>
  <c r="AQ314" i="16"/>
  <c r="AA11" i="16" a="1"/>
  <c r="AA11" i="16" s="1"/>
  <c r="AK11" i="16" s="1" a="1"/>
  <c r="AK11" i="16" s="1"/>
  <c r="AQ11" i="16"/>
  <c r="AA18" i="16" a="1"/>
  <c r="AA18" i="16" s="1"/>
  <c r="AK18" i="16" s="1" a="1"/>
  <c r="AK18" i="16" s="1"/>
  <c r="AQ18" i="16"/>
  <c r="AA177" i="16" a="1"/>
  <c r="AA177" i="16" s="1"/>
  <c r="AQ177" i="16"/>
  <c r="AA46" i="16" a="1"/>
  <c r="AA46" i="16" s="1"/>
  <c r="AQ46" i="16"/>
  <c r="AA62" i="16" a="1"/>
  <c r="AA62" i="16" s="1"/>
  <c r="AQ62" i="16"/>
  <c r="AA83" i="16" a="1"/>
  <c r="AA83" i="16" s="1"/>
  <c r="AQ83" i="16"/>
  <c r="AA102" i="16" a="1"/>
  <c r="AA102" i="16" s="1"/>
  <c r="AQ102" i="16"/>
  <c r="AA91" i="16" a="1"/>
  <c r="AA91" i="16" s="1"/>
  <c r="AQ91" i="16"/>
  <c r="AA109" i="16" a="1"/>
  <c r="AA109" i="16" s="1"/>
  <c r="AQ109" i="16"/>
  <c r="AA149" i="16" a="1"/>
  <c r="AA149" i="16" s="1"/>
  <c r="AQ149" i="16"/>
  <c r="AA144" i="16" a="1"/>
  <c r="AA144" i="16" s="1"/>
  <c r="AQ144" i="16"/>
  <c r="AA178" i="16" a="1"/>
  <c r="AA178" i="16" s="1"/>
  <c r="AQ178" i="16"/>
  <c r="AA274" i="16" a="1"/>
  <c r="AA274" i="16" s="1"/>
  <c r="AQ274" i="16"/>
  <c r="AA198" i="16" a="1"/>
  <c r="AA198" i="16" s="1"/>
  <c r="AQ198" i="16"/>
  <c r="AA209" i="16" a="1"/>
  <c r="AA209" i="16" s="1"/>
  <c r="AQ209" i="16"/>
  <c r="AA213" i="16" a="1"/>
  <c r="AA213" i="16" s="1"/>
  <c r="AQ213" i="16"/>
  <c r="AA273" i="16" a="1"/>
  <c r="AA273" i="16" s="1"/>
  <c r="AQ273" i="16"/>
  <c r="AA228" i="16" a="1"/>
  <c r="AA228" i="16" s="1"/>
  <c r="AQ228" i="16"/>
  <c r="AA255" i="16" a="1"/>
  <c r="AA255" i="16" s="1"/>
  <c r="AQ255" i="16"/>
  <c r="AA280" i="16" a="1"/>
  <c r="AA280" i="16" s="1"/>
  <c r="AQ280" i="16"/>
  <c r="AA305" i="16" a="1"/>
  <c r="AA305" i="16" s="1"/>
  <c r="AQ305" i="16"/>
  <c r="AA300" i="16" a="1"/>
  <c r="AA300" i="16" s="1"/>
  <c r="AQ300" i="16"/>
  <c r="AA9" i="16" a="1"/>
  <c r="AA9" i="16" s="1"/>
  <c r="AK9" i="16" s="1" a="1"/>
  <c r="AK9" i="16" s="1"/>
  <c r="AQ9" i="16"/>
  <c r="AA29" i="16" a="1"/>
  <c r="AA29" i="16" s="1"/>
  <c r="AK29" i="16" s="1" a="1"/>
  <c r="AK29" i="16" s="1"/>
  <c r="AQ29" i="16"/>
  <c r="AA257" i="16" a="1"/>
  <c r="AA257" i="16" s="1"/>
  <c r="AQ257" i="16"/>
  <c r="AA38" i="16" a="1"/>
  <c r="AA38" i="16" s="1"/>
  <c r="AQ38" i="16"/>
  <c r="AA67" i="16" a="1"/>
  <c r="AA67" i="16" s="1"/>
  <c r="AQ67" i="16"/>
  <c r="AA41" i="16" a="1"/>
  <c r="AA41" i="16" s="1"/>
  <c r="AQ41" i="16"/>
  <c r="AA105" i="16" a="1"/>
  <c r="AA105" i="16" s="1"/>
  <c r="AQ105" i="16"/>
  <c r="AA124" i="16" a="1"/>
  <c r="AA124" i="16" s="1"/>
  <c r="AQ124" i="16"/>
  <c r="AA118" i="16" a="1"/>
  <c r="AA118" i="16" s="1"/>
  <c r="AQ118" i="16"/>
  <c r="AA74" i="16" a="1"/>
  <c r="AA74" i="16" s="1"/>
  <c r="AQ74" i="16"/>
  <c r="AA147" i="16" a="1"/>
  <c r="AA147" i="16" s="1"/>
  <c r="AQ147" i="16"/>
  <c r="AA125" i="16" a="1"/>
  <c r="AA125" i="16" s="1"/>
  <c r="AQ125" i="16"/>
  <c r="AA164" i="16" a="1"/>
  <c r="AA164" i="16" s="1"/>
  <c r="AQ164" i="16"/>
  <c r="AA219" i="16" a="1"/>
  <c r="AA219" i="16" s="1"/>
  <c r="AQ219" i="16"/>
  <c r="AA212" i="16" a="1"/>
  <c r="AA212" i="16" s="1"/>
  <c r="AQ212" i="16"/>
  <c r="AA216" i="16" a="1"/>
  <c r="AA216" i="16" s="1"/>
  <c r="AQ216" i="16"/>
  <c r="AA243" i="16" a="1"/>
  <c r="AA243" i="16" s="1"/>
  <c r="AQ243" i="16"/>
  <c r="AA268" i="16" a="1"/>
  <c r="AA268" i="16" s="1"/>
  <c r="AQ268" i="16"/>
  <c r="AA303" i="16" a="1"/>
  <c r="AA303" i="16" s="1"/>
  <c r="AQ303" i="16"/>
  <c r="AA320" i="16" a="1"/>
  <c r="AA320" i="16" s="1"/>
  <c r="AQ320" i="16"/>
  <c r="AA318" i="16" a="1"/>
  <c r="AA318" i="16" s="1"/>
  <c r="AQ318" i="16"/>
  <c r="AA20" i="16" a="1"/>
  <c r="AA20" i="16" s="1"/>
  <c r="AK20" i="16" s="1" a="1"/>
  <c r="AK20" i="16" s="1"/>
  <c r="AQ20" i="16"/>
  <c r="AA31" i="16" a="1"/>
  <c r="AA31" i="16" s="1"/>
  <c r="AK31" i="16" s="1" a="1"/>
  <c r="AK31" i="16" s="1"/>
  <c r="AQ31" i="16"/>
  <c r="V8" i="7"/>
  <c r="V24" i="7"/>
  <c r="V9" i="7"/>
  <c r="V25" i="7"/>
  <c r="V18" i="7"/>
  <c r="V23" i="7"/>
  <c r="V10" i="7"/>
  <c r="V26" i="7"/>
  <c r="V11" i="7"/>
  <c r="V27" i="7"/>
  <c r="V12" i="7"/>
  <c r="V28" i="7"/>
  <c r="V13" i="7"/>
  <c r="V29" i="7"/>
  <c r="V4" i="7"/>
  <c r="V14" i="7"/>
  <c r="V30" i="7"/>
  <c r="V21" i="7"/>
  <c r="V15" i="7"/>
  <c r="V31" i="7"/>
  <c r="V19" i="7"/>
  <c r="V6" i="7"/>
  <c r="V16" i="7"/>
  <c r="V32" i="7"/>
  <c r="V20" i="7"/>
  <c r="V22" i="7"/>
  <c r="V7" i="7"/>
  <c r="V17" i="7"/>
  <c r="V33" i="7"/>
  <c r="V5" i="7"/>
  <c r="AA43" i="16" a="1"/>
  <c r="AA43" i="16" s="1"/>
  <c r="AQ43" i="16"/>
  <c r="AA84" i="16" a="1"/>
  <c r="AA84" i="16" s="1"/>
  <c r="AQ84" i="16"/>
  <c r="AA5" i="16" a="1"/>
  <c r="AA5" i="16" s="1"/>
  <c r="AK5" i="16" s="1" a="1"/>
  <c r="AK5" i="16" s="1"/>
  <c r="AQ5" i="16"/>
  <c r="AA35" i="16" a="1"/>
  <c r="AA35" i="16" s="1"/>
  <c r="AQ35" i="16"/>
  <c r="AA86" i="16" a="1"/>
  <c r="AA86" i="16" s="1"/>
  <c r="AQ86" i="16"/>
  <c r="AA64" i="16" a="1"/>
  <c r="AA64" i="16" s="1"/>
  <c r="AQ64" i="16"/>
  <c r="AA79" i="16" a="1"/>
  <c r="AA79" i="16" s="1"/>
  <c r="AQ79" i="16"/>
  <c r="AA107" i="16" a="1"/>
  <c r="AA107" i="16" s="1"/>
  <c r="AQ107" i="16"/>
  <c r="AA106" i="16" a="1"/>
  <c r="AA106" i="16" s="1"/>
  <c r="AQ106" i="16"/>
  <c r="AA88" i="16" a="1"/>
  <c r="AA88" i="16" s="1"/>
  <c r="AQ88" i="16"/>
  <c r="AA159" i="16" a="1"/>
  <c r="AA159" i="16" s="1"/>
  <c r="AQ159" i="16"/>
  <c r="AA139" i="16" a="1"/>
  <c r="AA139" i="16" s="1"/>
  <c r="AQ139" i="16"/>
  <c r="AA173" i="16" a="1"/>
  <c r="AA173" i="16" s="1"/>
  <c r="AQ173" i="16"/>
  <c r="AA174" i="16" a="1"/>
  <c r="AA174" i="16" s="1"/>
  <c r="AQ174" i="16"/>
  <c r="AA215" i="16" a="1"/>
  <c r="AA215" i="16" s="1"/>
  <c r="AQ215" i="16"/>
  <c r="AA222" i="16" a="1"/>
  <c r="AA222" i="16" s="1"/>
  <c r="AQ222" i="16"/>
  <c r="AA265" i="16" a="1"/>
  <c r="AA265" i="16" s="1"/>
  <c r="AQ265" i="16"/>
  <c r="AA251" i="16" a="1"/>
  <c r="AA251" i="16" s="1"/>
  <c r="AQ251" i="16"/>
  <c r="AA283" i="16" a="1"/>
  <c r="AA283" i="16" s="1"/>
  <c r="AQ283" i="16"/>
  <c r="AA291" i="16" a="1"/>
  <c r="AA291" i="16" s="1"/>
  <c r="AQ291" i="16"/>
  <c r="AA286" i="16" a="1"/>
  <c r="AA286" i="16" s="1"/>
  <c r="AQ286" i="16"/>
  <c r="AA321" i="16" a="1"/>
  <c r="AA321" i="16" s="1"/>
  <c r="AQ321" i="16"/>
  <c r="AA14" i="16" a="1"/>
  <c r="AA14" i="16" s="1"/>
  <c r="AK14" i="16" s="1" a="1"/>
  <c r="AK14" i="16" s="1"/>
  <c r="AQ14" i="16"/>
  <c r="AA33" i="16" a="1"/>
  <c r="AA33" i="16" s="1"/>
  <c r="AK33" i="16" s="1" a="1"/>
  <c r="AK33" i="16" s="1"/>
  <c r="AQ33" i="16"/>
  <c r="T20" i="7"/>
  <c r="U20" i="7"/>
  <c r="U8" i="7"/>
  <c r="T8" i="7"/>
  <c r="L29" i="7"/>
  <c r="M29" i="7"/>
  <c r="U25" i="7"/>
  <c r="T25" i="7"/>
  <c r="T5" i="7"/>
  <c r="U5" i="7"/>
  <c r="L17" i="7"/>
  <c r="M17" i="7"/>
  <c r="T33" i="7"/>
  <c r="U33" i="7"/>
  <c r="J23" i="7"/>
  <c r="L20" i="7"/>
  <c r="M20" i="7"/>
  <c r="M8" i="7"/>
  <c r="L8" i="7"/>
  <c r="T29" i="7"/>
  <c r="U29" i="7"/>
  <c r="M25" i="7"/>
  <c r="L25" i="7"/>
  <c r="L21" i="7"/>
  <c r="M21" i="7"/>
  <c r="T16" i="7"/>
  <c r="U16" i="7"/>
  <c r="L26" i="7"/>
  <c r="M26" i="7"/>
  <c r="J11" i="7"/>
  <c r="L13" i="7"/>
  <c r="M13" i="7"/>
  <c r="M9" i="7"/>
  <c r="L9" i="7"/>
  <c r="T7" i="7"/>
  <c r="U7" i="7"/>
  <c r="T12" i="7"/>
  <c r="U12" i="7"/>
  <c r="T21" i="7"/>
  <c r="U21" i="7"/>
  <c r="L16" i="7"/>
  <c r="M16" i="7"/>
  <c r="T26" i="7"/>
  <c r="U26" i="7"/>
  <c r="J31" i="7"/>
  <c r="L27" i="7"/>
  <c r="M27" i="7"/>
  <c r="T13" i="7"/>
  <c r="U13" i="7"/>
  <c r="U9" i="7"/>
  <c r="T9" i="7"/>
  <c r="L7" i="7"/>
  <c r="M7" i="7"/>
  <c r="L12" i="7"/>
  <c r="M12" i="7"/>
  <c r="L30" i="7"/>
  <c r="M30" i="7"/>
  <c r="J20" i="7"/>
  <c r="J9" i="7"/>
  <c r="J19" i="7"/>
  <c r="T28" i="7"/>
  <c r="U28" i="7"/>
  <c r="L15" i="7"/>
  <c r="M15" i="7"/>
  <c r="L32" i="7"/>
  <c r="M32" i="7"/>
  <c r="T30" i="7"/>
  <c r="U30" i="7"/>
  <c r="J8" i="7"/>
  <c r="T4" i="7"/>
  <c r="U4" i="7"/>
  <c r="T32" i="7"/>
  <c r="U32" i="7"/>
  <c r="L6" i="7"/>
  <c r="M6" i="7"/>
  <c r="J17" i="7"/>
  <c r="J27" i="7"/>
  <c r="T15" i="7"/>
  <c r="U15" i="7"/>
  <c r="T6" i="7"/>
  <c r="U6" i="7"/>
  <c r="J28" i="7"/>
  <c r="J16" i="7"/>
  <c r="T17" i="7"/>
  <c r="U17" i="7"/>
  <c r="T18" i="7"/>
  <c r="U18" i="7"/>
  <c r="T11" i="7"/>
  <c r="U11" i="7"/>
  <c r="J6" i="7"/>
  <c r="J25" i="7"/>
  <c r="L18" i="7"/>
  <c r="M18" i="7"/>
  <c r="L11" i="7"/>
  <c r="M11" i="7"/>
  <c r="J24" i="7"/>
  <c r="L5" i="7"/>
  <c r="M5" i="7"/>
  <c r="J26" i="7"/>
  <c r="L10" i="7"/>
  <c r="M10" i="7"/>
  <c r="T22" i="7"/>
  <c r="U22" i="7"/>
  <c r="J14" i="7"/>
  <c r="J33" i="7"/>
  <c r="L14" i="7"/>
  <c r="M14" i="7"/>
  <c r="T31" i="7"/>
  <c r="U31" i="7"/>
  <c r="T10" i="7"/>
  <c r="U10" i="7"/>
  <c r="L22" i="7"/>
  <c r="M22" i="7"/>
  <c r="J13" i="7"/>
  <c r="J30" i="7"/>
  <c r="J32" i="7"/>
  <c r="T14" i="7"/>
  <c r="U14" i="7"/>
  <c r="L31" i="7"/>
  <c r="M31" i="7"/>
  <c r="J10" i="7"/>
  <c r="J12" i="7"/>
  <c r="T27" i="7"/>
  <c r="U27" i="7"/>
  <c r="L33" i="7"/>
  <c r="M33" i="7"/>
  <c r="T19" i="7"/>
  <c r="U19" i="7"/>
  <c r="M24" i="7"/>
  <c r="L24" i="7"/>
  <c r="M23" i="7"/>
  <c r="L23" i="7"/>
  <c r="J21" i="7"/>
  <c r="J7" i="7"/>
  <c r="J18" i="7"/>
  <c r="L4" i="7"/>
  <c r="M4" i="7"/>
  <c r="L19" i="7"/>
  <c r="M19" i="7"/>
  <c r="U24" i="7"/>
  <c r="T24" i="7"/>
  <c r="T23" i="7"/>
  <c r="U23" i="7"/>
  <c r="L28" i="7"/>
  <c r="M28" i="7"/>
  <c r="J4" i="7"/>
  <c r="J263" i="7"/>
  <c r="AA263" i="7" s="1"/>
  <c r="V159" i="7"/>
  <c r="V96" i="7"/>
  <c r="V285" i="7"/>
  <c r="V226" i="7"/>
  <c r="V163" i="7"/>
  <c r="V100" i="7"/>
  <c r="V289" i="7"/>
  <c r="V230" i="7"/>
  <c r="V167" i="7"/>
  <c r="V88" i="7"/>
  <c r="V264" i="7"/>
  <c r="V202" i="7"/>
  <c r="V139" i="7"/>
  <c r="V78" i="7"/>
  <c r="V204" i="7"/>
  <c r="V237" i="7"/>
  <c r="V175" i="7"/>
  <c r="V112" i="7"/>
  <c r="V47" i="7"/>
  <c r="V301" i="7"/>
  <c r="V242" i="7"/>
  <c r="V179" i="7"/>
  <c r="V116" i="7"/>
  <c r="V51" i="7"/>
  <c r="V305" i="7"/>
  <c r="V246" i="7"/>
  <c r="V183" i="7"/>
  <c r="V104" i="7"/>
  <c r="V280" i="7"/>
  <c r="V218" i="7"/>
  <c r="V155" i="7"/>
  <c r="V94" i="7"/>
  <c r="V124" i="7"/>
  <c r="V191" i="7"/>
  <c r="V128" i="7"/>
  <c r="V65" i="7"/>
  <c r="V317" i="7"/>
  <c r="V258" i="7"/>
  <c r="V195" i="7"/>
  <c r="V132" i="7"/>
  <c r="V69" i="7"/>
  <c r="V321" i="7"/>
  <c r="V261" i="7"/>
  <c r="V199" i="7"/>
  <c r="V120" i="7"/>
  <c r="V37" i="7"/>
  <c r="V293" i="7"/>
  <c r="V234" i="7"/>
  <c r="V171" i="7"/>
  <c r="V110" i="7"/>
  <c r="V40" i="7"/>
  <c r="V252" i="7"/>
  <c r="V207" i="7"/>
  <c r="V144" i="7"/>
  <c r="V81" i="7"/>
  <c r="V273" i="7"/>
  <c r="V211" i="7"/>
  <c r="V148" i="7"/>
  <c r="V85" i="7"/>
  <c r="V277" i="7"/>
  <c r="V215" i="7"/>
  <c r="V136" i="7"/>
  <c r="V55" i="7"/>
  <c r="V309" i="7"/>
  <c r="V250" i="7"/>
  <c r="V187" i="7"/>
  <c r="V126" i="7"/>
  <c r="V172" i="7"/>
  <c r="V77" i="7"/>
  <c r="V125" i="7"/>
  <c r="V223" i="7"/>
  <c r="V160" i="7"/>
  <c r="V97" i="7"/>
  <c r="V286" i="7"/>
  <c r="V227" i="7"/>
  <c r="V164" i="7"/>
  <c r="V101" i="7"/>
  <c r="V290" i="7"/>
  <c r="V231" i="7"/>
  <c r="V152" i="7"/>
  <c r="V73" i="7"/>
  <c r="V325" i="7"/>
  <c r="V265" i="7"/>
  <c r="V203" i="7"/>
  <c r="V142" i="7"/>
  <c r="V296" i="7"/>
  <c r="V205" i="7"/>
  <c r="V253" i="7"/>
  <c r="V42" i="7"/>
  <c r="V239" i="7"/>
  <c r="V176" i="7"/>
  <c r="V113" i="7"/>
  <c r="V48" i="7"/>
  <c r="V302" i="7"/>
  <c r="V243" i="7"/>
  <c r="V180" i="7"/>
  <c r="V117" i="7"/>
  <c r="V52" i="7"/>
  <c r="V306" i="7"/>
  <c r="V247" i="7"/>
  <c r="V168" i="7"/>
  <c r="V89" i="7"/>
  <c r="V281" i="7"/>
  <c r="V219" i="7"/>
  <c r="V158" i="7"/>
  <c r="V41" i="7"/>
  <c r="V140" i="7"/>
  <c r="V58" i="7"/>
  <c r="V255" i="7"/>
  <c r="V192" i="7"/>
  <c r="V129" i="7"/>
  <c r="V66" i="7"/>
  <c r="V318" i="7"/>
  <c r="V259" i="7"/>
  <c r="V196" i="7"/>
  <c r="V133" i="7"/>
  <c r="V70" i="7"/>
  <c r="V322" i="7"/>
  <c r="V262" i="7"/>
  <c r="V184" i="7"/>
  <c r="V105" i="7"/>
  <c r="V38" i="7"/>
  <c r="V294" i="7"/>
  <c r="V235" i="7"/>
  <c r="V174" i="7"/>
  <c r="V173" i="7"/>
  <c r="V92" i="7"/>
  <c r="V267" i="7"/>
  <c r="V43" i="7"/>
  <c r="V270" i="7"/>
  <c r="V208" i="7"/>
  <c r="V145" i="7"/>
  <c r="V82" i="7"/>
  <c r="V274" i="7"/>
  <c r="V212" i="7"/>
  <c r="V149" i="7"/>
  <c r="V86" i="7"/>
  <c r="V278" i="7"/>
  <c r="V200" i="7"/>
  <c r="V121" i="7"/>
  <c r="V56" i="7"/>
  <c r="V310" i="7"/>
  <c r="V251" i="7"/>
  <c r="V190" i="7"/>
  <c r="V297" i="7"/>
  <c r="V220" i="7"/>
  <c r="V141" i="7"/>
  <c r="V59" i="7"/>
  <c r="V283" i="7"/>
  <c r="V224" i="7"/>
  <c r="V161" i="7"/>
  <c r="V98" i="7"/>
  <c r="V287" i="7"/>
  <c r="V228" i="7"/>
  <c r="V165" i="7"/>
  <c r="V102" i="7"/>
  <c r="V291" i="7"/>
  <c r="V216" i="7"/>
  <c r="V137" i="7"/>
  <c r="V74" i="7"/>
  <c r="V35" i="7"/>
  <c r="V266" i="7"/>
  <c r="V206" i="7"/>
  <c r="V60" i="7"/>
  <c r="V268" i="7"/>
  <c r="V45" i="7"/>
  <c r="V299" i="7"/>
  <c r="V240" i="7"/>
  <c r="V177" i="7"/>
  <c r="V114" i="7"/>
  <c r="V49" i="7"/>
  <c r="V303" i="7"/>
  <c r="V244" i="7"/>
  <c r="V181" i="7"/>
  <c r="V118" i="7"/>
  <c r="V53" i="7"/>
  <c r="V307" i="7"/>
  <c r="V232" i="7"/>
  <c r="V153" i="7"/>
  <c r="V90" i="7"/>
  <c r="V222" i="7"/>
  <c r="V188" i="7"/>
  <c r="V157" i="7"/>
  <c r="V63" i="7"/>
  <c r="V315" i="7"/>
  <c r="V256" i="7"/>
  <c r="V193" i="7"/>
  <c r="V130" i="7"/>
  <c r="V67" i="7"/>
  <c r="V319" i="7"/>
  <c r="V260" i="7"/>
  <c r="V197" i="7"/>
  <c r="V134" i="7"/>
  <c r="V71" i="7"/>
  <c r="V323" i="7"/>
  <c r="V248" i="7"/>
  <c r="V169" i="7"/>
  <c r="V106" i="7"/>
  <c r="V39" i="7"/>
  <c r="V295" i="7"/>
  <c r="V238" i="7"/>
  <c r="V312" i="7"/>
  <c r="V93" i="7"/>
  <c r="V79" i="7"/>
  <c r="V271" i="7"/>
  <c r="V209" i="7"/>
  <c r="V146" i="7"/>
  <c r="V83" i="7"/>
  <c r="V275" i="7"/>
  <c r="V213" i="7"/>
  <c r="V150" i="7"/>
  <c r="V87" i="7"/>
  <c r="V263" i="7"/>
  <c r="V185" i="7"/>
  <c r="V122" i="7"/>
  <c r="V57" i="7"/>
  <c r="V311" i="7"/>
  <c r="V254" i="7"/>
  <c r="V61" i="7"/>
  <c r="V221" i="7"/>
  <c r="V95" i="7"/>
  <c r="V284" i="7"/>
  <c r="V225" i="7"/>
  <c r="V162" i="7"/>
  <c r="V99" i="7"/>
  <c r="V288" i="7"/>
  <c r="V229" i="7"/>
  <c r="V166" i="7"/>
  <c r="V103" i="7"/>
  <c r="V279" i="7"/>
  <c r="V201" i="7"/>
  <c r="V138" i="7"/>
  <c r="V75" i="7"/>
  <c r="V269" i="7"/>
  <c r="V189" i="7"/>
  <c r="V111" i="7"/>
  <c r="V46" i="7"/>
  <c r="V300" i="7"/>
  <c r="V241" i="7"/>
  <c r="V178" i="7"/>
  <c r="V115" i="7"/>
  <c r="V50" i="7"/>
  <c r="V304" i="7"/>
  <c r="V245" i="7"/>
  <c r="V182" i="7"/>
  <c r="V119" i="7"/>
  <c r="V36" i="7"/>
  <c r="V292" i="7"/>
  <c r="V217" i="7"/>
  <c r="V154" i="7"/>
  <c r="V91" i="7"/>
  <c r="V282" i="7"/>
  <c r="V313" i="7"/>
  <c r="V108" i="7"/>
  <c r="V127" i="7"/>
  <c r="V64" i="7"/>
  <c r="V316" i="7"/>
  <c r="V257" i="7"/>
  <c r="V194" i="7"/>
  <c r="V131" i="7"/>
  <c r="V68" i="7"/>
  <c r="V320" i="7"/>
  <c r="V198" i="7"/>
  <c r="V135" i="7"/>
  <c r="V54" i="7"/>
  <c r="V308" i="7"/>
  <c r="V233" i="7"/>
  <c r="V170" i="7"/>
  <c r="V107" i="7"/>
  <c r="V44" i="7"/>
  <c r="V298" i="7"/>
  <c r="V156" i="7"/>
  <c r="V236" i="7"/>
  <c r="V143" i="7"/>
  <c r="V80" i="7"/>
  <c r="V272" i="7"/>
  <c r="V210" i="7"/>
  <c r="V147" i="7"/>
  <c r="V84" i="7"/>
  <c r="V276" i="7"/>
  <c r="V214" i="7"/>
  <c r="V151" i="7"/>
  <c r="V72" i="7"/>
  <c r="V324" i="7"/>
  <c r="V249" i="7"/>
  <c r="V186" i="7"/>
  <c r="V123" i="7"/>
  <c r="V62" i="7"/>
  <c r="V314" i="7"/>
  <c r="V76" i="7"/>
  <c r="V109" i="7"/>
  <c r="W68" i="7"/>
  <c r="W320" i="7"/>
  <c r="W213" i="7"/>
  <c r="W70" i="7"/>
  <c r="W322" i="7"/>
  <c r="W215" i="7"/>
  <c r="W104" i="7"/>
  <c r="W249" i="7"/>
  <c r="W154" i="7"/>
  <c r="W59" i="7"/>
  <c r="W268" i="7"/>
  <c r="W190" i="7"/>
  <c r="W207" i="7"/>
  <c r="W128" i="7"/>
  <c r="W241" i="7"/>
  <c r="W84" i="7"/>
  <c r="W229" i="7"/>
  <c r="W86" i="7"/>
  <c r="W231" i="7"/>
  <c r="W120" i="7"/>
  <c r="W264" i="7"/>
  <c r="W170" i="7"/>
  <c r="W75" i="7"/>
  <c r="W223" i="7"/>
  <c r="W144" i="7"/>
  <c r="W257" i="7"/>
  <c r="W98" i="7"/>
  <c r="W130" i="7"/>
  <c r="W226" i="7"/>
  <c r="W319" i="7"/>
  <c r="W100" i="7"/>
  <c r="W245" i="7"/>
  <c r="W102" i="7"/>
  <c r="W247" i="7"/>
  <c r="W136" i="7"/>
  <c r="W280" i="7"/>
  <c r="W186" i="7"/>
  <c r="W91" i="7"/>
  <c r="W45" i="7"/>
  <c r="W239" i="7"/>
  <c r="W160" i="7"/>
  <c r="W272" i="7"/>
  <c r="W50" i="7"/>
  <c r="W66" i="7"/>
  <c r="W82" i="7"/>
  <c r="W211" i="7"/>
  <c r="W227" i="7"/>
  <c r="W282" i="7"/>
  <c r="W269" i="7"/>
  <c r="W116" i="7"/>
  <c r="W118" i="7"/>
  <c r="W262" i="7"/>
  <c r="W152" i="7"/>
  <c r="W41" i="7"/>
  <c r="W293" i="7"/>
  <c r="W202" i="7"/>
  <c r="W107" i="7"/>
  <c r="W44" i="7"/>
  <c r="W61" i="7"/>
  <c r="W255" i="7"/>
  <c r="W176" i="7"/>
  <c r="W285" i="7"/>
  <c r="W146" i="7"/>
  <c r="W162" i="7"/>
  <c r="W178" i="7"/>
  <c r="W194" i="7"/>
  <c r="W206" i="7"/>
  <c r="W274" i="7"/>
  <c r="W287" i="7"/>
  <c r="W286" i="7"/>
  <c r="W35" i="7"/>
  <c r="W132" i="7"/>
  <c r="W276" i="7"/>
  <c r="W134" i="7"/>
  <c r="W278" i="7"/>
  <c r="W168" i="7"/>
  <c r="W57" i="7"/>
  <c r="W309" i="7"/>
  <c r="W218" i="7"/>
  <c r="W123" i="7"/>
  <c r="W60" i="7"/>
  <c r="W77" i="7"/>
  <c r="W270" i="7"/>
  <c r="W192" i="7"/>
  <c r="W49" i="7"/>
  <c r="W301" i="7"/>
  <c r="W238" i="7"/>
  <c r="W243" i="7"/>
  <c r="W254" i="7"/>
  <c r="W259" i="7"/>
  <c r="W315" i="7"/>
  <c r="W148" i="7"/>
  <c r="W37" i="7"/>
  <c r="W289" i="7"/>
  <c r="W150" i="7"/>
  <c r="W39" i="7"/>
  <c r="W291" i="7"/>
  <c r="W184" i="7"/>
  <c r="W73" i="7"/>
  <c r="W234" i="7"/>
  <c r="W139" i="7"/>
  <c r="W76" i="7"/>
  <c r="W93" i="7"/>
  <c r="W283" i="7"/>
  <c r="W208" i="7"/>
  <c r="W65" i="7"/>
  <c r="W317" i="7"/>
  <c r="W296" i="7"/>
  <c r="W298" i="7"/>
  <c r="W302" i="7"/>
  <c r="W311" i="7"/>
  <c r="W313" i="7"/>
  <c r="W325" i="7"/>
  <c r="W114" i="7"/>
  <c r="W164" i="7"/>
  <c r="W53" i="7"/>
  <c r="W305" i="7"/>
  <c r="W166" i="7"/>
  <c r="W55" i="7"/>
  <c r="W307" i="7"/>
  <c r="W200" i="7"/>
  <c r="W89" i="7"/>
  <c r="W250" i="7"/>
  <c r="W155" i="7"/>
  <c r="W92" i="7"/>
  <c r="W109" i="7"/>
  <c r="W47" i="7"/>
  <c r="W224" i="7"/>
  <c r="W81" i="7"/>
  <c r="W83" i="7"/>
  <c r="W180" i="7"/>
  <c r="W69" i="7"/>
  <c r="W321" i="7"/>
  <c r="W182" i="7"/>
  <c r="W71" i="7"/>
  <c r="W323" i="7"/>
  <c r="W216" i="7"/>
  <c r="W105" i="7"/>
  <c r="W265" i="7"/>
  <c r="W171" i="7"/>
  <c r="W108" i="7"/>
  <c r="W125" i="7"/>
  <c r="W46" i="7"/>
  <c r="W63" i="7"/>
  <c r="W240" i="7"/>
  <c r="W97" i="7"/>
  <c r="W99" i="7"/>
  <c r="W196" i="7"/>
  <c r="W85" i="7"/>
  <c r="W198" i="7"/>
  <c r="W87" i="7"/>
  <c r="W232" i="7"/>
  <c r="W121" i="7"/>
  <c r="W281" i="7"/>
  <c r="W187" i="7"/>
  <c r="W124" i="7"/>
  <c r="W141" i="7"/>
  <c r="W62" i="7"/>
  <c r="W79" i="7"/>
  <c r="W256" i="7"/>
  <c r="W113" i="7"/>
  <c r="W212" i="7"/>
  <c r="W101" i="7"/>
  <c r="W214" i="7"/>
  <c r="W103" i="7"/>
  <c r="W248" i="7"/>
  <c r="W137" i="7"/>
  <c r="W42" i="7"/>
  <c r="W294" i="7"/>
  <c r="W203" i="7"/>
  <c r="W140" i="7"/>
  <c r="W157" i="7"/>
  <c r="W78" i="7"/>
  <c r="W95" i="7"/>
  <c r="W271" i="7"/>
  <c r="W129" i="7"/>
  <c r="W228" i="7"/>
  <c r="W117" i="7"/>
  <c r="W230" i="7"/>
  <c r="W119" i="7"/>
  <c r="W263" i="7"/>
  <c r="W153" i="7"/>
  <c r="W58" i="7"/>
  <c r="W310" i="7"/>
  <c r="W219" i="7"/>
  <c r="W156" i="7"/>
  <c r="W173" i="7"/>
  <c r="W94" i="7"/>
  <c r="W111" i="7"/>
  <c r="W284" i="7"/>
  <c r="W145" i="7"/>
  <c r="W51" i="7"/>
  <c r="W67" i="7"/>
  <c r="W210" i="7"/>
  <c r="W220" i="7"/>
  <c r="W244" i="7"/>
  <c r="W133" i="7"/>
  <c r="W246" i="7"/>
  <c r="W135" i="7"/>
  <c r="W279" i="7"/>
  <c r="W169" i="7"/>
  <c r="W74" i="7"/>
  <c r="W235" i="7"/>
  <c r="W172" i="7"/>
  <c r="W189" i="7"/>
  <c r="W110" i="7"/>
  <c r="W127" i="7"/>
  <c r="W48" i="7"/>
  <c r="W300" i="7"/>
  <c r="W161" i="7"/>
  <c r="W131" i="7"/>
  <c r="W147" i="7"/>
  <c r="W163" i="7"/>
  <c r="W179" i="7"/>
  <c r="W195" i="7"/>
  <c r="W273" i="7"/>
  <c r="W260" i="7"/>
  <c r="W149" i="7"/>
  <c r="W261" i="7"/>
  <c r="W151" i="7"/>
  <c r="W40" i="7"/>
  <c r="W292" i="7"/>
  <c r="W185" i="7"/>
  <c r="W90" i="7"/>
  <c r="W251" i="7"/>
  <c r="W188" i="7"/>
  <c r="W205" i="7"/>
  <c r="W126" i="7"/>
  <c r="W143" i="7"/>
  <c r="W64" i="7"/>
  <c r="W316" i="7"/>
  <c r="W177" i="7"/>
  <c r="W236" i="7"/>
  <c r="W242" i="7"/>
  <c r="W252" i="7"/>
  <c r="W258" i="7"/>
  <c r="W267" i="7"/>
  <c r="W314" i="7"/>
  <c r="W318" i="7"/>
  <c r="W275" i="7"/>
  <c r="W165" i="7"/>
  <c r="W277" i="7"/>
  <c r="W167" i="7"/>
  <c r="W56" i="7"/>
  <c r="W308" i="7"/>
  <c r="W201" i="7"/>
  <c r="W106" i="7"/>
  <c r="W266" i="7"/>
  <c r="W204" i="7"/>
  <c r="W221" i="7"/>
  <c r="W142" i="7"/>
  <c r="W159" i="7"/>
  <c r="W80" i="7"/>
  <c r="W193" i="7"/>
  <c r="W295" i="7"/>
  <c r="W297" i="7"/>
  <c r="W299" i="7"/>
  <c r="W303" i="7"/>
  <c r="W312" i="7"/>
  <c r="W36" i="7"/>
  <c r="W288" i="7"/>
  <c r="W181" i="7"/>
  <c r="W38" i="7"/>
  <c r="W290" i="7"/>
  <c r="W183" i="7"/>
  <c r="W72" i="7"/>
  <c r="W324" i="7"/>
  <c r="W217" i="7"/>
  <c r="W122" i="7"/>
  <c r="W237" i="7"/>
  <c r="W158" i="7"/>
  <c r="W175" i="7"/>
  <c r="W96" i="7"/>
  <c r="W209" i="7"/>
  <c r="W52" i="7"/>
  <c r="W304" i="7"/>
  <c r="W197" i="7"/>
  <c r="W54" i="7"/>
  <c r="W306" i="7"/>
  <c r="W199" i="7"/>
  <c r="W88" i="7"/>
  <c r="W233" i="7"/>
  <c r="W138" i="7"/>
  <c r="W43" i="7"/>
  <c r="W253" i="7"/>
  <c r="W174" i="7"/>
  <c r="W191" i="7"/>
  <c r="W112" i="7"/>
  <c r="W225" i="7"/>
  <c r="W115" i="7"/>
  <c r="W222" i="7"/>
  <c r="J99" i="7"/>
  <c r="AQ99" i="7" s="1"/>
  <c r="J302" i="7"/>
  <c r="J269" i="7"/>
  <c r="AQ269" i="7" s="1"/>
  <c r="U189" i="7"/>
  <c r="T189" i="7"/>
  <c r="U243" i="7"/>
  <c r="T243" i="7"/>
  <c r="T279" i="7"/>
  <c r="U279" i="7"/>
  <c r="T211" i="7"/>
  <c r="U211" i="7"/>
  <c r="T221" i="7"/>
  <c r="U221" i="7"/>
  <c r="T292" i="7"/>
  <c r="U292" i="7"/>
  <c r="T258" i="7"/>
  <c r="U258" i="7"/>
  <c r="U214" i="7"/>
  <c r="T214" i="7"/>
  <c r="U146" i="7"/>
  <c r="T146" i="7"/>
  <c r="U186" i="7"/>
  <c r="T186" i="7"/>
  <c r="T92" i="7"/>
  <c r="U92" i="7"/>
  <c r="T63" i="7"/>
  <c r="U63" i="7"/>
  <c r="U182" i="7"/>
  <c r="T182" i="7"/>
  <c r="T318" i="7"/>
  <c r="U318" i="7"/>
  <c r="T148" i="7"/>
  <c r="U148" i="7"/>
  <c r="U48" i="7"/>
  <c r="T48" i="7"/>
  <c r="T129" i="7"/>
  <c r="U129" i="7"/>
  <c r="T58" i="7"/>
  <c r="U58" i="7"/>
  <c r="T297" i="7"/>
  <c r="U297" i="7"/>
  <c r="T127" i="7"/>
  <c r="U127" i="7"/>
  <c r="T277" i="7"/>
  <c r="U277" i="7"/>
  <c r="T262" i="7"/>
  <c r="U262" i="7"/>
  <c r="T160" i="7"/>
  <c r="U160" i="7"/>
  <c r="T117" i="7"/>
  <c r="U117" i="7"/>
  <c r="T187" i="7"/>
  <c r="U187" i="7"/>
  <c r="U229" i="7"/>
  <c r="T229" i="7"/>
  <c r="U41" i="7"/>
  <c r="T41" i="7"/>
  <c r="U153" i="7"/>
  <c r="T153" i="7"/>
  <c r="T257" i="7"/>
  <c r="U257" i="7"/>
  <c r="U204" i="7"/>
  <c r="T204" i="7"/>
  <c r="T60" i="7"/>
  <c r="U60" i="7"/>
  <c r="U74" i="7"/>
  <c r="T74" i="7"/>
  <c r="T298" i="7"/>
  <c r="U298" i="7"/>
  <c r="T305" i="7"/>
  <c r="U305" i="7"/>
  <c r="U240" i="7"/>
  <c r="T240" i="7"/>
  <c r="T290" i="7"/>
  <c r="U290" i="7"/>
  <c r="U150" i="7"/>
  <c r="T150" i="7"/>
  <c r="U130" i="7"/>
  <c r="T130" i="7"/>
  <c r="T76" i="7"/>
  <c r="U76" i="7"/>
  <c r="T137" i="7"/>
  <c r="U137" i="7"/>
  <c r="T168" i="7"/>
  <c r="U168" i="7"/>
  <c r="T102" i="7"/>
  <c r="U102" i="7"/>
  <c r="U265" i="7"/>
  <c r="T265" i="7"/>
  <c r="T128" i="7"/>
  <c r="U128" i="7"/>
  <c r="T85" i="7"/>
  <c r="U85" i="7"/>
  <c r="T155" i="7"/>
  <c r="U155" i="7"/>
  <c r="U306" i="7"/>
  <c r="T306" i="7"/>
  <c r="U227" i="7"/>
  <c r="T227" i="7"/>
  <c r="T287" i="7"/>
  <c r="U287" i="7"/>
  <c r="T241" i="7"/>
  <c r="U241" i="7"/>
  <c r="T61" i="7"/>
  <c r="U61" i="7"/>
  <c r="T245" i="7"/>
  <c r="U245" i="7"/>
  <c r="T87" i="7"/>
  <c r="U87" i="7"/>
  <c r="U273" i="7"/>
  <c r="T273" i="7"/>
  <c r="U264" i="7"/>
  <c r="T264" i="7"/>
  <c r="T313" i="7"/>
  <c r="U313" i="7"/>
  <c r="T140" i="7"/>
  <c r="U140" i="7"/>
  <c r="T181" i="7"/>
  <c r="U181" i="7"/>
  <c r="T209" i="7"/>
  <c r="U209" i="7"/>
  <c r="T98" i="7"/>
  <c r="U98" i="7"/>
  <c r="U119" i="7"/>
  <c r="T119" i="7"/>
  <c r="U170" i="7"/>
  <c r="T170" i="7"/>
  <c r="T49" i="7"/>
  <c r="U49" i="7"/>
  <c r="T115" i="7"/>
  <c r="U115" i="7"/>
  <c r="T112" i="7"/>
  <c r="U112" i="7"/>
  <c r="T234" i="7"/>
  <c r="U234" i="7"/>
  <c r="U106" i="7"/>
  <c r="T106" i="7"/>
  <c r="T179" i="7"/>
  <c r="U179" i="7"/>
  <c r="U174" i="7"/>
  <c r="T174" i="7"/>
  <c r="T125" i="7"/>
  <c r="U125" i="7"/>
  <c r="T253" i="7"/>
  <c r="U253" i="7"/>
  <c r="T322" i="7"/>
  <c r="U322" i="7"/>
  <c r="T289" i="7"/>
  <c r="U289" i="7"/>
  <c r="T147" i="7"/>
  <c r="U147" i="7"/>
  <c r="U205" i="7"/>
  <c r="T205" i="7"/>
  <c r="U254" i="7"/>
  <c r="T254" i="7"/>
  <c r="T163" i="7"/>
  <c r="U163" i="7"/>
  <c r="T274" i="7"/>
  <c r="U274" i="7"/>
  <c r="T36" i="7"/>
  <c r="U36" i="7"/>
  <c r="U269" i="7"/>
  <c r="T269" i="7"/>
  <c r="T222" i="7"/>
  <c r="U222" i="7"/>
  <c r="T285" i="7"/>
  <c r="U285" i="7"/>
  <c r="T107" i="7"/>
  <c r="U107" i="7"/>
  <c r="T248" i="7"/>
  <c r="U248" i="7"/>
  <c r="T44" i="7"/>
  <c r="U44" i="7"/>
  <c r="T300" i="7"/>
  <c r="U300" i="7"/>
  <c r="T278" i="7"/>
  <c r="U278" i="7"/>
  <c r="T203" i="7"/>
  <c r="U203" i="7"/>
  <c r="T210" i="7"/>
  <c r="U210" i="7"/>
  <c r="T151" i="7"/>
  <c r="U151" i="7"/>
  <c r="U35" i="7"/>
  <c r="T35" i="7"/>
  <c r="T71" i="7"/>
  <c r="U71" i="7"/>
  <c r="U249" i="7"/>
  <c r="T249" i="7"/>
  <c r="T224" i="7"/>
  <c r="U224" i="7"/>
  <c r="T219" i="7"/>
  <c r="U219" i="7"/>
  <c r="T94" i="7"/>
  <c r="U94" i="7"/>
  <c r="T108" i="7"/>
  <c r="U108" i="7"/>
  <c r="U316" i="7"/>
  <c r="T316" i="7"/>
  <c r="T291" i="7"/>
  <c r="U291" i="7"/>
  <c r="T164" i="7"/>
  <c r="U164" i="7"/>
  <c r="T252" i="7"/>
  <c r="U252" i="7"/>
  <c r="U213" i="7"/>
  <c r="T213" i="7"/>
  <c r="T55" i="7"/>
  <c r="U55" i="7"/>
  <c r="T284" i="7"/>
  <c r="U284" i="7"/>
  <c r="U271" i="7"/>
  <c r="T271" i="7"/>
  <c r="U299" i="7"/>
  <c r="T299" i="7"/>
  <c r="T310" i="7"/>
  <c r="U310" i="7"/>
  <c r="T183" i="7"/>
  <c r="U183" i="7"/>
  <c r="T267" i="7"/>
  <c r="U267" i="7"/>
  <c r="T192" i="7"/>
  <c r="U192" i="7"/>
  <c r="U149" i="7"/>
  <c r="T149" i="7"/>
  <c r="T131" i="7"/>
  <c r="U131" i="7"/>
  <c r="J200" i="7"/>
  <c r="AA200" i="7" s="1"/>
  <c r="T200" i="7"/>
  <c r="U200" i="7"/>
  <c r="T99" i="7"/>
  <c r="U99" i="7"/>
  <c r="T311" i="7"/>
  <c r="U311" i="7"/>
  <c r="T68" i="7"/>
  <c r="U68" i="7"/>
  <c r="T37" i="7"/>
  <c r="U37" i="7"/>
  <c r="T225" i="7"/>
  <c r="U225" i="7"/>
  <c r="T96" i="7"/>
  <c r="U96" i="7"/>
  <c r="T247" i="7"/>
  <c r="U247" i="7"/>
  <c r="T84" i="7"/>
  <c r="U84" i="7"/>
  <c r="U122" i="7"/>
  <c r="T122" i="7"/>
  <c r="T184" i="7"/>
  <c r="U184" i="7"/>
  <c r="T202" i="7"/>
  <c r="U202" i="7"/>
  <c r="U228" i="7"/>
  <c r="T228" i="7"/>
  <c r="T103" i="7"/>
  <c r="U103" i="7"/>
  <c r="T304" i="7"/>
  <c r="U304" i="7"/>
  <c r="T207" i="7"/>
  <c r="U207" i="7"/>
  <c r="T100" i="7"/>
  <c r="U100" i="7"/>
  <c r="T75" i="7"/>
  <c r="U75" i="7"/>
  <c r="U110" i="7"/>
  <c r="T110" i="7"/>
  <c r="T239" i="7"/>
  <c r="U239" i="7"/>
  <c r="U217" i="7"/>
  <c r="T217" i="7"/>
  <c r="T50" i="7"/>
  <c r="U50" i="7"/>
  <c r="T242" i="7"/>
  <c r="U242" i="7"/>
  <c r="T45" i="7"/>
  <c r="U45" i="7"/>
  <c r="U244" i="7"/>
  <c r="T244" i="7"/>
  <c r="T152" i="7"/>
  <c r="U152" i="7"/>
  <c r="T288" i="7"/>
  <c r="U288" i="7"/>
  <c r="T272" i="7"/>
  <c r="U272" i="7"/>
  <c r="T198" i="7"/>
  <c r="U198" i="7"/>
  <c r="T42" i="7"/>
  <c r="U42" i="7"/>
  <c r="T301" i="7"/>
  <c r="U301" i="7"/>
  <c r="T62" i="7"/>
  <c r="U62" i="7"/>
  <c r="T158" i="7"/>
  <c r="U158" i="7"/>
  <c r="T259" i="7"/>
  <c r="U259" i="7"/>
  <c r="T199" i="7"/>
  <c r="U199" i="7"/>
  <c r="T263" i="7"/>
  <c r="U263" i="7"/>
  <c r="T132" i="7"/>
  <c r="U132" i="7"/>
  <c r="T282" i="7"/>
  <c r="U282" i="7"/>
  <c r="T191" i="7"/>
  <c r="U191" i="7"/>
  <c r="T93" i="7"/>
  <c r="U93" i="7"/>
  <c r="T197" i="7"/>
  <c r="U197" i="7"/>
  <c r="T52" i="7"/>
  <c r="U52" i="7"/>
  <c r="T109" i="7"/>
  <c r="U109" i="7"/>
  <c r="T141" i="7"/>
  <c r="U141" i="7"/>
  <c r="T246" i="7"/>
  <c r="U246" i="7"/>
  <c r="U173" i="7"/>
  <c r="T173" i="7"/>
  <c r="T105" i="7"/>
  <c r="U105" i="7"/>
  <c r="T144" i="7"/>
  <c r="U144" i="7"/>
  <c r="T231" i="7"/>
  <c r="U231" i="7"/>
  <c r="T212" i="7"/>
  <c r="U212" i="7"/>
  <c r="T54" i="7"/>
  <c r="U54" i="7"/>
  <c r="T156" i="7"/>
  <c r="U156" i="7"/>
  <c r="T121" i="7"/>
  <c r="U121" i="7"/>
  <c r="U293" i="7"/>
  <c r="T293" i="7"/>
  <c r="T215" i="7"/>
  <c r="U215" i="7"/>
  <c r="T266" i="7"/>
  <c r="U266" i="7"/>
  <c r="T89" i="7"/>
  <c r="U89" i="7"/>
  <c r="U114" i="7"/>
  <c r="T114" i="7"/>
  <c r="T70" i="7"/>
  <c r="U70" i="7"/>
  <c r="T309" i="7"/>
  <c r="U309" i="7"/>
  <c r="T226" i="7"/>
  <c r="U226" i="7"/>
  <c r="T167" i="7"/>
  <c r="U167" i="7"/>
  <c r="T47" i="7"/>
  <c r="U47" i="7"/>
  <c r="U233" i="7"/>
  <c r="T233" i="7"/>
  <c r="U64" i="7"/>
  <c r="T64" i="7"/>
  <c r="T139" i="7"/>
  <c r="U139" i="7"/>
  <c r="T283" i="7"/>
  <c r="U283" i="7"/>
  <c r="T323" i="7"/>
  <c r="U323" i="7"/>
  <c r="U126" i="7"/>
  <c r="T126" i="7"/>
  <c r="T83" i="7"/>
  <c r="U83" i="7"/>
  <c r="T325" i="7"/>
  <c r="U325" i="7"/>
  <c r="T321" i="7"/>
  <c r="U321" i="7"/>
  <c r="U256" i="7"/>
  <c r="T256" i="7"/>
  <c r="T159" i="7"/>
  <c r="U159" i="7"/>
  <c r="J104" i="7"/>
  <c r="AO104" i="7" s="1"/>
  <c r="AP104" i="7" s="1"/>
  <c r="T302" i="7"/>
  <c r="U302" i="7"/>
  <c r="J246" i="7"/>
  <c r="AA246" i="7" s="1"/>
  <c r="T104" i="7"/>
  <c r="U104" i="7"/>
  <c r="J173" i="7"/>
  <c r="AO173" i="7" s="1"/>
  <c r="AP173" i="7" s="1"/>
  <c r="U190" i="7"/>
  <c r="T190" i="7"/>
  <c r="T261" i="7"/>
  <c r="U261" i="7"/>
  <c r="T101" i="7"/>
  <c r="U101" i="7"/>
  <c r="T171" i="7"/>
  <c r="U171" i="7"/>
  <c r="U201" i="7"/>
  <c r="T201" i="7"/>
  <c r="T308" i="7"/>
  <c r="U308" i="7"/>
  <c r="T65" i="7"/>
  <c r="U65" i="7"/>
  <c r="T66" i="7"/>
  <c r="U66" i="7"/>
  <c r="U72" i="7"/>
  <c r="T72" i="7"/>
  <c r="T59" i="7"/>
  <c r="U59" i="7"/>
  <c r="T232" i="7"/>
  <c r="U232" i="7"/>
  <c r="T195" i="7"/>
  <c r="U195" i="7"/>
  <c r="T172" i="7"/>
  <c r="U172" i="7"/>
  <c r="U154" i="7"/>
  <c r="T154" i="7"/>
  <c r="T281" i="7"/>
  <c r="U281" i="7"/>
  <c r="T268" i="7"/>
  <c r="U268" i="7"/>
  <c r="T145" i="7"/>
  <c r="U145" i="7"/>
  <c r="T69" i="7"/>
  <c r="U69" i="7"/>
  <c r="U230" i="7"/>
  <c r="T230" i="7"/>
  <c r="U88" i="7"/>
  <c r="T88" i="7"/>
  <c r="T124" i="7"/>
  <c r="U124" i="7"/>
  <c r="T307" i="7"/>
  <c r="U307" i="7"/>
  <c r="T111" i="7"/>
  <c r="U111" i="7"/>
  <c r="U90" i="7"/>
  <c r="T90" i="7"/>
  <c r="U235" i="7"/>
  <c r="T235" i="7"/>
  <c r="T80" i="7"/>
  <c r="U80" i="7"/>
  <c r="U237" i="7"/>
  <c r="T237" i="7"/>
  <c r="T51" i="7"/>
  <c r="U51" i="7"/>
  <c r="T314" i="7"/>
  <c r="U314" i="7"/>
  <c r="U255" i="7"/>
  <c r="T255" i="7"/>
  <c r="T81" i="7"/>
  <c r="U81" i="7"/>
  <c r="T193" i="7"/>
  <c r="U193" i="7"/>
  <c r="U303" i="7"/>
  <c r="T303" i="7"/>
  <c r="T97" i="7"/>
  <c r="U97" i="7"/>
  <c r="T260" i="7"/>
  <c r="U260" i="7"/>
  <c r="U142" i="7"/>
  <c r="T142" i="7"/>
  <c r="T113" i="7"/>
  <c r="U113" i="7"/>
  <c r="U135" i="7"/>
  <c r="T135" i="7"/>
  <c r="J206" i="7"/>
  <c r="AA206" i="7" s="1"/>
  <c r="U169" i="7"/>
  <c r="T169" i="7"/>
  <c r="T208" i="7"/>
  <c r="U208" i="7"/>
  <c r="T294" i="7"/>
  <c r="U294" i="7"/>
  <c r="T118" i="7"/>
  <c r="U118" i="7"/>
  <c r="U220" i="7"/>
  <c r="T220" i="7"/>
  <c r="T312" i="7"/>
  <c r="U312" i="7"/>
  <c r="T251" i="7"/>
  <c r="U251" i="7"/>
  <c r="T39" i="7"/>
  <c r="U39" i="7"/>
  <c r="T175" i="7"/>
  <c r="U175" i="7"/>
  <c r="T53" i="7"/>
  <c r="U53" i="7"/>
  <c r="T123" i="7"/>
  <c r="U123" i="7"/>
  <c r="U270" i="7"/>
  <c r="T270" i="7"/>
  <c r="T295" i="7"/>
  <c r="U295" i="7"/>
  <c r="T134" i="7"/>
  <c r="U134" i="7"/>
  <c r="T236" i="7"/>
  <c r="U236" i="7"/>
  <c r="T82" i="7"/>
  <c r="U82" i="7"/>
  <c r="T238" i="7"/>
  <c r="U238" i="7"/>
  <c r="T275" i="7"/>
  <c r="U275" i="7"/>
  <c r="T176" i="7"/>
  <c r="U176" i="7"/>
  <c r="T133" i="7"/>
  <c r="U133" i="7"/>
  <c r="U86" i="7"/>
  <c r="T86" i="7"/>
  <c r="U250" i="7"/>
  <c r="T250" i="7"/>
  <c r="T218" i="7"/>
  <c r="U218" i="7"/>
  <c r="T79" i="7"/>
  <c r="U79" i="7"/>
  <c r="T196" i="7"/>
  <c r="U196" i="7"/>
  <c r="T38" i="7"/>
  <c r="U38" i="7"/>
  <c r="T91" i="7"/>
  <c r="U91" i="7"/>
  <c r="U185" i="7"/>
  <c r="T185" i="7"/>
  <c r="T143" i="7"/>
  <c r="U143" i="7"/>
  <c r="T280" i="7"/>
  <c r="U280" i="7"/>
  <c r="J237" i="7"/>
  <c r="AO237" i="7" s="1"/>
  <c r="AP237" i="7" s="1"/>
  <c r="T194" i="7"/>
  <c r="U194" i="7"/>
  <c r="T56" i="7"/>
  <c r="U56" i="7"/>
  <c r="T43" i="7"/>
  <c r="U43" i="7"/>
  <c r="T95" i="7"/>
  <c r="U95" i="7"/>
  <c r="T206" i="7"/>
  <c r="U206" i="7"/>
  <c r="T276" i="7"/>
  <c r="U276" i="7"/>
  <c r="U165" i="7"/>
  <c r="T165" i="7"/>
  <c r="T296" i="7"/>
  <c r="U296" i="7"/>
  <c r="U177" i="7"/>
  <c r="T177" i="7"/>
  <c r="T77" i="7"/>
  <c r="U77" i="7"/>
  <c r="T216" i="7"/>
  <c r="U216" i="7"/>
  <c r="T166" i="7"/>
  <c r="U166" i="7"/>
  <c r="T120" i="7"/>
  <c r="U120" i="7"/>
  <c r="T162" i="7"/>
  <c r="U162" i="7"/>
  <c r="U138" i="7"/>
  <c r="T138" i="7"/>
  <c r="T73" i="7"/>
  <c r="U73" i="7"/>
  <c r="T57" i="7"/>
  <c r="U57" i="7"/>
  <c r="T317" i="7"/>
  <c r="U317" i="7"/>
  <c r="U324" i="7"/>
  <c r="T324" i="7"/>
  <c r="T180" i="7"/>
  <c r="U180" i="7"/>
  <c r="T136" i="7"/>
  <c r="U136" i="7"/>
  <c r="T320" i="7"/>
  <c r="U320" i="7"/>
  <c r="U178" i="7"/>
  <c r="T178" i="7"/>
  <c r="U188" i="7"/>
  <c r="T188" i="7"/>
  <c r="T40" i="7"/>
  <c r="U40" i="7"/>
  <c r="T157" i="7"/>
  <c r="U157" i="7"/>
  <c r="U286" i="7"/>
  <c r="T286" i="7"/>
  <c r="T223" i="7"/>
  <c r="U223" i="7"/>
  <c r="T161" i="7"/>
  <c r="U161" i="7"/>
  <c r="T116" i="7"/>
  <c r="U116" i="7"/>
  <c r="U315" i="7"/>
  <c r="T315" i="7"/>
  <c r="T46" i="7"/>
  <c r="U46" i="7"/>
  <c r="T78" i="7"/>
  <c r="U78" i="7"/>
  <c r="T67" i="7"/>
  <c r="U67" i="7"/>
  <c r="U319" i="7"/>
  <c r="T319" i="7"/>
  <c r="J306" i="7"/>
  <c r="AA306" i="7" s="1"/>
  <c r="J214" i="7"/>
  <c r="AQ214" i="7" s="1"/>
  <c r="J146" i="7"/>
  <c r="AQ146" i="7" s="1"/>
  <c r="J89" i="7"/>
  <c r="AA89" i="7" s="1"/>
  <c r="J249" i="7"/>
  <c r="AO249" i="7" s="1"/>
  <c r="AP249" i="7" s="1"/>
  <c r="J289" i="7"/>
  <c r="AQ289" i="7" s="1"/>
  <c r="J224" i="7"/>
  <c r="AA224" i="7" s="1"/>
  <c r="AB224" i="7" s="1"/>
  <c r="J316" i="7"/>
  <c r="AA316" i="7" s="1"/>
  <c r="J147" i="7"/>
  <c r="AA147" i="7" s="1"/>
  <c r="AB147" i="7" s="1"/>
  <c r="J62" i="7"/>
  <c r="AA62" i="7" s="1"/>
  <c r="J150" i="7"/>
  <c r="AQ150" i="7" s="1"/>
  <c r="J130" i="7"/>
  <c r="AA130" i="7" s="1"/>
  <c r="J76" i="7"/>
  <c r="AQ76" i="7" s="1"/>
  <c r="J137" i="7"/>
  <c r="AA137" i="7" s="1"/>
  <c r="J168" i="7"/>
  <c r="AO168" i="7" s="1"/>
  <c r="AP168" i="7" s="1"/>
  <c r="J102" i="7"/>
  <c r="AO102" i="7" s="1"/>
  <c r="AP102" i="7" s="1"/>
  <c r="J128" i="7"/>
  <c r="AO128" i="7" s="1"/>
  <c r="AP128" i="7" s="1"/>
  <c r="J155" i="7"/>
  <c r="AA155" i="7" s="1"/>
  <c r="J190" i="7"/>
  <c r="AO190" i="7" s="1"/>
  <c r="AP190" i="7" s="1"/>
  <c r="J95" i="7"/>
  <c r="AO95" i="7" s="1"/>
  <c r="AP95" i="7" s="1"/>
  <c r="M254" i="7"/>
  <c r="L254" i="7"/>
  <c r="J290" i="7"/>
  <c r="M265" i="7"/>
  <c r="L265" i="7"/>
  <c r="L85" i="7"/>
  <c r="M85" i="7"/>
  <c r="L115" i="7"/>
  <c r="M115" i="7"/>
  <c r="M292" i="7"/>
  <c r="L292" i="7"/>
  <c r="L258" i="7"/>
  <c r="M258" i="7"/>
  <c r="M199" i="7"/>
  <c r="L199" i="7"/>
  <c r="J227" i="7"/>
  <c r="J42" i="7"/>
  <c r="L131" i="7"/>
  <c r="M131" i="7"/>
  <c r="J276" i="7"/>
  <c r="J208" i="7"/>
  <c r="J165" i="7"/>
  <c r="J294" i="7"/>
  <c r="J177" i="7"/>
  <c r="J118" i="7"/>
  <c r="J220" i="7"/>
  <c r="J46" i="7"/>
  <c r="M77" i="7"/>
  <c r="L77" i="7"/>
  <c r="J251" i="7"/>
  <c r="J78" i="7"/>
  <c r="J216" i="7"/>
  <c r="J166" i="7"/>
  <c r="J39" i="7"/>
  <c r="M120" i="7"/>
  <c r="L120" i="7"/>
  <c r="J175" i="7"/>
  <c r="M94" i="7"/>
  <c r="L94" i="7"/>
  <c r="L147" i="7"/>
  <c r="M147" i="7"/>
  <c r="J254" i="7"/>
  <c r="M252" i="7"/>
  <c r="L252" i="7"/>
  <c r="M213" i="7"/>
  <c r="L213" i="7"/>
  <c r="M55" i="7"/>
  <c r="L55" i="7"/>
  <c r="M62" i="7"/>
  <c r="L62" i="7"/>
  <c r="M279" i="7"/>
  <c r="L279" i="7"/>
  <c r="J209" i="7"/>
  <c r="J98" i="7"/>
  <c r="J211" i="7"/>
  <c r="J119" i="7"/>
  <c r="L221" i="7"/>
  <c r="M221" i="7"/>
  <c r="J170" i="7"/>
  <c r="J115" i="7"/>
  <c r="J131" i="7"/>
  <c r="M276" i="7"/>
  <c r="L276" i="7"/>
  <c r="M165" i="7"/>
  <c r="L165" i="7"/>
  <c r="M296" i="7"/>
  <c r="L296" i="7"/>
  <c r="L177" i="7"/>
  <c r="M177" i="7"/>
  <c r="L46" i="7"/>
  <c r="M46" i="7"/>
  <c r="J77" i="7"/>
  <c r="M78" i="7"/>
  <c r="L78" i="7"/>
  <c r="M216" i="7"/>
  <c r="L216" i="7"/>
  <c r="M166" i="7"/>
  <c r="L166" i="7"/>
  <c r="J120" i="7"/>
  <c r="M255" i="7"/>
  <c r="L255" i="7"/>
  <c r="J66" i="7"/>
  <c r="M72" i="7"/>
  <c r="L72" i="7"/>
  <c r="M59" i="7"/>
  <c r="L59" i="7"/>
  <c r="J232" i="7"/>
  <c r="J114" i="7"/>
  <c r="L195" i="7"/>
  <c r="M195" i="7"/>
  <c r="J70" i="7"/>
  <c r="M172" i="7"/>
  <c r="L172" i="7"/>
  <c r="J154" i="7"/>
  <c r="J309" i="7"/>
  <c r="M281" i="7"/>
  <c r="L281" i="7"/>
  <c r="J226" i="7"/>
  <c r="J167" i="7"/>
  <c r="J268" i="7"/>
  <c r="M290" i="7"/>
  <c r="L290" i="7"/>
  <c r="J279" i="7"/>
  <c r="M150" i="7"/>
  <c r="L150" i="7"/>
  <c r="L130" i="7"/>
  <c r="M130" i="7"/>
  <c r="J221" i="7"/>
  <c r="M76" i="7"/>
  <c r="L76" i="7"/>
  <c r="M137" i="7"/>
  <c r="L137" i="7"/>
  <c r="M168" i="7"/>
  <c r="L168" i="7"/>
  <c r="M102" i="7"/>
  <c r="L102" i="7"/>
  <c r="J265" i="7"/>
  <c r="L128" i="7"/>
  <c r="M128" i="7"/>
  <c r="J85" i="7"/>
  <c r="M155" i="7"/>
  <c r="L155" i="7"/>
  <c r="M42" i="7"/>
  <c r="L42" i="7"/>
  <c r="L208" i="7"/>
  <c r="M208" i="7"/>
  <c r="M294" i="7"/>
  <c r="L294" i="7"/>
  <c r="M118" i="7"/>
  <c r="L118" i="7"/>
  <c r="M220" i="7"/>
  <c r="L220" i="7"/>
  <c r="M312" i="7"/>
  <c r="L312" i="7"/>
  <c r="M251" i="7"/>
  <c r="L251" i="7"/>
  <c r="M39" i="7"/>
  <c r="L39" i="7"/>
  <c r="M175" i="7"/>
  <c r="L175" i="7"/>
  <c r="J255" i="7"/>
  <c r="L66" i="7"/>
  <c r="M66" i="7"/>
  <c r="J72" i="7"/>
  <c r="J59" i="7"/>
  <c r="M232" i="7"/>
  <c r="L232" i="7"/>
  <c r="J195" i="7"/>
  <c r="J172" i="7"/>
  <c r="J191" i="7"/>
  <c r="M154" i="7"/>
  <c r="L154" i="7"/>
  <c r="J281" i="7"/>
  <c r="M268" i="7"/>
  <c r="L268" i="7"/>
  <c r="J47" i="7"/>
  <c r="J233" i="7"/>
  <c r="J64" i="7"/>
  <c r="J145" i="7"/>
  <c r="J69" i="7"/>
  <c r="J139" i="7"/>
  <c r="J283" i="7"/>
  <c r="L211" i="7"/>
  <c r="M211" i="7"/>
  <c r="L146" i="7"/>
  <c r="M146" i="7"/>
  <c r="J234" i="7"/>
  <c r="L200" i="7"/>
  <c r="M200" i="7"/>
  <c r="L222" i="7"/>
  <c r="M222" i="7"/>
  <c r="J311" i="7"/>
  <c r="J68" i="7"/>
  <c r="L285" i="7"/>
  <c r="M285" i="7"/>
  <c r="J296" i="7"/>
  <c r="J312" i="7"/>
  <c r="L114" i="7"/>
  <c r="M114" i="7"/>
  <c r="M70" i="7"/>
  <c r="L70" i="7"/>
  <c r="M191" i="7"/>
  <c r="L191" i="7"/>
  <c r="M309" i="7"/>
  <c r="L309" i="7"/>
  <c r="L226" i="7"/>
  <c r="M226" i="7"/>
  <c r="M167" i="7"/>
  <c r="L167" i="7"/>
  <c r="M93" i="7"/>
  <c r="L93" i="7"/>
  <c r="L145" i="7"/>
  <c r="M145" i="7"/>
  <c r="M69" i="7"/>
  <c r="L69" i="7"/>
  <c r="J284" i="7"/>
  <c r="L239" i="7"/>
  <c r="M239" i="7"/>
  <c r="J271" i="7"/>
  <c r="M217" i="7"/>
  <c r="L217" i="7"/>
  <c r="J50" i="7"/>
  <c r="L299" i="7"/>
  <c r="M299" i="7"/>
  <c r="J158" i="7"/>
  <c r="J310" i="7"/>
  <c r="J242" i="7"/>
  <c r="J183" i="7"/>
  <c r="M45" i="7"/>
  <c r="L45" i="7"/>
  <c r="J244" i="7"/>
  <c r="M152" i="7"/>
  <c r="L152" i="7"/>
  <c r="J267" i="7"/>
  <c r="L288" i="7"/>
  <c r="M288" i="7"/>
  <c r="L272" i="7"/>
  <c r="M272" i="7"/>
  <c r="L259" i="7"/>
  <c r="M259" i="7"/>
  <c r="J149" i="7"/>
  <c r="L198" i="7"/>
  <c r="M198" i="7"/>
  <c r="M219" i="7"/>
  <c r="L219" i="7"/>
  <c r="L99" i="7"/>
  <c r="M99" i="7"/>
  <c r="M311" i="7"/>
  <c r="L311" i="7"/>
  <c r="L68" i="7"/>
  <c r="M68" i="7"/>
  <c r="J106" i="7"/>
  <c r="J186" i="7"/>
  <c r="J92" i="7"/>
  <c r="J49" i="7"/>
  <c r="J63" i="7"/>
  <c r="L241" i="7"/>
  <c r="M241" i="7"/>
  <c r="J182" i="7"/>
  <c r="L61" i="7"/>
  <c r="M61" i="7"/>
  <c r="M245" i="7"/>
  <c r="L245" i="7"/>
  <c r="J87" i="7"/>
  <c r="J318" i="7"/>
  <c r="J148" i="7"/>
  <c r="J48" i="7"/>
  <c r="L129" i="7"/>
  <c r="M129" i="7"/>
  <c r="J58" i="7"/>
  <c r="M297" i="7"/>
  <c r="L297" i="7"/>
  <c r="J127" i="7"/>
  <c r="J93" i="7"/>
  <c r="M47" i="7"/>
  <c r="L47" i="7"/>
  <c r="M233" i="7"/>
  <c r="L233" i="7"/>
  <c r="L64" i="7"/>
  <c r="M64" i="7"/>
  <c r="M139" i="7"/>
  <c r="L139" i="7"/>
  <c r="M283" i="7"/>
  <c r="L283" i="7"/>
  <c r="J239" i="7"/>
  <c r="J217" i="7"/>
  <c r="L50" i="7"/>
  <c r="M50" i="7"/>
  <c r="M158" i="7"/>
  <c r="L158" i="7"/>
  <c r="L242" i="7"/>
  <c r="M242" i="7"/>
  <c r="J45" i="7"/>
  <c r="L163" i="7"/>
  <c r="M163" i="7"/>
  <c r="M244" i="7"/>
  <c r="L244" i="7"/>
  <c r="J152" i="7"/>
  <c r="J288" i="7"/>
  <c r="J272" i="7"/>
  <c r="J274" i="7"/>
  <c r="J259" i="7"/>
  <c r="J198" i="7"/>
  <c r="M291" i="7"/>
  <c r="L291" i="7"/>
  <c r="L205" i="7"/>
  <c r="M205" i="7"/>
  <c r="M234" i="7"/>
  <c r="L234" i="7"/>
  <c r="M269" i="7"/>
  <c r="L269" i="7"/>
  <c r="J222" i="7"/>
  <c r="M106" i="7"/>
  <c r="L106" i="7"/>
  <c r="J285" i="7"/>
  <c r="L49" i="7"/>
  <c r="M49" i="7"/>
  <c r="L301" i="7"/>
  <c r="M301" i="7"/>
  <c r="J287" i="7"/>
  <c r="J241" i="7"/>
  <c r="J61" i="7"/>
  <c r="J245" i="7"/>
  <c r="M87" i="7"/>
  <c r="L87" i="7"/>
  <c r="L189" i="7"/>
  <c r="M189" i="7"/>
  <c r="L162" i="7"/>
  <c r="M162" i="7"/>
  <c r="J53" i="7"/>
  <c r="J123" i="7"/>
  <c r="J270" i="7"/>
  <c r="M138" i="7"/>
  <c r="L138" i="7"/>
  <c r="J73" i="7"/>
  <c r="J295" i="7"/>
  <c r="J134" i="7"/>
  <c r="J236" i="7"/>
  <c r="J57" i="7"/>
  <c r="J317" i="7"/>
  <c r="J324" i="7"/>
  <c r="L67" i="7"/>
  <c r="M67" i="7"/>
  <c r="L284" i="7"/>
  <c r="M284" i="7"/>
  <c r="L271" i="7"/>
  <c r="M271" i="7"/>
  <c r="J299" i="7"/>
  <c r="M310" i="7"/>
  <c r="L310" i="7"/>
  <c r="M183" i="7"/>
  <c r="L183" i="7"/>
  <c r="J163" i="7"/>
  <c r="M267" i="7"/>
  <c r="L267" i="7"/>
  <c r="L192" i="7"/>
  <c r="M192" i="7"/>
  <c r="M149" i="7"/>
  <c r="L149" i="7"/>
  <c r="O132" i="7"/>
  <c r="O260" i="7"/>
  <c r="O117" i="7"/>
  <c r="O245" i="7"/>
  <c r="O102" i="7"/>
  <c r="O230" i="7"/>
  <c r="O87" i="7"/>
  <c r="O215" i="7"/>
  <c r="O72" i="7"/>
  <c r="O200" i="7"/>
  <c r="O324" i="7"/>
  <c r="O57" i="7"/>
  <c r="O185" i="7"/>
  <c r="O309" i="7"/>
  <c r="O58" i="7"/>
  <c r="O186" i="7"/>
  <c r="O310" i="7"/>
  <c r="O211" i="7"/>
  <c r="O91" i="7"/>
  <c r="O319" i="7"/>
  <c r="O266" i="7"/>
  <c r="O140" i="7"/>
  <c r="O267" i="7"/>
  <c r="O125" i="7"/>
  <c r="O253" i="7"/>
  <c r="O110" i="7"/>
  <c r="O238" i="7"/>
  <c r="O95" i="7"/>
  <c r="O223" i="7"/>
  <c r="O80" i="7"/>
  <c r="O208" i="7"/>
  <c r="O65" i="7"/>
  <c r="O193" i="7"/>
  <c r="O317" i="7"/>
  <c r="O66" i="7"/>
  <c r="O194" i="7"/>
  <c r="O318" i="7"/>
  <c r="O274" i="7"/>
  <c r="O155" i="7"/>
  <c r="O139" i="7"/>
  <c r="O148" i="7"/>
  <c r="O275" i="7"/>
  <c r="O133" i="7"/>
  <c r="O118" i="7"/>
  <c r="O246" i="7"/>
  <c r="O103" i="7"/>
  <c r="O231" i="7"/>
  <c r="O88" i="7"/>
  <c r="O216" i="7"/>
  <c r="O73" i="7"/>
  <c r="O201" i="7"/>
  <c r="O325" i="7"/>
  <c r="O74" i="7"/>
  <c r="O202" i="7"/>
  <c r="O219" i="7"/>
  <c r="O99" i="7"/>
  <c r="O156" i="7"/>
  <c r="O141" i="7"/>
  <c r="O268" i="7"/>
  <c r="O126" i="7"/>
  <c r="O254" i="7"/>
  <c r="O111" i="7"/>
  <c r="O239" i="7"/>
  <c r="O96" i="7"/>
  <c r="O224" i="7"/>
  <c r="O81" i="7"/>
  <c r="O209" i="7"/>
  <c r="O82" i="7"/>
  <c r="O210" i="7"/>
  <c r="O163" i="7"/>
  <c r="O36" i="7"/>
  <c r="O164" i="7"/>
  <c r="O288" i="7"/>
  <c r="O149" i="7"/>
  <c r="O276" i="7"/>
  <c r="O134" i="7"/>
  <c r="O261" i="7"/>
  <c r="O119" i="7"/>
  <c r="O247" i="7"/>
  <c r="O104" i="7"/>
  <c r="O232" i="7"/>
  <c r="O89" i="7"/>
  <c r="O217" i="7"/>
  <c r="O90" i="7"/>
  <c r="O218" i="7"/>
  <c r="O227" i="7"/>
  <c r="O43" i="7"/>
  <c r="O44" i="7"/>
  <c r="O172" i="7"/>
  <c r="O296" i="7"/>
  <c r="O157" i="7"/>
  <c r="O142" i="7"/>
  <c r="O269" i="7"/>
  <c r="O127" i="7"/>
  <c r="O255" i="7"/>
  <c r="O112" i="7"/>
  <c r="O240" i="7"/>
  <c r="O97" i="7"/>
  <c r="O225" i="7"/>
  <c r="O98" i="7"/>
  <c r="O226" i="7"/>
  <c r="O287" i="7"/>
  <c r="O107" i="7"/>
  <c r="O52" i="7"/>
  <c r="O180" i="7"/>
  <c r="O304" i="7"/>
  <c r="O37" i="7"/>
  <c r="O165" i="7"/>
  <c r="O289" i="7"/>
  <c r="O150" i="7"/>
  <c r="O277" i="7"/>
  <c r="O135" i="7"/>
  <c r="O262" i="7"/>
  <c r="O120" i="7"/>
  <c r="O248" i="7"/>
  <c r="O105" i="7"/>
  <c r="O233" i="7"/>
  <c r="O106" i="7"/>
  <c r="O234" i="7"/>
  <c r="O171" i="7"/>
  <c r="O51" i="7"/>
  <c r="O60" i="7"/>
  <c r="O188" i="7"/>
  <c r="O312" i="7"/>
  <c r="O45" i="7"/>
  <c r="O173" i="7"/>
  <c r="O297" i="7"/>
  <c r="O158" i="7"/>
  <c r="O282" i="7"/>
  <c r="O143" i="7"/>
  <c r="O270" i="7"/>
  <c r="O128" i="7"/>
  <c r="O256" i="7"/>
  <c r="O113" i="7"/>
  <c r="O241" i="7"/>
  <c r="O114" i="7"/>
  <c r="O242" i="7"/>
  <c r="O235" i="7"/>
  <c r="O115" i="7"/>
  <c r="O68" i="7"/>
  <c r="O196" i="7"/>
  <c r="O320" i="7"/>
  <c r="O53" i="7"/>
  <c r="O181" i="7"/>
  <c r="O305" i="7"/>
  <c r="O38" i="7"/>
  <c r="O166" i="7"/>
  <c r="O290" i="7"/>
  <c r="O151" i="7"/>
  <c r="O278" i="7"/>
  <c r="O136" i="7"/>
  <c r="O263" i="7"/>
  <c r="O121" i="7"/>
  <c r="O249" i="7"/>
  <c r="O122" i="7"/>
  <c r="O250" i="7"/>
  <c r="O295" i="7"/>
  <c r="O179" i="7"/>
  <c r="O59" i="7"/>
  <c r="O76" i="7"/>
  <c r="O204" i="7"/>
  <c r="O61" i="7"/>
  <c r="O189" i="7"/>
  <c r="O313" i="7"/>
  <c r="O46" i="7"/>
  <c r="O174" i="7"/>
  <c r="O298" i="7"/>
  <c r="O159" i="7"/>
  <c r="O283" i="7"/>
  <c r="O144" i="7"/>
  <c r="O271" i="7"/>
  <c r="O129" i="7"/>
  <c r="O257" i="7"/>
  <c r="O130" i="7"/>
  <c r="O258" i="7"/>
  <c r="O243" i="7"/>
  <c r="O123" i="7"/>
  <c r="O75" i="7"/>
  <c r="O203" i="7"/>
  <c r="O84" i="7"/>
  <c r="O212" i="7"/>
  <c r="O69" i="7"/>
  <c r="O197" i="7"/>
  <c r="O321" i="7"/>
  <c r="O54" i="7"/>
  <c r="O182" i="7"/>
  <c r="O306" i="7"/>
  <c r="O39" i="7"/>
  <c r="O167" i="7"/>
  <c r="O291" i="7"/>
  <c r="O152" i="7"/>
  <c r="O279" i="7"/>
  <c r="O137" i="7"/>
  <c r="O264" i="7"/>
  <c r="O138" i="7"/>
  <c r="O265" i="7"/>
  <c r="O35" i="7"/>
  <c r="O303" i="7"/>
  <c r="O187" i="7"/>
  <c r="O92" i="7"/>
  <c r="O220" i="7"/>
  <c r="O77" i="7"/>
  <c r="O205" i="7"/>
  <c r="O62" i="7"/>
  <c r="O190" i="7"/>
  <c r="O314" i="7"/>
  <c r="O47" i="7"/>
  <c r="O175" i="7"/>
  <c r="O299" i="7"/>
  <c r="O160" i="7"/>
  <c r="O284" i="7"/>
  <c r="O145" i="7"/>
  <c r="O272" i="7"/>
  <c r="O146" i="7"/>
  <c r="O273" i="7"/>
  <c r="O251" i="7"/>
  <c r="O100" i="7"/>
  <c r="O228" i="7"/>
  <c r="O85" i="7"/>
  <c r="O213" i="7"/>
  <c r="O70" i="7"/>
  <c r="O198" i="7"/>
  <c r="O322" i="7"/>
  <c r="O55" i="7"/>
  <c r="O183" i="7"/>
  <c r="O307" i="7"/>
  <c r="O40" i="7"/>
  <c r="O168" i="7"/>
  <c r="O292" i="7"/>
  <c r="O153" i="7"/>
  <c r="O280" i="7"/>
  <c r="O154" i="7"/>
  <c r="O281" i="7"/>
  <c r="O311" i="7"/>
  <c r="O67" i="7"/>
  <c r="O108" i="7"/>
  <c r="O236" i="7"/>
  <c r="O93" i="7"/>
  <c r="O221" i="7"/>
  <c r="O78" i="7"/>
  <c r="O206" i="7"/>
  <c r="O63" i="7"/>
  <c r="O191" i="7"/>
  <c r="O315" i="7"/>
  <c r="O48" i="7"/>
  <c r="O176" i="7"/>
  <c r="O300" i="7"/>
  <c r="O161" i="7"/>
  <c r="O285" i="7"/>
  <c r="O162" i="7"/>
  <c r="O286" i="7"/>
  <c r="O131" i="7"/>
  <c r="O116" i="7"/>
  <c r="O199" i="7"/>
  <c r="O294" i="7"/>
  <c r="O124" i="7"/>
  <c r="O207" i="7"/>
  <c r="O302" i="7"/>
  <c r="O244" i="7"/>
  <c r="O323" i="7"/>
  <c r="O41" i="7"/>
  <c r="O252" i="7"/>
  <c r="O49" i="7"/>
  <c r="O86" i="7"/>
  <c r="O169" i="7"/>
  <c r="O94" i="7"/>
  <c r="O177" i="7"/>
  <c r="O214" i="7"/>
  <c r="O293" i="7"/>
  <c r="O83" i="7"/>
  <c r="O222" i="7"/>
  <c r="O301" i="7"/>
  <c r="O147" i="7"/>
  <c r="O56" i="7"/>
  <c r="O64" i="7"/>
  <c r="O101" i="7"/>
  <c r="O184" i="7"/>
  <c r="O109" i="7"/>
  <c r="O192" i="7"/>
  <c r="O229" i="7"/>
  <c r="O308" i="7"/>
  <c r="O42" i="7"/>
  <c r="O195" i="7"/>
  <c r="O237" i="7"/>
  <c r="O316" i="7"/>
  <c r="O50" i="7"/>
  <c r="O259" i="7"/>
  <c r="O71" i="7"/>
  <c r="O79" i="7"/>
  <c r="O170" i="7"/>
  <c r="O178" i="7"/>
  <c r="M119" i="7"/>
  <c r="L119" i="7"/>
  <c r="M186" i="7"/>
  <c r="L186" i="7"/>
  <c r="M92" i="7"/>
  <c r="L92" i="7"/>
  <c r="J301" i="7"/>
  <c r="M63" i="7"/>
  <c r="L63" i="7"/>
  <c r="M182" i="7"/>
  <c r="L182" i="7"/>
  <c r="J189" i="7"/>
  <c r="L318" i="7"/>
  <c r="M318" i="7"/>
  <c r="L148" i="7"/>
  <c r="M148" i="7"/>
  <c r="L48" i="7"/>
  <c r="M48" i="7"/>
  <c r="J129" i="7"/>
  <c r="J243" i="7"/>
  <c r="M58" i="7"/>
  <c r="L58" i="7"/>
  <c r="J297" i="7"/>
  <c r="M127" i="7"/>
  <c r="L127" i="7"/>
  <c r="L81" i="7"/>
  <c r="M81" i="7"/>
  <c r="J162" i="7"/>
  <c r="J138" i="7"/>
  <c r="M73" i="7"/>
  <c r="L73" i="7"/>
  <c r="J193" i="7"/>
  <c r="M57" i="7"/>
  <c r="L57" i="7"/>
  <c r="L317" i="7"/>
  <c r="M317" i="7"/>
  <c r="J303" i="7"/>
  <c r="M324" i="7"/>
  <c r="L324" i="7"/>
  <c r="J67" i="7"/>
  <c r="M180" i="7"/>
  <c r="L180" i="7"/>
  <c r="J136" i="7"/>
  <c r="J275" i="7"/>
  <c r="J320" i="7"/>
  <c r="J176" i="7"/>
  <c r="J133" i="7"/>
  <c r="L274" i="7"/>
  <c r="M274" i="7"/>
  <c r="J192" i="7"/>
  <c r="AQ302" i="7"/>
  <c r="AA302" i="7"/>
  <c r="AO302" i="7"/>
  <c r="AP302" i="7" s="1"/>
  <c r="L173" i="7"/>
  <c r="M173" i="7"/>
  <c r="L302" i="7"/>
  <c r="M302" i="7"/>
  <c r="M263" i="7"/>
  <c r="L263" i="7"/>
  <c r="J105" i="7"/>
  <c r="M190" i="7"/>
  <c r="L190" i="7"/>
  <c r="L287" i="7"/>
  <c r="M287" i="7"/>
  <c r="L243" i="7"/>
  <c r="M243" i="7"/>
  <c r="J81" i="7"/>
  <c r="M53" i="7"/>
  <c r="L53" i="7"/>
  <c r="M123" i="7"/>
  <c r="L123" i="7"/>
  <c r="M270" i="7"/>
  <c r="L270" i="7"/>
  <c r="M295" i="7"/>
  <c r="L295" i="7"/>
  <c r="L193" i="7"/>
  <c r="M193" i="7"/>
  <c r="M134" i="7"/>
  <c r="L134" i="7"/>
  <c r="M236" i="7"/>
  <c r="L236" i="7"/>
  <c r="L82" i="7"/>
  <c r="M82" i="7"/>
  <c r="J180" i="7"/>
  <c r="M136" i="7"/>
  <c r="L136" i="7"/>
  <c r="M320" i="7"/>
  <c r="L320" i="7"/>
  <c r="M230" i="7"/>
  <c r="L230" i="7"/>
  <c r="J88" i="7"/>
  <c r="J124" i="7"/>
  <c r="M307" i="7"/>
  <c r="L307" i="7"/>
  <c r="J323" i="7"/>
  <c r="M111" i="7"/>
  <c r="L111" i="7"/>
  <c r="L126" i="7"/>
  <c r="M126" i="7"/>
  <c r="J325" i="7"/>
  <c r="J90" i="7"/>
  <c r="J235" i="7"/>
  <c r="M314" i="7"/>
  <c r="L314" i="7"/>
  <c r="M321" i="7"/>
  <c r="L321" i="7"/>
  <c r="J256" i="7"/>
  <c r="J80" i="7"/>
  <c r="M100" i="7"/>
  <c r="L100" i="7"/>
  <c r="L110" i="7"/>
  <c r="M110" i="7"/>
  <c r="M104" i="7"/>
  <c r="L104" i="7"/>
  <c r="J132" i="7"/>
  <c r="M37" i="7"/>
  <c r="L37" i="7"/>
  <c r="J107" i="7"/>
  <c r="M248" i="7"/>
  <c r="L248" i="7"/>
  <c r="J44" i="7"/>
  <c r="J300" i="7"/>
  <c r="J278" i="7"/>
  <c r="J203" i="7"/>
  <c r="J225" i="7"/>
  <c r="J96" i="7"/>
  <c r="J210" i="7"/>
  <c r="M151" i="7"/>
  <c r="L151" i="7"/>
  <c r="J247" i="7"/>
  <c r="M35" i="7"/>
  <c r="L35" i="7"/>
  <c r="L84" i="7"/>
  <c r="M84" i="7"/>
  <c r="M122" i="7"/>
  <c r="L122" i="7"/>
  <c r="L303" i="7"/>
  <c r="M303" i="7"/>
  <c r="J82" i="7"/>
  <c r="J238" i="7"/>
  <c r="L275" i="7"/>
  <c r="M275" i="7"/>
  <c r="L176" i="7"/>
  <c r="M176" i="7"/>
  <c r="L133" i="7"/>
  <c r="M133" i="7"/>
  <c r="J230" i="7"/>
  <c r="M88" i="7"/>
  <c r="L88" i="7"/>
  <c r="M124" i="7"/>
  <c r="L124" i="7"/>
  <c r="J307" i="7"/>
  <c r="J111" i="7"/>
  <c r="J197" i="7"/>
  <c r="J52" i="7"/>
  <c r="M90" i="7"/>
  <c r="L90" i="7"/>
  <c r="M235" i="7"/>
  <c r="L235" i="7"/>
  <c r="L109" i="7"/>
  <c r="M109" i="7"/>
  <c r="J314" i="7"/>
  <c r="L80" i="7"/>
  <c r="M80" i="7"/>
  <c r="M71" i="7"/>
  <c r="L71" i="7"/>
  <c r="M108" i="7"/>
  <c r="L108" i="7"/>
  <c r="AO263" i="7"/>
  <c r="AP263" i="7" s="1"/>
  <c r="M105" i="7"/>
  <c r="L105" i="7"/>
  <c r="M132" i="7"/>
  <c r="L132" i="7"/>
  <c r="J37" i="7"/>
  <c r="J174" i="7"/>
  <c r="M125" i="7"/>
  <c r="L125" i="7"/>
  <c r="L225" i="7"/>
  <c r="M225" i="7"/>
  <c r="L96" i="7"/>
  <c r="M96" i="7"/>
  <c r="J253" i="7"/>
  <c r="M247" i="7"/>
  <c r="L247" i="7"/>
  <c r="M322" i="7"/>
  <c r="L322" i="7"/>
  <c r="J84" i="7"/>
  <c r="J122" i="7"/>
  <c r="J277" i="7"/>
  <c r="J262" i="7"/>
  <c r="J160" i="7"/>
  <c r="J117" i="7"/>
  <c r="J187" i="7"/>
  <c r="J229" i="7"/>
  <c r="J41" i="7"/>
  <c r="L257" i="7"/>
  <c r="M257" i="7"/>
  <c r="J204" i="7"/>
  <c r="J60" i="7"/>
  <c r="L273" i="7"/>
  <c r="M273" i="7"/>
  <c r="M238" i="7"/>
  <c r="L238" i="7"/>
  <c r="M323" i="7"/>
  <c r="L323" i="7"/>
  <c r="J126" i="7"/>
  <c r="J83" i="7"/>
  <c r="M197" i="7"/>
  <c r="L197" i="7"/>
  <c r="M325" i="7"/>
  <c r="L325" i="7"/>
  <c r="L52" i="7"/>
  <c r="M52" i="7"/>
  <c r="J109" i="7"/>
  <c r="J321" i="7"/>
  <c r="L256" i="7"/>
  <c r="M256" i="7"/>
  <c r="M282" i="7"/>
  <c r="L282" i="7"/>
  <c r="L209" i="7"/>
  <c r="M209" i="7"/>
  <c r="L194" i="7"/>
  <c r="M194" i="7"/>
  <c r="J135" i="7"/>
  <c r="J179" i="7"/>
  <c r="M107" i="7"/>
  <c r="L107" i="7"/>
  <c r="J248" i="7"/>
  <c r="M44" i="7"/>
  <c r="L44" i="7"/>
  <c r="J125" i="7"/>
  <c r="L300" i="7"/>
  <c r="M300" i="7"/>
  <c r="M278" i="7"/>
  <c r="L278" i="7"/>
  <c r="M203" i="7"/>
  <c r="L203" i="7"/>
  <c r="L210" i="7"/>
  <c r="M210" i="7"/>
  <c r="J151" i="7"/>
  <c r="M253" i="7"/>
  <c r="L253" i="7"/>
  <c r="J322" i="7"/>
  <c r="J35" i="7"/>
  <c r="J260" i="7"/>
  <c r="M141" i="7"/>
  <c r="L141" i="7"/>
  <c r="J273" i="7"/>
  <c r="J159" i="7"/>
  <c r="M264" i="7"/>
  <c r="L264" i="7"/>
  <c r="J74" i="7"/>
  <c r="M313" i="7"/>
  <c r="L313" i="7"/>
  <c r="J140" i="7"/>
  <c r="M298" i="7"/>
  <c r="L298" i="7"/>
  <c r="M305" i="7"/>
  <c r="L305" i="7"/>
  <c r="J240" i="7"/>
  <c r="J181" i="7"/>
  <c r="L83" i="7"/>
  <c r="M83" i="7"/>
  <c r="J280" i="7"/>
  <c r="N74" i="7"/>
  <c r="N35" i="7"/>
  <c r="N266" i="7"/>
  <c r="N204" i="7"/>
  <c r="N141" i="7"/>
  <c r="N78" i="7"/>
  <c r="N270" i="7"/>
  <c r="N208" i="7"/>
  <c r="N145" i="7"/>
  <c r="N82" i="7"/>
  <c r="N274" i="7"/>
  <c r="N196" i="7"/>
  <c r="N117" i="7"/>
  <c r="N38" i="7"/>
  <c r="N290" i="7"/>
  <c r="N215" i="7"/>
  <c r="N90" i="7"/>
  <c r="N220" i="7"/>
  <c r="N157" i="7"/>
  <c r="N94" i="7"/>
  <c r="N283" i="7"/>
  <c r="N224" i="7"/>
  <c r="N161" i="7"/>
  <c r="N98" i="7"/>
  <c r="N287" i="7"/>
  <c r="N212" i="7"/>
  <c r="N133" i="7"/>
  <c r="N106" i="7"/>
  <c r="N43" i="7"/>
  <c r="N295" i="7"/>
  <c r="N236" i="7"/>
  <c r="N173" i="7"/>
  <c r="N110" i="7"/>
  <c r="N47" i="7"/>
  <c r="N299" i="7"/>
  <c r="N240" i="7"/>
  <c r="N177" i="7"/>
  <c r="N114" i="7"/>
  <c r="N51" i="7"/>
  <c r="N303" i="7"/>
  <c r="N228" i="7"/>
  <c r="N149" i="7"/>
  <c r="N70" i="7"/>
  <c r="N322" i="7"/>
  <c r="N122" i="7"/>
  <c r="N59" i="7"/>
  <c r="N311" i="7"/>
  <c r="N252" i="7"/>
  <c r="N189" i="7"/>
  <c r="N126" i="7"/>
  <c r="N63" i="7"/>
  <c r="N315" i="7"/>
  <c r="N256" i="7"/>
  <c r="N193" i="7"/>
  <c r="N130" i="7"/>
  <c r="N67" i="7"/>
  <c r="N319" i="7"/>
  <c r="N244" i="7"/>
  <c r="N165" i="7"/>
  <c r="N86" i="7"/>
  <c r="N138" i="7"/>
  <c r="N75" i="7"/>
  <c r="N267" i="7"/>
  <c r="N205" i="7"/>
  <c r="N142" i="7"/>
  <c r="N79" i="7"/>
  <c r="N271" i="7"/>
  <c r="N209" i="7"/>
  <c r="N146" i="7"/>
  <c r="N83" i="7"/>
  <c r="N260" i="7"/>
  <c r="N181" i="7"/>
  <c r="N102" i="7"/>
  <c r="N278" i="7"/>
  <c r="N154" i="7"/>
  <c r="N91" i="7"/>
  <c r="N221" i="7"/>
  <c r="N158" i="7"/>
  <c r="N95" i="7"/>
  <c r="N284" i="7"/>
  <c r="N225" i="7"/>
  <c r="N162" i="7"/>
  <c r="N99" i="7"/>
  <c r="N275" i="7"/>
  <c r="N197" i="7"/>
  <c r="N118" i="7"/>
  <c r="N39" i="7"/>
  <c r="N170" i="7"/>
  <c r="N107" i="7"/>
  <c r="N44" i="7"/>
  <c r="N296" i="7"/>
  <c r="N237" i="7"/>
  <c r="N174" i="7"/>
  <c r="N111" i="7"/>
  <c r="N48" i="7"/>
  <c r="N300" i="7"/>
  <c r="N241" i="7"/>
  <c r="N178" i="7"/>
  <c r="N115" i="7"/>
  <c r="N36" i="7"/>
  <c r="N288" i="7"/>
  <c r="N213" i="7"/>
  <c r="N134" i="7"/>
  <c r="N55" i="7"/>
  <c r="N307" i="7"/>
  <c r="N186" i="7"/>
  <c r="N123" i="7"/>
  <c r="N60" i="7"/>
  <c r="N312" i="7"/>
  <c r="N253" i="7"/>
  <c r="N190" i="7"/>
  <c r="N127" i="7"/>
  <c r="N64" i="7"/>
  <c r="N316" i="7"/>
  <c r="N257" i="7"/>
  <c r="N194" i="7"/>
  <c r="N131" i="7"/>
  <c r="N52" i="7"/>
  <c r="N304" i="7"/>
  <c r="N229" i="7"/>
  <c r="N150" i="7"/>
  <c r="N71" i="7"/>
  <c r="N323" i="7"/>
  <c r="N202" i="7"/>
  <c r="N139" i="7"/>
  <c r="N76" i="7"/>
  <c r="N268" i="7"/>
  <c r="N206" i="7"/>
  <c r="N143" i="7"/>
  <c r="N80" i="7"/>
  <c r="N272" i="7"/>
  <c r="N210" i="7"/>
  <c r="N147" i="7"/>
  <c r="N68" i="7"/>
  <c r="N320" i="7"/>
  <c r="N245" i="7"/>
  <c r="N166" i="7"/>
  <c r="N87" i="7"/>
  <c r="N218" i="7"/>
  <c r="N155" i="7"/>
  <c r="N92" i="7"/>
  <c r="N234" i="7"/>
  <c r="N171" i="7"/>
  <c r="N108" i="7"/>
  <c r="N45" i="7"/>
  <c r="N297" i="7"/>
  <c r="N238" i="7"/>
  <c r="N175" i="7"/>
  <c r="N112" i="7"/>
  <c r="N250" i="7"/>
  <c r="N187" i="7"/>
  <c r="N124" i="7"/>
  <c r="N61" i="7"/>
  <c r="N313" i="7"/>
  <c r="N254" i="7"/>
  <c r="N265" i="7"/>
  <c r="N203" i="7"/>
  <c r="N140" i="7"/>
  <c r="N77" i="7"/>
  <c r="N269" i="7"/>
  <c r="N207" i="7"/>
  <c r="N281" i="7"/>
  <c r="N219" i="7"/>
  <c r="N156" i="7"/>
  <c r="N93" i="7"/>
  <c r="N282" i="7"/>
  <c r="N223" i="7"/>
  <c r="N160" i="7"/>
  <c r="N97" i="7"/>
  <c r="N286" i="7"/>
  <c r="N227" i="7"/>
  <c r="N148" i="7"/>
  <c r="N69" i="7"/>
  <c r="N321" i="7"/>
  <c r="N246" i="7"/>
  <c r="N167" i="7"/>
  <c r="N109" i="7"/>
  <c r="N302" i="7"/>
  <c r="N37" i="7"/>
  <c r="N277" i="7"/>
  <c r="N248" i="7"/>
  <c r="N279" i="7"/>
  <c r="N57" i="7"/>
  <c r="N88" i="7"/>
  <c r="N125" i="7"/>
  <c r="N49" i="7"/>
  <c r="N318" i="7"/>
  <c r="N53" i="7"/>
  <c r="N306" i="7"/>
  <c r="N185" i="7"/>
  <c r="N216" i="7"/>
  <c r="N46" i="7"/>
  <c r="N65" i="7"/>
  <c r="N163" i="7"/>
  <c r="N85" i="7"/>
  <c r="N121" i="7"/>
  <c r="N41" i="7"/>
  <c r="N309" i="7"/>
  <c r="N72" i="7"/>
  <c r="N62" i="7"/>
  <c r="N81" i="7"/>
  <c r="N179" i="7"/>
  <c r="N101" i="7"/>
  <c r="N103" i="7"/>
  <c r="N249" i="7"/>
  <c r="N169" i="7"/>
  <c r="N200" i="7"/>
  <c r="N222" i="7"/>
  <c r="N113" i="7"/>
  <c r="N195" i="7"/>
  <c r="N119" i="7"/>
  <c r="N293" i="7"/>
  <c r="N324" i="7"/>
  <c r="N298" i="7"/>
  <c r="N129" i="7"/>
  <c r="N211" i="7"/>
  <c r="N276" i="7"/>
  <c r="N135" i="7"/>
  <c r="N136" i="7"/>
  <c r="N153" i="7"/>
  <c r="N104" i="7"/>
  <c r="N314" i="7"/>
  <c r="N285" i="7"/>
  <c r="N243" i="7"/>
  <c r="N289" i="7"/>
  <c r="N151" i="7"/>
  <c r="N263" i="7"/>
  <c r="N280" i="7"/>
  <c r="N159" i="7"/>
  <c r="N301" i="7"/>
  <c r="N259" i="7"/>
  <c r="N305" i="7"/>
  <c r="N183" i="7"/>
  <c r="N89" i="7"/>
  <c r="N42" i="7"/>
  <c r="N191" i="7"/>
  <c r="N317" i="7"/>
  <c r="N84" i="7"/>
  <c r="N199" i="7"/>
  <c r="N217" i="7"/>
  <c r="N58" i="7"/>
  <c r="N239" i="7"/>
  <c r="N100" i="7"/>
  <c r="N231" i="7"/>
  <c r="N56" i="7"/>
  <c r="N73" i="7"/>
  <c r="N232" i="7"/>
  <c r="N294" i="7"/>
  <c r="N255" i="7"/>
  <c r="N50" i="7"/>
  <c r="N116" i="7"/>
  <c r="N54" i="7"/>
  <c r="N247" i="7"/>
  <c r="N137" i="7"/>
  <c r="N184" i="7"/>
  <c r="N201" i="7"/>
  <c r="N105" i="7"/>
  <c r="N310" i="7"/>
  <c r="N96" i="7"/>
  <c r="N66" i="7"/>
  <c r="N132" i="7"/>
  <c r="N182" i="7"/>
  <c r="N262" i="7"/>
  <c r="N264" i="7"/>
  <c r="N40" i="7"/>
  <c r="N308" i="7"/>
  <c r="N325" i="7"/>
  <c r="N235" i="7"/>
  <c r="N128" i="7"/>
  <c r="N226" i="7"/>
  <c r="N164" i="7"/>
  <c r="N198" i="7"/>
  <c r="N291" i="7"/>
  <c r="N168" i="7"/>
  <c r="N251" i="7"/>
  <c r="N144" i="7"/>
  <c r="N242" i="7"/>
  <c r="N180" i="7"/>
  <c r="N214" i="7"/>
  <c r="N292" i="7"/>
  <c r="N176" i="7"/>
  <c r="N192" i="7"/>
  <c r="N258" i="7"/>
  <c r="N273" i="7"/>
  <c r="N152" i="7"/>
  <c r="N230" i="7"/>
  <c r="N261" i="7"/>
  <c r="N233" i="7"/>
  <c r="N120" i="7"/>
  <c r="N188" i="7"/>
  <c r="N172" i="7"/>
  <c r="L113" i="7"/>
  <c r="M113" i="7"/>
  <c r="J194" i="7"/>
  <c r="M237" i="7"/>
  <c r="L237" i="7"/>
  <c r="J56" i="7"/>
  <c r="J43" i="7"/>
  <c r="M95" i="7"/>
  <c r="L95" i="7"/>
  <c r="M206" i="7"/>
  <c r="L206" i="7"/>
  <c r="J169" i="7"/>
  <c r="L179" i="7"/>
  <c r="M179" i="7"/>
  <c r="M174" i="7"/>
  <c r="L174" i="7"/>
  <c r="M277" i="7"/>
  <c r="L277" i="7"/>
  <c r="M262" i="7"/>
  <c r="L262" i="7"/>
  <c r="L160" i="7"/>
  <c r="M160" i="7"/>
  <c r="M117" i="7"/>
  <c r="L117" i="7"/>
  <c r="M187" i="7"/>
  <c r="L187" i="7"/>
  <c r="M229" i="7"/>
  <c r="L229" i="7"/>
  <c r="M41" i="7"/>
  <c r="L41" i="7"/>
  <c r="M153" i="7"/>
  <c r="L153" i="7"/>
  <c r="J257" i="7"/>
  <c r="L260" i="7"/>
  <c r="M260" i="7"/>
  <c r="M204" i="7"/>
  <c r="L204" i="7"/>
  <c r="M60" i="7"/>
  <c r="L60" i="7"/>
  <c r="J141" i="7"/>
  <c r="M159" i="7"/>
  <c r="L159" i="7"/>
  <c r="J264" i="7"/>
  <c r="L112" i="7"/>
  <c r="M112" i="7"/>
  <c r="M36" i="7"/>
  <c r="L36" i="7"/>
  <c r="J313" i="7"/>
  <c r="M140" i="7"/>
  <c r="L140" i="7"/>
  <c r="M181" i="7"/>
  <c r="L181" i="7"/>
  <c r="L178" i="7"/>
  <c r="M178" i="7"/>
  <c r="J86" i="7"/>
  <c r="J188" i="7"/>
  <c r="M250" i="7"/>
  <c r="L250" i="7"/>
  <c r="J40" i="7"/>
  <c r="J218" i="7"/>
  <c r="M157" i="7"/>
  <c r="L157" i="7"/>
  <c r="M286" i="7"/>
  <c r="L286" i="7"/>
  <c r="L223" i="7"/>
  <c r="M223" i="7"/>
  <c r="J161" i="7"/>
  <c r="L319" i="7"/>
  <c r="M319" i="7"/>
  <c r="J79" i="7"/>
  <c r="J116" i="7"/>
  <c r="M315" i="7"/>
  <c r="L315" i="7"/>
  <c r="J196" i="7"/>
  <c r="J38" i="7"/>
  <c r="J91" i="7"/>
  <c r="J185" i="7"/>
  <c r="J143" i="7"/>
  <c r="L227" i="7"/>
  <c r="M227" i="7"/>
  <c r="J164" i="7"/>
  <c r="J75" i="7"/>
  <c r="L170" i="7"/>
  <c r="M170" i="7"/>
  <c r="M246" i="7"/>
  <c r="L246" i="7"/>
  <c r="J113" i="7"/>
  <c r="M135" i="7"/>
  <c r="L135" i="7"/>
  <c r="M280" i="7"/>
  <c r="L280" i="7"/>
  <c r="M56" i="7"/>
  <c r="L56" i="7"/>
  <c r="M43" i="7"/>
  <c r="L43" i="7"/>
  <c r="M261" i="7"/>
  <c r="L261" i="7"/>
  <c r="J144" i="7"/>
  <c r="J101" i="7"/>
  <c r="J171" i="7"/>
  <c r="J231" i="7"/>
  <c r="J212" i="7"/>
  <c r="J54" i="7"/>
  <c r="J156" i="7"/>
  <c r="J121" i="7"/>
  <c r="J293" i="7"/>
  <c r="M201" i="7"/>
  <c r="L201" i="7"/>
  <c r="J142" i="7"/>
  <c r="J308" i="7"/>
  <c r="M51" i="7"/>
  <c r="L51" i="7"/>
  <c r="J215" i="7"/>
  <c r="J266" i="7"/>
  <c r="L65" i="7"/>
  <c r="M65" i="7"/>
  <c r="J153" i="7"/>
  <c r="J112" i="7"/>
  <c r="J36" i="7"/>
  <c r="M74" i="7"/>
  <c r="L74" i="7"/>
  <c r="J298" i="7"/>
  <c r="J305" i="7"/>
  <c r="L240" i="7"/>
  <c r="M240" i="7"/>
  <c r="L97" i="7"/>
  <c r="M97" i="7"/>
  <c r="J178" i="7"/>
  <c r="M188" i="7"/>
  <c r="L188" i="7"/>
  <c r="M40" i="7"/>
  <c r="L40" i="7"/>
  <c r="J157" i="7"/>
  <c r="J286" i="7"/>
  <c r="J223" i="7"/>
  <c r="L161" i="7"/>
  <c r="M161" i="7"/>
  <c r="J319" i="7"/>
  <c r="L116" i="7"/>
  <c r="M116" i="7"/>
  <c r="J315" i="7"/>
  <c r="L98" i="7"/>
  <c r="M98" i="7"/>
  <c r="M169" i="7"/>
  <c r="L169" i="7"/>
  <c r="J261" i="7"/>
  <c r="M101" i="7"/>
  <c r="L101" i="7"/>
  <c r="M171" i="7"/>
  <c r="L171" i="7"/>
  <c r="J201" i="7"/>
  <c r="M308" i="7"/>
  <c r="L308" i="7"/>
  <c r="J51" i="7"/>
  <c r="J282" i="7"/>
  <c r="J65" i="7"/>
  <c r="J71" i="7"/>
  <c r="M184" i="7"/>
  <c r="L184" i="7"/>
  <c r="L249" i="7"/>
  <c r="M249" i="7"/>
  <c r="L224" i="7"/>
  <c r="M224" i="7"/>
  <c r="J219" i="7"/>
  <c r="J94" i="7"/>
  <c r="J202" i="7"/>
  <c r="J108" i="7"/>
  <c r="L316" i="7"/>
  <c r="M316" i="7"/>
  <c r="J291" i="7"/>
  <c r="L164" i="7"/>
  <c r="M164" i="7"/>
  <c r="J228" i="7"/>
  <c r="M103" i="7"/>
  <c r="L103" i="7"/>
  <c r="M304" i="7"/>
  <c r="L304" i="7"/>
  <c r="J97" i="7"/>
  <c r="M86" i="7"/>
  <c r="L86" i="7"/>
  <c r="J250" i="7"/>
  <c r="M218" i="7"/>
  <c r="L218" i="7"/>
  <c r="M79" i="7"/>
  <c r="L79" i="7"/>
  <c r="L196" i="7"/>
  <c r="M196" i="7"/>
  <c r="M38" i="7"/>
  <c r="L38" i="7"/>
  <c r="M91" i="7"/>
  <c r="L91" i="7"/>
  <c r="M185" i="7"/>
  <c r="L185" i="7"/>
  <c r="M143" i="7"/>
  <c r="L143" i="7"/>
  <c r="M207" i="7"/>
  <c r="L207" i="7"/>
  <c r="M306" i="7"/>
  <c r="L306" i="7"/>
  <c r="J292" i="7"/>
  <c r="J258" i="7"/>
  <c r="J199" i="7"/>
  <c r="L214" i="7"/>
  <c r="M214" i="7"/>
  <c r="L144" i="7"/>
  <c r="M144" i="7"/>
  <c r="M231" i="7"/>
  <c r="L231" i="7"/>
  <c r="M212" i="7"/>
  <c r="L212" i="7"/>
  <c r="M54" i="7"/>
  <c r="L54" i="7"/>
  <c r="M156" i="7"/>
  <c r="L156" i="7"/>
  <c r="M121" i="7"/>
  <c r="L121" i="7"/>
  <c r="M293" i="7"/>
  <c r="L293" i="7"/>
  <c r="M142" i="7"/>
  <c r="L142" i="7"/>
  <c r="M215" i="7"/>
  <c r="L215" i="7"/>
  <c r="M266" i="7"/>
  <c r="L266" i="7"/>
  <c r="M89" i="7"/>
  <c r="L89" i="7"/>
  <c r="J184" i="7"/>
  <c r="L289" i="7"/>
  <c r="M289" i="7"/>
  <c r="M202" i="7"/>
  <c r="L202" i="7"/>
  <c r="M228" i="7"/>
  <c r="L228" i="7"/>
  <c r="J103" i="7"/>
  <c r="J205" i="7"/>
  <c r="J304" i="7"/>
  <c r="J207" i="7"/>
  <c r="J100" i="7"/>
  <c r="J252" i="7"/>
  <c r="J213" i="7"/>
  <c r="J55" i="7"/>
  <c r="M75" i="7"/>
  <c r="L75" i="7"/>
  <c r="J110" i="7"/>
  <c r="T1" i="7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AM1" i="7" s="1"/>
  <c r="AN1" i="7" s="1"/>
  <c r="AO1" i="7" s="1"/>
  <c r="AP1" i="7" s="1"/>
  <c r="AQ1" i="7" s="1"/>
  <c r="AR1" i="7" s="1"/>
  <c r="AS1" i="7" s="1"/>
  <c r="AA214" i="7" l="1"/>
  <c r="AO200" i="7"/>
  <c r="AP200" i="7" s="1"/>
  <c r="AQ200" i="7"/>
  <c r="AA190" i="7"/>
  <c r="AQ190" i="7"/>
  <c r="AQ263" i="7"/>
  <c r="AO269" i="7"/>
  <c r="AP269" i="7" s="1"/>
  <c r="AA269" i="7"/>
  <c r="AQ147" i="7"/>
  <c r="AO147" i="7"/>
  <c r="AP147" i="7" s="1"/>
  <c r="AQ95" i="7"/>
  <c r="AQ89" i="7"/>
  <c r="AO89" i="7"/>
  <c r="AP89" i="7" s="1"/>
  <c r="AA99" i="7"/>
  <c r="AO214" i="7"/>
  <c r="AP214" i="7" s="1"/>
  <c r="AS95" i="18"/>
  <c r="AS259" i="18"/>
  <c r="AS174" i="18"/>
  <c r="AS84" i="18"/>
  <c r="AS16" i="18"/>
  <c r="AF16" i="19" s="1"/>
  <c r="AS310" i="18"/>
  <c r="AS195" i="18"/>
  <c r="AS29" i="18"/>
  <c r="AF29" i="19" s="1"/>
  <c r="AS116" i="18"/>
  <c r="AS60" i="18"/>
  <c r="AS128" i="18"/>
  <c r="AS42" i="18"/>
  <c r="AS175" i="18"/>
  <c r="AS124" i="18"/>
  <c r="AS219" i="18"/>
  <c r="AS171" i="18"/>
  <c r="AS113" i="18"/>
  <c r="AS234" i="18"/>
  <c r="AS256" i="18"/>
  <c r="AS109" i="18"/>
  <c r="AS206" i="18"/>
  <c r="AS39" i="18"/>
  <c r="AS22" i="18"/>
  <c r="AF22" i="19" s="1"/>
  <c r="AS252" i="18"/>
  <c r="AS209" i="18"/>
  <c r="AS306" i="18"/>
  <c r="AS250" i="18"/>
  <c r="AS137" i="18"/>
  <c r="AS33" i="18"/>
  <c r="AF33" i="19" s="1"/>
  <c r="AS273" i="18"/>
  <c r="AS132" i="18"/>
  <c r="AS178" i="18"/>
  <c r="AS138" i="18"/>
  <c r="AS90" i="18"/>
  <c r="AS237" i="18"/>
  <c r="AS264" i="18"/>
  <c r="AS144" i="18"/>
  <c r="AS10" i="18"/>
  <c r="AF10" i="19" s="1"/>
  <c r="AS239" i="18"/>
  <c r="AS215" i="18"/>
  <c r="AS262" i="18"/>
  <c r="AS133" i="18"/>
  <c r="AS159" i="18"/>
  <c r="AS214" i="18"/>
  <c r="AS281" i="18"/>
  <c r="AS149" i="18"/>
  <c r="AS59" i="18"/>
  <c r="AS102" i="18"/>
  <c r="AS100" i="18"/>
  <c r="Z323" i="7"/>
  <c r="Z309" i="7"/>
  <c r="AS75" i="18"/>
  <c r="AS245" i="18"/>
  <c r="AS81" i="18"/>
  <c r="AS74" i="18"/>
  <c r="AS268" i="18"/>
  <c r="AS79" i="18"/>
  <c r="AS203" i="18"/>
  <c r="AS82" i="18"/>
  <c r="AS323" i="18"/>
  <c r="AS274" i="18"/>
  <c r="AS150" i="18"/>
  <c r="AS288" i="18"/>
  <c r="AS255" i="18"/>
  <c r="AS119" i="18"/>
  <c r="AS57" i="18"/>
  <c r="AS220" i="18"/>
  <c r="AS71" i="18"/>
  <c r="AS118" i="18"/>
  <c r="AS270" i="18"/>
  <c r="AS12" i="18"/>
  <c r="AF12" i="19" s="1"/>
  <c r="AS161" i="18"/>
  <c r="AS108" i="18"/>
  <c r="AS211" i="18"/>
  <c r="AS160" i="18"/>
  <c r="AS232" i="18"/>
  <c r="AS291" i="18"/>
  <c r="AS85" i="18"/>
  <c r="AS196" i="18"/>
  <c r="AS112" i="18"/>
  <c r="AS58" i="18"/>
  <c r="AS272" i="18"/>
  <c r="AS217" i="18"/>
  <c r="AS168" i="18"/>
  <c r="AS122" i="18"/>
  <c r="AS301" i="18"/>
  <c r="AS38" i="18"/>
  <c r="AS155" i="18"/>
  <c r="AS21" i="18"/>
  <c r="AF21" i="19" s="1"/>
  <c r="AS191" i="18"/>
  <c r="AS24" i="18"/>
  <c r="AF24" i="19" s="1"/>
  <c r="AS246" i="18"/>
  <c r="AS120" i="18"/>
  <c r="AS73" i="18"/>
  <c r="AS44" i="18"/>
  <c r="AS177" i="18"/>
  <c r="AS130" i="18"/>
  <c r="AS41" i="18"/>
  <c r="AS32" i="18"/>
  <c r="AF32" i="19" s="1"/>
  <c r="AS202" i="18"/>
  <c r="AS320" i="18"/>
  <c r="AS70" i="18"/>
  <c r="AS247" i="18"/>
  <c r="AS83" i="18"/>
  <c r="AS207" i="18"/>
  <c r="AS66" i="18"/>
  <c r="AS257" i="18"/>
  <c r="AS98" i="18"/>
  <c r="AS67" i="18"/>
  <c r="AS278" i="18"/>
  <c r="AS238" i="18"/>
  <c r="AS226" i="18"/>
  <c r="AS287" i="18"/>
  <c r="AS231" i="18"/>
  <c r="AS30" i="18"/>
  <c r="AF30" i="19" s="1"/>
  <c r="AS154" i="18"/>
  <c r="AS147" i="18"/>
  <c r="AS233" i="18"/>
  <c r="AS27" i="18"/>
  <c r="AF27" i="19" s="1"/>
  <c r="AS152" i="18"/>
  <c r="AS134" i="18"/>
  <c r="AS296" i="18"/>
  <c r="AS260" i="18"/>
  <c r="AS166" i="18"/>
  <c r="AS101" i="18"/>
  <c r="AS72" i="18"/>
  <c r="AS228" i="18"/>
  <c r="AQ130" i="7"/>
  <c r="AS210" i="18"/>
  <c r="AS163" i="18"/>
  <c r="AS319" i="18"/>
  <c r="AS284" i="18"/>
  <c r="AS244" i="18"/>
  <c r="AS258" i="18"/>
  <c r="AS192" i="18"/>
  <c r="AS183" i="18"/>
  <c r="AS23" i="18"/>
  <c r="AF23" i="19" s="1"/>
  <c r="AS292" i="18"/>
  <c r="AS94" i="18"/>
  <c r="AS62" i="18"/>
  <c r="AS271" i="18"/>
  <c r="AS265" i="18"/>
  <c r="AS236" i="18"/>
  <c r="AS197" i="18"/>
  <c r="AS235" i="18"/>
  <c r="AS308" i="18"/>
  <c r="AS286" i="18"/>
  <c r="AS15" i="18"/>
  <c r="AF15" i="19" s="1"/>
  <c r="AS285" i="18"/>
  <c r="AS216" i="18"/>
  <c r="AS76" i="18"/>
  <c r="AS172" i="18"/>
  <c r="AS110" i="18"/>
  <c r="AS93" i="18"/>
  <c r="AS86" i="18"/>
  <c r="AS142" i="18"/>
  <c r="AS17" i="18"/>
  <c r="AF17" i="19" s="1"/>
  <c r="AS53" i="18"/>
  <c r="AS26" i="18"/>
  <c r="AF26" i="19" s="1"/>
  <c r="AS180" i="18"/>
  <c r="AS321" i="18"/>
  <c r="AS289" i="18"/>
  <c r="AS318" i="18"/>
  <c r="AS136" i="18"/>
  <c r="AS129" i="18"/>
  <c r="AS267" i="18"/>
  <c r="AS173" i="18"/>
  <c r="AS28" i="18"/>
  <c r="AF28" i="19" s="1"/>
  <c r="AS54" i="18"/>
  <c r="AS99" i="18"/>
  <c r="AS68" i="18"/>
  <c r="AS305" i="18"/>
  <c r="AS65" i="18"/>
  <c r="AS189" i="18"/>
  <c r="AS322" i="18"/>
  <c r="AS297" i="18"/>
  <c r="AS223" i="18"/>
  <c r="AS312" i="18"/>
  <c r="AS227" i="18"/>
  <c r="AS56" i="18"/>
  <c r="AS199" i="18"/>
  <c r="AS261" i="18"/>
  <c r="AS193" i="18"/>
  <c r="AS224" i="18"/>
  <c r="AS263" i="18"/>
  <c r="AS104" i="18"/>
  <c r="AS182" i="18"/>
  <c r="AS131" i="18"/>
  <c r="Z90" i="7"/>
  <c r="Z11" i="7"/>
  <c r="Z32" i="7"/>
  <c r="R30" i="7"/>
  <c r="R21" i="7"/>
  <c r="AS9" i="18"/>
  <c r="AF9" i="19" s="1"/>
  <c r="AS153" i="18"/>
  <c r="AS25" i="18"/>
  <c r="AF25" i="19" s="1"/>
  <c r="AS146" i="18"/>
  <c r="AS229" i="18"/>
  <c r="AS78" i="18"/>
  <c r="AS249" i="18"/>
  <c r="AS316" i="18"/>
  <c r="AS277" i="18"/>
  <c r="AS200" i="18"/>
  <c r="AS225" i="18"/>
  <c r="AS63" i="18"/>
  <c r="AS198" i="18"/>
  <c r="AS47" i="18"/>
  <c r="AS186" i="18"/>
  <c r="AS222" i="18"/>
  <c r="AS167" i="18"/>
  <c r="AS213" i="18"/>
  <c r="AS185" i="18"/>
  <c r="AS181" i="18"/>
  <c r="AS97" i="18"/>
  <c r="AS91" i="18"/>
  <c r="AS302" i="18"/>
  <c r="AS275" i="18"/>
  <c r="AS170" i="18"/>
  <c r="Z156" i="7"/>
  <c r="Z123" i="7"/>
  <c r="R4" i="7"/>
  <c r="AB33" i="16" a="1"/>
  <c r="AB33" i="16" s="1"/>
  <c r="AL33" i="16" s="1" a="1"/>
  <c r="AL33" i="16" s="1"/>
  <c r="AB16" i="16" a="1"/>
  <c r="AB16" i="16" s="1"/>
  <c r="AL16" i="16" s="1" a="1"/>
  <c r="AL16" i="16" s="1"/>
  <c r="AB14" i="16" a="1"/>
  <c r="AB14" i="16" s="1"/>
  <c r="AL14" i="16" s="1" a="1"/>
  <c r="AL14" i="16" s="1"/>
  <c r="AB13" i="16" a="1"/>
  <c r="AB13" i="16" s="1"/>
  <c r="AL13" i="16" s="1" a="1"/>
  <c r="AL13" i="16" s="1"/>
  <c r="AB31" i="16" a="1"/>
  <c r="AB31" i="16" s="1"/>
  <c r="AL31" i="16" s="1" a="1"/>
  <c r="AL31" i="16" s="1"/>
  <c r="AB6" i="16" a="1"/>
  <c r="AB6" i="16" s="1"/>
  <c r="AL6" i="16" s="1" a="1"/>
  <c r="AL6" i="16" s="1"/>
  <c r="AB30" i="16" a="1"/>
  <c r="AB30" i="16" s="1"/>
  <c r="AL30" i="16" s="1" a="1"/>
  <c r="AL30" i="16" s="1"/>
  <c r="AB20" i="16" a="1"/>
  <c r="AB20" i="16" s="1"/>
  <c r="AL20" i="16" s="1" a="1"/>
  <c r="AL20" i="16" s="1"/>
  <c r="AB29" i="16" a="1"/>
  <c r="AB29" i="16" s="1"/>
  <c r="AL29" i="16" s="1" a="1"/>
  <c r="AL29" i="16" s="1"/>
  <c r="AB21" i="16" a="1"/>
  <c r="AB21" i="16" s="1"/>
  <c r="AL21" i="16" s="1" a="1"/>
  <c r="AL21" i="16" s="1"/>
  <c r="AB9" i="16" a="1"/>
  <c r="AB9" i="16" s="1"/>
  <c r="AL9" i="16" s="1" a="1"/>
  <c r="AL9" i="16" s="1"/>
  <c r="AB15" i="16" a="1"/>
  <c r="AB15" i="16" s="1"/>
  <c r="AL15" i="16" s="1" a="1"/>
  <c r="AL15" i="16" s="1"/>
  <c r="AB18" i="16" a="1"/>
  <c r="AB18" i="16" s="1"/>
  <c r="AL18" i="16" s="1" a="1"/>
  <c r="AL18" i="16" s="1"/>
  <c r="AB8" i="16" a="1"/>
  <c r="AB8" i="16" s="1"/>
  <c r="AL8" i="16" s="1" a="1"/>
  <c r="AL8" i="16" s="1"/>
  <c r="AB11" i="16" a="1"/>
  <c r="AB11" i="16" s="1"/>
  <c r="AL11" i="16" s="1" a="1"/>
  <c r="AL11" i="16" s="1"/>
  <c r="AB10" i="16" a="1"/>
  <c r="AB10" i="16" s="1"/>
  <c r="AL10" i="16" s="1" a="1"/>
  <c r="AL10" i="16" s="1"/>
  <c r="AB25" i="16" a="1"/>
  <c r="AB25" i="16" s="1"/>
  <c r="AL25" i="16" s="1" a="1"/>
  <c r="AL25" i="16" s="1"/>
  <c r="AB4" i="16" a="1"/>
  <c r="AB4" i="16" s="1"/>
  <c r="AL4" i="16" s="1" a="1"/>
  <c r="AL4" i="16" s="1"/>
  <c r="AB28" i="16" a="1"/>
  <c r="AB28" i="16" s="1"/>
  <c r="AL28" i="16" s="1" a="1"/>
  <c r="AL28" i="16" s="1"/>
  <c r="AB24" i="16" a="1"/>
  <c r="AB24" i="16" s="1"/>
  <c r="AL24" i="16" s="1" a="1"/>
  <c r="AL24" i="16" s="1"/>
  <c r="AB19" i="16" a="1"/>
  <c r="AB19" i="16" s="1"/>
  <c r="AL19" i="16" s="1" a="1"/>
  <c r="AL19" i="16" s="1"/>
  <c r="AB7" i="16" a="1"/>
  <c r="AB7" i="16" s="1"/>
  <c r="AL7" i="16" s="1" a="1"/>
  <c r="AL7" i="16" s="1"/>
  <c r="AB26" i="16" a="1"/>
  <c r="AB26" i="16" s="1"/>
  <c r="AL26" i="16" s="1" a="1"/>
  <c r="AL26" i="16" s="1"/>
  <c r="AB32" i="16" a="1"/>
  <c r="AB32" i="16" s="1"/>
  <c r="AL32" i="16" s="1" a="1"/>
  <c r="AL32" i="16" s="1"/>
  <c r="AB17" i="16" a="1"/>
  <c r="AB17" i="16" s="1"/>
  <c r="AL17" i="16" s="1" a="1"/>
  <c r="AL17" i="16" s="1"/>
  <c r="AB27" i="16" a="1"/>
  <c r="AB27" i="16" s="1"/>
  <c r="AL27" i="16" s="1" a="1"/>
  <c r="AL27" i="16" s="1"/>
  <c r="AB12" i="16" a="1"/>
  <c r="AB12" i="16" s="1"/>
  <c r="AL12" i="16" s="1" a="1"/>
  <c r="AL12" i="16" s="1"/>
  <c r="AB23" i="16" a="1"/>
  <c r="AB23" i="16" s="1"/>
  <c r="AL23" i="16" s="1" a="1"/>
  <c r="AL23" i="16" s="1"/>
  <c r="AB5" i="16" a="1"/>
  <c r="AB5" i="16" s="1"/>
  <c r="AL5" i="16" s="1" a="1"/>
  <c r="AL5" i="16" s="1"/>
  <c r="AB22" i="16" a="1"/>
  <c r="AB22" i="16" s="1"/>
  <c r="AL22" i="16" s="1" a="1"/>
  <c r="AL22" i="16" s="1"/>
  <c r="R28" i="7"/>
  <c r="AC28" i="7" s="1"/>
  <c r="AD28" i="7" s="1"/>
  <c r="R22" i="7"/>
  <c r="AK251" i="16" a="1"/>
  <c r="AK251" i="16" s="1"/>
  <c r="AB251" i="16" a="1"/>
  <c r="AB251" i="16" s="1"/>
  <c r="AL251" i="16" s="1" a="1"/>
  <c r="AL251" i="16" s="1"/>
  <c r="AK284" i="16" a="1"/>
  <c r="AK284" i="16" s="1"/>
  <c r="AB284" i="16" a="1"/>
  <c r="AB284" i="16" s="1"/>
  <c r="AL284" i="16" s="1" a="1"/>
  <c r="AL284" i="16" s="1"/>
  <c r="AK186" i="16" a="1"/>
  <c r="AK186" i="16" s="1"/>
  <c r="AB186" i="16" a="1"/>
  <c r="AB186" i="16" s="1"/>
  <c r="AL186" i="16" s="1" a="1"/>
  <c r="AL186" i="16" s="1"/>
  <c r="AK54" i="16" a="1"/>
  <c r="AK54" i="16" s="1"/>
  <c r="AB54" i="16" a="1"/>
  <c r="AB54" i="16" s="1"/>
  <c r="AL54" i="16" s="1" a="1"/>
  <c r="AL54" i="16" s="1"/>
  <c r="AK261" i="16" a="1"/>
  <c r="AK261" i="16" s="1"/>
  <c r="AB261" i="16" a="1"/>
  <c r="AB261" i="16" s="1"/>
  <c r="AL261" i="16" s="1" a="1"/>
  <c r="AL261" i="16" s="1"/>
  <c r="AK94" i="16" a="1"/>
  <c r="AK94" i="16" s="1"/>
  <c r="AB94" i="16" a="1"/>
  <c r="AB94" i="16" s="1"/>
  <c r="AL94" i="16" s="1" a="1"/>
  <c r="AL94" i="16" s="1"/>
  <c r="AK183" i="16" a="1"/>
  <c r="AK183" i="16" s="1"/>
  <c r="AB183" i="16" a="1"/>
  <c r="AB183" i="16" s="1"/>
  <c r="AL183" i="16" s="1" a="1"/>
  <c r="AL183" i="16" s="1"/>
  <c r="AK75" i="16" a="1"/>
  <c r="AK75" i="16" s="1"/>
  <c r="AB75" i="16" a="1"/>
  <c r="AB75" i="16" s="1"/>
  <c r="AL75" i="16" s="1" a="1"/>
  <c r="AL75" i="16" s="1"/>
  <c r="AK225" i="16" a="1"/>
  <c r="AK225" i="16" s="1"/>
  <c r="AB225" i="16" a="1"/>
  <c r="AB225" i="16" s="1"/>
  <c r="AL225" i="16" s="1" a="1"/>
  <c r="AL225" i="16" s="1"/>
  <c r="AK126" i="16" a="1"/>
  <c r="AK126" i="16" s="1"/>
  <c r="AB126" i="16" a="1"/>
  <c r="AB126" i="16" s="1"/>
  <c r="AL126" i="16" s="1" a="1"/>
  <c r="AL126" i="16" s="1"/>
  <c r="AK214" i="16" a="1"/>
  <c r="AK214" i="16" s="1"/>
  <c r="AB214" i="16" a="1"/>
  <c r="AB214" i="16" s="1"/>
  <c r="AL214" i="16" s="1" a="1"/>
  <c r="AL214" i="16" s="1"/>
  <c r="AK52" i="16" a="1"/>
  <c r="AK52" i="16" s="1"/>
  <c r="AB52" i="16" a="1"/>
  <c r="AB52" i="16" s="1"/>
  <c r="AL52" i="16" s="1" a="1"/>
  <c r="AL52" i="16" s="1"/>
  <c r="AK275" i="16" a="1"/>
  <c r="AK275" i="16" s="1"/>
  <c r="AB275" i="16" a="1"/>
  <c r="AB275" i="16" s="1"/>
  <c r="AL275" i="16" s="1" a="1"/>
  <c r="AL275" i="16" s="1"/>
  <c r="AK128" i="16" a="1"/>
  <c r="AK128" i="16" s="1"/>
  <c r="AB128" i="16" a="1"/>
  <c r="AB128" i="16" s="1"/>
  <c r="AL128" i="16" s="1" a="1"/>
  <c r="AL128" i="16" s="1"/>
  <c r="AK325" i="16" a="1"/>
  <c r="AK325" i="16" s="1"/>
  <c r="AB325" i="16" a="1"/>
  <c r="AB325" i="16" s="1"/>
  <c r="AL325" i="16" s="1" a="1"/>
  <c r="AL325" i="16" s="1"/>
  <c r="AK170" i="16" a="1"/>
  <c r="AK170" i="16" s="1"/>
  <c r="AB170" i="16" a="1"/>
  <c r="AB170" i="16" s="1"/>
  <c r="AL170" i="16" s="1" a="1"/>
  <c r="AL170" i="16" s="1"/>
  <c r="AK40" i="16" a="1"/>
  <c r="AK40" i="16" s="1"/>
  <c r="AB40" i="16" a="1"/>
  <c r="AB40" i="16" s="1"/>
  <c r="AL40" i="16" s="1" a="1"/>
  <c r="AL40" i="16" s="1"/>
  <c r="AK252" i="16" a="1"/>
  <c r="AK252" i="16" s="1"/>
  <c r="AB252" i="16" a="1"/>
  <c r="AB252" i="16" s="1"/>
  <c r="AL252" i="16" s="1" a="1"/>
  <c r="AL252" i="16" s="1"/>
  <c r="AK133" i="16" a="1"/>
  <c r="AK133" i="16" s="1"/>
  <c r="AB133" i="16" a="1"/>
  <c r="AB133" i="16" s="1"/>
  <c r="AL133" i="16" s="1" a="1"/>
  <c r="AL133" i="16" s="1"/>
  <c r="AK239" i="16" a="1"/>
  <c r="AK239" i="16" s="1"/>
  <c r="AB239" i="16" a="1"/>
  <c r="AB239" i="16" s="1"/>
  <c r="AL239" i="16" s="1" a="1"/>
  <c r="AL239" i="16" s="1"/>
  <c r="AK190" i="16" a="1"/>
  <c r="AK190" i="16" s="1"/>
  <c r="AB190" i="16" a="1"/>
  <c r="AB190" i="16" s="1"/>
  <c r="AL190" i="16" s="1" a="1"/>
  <c r="AL190" i="16" s="1"/>
  <c r="AK104" i="16" a="1"/>
  <c r="AK104" i="16" s="1"/>
  <c r="AB104" i="16" a="1"/>
  <c r="AB104" i="16" s="1"/>
  <c r="AL104" i="16" s="1" a="1"/>
  <c r="AL104" i="16" s="1"/>
  <c r="AK93" i="16" a="1"/>
  <c r="AK93" i="16" s="1"/>
  <c r="AB93" i="16" a="1"/>
  <c r="AB93" i="16" s="1"/>
  <c r="AL93" i="16" s="1" a="1"/>
  <c r="AL93" i="16" s="1"/>
  <c r="AK248" i="16" a="1"/>
  <c r="AK248" i="16" s="1"/>
  <c r="AB248" i="16" a="1"/>
  <c r="AB248" i="16" s="1"/>
  <c r="AL248" i="16" s="1" a="1"/>
  <c r="AL248" i="16" s="1"/>
  <c r="AK92" i="16" a="1"/>
  <c r="AK92" i="16" s="1"/>
  <c r="AB92" i="16" a="1"/>
  <c r="AB92" i="16" s="1"/>
  <c r="AL92" i="16" s="1" a="1"/>
  <c r="AL92" i="16" s="1"/>
  <c r="AK84" i="16" a="1"/>
  <c r="AK84" i="16" s="1"/>
  <c r="AB84" i="16" a="1"/>
  <c r="AB84" i="16" s="1"/>
  <c r="AL84" i="16" s="1" a="1"/>
  <c r="AL84" i="16" s="1"/>
  <c r="AK265" i="16" a="1"/>
  <c r="AK265" i="16" s="1"/>
  <c r="AB265" i="16" a="1"/>
  <c r="AB265" i="16" s="1"/>
  <c r="AL265" i="16" s="1" a="1"/>
  <c r="AL265" i="16" s="1"/>
  <c r="AK106" i="16" a="1"/>
  <c r="AK106" i="16" s="1"/>
  <c r="AB106" i="16" a="1"/>
  <c r="AB106" i="16" s="1"/>
  <c r="AL106" i="16" s="1" a="1"/>
  <c r="AL106" i="16" s="1"/>
  <c r="AK43" i="16" a="1"/>
  <c r="AK43" i="16" s="1"/>
  <c r="AB43" i="16" a="1"/>
  <c r="AB43" i="16" s="1"/>
  <c r="AL43" i="16" s="1" a="1"/>
  <c r="AL43" i="16" s="1"/>
  <c r="AK212" i="16" a="1"/>
  <c r="AK212" i="16" s="1"/>
  <c r="AB212" i="16" a="1"/>
  <c r="AB212" i="16" s="1"/>
  <c r="AL212" i="16" s="1" a="1"/>
  <c r="AL212" i="16" s="1"/>
  <c r="AK105" i="16" a="1"/>
  <c r="AK105" i="16" s="1"/>
  <c r="AB105" i="16" a="1"/>
  <c r="AB105" i="16" s="1"/>
  <c r="AL105" i="16" s="1" a="1"/>
  <c r="AL105" i="16" s="1"/>
  <c r="AK305" i="16" a="1"/>
  <c r="AK305" i="16" s="1"/>
  <c r="AB305" i="16" a="1"/>
  <c r="AB305" i="16" s="1"/>
  <c r="AL305" i="16" s="1" a="1"/>
  <c r="AL305" i="16" s="1"/>
  <c r="AK274" i="16" a="1"/>
  <c r="AK274" i="16" s="1"/>
  <c r="AB274" i="16" a="1"/>
  <c r="AB274" i="16" s="1"/>
  <c r="AL274" i="16" s="1" a="1"/>
  <c r="AL274" i="16" s="1"/>
  <c r="AK62" i="16" a="1"/>
  <c r="AK62" i="16" s="1"/>
  <c r="AB62" i="16" a="1"/>
  <c r="AB62" i="16" s="1"/>
  <c r="AL62" i="16" s="1" a="1"/>
  <c r="AL62" i="16" s="1"/>
  <c r="AK259" i="16" a="1"/>
  <c r="AK259" i="16" s="1"/>
  <c r="AB259" i="16" a="1"/>
  <c r="AB259" i="16" s="1"/>
  <c r="AL259" i="16" s="1" a="1"/>
  <c r="AL259" i="16" s="1"/>
  <c r="AK142" i="16" a="1"/>
  <c r="AK142" i="16" s="1"/>
  <c r="AB142" i="16" a="1"/>
  <c r="AB142" i="16" s="1"/>
  <c r="AL142" i="16" s="1" a="1"/>
  <c r="AL142" i="16" s="1"/>
  <c r="AK227" i="16" a="1"/>
  <c r="AK227" i="16" s="1"/>
  <c r="AB227" i="16" a="1"/>
  <c r="AB227" i="16" s="1"/>
  <c r="AL227" i="16" s="1" a="1"/>
  <c r="AL227" i="16" s="1"/>
  <c r="AK58" i="16" a="1"/>
  <c r="AK58" i="16" s="1"/>
  <c r="AB58" i="16" a="1"/>
  <c r="AB58" i="16" s="1"/>
  <c r="AL58" i="16" s="1" a="1"/>
  <c r="AL58" i="16" s="1"/>
  <c r="R20" i="7"/>
  <c r="AG20" i="7" s="1"/>
  <c r="AH20" i="7" s="1"/>
  <c r="AK264" i="16" a="1"/>
  <c r="AK264" i="16" s="1"/>
  <c r="AB264" i="16" a="1"/>
  <c r="AB264" i="16" s="1"/>
  <c r="AL264" i="16" s="1" a="1"/>
  <c r="AL264" i="16" s="1"/>
  <c r="AK187" i="16" a="1"/>
  <c r="AK187" i="16" s="1"/>
  <c r="AB187" i="16" a="1"/>
  <c r="AB187" i="16" s="1"/>
  <c r="AL187" i="16" s="1" a="1"/>
  <c r="AL187" i="16" s="1"/>
  <c r="AK217" i="16" a="1"/>
  <c r="AK217" i="16" s="1"/>
  <c r="AB217" i="16" a="1"/>
  <c r="AB217" i="16" s="1"/>
  <c r="AL217" i="16" s="1" a="1"/>
  <c r="AL217" i="16" s="1"/>
  <c r="AK218" i="16" a="1"/>
  <c r="AK218" i="16" s="1"/>
  <c r="AB218" i="16" a="1"/>
  <c r="AB218" i="16" s="1"/>
  <c r="AL218" i="16" s="1" a="1"/>
  <c r="AL218" i="16" s="1"/>
  <c r="AK112" i="16" a="1"/>
  <c r="AK112" i="16" s="1"/>
  <c r="AB112" i="16" a="1"/>
  <c r="AB112" i="16" s="1"/>
  <c r="AL112" i="16" s="1" a="1"/>
  <c r="AL112" i="16" s="1"/>
  <c r="AK319" i="16" a="1"/>
  <c r="AK319" i="16" s="1"/>
  <c r="AB319" i="16" a="1"/>
  <c r="AB319" i="16" s="1"/>
  <c r="AL319" i="16" s="1" a="1"/>
  <c r="AL319" i="16" s="1"/>
  <c r="AK208" i="16" a="1"/>
  <c r="AK208" i="16" s="1"/>
  <c r="AB208" i="16" a="1"/>
  <c r="AB208" i="16" s="1"/>
  <c r="AL208" i="16" s="1" a="1"/>
  <c r="AL208" i="16" s="1"/>
  <c r="AK53" i="16" a="1"/>
  <c r="AK53" i="16" s="1"/>
  <c r="AB53" i="16" a="1"/>
  <c r="AB53" i="16" s="1"/>
  <c r="AL53" i="16" s="1" a="1"/>
  <c r="AL53" i="16" s="1"/>
  <c r="AK304" i="16" a="1"/>
  <c r="AK304" i="16" s="1"/>
  <c r="AB304" i="16" a="1"/>
  <c r="AB304" i="16" s="1"/>
  <c r="AL304" i="16" s="1" a="1"/>
  <c r="AL304" i="16" s="1"/>
  <c r="AK153" i="16" a="1"/>
  <c r="AK153" i="16" s="1"/>
  <c r="AB153" i="16" a="1"/>
  <c r="AB153" i="16" s="1"/>
  <c r="AL153" i="16" s="1" a="1"/>
  <c r="AL153" i="16" s="1"/>
  <c r="AK182" i="16" a="1"/>
  <c r="AK182" i="16" s="1"/>
  <c r="AB182" i="16" a="1"/>
  <c r="AB182" i="16" s="1"/>
  <c r="AL182" i="16" s="1" a="1"/>
  <c r="AL182" i="16" s="1"/>
  <c r="AK119" i="16" a="1"/>
  <c r="AK119" i="16" s="1"/>
  <c r="AB119" i="16" a="1"/>
  <c r="AB119" i="16" s="1"/>
  <c r="AL119" i="16" s="1" a="1"/>
  <c r="AL119" i="16" s="1"/>
  <c r="AK246" i="16" a="1"/>
  <c r="AK246" i="16" s="1"/>
  <c r="AB246" i="16" a="1"/>
  <c r="AB246" i="16" s="1"/>
  <c r="AL246" i="16" s="1" a="1"/>
  <c r="AL246" i="16" s="1"/>
  <c r="AK110" i="16" a="1"/>
  <c r="AK110" i="16" s="1"/>
  <c r="AB110" i="16" a="1"/>
  <c r="AB110" i="16" s="1"/>
  <c r="AL110" i="16" s="1" a="1"/>
  <c r="AL110" i="16" s="1"/>
  <c r="AK295" i="16" a="1"/>
  <c r="AK295" i="16" s="1"/>
  <c r="AB295" i="16" a="1"/>
  <c r="AB295" i="16" s="1"/>
  <c r="AL295" i="16" s="1" a="1"/>
  <c r="AL295" i="16" s="1"/>
  <c r="AK176" i="16" a="1"/>
  <c r="AK176" i="16" s="1"/>
  <c r="AB176" i="16" a="1"/>
  <c r="AB176" i="16" s="1"/>
  <c r="AL176" i="16" s="1" a="1"/>
  <c r="AL176" i="16" s="1"/>
  <c r="AK69" i="16" a="1"/>
  <c r="AK69" i="16" s="1"/>
  <c r="AB69" i="16" a="1"/>
  <c r="AB69" i="16" s="1"/>
  <c r="AL69" i="16" s="1" a="1"/>
  <c r="AL69" i="16" s="1"/>
  <c r="AK290" i="16" a="1"/>
  <c r="AK290" i="16" s="1"/>
  <c r="AB290" i="16" a="1"/>
  <c r="AB290" i="16" s="1"/>
  <c r="AL290" i="16" s="1" a="1"/>
  <c r="AL290" i="16" s="1"/>
  <c r="AK158" i="16" a="1"/>
  <c r="AK158" i="16" s="1"/>
  <c r="AB158" i="16" a="1"/>
  <c r="AB158" i="16" s="1"/>
  <c r="AL158" i="16" s="1" a="1"/>
  <c r="AL158" i="16" s="1"/>
  <c r="AK166" i="16" a="1"/>
  <c r="AK166" i="16" s="1"/>
  <c r="AB166" i="16" a="1"/>
  <c r="AB166" i="16" s="1"/>
  <c r="AL166" i="16" s="1" a="1"/>
  <c r="AL166" i="16" s="1"/>
  <c r="AK66" i="16" a="1"/>
  <c r="AK66" i="16" s="1"/>
  <c r="AB66" i="16" a="1"/>
  <c r="AB66" i="16" s="1"/>
  <c r="AL66" i="16" s="1" a="1"/>
  <c r="AL66" i="16" s="1"/>
  <c r="AK258" i="16" a="1"/>
  <c r="AK258" i="16" s="1"/>
  <c r="AB258" i="16" a="1"/>
  <c r="AB258" i="16" s="1"/>
  <c r="AL258" i="16" s="1" a="1"/>
  <c r="AL258" i="16" s="1"/>
  <c r="AK90" i="16" a="1"/>
  <c r="AK90" i="16" s="1"/>
  <c r="AB90" i="16" a="1"/>
  <c r="AB90" i="16" s="1"/>
  <c r="AL90" i="16" s="1" a="1"/>
  <c r="AL90" i="16" s="1"/>
  <c r="AK222" i="16" a="1"/>
  <c r="AK222" i="16" s="1"/>
  <c r="AB222" i="16" a="1"/>
  <c r="AB222" i="16" s="1"/>
  <c r="AL222" i="16" s="1" a="1"/>
  <c r="AL222" i="16" s="1"/>
  <c r="AK107" i="16" a="1"/>
  <c r="AK107" i="16" s="1"/>
  <c r="AB107" i="16" a="1"/>
  <c r="AB107" i="16" s="1"/>
  <c r="AL107" i="16" s="1" a="1"/>
  <c r="AL107" i="16" s="1"/>
  <c r="AK219" i="16" a="1"/>
  <c r="AK219" i="16" s="1"/>
  <c r="AB219" i="16" a="1"/>
  <c r="AB219" i="16" s="1"/>
  <c r="AL219" i="16" s="1" a="1"/>
  <c r="AL219" i="16" s="1"/>
  <c r="AK41" i="16" a="1"/>
  <c r="AK41" i="16" s="1"/>
  <c r="AB41" i="16" a="1"/>
  <c r="AB41" i="16" s="1"/>
  <c r="AL41" i="16" s="1" a="1"/>
  <c r="AL41" i="16" s="1"/>
  <c r="AK280" i="16" a="1"/>
  <c r="AK280" i="16" s="1"/>
  <c r="AB280" i="16" a="1"/>
  <c r="AB280" i="16" s="1"/>
  <c r="AL280" i="16" s="1" a="1"/>
  <c r="AL280" i="16" s="1"/>
  <c r="AK178" i="16" a="1"/>
  <c r="AK178" i="16" s="1"/>
  <c r="AB178" i="16" a="1"/>
  <c r="AB178" i="16" s="1"/>
  <c r="AL178" i="16" s="1" a="1"/>
  <c r="AL178" i="16" s="1"/>
  <c r="AK46" i="16" a="1"/>
  <c r="AK46" i="16" s="1"/>
  <c r="AB46" i="16" a="1"/>
  <c r="AB46" i="16" s="1"/>
  <c r="AL46" i="16" s="1" a="1"/>
  <c r="AL46" i="16" s="1"/>
  <c r="AK226" i="16" a="1"/>
  <c r="AK226" i="16" s="1"/>
  <c r="AB226" i="16" a="1"/>
  <c r="AB226" i="16" s="1"/>
  <c r="AL226" i="16" s="1" a="1"/>
  <c r="AL226" i="16" s="1"/>
  <c r="AK138" i="16" a="1"/>
  <c r="AK138" i="16" s="1"/>
  <c r="AB138" i="16" a="1"/>
  <c r="AB138" i="16" s="1"/>
  <c r="AL138" i="16" s="1" a="1"/>
  <c r="AL138" i="16" s="1"/>
  <c r="AK316" i="16" a="1"/>
  <c r="AK316" i="16" s="1"/>
  <c r="AB316" i="16" a="1"/>
  <c r="AB316" i="16" s="1"/>
  <c r="AL316" i="16" s="1" a="1"/>
  <c r="AL316" i="16" s="1"/>
  <c r="AK236" i="16" a="1"/>
  <c r="AK236" i="16" s="1"/>
  <c r="AB236" i="16" a="1"/>
  <c r="AB236" i="16" s="1"/>
  <c r="AL236" i="16" s="1" a="1"/>
  <c r="AL236" i="16" s="1"/>
  <c r="AK71" i="16" a="1"/>
  <c r="AK71" i="16" s="1"/>
  <c r="AB71" i="16" a="1"/>
  <c r="AB71" i="16" s="1"/>
  <c r="AL71" i="16" s="1" a="1"/>
  <c r="AL71" i="16" s="1"/>
  <c r="AK193" i="16" a="1"/>
  <c r="AK193" i="16" s="1"/>
  <c r="AB193" i="16" a="1"/>
  <c r="AB193" i="16" s="1"/>
  <c r="AL193" i="16" s="1" a="1"/>
  <c r="AL193" i="16" s="1"/>
  <c r="AK247" i="16" a="1"/>
  <c r="AK247" i="16" s="1"/>
  <c r="AB247" i="16" a="1"/>
  <c r="AB247" i="16" s="1"/>
  <c r="AL247" i="16" s="1" a="1"/>
  <c r="AL247" i="16" s="1"/>
  <c r="AK172" i="16" a="1"/>
  <c r="AK172" i="16" s="1"/>
  <c r="AB172" i="16" a="1"/>
  <c r="AB172" i="16" s="1"/>
  <c r="AL172" i="16" s="1" a="1"/>
  <c r="AL172" i="16" s="1"/>
  <c r="AK224" i="16" a="1"/>
  <c r="AK224" i="16" s="1"/>
  <c r="AB224" i="16" a="1"/>
  <c r="AB224" i="16" s="1"/>
  <c r="AL224" i="16" s="1" a="1"/>
  <c r="AL224" i="16" s="1"/>
  <c r="AK72" i="16" a="1"/>
  <c r="AK72" i="16" s="1"/>
  <c r="AB72" i="16" a="1"/>
  <c r="AB72" i="16" s="1"/>
  <c r="AL72" i="16" s="1" a="1"/>
  <c r="AL72" i="16" s="1"/>
  <c r="AK306" i="16" a="1"/>
  <c r="AK306" i="16" s="1"/>
  <c r="AB306" i="16" a="1"/>
  <c r="AB306" i="16" s="1"/>
  <c r="AL306" i="16" s="1" a="1"/>
  <c r="AL306" i="16" s="1"/>
  <c r="AK188" i="16" a="1"/>
  <c r="AK188" i="16" s="1"/>
  <c r="AB188" i="16" a="1"/>
  <c r="AB188" i="16" s="1"/>
  <c r="AL188" i="16" s="1" a="1"/>
  <c r="AL188" i="16" s="1"/>
  <c r="AK39" i="16" a="1"/>
  <c r="AK39" i="16" s="1"/>
  <c r="AB39" i="16" a="1"/>
  <c r="AB39" i="16" s="1"/>
  <c r="AL39" i="16" s="1" a="1"/>
  <c r="AL39" i="16" s="1"/>
  <c r="AK299" i="16" a="1"/>
  <c r="AK299" i="16" s="1"/>
  <c r="AB299" i="16" a="1"/>
  <c r="AB299" i="16" s="1"/>
  <c r="AL299" i="16" s="1" a="1"/>
  <c r="AL299" i="16" s="1"/>
  <c r="AK111" i="16" a="1"/>
  <c r="AK111" i="16" s="1"/>
  <c r="AB111" i="16" a="1"/>
  <c r="AB111" i="16" s="1"/>
  <c r="AL111" i="16" s="1" a="1"/>
  <c r="AL111" i="16" s="1"/>
  <c r="AK311" i="16" a="1"/>
  <c r="AK311" i="16" s="1"/>
  <c r="AB311" i="16" a="1"/>
  <c r="AB311" i="16" s="1"/>
  <c r="AL311" i="16" s="1" a="1"/>
  <c r="AL311" i="16" s="1"/>
  <c r="AK146" i="16" a="1"/>
  <c r="AK146" i="16" s="1"/>
  <c r="AB146" i="16" a="1"/>
  <c r="AB146" i="16" s="1"/>
  <c r="AL146" i="16" s="1" a="1"/>
  <c r="AL146" i="16" s="1"/>
  <c r="AK51" i="16" a="1"/>
  <c r="AK51" i="16" s="1"/>
  <c r="AB51" i="16" a="1"/>
  <c r="AB51" i="16" s="1"/>
  <c r="AL51" i="16" s="1" a="1"/>
  <c r="AL51" i="16" s="1"/>
  <c r="AK141" i="16" a="1"/>
  <c r="AK141" i="16" s="1"/>
  <c r="AB141" i="16" a="1"/>
  <c r="AB141" i="16" s="1"/>
  <c r="AL141" i="16" s="1" a="1"/>
  <c r="AL141" i="16" s="1"/>
  <c r="AK197" i="16" a="1"/>
  <c r="AK197" i="16" s="1"/>
  <c r="AB197" i="16" a="1"/>
  <c r="AB197" i="16" s="1"/>
  <c r="AL197" i="16" s="1" a="1"/>
  <c r="AL197" i="16" s="1"/>
  <c r="AK48" i="16" a="1"/>
  <c r="AK48" i="16" s="1"/>
  <c r="AB48" i="16" a="1"/>
  <c r="AB48" i="16" s="1"/>
  <c r="AL48" i="16" s="1" a="1"/>
  <c r="AL48" i="16" s="1"/>
  <c r="AK309" i="16" a="1"/>
  <c r="AK309" i="16" s="1"/>
  <c r="AB309" i="16" a="1"/>
  <c r="AB309" i="16" s="1"/>
  <c r="AL309" i="16" s="1" a="1"/>
  <c r="AL309" i="16" s="1"/>
  <c r="AK185" i="16" a="1"/>
  <c r="AK185" i="16" s="1"/>
  <c r="AB185" i="16" a="1"/>
  <c r="AB185" i="16" s="1"/>
  <c r="AL185" i="16" s="1" a="1"/>
  <c r="AL185" i="16" s="1"/>
  <c r="AK78" i="16" a="1"/>
  <c r="AK78" i="16" s="1"/>
  <c r="AB78" i="16" a="1"/>
  <c r="AB78" i="16" s="1"/>
  <c r="AL78" i="16" s="1" a="1"/>
  <c r="AL78" i="16" s="1"/>
  <c r="AK271" i="16" a="1"/>
  <c r="AK271" i="16" s="1"/>
  <c r="AB271" i="16" a="1"/>
  <c r="AB271" i="16" s="1"/>
  <c r="AL271" i="16" s="1" a="1"/>
  <c r="AL271" i="16" s="1"/>
  <c r="AK123" i="16" a="1"/>
  <c r="AK123" i="16" s="1"/>
  <c r="AB123" i="16" a="1"/>
  <c r="AB123" i="16" s="1"/>
  <c r="AL123" i="16" s="1" a="1"/>
  <c r="AL123" i="16" s="1"/>
  <c r="AK192" i="16" a="1"/>
  <c r="AK192" i="16" s="1"/>
  <c r="AB192" i="16" a="1"/>
  <c r="AB192" i="16" s="1"/>
  <c r="AL192" i="16" s="1" a="1"/>
  <c r="AL192" i="16" s="1"/>
  <c r="AK96" i="16" a="1"/>
  <c r="AK96" i="16" s="1"/>
  <c r="AB96" i="16" a="1"/>
  <c r="AB96" i="16" s="1"/>
  <c r="AL96" i="16" s="1" a="1"/>
  <c r="AL96" i="16" s="1"/>
  <c r="AK152" i="16" a="1"/>
  <c r="AK152" i="16" s="1"/>
  <c r="AB152" i="16" a="1"/>
  <c r="AB152" i="16" s="1"/>
  <c r="AL152" i="16" s="1" a="1"/>
  <c r="AL152" i="16" s="1"/>
  <c r="AK89" i="16" a="1"/>
  <c r="AK89" i="16" s="1"/>
  <c r="AB89" i="16" a="1"/>
  <c r="AB89" i="16" s="1"/>
  <c r="AL89" i="16" s="1" a="1"/>
  <c r="AL89" i="16" s="1"/>
  <c r="AK293" i="16" a="1"/>
  <c r="AK293" i="16" s="1"/>
  <c r="AB293" i="16" a="1"/>
  <c r="AB293" i="16" s="1"/>
  <c r="AL293" i="16" s="1" a="1"/>
  <c r="AL293" i="16" s="1"/>
  <c r="R33" i="7"/>
  <c r="AC33" i="7" s="1"/>
  <c r="AD33" i="7" s="1"/>
  <c r="AK215" i="16" a="1"/>
  <c r="AK215" i="16" s="1"/>
  <c r="AB215" i="16" a="1"/>
  <c r="AB215" i="16" s="1"/>
  <c r="AL215" i="16" s="1" a="1"/>
  <c r="AL215" i="16" s="1"/>
  <c r="AK79" i="16" a="1"/>
  <c r="AK79" i="16" s="1"/>
  <c r="AB79" i="16" a="1"/>
  <c r="AB79" i="16" s="1"/>
  <c r="AL79" i="16" s="1" a="1"/>
  <c r="AL79" i="16" s="1"/>
  <c r="AK318" i="16" a="1"/>
  <c r="AK318" i="16" s="1"/>
  <c r="AB318" i="16" a="1"/>
  <c r="AB318" i="16" s="1"/>
  <c r="AL318" i="16" s="1" a="1"/>
  <c r="AL318" i="16" s="1"/>
  <c r="AK164" i="16" a="1"/>
  <c r="AK164" i="16" s="1"/>
  <c r="AB164" i="16" a="1"/>
  <c r="AB164" i="16" s="1"/>
  <c r="AL164" i="16" s="1" a="1"/>
  <c r="AL164" i="16" s="1"/>
  <c r="AK67" i="16" a="1"/>
  <c r="AK67" i="16" s="1"/>
  <c r="AB67" i="16" a="1"/>
  <c r="AB67" i="16" s="1"/>
  <c r="AL67" i="16" s="1" a="1"/>
  <c r="AL67" i="16" s="1"/>
  <c r="AK255" i="16" a="1"/>
  <c r="AK255" i="16" s="1"/>
  <c r="AB255" i="16" a="1"/>
  <c r="AB255" i="16" s="1"/>
  <c r="AL255" i="16" s="1" a="1"/>
  <c r="AL255" i="16" s="1"/>
  <c r="AK144" i="16" a="1"/>
  <c r="AK144" i="16" s="1"/>
  <c r="AB144" i="16" a="1"/>
  <c r="AB144" i="16" s="1"/>
  <c r="AL144" i="16" s="1" a="1"/>
  <c r="AL144" i="16" s="1"/>
  <c r="AK177" i="16" a="1"/>
  <c r="AK177" i="16" s="1"/>
  <c r="AB177" i="16" a="1"/>
  <c r="AB177" i="16" s="1"/>
  <c r="AL177" i="16" s="1" a="1"/>
  <c r="AL177" i="16" s="1"/>
  <c r="AK254" i="16" a="1"/>
  <c r="AK254" i="16" s="1"/>
  <c r="AB254" i="16" a="1"/>
  <c r="AB254" i="16" s="1"/>
  <c r="AL254" i="16" s="1" a="1"/>
  <c r="AL254" i="16" s="1"/>
  <c r="AK196" i="16" a="1"/>
  <c r="AK196" i="16" s="1"/>
  <c r="AB196" i="16" a="1"/>
  <c r="AB196" i="16" s="1"/>
  <c r="AL196" i="16" s="1" a="1"/>
  <c r="AL196" i="16" s="1"/>
  <c r="AK272" i="16" a="1"/>
  <c r="AK272" i="16" s="1"/>
  <c r="AB272" i="16" a="1"/>
  <c r="AB272" i="16" s="1"/>
  <c r="AL272" i="16" s="1" a="1"/>
  <c r="AL272" i="16" s="1"/>
  <c r="AK156" i="16" a="1"/>
  <c r="AK156" i="16" s="1"/>
  <c r="AB156" i="16" a="1"/>
  <c r="AB156" i="16" s="1"/>
  <c r="AL156" i="16" s="1" a="1"/>
  <c r="AL156" i="16" s="1"/>
  <c r="AK76" i="16" a="1"/>
  <c r="AK76" i="16" s="1"/>
  <c r="AB76" i="16" a="1"/>
  <c r="AB76" i="16" s="1"/>
  <c r="AL76" i="16" s="1" a="1"/>
  <c r="AL76" i="16" s="1"/>
  <c r="AK216" i="16" a="1"/>
  <c r="AK216" i="16" s="1"/>
  <c r="AB216" i="16" a="1"/>
  <c r="AB216" i="16" s="1"/>
  <c r="AL216" i="16" s="1" a="1"/>
  <c r="AL216" i="16" s="1"/>
  <c r="AK277" i="16" a="1"/>
  <c r="AK277" i="16" s="1"/>
  <c r="AB277" i="16" a="1"/>
  <c r="AB277" i="16" s="1"/>
  <c r="AL277" i="16" s="1" a="1"/>
  <c r="AL277" i="16" s="1"/>
  <c r="AK108" i="16" a="1"/>
  <c r="AK108" i="16" s="1"/>
  <c r="AB108" i="16" a="1"/>
  <c r="AB108" i="16" s="1"/>
  <c r="AL108" i="16" s="1" a="1"/>
  <c r="AL108" i="16" s="1"/>
  <c r="AK324" i="16" a="1"/>
  <c r="AK324" i="16" s="1"/>
  <c r="AB324" i="16" a="1"/>
  <c r="AB324" i="16" s="1"/>
  <c r="AL324" i="16" s="1" a="1"/>
  <c r="AL324" i="16" s="1"/>
  <c r="AK194" i="16" a="1"/>
  <c r="AK194" i="16" s="1"/>
  <c r="AB194" i="16" a="1"/>
  <c r="AB194" i="16" s="1"/>
  <c r="AL194" i="16" s="1" a="1"/>
  <c r="AL194" i="16" s="1"/>
  <c r="AK36" i="16" a="1"/>
  <c r="AK36" i="16" s="1"/>
  <c r="AB36" i="16" a="1"/>
  <c r="AB36" i="16" s="1"/>
  <c r="AL36" i="16" s="1" a="1"/>
  <c r="AL36" i="16" s="1"/>
  <c r="AK298" i="16" a="1"/>
  <c r="AK298" i="16" s="1"/>
  <c r="AB298" i="16" a="1"/>
  <c r="AB298" i="16" s="1"/>
  <c r="AL298" i="16" s="1" a="1"/>
  <c r="AL298" i="16" s="1"/>
  <c r="AK148" i="16" a="1"/>
  <c r="AK148" i="16" s="1"/>
  <c r="AB148" i="16" a="1"/>
  <c r="AB148" i="16" s="1"/>
  <c r="AL148" i="16" s="1" a="1"/>
  <c r="AL148" i="16" s="1"/>
  <c r="AK267" i="16" a="1"/>
  <c r="AK267" i="16" s="1"/>
  <c r="AB267" i="16" a="1"/>
  <c r="AB267" i="16" s="1"/>
  <c r="AL267" i="16" s="1" a="1"/>
  <c r="AL267" i="16" s="1"/>
  <c r="AK235" i="16" a="1"/>
  <c r="AK235" i="16" s="1"/>
  <c r="AB235" i="16" a="1"/>
  <c r="AB235" i="16" s="1"/>
  <c r="AL235" i="16" s="1" a="1"/>
  <c r="AL235" i="16" s="1"/>
  <c r="AK87" i="16" a="1"/>
  <c r="AK87" i="16" s="1"/>
  <c r="AB87" i="16" a="1"/>
  <c r="AB87" i="16" s="1"/>
  <c r="AL87" i="16" s="1" a="1"/>
  <c r="AL87" i="16" s="1"/>
  <c r="AK289" i="16" a="1"/>
  <c r="AK289" i="16" s="1"/>
  <c r="AB289" i="16" a="1"/>
  <c r="AB289" i="16" s="1"/>
  <c r="AL289" i="16" s="1" a="1"/>
  <c r="AL289" i="16" s="1"/>
  <c r="AK184" i="16" a="1"/>
  <c r="AK184" i="16" s="1"/>
  <c r="AB184" i="16" a="1"/>
  <c r="AB184" i="16" s="1"/>
  <c r="AL184" i="16" s="1" a="1"/>
  <c r="AL184" i="16" s="1"/>
  <c r="AK179" i="16" a="1"/>
  <c r="AK179" i="16" s="1"/>
  <c r="AB179" i="16" a="1"/>
  <c r="AB179" i="16" s="1"/>
  <c r="AL179" i="16" s="1" a="1"/>
  <c r="AL179" i="16" s="1"/>
  <c r="AK99" i="16" a="1"/>
  <c r="AK99" i="16" s="1"/>
  <c r="AB99" i="16" a="1"/>
  <c r="AB99" i="16" s="1"/>
  <c r="AL99" i="16" s="1" a="1"/>
  <c r="AL99" i="16" s="1"/>
  <c r="AK256" i="16" a="1"/>
  <c r="AK256" i="16" s="1"/>
  <c r="AB256" i="16" a="1"/>
  <c r="AB256" i="16" s="1"/>
  <c r="AL256" i="16" s="1" a="1"/>
  <c r="AL256" i="16" s="1"/>
  <c r="AK154" i="16" a="1"/>
  <c r="AK154" i="16" s="1"/>
  <c r="AB154" i="16" a="1"/>
  <c r="AB154" i="16" s="1"/>
  <c r="AL154" i="16" s="1" a="1"/>
  <c r="AL154" i="16" s="1"/>
  <c r="AK160" i="16" a="1"/>
  <c r="AK160" i="16" s="1"/>
  <c r="AB160" i="16" a="1"/>
  <c r="AB160" i="16" s="1"/>
  <c r="AL160" i="16" s="1" a="1"/>
  <c r="AL160" i="16" s="1"/>
  <c r="AK206" i="16" a="1"/>
  <c r="AK206" i="16" s="1"/>
  <c r="AB206" i="16" a="1"/>
  <c r="AB206" i="16" s="1"/>
  <c r="AL206" i="16" s="1" a="1"/>
  <c r="AL206" i="16" s="1"/>
  <c r="AK120" i="16" a="1"/>
  <c r="AK120" i="16" s="1"/>
  <c r="AB120" i="16" a="1"/>
  <c r="AB120" i="16" s="1"/>
  <c r="AL120" i="16" s="1" a="1"/>
  <c r="AL120" i="16" s="1"/>
  <c r="AK276" i="16" a="1"/>
  <c r="AK276" i="16" s="1"/>
  <c r="AB276" i="16" a="1"/>
  <c r="AB276" i="16" s="1"/>
  <c r="AL276" i="16" s="1" a="1"/>
  <c r="AL276" i="16" s="1"/>
  <c r="AK136" i="16" a="1"/>
  <c r="AK136" i="16" s="1"/>
  <c r="AB136" i="16" a="1"/>
  <c r="AB136" i="16" s="1"/>
  <c r="AL136" i="16" s="1" a="1"/>
  <c r="AL136" i="16" s="1"/>
  <c r="AK37" i="16" a="1"/>
  <c r="AK37" i="16" s="1"/>
  <c r="AB37" i="16" a="1"/>
  <c r="AB37" i="16" s="1"/>
  <c r="AL37" i="16" s="1" a="1"/>
  <c r="AL37" i="16" s="1"/>
  <c r="AK323" i="16" a="1"/>
  <c r="AK323" i="16" s="1"/>
  <c r="AB323" i="16" a="1"/>
  <c r="AB323" i="16" s="1"/>
  <c r="AL323" i="16" s="1" a="1"/>
  <c r="AL323" i="16" s="1"/>
  <c r="AK180" i="16" a="1"/>
  <c r="AK180" i="16" s="1"/>
  <c r="AB180" i="16" a="1"/>
  <c r="AB180" i="16" s="1"/>
  <c r="AL180" i="16" s="1" a="1"/>
  <c r="AL180" i="16" s="1"/>
  <c r="AK95" i="16" a="1"/>
  <c r="AK95" i="16" s="1"/>
  <c r="AB95" i="16" a="1"/>
  <c r="AB95" i="16" s="1"/>
  <c r="AL95" i="16" s="1" a="1"/>
  <c r="AL95" i="16" s="1"/>
  <c r="AK124" i="16" a="1"/>
  <c r="AK124" i="16" s="1"/>
  <c r="AB124" i="16" a="1"/>
  <c r="AB124" i="16" s="1"/>
  <c r="AL124" i="16" s="1" a="1"/>
  <c r="AL124" i="16" s="1"/>
  <c r="AK321" i="16" a="1"/>
  <c r="AK321" i="16" s="1"/>
  <c r="AB321" i="16" a="1"/>
  <c r="AB321" i="16" s="1"/>
  <c r="AL321" i="16" s="1" a="1"/>
  <c r="AL321" i="16" s="1"/>
  <c r="AK174" i="16" a="1"/>
  <c r="AK174" i="16" s="1"/>
  <c r="AB174" i="16" a="1"/>
  <c r="AB174" i="16" s="1"/>
  <c r="AL174" i="16" s="1" a="1"/>
  <c r="AL174" i="16" s="1"/>
  <c r="AK64" i="16" a="1"/>
  <c r="AK64" i="16" s="1"/>
  <c r="AB64" i="16" a="1"/>
  <c r="AB64" i="16" s="1"/>
  <c r="AL64" i="16" s="1" a="1"/>
  <c r="AL64" i="16" s="1"/>
  <c r="AK320" i="16" a="1"/>
  <c r="AK320" i="16" s="1"/>
  <c r="AB320" i="16" a="1"/>
  <c r="AB320" i="16" s="1"/>
  <c r="AL320" i="16" s="1" a="1"/>
  <c r="AL320" i="16" s="1"/>
  <c r="AK125" i="16" a="1"/>
  <c r="AK125" i="16" s="1"/>
  <c r="AB125" i="16" a="1"/>
  <c r="AB125" i="16" s="1"/>
  <c r="AL125" i="16" s="1" a="1"/>
  <c r="AL125" i="16" s="1"/>
  <c r="AK38" i="16" a="1"/>
  <c r="AK38" i="16" s="1"/>
  <c r="AB38" i="16" a="1"/>
  <c r="AB38" i="16" s="1"/>
  <c r="AL38" i="16" s="1" a="1"/>
  <c r="AL38" i="16" s="1"/>
  <c r="AK228" i="16" a="1"/>
  <c r="AK228" i="16" s="1"/>
  <c r="AB228" i="16" a="1"/>
  <c r="AB228" i="16" s="1"/>
  <c r="AL228" i="16" s="1" a="1"/>
  <c r="AL228" i="16" s="1"/>
  <c r="AK149" i="16" a="1"/>
  <c r="AK149" i="16" s="1"/>
  <c r="AB149" i="16" a="1"/>
  <c r="AB149" i="16" s="1"/>
  <c r="AL149" i="16" s="1" a="1"/>
  <c r="AL149" i="16" s="1"/>
  <c r="AK210" i="16" a="1"/>
  <c r="AK210" i="16" s="1"/>
  <c r="AB210" i="16" a="1"/>
  <c r="AB210" i="16" s="1"/>
  <c r="AL210" i="16" s="1" a="1"/>
  <c r="AL210" i="16" s="1"/>
  <c r="AK57" i="16" a="1"/>
  <c r="AK57" i="16" s="1"/>
  <c r="AB57" i="16" a="1"/>
  <c r="AB57" i="16" s="1"/>
  <c r="AL57" i="16" s="1" a="1"/>
  <c r="AL57" i="16" s="1"/>
  <c r="AK270" i="16" a="1"/>
  <c r="AK270" i="16" s="1"/>
  <c r="AB270" i="16" a="1"/>
  <c r="AB270" i="16" s="1"/>
  <c r="AL270" i="16" s="1" a="1"/>
  <c r="AL270" i="16" s="1"/>
  <c r="AK220" i="16" a="1"/>
  <c r="AK220" i="16" s="1"/>
  <c r="AB220" i="16" a="1"/>
  <c r="AB220" i="16" s="1"/>
  <c r="AL220" i="16" s="1" a="1"/>
  <c r="AL220" i="16" s="1"/>
  <c r="AK203" i="16" a="1"/>
  <c r="AK203" i="16" s="1"/>
  <c r="AB203" i="16" a="1"/>
  <c r="AB203" i="16" s="1"/>
  <c r="AL203" i="16" s="1" a="1"/>
  <c r="AL203" i="16" s="1"/>
  <c r="AK204" i="16" a="1"/>
  <c r="AK204" i="16" s="1"/>
  <c r="AB204" i="16" a="1"/>
  <c r="AB204" i="16" s="1"/>
  <c r="AL204" i="16" s="1" a="1"/>
  <c r="AL204" i="16" s="1"/>
  <c r="AK127" i="16" a="1"/>
  <c r="AK127" i="16" s="1"/>
  <c r="AB127" i="16" a="1"/>
  <c r="AB127" i="16" s="1"/>
  <c r="AL127" i="16" s="1" a="1"/>
  <c r="AL127" i="16" s="1"/>
  <c r="AK322" i="16" a="1"/>
  <c r="AK322" i="16" s="1"/>
  <c r="AB322" i="16" a="1"/>
  <c r="AB322" i="16" s="1"/>
  <c r="AL322" i="16" s="1" a="1"/>
  <c r="AL322" i="16" s="1"/>
  <c r="AK229" i="16" a="1"/>
  <c r="AK229" i="16" s="1"/>
  <c r="AB229" i="16" a="1"/>
  <c r="AB229" i="16" s="1"/>
  <c r="AL229" i="16" s="1" a="1"/>
  <c r="AL229" i="16" s="1"/>
  <c r="AK59" i="16" a="1"/>
  <c r="AK59" i="16" s="1"/>
  <c r="AB59" i="16" a="1"/>
  <c r="AB59" i="16" s="1"/>
  <c r="AL59" i="16" s="1" a="1"/>
  <c r="AL59" i="16" s="1"/>
  <c r="AK230" i="16" a="1"/>
  <c r="AK230" i="16" s="1"/>
  <c r="AB230" i="16" a="1"/>
  <c r="AB230" i="16" s="1"/>
  <c r="AL230" i="16" s="1" a="1"/>
  <c r="AL230" i="16" s="1"/>
  <c r="AK163" i="16" a="1"/>
  <c r="AK163" i="16" s="1"/>
  <c r="AB163" i="16" a="1"/>
  <c r="AB163" i="16" s="1"/>
  <c r="AL163" i="16" s="1" a="1"/>
  <c r="AL163" i="16" s="1"/>
  <c r="AK237" i="16" a="1"/>
  <c r="AK237" i="16" s="1"/>
  <c r="AB237" i="16" a="1"/>
  <c r="AB237" i="16" s="1"/>
  <c r="AL237" i="16" s="1" a="1"/>
  <c r="AL237" i="16" s="1"/>
  <c r="AK63" i="16" a="1"/>
  <c r="AK63" i="16" s="1"/>
  <c r="AB63" i="16" a="1"/>
  <c r="AB63" i="16" s="1"/>
  <c r="AL63" i="16" s="1" a="1"/>
  <c r="AL63" i="16" s="1"/>
  <c r="AK269" i="16" a="1"/>
  <c r="AK269" i="16" s="1"/>
  <c r="AB269" i="16" a="1"/>
  <c r="AB269" i="16" s="1"/>
  <c r="AL269" i="16" s="1" a="1"/>
  <c r="AL269" i="16" s="1"/>
  <c r="AK140" i="16" a="1"/>
  <c r="AK140" i="16" s="1"/>
  <c r="AB140" i="16" a="1"/>
  <c r="AB140" i="16" s="1"/>
  <c r="AL140" i="16" s="1" a="1"/>
  <c r="AL140" i="16" s="1"/>
  <c r="AK132" i="16" a="1"/>
  <c r="AK132" i="16" s="1"/>
  <c r="AB132" i="16" a="1"/>
  <c r="AB132" i="16" s="1"/>
  <c r="AL132" i="16" s="1" a="1"/>
  <c r="AL132" i="16" s="1"/>
  <c r="AK42" i="16" a="1"/>
  <c r="AK42" i="16" s="1"/>
  <c r="AB42" i="16" a="1"/>
  <c r="AB42" i="16" s="1"/>
  <c r="AL42" i="16" s="1" a="1"/>
  <c r="AL42" i="16" s="1"/>
  <c r="AK245" i="16" a="1"/>
  <c r="AK245" i="16" s="1"/>
  <c r="AB245" i="16" a="1"/>
  <c r="AB245" i="16" s="1"/>
  <c r="AL245" i="16" s="1" a="1"/>
  <c r="AL245" i="16" s="1"/>
  <c r="AK175" i="16" a="1"/>
  <c r="AK175" i="16" s="1"/>
  <c r="AB175" i="16" a="1"/>
  <c r="AB175" i="16" s="1"/>
  <c r="AL175" i="16" s="1" a="1"/>
  <c r="AL175" i="16" s="1"/>
  <c r="AK191" i="16" a="1"/>
  <c r="AK191" i="16" s="1"/>
  <c r="AB191" i="16" a="1"/>
  <c r="AB191" i="16" s="1"/>
  <c r="AL191" i="16" s="1" a="1"/>
  <c r="AL191" i="16" s="1"/>
  <c r="AK55" i="16" a="1"/>
  <c r="AK55" i="16" s="1"/>
  <c r="AB55" i="16" a="1"/>
  <c r="AB55" i="16" s="1"/>
  <c r="AL55" i="16" s="1" a="1"/>
  <c r="AL55" i="16" s="1"/>
  <c r="AK297" i="16" a="1"/>
  <c r="AK297" i="16" s="1"/>
  <c r="AB297" i="16" a="1"/>
  <c r="AB297" i="16" s="1"/>
  <c r="AL297" i="16" s="1" a="1"/>
  <c r="AL297" i="16" s="1"/>
  <c r="AK143" i="16" a="1"/>
  <c r="AK143" i="16" s="1"/>
  <c r="AB143" i="16" a="1"/>
  <c r="AB143" i="16" s="1"/>
  <c r="AL143" i="16" s="1" a="1"/>
  <c r="AL143" i="16" s="1"/>
  <c r="AK100" i="16" a="1"/>
  <c r="AK100" i="16" s="1"/>
  <c r="AB100" i="16" a="1"/>
  <c r="AB100" i="16" s="1"/>
  <c r="AL100" i="16" s="1" a="1"/>
  <c r="AL100" i="16" s="1"/>
  <c r="AK310" i="16" a="1"/>
  <c r="AK310" i="16" s="1"/>
  <c r="AB310" i="16" a="1"/>
  <c r="AB310" i="16" s="1"/>
  <c r="AL310" i="16" s="1" a="1"/>
  <c r="AL310" i="16" s="1"/>
  <c r="AK221" i="16" a="1"/>
  <c r="AK221" i="16" s="1"/>
  <c r="AB221" i="16" a="1"/>
  <c r="AB221" i="16" s="1"/>
  <c r="AL221" i="16" s="1" a="1"/>
  <c r="AL221" i="16" s="1"/>
  <c r="AK49" i="16" a="1"/>
  <c r="AK49" i="16" s="1"/>
  <c r="AB49" i="16" a="1"/>
  <c r="AB49" i="16" s="1"/>
  <c r="AL49" i="16" s="1" a="1"/>
  <c r="AL49" i="16" s="1"/>
  <c r="AK286" i="16" a="1"/>
  <c r="AK286" i="16" s="1"/>
  <c r="AB286" i="16" a="1"/>
  <c r="AB286" i="16" s="1"/>
  <c r="AL286" i="16" s="1" a="1"/>
  <c r="AL286" i="16" s="1"/>
  <c r="AK173" i="16" a="1"/>
  <c r="AK173" i="16" s="1"/>
  <c r="AB173" i="16" a="1"/>
  <c r="AB173" i="16" s="1"/>
  <c r="AL173" i="16" s="1" a="1"/>
  <c r="AL173" i="16" s="1"/>
  <c r="AK86" i="16" a="1"/>
  <c r="AK86" i="16" s="1"/>
  <c r="AB86" i="16" a="1"/>
  <c r="AB86" i="16" s="1"/>
  <c r="AL86" i="16" s="1" a="1"/>
  <c r="AL86" i="16" s="1"/>
  <c r="AK303" i="16" a="1"/>
  <c r="AK303" i="16" s="1"/>
  <c r="AB303" i="16" a="1"/>
  <c r="AB303" i="16" s="1"/>
  <c r="AL303" i="16" s="1" a="1"/>
  <c r="AL303" i="16" s="1"/>
  <c r="AK147" i="16" a="1"/>
  <c r="AK147" i="16" s="1"/>
  <c r="AB147" i="16" a="1"/>
  <c r="AB147" i="16" s="1"/>
  <c r="AL147" i="16" s="1" a="1"/>
  <c r="AL147" i="16" s="1"/>
  <c r="AK257" i="16" a="1"/>
  <c r="AK257" i="16" s="1"/>
  <c r="AB257" i="16" a="1"/>
  <c r="AB257" i="16" s="1"/>
  <c r="AL257" i="16" s="1" a="1"/>
  <c r="AL257" i="16" s="1"/>
  <c r="AK273" i="16" a="1"/>
  <c r="AK273" i="16" s="1"/>
  <c r="AB273" i="16" a="1"/>
  <c r="AB273" i="16" s="1"/>
  <c r="AL273" i="16" s="1" a="1"/>
  <c r="AL273" i="16" s="1"/>
  <c r="AK109" i="16" a="1"/>
  <c r="AK109" i="16" s="1"/>
  <c r="AB109" i="16" a="1"/>
  <c r="AB109" i="16" s="1"/>
  <c r="AL109" i="16" s="1" a="1"/>
  <c r="AL109" i="16" s="1"/>
  <c r="AK242" i="16" a="1"/>
  <c r="AK242" i="16" s="1"/>
  <c r="AB242" i="16" a="1"/>
  <c r="AB242" i="16" s="1"/>
  <c r="AL242" i="16" s="1" a="1"/>
  <c r="AL242" i="16" s="1"/>
  <c r="AK77" i="16" a="1"/>
  <c r="AK77" i="16" s="1"/>
  <c r="AB77" i="16" a="1"/>
  <c r="AB77" i="16" s="1"/>
  <c r="AL77" i="16" s="1" a="1"/>
  <c r="AL77" i="16" s="1"/>
  <c r="AK249" i="16" a="1"/>
  <c r="AK249" i="16" s="1"/>
  <c r="AB249" i="16" a="1"/>
  <c r="AB249" i="16" s="1"/>
  <c r="AL249" i="16" s="1" a="1"/>
  <c r="AL249" i="16" s="1"/>
  <c r="AK189" i="16" a="1"/>
  <c r="AK189" i="16" s="1"/>
  <c r="AB189" i="16" a="1"/>
  <c r="AB189" i="16" s="1"/>
  <c r="AL189" i="16" s="1" a="1"/>
  <c r="AL189" i="16" s="1"/>
  <c r="AK88" i="16" a="1"/>
  <c r="AK88" i="16" s="1"/>
  <c r="AB88" i="16" a="1"/>
  <c r="AB88" i="16" s="1"/>
  <c r="AL88" i="16" s="1" a="1"/>
  <c r="AL88" i="16" s="1"/>
  <c r="AK101" i="16" a="1"/>
  <c r="AK101" i="16" s="1"/>
  <c r="AB101" i="16" a="1"/>
  <c r="AB101" i="16" s="1"/>
  <c r="AL101" i="16" s="1" a="1"/>
  <c r="AL101" i="16" s="1"/>
  <c r="AK266" i="16" a="1"/>
  <c r="AK266" i="16" s="1"/>
  <c r="AB266" i="16" a="1"/>
  <c r="AB266" i="16" s="1"/>
  <c r="AL266" i="16" s="1" a="1"/>
  <c r="AL266" i="16" s="1"/>
  <c r="AK82" i="16" a="1"/>
  <c r="AK82" i="16" s="1"/>
  <c r="AB82" i="16" a="1"/>
  <c r="AB82" i="16" s="1"/>
  <c r="AL82" i="16" s="1" a="1"/>
  <c r="AL82" i="16" s="1"/>
  <c r="AK282" i="16" a="1"/>
  <c r="AK282" i="16" s="1"/>
  <c r="AB282" i="16" a="1"/>
  <c r="AB282" i="16" s="1"/>
  <c r="AL282" i="16" s="1" a="1"/>
  <c r="AL282" i="16" s="1"/>
  <c r="AK157" i="16" a="1"/>
  <c r="AK157" i="16" s="1"/>
  <c r="AB157" i="16" a="1"/>
  <c r="AB157" i="16" s="1"/>
  <c r="AL157" i="16" s="1" a="1"/>
  <c r="AL157" i="16" s="1"/>
  <c r="AK50" i="16" a="1"/>
  <c r="AK50" i="16" s="1"/>
  <c r="AB50" i="16" a="1"/>
  <c r="AB50" i="16" s="1"/>
  <c r="AL50" i="16" s="1" a="1"/>
  <c r="AL50" i="16" s="1"/>
  <c r="AK308" i="16" a="1"/>
  <c r="AK308" i="16" s="1"/>
  <c r="AB308" i="16" a="1"/>
  <c r="AB308" i="16" s="1"/>
  <c r="AL308" i="16" s="1" a="1"/>
  <c r="AL308" i="16" s="1"/>
  <c r="AK121" i="16" a="1"/>
  <c r="AK121" i="16" s="1"/>
  <c r="AB121" i="16" a="1"/>
  <c r="AB121" i="16" s="1"/>
  <c r="AL121" i="16" s="1" a="1"/>
  <c r="AL121" i="16" s="1"/>
  <c r="AK211" i="16" a="1"/>
  <c r="AK211" i="16" s="1"/>
  <c r="AB211" i="16" a="1"/>
  <c r="AB211" i="16" s="1"/>
  <c r="AL211" i="16" s="1" a="1"/>
  <c r="AL211" i="16" s="1"/>
  <c r="AK61" i="16" a="1"/>
  <c r="AK61" i="16" s="1"/>
  <c r="AB61" i="16" a="1"/>
  <c r="AB61" i="16" s="1"/>
  <c r="AL61" i="16" s="1" a="1"/>
  <c r="AL61" i="16" s="1"/>
  <c r="AK287" i="16" a="1"/>
  <c r="AK287" i="16" s="1"/>
  <c r="AB287" i="16" a="1"/>
  <c r="AB287" i="16" s="1"/>
  <c r="AL287" i="16" s="1" a="1"/>
  <c r="AL287" i="16" s="1"/>
  <c r="AK135" i="16" a="1"/>
  <c r="AK135" i="16" s="1"/>
  <c r="AB135" i="16" a="1"/>
  <c r="AB135" i="16" s="1"/>
  <c r="AL135" i="16" s="1" a="1"/>
  <c r="AL135" i="16" s="1"/>
  <c r="AK302" i="16" a="1"/>
  <c r="AK302" i="16" s="1"/>
  <c r="AB302" i="16" a="1"/>
  <c r="AB302" i="16" s="1"/>
  <c r="AL302" i="16" s="1" a="1"/>
  <c r="AL302" i="16" s="1"/>
  <c r="AK161" i="16" a="1"/>
  <c r="AK161" i="16" s="1"/>
  <c r="AB161" i="16" a="1"/>
  <c r="AB161" i="16" s="1"/>
  <c r="AL161" i="16" s="1" a="1"/>
  <c r="AL161" i="16" s="1"/>
  <c r="AK296" i="16" a="1"/>
  <c r="AK296" i="16" s="1"/>
  <c r="AB296" i="16" a="1"/>
  <c r="AB296" i="16" s="1"/>
  <c r="AL296" i="16" s="1" a="1"/>
  <c r="AL296" i="16" s="1"/>
  <c r="AK103" i="16" a="1"/>
  <c r="AK103" i="16" s="1"/>
  <c r="AB103" i="16" a="1"/>
  <c r="AB103" i="16" s="1"/>
  <c r="AL103" i="16" s="1" a="1"/>
  <c r="AL103" i="16" s="1"/>
  <c r="AK223" i="16" a="1"/>
  <c r="AK223" i="16" s="1"/>
  <c r="AB223" i="16" a="1"/>
  <c r="AB223" i="16" s="1"/>
  <c r="AL223" i="16" s="1" a="1"/>
  <c r="AL223" i="16" s="1"/>
  <c r="AK97" i="16" a="1"/>
  <c r="AK97" i="16" s="1"/>
  <c r="AB97" i="16" a="1"/>
  <c r="AB97" i="16" s="1"/>
  <c r="AL97" i="16" s="1" a="1"/>
  <c r="AL97" i="16" s="1"/>
  <c r="AK240" i="16" a="1"/>
  <c r="AK240" i="16" s="1"/>
  <c r="AB240" i="16" a="1"/>
  <c r="AB240" i="16" s="1"/>
  <c r="AL240" i="16" s="1" a="1"/>
  <c r="AL240" i="16" s="1"/>
  <c r="AK131" i="16" a="1"/>
  <c r="AK131" i="16" s="1"/>
  <c r="AB131" i="16" a="1"/>
  <c r="AB131" i="16" s="1"/>
  <c r="AL131" i="16" s="1" a="1"/>
  <c r="AL131" i="16" s="1"/>
  <c r="AK285" i="16" a="1"/>
  <c r="AK285" i="16" s="1"/>
  <c r="AB285" i="16" a="1"/>
  <c r="AB285" i="16" s="1"/>
  <c r="AL285" i="16" s="1" a="1"/>
  <c r="AL285" i="16" s="1"/>
  <c r="AK201" i="16" a="1"/>
  <c r="AK201" i="16" s="1"/>
  <c r="AB201" i="16" a="1"/>
  <c r="AB201" i="16" s="1"/>
  <c r="AL201" i="16" s="1" a="1"/>
  <c r="AL201" i="16" s="1"/>
  <c r="AK65" i="16" a="1"/>
  <c r="AK65" i="16" s="1"/>
  <c r="AB65" i="16" a="1"/>
  <c r="AB65" i="16" s="1"/>
  <c r="AL65" i="16" s="1" a="1"/>
  <c r="AL65" i="16" s="1"/>
  <c r="AK83" i="16" a="1"/>
  <c r="AK83" i="16" s="1"/>
  <c r="AB83" i="16" a="1"/>
  <c r="AB83" i="16" s="1"/>
  <c r="AL83" i="16" s="1" a="1"/>
  <c r="AL83" i="16" s="1"/>
  <c r="AK291" i="16" a="1"/>
  <c r="AK291" i="16" s="1"/>
  <c r="AB291" i="16" a="1"/>
  <c r="AB291" i="16" s="1"/>
  <c r="AL291" i="16" s="1" a="1"/>
  <c r="AL291" i="16" s="1"/>
  <c r="AK139" i="16" a="1"/>
  <c r="AK139" i="16" s="1"/>
  <c r="AB139" i="16" a="1"/>
  <c r="AB139" i="16" s="1"/>
  <c r="AL139" i="16" s="1" a="1"/>
  <c r="AL139" i="16" s="1"/>
  <c r="AK35" i="16" a="1"/>
  <c r="AK35" i="16" s="1"/>
  <c r="AB35" i="16" a="1"/>
  <c r="AB35" i="16" s="1"/>
  <c r="AL35" i="16" s="1" a="1"/>
  <c r="AL35" i="16" s="1"/>
  <c r="AK268" i="16" a="1"/>
  <c r="AK268" i="16" s="1"/>
  <c r="AB268" i="16" a="1"/>
  <c r="AB268" i="16" s="1"/>
  <c r="AL268" i="16" s="1" a="1"/>
  <c r="AL268" i="16" s="1"/>
  <c r="AK74" i="16" a="1"/>
  <c r="AK74" i="16" s="1"/>
  <c r="AB74" i="16" a="1"/>
  <c r="AB74" i="16" s="1"/>
  <c r="AL74" i="16" s="1" a="1"/>
  <c r="AL74" i="16" s="1"/>
  <c r="AK213" i="16" a="1"/>
  <c r="AK213" i="16" s="1"/>
  <c r="AB213" i="16" a="1"/>
  <c r="AB213" i="16" s="1"/>
  <c r="AL213" i="16" s="1" a="1"/>
  <c r="AL213" i="16" s="1"/>
  <c r="AK91" i="16" a="1"/>
  <c r="AK91" i="16" s="1"/>
  <c r="AB91" i="16" a="1"/>
  <c r="AB91" i="16" s="1"/>
  <c r="AL91" i="16" s="1" a="1"/>
  <c r="AL91" i="16" s="1"/>
  <c r="AK314" i="16" a="1"/>
  <c r="AK314" i="16" s="1"/>
  <c r="AB314" i="16" a="1"/>
  <c r="AB314" i="16" s="1"/>
  <c r="AL314" i="16" s="1" a="1"/>
  <c r="AL314" i="16" s="1"/>
  <c r="AK167" i="16" a="1"/>
  <c r="AK167" i="16" s="1"/>
  <c r="AB167" i="16" a="1"/>
  <c r="AB167" i="16" s="1"/>
  <c r="AL167" i="16" s="1" a="1"/>
  <c r="AL167" i="16" s="1"/>
  <c r="AK73" i="16" a="1"/>
  <c r="AK73" i="16" s="1"/>
  <c r="AB73" i="16" a="1"/>
  <c r="AB73" i="16" s="1"/>
  <c r="AL73" i="16" s="1" a="1"/>
  <c r="AL73" i="16" s="1"/>
  <c r="AK281" i="16" a="1"/>
  <c r="AK281" i="16" s="1"/>
  <c r="AB281" i="16" a="1"/>
  <c r="AB281" i="16" s="1"/>
  <c r="AL281" i="16" s="1" a="1"/>
  <c r="AL281" i="16" s="1"/>
  <c r="AK134" i="16" a="1"/>
  <c r="AK134" i="16" s="1"/>
  <c r="AB134" i="16" a="1"/>
  <c r="AB134" i="16" s="1"/>
  <c r="AL134" i="16" s="1" a="1"/>
  <c r="AL134" i="16" s="1"/>
  <c r="AK198" i="16" a="1"/>
  <c r="AK198" i="16" s="1"/>
  <c r="AB198" i="16" a="1"/>
  <c r="AB198" i="16" s="1"/>
  <c r="AL198" i="16" s="1" a="1"/>
  <c r="AL198" i="16" s="1"/>
  <c r="AK205" i="16" a="1"/>
  <c r="AK205" i="16" s="1"/>
  <c r="AB205" i="16" a="1"/>
  <c r="AB205" i="16" s="1"/>
  <c r="AL205" i="16" s="1" a="1"/>
  <c r="AL205" i="16" s="1"/>
  <c r="AK44" i="16" a="1"/>
  <c r="AK44" i="16" s="1"/>
  <c r="AB44" i="16" a="1"/>
  <c r="AB44" i="16" s="1"/>
  <c r="AL44" i="16" s="1" a="1"/>
  <c r="AL44" i="16" s="1"/>
  <c r="AK312" i="16" a="1"/>
  <c r="AK312" i="16" s="1"/>
  <c r="AB312" i="16" a="1"/>
  <c r="AB312" i="16" s="1"/>
  <c r="AL312" i="16" s="1" a="1"/>
  <c r="AL312" i="16" s="1"/>
  <c r="AK168" i="16" a="1"/>
  <c r="AK168" i="16" s="1"/>
  <c r="AB168" i="16" a="1"/>
  <c r="AB168" i="16" s="1"/>
  <c r="AL168" i="16" s="1" a="1"/>
  <c r="AL168" i="16" s="1"/>
  <c r="AK307" i="16" a="1"/>
  <c r="AK307" i="16" s="1"/>
  <c r="AB307" i="16" a="1"/>
  <c r="AB307" i="16" s="1"/>
  <c r="AL307" i="16" s="1" a="1"/>
  <c r="AL307" i="16" s="1"/>
  <c r="AK241" i="16" a="1"/>
  <c r="AK241" i="16" s="1"/>
  <c r="AB241" i="16" a="1"/>
  <c r="AB241" i="16" s="1"/>
  <c r="AL241" i="16" s="1" a="1"/>
  <c r="AL241" i="16" s="1"/>
  <c r="AK98" i="16" a="1"/>
  <c r="AK98" i="16" s="1"/>
  <c r="AB98" i="16" a="1"/>
  <c r="AB98" i="16" s="1"/>
  <c r="AL98" i="16" s="1" a="1"/>
  <c r="AL98" i="16" s="1"/>
  <c r="AK313" i="16" a="1"/>
  <c r="AK313" i="16" s="1"/>
  <c r="AB313" i="16" a="1"/>
  <c r="AB313" i="16" s="1"/>
  <c r="AL313" i="16" s="1" a="1"/>
  <c r="AL313" i="16" s="1"/>
  <c r="AK199" i="16" a="1"/>
  <c r="AK199" i="16" s="1"/>
  <c r="AB199" i="16" a="1"/>
  <c r="AB199" i="16" s="1"/>
  <c r="AL199" i="16" s="1" a="1"/>
  <c r="AL199" i="16" s="1"/>
  <c r="AK122" i="16" a="1"/>
  <c r="AK122" i="16" s="1"/>
  <c r="AB122" i="16" a="1"/>
  <c r="AB122" i="16" s="1"/>
  <c r="AL122" i="16" s="1" a="1"/>
  <c r="AL122" i="16" s="1"/>
  <c r="AK234" i="16" a="1"/>
  <c r="AK234" i="16" s="1"/>
  <c r="AB234" i="16" a="1"/>
  <c r="AB234" i="16" s="1"/>
  <c r="AL234" i="16" s="1" a="1"/>
  <c r="AL234" i="16" s="1"/>
  <c r="AK129" i="16" a="1"/>
  <c r="AK129" i="16" s="1"/>
  <c r="AB129" i="16" a="1"/>
  <c r="AB129" i="16" s="1"/>
  <c r="AL129" i="16" s="1" a="1"/>
  <c r="AL129" i="16" s="1"/>
  <c r="AK260" i="16" a="1"/>
  <c r="AK260" i="16" s="1"/>
  <c r="AB260" i="16" a="1"/>
  <c r="AB260" i="16" s="1"/>
  <c r="AL260" i="16" s="1" a="1"/>
  <c r="AL260" i="16" s="1"/>
  <c r="AK181" i="16" a="1"/>
  <c r="AK181" i="16" s="1"/>
  <c r="AB181" i="16" a="1"/>
  <c r="AB181" i="16" s="1"/>
  <c r="AL181" i="16" s="1" a="1"/>
  <c r="AL181" i="16" s="1"/>
  <c r="AK288" i="16" a="1"/>
  <c r="AK288" i="16" s="1"/>
  <c r="AB288" i="16" a="1"/>
  <c r="AB288" i="16" s="1"/>
  <c r="AL288" i="16" s="1" a="1"/>
  <c r="AL288" i="16" s="1"/>
  <c r="AK233" i="16" a="1"/>
  <c r="AK233" i="16" s="1"/>
  <c r="AB233" i="16" a="1"/>
  <c r="AB233" i="16" s="1"/>
  <c r="AL233" i="16" s="1" a="1"/>
  <c r="AL233" i="16" s="1"/>
  <c r="AK130" i="16" a="1"/>
  <c r="AK130" i="16" s="1"/>
  <c r="AB130" i="16" a="1"/>
  <c r="AB130" i="16" s="1"/>
  <c r="AL130" i="16" s="1" a="1"/>
  <c r="AL130" i="16" s="1"/>
  <c r="AK317" i="16" a="1"/>
  <c r="AK317" i="16" s="1"/>
  <c r="AB317" i="16" a="1"/>
  <c r="AB317" i="16" s="1"/>
  <c r="AL317" i="16" s="1" a="1"/>
  <c r="AL317" i="16" s="1"/>
  <c r="AK171" i="16" a="1"/>
  <c r="AK171" i="16" s="1"/>
  <c r="AB171" i="16" a="1"/>
  <c r="AB171" i="16" s="1"/>
  <c r="AL171" i="16" s="1" a="1"/>
  <c r="AL171" i="16" s="1"/>
  <c r="AK45" i="16" a="1"/>
  <c r="AK45" i="16" s="1"/>
  <c r="AB45" i="16" a="1"/>
  <c r="AB45" i="16" s="1"/>
  <c r="AL45" i="16" s="1" a="1"/>
  <c r="AL45" i="16" s="1"/>
  <c r="AK279" i="16" a="1"/>
  <c r="AK279" i="16" s="1"/>
  <c r="AB279" i="16" a="1"/>
  <c r="AB279" i="16" s="1"/>
  <c r="AL279" i="16" s="1" a="1"/>
  <c r="AL279" i="16" s="1"/>
  <c r="AK137" i="16" a="1"/>
  <c r="AK137" i="16" s="1"/>
  <c r="AB137" i="16" a="1"/>
  <c r="AB137" i="16" s="1"/>
  <c r="AL137" i="16" s="1" a="1"/>
  <c r="AL137" i="16" s="1"/>
  <c r="AK113" i="16" a="1"/>
  <c r="AK113" i="16" s="1"/>
  <c r="AB113" i="16" a="1"/>
  <c r="AB113" i="16" s="1"/>
  <c r="AL113" i="16" s="1" a="1"/>
  <c r="AL113" i="16" s="1"/>
  <c r="AK238" i="16" a="1"/>
  <c r="AK238" i="16" s="1"/>
  <c r="AB238" i="16" a="1"/>
  <c r="AB238" i="16" s="1"/>
  <c r="AL238" i="16" s="1" a="1"/>
  <c r="AL238" i="16" s="1"/>
  <c r="AK162" i="16" a="1"/>
  <c r="AK162" i="16" s="1"/>
  <c r="AB162" i="16" a="1"/>
  <c r="AB162" i="16" s="1"/>
  <c r="AL162" i="16" s="1" a="1"/>
  <c r="AL162" i="16" s="1"/>
  <c r="AK155" i="16" a="1"/>
  <c r="AK155" i="16" s="1"/>
  <c r="AB155" i="16" a="1"/>
  <c r="AB155" i="16" s="1"/>
  <c r="AL155" i="16" s="1" a="1"/>
  <c r="AL155" i="16" s="1"/>
  <c r="AK300" i="16" a="1"/>
  <c r="AK300" i="16" s="1"/>
  <c r="AB300" i="16" a="1"/>
  <c r="AB300" i="16" s="1"/>
  <c r="AL300" i="16" s="1" a="1"/>
  <c r="AL300" i="16" s="1"/>
  <c r="AK283" i="16" a="1"/>
  <c r="AK283" i="16" s="1"/>
  <c r="AB283" i="16" a="1"/>
  <c r="AB283" i="16" s="1"/>
  <c r="AL283" i="16" s="1" a="1"/>
  <c r="AL283" i="16" s="1"/>
  <c r="AK159" i="16" a="1"/>
  <c r="AK159" i="16" s="1"/>
  <c r="AB159" i="16" a="1"/>
  <c r="AB159" i="16" s="1"/>
  <c r="AL159" i="16" s="1" a="1"/>
  <c r="AL159" i="16" s="1"/>
  <c r="AK243" i="16" a="1"/>
  <c r="AK243" i="16" s="1"/>
  <c r="AB243" i="16" a="1"/>
  <c r="AB243" i="16" s="1"/>
  <c r="AL243" i="16" s="1" a="1"/>
  <c r="AL243" i="16" s="1"/>
  <c r="AK118" i="16" a="1"/>
  <c r="AK118" i="16" s="1"/>
  <c r="AB118" i="16" a="1"/>
  <c r="AB118" i="16" s="1"/>
  <c r="AL118" i="16" s="1" a="1"/>
  <c r="AL118" i="16" s="1"/>
  <c r="AK209" i="16" a="1"/>
  <c r="AK209" i="16" s="1"/>
  <c r="AB209" i="16" a="1"/>
  <c r="AB209" i="16" s="1"/>
  <c r="AL209" i="16" s="1" a="1"/>
  <c r="AL209" i="16" s="1"/>
  <c r="AK102" i="16" a="1"/>
  <c r="AK102" i="16" s="1"/>
  <c r="AB102" i="16" a="1"/>
  <c r="AB102" i="16" s="1"/>
  <c r="AL102" i="16" s="1" a="1"/>
  <c r="AL102" i="16" s="1"/>
  <c r="AK294" i="16" a="1"/>
  <c r="AK294" i="16" s="1"/>
  <c r="AB294" i="16" a="1"/>
  <c r="AB294" i="16" s="1"/>
  <c r="AL294" i="16" s="1" a="1"/>
  <c r="AL294" i="16" s="1"/>
  <c r="AK195" i="16" a="1"/>
  <c r="AK195" i="16" s="1"/>
  <c r="AB195" i="16" a="1"/>
  <c r="AB195" i="16" s="1"/>
  <c r="AL195" i="16" s="1" a="1"/>
  <c r="AL195" i="16" s="1"/>
  <c r="AK85" i="16" a="1"/>
  <c r="AK85" i="16" s="1"/>
  <c r="AB85" i="16" a="1"/>
  <c r="AB85" i="16" s="1"/>
  <c r="AL85" i="16" s="1" a="1"/>
  <c r="AL85" i="16" s="1"/>
  <c r="AK263" i="16" a="1"/>
  <c r="AK263" i="16" s="1"/>
  <c r="AB263" i="16" a="1"/>
  <c r="AB263" i="16" s="1"/>
  <c r="AL263" i="16" s="1" a="1"/>
  <c r="AL263" i="16" s="1"/>
  <c r="AK250" i="16" a="1"/>
  <c r="AK250" i="16" s="1"/>
  <c r="AB250" i="16" a="1"/>
  <c r="AB250" i="16" s="1"/>
  <c r="AL250" i="16" s="1" a="1"/>
  <c r="AL250" i="16" s="1"/>
  <c r="AK165" i="16" a="1"/>
  <c r="AK165" i="16" s="1"/>
  <c r="AB165" i="16" a="1"/>
  <c r="AB165" i="16" s="1"/>
  <c r="AL165" i="16" s="1" a="1"/>
  <c r="AL165" i="16" s="1"/>
  <c r="AK145" i="16" a="1"/>
  <c r="AK145" i="16" s="1"/>
  <c r="AB145" i="16" a="1"/>
  <c r="AB145" i="16" s="1"/>
  <c r="AL145" i="16" s="1" a="1"/>
  <c r="AL145" i="16" s="1"/>
  <c r="AK315" i="16" a="1"/>
  <c r="AK315" i="16" s="1"/>
  <c r="AB315" i="16" a="1"/>
  <c r="AB315" i="16" s="1"/>
  <c r="AL315" i="16" s="1" a="1"/>
  <c r="AL315" i="16" s="1"/>
  <c r="AK202" i="16" a="1"/>
  <c r="AK202" i="16" s="1"/>
  <c r="AB202" i="16" a="1"/>
  <c r="AB202" i="16" s="1"/>
  <c r="AL202" i="16" s="1" a="1"/>
  <c r="AL202" i="16" s="1"/>
  <c r="AK56" i="16" a="1"/>
  <c r="AK56" i="16" s="1"/>
  <c r="AB56" i="16" a="1"/>
  <c r="AB56" i="16" s="1"/>
  <c r="AL56" i="16" s="1" a="1"/>
  <c r="AL56" i="16" s="1"/>
  <c r="AK232" i="16" a="1"/>
  <c r="AK232" i="16" s="1"/>
  <c r="AB232" i="16" a="1"/>
  <c r="AB232" i="16" s="1"/>
  <c r="AL232" i="16" s="1" a="1"/>
  <c r="AL232" i="16" s="1"/>
  <c r="AK169" i="16" a="1"/>
  <c r="AK169" i="16" s="1"/>
  <c r="AB169" i="16" a="1"/>
  <c r="AB169" i="16" s="1"/>
  <c r="AL169" i="16" s="1" a="1"/>
  <c r="AL169" i="16" s="1"/>
  <c r="AK200" i="16" a="1"/>
  <c r="AK200" i="16" s="1"/>
  <c r="AB200" i="16" a="1"/>
  <c r="AB200" i="16" s="1"/>
  <c r="AL200" i="16" s="1" a="1"/>
  <c r="AL200" i="16" s="1"/>
  <c r="AK60" i="16" a="1"/>
  <c r="AK60" i="16" s="1"/>
  <c r="AB60" i="16" a="1"/>
  <c r="AB60" i="16" s="1"/>
  <c r="AL60" i="16" s="1" a="1"/>
  <c r="AL60" i="16" s="1"/>
  <c r="AK292" i="16" a="1"/>
  <c r="AK292" i="16" s="1"/>
  <c r="AB292" i="16" a="1"/>
  <c r="AB292" i="16" s="1"/>
  <c r="AL292" i="16" s="1" a="1"/>
  <c r="AL292" i="16" s="1"/>
  <c r="AK151" i="16" a="1"/>
  <c r="AK151" i="16" s="1"/>
  <c r="AB151" i="16" a="1"/>
  <c r="AB151" i="16" s="1"/>
  <c r="AL151" i="16" s="1" a="1"/>
  <c r="AL151" i="16" s="1"/>
  <c r="AK80" i="16" a="1"/>
  <c r="AK80" i="16" s="1"/>
  <c r="AB80" i="16" a="1"/>
  <c r="AB80" i="16" s="1"/>
  <c r="AL80" i="16" s="1" a="1"/>
  <c r="AL80" i="16" s="1"/>
  <c r="AK244" i="16" a="1"/>
  <c r="AK244" i="16" s="1"/>
  <c r="AB244" i="16" a="1"/>
  <c r="AB244" i="16" s="1"/>
  <c r="AL244" i="16" s="1" a="1"/>
  <c r="AL244" i="16" s="1"/>
  <c r="AK231" i="16" a="1"/>
  <c r="AK231" i="16" s="1"/>
  <c r="AB231" i="16" a="1"/>
  <c r="AB231" i="16" s="1"/>
  <c r="AL231" i="16" s="1" a="1"/>
  <c r="AL231" i="16" s="1"/>
  <c r="AK70" i="16" a="1"/>
  <c r="AK70" i="16" s="1"/>
  <c r="AB70" i="16" a="1"/>
  <c r="AB70" i="16" s="1"/>
  <c r="AL70" i="16" s="1" a="1"/>
  <c r="AL70" i="16" s="1"/>
  <c r="AK262" i="16" a="1"/>
  <c r="AK262" i="16" s="1"/>
  <c r="AB262" i="16" a="1"/>
  <c r="AB262" i="16" s="1"/>
  <c r="AL262" i="16" s="1" a="1"/>
  <c r="AL262" i="16" s="1"/>
  <c r="AK114" i="16" a="1"/>
  <c r="AK114" i="16" s="1"/>
  <c r="AB114" i="16" a="1"/>
  <c r="AB114" i="16" s="1"/>
  <c r="AL114" i="16" s="1" a="1"/>
  <c r="AL114" i="16" s="1"/>
  <c r="AK207" i="16" a="1"/>
  <c r="AK207" i="16" s="1"/>
  <c r="AB207" i="16" a="1"/>
  <c r="AB207" i="16" s="1"/>
  <c r="AL207" i="16" s="1" a="1"/>
  <c r="AL207" i="16" s="1"/>
  <c r="AK68" i="16" a="1"/>
  <c r="AK68" i="16" s="1"/>
  <c r="AB68" i="16" a="1"/>
  <c r="AB68" i="16" s="1"/>
  <c r="AL68" i="16" s="1" a="1"/>
  <c r="AL68" i="16" s="1"/>
  <c r="AK301" i="16" a="1"/>
  <c r="AK301" i="16" s="1"/>
  <c r="AB301" i="16" a="1"/>
  <c r="AB301" i="16" s="1"/>
  <c r="AL301" i="16" s="1" a="1"/>
  <c r="AL301" i="16" s="1"/>
  <c r="AK150" i="16" a="1"/>
  <c r="AK150" i="16" s="1"/>
  <c r="AB150" i="16" a="1"/>
  <c r="AB150" i="16" s="1"/>
  <c r="AL150" i="16" s="1" a="1"/>
  <c r="AL150" i="16" s="1"/>
  <c r="AK47" i="16" a="1"/>
  <c r="AK47" i="16" s="1"/>
  <c r="AB47" i="16" a="1"/>
  <c r="AB47" i="16" s="1"/>
  <c r="AL47" i="16" s="1" a="1"/>
  <c r="AL47" i="16" s="1"/>
  <c r="AK253" i="16" a="1"/>
  <c r="AK253" i="16" s="1"/>
  <c r="AB253" i="16" a="1"/>
  <c r="AB253" i="16" s="1"/>
  <c r="AL253" i="16" s="1" a="1"/>
  <c r="AL253" i="16" s="1"/>
  <c r="AK116" i="16" a="1"/>
  <c r="AK116" i="16" s="1"/>
  <c r="AB116" i="16" a="1"/>
  <c r="AB116" i="16" s="1"/>
  <c r="AL116" i="16" s="1" a="1"/>
  <c r="AL116" i="16" s="1"/>
  <c r="AK115" i="16" a="1"/>
  <c r="AK115" i="16" s="1"/>
  <c r="AB115" i="16" a="1"/>
  <c r="AB115" i="16" s="1"/>
  <c r="AL115" i="16" s="1" a="1"/>
  <c r="AL115" i="16" s="1"/>
  <c r="AK278" i="16" a="1"/>
  <c r="AK278" i="16" s="1"/>
  <c r="AB278" i="16" a="1"/>
  <c r="AB278" i="16" s="1"/>
  <c r="AL278" i="16" s="1" a="1"/>
  <c r="AL278" i="16" s="1"/>
  <c r="AK117" i="16" a="1"/>
  <c r="AK117" i="16" s="1"/>
  <c r="AB117" i="16" a="1"/>
  <c r="AB117" i="16" s="1"/>
  <c r="AL117" i="16" s="1" a="1"/>
  <c r="AL117" i="16" s="1"/>
  <c r="AK81" i="16" a="1"/>
  <c r="AK81" i="16" s="1"/>
  <c r="AB81" i="16" a="1"/>
  <c r="AB81" i="16" s="1"/>
  <c r="AL81" i="16" s="1" a="1"/>
  <c r="AL81" i="16" s="1"/>
  <c r="AA95" i="7"/>
  <c r="AB95" i="7" s="1"/>
  <c r="Z23" i="7"/>
  <c r="Z10" i="7"/>
  <c r="R11" i="7"/>
  <c r="AG11" i="7" s="1"/>
  <c r="AH11" i="7" s="1"/>
  <c r="Z15" i="7"/>
  <c r="Z24" i="7"/>
  <c r="Z28" i="7"/>
  <c r="Z33" i="7"/>
  <c r="AQ249" i="7"/>
  <c r="AA249" i="7"/>
  <c r="AB249" i="7" s="1"/>
  <c r="AS33" i="16"/>
  <c r="Z294" i="7"/>
  <c r="AS30" i="16"/>
  <c r="AS92" i="16"/>
  <c r="AS28" i="16"/>
  <c r="Z264" i="7"/>
  <c r="AE264" i="7" s="1"/>
  <c r="AM264" i="7" s="1"/>
  <c r="Z306" i="7"/>
  <c r="Z74" i="7"/>
  <c r="Z21" i="7"/>
  <c r="R25" i="7"/>
  <c r="AC25" i="7" s="1"/>
  <c r="AD25" i="7" s="1"/>
  <c r="AS251" i="16"/>
  <c r="AS84" i="16"/>
  <c r="AS20" i="16"/>
  <c r="Z14" i="7"/>
  <c r="Z12" i="7"/>
  <c r="R29" i="7"/>
  <c r="AG29" i="7" s="1"/>
  <c r="AH29" i="7" s="1"/>
  <c r="AS182" i="16"/>
  <c r="AS69" i="16"/>
  <c r="AS290" i="16"/>
  <c r="AS24" i="16"/>
  <c r="AS26" i="16"/>
  <c r="Z307" i="7"/>
  <c r="Z30" i="7"/>
  <c r="Z9" i="7"/>
  <c r="AI9" i="7" s="1"/>
  <c r="AJ9" i="7" s="1"/>
  <c r="Z7" i="7"/>
  <c r="R8" i="7"/>
  <c r="AS236" i="16"/>
  <c r="AS71" i="16"/>
  <c r="AS32" i="16"/>
  <c r="AS4" i="16"/>
  <c r="R5" i="7"/>
  <c r="AG5" i="7" s="1"/>
  <c r="AH5" i="7" s="1"/>
  <c r="R32" i="7"/>
  <c r="Z6" i="7"/>
  <c r="Z13" i="7"/>
  <c r="AS29" i="16"/>
  <c r="AS7" i="16"/>
  <c r="AS22" i="16"/>
  <c r="Z19" i="7"/>
  <c r="R15" i="7"/>
  <c r="AC15" i="7" s="1"/>
  <c r="AD15" i="7" s="1"/>
  <c r="R13" i="7"/>
  <c r="AC13" i="7" s="1"/>
  <c r="AD13" i="7" s="1"/>
  <c r="R27" i="7"/>
  <c r="AC27" i="7" s="1"/>
  <c r="AD27" i="7" s="1"/>
  <c r="Z31" i="7"/>
  <c r="R18" i="7"/>
  <c r="R26" i="7"/>
  <c r="Z27" i="7"/>
  <c r="Z26" i="7"/>
  <c r="R17" i="7"/>
  <c r="AG17" i="7" s="1"/>
  <c r="AH17" i="7" s="1"/>
  <c r="R19" i="7"/>
  <c r="AG19" i="7" s="1"/>
  <c r="AH19" i="7" s="1"/>
  <c r="R14" i="7"/>
  <c r="AC14" i="7" s="1"/>
  <c r="AD14" i="7" s="1"/>
  <c r="R6" i="7"/>
  <c r="AC6" i="7" s="1"/>
  <c r="AD6" i="7" s="1"/>
  <c r="Z16" i="7"/>
  <c r="R16" i="7"/>
  <c r="Z5" i="7"/>
  <c r="Z25" i="7"/>
  <c r="R31" i="7"/>
  <c r="AG31" i="7" s="1"/>
  <c r="AH31" i="7" s="1"/>
  <c r="Z22" i="7"/>
  <c r="Z18" i="7"/>
  <c r="Z4" i="7"/>
  <c r="R12" i="7"/>
  <c r="AG12" i="7" s="1"/>
  <c r="AH12" i="7" s="1"/>
  <c r="R23" i="7"/>
  <c r="R10" i="7"/>
  <c r="AG10" i="7" s="1"/>
  <c r="AH10" i="7" s="1"/>
  <c r="Z17" i="7"/>
  <c r="R7" i="7"/>
  <c r="AC7" i="7" s="1"/>
  <c r="AD7" i="7" s="1"/>
  <c r="Z29" i="7"/>
  <c r="Z8" i="7"/>
  <c r="R24" i="7"/>
  <c r="AG24" i="7" s="1"/>
  <c r="AH24" i="7" s="1"/>
  <c r="R9" i="7"/>
  <c r="AG9" i="7" s="1"/>
  <c r="AH9" i="7" s="1"/>
  <c r="Z20" i="7"/>
  <c r="Z35" i="7"/>
  <c r="Z271" i="7"/>
  <c r="Z131" i="7"/>
  <c r="AO99" i="7"/>
  <c r="AP99" i="7" s="1"/>
  <c r="Z99" i="7"/>
  <c r="Z299" i="7"/>
  <c r="Z316" i="7"/>
  <c r="AE316" i="7" s="1"/>
  <c r="AM316" i="7" s="1"/>
  <c r="Z118" i="7"/>
  <c r="Z158" i="7"/>
  <c r="Z100" i="7"/>
  <c r="Z84" i="7"/>
  <c r="Z200" i="7"/>
  <c r="Z62" i="7"/>
  <c r="Z45" i="7"/>
  <c r="AQ237" i="7"/>
  <c r="Z284" i="7"/>
  <c r="AA237" i="7"/>
  <c r="AB237" i="7" s="1"/>
  <c r="AQ104" i="7"/>
  <c r="AA104" i="7"/>
  <c r="AB104" i="7" s="1"/>
  <c r="Z111" i="7"/>
  <c r="Z315" i="7"/>
  <c r="Z178" i="7"/>
  <c r="Z201" i="7"/>
  <c r="Z254" i="7"/>
  <c r="Z159" i="7"/>
  <c r="Z256" i="7"/>
  <c r="Z114" i="7"/>
  <c r="AO224" i="7"/>
  <c r="AP224" i="7" s="1"/>
  <c r="AQ224" i="7"/>
  <c r="Z161" i="7"/>
  <c r="AE161" i="7" s="1"/>
  <c r="AM161" i="7" s="1"/>
  <c r="Z136" i="7"/>
  <c r="Z162" i="7"/>
  <c r="Z276" i="7"/>
  <c r="Z101" i="7"/>
  <c r="AE101" i="7" s="1"/>
  <c r="AM101" i="7" s="1"/>
  <c r="Z97" i="7"/>
  <c r="Z59" i="7"/>
  <c r="Z210" i="7"/>
  <c r="Z222" i="7"/>
  <c r="Z168" i="7"/>
  <c r="Z58" i="7"/>
  <c r="Z105" i="7"/>
  <c r="Z191" i="7"/>
  <c r="Z137" i="7"/>
  <c r="Z187" i="7"/>
  <c r="Z55" i="7"/>
  <c r="Z48" i="7"/>
  <c r="Z196" i="7"/>
  <c r="Z170" i="7"/>
  <c r="AQ128" i="7"/>
  <c r="Z188" i="7"/>
  <c r="Z177" i="7"/>
  <c r="Z79" i="7"/>
  <c r="Z255" i="7"/>
  <c r="Z226" i="7"/>
  <c r="Z121" i="7"/>
  <c r="AI121" i="7" s="1"/>
  <c r="AJ121" i="7" s="1"/>
  <c r="Z174" i="7"/>
  <c r="AA76" i="7"/>
  <c r="AB76" i="7" s="1"/>
  <c r="Z205" i="7"/>
  <c r="Z129" i="7"/>
  <c r="Z108" i="7"/>
  <c r="AI108" i="7" s="1"/>
  <c r="AJ108" i="7" s="1"/>
  <c r="Z147" i="7"/>
  <c r="Z146" i="7"/>
  <c r="R305" i="7"/>
  <c r="Z223" i="7"/>
  <c r="Z298" i="7"/>
  <c r="Z211" i="7"/>
  <c r="Z250" i="7"/>
  <c r="Z86" i="7"/>
  <c r="Z169" i="7"/>
  <c r="Z261" i="7"/>
  <c r="Z64" i="7"/>
  <c r="Z217" i="7"/>
  <c r="Z94" i="7"/>
  <c r="Z203" i="7"/>
  <c r="Z289" i="7"/>
  <c r="Z234" i="7"/>
  <c r="Z130" i="7"/>
  <c r="Z214" i="7"/>
  <c r="Z98" i="7"/>
  <c r="Z87" i="7"/>
  <c r="R90" i="7"/>
  <c r="AC90" i="7" s="1"/>
  <c r="AD90" i="7" s="1"/>
  <c r="R308" i="7"/>
  <c r="R75" i="7"/>
  <c r="Z38" i="7"/>
  <c r="Z176" i="7"/>
  <c r="Z295" i="7"/>
  <c r="Z142" i="7"/>
  <c r="Z235" i="7"/>
  <c r="Z230" i="7"/>
  <c r="Z167" i="7"/>
  <c r="Z93" i="7"/>
  <c r="Z259" i="7"/>
  <c r="Z152" i="7"/>
  <c r="Z75" i="7"/>
  <c r="Z184" i="7"/>
  <c r="Z311" i="7"/>
  <c r="Z102" i="7"/>
  <c r="Z305" i="7"/>
  <c r="Z297" i="7"/>
  <c r="Z92" i="7"/>
  <c r="Z221" i="7"/>
  <c r="AO246" i="7"/>
  <c r="AP246" i="7" s="1"/>
  <c r="AQ246" i="7"/>
  <c r="AQ62" i="7"/>
  <c r="Z243" i="7"/>
  <c r="AO62" i="7"/>
  <c r="AP62" i="7" s="1"/>
  <c r="Z189" i="7"/>
  <c r="AA146" i="7"/>
  <c r="AB146" i="7" s="1"/>
  <c r="Z78" i="7"/>
  <c r="Z157" i="7"/>
  <c r="AI157" i="7" s="1"/>
  <c r="AJ157" i="7" s="1"/>
  <c r="Z216" i="7"/>
  <c r="Z95" i="7"/>
  <c r="Z113" i="7"/>
  <c r="Z81" i="7"/>
  <c r="Z80" i="7"/>
  <c r="R133" i="7"/>
  <c r="R314" i="7"/>
  <c r="AC314" i="7" s="1"/>
  <c r="AD314" i="7" s="1"/>
  <c r="R180" i="7"/>
  <c r="AO306" i="7"/>
  <c r="AP306" i="7" s="1"/>
  <c r="R41" i="7"/>
  <c r="R174" i="7"/>
  <c r="AG174" i="7" s="1"/>
  <c r="AH174" i="7" s="1"/>
  <c r="R228" i="7"/>
  <c r="AG228" i="7" s="1"/>
  <c r="AH228" i="7" s="1"/>
  <c r="Z116" i="7"/>
  <c r="Z320" i="7"/>
  <c r="R253" i="7"/>
  <c r="Z85" i="7"/>
  <c r="Z262" i="7"/>
  <c r="Z318" i="7"/>
  <c r="AI318" i="7" s="1"/>
  <c r="AJ318" i="7" s="1"/>
  <c r="R51" i="7"/>
  <c r="AG51" i="7" s="1"/>
  <c r="AH51" i="7" s="1"/>
  <c r="AO150" i="7"/>
  <c r="AP150" i="7" s="1"/>
  <c r="R54" i="7"/>
  <c r="AG54" i="7" s="1"/>
  <c r="AH54" i="7" s="1"/>
  <c r="AA150" i="7"/>
  <c r="AB150" i="7" s="1"/>
  <c r="R196" i="7"/>
  <c r="AC196" i="7" s="1"/>
  <c r="AD196" i="7" s="1"/>
  <c r="R161" i="7"/>
  <c r="AC161" i="7" s="1"/>
  <c r="AD161" i="7" s="1"/>
  <c r="R117" i="7"/>
  <c r="AC117" i="7" s="1"/>
  <c r="AD117" i="7" s="1"/>
  <c r="Z110" i="7"/>
  <c r="AO76" i="7"/>
  <c r="AP76" i="7" s="1"/>
  <c r="Z67" i="7"/>
  <c r="Z180" i="7"/>
  <c r="Z166" i="7"/>
  <c r="Z206" i="7"/>
  <c r="Z193" i="7"/>
  <c r="Z124" i="7"/>
  <c r="Z281" i="7"/>
  <c r="Z65" i="7"/>
  <c r="Z267" i="7"/>
  <c r="Z252" i="7"/>
  <c r="Z224" i="7"/>
  <c r="AI224" i="7" s="1"/>
  <c r="AJ224" i="7" s="1"/>
  <c r="Z300" i="7"/>
  <c r="Z36" i="7"/>
  <c r="Z181" i="7"/>
  <c r="Z61" i="7"/>
  <c r="Z265" i="7"/>
  <c r="Z240" i="7"/>
  <c r="Z153" i="7"/>
  <c r="R257" i="7"/>
  <c r="AC257" i="7" s="1"/>
  <c r="AD257" i="7" s="1"/>
  <c r="AQ102" i="7"/>
  <c r="R202" i="7"/>
  <c r="AC202" i="7" s="1"/>
  <c r="AD202" i="7" s="1"/>
  <c r="R91" i="7"/>
  <c r="AG91" i="7" s="1"/>
  <c r="AH91" i="7" s="1"/>
  <c r="R116" i="7"/>
  <c r="AG116" i="7" s="1"/>
  <c r="AH116" i="7" s="1"/>
  <c r="R179" i="7"/>
  <c r="AG179" i="7" s="1"/>
  <c r="AH179" i="7" s="1"/>
  <c r="R96" i="7"/>
  <c r="R151" i="7"/>
  <c r="R295" i="7"/>
  <c r="AG295" i="7" s="1"/>
  <c r="AH295" i="7" s="1"/>
  <c r="R324" i="7"/>
  <c r="AG324" i="7" s="1"/>
  <c r="AH324" i="7" s="1"/>
  <c r="R252" i="7"/>
  <c r="AC252" i="7" s="1"/>
  <c r="AD252" i="7" s="1"/>
  <c r="Z183" i="7"/>
  <c r="Z44" i="7"/>
  <c r="Z274" i="7"/>
  <c r="Z253" i="7"/>
  <c r="Z115" i="7"/>
  <c r="Z140" i="7"/>
  <c r="R214" i="7"/>
  <c r="R315" i="7"/>
  <c r="AC315" i="7" s="1"/>
  <c r="AD315" i="7" s="1"/>
  <c r="R206" i="7"/>
  <c r="R256" i="7"/>
  <c r="AG256" i="7" s="1"/>
  <c r="AH256" i="7" s="1"/>
  <c r="R225" i="7"/>
  <c r="AC225" i="7" s="1"/>
  <c r="AD225" i="7" s="1"/>
  <c r="R71" i="7"/>
  <c r="AC71" i="7" s="1"/>
  <c r="AD71" i="7" s="1"/>
  <c r="R270" i="7"/>
  <c r="AG270" i="7" s="1"/>
  <c r="AH270" i="7" s="1"/>
  <c r="R190" i="7"/>
  <c r="AQ173" i="7"/>
  <c r="R170" i="7"/>
  <c r="AC170" i="7" s="1"/>
  <c r="R95" i="7"/>
  <c r="AG95" i="7" s="1"/>
  <c r="AH95" i="7" s="1"/>
  <c r="AA173" i="7"/>
  <c r="AB173" i="7" s="1"/>
  <c r="R76" i="7"/>
  <c r="R276" i="7"/>
  <c r="AG276" i="7" s="1"/>
  <c r="AH276" i="7" s="1"/>
  <c r="R266" i="7"/>
  <c r="AC266" i="7" s="1"/>
  <c r="AD266" i="7" s="1"/>
  <c r="R201" i="7"/>
  <c r="AC201" i="7" s="1"/>
  <c r="AD201" i="7" s="1"/>
  <c r="R319" i="7"/>
  <c r="AC319" i="7" s="1"/>
  <c r="AD319" i="7" s="1"/>
  <c r="R181" i="7"/>
  <c r="AO289" i="7"/>
  <c r="AP289" i="7" s="1"/>
  <c r="R212" i="7"/>
  <c r="AG212" i="7" s="1"/>
  <c r="AH212" i="7" s="1"/>
  <c r="AA289" i="7"/>
  <c r="AB289" i="7" s="1"/>
  <c r="R260" i="7"/>
  <c r="AC260" i="7" s="1"/>
  <c r="AD260" i="7" s="1"/>
  <c r="R210" i="7"/>
  <c r="AC210" i="7" s="1"/>
  <c r="AD210" i="7" s="1"/>
  <c r="R235" i="7"/>
  <c r="AQ155" i="7"/>
  <c r="R227" i="7"/>
  <c r="AC227" i="7" s="1"/>
  <c r="AD227" i="7" s="1"/>
  <c r="R286" i="7"/>
  <c r="AG286" i="7" s="1"/>
  <c r="AH286" i="7" s="1"/>
  <c r="R153" i="7"/>
  <c r="AC153" i="7" s="1"/>
  <c r="AD153" i="7" s="1"/>
  <c r="R277" i="7"/>
  <c r="AC277" i="7" s="1"/>
  <c r="AD277" i="7" s="1"/>
  <c r="R197" i="7"/>
  <c r="AG197" i="7" s="1"/>
  <c r="AH197" i="7" s="1"/>
  <c r="R273" i="7"/>
  <c r="AG273" i="7" s="1"/>
  <c r="AH273" i="7" s="1"/>
  <c r="R105" i="7"/>
  <c r="AG105" i="7" s="1"/>
  <c r="AH105" i="7" s="1"/>
  <c r="R321" i="7"/>
  <c r="R146" i="7"/>
  <c r="R86" i="7"/>
  <c r="AG86" i="7" s="1"/>
  <c r="AH86" i="7" s="1"/>
  <c r="Z120" i="7"/>
  <c r="AE120" i="7" s="1"/>
  <c r="AM120" i="7" s="1"/>
  <c r="Z185" i="7"/>
  <c r="Z51" i="7"/>
  <c r="Z268" i="7"/>
  <c r="Z66" i="7"/>
  <c r="Z233" i="7"/>
  <c r="Z228" i="7"/>
  <c r="Z192" i="7"/>
  <c r="Z219" i="7"/>
  <c r="AI219" i="7" s="1"/>
  <c r="AJ219" i="7" s="1"/>
  <c r="Z278" i="7"/>
  <c r="Z322" i="7"/>
  <c r="Z112" i="7"/>
  <c r="Z209" i="7"/>
  <c r="Z245" i="7"/>
  <c r="Z182" i="7"/>
  <c r="R121" i="7"/>
  <c r="AC121" i="7" s="1"/>
  <c r="AD121" i="7" s="1"/>
  <c r="R304" i="7"/>
  <c r="AC304" i="7" s="1"/>
  <c r="AD304" i="7" s="1"/>
  <c r="R224" i="7"/>
  <c r="AG224" i="7" s="1"/>
  <c r="AH224" i="7" s="1"/>
  <c r="R101" i="7"/>
  <c r="R97" i="7"/>
  <c r="AG97" i="7" s="1"/>
  <c r="AH97" i="7" s="1"/>
  <c r="R280" i="7"/>
  <c r="AG280" i="7" s="1"/>
  <c r="AH280" i="7" s="1"/>
  <c r="R36" i="7"/>
  <c r="AG36" i="7" s="1"/>
  <c r="AH36" i="7" s="1"/>
  <c r="R113" i="7"/>
  <c r="AG113" i="7" s="1"/>
  <c r="AH113" i="7" s="1"/>
  <c r="R278" i="7"/>
  <c r="AC278" i="7" s="1"/>
  <c r="AD278" i="7" s="1"/>
  <c r="R247" i="7"/>
  <c r="AG247" i="7" s="1"/>
  <c r="AH247" i="7" s="1"/>
  <c r="R84" i="7"/>
  <c r="AG84" i="7" s="1"/>
  <c r="AH84" i="7" s="1"/>
  <c r="R37" i="7"/>
  <c r="AG37" i="7" s="1"/>
  <c r="AH37" i="7" s="1"/>
  <c r="R134" i="7"/>
  <c r="AC134" i="7" s="1"/>
  <c r="AD134" i="7" s="1"/>
  <c r="R287" i="7"/>
  <c r="AG287" i="7" s="1"/>
  <c r="AH287" i="7" s="1"/>
  <c r="R182" i="7"/>
  <c r="AC182" i="7" s="1"/>
  <c r="AD182" i="7" s="1"/>
  <c r="R283" i="7"/>
  <c r="AC283" i="7" s="1"/>
  <c r="AD283" i="7" s="1"/>
  <c r="R129" i="7"/>
  <c r="R259" i="7"/>
  <c r="AC259" i="7" s="1"/>
  <c r="AD259" i="7" s="1"/>
  <c r="R299" i="7"/>
  <c r="R93" i="7"/>
  <c r="AO146" i="7"/>
  <c r="AP146" i="7" s="1"/>
  <c r="R172" i="7"/>
  <c r="AG172" i="7" s="1"/>
  <c r="AH172" i="7" s="1"/>
  <c r="R166" i="7"/>
  <c r="AC166" i="7" s="1"/>
  <c r="AD166" i="7" s="1"/>
  <c r="R199" i="7"/>
  <c r="AC199" i="7" s="1"/>
  <c r="AD199" i="7" s="1"/>
  <c r="AA102" i="7"/>
  <c r="AB102" i="7" s="1"/>
  <c r="Z286" i="7"/>
  <c r="AE286" i="7" s="1"/>
  <c r="AM286" i="7" s="1"/>
  <c r="Z236" i="7"/>
  <c r="Z251" i="7"/>
  <c r="Z135" i="7"/>
  <c r="Z237" i="7"/>
  <c r="Z325" i="7"/>
  <c r="Z266" i="7"/>
  <c r="Z144" i="7"/>
  <c r="AI144" i="7" s="1"/>
  <c r="AJ144" i="7" s="1"/>
  <c r="Z52" i="7"/>
  <c r="Z272" i="7"/>
  <c r="AE272" i="7" s="1"/>
  <c r="AM272" i="7" s="1"/>
  <c r="Z239" i="7"/>
  <c r="Z37" i="7"/>
  <c r="Z128" i="7"/>
  <c r="Z290" i="7"/>
  <c r="Z257" i="7"/>
  <c r="Z277" i="7"/>
  <c r="Z292" i="7"/>
  <c r="R141" i="7"/>
  <c r="AC141" i="7" s="1"/>
  <c r="AD141" i="7" s="1"/>
  <c r="R81" i="7"/>
  <c r="AG81" i="7" s="1"/>
  <c r="AH81" i="7" s="1"/>
  <c r="R183" i="7"/>
  <c r="R154" i="7"/>
  <c r="AC154" i="7" s="1"/>
  <c r="AD154" i="7" s="1"/>
  <c r="R208" i="7"/>
  <c r="R35" i="7"/>
  <c r="R156" i="7"/>
  <c r="AC156" i="7" s="1"/>
  <c r="AD156" i="7" s="1"/>
  <c r="R249" i="7"/>
  <c r="R240" i="7"/>
  <c r="AG240" i="7" s="1"/>
  <c r="AH240" i="7" s="1"/>
  <c r="R135" i="7"/>
  <c r="AG135" i="7" s="1"/>
  <c r="AH135" i="7" s="1"/>
  <c r="R209" i="7"/>
  <c r="AG18" i="7"/>
  <c r="AH18" i="7" s="1"/>
  <c r="R127" i="7"/>
  <c r="R63" i="7"/>
  <c r="R139" i="7"/>
  <c r="AC139" i="7" s="1"/>
  <c r="AD139" i="7" s="1"/>
  <c r="R68" i="7"/>
  <c r="AC68" i="7" s="1"/>
  <c r="AD68" i="7" s="1"/>
  <c r="R272" i="7"/>
  <c r="AG272" i="7" s="1"/>
  <c r="AH272" i="7" s="1"/>
  <c r="R217" i="7"/>
  <c r="R167" i="7"/>
  <c r="R175" i="7"/>
  <c r="AC175" i="7" s="1"/>
  <c r="AD175" i="7" s="1"/>
  <c r="R155" i="7"/>
  <c r="R216" i="7"/>
  <c r="AC216" i="7" s="1"/>
  <c r="AD216" i="7" s="1"/>
  <c r="R221" i="7"/>
  <c r="AG221" i="7" s="1"/>
  <c r="AH221" i="7" s="1"/>
  <c r="Z324" i="7"/>
  <c r="Z91" i="7"/>
  <c r="Z133" i="7"/>
  <c r="AE133" i="7" s="1"/>
  <c r="AM133" i="7" s="1"/>
  <c r="Z134" i="7"/>
  <c r="Z312" i="7"/>
  <c r="Z88" i="7"/>
  <c r="Z154" i="7"/>
  <c r="Z104" i="7"/>
  <c r="AI104" i="7" s="1"/>
  <c r="AJ104" i="7" s="1"/>
  <c r="Z83" i="7"/>
  <c r="Z47" i="7"/>
  <c r="Z215" i="7"/>
  <c r="Z197" i="7"/>
  <c r="AI197" i="7" s="1"/>
  <c r="AJ197" i="7" s="1"/>
  <c r="Z199" i="7"/>
  <c r="Z288" i="7"/>
  <c r="Z202" i="7"/>
  <c r="Z68" i="7"/>
  <c r="Z249" i="7"/>
  <c r="Z127" i="7"/>
  <c r="Z63" i="7"/>
  <c r="R306" i="7"/>
  <c r="R38" i="7"/>
  <c r="R103" i="7"/>
  <c r="AC103" i="7" s="1"/>
  <c r="R184" i="7"/>
  <c r="R169" i="7"/>
  <c r="AC169" i="7" s="1"/>
  <c r="AD169" i="7" s="1"/>
  <c r="R112" i="7"/>
  <c r="R298" i="7"/>
  <c r="R300" i="7"/>
  <c r="R282" i="7"/>
  <c r="AC282" i="7" s="1"/>
  <c r="AD282" i="7" s="1"/>
  <c r="R176" i="7"/>
  <c r="AC176" i="7" s="1"/>
  <c r="AD176" i="7" s="1"/>
  <c r="R230" i="7"/>
  <c r="R193" i="7"/>
  <c r="AC193" i="7" s="1"/>
  <c r="AD193" i="7" s="1"/>
  <c r="R310" i="7"/>
  <c r="AC310" i="7" s="1"/>
  <c r="AD310" i="7" s="1"/>
  <c r="R138" i="7"/>
  <c r="R301" i="7"/>
  <c r="AC301" i="7" s="1"/>
  <c r="AD301" i="7" s="1"/>
  <c r="R244" i="7"/>
  <c r="R311" i="7"/>
  <c r="AC311" i="7" s="1"/>
  <c r="AD311" i="7" s="1"/>
  <c r="R42" i="7"/>
  <c r="AG42" i="7" s="1"/>
  <c r="AH42" i="7" s="1"/>
  <c r="R130" i="7"/>
  <c r="R147" i="7"/>
  <c r="R258" i="7"/>
  <c r="AC258" i="7" s="1"/>
  <c r="AD258" i="7" s="1"/>
  <c r="R254" i="7"/>
  <c r="AG254" i="7" s="1"/>
  <c r="AH254" i="7" s="1"/>
  <c r="Z220" i="7"/>
  <c r="Z293" i="7"/>
  <c r="AE293" i="7" s="1"/>
  <c r="AM293" i="7" s="1"/>
  <c r="Z241" i="7"/>
  <c r="Z41" i="7"/>
  <c r="R108" i="7"/>
  <c r="AC108" i="7" s="1"/>
  <c r="AD108" i="7" s="1"/>
  <c r="R205" i="7"/>
  <c r="AG205" i="7" s="1"/>
  <c r="AH205" i="7" s="1"/>
  <c r="R288" i="7"/>
  <c r="R285" i="7"/>
  <c r="AG285" i="7" s="1"/>
  <c r="AH285" i="7" s="1"/>
  <c r="R211" i="7"/>
  <c r="AG211" i="7" s="1"/>
  <c r="AH211" i="7" s="1"/>
  <c r="R39" i="7"/>
  <c r="R150" i="7"/>
  <c r="R195" i="7"/>
  <c r="AG195" i="7" s="1"/>
  <c r="AH195" i="7" s="1"/>
  <c r="R78" i="7"/>
  <c r="R94" i="7"/>
  <c r="AC94" i="7" s="1"/>
  <c r="AD94" i="7" s="1"/>
  <c r="R292" i="7"/>
  <c r="AC292" i="7" s="1"/>
  <c r="AD292" i="7" s="1"/>
  <c r="R157" i="7"/>
  <c r="AG157" i="7" s="1"/>
  <c r="AH157" i="7" s="1"/>
  <c r="R261" i="7"/>
  <c r="R246" i="7"/>
  <c r="AG246" i="7" s="1"/>
  <c r="AH246" i="7" s="1"/>
  <c r="R250" i="7"/>
  <c r="AC250" i="7" s="1"/>
  <c r="AD250" i="7" s="1"/>
  <c r="R159" i="7"/>
  <c r="AG159" i="7" s="1"/>
  <c r="AH159" i="7" s="1"/>
  <c r="R229" i="7"/>
  <c r="AG229" i="7" s="1"/>
  <c r="AH229" i="7" s="1"/>
  <c r="R44" i="7"/>
  <c r="AC44" i="7" s="1"/>
  <c r="AD44" i="7" s="1"/>
  <c r="R323" i="7"/>
  <c r="AG323" i="7" s="1"/>
  <c r="AH323" i="7" s="1"/>
  <c r="R320" i="7"/>
  <c r="AG320" i="7" s="1"/>
  <c r="AH320" i="7" s="1"/>
  <c r="R58" i="7"/>
  <c r="AC58" i="7" s="1"/>
  <c r="AD58" i="7" s="1"/>
  <c r="R49" i="7"/>
  <c r="AG49" i="7" s="1"/>
  <c r="AH49" i="7" s="1"/>
  <c r="R291" i="7"/>
  <c r="AC291" i="7" s="1"/>
  <c r="AD291" i="7" s="1"/>
  <c r="R64" i="7"/>
  <c r="AC64" i="7" s="1"/>
  <c r="AD64" i="7" s="1"/>
  <c r="R245" i="7"/>
  <c r="AG245" i="7" s="1"/>
  <c r="AH245" i="7" s="1"/>
  <c r="R226" i="7"/>
  <c r="AG226" i="7" s="1"/>
  <c r="AH226" i="7" s="1"/>
  <c r="Z46" i="7"/>
  <c r="Z40" i="7"/>
  <c r="Z317" i="7"/>
  <c r="Z77" i="7"/>
  <c r="Z43" i="7"/>
  <c r="Z270" i="7"/>
  <c r="Z172" i="7"/>
  <c r="Z308" i="7"/>
  <c r="Z302" i="7"/>
  <c r="Z126" i="7"/>
  <c r="AE126" i="7" s="1"/>
  <c r="AM126" i="7" s="1"/>
  <c r="Z244" i="7"/>
  <c r="Z122" i="7"/>
  <c r="Z310" i="7"/>
  <c r="Z164" i="7"/>
  <c r="AI164" i="7" s="1"/>
  <c r="AJ164" i="7" s="1"/>
  <c r="Z71" i="7"/>
  <c r="Z248" i="7"/>
  <c r="Z163" i="7"/>
  <c r="Z125" i="7"/>
  <c r="Z49" i="7"/>
  <c r="Z313" i="7"/>
  <c r="Z287" i="7"/>
  <c r="Z229" i="7"/>
  <c r="Z186" i="7"/>
  <c r="R289" i="7"/>
  <c r="R163" i="7"/>
  <c r="AC163" i="7" s="1"/>
  <c r="AD163" i="7" s="1"/>
  <c r="R233" i="7"/>
  <c r="R99" i="7"/>
  <c r="R152" i="7"/>
  <c r="R239" i="7"/>
  <c r="R309" i="7"/>
  <c r="AC309" i="7" s="1"/>
  <c r="AD309" i="7" s="1"/>
  <c r="R232" i="7"/>
  <c r="AG232" i="7" s="1"/>
  <c r="AH232" i="7" s="1"/>
  <c r="R251" i="7"/>
  <c r="AC251" i="7" s="1"/>
  <c r="AD251" i="7" s="1"/>
  <c r="R128" i="7"/>
  <c r="AO137" i="7"/>
  <c r="AP137" i="7" s="1"/>
  <c r="R207" i="7"/>
  <c r="AG207" i="7" s="1"/>
  <c r="AH207" i="7" s="1"/>
  <c r="R79" i="7"/>
  <c r="AG79" i="7" s="1"/>
  <c r="AH79" i="7" s="1"/>
  <c r="R164" i="7"/>
  <c r="AG164" i="7" s="1"/>
  <c r="AH164" i="7" s="1"/>
  <c r="R74" i="7"/>
  <c r="AC74" i="7" s="1"/>
  <c r="AD74" i="7" s="1"/>
  <c r="AO206" i="7"/>
  <c r="AP206" i="7" s="1"/>
  <c r="R187" i="7"/>
  <c r="AG187" i="7" s="1"/>
  <c r="AH187" i="7" s="1"/>
  <c r="R238" i="7"/>
  <c r="AC238" i="7" s="1"/>
  <c r="AD238" i="7" s="1"/>
  <c r="R125" i="7"/>
  <c r="AC125" i="7" s="1"/>
  <c r="AD125" i="7" s="1"/>
  <c r="R104" i="7"/>
  <c r="R136" i="7"/>
  <c r="AG136" i="7" s="1"/>
  <c r="AH136" i="7" s="1"/>
  <c r="R274" i="7"/>
  <c r="AG274" i="7" s="1"/>
  <c r="AH274" i="7" s="1"/>
  <c r="R92" i="7"/>
  <c r="AC92" i="7" s="1"/>
  <c r="AD92" i="7" s="1"/>
  <c r="R271" i="7"/>
  <c r="AG271" i="7" s="1"/>
  <c r="AH271" i="7" s="1"/>
  <c r="R290" i="7"/>
  <c r="AC290" i="7" s="1"/>
  <c r="AD290" i="7" s="1"/>
  <c r="R59" i="7"/>
  <c r="AQ137" i="7"/>
  <c r="R279" i="7"/>
  <c r="R120" i="7"/>
  <c r="AG120" i="7" s="1"/>
  <c r="AH120" i="7" s="1"/>
  <c r="R115" i="7"/>
  <c r="AQ306" i="7"/>
  <c r="Z57" i="7"/>
  <c r="Z56" i="7"/>
  <c r="Z69" i="7"/>
  <c r="Z195" i="7"/>
  <c r="Z173" i="7"/>
  <c r="Z291" i="7"/>
  <c r="Z107" i="7"/>
  <c r="Z227" i="7"/>
  <c r="R60" i="7"/>
  <c r="AG60" i="7" s="1"/>
  <c r="AH60" i="7" s="1"/>
  <c r="R107" i="7"/>
  <c r="AC107" i="7" s="1"/>
  <c r="AD107" i="7" s="1"/>
  <c r="R275" i="7"/>
  <c r="AG275" i="7" s="1"/>
  <c r="AH275" i="7" s="1"/>
  <c r="R123" i="7"/>
  <c r="AG123" i="7" s="1"/>
  <c r="AH123" i="7" s="1"/>
  <c r="R317" i="7"/>
  <c r="AC317" i="7" s="1"/>
  <c r="AD317" i="7" s="1"/>
  <c r="R47" i="7"/>
  <c r="AC47" i="7" s="1"/>
  <c r="AD47" i="7" s="1"/>
  <c r="R61" i="7"/>
  <c r="R69" i="7"/>
  <c r="AG69" i="7" s="1"/>
  <c r="AH69" i="7" s="1"/>
  <c r="R191" i="7"/>
  <c r="AC191" i="7" s="1"/>
  <c r="AD191" i="7" s="1"/>
  <c r="R222" i="7"/>
  <c r="AG222" i="7" s="1"/>
  <c r="AH222" i="7" s="1"/>
  <c r="R312" i="7"/>
  <c r="AC312" i="7" s="1"/>
  <c r="AD312" i="7" s="1"/>
  <c r="R102" i="7"/>
  <c r="R46" i="7"/>
  <c r="Z279" i="7"/>
  <c r="AQ206" i="7"/>
  <c r="R98" i="7"/>
  <c r="R313" i="7"/>
  <c r="AC313" i="7" s="1"/>
  <c r="AD313" i="7" s="1"/>
  <c r="R80" i="7"/>
  <c r="AG80" i="7" s="1"/>
  <c r="AH80" i="7" s="1"/>
  <c r="R124" i="7"/>
  <c r="AC124" i="7" s="1"/>
  <c r="AD124" i="7" s="1"/>
  <c r="R263" i="7"/>
  <c r="AG263" i="7" s="1"/>
  <c r="AH263" i="7" s="1"/>
  <c r="R57" i="7"/>
  <c r="AC57" i="7" s="1"/>
  <c r="AD57" i="7" s="1"/>
  <c r="R186" i="7"/>
  <c r="AC186" i="7" s="1"/>
  <c r="AD186" i="7" s="1"/>
  <c r="R284" i="7"/>
  <c r="AC284" i="7" s="1"/>
  <c r="AD284" i="7" s="1"/>
  <c r="R162" i="7"/>
  <c r="AG162" i="7" s="1"/>
  <c r="AH162" i="7" s="1"/>
  <c r="R106" i="7"/>
  <c r="AC106" i="7" s="1"/>
  <c r="AD106" i="7" s="1"/>
  <c r="R242" i="7"/>
  <c r="AC242" i="7" s="1"/>
  <c r="AD242" i="7" s="1"/>
  <c r="R45" i="7"/>
  <c r="R72" i="7"/>
  <c r="AA5" i="7"/>
  <c r="AB5" i="7" s="1"/>
  <c r="R62" i="7"/>
  <c r="AO155" i="7"/>
  <c r="AP155" i="7" s="1"/>
  <c r="Z73" i="7"/>
  <c r="Z296" i="7"/>
  <c r="Z194" i="7"/>
  <c r="Z260" i="7"/>
  <c r="Z314" i="7"/>
  <c r="AI314" i="7" s="1"/>
  <c r="AJ314" i="7" s="1"/>
  <c r="Z145" i="7"/>
  <c r="Z232" i="7"/>
  <c r="Z171" i="7"/>
  <c r="Z151" i="7"/>
  <c r="Z285" i="7"/>
  <c r="Z179" i="7"/>
  <c r="R185" i="7"/>
  <c r="AC185" i="7" s="1"/>
  <c r="AD185" i="7" s="1"/>
  <c r="R89" i="7"/>
  <c r="AG89" i="7" s="1"/>
  <c r="AH89" i="7" s="1"/>
  <c r="R215" i="7"/>
  <c r="AG215" i="7" s="1"/>
  <c r="AH215" i="7" s="1"/>
  <c r="R218" i="7"/>
  <c r="AC218" i="7" s="1"/>
  <c r="AD218" i="7" s="1"/>
  <c r="R316" i="7"/>
  <c r="R40" i="7"/>
  <c r="AC40" i="7" s="1"/>
  <c r="AD40" i="7" s="1"/>
  <c r="R178" i="7"/>
  <c r="AG178" i="7" s="1"/>
  <c r="AH178" i="7" s="1"/>
  <c r="R204" i="7"/>
  <c r="AC204" i="7" s="1"/>
  <c r="AD204" i="7" s="1"/>
  <c r="R52" i="7"/>
  <c r="R110" i="7"/>
  <c r="AC110" i="7" s="1"/>
  <c r="AD110" i="7" s="1"/>
  <c r="R126" i="7"/>
  <c r="AC126" i="7" s="1"/>
  <c r="AD126" i="7" s="1"/>
  <c r="R53" i="7"/>
  <c r="AG53" i="7" s="1"/>
  <c r="AH53" i="7" s="1"/>
  <c r="R48" i="7"/>
  <c r="R149" i="7"/>
  <c r="AC149" i="7" s="1"/>
  <c r="AD149" i="7" s="1"/>
  <c r="R158" i="7"/>
  <c r="AC158" i="7" s="1"/>
  <c r="AD158" i="7" s="1"/>
  <c r="R219" i="7"/>
  <c r="AC219" i="7" s="1"/>
  <c r="AD219" i="7" s="1"/>
  <c r="R70" i="7"/>
  <c r="AC70" i="7" s="1"/>
  <c r="R220" i="7"/>
  <c r="AG220" i="7" s="1"/>
  <c r="AH220" i="7" s="1"/>
  <c r="R168" i="7"/>
  <c r="R177" i="7"/>
  <c r="AC177" i="7" s="1"/>
  <c r="AD177" i="7" s="1"/>
  <c r="AQ5" i="7"/>
  <c r="Z138" i="7"/>
  <c r="Z165" i="7"/>
  <c r="Z218" i="7"/>
  <c r="Z275" i="7"/>
  <c r="Z53" i="7"/>
  <c r="Z208" i="7"/>
  <c r="Z283" i="7"/>
  <c r="Z70" i="7"/>
  <c r="Z54" i="7"/>
  <c r="AI54" i="7" s="1"/>
  <c r="AJ54" i="7" s="1"/>
  <c r="Z246" i="7"/>
  <c r="Z282" i="7"/>
  <c r="Z301" i="7"/>
  <c r="Z242" i="7"/>
  <c r="Z207" i="7"/>
  <c r="Z247" i="7"/>
  <c r="Z106" i="7"/>
  <c r="Z119" i="7"/>
  <c r="Z273" i="7"/>
  <c r="Z76" i="7"/>
  <c r="Z117" i="7"/>
  <c r="R144" i="7"/>
  <c r="AG144" i="7" s="1"/>
  <c r="AH144" i="7" s="1"/>
  <c r="R132" i="7"/>
  <c r="R88" i="7"/>
  <c r="R100" i="7"/>
  <c r="AC100" i="7" s="1"/>
  <c r="AD100" i="7" s="1"/>
  <c r="R111" i="7"/>
  <c r="R119" i="7"/>
  <c r="AC119" i="7" s="1"/>
  <c r="AD119" i="7" s="1"/>
  <c r="R67" i="7"/>
  <c r="R189" i="7"/>
  <c r="R241" i="7"/>
  <c r="AG241" i="7" s="1"/>
  <c r="AH241" i="7" s="1"/>
  <c r="R145" i="7"/>
  <c r="AC145" i="7" s="1"/>
  <c r="AD145" i="7" s="1"/>
  <c r="R296" i="7"/>
  <c r="AC296" i="7" s="1"/>
  <c r="AD296" i="7" s="1"/>
  <c r="R55" i="7"/>
  <c r="R231" i="7"/>
  <c r="AC231" i="7" s="1"/>
  <c r="AD231" i="7" s="1"/>
  <c r="R142" i="7"/>
  <c r="AC142" i="7" s="1"/>
  <c r="AD142" i="7" s="1"/>
  <c r="R188" i="7"/>
  <c r="AG188" i="7" s="1"/>
  <c r="AH188" i="7" s="1"/>
  <c r="R43" i="7"/>
  <c r="AG43" i="7" s="1"/>
  <c r="AH43" i="7" s="1"/>
  <c r="R160" i="7"/>
  <c r="AC160" i="7" s="1"/>
  <c r="AD160" i="7" s="1"/>
  <c r="R237" i="7"/>
  <c r="R264" i="7"/>
  <c r="AC264" i="7" s="1"/>
  <c r="AD264" i="7" s="1"/>
  <c r="R109" i="7"/>
  <c r="R303" i="7"/>
  <c r="R302" i="7"/>
  <c r="AC30" i="7"/>
  <c r="AD30" i="7" s="1"/>
  <c r="R73" i="7"/>
  <c r="AC73" i="7" s="1"/>
  <c r="AD73" i="7" s="1"/>
  <c r="R148" i="7"/>
  <c r="R87" i="7"/>
  <c r="AC87" i="7" s="1"/>
  <c r="AD87" i="7" s="1"/>
  <c r="R269" i="7"/>
  <c r="R297" i="7"/>
  <c r="AG297" i="7" s="1"/>
  <c r="AH297" i="7" s="1"/>
  <c r="AC21" i="7"/>
  <c r="AD21" i="7" s="1"/>
  <c r="R200" i="7"/>
  <c r="R118" i="7"/>
  <c r="AC118" i="7" s="1"/>
  <c r="AD118" i="7" s="1"/>
  <c r="AO130" i="7"/>
  <c r="AP130" i="7" s="1"/>
  <c r="R137" i="7"/>
  <c r="R281" i="7"/>
  <c r="AG281" i="7" s="1"/>
  <c r="AH281" i="7" s="1"/>
  <c r="R85" i="7"/>
  <c r="Z280" i="7"/>
  <c r="Z238" i="7"/>
  <c r="Z175" i="7"/>
  <c r="Z72" i="7"/>
  <c r="Z321" i="7"/>
  <c r="Z139" i="7"/>
  <c r="Z212" i="7"/>
  <c r="Z141" i="7"/>
  <c r="Z132" i="7"/>
  <c r="Z42" i="7"/>
  <c r="Z50" i="7"/>
  <c r="Z304" i="7"/>
  <c r="Z96" i="7"/>
  <c r="Z149" i="7"/>
  <c r="Z155" i="7"/>
  <c r="Z60" i="7"/>
  <c r="Z160" i="7"/>
  <c r="Z148" i="7"/>
  <c r="R140" i="7"/>
  <c r="AC140" i="7" s="1"/>
  <c r="AD140" i="7" s="1"/>
  <c r="R262" i="7"/>
  <c r="AC262" i="7" s="1"/>
  <c r="AD262" i="7" s="1"/>
  <c r="R194" i="7"/>
  <c r="R325" i="7"/>
  <c r="AC325" i="7" s="1"/>
  <c r="AD325" i="7" s="1"/>
  <c r="R322" i="7"/>
  <c r="AG322" i="7" s="1"/>
  <c r="AH322" i="7" s="1"/>
  <c r="R122" i="7"/>
  <c r="AC122" i="7" s="1"/>
  <c r="AD122" i="7" s="1"/>
  <c r="R248" i="7"/>
  <c r="AG248" i="7" s="1"/>
  <c r="AH248" i="7" s="1"/>
  <c r="R82" i="7"/>
  <c r="AC82" i="7" s="1"/>
  <c r="AD82" i="7" s="1"/>
  <c r="R192" i="7"/>
  <c r="AC192" i="7" s="1"/>
  <c r="AD192" i="7" s="1"/>
  <c r="R50" i="7"/>
  <c r="AC50" i="7" s="1"/>
  <c r="AD50" i="7" s="1"/>
  <c r="R198" i="7"/>
  <c r="R114" i="7"/>
  <c r="AC114" i="7" s="1"/>
  <c r="AD114" i="7" s="1"/>
  <c r="R255" i="7"/>
  <c r="AG255" i="7" s="1"/>
  <c r="AH255" i="7" s="1"/>
  <c r="R165" i="7"/>
  <c r="AC165" i="7" s="1"/>
  <c r="AD165" i="7" s="1"/>
  <c r="R213" i="7"/>
  <c r="AG213" i="7" s="1"/>
  <c r="AH213" i="7" s="1"/>
  <c r="R131" i="7"/>
  <c r="AC131" i="7" s="1"/>
  <c r="AD131" i="7" s="1"/>
  <c r="Z150" i="7"/>
  <c r="Z204" i="7"/>
  <c r="R143" i="7"/>
  <c r="AG143" i="7" s="1"/>
  <c r="AH143" i="7" s="1"/>
  <c r="R65" i="7"/>
  <c r="AC65" i="7" s="1"/>
  <c r="AD65" i="7" s="1"/>
  <c r="R293" i="7"/>
  <c r="AC293" i="7" s="1"/>
  <c r="AD293" i="7" s="1"/>
  <c r="R171" i="7"/>
  <c r="AC171" i="7" s="1"/>
  <c r="AD171" i="7" s="1"/>
  <c r="AG26" i="7"/>
  <c r="AH26" i="7" s="1"/>
  <c r="R56" i="7"/>
  <c r="R223" i="7"/>
  <c r="AG223" i="7" s="1"/>
  <c r="AH223" i="7" s="1"/>
  <c r="R83" i="7"/>
  <c r="AC83" i="7" s="1"/>
  <c r="AD83" i="7" s="1"/>
  <c r="R203" i="7"/>
  <c r="AC203" i="7" s="1"/>
  <c r="AD203" i="7" s="1"/>
  <c r="R307" i="7"/>
  <c r="AC307" i="7" s="1"/>
  <c r="AD307" i="7" s="1"/>
  <c r="R236" i="7"/>
  <c r="AG236" i="7" s="1"/>
  <c r="AH236" i="7" s="1"/>
  <c r="R243" i="7"/>
  <c r="AC243" i="7" s="1"/>
  <c r="AD243" i="7" s="1"/>
  <c r="R173" i="7"/>
  <c r="R318" i="7"/>
  <c r="AC318" i="7" s="1"/>
  <c r="AD318" i="7" s="1"/>
  <c r="R267" i="7"/>
  <c r="AC267" i="7" s="1"/>
  <c r="AD267" i="7" s="1"/>
  <c r="R234" i="7"/>
  <c r="AC234" i="7" s="1"/>
  <c r="AD234" i="7" s="1"/>
  <c r="R268" i="7"/>
  <c r="AC268" i="7" s="1"/>
  <c r="AD268" i="7" s="1"/>
  <c r="R66" i="7"/>
  <c r="AG66" i="7" s="1"/>
  <c r="AH66" i="7" s="1"/>
  <c r="R294" i="7"/>
  <c r="AC294" i="7" s="1"/>
  <c r="AD294" i="7" s="1"/>
  <c r="R77" i="7"/>
  <c r="AC77" i="7" s="1"/>
  <c r="AD77" i="7" s="1"/>
  <c r="R265" i="7"/>
  <c r="Z319" i="7"/>
  <c r="Z143" i="7"/>
  <c r="Z82" i="7"/>
  <c r="AE82" i="7" s="1"/>
  <c r="AM82" i="7" s="1"/>
  <c r="Z39" i="7"/>
  <c r="Z303" i="7"/>
  <c r="Z190" i="7"/>
  <c r="Z89" i="7"/>
  <c r="Z231" i="7"/>
  <c r="Z109" i="7"/>
  <c r="Z263" i="7"/>
  <c r="AI263" i="7" s="1"/>
  <c r="AJ263" i="7" s="1"/>
  <c r="Z198" i="7"/>
  <c r="Z103" i="7"/>
  <c r="Z225" i="7"/>
  <c r="Z213" i="7"/>
  <c r="Z269" i="7"/>
  <c r="Z258" i="7"/>
  <c r="AO316" i="7"/>
  <c r="AP316" i="7" s="1"/>
  <c r="AA128" i="7"/>
  <c r="AB128" i="7" s="1"/>
  <c r="AQ316" i="7"/>
  <c r="AI114" i="7"/>
  <c r="AJ114" i="7" s="1"/>
  <c r="AC11" i="7"/>
  <c r="AD11" i="7" s="1"/>
  <c r="AQ168" i="7"/>
  <c r="AA168" i="7"/>
  <c r="AB168" i="7" s="1"/>
  <c r="AO82" i="7"/>
  <c r="AP82" i="7" s="1"/>
  <c r="AQ82" i="7"/>
  <c r="AA82" i="7"/>
  <c r="AI7" i="7"/>
  <c r="AJ7" i="7" s="1"/>
  <c r="AE7" i="7"/>
  <c r="AM7" i="7" s="1"/>
  <c r="AO118" i="7"/>
  <c r="AP118" i="7" s="1"/>
  <c r="AQ118" i="7"/>
  <c r="AA118" i="7"/>
  <c r="AB118" i="7" s="1"/>
  <c r="AQ11" i="7"/>
  <c r="AA11" i="7"/>
  <c r="AO11" i="7"/>
  <c r="AP11" i="7" s="1"/>
  <c r="AO71" i="7"/>
  <c r="AP71" i="7" s="1"/>
  <c r="AA71" i="7"/>
  <c r="AQ71" i="7"/>
  <c r="AO157" i="7"/>
  <c r="AP157" i="7" s="1"/>
  <c r="AQ157" i="7"/>
  <c r="AA157" i="7"/>
  <c r="AB157" i="7" s="1"/>
  <c r="AO153" i="7"/>
  <c r="AP153" i="7" s="1"/>
  <c r="AQ153" i="7"/>
  <c r="AA153" i="7"/>
  <c r="AB206" i="7"/>
  <c r="AO313" i="7"/>
  <c r="AP313" i="7" s="1"/>
  <c r="AA313" i="7"/>
  <c r="AQ313" i="7"/>
  <c r="AO74" i="7"/>
  <c r="AP74" i="7" s="1"/>
  <c r="AA74" i="7"/>
  <c r="AB74" i="7" s="1"/>
  <c r="AQ74" i="7"/>
  <c r="AO260" i="7"/>
  <c r="AP260" i="7" s="1"/>
  <c r="AA260" i="7"/>
  <c r="AB260" i="7" s="1"/>
  <c r="AQ260" i="7"/>
  <c r="AO151" i="7"/>
  <c r="AP151" i="7" s="1"/>
  <c r="AA151" i="7"/>
  <c r="AQ151" i="7"/>
  <c r="AO248" i="7"/>
  <c r="AP248" i="7" s="1"/>
  <c r="AA248" i="7"/>
  <c r="AQ248" i="7"/>
  <c r="AO277" i="7"/>
  <c r="AP277" i="7" s="1"/>
  <c r="AA277" i="7"/>
  <c r="AQ277" i="7"/>
  <c r="AQ111" i="7"/>
  <c r="AA111" i="7"/>
  <c r="AO111" i="7"/>
  <c r="AP111" i="7" s="1"/>
  <c r="AO107" i="7"/>
  <c r="AP107" i="7" s="1"/>
  <c r="AA107" i="7"/>
  <c r="AQ107" i="7"/>
  <c r="AA256" i="7"/>
  <c r="AB256" i="7" s="1"/>
  <c r="AQ256" i="7"/>
  <c r="AO256" i="7"/>
  <c r="AP256" i="7" s="1"/>
  <c r="AQ18" i="7"/>
  <c r="AA18" i="7"/>
  <c r="AO18" i="7"/>
  <c r="AP18" i="7" s="1"/>
  <c r="AO288" i="7"/>
  <c r="AP288" i="7" s="1"/>
  <c r="AQ288" i="7"/>
  <c r="AA288" i="7"/>
  <c r="AO127" i="7"/>
  <c r="AP127" i="7" s="1"/>
  <c r="AQ127" i="7"/>
  <c r="AA127" i="7"/>
  <c r="AO310" i="7"/>
  <c r="AP310" i="7" s="1"/>
  <c r="AA310" i="7"/>
  <c r="AQ310" i="7"/>
  <c r="AA7" i="7"/>
  <c r="AB7" i="7" s="1"/>
  <c r="AO7" i="7"/>
  <c r="AP7" i="7" s="1"/>
  <c r="AQ7" i="7"/>
  <c r="AO98" i="7"/>
  <c r="AP98" i="7" s="1"/>
  <c r="AA98" i="7"/>
  <c r="AQ98" i="7"/>
  <c r="AO177" i="7"/>
  <c r="AP177" i="7" s="1"/>
  <c r="AA177" i="7"/>
  <c r="AB177" i="7" s="1"/>
  <c r="AQ177" i="7"/>
  <c r="AO291" i="7"/>
  <c r="AP291" i="7" s="1"/>
  <c r="AA291" i="7"/>
  <c r="AQ291" i="7"/>
  <c r="AA113" i="7"/>
  <c r="AB113" i="7" s="1"/>
  <c r="AQ113" i="7"/>
  <c r="AO113" i="7"/>
  <c r="AP113" i="7" s="1"/>
  <c r="AB89" i="7"/>
  <c r="AO43" i="7"/>
  <c r="AP43" i="7" s="1"/>
  <c r="AA43" i="7"/>
  <c r="AQ43" i="7"/>
  <c r="AQ280" i="7"/>
  <c r="AA280" i="7"/>
  <c r="AO280" i="7"/>
  <c r="AP280" i="7" s="1"/>
  <c r="AO321" i="7"/>
  <c r="AP321" i="7" s="1"/>
  <c r="AA321" i="7"/>
  <c r="AB321" i="7" s="1"/>
  <c r="AQ321" i="7"/>
  <c r="AO83" i="7"/>
  <c r="AP83" i="7" s="1"/>
  <c r="AQ83" i="7"/>
  <c r="AA83" i="7"/>
  <c r="AB83" i="7" s="1"/>
  <c r="AQ122" i="7"/>
  <c r="AA122" i="7"/>
  <c r="AB122" i="7" s="1"/>
  <c r="AO122" i="7"/>
  <c r="AP122" i="7" s="1"/>
  <c r="AO180" i="7"/>
  <c r="AP180" i="7" s="1"/>
  <c r="AQ180" i="7"/>
  <c r="AA180" i="7"/>
  <c r="AO67" i="7"/>
  <c r="AP67" i="7" s="1"/>
  <c r="AA67" i="7"/>
  <c r="AQ67" i="7"/>
  <c r="AO243" i="7"/>
  <c r="AP243" i="7" s="1"/>
  <c r="AA243" i="7"/>
  <c r="AB243" i="7" s="1"/>
  <c r="AQ243" i="7"/>
  <c r="AA15" i="7"/>
  <c r="AB15" i="7" s="1"/>
  <c r="AQ15" i="7"/>
  <c r="AO15" i="7"/>
  <c r="AP15" i="7" s="1"/>
  <c r="AO106" i="7"/>
  <c r="AP106" i="7" s="1"/>
  <c r="AA106" i="7"/>
  <c r="AB106" i="7" s="1"/>
  <c r="AQ106" i="7"/>
  <c r="AO158" i="7"/>
  <c r="AP158" i="7" s="1"/>
  <c r="AQ158" i="7"/>
  <c r="AA158" i="7"/>
  <c r="AB158" i="7" s="1"/>
  <c r="AA294" i="7"/>
  <c r="AQ294" i="7"/>
  <c r="AO294" i="7"/>
  <c r="AP294" i="7" s="1"/>
  <c r="AB155" i="7"/>
  <c r="AO290" i="7"/>
  <c r="AP290" i="7" s="1"/>
  <c r="AA290" i="7"/>
  <c r="AQ290" i="7"/>
  <c r="AA262" i="7"/>
  <c r="AQ262" i="7"/>
  <c r="AO262" i="7"/>
  <c r="AP262" i="7" s="1"/>
  <c r="AO154" i="7"/>
  <c r="AP154" i="7" s="1"/>
  <c r="AQ154" i="7"/>
  <c r="AA154" i="7"/>
  <c r="AA305" i="7"/>
  <c r="AQ305" i="7"/>
  <c r="AO305" i="7"/>
  <c r="AP305" i="7" s="1"/>
  <c r="AO121" i="7"/>
  <c r="AP121" i="7" s="1"/>
  <c r="AA121" i="7"/>
  <c r="AQ121" i="7"/>
  <c r="AQ56" i="7"/>
  <c r="AO56" i="7"/>
  <c r="AP56" i="7" s="1"/>
  <c r="AA56" i="7"/>
  <c r="AB56" i="7" s="1"/>
  <c r="AB246" i="7"/>
  <c r="AO109" i="7"/>
  <c r="AP109" i="7" s="1"/>
  <c r="AA109" i="7"/>
  <c r="AQ109" i="7"/>
  <c r="AO60" i="7"/>
  <c r="AP60" i="7" s="1"/>
  <c r="AA60" i="7"/>
  <c r="AB60" i="7" s="1"/>
  <c r="AQ60" i="7"/>
  <c r="AO84" i="7"/>
  <c r="AP84" i="7" s="1"/>
  <c r="AA84" i="7"/>
  <c r="AB84" i="7" s="1"/>
  <c r="AQ84" i="7"/>
  <c r="AA37" i="7"/>
  <c r="AQ37" i="7"/>
  <c r="AO37" i="7"/>
  <c r="AP37" i="7" s="1"/>
  <c r="AO138" i="7"/>
  <c r="AP138" i="7" s="1"/>
  <c r="AQ138" i="7"/>
  <c r="AA138" i="7"/>
  <c r="AB138" i="7" s="1"/>
  <c r="AA129" i="7"/>
  <c r="AQ129" i="7"/>
  <c r="AO129" i="7"/>
  <c r="AP129" i="7" s="1"/>
  <c r="AO299" i="7"/>
  <c r="AP299" i="7" s="1"/>
  <c r="AA299" i="7"/>
  <c r="AQ299" i="7"/>
  <c r="AA317" i="7"/>
  <c r="AB317" i="7" s="1"/>
  <c r="AQ317" i="7"/>
  <c r="AO317" i="7"/>
  <c r="AP317" i="7" s="1"/>
  <c r="AQ8" i="7"/>
  <c r="AA8" i="7"/>
  <c r="AO8" i="7"/>
  <c r="AP8" i="7" s="1"/>
  <c r="AQ182" i="7"/>
  <c r="AA182" i="7"/>
  <c r="AB182" i="7" s="1"/>
  <c r="AO182" i="7"/>
  <c r="AP182" i="7" s="1"/>
  <c r="AO312" i="7"/>
  <c r="AP312" i="7" s="1"/>
  <c r="AQ312" i="7"/>
  <c r="AA312" i="7"/>
  <c r="AO234" i="7"/>
  <c r="AP234" i="7" s="1"/>
  <c r="AA234" i="7"/>
  <c r="AQ234" i="7"/>
  <c r="AO22" i="7"/>
  <c r="AP22" i="7" s="1"/>
  <c r="AQ22" i="7"/>
  <c r="AA22" i="7"/>
  <c r="AA77" i="7"/>
  <c r="AO77" i="7"/>
  <c r="AP77" i="7" s="1"/>
  <c r="AQ77" i="7"/>
  <c r="AA165" i="7"/>
  <c r="AQ165" i="7"/>
  <c r="AO165" i="7"/>
  <c r="AP165" i="7" s="1"/>
  <c r="AO242" i="7"/>
  <c r="AP242" i="7" s="1"/>
  <c r="AQ242" i="7"/>
  <c r="AA242" i="7"/>
  <c r="AA66" i="7"/>
  <c r="AB66" i="7" s="1"/>
  <c r="AQ66" i="7"/>
  <c r="AO66" i="7"/>
  <c r="AP66" i="7" s="1"/>
  <c r="AA304" i="7"/>
  <c r="AO304" i="7"/>
  <c r="AP304" i="7" s="1"/>
  <c r="AQ304" i="7"/>
  <c r="AQ261" i="7"/>
  <c r="AO261" i="7"/>
  <c r="AP261" i="7" s="1"/>
  <c r="AA261" i="7"/>
  <c r="AA298" i="7"/>
  <c r="AQ298" i="7"/>
  <c r="AO298" i="7"/>
  <c r="AP298" i="7" s="1"/>
  <c r="AQ156" i="7"/>
  <c r="AO156" i="7"/>
  <c r="AP156" i="7" s="1"/>
  <c r="AA156" i="7"/>
  <c r="AO161" i="7"/>
  <c r="AP161" i="7" s="1"/>
  <c r="AA161" i="7"/>
  <c r="AQ161" i="7"/>
  <c r="AA181" i="7"/>
  <c r="AQ181" i="7"/>
  <c r="AO181" i="7"/>
  <c r="AP181" i="7" s="1"/>
  <c r="AA204" i="7"/>
  <c r="AQ204" i="7"/>
  <c r="AO204" i="7"/>
  <c r="AP204" i="7" s="1"/>
  <c r="AQ307" i="7"/>
  <c r="AA307" i="7"/>
  <c r="AO307" i="7"/>
  <c r="AP307" i="7" s="1"/>
  <c r="AQ30" i="7"/>
  <c r="AO30" i="7"/>
  <c r="AP30" i="7" s="1"/>
  <c r="AA30" i="7"/>
  <c r="AO210" i="7"/>
  <c r="AP210" i="7" s="1"/>
  <c r="AQ210" i="7"/>
  <c r="AA210" i="7"/>
  <c r="AB210" i="7" s="1"/>
  <c r="AO57" i="7"/>
  <c r="AP57" i="7" s="1"/>
  <c r="AQ57" i="7"/>
  <c r="AA57" i="7"/>
  <c r="AB57" i="7" s="1"/>
  <c r="AA152" i="7"/>
  <c r="AB152" i="7" s="1"/>
  <c r="AQ152" i="7"/>
  <c r="AO152" i="7"/>
  <c r="AP152" i="7" s="1"/>
  <c r="AQ58" i="7"/>
  <c r="AO58" i="7"/>
  <c r="AP58" i="7" s="1"/>
  <c r="AA58" i="7"/>
  <c r="AB58" i="7" s="1"/>
  <c r="AO31" i="7"/>
  <c r="AP31" i="7" s="1"/>
  <c r="AA31" i="7"/>
  <c r="AQ31" i="7"/>
  <c r="AO209" i="7"/>
  <c r="AP209" i="7" s="1"/>
  <c r="AQ209" i="7"/>
  <c r="AA209" i="7"/>
  <c r="AQ175" i="7"/>
  <c r="AO175" i="7"/>
  <c r="AP175" i="7" s="1"/>
  <c r="AA175" i="7"/>
  <c r="AB175" i="7" s="1"/>
  <c r="AA208" i="7"/>
  <c r="AQ208" i="7"/>
  <c r="AO208" i="7"/>
  <c r="AP208" i="7" s="1"/>
  <c r="AO65" i="7"/>
  <c r="AP65" i="7" s="1"/>
  <c r="AQ65" i="7"/>
  <c r="AA65" i="7"/>
  <c r="AO293" i="7"/>
  <c r="AP293" i="7" s="1"/>
  <c r="AQ293" i="7"/>
  <c r="AA293" i="7"/>
  <c r="AQ97" i="7"/>
  <c r="AA97" i="7"/>
  <c r="AO97" i="7"/>
  <c r="AP97" i="7" s="1"/>
  <c r="AO108" i="7"/>
  <c r="AP108" i="7" s="1"/>
  <c r="AA108" i="7"/>
  <c r="AB108" i="7" s="1"/>
  <c r="AQ108" i="7"/>
  <c r="AQ29" i="7"/>
  <c r="AA29" i="7"/>
  <c r="AO29" i="7"/>
  <c r="AP29" i="7" s="1"/>
  <c r="AO315" i="7"/>
  <c r="AP315" i="7" s="1"/>
  <c r="AA315" i="7"/>
  <c r="AQ315" i="7"/>
  <c r="AO54" i="7"/>
  <c r="AP54" i="7" s="1"/>
  <c r="AQ54" i="7"/>
  <c r="AA54" i="7"/>
  <c r="AQ240" i="7"/>
  <c r="AA240" i="7"/>
  <c r="AO240" i="7"/>
  <c r="AP240" i="7" s="1"/>
  <c r="AO126" i="7"/>
  <c r="AP126" i="7" s="1"/>
  <c r="AA126" i="7"/>
  <c r="AQ126" i="7"/>
  <c r="AO52" i="7"/>
  <c r="AP52" i="7" s="1"/>
  <c r="AA52" i="7"/>
  <c r="AQ52" i="7"/>
  <c r="AO96" i="7"/>
  <c r="AP96" i="7" s="1"/>
  <c r="AA96" i="7"/>
  <c r="AQ96" i="7"/>
  <c r="AA17" i="7"/>
  <c r="AB17" i="7" s="1"/>
  <c r="AO17" i="7"/>
  <c r="AP17" i="7" s="1"/>
  <c r="AQ17" i="7"/>
  <c r="AO303" i="7"/>
  <c r="AP303" i="7" s="1"/>
  <c r="AA303" i="7"/>
  <c r="AQ303" i="7"/>
  <c r="AO236" i="7"/>
  <c r="AP236" i="7" s="1"/>
  <c r="AA236" i="7"/>
  <c r="AQ236" i="7"/>
  <c r="AO50" i="7"/>
  <c r="AP50" i="7" s="1"/>
  <c r="AQ50" i="7"/>
  <c r="AA50" i="7"/>
  <c r="AB50" i="7" s="1"/>
  <c r="AA283" i="7"/>
  <c r="AQ283" i="7"/>
  <c r="AO283" i="7"/>
  <c r="AP283" i="7" s="1"/>
  <c r="AA279" i="7"/>
  <c r="AQ279" i="7"/>
  <c r="AO279" i="7"/>
  <c r="AP279" i="7" s="1"/>
  <c r="AO70" i="7"/>
  <c r="AP70" i="7" s="1"/>
  <c r="AA70" i="7"/>
  <c r="AQ70" i="7"/>
  <c r="AO276" i="7"/>
  <c r="AP276" i="7" s="1"/>
  <c r="AA276" i="7"/>
  <c r="AQ276" i="7"/>
  <c r="AO282" i="7"/>
  <c r="AP282" i="7" s="1"/>
  <c r="AQ282" i="7"/>
  <c r="AA282" i="7"/>
  <c r="AQ212" i="7"/>
  <c r="AA212" i="7"/>
  <c r="AO212" i="7"/>
  <c r="AP212" i="7" s="1"/>
  <c r="AA26" i="7"/>
  <c r="AO26" i="7"/>
  <c r="AP26" i="7" s="1"/>
  <c r="AQ26" i="7"/>
  <c r="AO257" i="7"/>
  <c r="AP257" i="7" s="1"/>
  <c r="AA257" i="7"/>
  <c r="AQ257" i="7"/>
  <c r="AO179" i="7"/>
  <c r="AP179" i="7" s="1"/>
  <c r="AA179" i="7"/>
  <c r="AQ179" i="7"/>
  <c r="AQ225" i="7"/>
  <c r="AA225" i="7"/>
  <c r="AO225" i="7"/>
  <c r="AP225" i="7" s="1"/>
  <c r="AO132" i="7"/>
  <c r="AP132" i="7" s="1"/>
  <c r="AQ132" i="7"/>
  <c r="AA132" i="7"/>
  <c r="AO323" i="7"/>
  <c r="AP323" i="7" s="1"/>
  <c r="AA323" i="7"/>
  <c r="AQ323" i="7"/>
  <c r="AA133" i="7"/>
  <c r="AQ133" i="7"/>
  <c r="AO133" i="7"/>
  <c r="AP133" i="7" s="1"/>
  <c r="AO134" i="7"/>
  <c r="AP134" i="7" s="1"/>
  <c r="AA134" i="7"/>
  <c r="AB134" i="7" s="1"/>
  <c r="AQ134" i="7"/>
  <c r="AO245" i="7"/>
  <c r="AP245" i="7" s="1"/>
  <c r="AA245" i="7"/>
  <c r="AQ245" i="7"/>
  <c r="AO217" i="7"/>
  <c r="AP217" i="7" s="1"/>
  <c r="AA217" i="7"/>
  <c r="AQ217" i="7"/>
  <c r="AA63" i="7"/>
  <c r="AB63" i="7" s="1"/>
  <c r="AQ63" i="7"/>
  <c r="AO63" i="7"/>
  <c r="AP63" i="7" s="1"/>
  <c r="AO296" i="7"/>
  <c r="AP296" i="7" s="1"/>
  <c r="AQ296" i="7"/>
  <c r="AA296" i="7"/>
  <c r="AO139" i="7"/>
  <c r="AP139" i="7" s="1"/>
  <c r="AA139" i="7"/>
  <c r="AB139" i="7" s="1"/>
  <c r="AQ139" i="7"/>
  <c r="AQ281" i="7"/>
  <c r="AA281" i="7"/>
  <c r="AB281" i="7" s="1"/>
  <c r="AO281" i="7"/>
  <c r="AP281" i="7" s="1"/>
  <c r="AA120" i="7"/>
  <c r="AB120" i="7" s="1"/>
  <c r="AQ120" i="7"/>
  <c r="AO120" i="7"/>
  <c r="AP120" i="7" s="1"/>
  <c r="AA115" i="7"/>
  <c r="AQ115" i="7"/>
  <c r="AO115" i="7"/>
  <c r="AP115" i="7" s="1"/>
  <c r="AC12" i="7"/>
  <c r="AD12" i="7" s="1"/>
  <c r="AA207" i="7"/>
  <c r="AQ207" i="7"/>
  <c r="AO207" i="7"/>
  <c r="AP207" i="7" s="1"/>
  <c r="AQ202" i="7"/>
  <c r="AO202" i="7"/>
  <c r="AP202" i="7" s="1"/>
  <c r="AA202" i="7"/>
  <c r="AB202" i="7" s="1"/>
  <c r="AA110" i="7"/>
  <c r="AQ110" i="7"/>
  <c r="AO110" i="7"/>
  <c r="AP110" i="7" s="1"/>
  <c r="AQ103" i="7"/>
  <c r="AO103" i="7"/>
  <c r="AP103" i="7" s="1"/>
  <c r="AA103" i="7"/>
  <c r="AQ94" i="7"/>
  <c r="AO94" i="7"/>
  <c r="AP94" i="7" s="1"/>
  <c r="AA94" i="7"/>
  <c r="AB94" i="7" s="1"/>
  <c r="AB62" i="7"/>
  <c r="AA231" i="7"/>
  <c r="AB231" i="7" s="1"/>
  <c r="AO231" i="7"/>
  <c r="AP231" i="7" s="1"/>
  <c r="AQ231" i="7"/>
  <c r="AQ143" i="7"/>
  <c r="AO143" i="7"/>
  <c r="AP143" i="7" s="1"/>
  <c r="AA143" i="7"/>
  <c r="AB143" i="7" s="1"/>
  <c r="AO203" i="7"/>
  <c r="AP203" i="7" s="1"/>
  <c r="AQ203" i="7"/>
  <c r="AA203" i="7"/>
  <c r="AB203" i="7" s="1"/>
  <c r="AO176" i="7"/>
  <c r="AP176" i="7" s="1"/>
  <c r="AQ176" i="7"/>
  <c r="AA176" i="7"/>
  <c r="AB176" i="7" s="1"/>
  <c r="AO61" i="7"/>
  <c r="AP61" i="7" s="1"/>
  <c r="AQ61" i="7"/>
  <c r="AA61" i="7"/>
  <c r="AA267" i="7"/>
  <c r="AB267" i="7" s="1"/>
  <c r="AO267" i="7"/>
  <c r="AP267" i="7" s="1"/>
  <c r="AQ267" i="7"/>
  <c r="AO69" i="7"/>
  <c r="AP69" i="7" s="1"/>
  <c r="AA69" i="7"/>
  <c r="AB69" i="7" s="1"/>
  <c r="AQ69" i="7"/>
  <c r="AQ59" i="7"/>
  <c r="AO59" i="7"/>
  <c r="AP59" i="7" s="1"/>
  <c r="AA59" i="7"/>
  <c r="AB99" i="7"/>
  <c r="AQ39" i="7"/>
  <c r="AO39" i="7"/>
  <c r="AP39" i="7" s="1"/>
  <c r="AA39" i="7"/>
  <c r="AO219" i="7"/>
  <c r="AP219" i="7" s="1"/>
  <c r="AQ219" i="7"/>
  <c r="AA219" i="7"/>
  <c r="AO171" i="7"/>
  <c r="AP171" i="7" s="1"/>
  <c r="AA171" i="7"/>
  <c r="AQ171" i="7"/>
  <c r="AA185" i="7"/>
  <c r="AB185" i="7" s="1"/>
  <c r="AO185" i="7"/>
  <c r="AP185" i="7" s="1"/>
  <c r="AQ185" i="7"/>
  <c r="AA264" i="7"/>
  <c r="AO264" i="7"/>
  <c r="AP264" i="7" s="1"/>
  <c r="AQ264" i="7"/>
  <c r="AO23" i="7"/>
  <c r="AP23" i="7" s="1"/>
  <c r="AA23" i="7"/>
  <c r="AB23" i="7" s="1"/>
  <c r="AQ23" i="7"/>
  <c r="AA25" i="7"/>
  <c r="AB25" i="7" s="1"/>
  <c r="AQ25" i="7"/>
  <c r="AO25" i="7"/>
  <c r="AP25" i="7" s="1"/>
  <c r="AA14" i="7"/>
  <c r="AB14" i="7" s="1"/>
  <c r="AQ14" i="7"/>
  <c r="AO14" i="7"/>
  <c r="AP14" i="7" s="1"/>
  <c r="AQ278" i="7"/>
  <c r="AO278" i="7"/>
  <c r="AP278" i="7" s="1"/>
  <c r="AA278" i="7"/>
  <c r="AB278" i="7" s="1"/>
  <c r="AO235" i="7"/>
  <c r="AP235" i="7" s="1"/>
  <c r="AA235" i="7"/>
  <c r="AB235" i="7" s="1"/>
  <c r="AQ235" i="7"/>
  <c r="AQ16" i="7"/>
  <c r="AO16" i="7"/>
  <c r="AP16" i="7" s="1"/>
  <c r="AA16" i="7"/>
  <c r="AA285" i="7"/>
  <c r="AB285" i="7" s="1"/>
  <c r="AO285" i="7"/>
  <c r="AP285" i="7" s="1"/>
  <c r="AQ285" i="7"/>
  <c r="AB214" i="7"/>
  <c r="AO271" i="7"/>
  <c r="AP271" i="7" s="1"/>
  <c r="AA271" i="7"/>
  <c r="AB271" i="7" s="1"/>
  <c r="AQ271" i="7"/>
  <c r="AO145" i="7"/>
  <c r="AP145" i="7" s="1"/>
  <c r="AA145" i="7"/>
  <c r="AB145" i="7" s="1"/>
  <c r="AQ145" i="7"/>
  <c r="AO72" i="7"/>
  <c r="AP72" i="7" s="1"/>
  <c r="AQ72" i="7"/>
  <c r="AA72" i="7"/>
  <c r="AO114" i="7"/>
  <c r="AP114" i="7" s="1"/>
  <c r="AA114" i="7"/>
  <c r="AB114" i="7" s="1"/>
  <c r="AQ114" i="7"/>
  <c r="AQ9" i="7"/>
  <c r="AO9" i="7"/>
  <c r="AP9" i="7" s="1"/>
  <c r="AA9" i="7"/>
  <c r="AO166" i="7"/>
  <c r="AP166" i="7" s="1"/>
  <c r="AA166" i="7"/>
  <c r="AB166" i="7" s="1"/>
  <c r="AQ166" i="7"/>
  <c r="AI264" i="7"/>
  <c r="AJ264" i="7" s="1"/>
  <c r="AO80" i="7"/>
  <c r="AP80" i="7" s="1"/>
  <c r="AQ80" i="7"/>
  <c r="AA80" i="7"/>
  <c r="AB80" i="7" s="1"/>
  <c r="AE224" i="7"/>
  <c r="AM224" i="7" s="1"/>
  <c r="AQ12" i="7"/>
  <c r="AA12" i="7"/>
  <c r="AB12" i="7" s="1"/>
  <c r="AO12" i="7"/>
  <c r="AP12" i="7" s="1"/>
  <c r="AE79" i="7"/>
  <c r="AM79" i="7" s="1"/>
  <c r="AI79" i="7"/>
  <c r="AJ79" i="7" s="1"/>
  <c r="AO266" i="7"/>
  <c r="AP266" i="7" s="1"/>
  <c r="AA266" i="7"/>
  <c r="AQ266" i="7"/>
  <c r="AQ199" i="7"/>
  <c r="AO199" i="7"/>
  <c r="AP199" i="7" s="1"/>
  <c r="AA199" i="7"/>
  <c r="AA32" i="7"/>
  <c r="AO32" i="7"/>
  <c r="AP32" i="7" s="1"/>
  <c r="AQ32" i="7"/>
  <c r="AO101" i="7"/>
  <c r="AP101" i="7" s="1"/>
  <c r="AA101" i="7"/>
  <c r="AQ101" i="7"/>
  <c r="AA91" i="7"/>
  <c r="AO91" i="7"/>
  <c r="AP91" i="7" s="1"/>
  <c r="AQ91" i="7"/>
  <c r="AQ159" i="7"/>
  <c r="AA159" i="7"/>
  <c r="AO159" i="7"/>
  <c r="AP159" i="7" s="1"/>
  <c r="AQ35" i="7"/>
  <c r="AO35" i="7"/>
  <c r="AP35" i="7" s="1"/>
  <c r="AA35" i="7"/>
  <c r="AO41" i="7"/>
  <c r="AP41" i="7" s="1"/>
  <c r="AQ41" i="7"/>
  <c r="AA41" i="7"/>
  <c r="AO238" i="7"/>
  <c r="AP238" i="7" s="1"/>
  <c r="AA238" i="7"/>
  <c r="AB238" i="7" s="1"/>
  <c r="AQ238" i="7"/>
  <c r="AA300" i="7"/>
  <c r="AQ300" i="7"/>
  <c r="AO300" i="7"/>
  <c r="AP300" i="7" s="1"/>
  <c r="AA13" i="7"/>
  <c r="AB13" i="7" s="1"/>
  <c r="AO13" i="7"/>
  <c r="AP13" i="7" s="1"/>
  <c r="AQ13" i="7"/>
  <c r="AO33" i="7"/>
  <c r="AP33" i="7" s="1"/>
  <c r="AQ33" i="7"/>
  <c r="AA33" i="7"/>
  <c r="AG33" i="7"/>
  <c r="AH33" i="7" s="1"/>
  <c r="AA10" i="7"/>
  <c r="AQ10" i="7"/>
  <c r="AO10" i="7"/>
  <c r="AP10" i="7" s="1"/>
  <c r="AO301" i="7"/>
  <c r="AP301" i="7" s="1"/>
  <c r="AA301" i="7"/>
  <c r="AQ301" i="7"/>
  <c r="AA295" i="7"/>
  <c r="AO295" i="7"/>
  <c r="AP295" i="7" s="1"/>
  <c r="AQ295" i="7"/>
  <c r="AQ198" i="7"/>
  <c r="AO198" i="7"/>
  <c r="AP198" i="7" s="1"/>
  <c r="AA198" i="7"/>
  <c r="AA45" i="7"/>
  <c r="AQ45" i="7"/>
  <c r="AO45" i="7"/>
  <c r="AP45" i="7" s="1"/>
  <c r="AA239" i="7"/>
  <c r="AO239" i="7"/>
  <c r="AP239" i="7" s="1"/>
  <c r="AQ239" i="7"/>
  <c r="AQ48" i="7"/>
  <c r="AO48" i="7"/>
  <c r="AP48" i="7" s="1"/>
  <c r="AA48" i="7"/>
  <c r="AO49" i="7"/>
  <c r="AP49" i="7" s="1"/>
  <c r="AA49" i="7"/>
  <c r="AB49" i="7" s="1"/>
  <c r="AQ49" i="7"/>
  <c r="AA64" i="7"/>
  <c r="AB64" i="7" s="1"/>
  <c r="AO64" i="7"/>
  <c r="AP64" i="7" s="1"/>
  <c r="AQ64" i="7"/>
  <c r="AO85" i="7"/>
  <c r="AP85" i="7" s="1"/>
  <c r="AQ85" i="7"/>
  <c r="AA85" i="7"/>
  <c r="AA232" i="7"/>
  <c r="AB232" i="7" s="1"/>
  <c r="AQ232" i="7"/>
  <c r="AO232" i="7"/>
  <c r="AP232" i="7" s="1"/>
  <c r="AQ131" i="7"/>
  <c r="AO131" i="7"/>
  <c r="AP131" i="7" s="1"/>
  <c r="AA131" i="7"/>
  <c r="AB131" i="7" s="1"/>
  <c r="AO170" i="7"/>
  <c r="AP170" i="7" s="1"/>
  <c r="AA170" i="7"/>
  <c r="AQ170" i="7"/>
  <c r="AA216" i="7"/>
  <c r="AQ216" i="7"/>
  <c r="AO216" i="7"/>
  <c r="AP216" i="7" s="1"/>
  <c r="AO55" i="7"/>
  <c r="AP55" i="7" s="1"/>
  <c r="AA55" i="7"/>
  <c r="AQ55" i="7"/>
  <c r="AO258" i="7"/>
  <c r="AP258" i="7" s="1"/>
  <c r="AA258" i="7"/>
  <c r="AQ258" i="7"/>
  <c r="AA319" i="7"/>
  <c r="AO319" i="7"/>
  <c r="AP319" i="7" s="1"/>
  <c r="AQ319" i="7"/>
  <c r="AA144" i="7"/>
  <c r="AQ144" i="7"/>
  <c r="AO144" i="7"/>
  <c r="AP144" i="7" s="1"/>
  <c r="AO38" i="7"/>
  <c r="AP38" i="7" s="1"/>
  <c r="AQ38" i="7"/>
  <c r="AA38" i="7"/>
  <c r="AO194" i="7"/>
  <c r="AP194" i="7" s="1"/>
  <c r="AQ194" i="7"/>
  <c r="AA194" i="7"/>
  <c r="AO273" i="7"/>
  <c r="AP273" i="7" s="1"/>
  <c r="AA273" i="7"/>
  <c r="AQ273" i="7"/>
  <c r="AA322" i="7"/>
  <c r="AO322" i="7"/>
  <c r="AP322" i="7" s="1"/>
  <c r="AQ322" i="7"/>
  <c r="AO197" i="7"/>
  <c r="AP197" i="7" s="1"/>
  <c r="AQ197" i="7"/>
  <c r="AA197" i="7"/>
  <c r="AO90" i="7"/>
  <c r="AP90" i="7" s="1"/>
  <c r="AA90" i="7"/>
  <c r="AQ90" i="7"/>
  <c r="AA124" i="7"/>
  <c r="AO124" i="7"/>
  <c r="AP124" i="7" s="1"/>
  <c r="AQ124" i="7"/>
  <c r="AO20" i="7"/>
  <c r="AP20" i="7" s="1"/>
  <c r="AA20" i="7"/>
  <c r="AB20" i="7" s="1"/>
  <c r="AQ20" i="7"/>
  <c r="AA162" i="7"/>
  <c r="AQ162" i="7"/>
  <c r="AO162" i="7"/>
  <c r="AP162" i="7" s="1"/>
  <c r="AA189" i="7"/>
  <c r="AQ189" i="7"/>
  <c r="AO189" i="7"/>
  <c r="AP189" i="7" s="1"/>
  <c r="AO163" i="7"/>
  <c r="AP163" i="7" s="1"/>
  <c r="AQ163" i="7"/>
  <c r="AA163" i="7"/>
  <c r="AB163" i="7" s="1"/>
  <c r="AQ73" i="7"/>
  <c r="AO73" i="7"/>
  <c r="AP73" i="7" s="1"/>
  <c r="AA73" i="7"/>
  <c r="AQ241" i="7"/>
  <c r="AO241" i="7"/>
  <c r="AP241" i="7" s="1"/>
  <c r="AA241" i="7"/>
  <c r="AA148" i="7"/>
  <c r="AQ148" i="7"/>
  <c r="AO148" i="7"/>
  <c r="AP148" i="7" s="1"/>
  <c r="AO244" i="7"/>
  <c r="AP244" i="7" s="1"/>
  <c r="AA244" i="7"/>
  <c r="AQ244" i="7"/>
  <c r="AA24" i="7"/>
  <c r="AB24" i="7" s="1"/>
  <c r="AO24" i="7"/>
  <c r="AP24" i="7" s="1"/>
  <c r="AQ24" i="7"/>
  <c r="AA233" i="7"/>
  <c r="AB233" i="7" s="1"/>
  <c r="AQ233" i="7"/>
  <c r="AO233" i="7"/>
  <c r="AP233" i="7" s="1"/>
  <c r="AB200" i="7"/>
  <c r="AA221" i="7"/>
  <c r="AQ221" i="7"/>
  <c r="AO221" i="7"/>
  <c r="AP221" i="7" s="1"/>
  <c r="AO268" i="7"/>
  <c r="AP268" i="7" s="1"/>
  <c r="AA268" i="7"/>
  <c r="AQ268" i="7"/>
  <c r="AA28" i="7"/>
  <c r="AO28" i="7"/>
  <c r="AP28" i="7" s="1"/>
  <c r="AQ28" i="7"/>
  <c r="AA78" i="7"/>
  <c r="AO78" i="7"/>
  <c r="AP78" i="7" s="1"/>
  <c r="AQ78" i="7"/>
  <c r="AB316" i="7"/>
  <c r="AQ86" i="7"/>
  <c r="AA86" i="7"/>
  <c r="AO86" i="7"/>
  <c r="AP86" i="7" s="1"/>
  <c r="AO324" i="7"/>
  <c r="AP324" i="7" s="1"/>
  <c r="AA324" i="7"/>
  <c r="AQ324" i="7"/>
  <c r="AO205" i="7"/>
  <c r="AP205" i="7" s="1"/>
  <c r="AA205" i="7"/>
  <c r="AQ205" i="7"/>
  <c r="AO213" i="7"/>
  <c r="AP213" i="7" s="1"/>
  <c r="AQ213" i="7"/>
  <c r="AA213" i="7"/>
  <c r="AQ292" i="7"/>
  <c r="AA292" i="7"/>
  <c r="AB292" i="7" s="1"/>
  <c r="AO292" i="7"/>
  <c r="AP292" i="7" s="1"/>
  <c r="AA215" i="7"/>
  <c r="AB215" i="7" s="1"/>
  <c r="AO215" i="7"/>
  <c r="AP215" i="7" s="1"/>
  <c r="AQ215" i="7"/>
  <c r="AQ19" i="7"/>
  <c r="AA19" i="7"/>
  <c r="AO19" i="7"/>
  <c r="AP19" i="7" s="1"/>
  <c r="AO196" i="7"/>
  <c r="AP196" i="7" s="1"/>
  <c r="AQ196" i="7"/>
  <c r="AA196" i="7"/>
  <c r="AQ218" i="7"/>
  <c r="AA218" i="7"/>
  <c r="AB218" i="7" s="1"/>
  <c r="AO218" i="7"/>
  <c r="AP218" i="7" s="1"/>
  <c r="AO135" i="7"/>
  <c r="AP135" i="7" s="1"/>
  <c r="AA135" i="7"/>
  <c r="AQ135" i="7"/>
  <c r="AG23" i="7"/>
  <c r="AH23" i="7" s="1"/>
  <c r="AA253" i="7"/>
  <c r="AB253" i="7" s="1"/>
  <c r="AQ253" i="7"/>
  <c r="AO253" i="7"/>
  <c r="AP253" i="7" s="1"/>
  <c r="AO230" i="7"/>
  <c r="AP230" i="7" s="1"/>
  <c r="AQ230" i="7"/>
  <c r="AA230" i="7"/>
  <c r="AB190" i="7"/>
  <c r="AO88" i="7"/>
  <c r="AP88" i="7" s="1"/>
  <c r="AA88" i="7"/>
  <c r="AQ88" i="7"/>
  <c r="AO320" i="7"/>
  <c r="AP320" i="7" s="1"/>
  <c r="AQ320" i="7"/>
  <c r="AA320" i="7"/>
  <c r="AB320" i="7" s="1"/>
  <c r="AQ318" i="7"/>
  <c r="AO318" i="7"/>
  <c r="AP318" i="7" s="1"/>
  <c r="AA318" i="7"/>
  <c r="AB318" i="7" s="1"/>
  <c r="AA284" i="7"/>
  <c r="AB284" i="7" s="1"/>
  <c r="AO284" i="7"/>
  <c r="AP284" i="7" s="1"/>
  <c r="AQ284" i="7"/>
  <c r="AQ68" i="7"/>
  <c r="AA68" i="7"/>
  <c r="AO68" i="7"/>
  <c r="AP68" i="7" s="1"/>
  <c r="AA21" i="7"/>
  <c r="AB21" i="7" s="1"/>
  <c r="AO21" i="7"/>
  <c r="AP21" i="7" s="1"/>
  <c r="AQ21" i="7"/>
  <c r="AA191" i="7"/>
  <c r="AB191" i="7" s="1"/>
  <c r="AQ191" i="7"/>
  <c r="AO191" i="7"/>
  <c r="AP191" i="7" s="1"/>
  <c r="AO167" i="7"/>
  <c r="AP167" i="7" s="1"/>
  <c r="AQ167" i="7"/>
  <c r="AA167" i="7"/>
  <c r="AA254" i="7"/>
  <c r="AQ254" i="7"/>
  <c r="AO254" i="7"/>
  <c r="AP254" i="7" s="1"/>
  <c r="AQ251" i="7"/>
  <c r="AO251" i="7"/>
  <c r="AP251" i="7" s="1"/>
  <c r="AA251" i="7"/>
  <c r="AO272" i="7"/>
  <c r="AP272" i="7" s="1"/>
  <c r="AA272" i="7"/>
  <c r="AQ272" i="7"/>
  <c r="AO252" i="7"/>
  <c r="AP252" i="7" s="1"/>
  <c r="AA252" i="7"/>
  <c r="AB252" i="7" s="1"/>
  <c r="AQ252" i="7"/>
  <c r="AO51" i="7"/>
  <c r="AP51" i="7" s="1"/>
  <c r="AA51" i="7"/>
  <c r="AQ51" i="7"/>
  <c r="AO178" i="7"/>
  <c r="AP178" i="7" s="1"/>
  <c r="AA178" i="7"/>
  <c r="AQ178" i="7"/>
  <c r="AO75" i="7"/>
  <c r="AP75" i="7" s="1"/>
  <c r="AA75" i="7"/>
  <c r="AB75" i="7" s="1"/>
  <c r="AQ75" i="7"/>
  <c r="AA40" i="7"/>
  <c r="AQ40" i="7"/>
  <c r="AO40" i="7"/>
  <c r="AP40" i="7" s="1"/>
  <c r="AQ229" i="7"/>
  <c r="AA229" i="7"/>
  <c r="AB229" i="7" s="1"/>
  <c r="AO229" i="7"/>
  <c r="AP229" i="7" s="1"/>
  <c r="AA314" i="7"/>
  <c r="AQ314" i="7"/>
  <c r="AO314" i="7"/>
  <c r="AP314" i="7" s="1"/>
  <c r="AO44" i="7"/>
  <c r="AP44" i="7" s="1"/>
  <c r="AA44" i="7"/>
  <c r="AQ44" i="7"/>
  <c r="AB302" i="7"/>
  <c r="AQ275" i="7"/>
  <c r="AA275" i="7"/>
  <c r="AO275" i="7"/>
  <c r="AP275" i="7" s="1"/>
  <c r="AO311" i="7"/>
  <c r="AP311" i="7" s="1"/>
  <c r="AA311" i="7"/>
  <c r="AB311" i="7" s="1"/>
  <c r="AQ311" i="7"/>
  <c r="AA47" i="7"/>
  <c r="AB47" i="7" s="1"/>
  <c r="AO47" i="7"/>
  <c r="AP47" i="7" s="1"/>
  <c r="AQ47" i="7"/>
  <c r="AO172" i="7"/>
  <c r="AP172" i="7" s="1"/>
  <c r="AQ172" i="7"/>
  <c r="AA172" i="7"/>
  <c r="AO265" i="7"/>
  <c r="AP265" i="7" s="1"/>
  <c r="AQ265" i="7"/>
  <c r="AA265" i="7"/>
  <c r="AQ226" i="7"/>
  <c r="AA226" i="7"/>
  <c r="AB226" i="7" s="1"/>
  <c r="AO226" i="7"/>
  <c r="AP226" i="7" s="1"/>
  <c r="AE116" i="7"/>
  <c r="AM116" i="7" s="1"/>
  <c r="AI116" i="7"/>
  <c r="AJ116" i="7" s="1"/>
  <c r="AO228" i="7"/>
  <c r="AP228" i="7" s="1"/>
  <c r="AA228" i="7"/>
  <c r="AQ228" i="7"/>
  <c r="AA36" i="7"/>
  <c r="AB36" i="7" s="1"/>
  <c r="AQ36" i="7"/>
  <c r="AO36" i="7"/>
  <c r="AP36" i="7" s="1"/>
  <c r="AQ169" i="7"/>
  <c r="AO169" i="7"/>
  <c r="AP169" i="7" s="1"/>
  <c r="AA169" i="7"/>
  <c r="AB169" i="7" s="1"/>
  <c r="AA187" i="7"/>
  <c r="AB187" i="7" s="1"/>
  <c r="AO187" i="7"/>
  <c r="AP187" i="7" s="1"/>
  <c r="AQ187" i="7"/>
  <c r="AQ136" i="7"/>
  <c r="AO136" i="7"/>
  <c r="AP136" i="7" s="1"/>
  <c r="AA136" i="7"/>
  <c r="AB136" i="7" s="1"/>
  <c r="AC183" i="7"/>
  <c r="AD183" i="7" s="1"/>
  <c r="AQ270" i="7"/>
  <c r="AA270" i="7"/>
  <c r="AO270" i="7"/>
  <c r="AP270" i="7" s="1"/>
  <c r="AO287" i="7"/>
  <c r="AP287" i="7" s="1"/>
  <c r="AA287" i="7"/>
  <c r="AQ287" i="7"/>
  <c r="AA6" i="7"/>
  <c r="AQ6" i="7"/>
  <c r="AO6" i="7"/>
  <c r="AP6" i="7" s="1"/>
  <c r="AO255" i="7"/>
  <c r="AP255" i="7" s="1"/>
  <c r="AQ255" i="7"/>
  <c r="AA255" i="7"/>
  <c r="AA119" i="7"/>
  <c r="AQ119" i="7"/>
  <c r="AO119" i="7"/>
  <c r="AP119" i="7" s="1"/>
  <c r="AA286" i="7"/>
  <c r="AO286" i="7"/>
  <c r="AP286" i="7" s="1"/>
  <c r="AQ286" i="7"/>
  <c r="AO184" i="7"/>
  <c r="AP184" i="7" s="1"/>
  <c r="AQ184" i="7"/>
  <c r="AA184" i="7"/>
  <c r="AA250" i="7"/>
  <c r="AB250" i="7" s="1"/>
  <c r="AO250" i="7"/>
  <c r="AP250" i="7" s="1"/>
  <c r="AQ250" i="7"/>
  <c r="AC308" i="7"/>
  <c r="AD308" i="7" s="1"/>
  <c r="AO112" i="7"/>
  <c r="AP112" i="7" s="1"/>
  <c r="AQ112" i="7"/>
  <c r="AA112" i="7"/>
  <c r="AQ308" i="7"/>
  <c r="AO308" i="7"/>
  <c r="AP308" i="7" s="1"/>
  <c r="AA308" i="7"/>
  <c r="AO116" i="7"/>
  <c r="AP116" i="7" s="1"/>
  <c r="AA116" i="7"/>
  <c r="AB116" i="7" s="1"/>
  <c r="AQ116" i="7"/>
  <c r="AQ140" i="7"/>
  <c r="AA140" i="7"/>
  <c r="AB140" i="7" s="1"/>
  <c r="AO140" i="7"/>
  <c r="AP140" i="7" s="1"/>
  <c r="AA125" i="7"/>
  <c r="AQ125" i="7"/>
  <c r="AO125" i="7"/>
  <c r="AP125" i="7" s="1"/>
  <c r="AQ117" i="7"/>
  <c r="AA117" i="7"/>
  <c r="AO117" i="7"/>
  <c r="AP117" i="7" s="1"/>
  <c r="AO174" i="7"/>
  <c r="AP174" i="7" s="1"/>
  <c r="AQ174" i="7"/>
  <c r="AA174" i="7"/>
  <c r="AB174" i="7" s="1"/>
  <c r="AQ325" i="7"/>
  <c r="AO325" i="7"/>
  <c r="AP325" i="7" s="1"/>
  <c r="AA325" i="7"/>
  <c r="AO192" i="7"/>
  <c r="AP192" i="7" s="1"/>
  <c r="AA192" i="7"/>
  <c r="AQ192" i="7"/>
  <c r="AQ193" i="7"/>
  <c r="AA193" i="7"/>
  <c r="AO193" i="7"/>
  <c r="AP193" i="7" s="1"/>
  <c r="AQ123" i="7"/>
  <c r="AA123" i="7"/>
  <c r="AO123" i="7"/>
  <c r="AP123" i="7" s="1"/>
  <c r="AQ259" i="7"/>
  <c r="AA259" i="7"/>
  <c r="AB259" i="7" s="1"/>
  <c r="AO259" i="7"/>
  <c r="AP259" i="7" s="1"/>
  <c r="AO93" i="7"/>
  <c r="AP93" i="7" s="1"/>
  <c r="AA93" i="7"/>
  <c r="AQ93" i="7"/>
  <c r="AA87" i="7"/>
  <c r="AQ87" i="7"/>
  <c r="AO87" i="7"/>
  <c r="AP87" i="7" s="1"/>
  <c r="AO92" i="7"/>
  <c r="AP92" i="7" s="1"/>
  <c r="AA92" i="7"/>
  <c r="AB92" i="7" s="1"/>
  <c r="AQ92" i="7"/>
  <c r="AB269" i="7"/>
  <c r="AA149" i="7"/>
  <c r="AB149" i="7" s="1"/>
  <c r="AQ149" i="7"/>
  <c r="AO149" i="7"/>
  <c r="AP149" i="7" s="1"/>
  <c r="AQ27" i="7"/>
  <c r="AA27" i="7"/>
  <c r="AO27" i="7"/>
  <c r="AP27" i="7" s="1"/>
  <c r="AB137" i="7"/>
  <c r="AO211" i="7"/>
  <c r="AP211" i="7" s="1"/>
  <c r="AA211" i="7"/>
  <c r="AB211" i="7" s="1"/>
  <c r="AQ211" i="7"/>
  <c r="AO46" i="7"/>
  <c r="AP46" i="7" s="1"/>
  <c r="AA46" i="7"/>
  <c r="AQ46" i="7"/>
  <c r="AO42" i="7"/>
  <c r="AP42" i="7" s="1"/>
  <c r="AA42" i="7"/>
  <c r="AB42" i="7" s="1"/>
  <c r="AQ42" i="7"/>
  <c r="AB306" i="7"/>
  <c r="AB130" i="7"/>
  <c r="AO100" i="7"/>
  <c r="AP100" i="7" s="1"/>
  <c r="AA100" i="7"/>
  <c r="AQ100" i="7"/>
  <c r="AA201" i="7"/>
  <c r="AQ201" i="7"/>
  <c r="AO201" i="7"/>
  <c r="AP201" i="7" s="1"/>
  <c r="AA223" i="7"/>
  <c r="AQ223" i="7"/>
  <c r="AO223" i="7"/>
  <c r="AP223" i="7" s="1"/>
  <c r="AO142" i="7"/>
  <c r="AP142" i="7" s="1"/>
  <c r="AA142" i="7"/>
  <c r="AQ142" i="7"/>
  <c r="AO164" i="7"/>
  <c r="AP164" i="7" s="1"/>
  <c r="AA164" i="7"/>
  <c r="AQ164" i="7"/>
  <c r="AQ79" i="7"/>
  <c r="AA79" i="7"/>
  <c r="AB79" i="7" s="1"/>
  <c r="AO79" i="7"/>
  <c r="AP79" i="7" s="1"/>
  <c r="AO188" i="7"/>
  <c r="AP188" i="7" s="1"/>
  <c r="AQ188" i="7"/>
  <c r="AA188" i="7"/>
  <c r="AA141" i="7"/>
  <c r="AQ141" i="7"/>
  <c r="AO141" i="7"/>
  <c r="AP141" i="7" s="1"/>
  <c r="AA160" i="7"/>
  <c r="AQ160" i="7"/>
  <c r="AO160" i="7"/>
  <c r="AP160" i="7" s="1"/>
  <c r="AB263" i="7"/>
  <c r="AC235" i="7"/>
  <c r="AD235" i="7" s="1"/>
  <c r="AO247" i="7"/>
  <c r="AP247" i="7" s="1"/>
  <c r="AA247" i="7"/>
  <c r="AQ247" i="7"/>
  <c r="AO81" i="7"/>
  <c r="AP81" i="7" s="1"/>
  <c r="AQ81" i="7"/>
  <c r="AA81" i="7"/>
  <c r="AQ105" i="7"/>
  <c r="AA105" i="7"/>
  <c r="AB105" i="7" s="1"/>
  <c r="AO105" i="7"/>
  <c r="AP105" i="7" s="1"/>
  <c r="AO297" i="7"/>
  <c r="AP297" i="7" s="1"/>
  <c r="AA297" i="7"/>
  <c r="AB297" i="7" s="1"/>
  <c r="AQ297" i="7"/>
  <c r="AQ53" i="7"/>
  <c r="AA53" i="7"/>
  <c r="AO53" i="7"/>
  <c r="AP53" i="7" s="1"/>
  <c r="AO222" i="7"/>
  <c r="AP222" i="7" s="1"/>
  <c r="AA222" i="7"/>
  <c r="AQ222" i="7"/>
  <c r="AQ274" i="7"/>
  <c r="AO274" i="7"/>
  <c r="AP274" i="7" s="1"/>
  <c r="AA274" i="7"/>
  <c r="AB274" i="7" s="1"/>
  <c r="AA186" i="7"/>
  <c r="AQ186" i="7"/>
  <c r="AO186" i="7"/>
  <c r="AP186" i="7" s="1"/>
  <c r="AO183" i="7"/>
  <c r="AP183" i="7" s="1"/>
  <c r="AG183" i="7"/>
  <c r="AH183" i="7" s="1"/>
  <c r="AA183" i="7"/>
  <c r="AB183" i="7" s="1"/>
  <c r="AQ183" i="7"/>
  <c r="AO195" i="7"/>
  <c r="AP195" i="7" s="1"/>
  <c r="AQ195" i="7"/>
  <c r="AA195" i="7"/>
  <c r="AQ309" i="7"/>
  <c r="AA309" i="7"/>
  <c r="AB309" i="7" s="1"/>
  <c r="AO309" i="7"/>
  <c r="AP309" i="7" s="1"/>
  <c r="AA220" i="7"/>
  <c r="AO220" i="7"/>
  <c r="AP220" i="7" s="1"/>
  <c r="AQ220" i="7"/>
  <c r="AQ227" i="7"/>
  <c r="AA227" i="7"/>
  <c r="AO227" i="7"/>
  <c r="AP227" i="7" s="1"/>
  <c r="AO4" i="7"/>
  <c r="AP4" i="7" s="1"/>
  <c r="AA4" i="7"/>
  <c r="G15" i="4"/>
  <c r="O5" i="4" s="1"/>
  <c r="AG117" i="7" l="1"/>
  <c r="AH117" i="7" s="1"/>
  <c r="AC95" i="7"/>
  <c r="AI316" i="7"/>
  <c r="AJ316" i="7" s="1"/>
  <c r="AS19" i="16"/>
  <c r="AS218" i="16"/>
  <c r="AE108" i="7"/>
  <c r="AM108" i="7" s="1"/>
  <c r="AS107" i="16"/>
  <c r="AS188" i="16"/>
  <c r="AE164" i="7"/>
  <c r="AM164" i="7" s="1"/>
  <c r="AG40" i="7"/>
  <c r="AH40" i="7" s="1"/>
  <c r="AS25" i="16"/>
  <c r="AS248" i="16"/>
  <c r="AS8" i="16"/>
  <c r="AF8" i="17" s="1"/>
  <c r="AS13" i="16"/>
  <c r="AS14" i="16"/>
  <c r="AS264" i="16"/>
  <c r="AS16" i="16"/>
  <c r="AF16" i="17" s="1"/>
  <c r="AE104" i="7"/>
  <c r="AM104" i="7" s="1"/>
  <c r="AE121" i="7"/>
  <c r="AM121" i="7" s="1"/>
  <c r="AS304" i="16"/>
  <c r="AG227" i="7"/>
  <c r="AH227" i="7" s="1"/>
  <c r="AS40" i="16"/>
  <c r="AS112" i="16"/>
  <c r="AS217" i="16"/>
  <c r="AS41" i="16"/>
  <c r="AS178" i="16"/>
  <c r="AC273" i="7"/>
  <c r="AD273" i="7" s="1"/>
  <c r="AG73" i="7"/>
  <c r="AH73" i="7" s="1"/>
  <c r="AS166" i="16"/>
  <c r="AE197" i="7"/>
  <c r="AM197" i="7" s="1"/>
  <c r="AS247" i="16"/>
  <c r="AS246" i="16"/>
  <c r="AG250" i="7"/>
  <c r="AH250" i="7" s="1"/>
  <c r="AG309" i="7"/>
  <c r="AH309" i="7" s="1"/>
  <c r="AS158" i="16"/>
  <c r="AS274" i="16"/>
  <c r="AS170" i="16"/>
  <c r="AS111" i="16"/>
  <c r="AS66" i="16"/>
  <c r="AS299" i="16"/>
  <c r="AS219" i="16"/>
  <c r="AK95" i="7"/>
  <c r="AC105" i="7"/>
  <c r="AD105" i="7" s="1"/>
  <c r="AS106" i="16"/>
  <c r="AS46" i="16"/>
  <c r="AS265" i="16"/>
  <c r="AS142" i="16"/>
  <c r="AG319" i="7"/>
  <c r="AH319" i="7" s="1"/>
  <c r="AS258" i="16"/>
  <c r="AG201" i="7"/>
  <c r="AH201" i="7" s="1"/>
  <c r="AS239" i="16"/>
  <c r="AS133" i="16"/>
  <c r="AS311" i="16"/>
  <c r="AS186" i="16"/>
  <c r="AS52" i="16"/>
  <c r="AL309" i="7"/>
  <c r="AS110" i="16"/>
  <c r="AS172" i="16"/>
  <c r="AS214" i="16"/>
  <c r="AS319" i="16"/>
  <c r="AG108" i="7"/>
  <c r="AH108" i="7" s="1"/>
  <c r="AS119" i="16"/>
  <c r="AS256" i="16"/>
  <c r="AS67" i="16"/>
  <c r="AG202" i="7"/>
  <c r="AH202" i="7" s="1"/>
  <c r="AS280" i="16"/>
  <c r="AI161" i="7"/>
  <c r="AJ161" i="7" s="1"/>
  <c r="AG311" i="7"/>
  <c r="AH311" i="7" s="1"/>
  <c r="AG103" i="7"/>
  <c r="AH103" i="7" s="1"/>
  <c r="AS62" i="16"/>
  <c r="AS144" i="16"/>
  <c r="AC79" i="7"/>
  <c r="AD79" i="7" s="1"/>
  <c r="AL79" i="7" s="1"/>
  <c r="AS252" i="16"/>
  <c r="AS126" i="16"/>
  <c r="AC60" i="7"/>
  <c r="AD60" i="7" s="1"/>
  <c r="AL60" i="7" s="1"/>
  <c r="AE219" i="7"/>
  <c r="AM219" i="7" s="1"/>
  <c r="AS177" i="16"/>
  <c r="AI286" i="7"/>
  <c r="AJ286" i="7" s="1"/>
  <c r="AE314" i="7"/>
  <c r="AM314" i="7" s="1"/>
  <c r="AG170" i="7"/>
  <c r="AH170" i="7" s="1"/>
  <c r="AG318" i="7"/>
  <c r="AH318" i="7" s="1"/>
  <c r="AG264" i="7"/>
  <c r="AH264" i="7" s="1"/>
  <c r="AI133" i="7"/>
  <c r="AJ133" i="7" s="1"/>
  <c r="AG58" i="7"/>
  <c r="AH58" i="7" s="1"/>
  <c r="AC159" i="7"/>
  <c r="AD159" i="7" s="1"/>
  <c r="AS9" i="16"/>
  <c r="AF9" i="17" s="1"/>
  <c r="AS306" i="16"/>
  <c r="AS190" i="16"/>
  <c r="AS316" i="16"/>
  <c r="AS255" i="16"/>
  <c r="AG238" i="7"/>
  <c r="AH238" i="7" s="1"/>
  <c r="AS269" i="16"/>
  <c r="AS322" i="16"/>
  <c r="AS48" i="16"/>
  <c r="AS39" i="16"/>
  <c r="AE318" i="7"/>
  <c r="AM318" i="7" s="1"/>
  <c r="AS187" i="16"/>
  <c r="AS125" i="16"/>
  <c r="AC37" i="7"/>
  <c r="AD37" i="7" s="1"/>
  <c r="AS99" i="16"/>
  <c r="AC272" i="7"/>
  <c r="AD272" i="7" s="1"/>
  <c r="AC197" i="7"/>
  <c r="AD197" i="7" s="1"/>
  <c r="AS216" i="16"/>
  <c r="AC123" i="7"/>
  <c r="AD123" i="7" s="1"/>
  <c r="AS180" i="16"/>
  <c r="AG28" i="7"/>
  <c r="AH28" i="7" s="1"/>
  <c r="AS11" i="16"/>
  <c r="AF11" i="17" s="1"/>
  <c r="AS17" i="16"/>
  <c r="AF17" i="17" s="1"/>
  <c r="AS124" i="16"/>
  <c r="AS206" i="16"/>
  <c r="AS146" i="16"/>
  <c r="AS224" i="16"/>
  <c r="AS226" i="16"/>
  <c r="AS90" i="16"/>
  <c r="AS295" i="16"/>
  <c r="AS208" i="16"/>
  <c r="AG27" i="7"/>
  <c r="AH27" i="7" s="1"/>
  <c r="AG203" i="7"/>
  <c r="AH203" i="7" s="1"/>
  <c r="AG314" i="7"/>
  <c r="AH314" i="7" s="1"/>
  <c r="AC42" i="7"/>
  <c r="AD42" i="7" s="1"/>
  <c r="AL42" i="7" s="1"/>
  <c r="AG196" i="7"/>
  <c r="AH196" i="7" s="1"/>
  <c r="AE54" i="7"/>
  <c r="AM54" i="7" s="1"/>
  <c r="AS257" i="16"/>
  <c r="AS83" i="16"/>
  <c r="AG158" i="7"/>
  <c r="AH158" i="7" s="1"/>
  <c r="AI126" i="7"/>
  <c r="AJ126" i="7" s="1"/>
  <c r="AS21" i="16"/>
  <c r="AF21" i="17" s="1"/>
  <c r="AS127" i="16"/>
  <c r="AS95" i="16"/>
  <c r="AI101" i="7"/>
  <c r="AJ101" i="7" s="1"/>
  <c r="AS50" i="16"/>
  <c r="AG185" i="7"/>
  <c r="AH185" i="7" s="1"/>
  <c r="AS215" i="16"/>
  <c r="AS40" i="18"/>
  <c r="AC240" i="7"/>
  <c r="AD240" i="7" s="1"/>
  <c r="AS227" i="16"/>
  <c r="AS254" i="16"/>
  <c r="AS261" i="16"/>
  <c r="AS86" i="16"/>
  <c r="AS275" i="16"/>
  <c r="AS43" i="16"/>
  <c r="AS120" i="16"/>
  <c r="AS55" i="18"/>
  <c r="AS279" i="18"/>
  <c r="AS309" i="18"/>
  <c r="AS204" i="18"/>
  <c r="AS282" i="18"/>
  <c r="AS243" i="18"/>
  <c r="AS162" i="16"/>
  <c r="AS196" i="16"/>
  <c r="AS79" i="16"/>
  <c r="AS128" i="16"/>
  <c r="AS143" i="16"/>
  <c r="AS58" i="16"/>
  <c r="AS317" i="18"/>
  <c r="AS46" i="18"/>
  <c r="AS59" i="16"/>
  <c r="AS276" i="16"/>
  <c r="AS294" i="16"/>
  <c r="AS168" i="16"/>
  <c r="AS307" i="18"/>
  <c r="AS88" i="18"/>
  <c r="AS325" i="18"/>
  <c r="AS143" i="18"/>
  <c r="AS23" i="16"/>
  <c r="AF23" i="17" s="1"/>
  <c r="AS184" i="16"/>
  <c r="AS57" i="16"/>
  <c r="AS185" i="16"/>
  <c r="AS162" i="18"/>
  <c r="AS165" i="18"/>
  <c r="AS212" i="16"/>
  <c r="AS300" i="18"/>
  <c r="AS80" i="18"/>
  <c r="AS303" i="16"/>
  <c r="AS104" i="16"/>
  <c r="AS242" i="18"/>
  <c r="AS190" i="18"/>
  <c r="AS13" i="18"/>
  <c r="AF13" i="19" s="1"/>
  <c r="AS52" i="18"/>
  <c r="AS276" i="18"/>
  <c r="AS64" i="18"/>
  <c r="AS15" i="16"/>
  <c r="AF15" i="17" s="1"/>
  <c r="AS221" i="18"/>
  <c r="AS194" i="16"/>
  <c r="AS263" i="16"/>
  <c r="AS266" i="16"/>
  <c r="AS245" i="16"/>
  <c r="AS64" i="16"/>
  <c r="AS136" i="16"/>
  <c r="AS179" i="16"/>
  <c r="AS272" i="16"/>
  <c r="AS318" i="16"/>
  <c r="AS105" i="16"/>
  <c r="AS93" i="16"/>
  <c r="AS325" i="16"/>
  <c r="AS183" i="16"/>
  <c r="AS187" i="18"/>
  <c r="AS89" i="18"/>
  <c r="AS269" i="18"/>
  <c r="AS234" i="16"/>
  <c r="AS35" i="18"/>
  <c r="AF35" i="19" s="1"/>
  <c r="AS106" i="18"/>
  <c r="AS61" i="18"/>
  <c r="AS114" i="18"/>
  <c r="AS20" i="18"/>
  <c r="AF20" i="19" s="1"/>
  <c r="AS189" i="16"/>
  <c r="AS237" i="16"/>
  <c r="AS14" i="18"/>
  <c r="AF14" i="19" s="1"/>
  <c r="AS125" i="18"/>
  <c r="AS290" i="18"/>
  <c r="AS115" i="18"/>
  <c r="AS7" i="18"/>
  <c r="AF7" i="19" s="1"/>
  <c r="AS188" i="18"/>
  <c r="AS140" i="18"/>
  <c r="AS127" i="18"/>
  <c r="AS324" i="18"/>
  <c r="F43" i="13" s="1"/>
  <c r="C14" i="21" s="1"/>
  <c r="AS92" i="18"/>
  <c r="AF25" i="17"/>
  <c r="AF13" i="17"/>
  <c r="AS69" i="18"/>
  <c r="AS51" i="18"/>
  <c r="AS208" i="18"/>
  <c r="AS126" i="18"/>
  <c r="AS212" i="18"/>
  <c r="AS169" i="18"/>
  <c r="AS176" i="18"/>
  <c r="AS292" i="16"/>
  <c r="AF28" i="17"/>
  <c r="AF30" i="17"/>
  <c r="AS304" i="18"/>
  <c r="AS148" i="18"/>
  <c r="AS295" i="18"/>
  <c r="AS205" i="18"/>
  <c r="AS240" i="18"/>
  <c r="AS49" i="18"/>
  <c r="AS298" i="18"/>
  <c r="AS105" i="18"/>
  <c r="AS158" i="18"/>
  <c r="AS123" i="18"/>
  <c r="AS8" i="18"/>
  <c r="AF8" i="19" s="1"/>
  <c r="AF19" i="17"/>
  <c r="AS87" i="16"/>
  <c r="AS179" i="18"/>
  <c r="AS151" i="18"/>
  <c r="AS36" i="18"/>
  <c r="AF36" i="19" s="1"/>
  <c r="AS156" i="18"/>
  <c r="AS218" i="18"/>
  <c r="AS11" i="18"/>
  <c r="AF11" i="19" s="1"/>
  <c r="AF32" i="17"/>
  <c r="AF26" i="17"/>
  <c r="AS280" i="18"/>
  <c r="AS301" i="16"/>
  <c r="AS134" i="16"/>
  <c r="AS50" i="18"/>
  <c r="AS241" i="18"/>
  <c r="AS184" i="18"/>
  <c r="AS230" i="18"/>
  <c r="AF14" i="17"/>
  <c r="AS43" i="18"/>
  <c r="AS303" i="18"/>
  <c r="AL311" i="7"/>
  <c r="AG124" i="7"/>
  <c r="AH124" i="7" s="1"/>
  <c r="AF24" i="17"/>
  <c r="AS228" i="16"/>
  <c r="AS293" i="18"/>
  <c r="AS139" i="18"/>
  <c r="AS45" i="18"/>
  <c r="AS107" i="18"/>
  <c r="AS157" i="18"/>
  <c r="AS251" i="18"/>
  <c r="AS96" i="18"/>
  <c r="AS299" i="18"/>
  <c r="AS117" i="18"/>
  <c r="AS103" i="18"/>
  <c r="AS194" i="18"/>
  <c r="AF22" i="17"/>
  <c r="AF20" i="17"/>
  <c r="AS266" i="18"/>
  <c r="AS48" i="18"/>
  <c r="AS141" i="18"/>
  <c r="AS121" i="18"/>
  <c r="AS253" i="18"/>
  <c r="AS87" i="18"/>
  <c r="AS31" i="18"/>
  <c r="AF31" i="19" s="1"/>
  <c r="AF33" i="17"/>
  <c r="AS18" i="18"/>
  <c r="AF18" i="19" s="1"/>
  <c r="AS34" i="18"/>
  <c r="AF34" i="19" s="1"/>
  <c r="AS145" i="18"/>
  <c r="AS111" i="18"/>
  <c r="AF7" i="17"/>
  <c r="AS191" i="16"/>
  <c r="AS130" i="16"/>
  <c r="AS315" i="18"/>
  <c r="AS77" i="18"/>
  <c r="AS313" i="18"/>
  <c r="AS314" i="18"/>
  <c r="AS283" i="18"/>
  <c r="AS19" i="18"/>
  <c r="AF19" i="19" s="1"/>
  <c r="AS311" i="18"/>
  <c r="AF29" i="17"/>
  <c r="AF4" i="17"/>
  <c r="AS201" i="18"/>
  <c r="AS294" i="18"/>
  <c r="AS248" i="18"/>
  <c r="AS135" i="18"/>
  <c r="AS164" i="18"/>
  <c r="AS254" i="18"/>
  <c r="AS169" i="16"/>
  <c r="AS55" i="16"/>
  <c r="AS315" i="16"/>
  <c r="AS18" i="16"/>
  <c r="AS5" i="16"/>
  <c r="AS145" i="16"/>
  <c r="AS38" i="16"/>
  <c r="AS138" i="16"/>
  <c r="AS176" i="16"/>
  <c r="AS222" i="16"/>
  <c r="AC80" i="7"/>
  <c r="AD80" i="7" s="1"/>
  <c r="AL80" i="7" s="1"/>
  <c r="AS278" i="16"/>
  <c r="AS139" i="16"/>
  <c r="AS154" i="16"/>
  <c r="AS141" i="16"/>
  <c r="AS123" i="16"/>
  <c r="AC254" i="7"/>
  <c r="AD254" i="7" s="1"/>
  <c r="AS161" i="16"/>
  <c r="AC5" i="7"/>
  <c r="AK5" i="7" s="1"/>
  <c r="AS72" i="16"/>
  <c r="AS279" i="16"/>
  <c r="AS122" i="16"/>
  <c r="AS53" i="16"/>
  <c r="AS153" i="16"/>
  <c r="AS96" i="16"/>
  <c r="AS197" i="16"/>
  <c r="AC246" i="7"/>
  <c r="AK246" i="7" s="1"/>
  <c r="AS113" i="16"/>
  <c r="AS70" i="16"/>
  <c r="AS260" i="16"/>
  <c r="AS293" i="16"/>
  <c r="AS56" i="16"/>
  <c r="AS171" i="16"/>
  <c r="AS85" i="16"/>
  <c r="AS149" i="16"/>
  <c r="AS244" i="16"/>
  <c r="AS211" i="16"/>
  <c r="AS300" i="16"/>
  <c r="AS165" i="16"/>
  <c r="AS288" i="16"/>
  <c r="AS209" i="16"/>
  <c r="AS121" i="16"/>
  <c r="AS242" i="16"/>
  <c r="AS118" i="16"/>
  <c r="AS282" i="16"/>
  <c r="AS286" i="16"/>
  <c r="AS81" i="16"/>
  <c r="AS313" i="16"/>
  <c r="AS201" i="16"/>
  <c r="AS47" i="16"/>
  <c r="AS310" i="16"/>
  <c r="AS204" i="16"/>
  <c r="AS323" i="16"/>
  <c r="AS44" i="16"/>
  <c r="AS207" i="16"/>
  <c r="AS80" i="16"/>
  <c r="AS150" i="16"/>
  <c r="AS157" i="16"/>
  <c r="AS213" i="16"/>
  <c r="AS129" i="16"/>
  <c r="AS205" i="16"/>
  <c r="AS65" i="16"/>
  <c r="AS37" i="16"/>
  <c r="AS68" i="16"/>
  <c r="AS82" i="16"/>
  <c r="AS164" i="16"/>
  <c r="AS175" i="16"/>
  <c r="AS250" i="16"/>
  <c r="AS155" i="16"/>
  <c r="AS63" i="16"/>
  <c r="AS243" i="16"/>
  <c r="AS285" i="16"/>
  <c r="AS159" i="16"/>
  <c r="AS181" i="16"/>
  <c r="AS77" i="16"/>
  <c r="AS238" i="16"/>
  <c r="AS173" i="16"/>
  <c r="AS281" i="16"/>
  <c r="AS262" i="16"/>
  <c r="AS163" i="16"/>
  <c r="AS287" i="16"/>
  <c r="AS140" i="16"/>
  <c r="AS151" i="16"/>
  <c r="AS137" i="16"/>
  <c r="AS230" i="16"/>
  <c r="AS160" i="16"/>
  <c r="AS210" i="16"/>
  <c r="AS109" i="16"/>
  <c r="AS231" i="16"/>
  <c r="AS198" i="16"/>
  <c r="AS60" i="16"/>
  <c r="AS273" i="16"/>
  <c r="AS45" i="16"/>
  <c r="AS229" i="16"/>
  <c r="AS88" i="16"/>
  <c r="AS199" i="16"/>
  <c r="AS49" i="16"/>
  <c r="AS200" i="16"/>
  <c r="AS156" i="16"/>
  <c r="AS117" i="16"/>
  <c r="AS61" i="16"/>
  <c r="AS249" i="16"/>
  <c r="AS221" i="16"/>
  <c r="AS147" i="16"/>
  <c r="AS317" i="16"/>
  <c r="AS302" i="16"/>
  <c r="AS98" i="16"/>
  <c r="AS132" i="16"/>
  <c r="AS241" i="16"/>
  <c r="AS115" i="16"/>
  <c r="AS100" i="16"/>
  <c r="AS35" i="16"/>
  <c r="AS232" i="16"/>
  <c r="AS233" i="16"/>
  <c r="AS203" i="16"/>
  <c r="AS289" i="16"/>
  <c r="AS195" i="16"/>
  <c r="AS307" i="16"/>
  <c r="AS116" i="16"/>
  <c r="AS220" i="16"/>
  <c r="AS253" i="16"/>
  <c r="AS308" i="16"/>
  <c r="AS297" i="16"/>
  <c r="AS291" i="16"/>
  <c r="AS202" i="16"/>
  <c r="AS270" i="16"/>
  <c r="AS102" i="16"/>
  <c r="AS312" i="16"/>
  <c r="AS305" i="16"/>
  <c r="AS75" i="16"/>
  <c r="AS10" i="16"/>
  <c r="AS148" i="16"/>
  <c r="AS12" i="16"/>
  <c r="AS268" i="16"/>
  <c r="AS51" i="16"/>
  <c r="AS94" i="16"/>
  <c r="AS320" i="16"/>
  <c r="AS114" i="16"/>
  <c r="AS298" i="16"/>
  <c r="AS76" i="16"/>
  <c r="AS314" i="16"/>
  <c r="AS74" i="16"/>
  <c r="AS36" i="16"/>
  <c r="AS271" i="16"/>
  <c r="AS73" i="16"/>
  <c r="AS131" i="16"/>
  <c r="AS321" i="16"/>
  <c r="AS240" i="16"/>
  <c r="AS78" i="16"/>
  <c r="AS91" i="16"/>
  <c r="AS174" i="16"/>
  <c r="AS135" i="16"/>
  <c r="AS31" i="16"/>
  <c r="AS89" i="16"/>
  <c r="AS54" i="16"/>
  <c r="AS324" i="16"/>
  <c r="AS152" i="16"/>
  <c r="AG193" i="7"/>
  <c r="AH193" i="7" s="1"/>
  <c r="AS97" i="16"/>
  <c r="AS223" i="16"/>
  <c r="AS108" i="16"/>
  <c r="AS309" i="16"/>
  <c r="AS284" i="16"/>
  <c r="AS259" i="16"/>
  <c r="AS225" i="16"/>
  <c r="AS235" i="16"/>
  <c r="AS277" i="16"/>
  <c r="AS42" i="16"/>
  <c r="AS193" i="16"/>
  <c r="AS103" i="16"/>
  <c r="AS283" i="16"/>
  <c r="AS267" i="16"/>
  <c r="AS192" i="16"/>
  <c r="AS101" i="16"/>
  <c r="AS296" i="16"/>
  <c r="AS167" i="16"/>
  <c r="AS6" i="16"/>
  <c r="AS27" i="16"/>
  <c r="AC89" i="7"/>
  <c r="AK89" i="7" s="1"/>
  <c r="AC91" i="7"/>
  <c r="AD91" i="7" s="1"/>
  <c r="AG114" i="7"/>
  <c r="AH114" i="7" s="1"/>
  <c r="AC323" i="7"/>
  <c r="AK323" i="7" s="1"/>
  <c r="AC224" i="7"/>
  <c r="AK224" i="7" s="1"/>
  <c r="AI272" i="7"/>
  <c r="AJ272" i="7" s="1"/>
  <c r="AG160" i="7"/>
  <c r="AH160" i="7" s="1"/>
  <c r="AG268" i="7"/>
  <c r="AH268" i="7" s="1"/>
  <c r="AG259" i="7"/>
  <c r="AH259" i="7" s="1"/>
  <c r="AG90" i="7"/>
  <c r="AH90" i="7" s="1"/>
  <c r="AG142" i="7"/>
  <c r="AH142" i="7" s="1"/>
  <c r="AC188" i="7"/>
  <c r="AD188" i="7" s="1"/>
  <c r="AG251" i="7"/>
  <c r="AH251" i="7" s="1"/>
  <c r="AC144" i="7"/>
  <c r="AD144" i="7" s="1"/>
  <c r="AL238" i="7"/>
  <c r="AG293" i="7"/>
  <c r="AH293" i="7" s="1"/>
  <c r="AG165" i="7"/>
  <c r="AH165" i="7" s="1"/>
  <c r="AG176" i="7"/>
  <c r="AH176" i="7" s="1"/>
  <c r="AG304" i="7"/>
  <c r="AH304" i="7" s="1"/>
  <c r="AC10" i="7"/>
  <c r="AD10" i="7" s="1"/>
  <c r="AI82" i="7"/>
  <c r="AJ82" i="7" s="1"/>
  <c r="AL158" i="7"/>
  <c r="AC26" i="7"/>
  <c r="AK26" i="7" s="1"/>
  <c r="AL105" i="7"/>
  <c r="AL114" i="7"/>
  <c r="AC226" i="7"/>
  <c r="AD226" i="7" s="1"/>
  <c r="AL226" i="7" s="1"/>
  <c r="AG118" i="7"/>
  <c r="AH118" i="7" s="1"/>
  <c r="AC43" i="7"/>
  <c r="AK43" i="7" s="1"/>
  <c r="AE157" i="7"/>
  <c r="AM157" i="7" s="1"/>
  <c r="AL92" i="7"/>
  <c r="AI293" i="7"/>
  <c r="AJ293" i="7" s="1"/>
  <c r="AG92" i="7"/>
  <c r="AH92" i="7" s="1"/>
  <c r="AC276" i="7"/>
  <c r="AD276" i="7" s="1"/>
  <c r="AL118" i="7"/>
  <c r="AC49" i="7"/>
  <c r="AD49" i="7" s="1"/>
  <c r="AL49" i="7" s="1"/>
  <c r="AL176" i="7"/>
  <c r="AL58" i="7"/>
  <c r="AG204" i="7"/>
  <c r="AH204" i="7" s="1"/>
  <c r="AL252" i="7"/>
  <c r="AE9" i="7"/>
  <c r="AM9" i="7" s="1"/>
  <c r="AL210" i="7"/>
  <c r="AC143" i="7"/>
  <c r="AD143" i="7" s="1"/>
  <c r="AL143" i="7" s="1"/>
  <c r="AG252" i="7"/>
  <c r="AH252" i="7" s="1"/>
  <c r="AG210" i="7"/>
  <c r="AH210" i="7" s="1"/>
  <c r="AG121" i="7"/>
  <c r="AH121" i="7" s="1"/>
  <c r="AG231" i="7"/>
  <c r="AH231" i="7" s="1"/>
  <c r="AC228" i="7"/>
  <c r="AD228" i="7" s="1"/>
  <c r="AG125" i="7"/>
  <c r="AH125" i="7" s="1"/>
  <c r="AG243" i="7"/>
  <c r="AH243" i="7" s="1"/>
  <c r="AK103" i="7"/>
  <c r="AG68" i="7"/>
  <c r="AH68" i="7" s="1"/>
  <c r="AL145" i="7"/>
  <c r="AL183" i="7"/>
  <c r="AG145" i="7"/>
  <c r="AH145" i="7" s="1"/>
  <c r="AL250" i="7"/>
  <c r="AC263" i="7"/>
  <c r="AK263" i="7" s="1"/>
  <c r="AK170" i="7"/>
  <c r="AC20" i="7"/>
  <c r="AD20" i="7" s="1"/>
  <c r="AL20" i="7" s="1"/>
  <c r="AC19" i="7"/>
  <c r="AD19" i="7" s="1"/>
  <c r="AG107" i="7"/>
  <c r="AH107" i="7" s="1"/>
  <c r="AC229" i="7"/>
  <c r="AD229" i="7" s="1"/>
  <c r="AL229" i="7" s="1"/>
  <c r="AL203" i="7"/>
  <c r="AG141" i="7"/>
  <c r="AH141" i="7" s="1"/>
  <c r="AL231" i="7"/>
  <c r="AG65" i="7"/>
  <c r="AH65" i="7" s="1"/>
  <c r="AL21" i="7"/>
  <c r="AL185" i="7"/>
  <c r="AE263" i="7"/>
  <c r="AM263" i="7" s="1"/>
  <c r="AF272" i="7"/>
  <c r="AN272" i="7" s="1"/>
  <c r="AF224" i="7"/>
  <c r="AN224" i="7" s="1"/>
  <c r="AF7" i="7"/>
  <c r="AN7" i="7" s="1"/>
  <c r="AE114" i="7"/>
  <c r="AM114" i="7" s="1"/>
  <c r="AF120" i="7"/>
  <c r="AN120" i="7" s="1"/>
  <c r="AI120" i="7"/>
  <c r="AJ120" i="7" s="1"/>
  <c r="AF126" i="7"/>
  <c r="AN126" i="7" s="1"/>
  <c r="AF164" i="7"/>
  <c r="AN164" i="7" s="1"/>
  <c r="AL163" i="7"/>
  <c r="AL202" i="7"/>
  <c r="AL218" i="7"/>
  <c r="AL83" i="7"/>
  <c r="AL108" i="7"/>
  <c r="AL292" i="7"/>
  <c r="AL12" i="7"/>
  <c r="AL182" i="7"/>
  <c r="AL47" i="7"/>
  <c r="AL131" i="7"/>
  <c r="AG64" i="7"/>
  <c r="AH64" i="7" s="1"/>
  <c r="AG131" i="7"/>
  <c r="AH131" i="7" s="1"/>
  <c r="AL318" i="7"/>
  <c r="AG267" i="7"/>
  <c r="AH267" i="7" s="1"/>
  <c r="AL64" i="7"/>
  <c r="AG74" i="7"/>
  <c r="AH74" i="7" s="1"/>
  <c r="AG292" i="7"/>
  <c r="AH292" i="7" s="1"/>
  <c r="AL267" i="7"/>
  <c r="AG149" i="7"/>
  <c r="AH149" i="7" s="1"/>
  <c r="AL243" i="7"/>
  <c r="AG50" i="7"/>
  <c r="AH50" i="7" s="1"/>
  <c r="AL149" i="7"/>
  <c r="AG70" i="7"/>
  <c r="AH70" i="7" s="1"/>
  <c r="AG119" i="7"/>
  <c r="AH119" i="7" s="1"/>
  <c r="AG166" i="7"/>
  <c r="AH166" i="7" s="1"/>
  <c r="AG234" i="7"/>
  <c r="AH234" i="7" s="1"/>
  <c r="AE144" i="7"/>
  <c r="AM144" i="7" s="1"/>
  <c r="AL74" i="7"/>
  <c r="AG312" i="7"/>
  <c r="AH312" i="7" s="1"/>
  <c r="AF161" i="7"/>
  <c r="AN161" i="7" s="1"/>
  <c r="AG83" i="7"/>
  <c r="AH83" i="7" s="1"/>
  <c r="AF197" i="7"/>
  <c r="AN197" i="7" s="1"/>
  <c r="AF293" i="7"/>
  <c r="AN293" i="7" s="1"/>
  <c r="AG313" i="7"/>
  <c r="AH313" i="7" s="1"/>
  <c r="AG242" i="7"/>
  <c r="AH242" i="7" s="1"/>
  <c r="AL177" i="7"/>
  <c r="AG258" i="7"/>
  <c r="AH258" i="7" s="1"/>
  <c r="AL139" i="7"/>
  <c r="AL13" i="7"/>
  <c r="AF133" i="7"/>
  <c r="AN133" i="7" s="1"/>
  <c r="AG161" i="7"/>
  <c r="AH161" i="7" s="1"/>
  <c r="AL284" i="7"/>
  <c r="AG6" i="7"/>
  <c r="AH6" i="7" s="1"/>
  <c r="AF108" i="7"/>
  <c r="AN108" i="7" s="1"/>
  <c r="AG186" i="7"/>
  <c r="AH186" i="7" s="1"/>
  <c r="AG218" i="7"/>
  <c r="AH218" i="7" s="1"/>
  <c r="AL50" i="7"/>
  <c r="AD70" i="7"/>
  <c r="AF264" i="7"/>
  <c r="AN264" i="7" s="1"/>
  <c r="AG21" i="7"/>
  <c r="AH21" i="7" s="1"/>
  <c r="AD103" i="7"/>
  <c r="AG278" i="7"/>
  <c r="AH278" i="7" s="1"/>
  <c r="AC128" i="7"/>
  <c r="AG128" i="7"/>
  <c r="AH128" i="7" s="1"/>
  <c r="AB189" i="7"/>
  <c r="AC148" i="7"/>
  <c r="AD148" i="7" s="1"/>
  <c r="AI111" i="7"/>
  <c r="AJ111" i="7" s="1"/>
  <c r="AE111" i="7"/>
  <c r="AM111" i="7" s="1"/>
  <c r="AE63" i="7"/>
  <c r="AM63" i="7" s="1"/>
  <c r="AI63" i="7"/>
  <c r="AJ63" i="7" s="1"/>
  <c r="AG75" i="7"/>
  <c r="AH75" i="7" s="1"/>
  <c r="AC75" i="7"/>
  <c r="AD75" i="7" s="1"/>
  <c r="AL75" i="7" s="1"/>
  <c r="AE102" i="7"/>
  <c r="AM102" i="7" s="1"/>
  <c r="AI102" i="7"/>
  <c r="AJ102" i="7" s="1"/>
  <c r="AI251" i="7"/>
  <c r="AJ251" i="7" s="1"/>
  <c r="AE251" i="7"/>
  <c r="AM251" i="7" s="1"/>
  <c r="AE295" i="7"/>
  <c r="AM295" i="7" s="1"/>
  <c r="AI295" i="7"/>
  <c r="AJ295" i="7" s="1"/>
  <c r="AC133" i="7"/>
  <c r="AD133" i="7" s="1"/>
  <c r="AB201" i="7"/>
  <c r="AL201" i="7" s="1"/>
  <c r="AG100" i="7"/>
  <c r="AH100" i="7" s="1"/>
  <c r="AG72" i="7"/>
  <c r="AH72" i="7" s="1"/>
  <c r="AC72" i="7"/>
  <c r="AD72" i="7" s="1"/>
  <c r="AE184" i="7"/>
  <c r="AM184" i="7" s="1"/>
  <c r="AI184" i="7"/>
  <c r="AJ184" i="7" s="1"/>
  <c r="AE124" i="7"/>
  <c r="AM124" i="7" s="1"/>
  <c r="AI124" i="7"/>
  <c r="AJ124" i="7" s="1"/>
  <c r="AE273" i="7"/>
  <c r="AM273" i="7" s="1"/>
  <c r="AI273" i="7"/>
  <c r="AJ273" i="7" s="1"/>
  <c r="AG147" i="7"/>
  <c r="AH147" i="7" s="1"/>
  <c r="AC147" i="7"/>
  <c r="AB270" i="7"/>
  <c r="AI247" i="7"/>
  <c r="AJ247" i="7" s="1"/>
  <c r="AE247" i="7"/>
  <c r="AM247" i="7" s="1"/>
  <c r="AE110" i="7"/>
  <c r="AM110" i="7" s="1"/>
  <c r="AI110" i="7"/>
  <c r="AJ110" i="7" s="1"/>
  <c r="AI43" i="7"/>
  <c r="AJ43" i="7" s="1"/>
  <c r="AE43" i="7"/>
  <c r="AM43" i="7" s="1"/>
  <c r="AI119" i="7"/>
  <c r="AJ119" i="7" s="1"/>
  <c r="AE119" i="7"/>
  <c r="AM119" i="7" s="1"/>
  <c r="AE52" i="7"/>
  <c r="AM52" i="7" s="1"/>
  <c r="AI52" i="7"/>
  <c r="AJ52" i="7" s="1"/>
  <c r="AC52" i="7"/>
  <c r="AD52" i="7" s="1"/>
  <c r="AB73" i="7"/>
  <c r="AL73" i="7" s="1"/>
  <c r="AK73" i="7"/>
  <c r="AB194" i="7"/>
  <c r="AB55" i="7"/>
  <c r="AB170" i="7"/>
  <c r="AB85" i="7"/>
  <c r="AC215" i="7"/>
  <c r="AD215" i="7" s="1"/>
  <c r="AK166" i="7"/>
  <c r="AK278" i="7"/>
  <c r="AG219" i="7"/>
  <c r="AH219" i="7" s="1"/>
  <c r="AE5" i="7"/>
  <c r="AF5" i="7" s="1"/>
  <c r="AN5" i="7" s="1"/>
  <c r="AI5" i="7"/>
  <c r="AJ5" i="7" s="1"/>
  <c r="AE287" i="7"/>
  <c r="AM287" i="7" s="1"/>
  <c r="AI287" i="7"/>
  <c r="AJ287" i="7" s="1"/>
  <c r="AK231" i="7"/>
  <c r="AE213" i="7"/>
  <c r="AM213" i="7" s="1"/>
  <c r="AI213" i="7"/>
  <c r="AJ213" i="7" s="1"/>
  <c r="AK202" i="7"/>
  <c r="AE216" i="7"/>
  <c r="AM216" i="7" s="1"/>
  <c r="AI216" i="7"/>
  <c r="AJ216" i="7" s="1"/>
  <c r="AE260" i="7"/>
  <c r="AM260" i="7" s="1"/>
  <c r="AI260" i="7"/>
  <c r="AJ260" i="7" s="1"/>
  <c r="AG257" i="7"/>
  <c r="AH257" i="7" s="1"/>
  <c r="AG98" i="7"/>
  <c r="AH98" i="7" s="1"/>
  <c r="AC98" i="7"/>
  <c r="AK98" i="7" s="1"/>
  <c r="AE261" i="7"/>
  <c r="AM261" i="7" s="1"/>
  <c r="AI261" i="7"/>
  <c r="AJ261" i="7" s="1"/>
  <c r="AE92" i="7"/>
  <c r="AM92" i="7" s="1"/>
  <c r="AI92" i="7"/>
  <c r="AJ92" i="7" s="1"/>
  <c r="AK210" i="7"/>
  <c r="AI35" i="7"/>
  <c r="AJ35" i="7" s="1"/>
  <c r="AE35" i="7"/>
  <c r="AM35" i="7" s="1"/>
  <c r="AC36" i="7"/>
  <c r="AB37" i="7"/>
  <c r="AG262" i="7"/>
  <c r="AH262" i="7" s="1"/>
  <c r="AI150" i="7"/>
  <c r="AJ150" i="7" s="1"/>
  <c r="AE150" i="7"/>
  <c r="AM150" i="7" s="1"/>
  <c r="AK15" i="7"/>
  <c r="AE230" i="7"/>
  <c r="AM230" i="7" s="1"/>
  <c r="AI230" i="7"/>
  <c r="AJ230" i="7" s="1"/>
  <c r="AB98" i="7"/>
  <c r="AC162" i="7"/>
  <c r="AK162" i="7" s="1"/>
  <c r="AE88" i="7"/>
  <c r="AM88" i="7" s="1"/>
  <c r="AI88" i="7"/>
  <c r="AJ88" i="7" s="1"/>
  <c r="AE105" i="7"/>
  <c r="AM105" i="7" s="1"/>
  <c r="AI105" i="7"/>
  <c r="AJ105" i="7" s="1"/>
  <c r="AK124" i="7"/>
  <c r="AC230" i="7"/>
  <c r="AK230" i="7" s="1"/>
  <c r="AB40" i="7"/>
  <c r="AL40" i="7" s="1"/>
  <c r="AK40" i="7"/>
  <c r="AG138" i="7"/>
  <c r="AH138" i="7" s="1"/>
  <c r="AC138" i="7"/>
  <c r="AD138" i="7" s="1"/>
  <c r="AL138" i="7" s="1"/>
  <c r="AI239" i="7"/>
  <c r="AJ239" i="7" s="1"/>
  <c r="AE239" i="7"/>
  <c r="AM239" i="7" s="1"/>
  <c r="AB38" i="7"/>
  <c r="AE215" i="7"/>
  <c r="AM215" i="7" s="1"/>
  <c r="AI215" i="7"/>
  <c r="AJ215" i="7" s="1"/>
  <c r="AE165" i="7"/>
  <c r="AM165" i="7" s="1"/>
  <c r="AI165" i="7"/>
  <c r="AJ165" i="7" s="1"/>
  <c r="AK238" i="7"/>
  <c r="AI95" i="7"/>
  <c r="AJ95" i="7" s="1"/>
  <c r="AE95" i="7"/>
  <c r="AM95" i="7" s="1"/>
  <c r="AG129" i="7"/>
  <c r="AH129" i="7" s="1"/>
  <c r="AC129" i="7"/>
  <c r="AK129" i="7" s="1"/>
  <c r="AL25" i="7"/>
  <c r="AI155" i="7"/>
  <c r="AJ155" i="7" s="1"/>
  <c r="AE155" i="7"/>
  <c r="AM155" i="7" s="1"/>
  <c r="AE232" i="7"/>
  <c r="AM232" i="7" s="1"/>
  <c r="AI232" i="7"/>
  <c r="AJ232" i="7" s="1"/>
  <c r="AG112" i="7"/>
  <c r="AH112" i="7" s="1"/>
  <c r="AC112" i="7"/>
  <c r="AK112" i="7" s="1"/>
  <c r="AI250" i="7"/>
  <c r="AJ250" i="7" s="1"/>
  <c r="AE250" i="7"/>
  <c r="AM250" i="7" s="1"/>
  <c r="AL259" i="7"/>
  <c r="AI27" i="7"/>
  <c r="AJ27" i="7" s="1"/>
  <c r="AE27" i="7"/>
  <c r="AM27" i="7" s="1"/>
  <c r="AC288" i="7"/>
  <c r="AK288" i="7" s="1"/>
  <c r="AE202" i="7"/>
  <c r="AM202" i="7" s="1"/>
  <c r="AI202" i="7"/>
  <c r="AJ202" i="7" s="1"/>
  <c r="AK28" i="7"/>
  <c r="AG52" i="7"/>
  <c r="AH52" i="7" s="1"/>
  <c r="AE319" i="7"/>
  <c r="AM319" i="7" s="1"/>
  <c r="AI319" i="7"/>
  <c r="AJ319" i="7" s="1"/>
  <c r="AE209" i="7"/>
  <c r="AM209" i="7" s="1"/>
  <c r="AI209" i="7"/>
  <c r="AJ209" i="7" s="1"/>
  <c r="AL57" i="7"/>
  <c r="AK161" i="7"/>
  <c r="AE223" i="7"/>
  <c r="AM223" i="7" s="1"/>
  <c r="AI223" i="7"/>
  <c r="AJ223" i="7" s="1"/>
  <c r="AB242" i="7"/>
  <c r="AL242" i="7" s="1"/>
  <c r="AK242" i="7"/>
  <c r="AB312" i="7"/>
  <c r="AL312" i="7" s="1"/>
  <c r="AK312" i="7"/>
  <c r="AE277" i="7"/>
  <c r="AM277" i="7" s="1"/>
  <c r="AI277" i="7"/>
  <c r="AJ277" i="7" s="1"/>
  <c r="AG290" i="7"/>
  <c r="AH290" i="7" s="1"/>
  <c r="AE208" i="7"/>
  <c r="AM208" i="7" s="1"/>
  <c r="AI208" i="7"/>
  <c r="AJ208" i="7" s="1"/>
  <c r="AL106" i="7"/>
  <c r="AI288" i="7"/>
  <c r="AJ288" i="7" s="1"/>
  <c r="AE288" i="7"/>
  <c r="AM288" i="7" s="1"/>
  <c r="AC321" i="7"/>
  <c r="AK321" i="7" s="1"/>
  <c r="AK83" i="7"/>
  <c r="AB43" i="7"/>
  <c r="AG291" i="7"/>
  <c r="AH291" i="7" s="1"/>
  <c r="AE312" i="7"/>
  <c r="AM312" i="7" s="1"/>
  <c r="AI312" i="7"/>
  <c r="AJ312" i="7" s="1"/>
  <c r="AG310" i="7"/>
  <c r="AH310" i="7" s="1"/>
  <c r="AK74" i="7"/>
  <c r="AE185" i="7"/>
  <c r="AM185" i="7" s="1"/>
  <c r="AI185" i="7"/>
  <c r="AJ185" i="7" s="1"/>
  <c r="AE143" i="7"/>
  <c r="AM143" i="7" s="1"/>
  <c r="AI143" i="7"/>
  <c r="AJ143" i="7" s="1"/>
  <c r="AC32" i="7"/>
  <c r="AK32" i="7" s="1"/>
  <c r="AK203" i="7"/>
  <c r="AE303" i="7"/>
  <c r="AM303" i="7" s="1"/>
  <c r="AI303" i="7"/>
  <c r="AJ303" i="7" s="1"/>
  <c r="AC249" i="7"/>
  <c r="AG249" i="7"/>
  <c r="AH249" i="7" s="1"/>
  <c r="AB51" i="7"/>
  <c r="AE69" i="7"/>
  <c r="AM69" i="7" s="1"/>
  <c r="AI69" i="7"/>
  <c r="AJ69" i="7" s="1"/>
  <c r="AE154" i="7"/>
  <c r="AM154" i="7" s="1"/>
  <c r="AI154" i="7"/>
  <c r="AJ154" i="7" s="1"/>
  <c r="AE87" i="7"/>
  <c r="AM87" i="7" s="1"/>
  <c r="AI87" i="7"/>
  <c r="AJ87" i="7" s="1"/>
  <c r="AG230" i="7"/>
  <c r="AH230" i="7" s="1"/>
  <c r="AB135" i="7"/>
  <c r="AE315" i="7"/>
  <c r="AM315" i="7" s="1"/>
  <c r="AI315" i="7"/>
  <c r="AJ315" i="7" s="1"/>
  <c r="AE284" i="7"/>
  <c r="AM284" i="7" s="1"/>
  <c r="AI284" i="7"/>
  <c r="AJ284" i="7" s="1"/>
  <c r="AB90" i="7"/>
  <c r="AL90" i="7" s="1"/>
  <c r="AK90" i="7"/>
  <c r="AB33" i="7"/>
  <c r="AL33" i="7" s="1"/>
  <c r="AK33" i="7"/>
  <c r="AC174" i="7"/>
  <c r="AD174" i="7" s="1"/>
  <c r="AL174" i="7" s="1"/>
  <c r="AI212" i="7"/>
  <c r="AJ212" i="7" s="1"/>
  <c r="AE212" i="7"/>
  <c r="AM212" i="7" s="1"/>
  <c r="AB266" i="7"/>
  <c r="AL266" i="7" s="1"/>
  <c r="AK266" i="7"/>
  <c r="AB9" i="7"/>
  <c r="AC84" i="7"/>
  <c r="AD84" i="7" s="1"/>
  <c r="AL84" i="7" s="1"/>
  <c r="AE39" i="7"/>
  <c r="AM39" i="7" s="1"/>
  <c r="AI39" i="7"/>
  <c r="AJ39" i="7" s="1"/>
  <c r="AI281" i="7"/>
  <c r="AJ281" i="7" s="1"/>
  <c r="AE281" i="7"/>
  <c r="AM281" i="7" s="1"/>
  <c r="AI240" i="7"/>
  <c r="AJ240" i="7" s="1"/>
  <c r="AE240" i="7"/>
  <c r="AM240" i="7" s="1"/>
  <c r="AC116" i="7"/>
  <c r="AK116" i="7" s="1"/>
  <c r="AB103" i="7"/>
  <c r="AE220" i="7"/>
  <c r="AM220" i="7" s="1"/>
  <c r="AI220" i="7"/>
  <c r="AJ220" i="7" s="1"/>
  <c r="AE297" i="7"/>
  <c r="AM297" i="7" s="1"/>
  <c r="AI297" i="7"/>
  <c r="AJ297" i="7" s="1"/>
  <c r="AC241" i="7"/>
  <c r="AK241" i="7" s="1"/>
  <c r="AC181" i="7"/>
  <c r="AK181" i="7" s="1"/>
  <c r="AB29" i="7"/>
  <c r="AE94" i="7"/>
  <c r="AM94" i="7" s="1"/>
  <c r="AI94" i="7"/>
  <c r="AJ94" i="7" s="1"/>
  <c r="AC76" i="7"/>
  <c r="AG76" i="7"/>
  <c r="AH76" i="7" s="1"/>
  <c r="AK57" i="7"/>
  <c r="AG303" i="7"/>
  <c r="AH303" i="7" s="1"/>
  <c r="AC303" i="7"/>
  <c r="AK303" i="7" s="1"/>
  <c r="AB204" i="7"/>
  <c r="AL204" i="7" s="1"/>
  <c r="AK204" i="7"/>
  <c r="AE173" i="7"/>
  <c r="AM173" i="7" s="1"/>
  <c r="AI173" i="7"/>
  <c r="AJ173" i="7" s="1"/>
  <c r="AC255" i="7"/>
  <c r="AK255" i="7" s="1"/>
  <c r="AC104" i="7"/>
  <c r="AD104" i="7" s="1"/>
  <c r="AL104" i="7" s="1"/>
  <c r="AG104" i="7"/>
  <c r="AH104" i="7" s="1"/>
  <c r="AI221" i="7"/>
  <c r="AJ221" i="7" s="1"/>
  <c r="AE221" i="7"/>
  <c r="AM221" i="7" s="1"/>
  <c r="AL7" i="7"/>
  <c r="AI274" i="7"/>
  <c r="AJ274" i="7" s="1"/>
  <c r="AE274" i="7"/>
  <c r="AM274" i="7" s="1"/>
  <c r="AE253" i="7"/>
  <c r="AM253" i="7" s="1"/>
  <c r="AI253" i="7"/>
  <c r="AJ253" i="7" s="1"/>
  <c r="AB248" i="7"/>
  <c r="AB251" i="7"/>
  <c r="AL251" i="7" s="1"/>
  <c r="AK251" i="7"/>
  <c r="AB86" i="7"/>
  <c r="AB291" i="7"/>
  <c r="AL291" i="7" s="1"/>
  <c r="AK291" i="7"/>
  <c r="AC101" i="7"/>
  <c r="AD101" i="7" s="1"/>
  <c r="AE237" i="7"/>
  <c r="AM237" i="7" s="1"/>
  <c r="AI237" i="7"/>
  <c r="AJ237" i="7" s="1"/>
  <c r="AI76" i="7"/>
  <c r="AJ76" i="7" s="1"/>
  <c r="AE76" i="7"/>
  <c r="AM76" i="7" s="1"/>
  <c r="AE32" i="7"/>
  <c r="AM32" i="7" s="1"/>
  <c r="AI32" i="7"/>
  <c r="AJ32" i="7" s="1"/>
  <c r="AE33" i="7"/>
  <c r="AM33" i="7" s="1"/>
  <c r="AI33" i="7"/>
  <c r="AJ33" i="7" s="1"/>
  <c r="AE127" i="7"/>
  <c r="AM127" i="7" s="1"/>
  <c r="AI127" i="7"/>
  <c r="AJ127" i="7" s="1"/>
  <c r="AB193" i="7"/>
  <c r="AL193" i="7" s="1"/>
  <c r="AK193" i="7"/>
  <c r="AL169" i="7"/>
  <c r="AK309" i="7"/>
  <c r="AI26" i="7"/>
  <c r="AJ26" i="7" s="1"/>
  <c r="AE26" i="7"/>
  <c r="AM26" i="7" s="1"/>
  <c r="AB27" i="7"/>
  <c r="AL27" i="7" s="1"/>
  <c r="AK27" i="7"/>
  <c r="AC45" i="7"/>
  <c r="AK45" i="7" s="1"/>
  <c r="AI192" i="7"/>
  <c r="AJ192" i="7" s="1"/>
  <c r="AE192" i="7"/>
  <c r="AM192" i="7" s="1"/>
  <c r="AB53" i="7"/>
  <c r="AB188" i="7"/>
  <c r="AB142" i="7"/>
  <c r="AL142" i="7" s="1"/>
  <c r="AK142" i="7"/>
  <c r="AI201" i="7"/>
  <c r="AJ201" i="7" s="1"/>
  <c r="AE201" i="7"/>
  <c r="AM201" i="7" s="1"/>
  <c r="AB46" i="7"/>
  <c r="AK259" i="7"/>
  <c r="AC180" i="7"/>
  <c r="AK180" i="7" s="1"/>
  <c r="AI147" i="7"/>
  <c r="AJ147" i="7" s="1"/>
  <c r="AE147" i="7"/>
  <c r="AM147" i="7" s="1"/>
  <c r="AE265" i="7"/>
  <c r="AM265" i="7" s="1"/>
  <c r="AI265" i="7"/>
  <c r="AJ265" i="7" s="1"/>
  <c r="AG198" i="7"/>
  <c r="AH198" i="7" s="1"/>
  <c r="AC198" i="7"/>
  <c r="AK198" i="7" s="1"/>
  <c r="AB228" i="7"/>
  <c r="AG59" i="7"/>
  <c r="AH59" i="7" s="1"/>
  <c r="AC59" i="7"/>
  <c r="AD59" i="7" s="1"/>
  <c r="AE48" i="7"/>
  <c r="AI48" i="7"/>
  <c r="AJ48" i="7" s="1"/>
  <c r="AC81" i="7"/>
  <c r="AD81" i="7" s="1"/>
  <c r="AB230" i="7"/>
  <c r="AD170" i="7"/>
  <c r="AE306" i="7"/>
  <c r="AM306" i="7" s="1"/>
  <c r="AI306" i="7"/>
  <c r="AJ306" i="7" s="1"/>
  <c r="AI183" i="7"/>
  <c r="AJ183" i="7" s="1"/>
  <c r="AE183" i="7"/>
  <c r="AM183" i="7" s="1"/>
  <c r="AG163" i="7"/>
  <c r="AH163" i="7" s="1"/>
  <c r="AB162" i="7"/>
  <c r="AK131" i="7"/>
  <c r="AB295" i="7"/>
  <c r="AG88" i="7"/>
  <c r="AH88" i="7" s="1"/>
  <c r="AC88" i="7"/>
  <c r="AD88" i="7" s="1"/>
  <c r="AC41" i="7"/>
  <c r="AK41" i="7" s="1"/>
  <c r="AG32" i="7"/>
  <c r="AH32" i="7" s="1"/>
  <c r="AG266" i="7"/>
  <c r="AH266" i="7" s="1"/>
  <c r="AC275" i="7"/>
  <c r="AK275" i="7" s="1"/>
  <c r="AC195" i="7"/>
  <c r="AK195" i="7" s="1"/>
  <c r="AK176" i="7"/>
  <c r="AC286" i="7"/>
  <c r="AK286" i="7" s="1"/>
  <c r="AG134" i="7"/>
  <c r="AH134" i="7" s="1"/>
  <c r="AB323" i="7"/>
  <c r="AB26" i="7"/>
  <c r="AE243" i="7"/>
  <c r="AM243" i="7" s="1"/>
  <c r="AI243" i="7"/>
  <c r="AJ243" i="7" s="1"/>
  <c r="AB52" i="7"/>
  <c r="AK58" i="7"/>
  <c r="AG57" i="7"/>
  <c r="AH57" i="7" s="1"/>
  <c r="AG30" i="7"/>
  <c r="AH30" i="7" s="1"/>
  <c r="AB161" i="7"/>
  <c r="AL161" i="7" s="1"/>
  <c r="AE12" i="7"/>
  <c r="AM12" i="7" s="1"/>
  <c r="AI12" i="7"/>
  <c r="AJ12" i="7" s="1"/>
  <c r="AK317" i="7"/>
  <c r="AC324" i="7"/>
  <c r="AE113" i="7"/>
  <c r="AM113" i="7" s="1"/>
  <c r="AI113" i="7"/>
  <c r="AJ113" i="7" s="1"/>
  <c r="AB305" i="7"/>
  <c r="AG154" i="7"/>
  <c r="AH154" i="7" s="1"/>
  <c r="AB290" i="7"/>
  <c r="AL290" i="7" s="1"/>
  <c r="AK290" i="7"/>
  <c r="AG39" i="7"/>
  <c r="AH39" i="7" s="1"/>
  <c r="AC39" i="7"/>
  <c r="AK39" i="7" s="1"/>
  <c r="AK106" i="7"/>
  <c r="AE74" i="7"/>
  <c r="AM74" i="7" s="1"/>
  <c r="AI74" i="7"/>
  <c r="AJ74" i="7" s="1"/>
  <c r="AE285" i="7"/>
  <c r="AM285" i="7" s="1"/>
  <c r="AI285" i="7"/>
  <c r="AJ285" i="7" s="1"/>
  <c r="AC295" i="7"/>
  <c r="AK295" i="7" s="1"/>
  <c r="AI65" i="7"/>
  <c r="AJ65" i="7" s="1"/>
  <c r="AE65" i="7"/>
  <c r="AM65" i="7" s="1"/>
  <c r="AK70" i="7"/>
  <c r="AC184" i="7"/>
  <c r="AK184" i="7" s="1"/>
  <c r="AB70" i="7"/>
  <c r="AC189" i="7"/>
  <c r="AK189" i="7" s="1"/>
  <c r="AB141" i="7"/>
  <c r="AL141" i="7" s="1"/>
  <c r="AK141" i="7"/>
  <c r="AI6" i="7"/>
  <c r="AJ6" i="7" s="1"/>
  <c r="AE6" i="7"/>
  <c r="AM6" i="7" s="1"/>
  <c r="AB268" i="7"/>
  <c r="AL268" i="7" s="1"/>
  <c r="AK268" i="7"/>
  <c r="AC217" i="7"/>
  <c r="AK217" i="7" s="1"/>
  <c r="AE176" i="7"/>
  <c r="AM176" i="7" s="1"/>
  <c r="AI176" i="7"/>
  <c r="AJ176" i="7" s="1"/>
  <c r="AE180" i="7"/>
  <c r="AM180" i="7" s="1"/>
  <c r="AI180" i="7"/>
  <c r="AJ180" i="7" s="1"/>
  <c r="AB119" i="7"/>
  <c r="AL119" i="7" s="1"/>
  <c r="AK119" i="7"/>
  <c r="AK169" i="7"/>
  <c r="AI98" i="7"/>
  <c r="AJ98" i="7" s="1"/>
  <c r="AE98" i="7"/>
  <c r="AM98" i="7" s="1"/>
  <c r="AE71" i="7"/>
  <c r="AM71" i="7" s="1"/>
  <c r="AI71" i="7"/>
  <c r="AJ71" i="7" s="1"/>
  <c r="AC135" i="7"/>
  <c r="AK135" i="7" s="1"/>
  <c r="AC78" i="7"/>
  <c r="AK78" i="7" s="1"/>
  <c r="AI8" i="7"/>
  <c r="AJ8" i="7" s="1"/>
  <c r="AE8" i="7"/>
  <c r="AM8" i="7" s="1"/>
  <c r="AI245" i="7"/>
  <c r="AJ245" i="7" s="1"/>
  <c r="AE245" i="7"/>
  <c r="AM245" i="7" s="1"/>
  <c r="AI45" i="7"/>
  <c r="AJ45" i="7" s="1"/>
  <c r="AE45" i="7"/>
  <c r="AM45" i="7" s="1"/>
  <c r="AB44" i="7"/>
  <c r="AL44" i="7" s="1"/>
  <c r="AK44" i="7"/>
  <c r="AE289" i="7"/>
  <c r="AM289" i="7" s="1"/>
  <c r="AI289" i="7"/>
  <c r="AJ289" i="7" s="1"/>
  <c r="AB272" i="7"/>
  <c r="AL191" i="7"/>
  <c r="AG284" i="7"/>
  <c r="AH284" i="7" s="1"/>
  <c r="AE187" i="7"/>
  <c r="AM187" i="7" s="1"/>
  <c r="AI187" i="7"/>
  <c r="AJ187" i="7" s="1"/>
  <c r="AB205" i="7"/>
  <c r="AE47" i="7"/>
  <c r="AM47" i="7" s="1"/>
  <c r="AI47" i="7"/>
  <c r="AJ47" i="7" s="1"/>
  <c r="AE149" i="7"/>
  <c r="AM149" i="7" s="1"/>
  <c r="AI149" i="7"/>
  <c r="AJ149" i="7" s="1"/>
  <c r="AK163" i="7"/>
  <c r="AE236" i="7"/>
  <c r="AM236" i="7" s="1"/>
  <c r="AI236" i="7"/>
  <c r="AJ236" i="7" s="1"/>
  <c r="AE125" i="7"/>
  <c r="AM125" i="7" s="1"/>
  <c r="AI125" i="7"/>
  <c r="AJ125" i="7" s="1"/>
  <c r="AC56" i="7"/>
  <c r="AK56" i="7" s="1"/>
  <c r="AG265" i="7"/>
  <c r="AH265" i="7" s="1"/>
  <c r="AC265" i="7"/>
  <c r="AK265" i="7" s="1"/>
  <c r="AE21" i="7"/>
  <c r="AM21" i="7" s="1"/>
  <c r="AI21" i="7"/>
  <c r="AJ21" i="7" s="1"/>
  <c r="AC271" i="7"/>
  <c r="AK271" i="7" s="1"/>
  <c r="AC247" i="7"/>
  <c r="AK247" i="7" s="1"/>
  <c r="AE23" i="7"/>
  <c r="AM23" i="7" s="1"/>
  <c r="AI23" i="7"/>
  <c r="AJ23" i="7" s="1"/>
  <c r="AK145" i="7"/>
  <c r="AI325" i="7"/>
  <c r="AJ325" i="7" s="1"/>
  <c r="AE325" i="7"/>
  <c r="AM325" i="7" s="1"/>
  <c r="AK25" i="7"/>
  <c r="AC155" i="7"/>
  <c r="AK155" i="7" s="1"/>
  <c r="AG155" i="7"/>
  <c r="AH155" i="7" s="1"/>
  <c r="AB179" i="7"/>
  <c r="AB279" i="7"/>
  <c r="AB208" i="7"/>
  <c r="AE166" i="7"/>
  <c r="AM166" i="7" s="1"/>
  <c r="AI166" i="7"/>
  <c r="AJ166" i="7" s="1"/>
  <c r="AB30" i="7"/>
  <c r="AL30" i="7" s="1"/>
  <c r="AK30" i="7"/>
  <c r="AE235" i="7"/>
  <c r="AM235" i="7" s="1"/>
  <c r="AI235" i="7"/>
  <c r="AJ235" i="7" s="1"/>
  <c r="AB156" i="7"/>
  <c r="AL156" i="7" s="1"/>
  <c r="AK156" i="7"/>
  <c r="AG77" i="7"/>
  <c r="AH77" i="7" s="1"/>
  <c r="AG317" i="7"/>
  <c r="AH317" i="7" s="1"/>
  <c r="AI158" i="7"/>
  <c r="AJ158" i="7" s="1"/>
  <c r="AE158" i="7"/>
  <c r="AM158" i="7" s="1"/>
  <c r="AG56" i="7"/>
  <c r="AH56" i="7" s="1"/>
  <c r="AE196" i="7"/>
  <c r="AM196" i="7" s="1"/>
  <c r="AI196" i="7"/>
  <c r="AJ196" i="7" s="1"/>
  <c r="AB154" i="7"/>
  <c r="AL154" i="7" s="1"/>
  <c r="AK154" i="7"/>
  <c r="AC232" i="7"/>
  <c r="AD232" i="7" s="1"/>
  <c r="AL232" i="7" s="1"/>
  <c r="AC151" i="7"/>
  <c r="AK151" i="7" s="1"/>
  <c r="AG321" i="7"/>
  <c r="AH321" i="7" s="1"/>
  <c r="AC178" i="7"/>
  <c r="AK178" i="7" s="1"/>
  <c r="AG151" i="7"/>
  <c r="AH151" i="7" s="1"/>
  <c r="AI254" i="7"/>
  <c r="AJ254" i="7" s="1"/>
  <c r="AE254" i="7"/>
  <c r="AM254" i="7" s="1"/>
  <c r="AB82" i="7"/>
  <c r="AL82" i="7" s="1"/>
  <c r="AK82" i="7"/>
  <c r="AE283" i="7"/>
  <c r="AM283" i="7" s="1"/>
  <c r="AI283" i="7"/>
  <c r="AJ283" i="7" s="1"/>
  <c r="AC54" i="7"/>
  <c r="AK54" i="7" s="1"/>
  <c r="AC85" i="7"/>
  <c r="AD85" i="7" s="1"/>
  <c r="AB310" i="7"/>
  <c r="AL310" i="7" s="1"/>
  <c r="AK310" i="7"/>
  <c r="AE14" i="7"/>
  <c r="AM14" i="7" s="1"/>
  <c r="AI14" i="7"/>
  <c r="AJ14" i="7" s="1"/>
  <c r="AK6" i="7"/>
  <c r="AE309" i="7"/>
  <c r="AM309" i="7" s="1"/>
  <c r="AI309" i="7"/>
  <c r="AJ309" i="7" s="1"/>
  <c r="AE140" i="7"/>
  <c r="AM140" i="7" s="1"/>
  <c r="AI140" i="7"/>
  <c r="AJ140" i="7" s="1"/>
  <c r="AE72" i="7"/>
  <c r="AM72" i="7" s="1"/>
  <c r="AI72" i="7"/>
  <c r="AJ72" i="7" s="1"/>
  <c r="AI248" i="7"/>
  <c r="AJ248" i="7" s="1"/>
  <c r="AE248" i="7"/>
  <c r="AM248" i="7" s="1"/>
  <c r="AC109" i="7"/>
  <c r="AK109" i="7" s="1"/>
  <c r="AI174" i="7"/>
  <c r="AJ174" i="7" s="1"/>
  <c r="AE174" i="7"/>
  <c r="AM174" i="7" s="1"/>
  <c r="AC220" i="7"/>
  <c r="AD220" i="7" s="1"/>
  <c r="AG192" i="7"/>
  <c r="AH192" i="7" s="1"/>
  <c r="AC168" i="7"/>
  <c r="AD168" i="7" s="1"/>
  <c r="AL168" i="7" s="1"/>
  <c r="AG168" i="7"/>
  <c r="AH168" i="7" s="1"/>
  <c r="AG67" i="7"/>
  <c r="AH67" i="7" s="1"/>
  <c r="AC67" i="7"/>
  <c r="AK67" i="7" s="1"/>
  <c r="AB81" i="7"/>
  <c r="AI181" i="7"/>
  <c r="AJ181" i="7" s="1"/>
  <c r="AE181" i="7"/>
  <c r="AM181" i="7" s="1"/>
  <c r="AF316" i="7"/>
  <c r="AN316" i="7" s="1"/>
  <c r="AB125" i="7"/>
  <c r="AL125" i="7" s="1"/>
  <c r="AK125" i="7"/>
  <c r="AB308" i="7"/>
  <c r="AL308" i="7" s="1"/>
  <c r="AK308" i="7"/>
  <c r="AC281" i="7"/>
  <c r="AD281" i="7" s="1"/>
  <c r="AL281" i="7" s="1"/>
  <c r="AE189" i="7"/>
  <c r="AM189" i="7" s="1"/>
  <c r="AI189" i="7"/>
  <c r="AJ189" i="7" s="1"/>
  <c r="AG127" i="7"/>
  <c r="AH127" i="7" s="1"/>
  <c r="AC127" i="7"/>
  <c r="AD127" i="7" s="1"/>
  <c r="AF116" i="7"/>
  <c r="AN116" i="7" s="1"/>
  <c r="AK47" i="7"/>
  <c r="AE40" i="7"/>
  <c r="AM40" i="7" s="1"/>
  <c r="AI40" i="7"/>
  <c r="AJ40" i="7" s="1"/>
  <c r="AG191" i="7"/>
  <c r="AH191" i="7" s="1"/>
  <c r="AG78" i="7"/>
  <c r="AH78" i="7" s="1"/>
  <c r="AB221" i="7"/>
  <c r="AG239" i="7"/>
  <c r="AH239" i="7" s="1"/>
  <c r="AC239" i="7"/>
  <c r="AK239" i="7" s="1"/>
  <c r="AE136" i="7"/>
  <c r="AM136" i="7" s="1"/>
  <c r="AI136" i="7"/>
  <c r="AJ136" i="7" s="1"/>
  <c r="AB322" i="7"/>
  <c r="AC9" i="7"/>
  <c r="AK9" i="7" s="1"/>
  <c r="AG41" i="7"/>
  <c r="AH41" i="7" s="1"/>
  <c r="AE305" i="7"/>
  <c r="AM305" i="7" s="1"/>
  <c r="AI305" i="7"/>
  <c r="AJ305" i="7" s="1"/>
  <c r="AF79" i="7"/>
  <c r="AN79" i="7" s="1"/>
  <c r="AE118" i="7"/>
  <c r="AM118" i="7" s="1"/>
  <c r="AI118" i="7"/>
  <c r="AJ118" i="7" s="1"/>
  <c r="AI132" i="7"/>
  <c r="AJ132" i="7" s="1"/>
  <c r="AE132" i="7"/>
  <c r="AM132" i="7" s="1"/>
  <c r="AI256" i="7"/>
  <c r="AJ256" i="7" s="1"/>
  <c r="AE256" i="7"/>
  <c r="AG25" i="7"/>
  <c r="AH25" i="7" s="1"/>
  <c r="AK185" i="7"/>
  <c r="AG110" i="7"/>
  <c r="AH110" i="7" s="1"/>
  <c r="AK134" i="7"/>
  <c r="AB132" i="7"/>
  <c r="AG126" i="7"/>
  <c r="AH126" i="7" s="1"/>
  <c r="AB54" i="7"/>
  <c r="AB293" i="7"/>
  <c r="AL293" i="7" s="1"/>
  <c r="AK293" i="7"/>
  <c r="AK175" i="7"/>
  <c r="AI37" i="7"/>
  <c r="AJ37" i="7" s="1"/>
  <c r="AE37" i="7"/>
  <c r="AM37" i="7" s="1"/>
  <c r="AB77" i="7"/>
  <c r="AL77" i="7" s="1"/>
  <c r="AK77" i="7"/>
  <c r="AG182" i="7"/>
  <c r="AH182" i="7" s="1"/>
  <c r="AC302" i="7"/>
  <c r="AG302" i="7"/>
  <c r="AH302" i="7" s="1"/>
  <c r="AI167" i="7"/>
  <c r="AJ167" i="7" s="1"/>
  <c r="AE167" i="7"/>
  <c r="AM167" i="7" s="1"/>
  <c r="AG61" i="7"/>
  <c r="AH61" i="7" s="1"/>
  <c r="AC61" i="7"/>
  <c r="AD61" i="7" s="1"/>
  <c r="AK243" i="7"/>
  <c r="AE67" i="7"/>
  <c r="AM67" i="7" s="1"/>
  <c r="AI67" i="7"/>
  <c r="AJ67" i="7" s="1"/>
  <c r="AI11" i="7"/>
  <c r="AJ11" i="7" s="1"/>
  <c r="AE11" i="7"/>
  <c r="AM11" i="7" s="1"/>
  <c r="AG7" i="7"/>
  <c r="AH7" i="7" s="1"/>
  <c r="AB127" i="7"/>
  <c r="AB111" i="7"/>
  <c r="AI38" i="7"/>
  <c r="AJ38" i="7" s="1"/>
  <c r="AE38" i="7"/>
  <c r="AM38" i="7" s="1"/>
  <c r="AI279" i="7"/>
  <c r="AJ279" i="7" s="1"/>
  <c r="AE279" i="7"/>
  <c r="AM279" i="7" s="1"/>
  <c r="AC130" i="7"/>
  <c r="AD130" i="7" s="1"/>
  <c r="AL130" i="7" s="1"/>
  <c r="AG130" i="7"/>
  <c r="AH130" i="7" s="1"/>
  <c r="AB172" i="7"/>
  <c r="AI90" i="7"/>
  <c r="AJ90" i="7" s="1"/>
  <c r="AE90" i="7"/>
  <c r="AM90" i="7" s="1"/>
  <c r="AB133" i="7"/>
  <c r="AI156" i="7"/>
  <c r="AJ156" i="7" s="1"/>
  <c r="AE156" i="7"/>
  <c r="AM156" i="7" s="1"/>
  <c r="AB121" i="7"/>
  <c r="AL121" i="7" s="1"/>
  <c r="AK121" i="7"/>
  <c r="AG169" i="7"/>
  <c r="AH169" i="7" s="1"/>
  <c r="AB196" i="7"/>
  <c r="AL196" i="7" s="1"/>
  <c r="AC8" i="7"/>
  <c r="AD8" i="7" s="1"/>
  <c r="AI175" i="7"/>
  <c r="AJ175" i="7" s="1"/>
  <c r="AE175" i="7"/>
  <c r="AM175" i="7" s="1"/>
  <c r="AE168" i="7"/>
  <c r="AM168" i="7" s="1"/>
  <c r="AI168" i="7"/>
  <c r="AJ168" i="7" s="1"/>
  <c r="AE302" i="7"/>
  <c r="AM302" i="7" s="1"/>
  <c r="AI302" i="7"/>
  <c r="AJ302" i="7" s="1"/>
  <c r="AE294" i="7"/>
  <c r="AM294" i="7" s="1"/>
  <c r="AI294" i="7"/>
  <c r="AJ294" i="7" s="1"/>
  <c r="AK92" i="7"/>
  <c r="AB227" i="7"/>
  <c r="AL227" i="7" s="1"/>
  <c r="AK227" i="7"/>
  <c r="AB186" i="7"/>
  <c r="AL186" i="7" s="1"/>
  <c r="AK186" i="7"/>
  <c r="AC245" i="7"/>
  <c r="AD245" i="7" s="1"/>
  <c r="AE242" i="7"/>
  <c r="AM242" i="7" s="1"/>
  <c r="AI242" i="7"/>
  <c r="AJ242" i="7" s="1"/>
  <c r="AB160" i="7"/>
  <c r="AL160" i="7" s="1"/>
  <c r="AK160" i="7"/>
  <c r="AI75" i="7"/>
  <c r="AJ75" i="7" s="1"/>
  <c r="AE75" i="7"/>
  <c r="AM75" i="7" s="1"/>
  <c r="AI93" i="7"/>
  <c r="AJ93" i="7" s="1"/>
  <c r="AE93" i="7"/>
  <c r="AM93" i="7" s="1"/>
  <c r="AE311" i="7"/>
  <c r="AM311" i="7" s="1"/>
  <c r="AI311" i="7"/>
  <c r="AJ311" i="7" s="1"/>
  <c r="AB192" i="7"/>
  <c r="AL192" i="7" s="1"/>
  <c r="AK192" i="7"/>
  <c r="AE117" i="7"/>
  <c r="AM117" i="7" s="1"/>
  <c r="AI117" i="7"/>
  <c r="AJ117" i="7" s="1"/>
  <c r="AG308" i="7"/>
  <c r="AH308" i="7" s="1"/>
  <c r="AC102" i="7"/>
  <c r="AG102" i="7"/>
  <c r="AH102" i="7" s="1"/>
  <c r="AE18" i="7"/>
  <c r="AM18" i="7" s="1"/>
  <c r="AI18" i="7"/>
  <c r="AJ18" i="7" s="1"/>
  <c r="AG47" i="7"/>
  <c r="AH47" i="7" s="1"/>
  <c r="AG44" i="7"/>
  <c r="AH44" i="7" s="1"/>
  <c r="AI10" i="7"/>
  <c r="AJ10" i="7" s="1"/>
  <c r="AE10" i="7"/>
  <c r="AM10" i="7" s="1"/>
  <c r="AG306" i="7"/>
  <c r="AH306" i="7" s="1"/>
  <c r="AC306" i="7"/>
  <c r="AD306" i="7" s="1"/>
  <c r="AL306" i="7" s="1"/>
  <c r="AB254" i="7"/>
  <c r="AK191" i="7"/>
  <c r="AE83" i="7"/>
  <c r="AM83" i="7" s="1"/>
  <c r="AI83" i="7"/>
  <c r="AJ83" i="7" s="1"/>
  <c r="AB19" i="7"/>
  <c r="AK19" i="7"/>
  <c r="AK196" i="7"/>
  <c r="AG216" i="7"/>
  <c r="AH216" i="7" s="1"/>
  <c r="AB301" i="7"/>
  <c r="AL301" i="7" s="1"/>
  <c r="AK301" i="7"/>
  <c r="AG13" i="7"/>
  <c r="AH13" i="7" s="1"/>
  <c r="AB41" i="7"/>
  <c r="AC157" i="7"/>
  <c r="AD157" i="7" s="1"/>
  <c r="AL157" i="7" s="1"/>
  <c r="AB32" i="7"/>
  <c r="AC285" i="7"/>
  <c r="AD285" i="7" s="1"/>
  <c r="AC320" i="7"/>
  <c r="AK320" i="7" s="1"/>
  <c r="AI190" i="7"/>
  <c r="AJ190" i="7" s="1"/>
  <c r="AE190" i="7"/>
  <c r="AM190" i="7" s="1"/>
  <c r="AG171" i="7"/>
  <c r="AH171" i="7" s="1"/>
  <c r="AC270" i="7"/>
  <c r="AK270" i="7" s="1"/>
  <c r="AI206" i="7"/>
  <c r="AJ206" i="7" s="1"/>
  <c r="AE206" i="7"/>
  <c r="AM206" i="7" s="1"/>
  <c r="AE225" i="7"/>
  <c r="AM225" i="7" s="1"/>
  <c r="AI225" i="7"/>
  <c r="AJ225" i="7" s="1"/>
  <c r="AB212" i="7"/>
  <c r="AG244" i="7"/>
  <c r="AH244" i="7" s="1"/>
  <c r="AC244" i="7"/>
  <c r="AD244" i="7" s="1"/>
  <c r="AC173" i="7"/>
  <c r="AG173" i="7"/>
  <c r="AH173" i="7" s="1"/>
  <c r="AK108" i="7"/>
  <c r="AI50" i="7"/>
  <c r="AJ50" i="7" s="1"/>
  <c r="AE50" i="7"/>
  <c r="AM50" i="7" s="1"/>
  <c r="AE96" i="7"/>
  <c r="AM96" i="7" s="1"/>
  <c r="AI96" i="7"/>
  <c r="AJ96" i="7" s="1"/>
  <c r="AG156" i="7"/>
  <c r="AH156" i="7" s="1"/>
  <c r="AC172" i="7"/>
  <c r="AK172" i="7" s="1"/>
  <c r="AB299" i="7"/>
  <c r="AC287" i="7"/>
  <c r="AK287" i="7" s="1"/>
  <c r="AE115" i="7"/>
  <c r="AM115" i="7" s="1"/>
  <c r="AI115" i="7"/>
  <c r="AJ115" i="7" s="1"/>
  <c r="AC297" i="7"/>
  <c r="AK297" i="7" s="1"/>
  <c r="AG16" i="7"/>
  <c r="AH16" i="7" s="1"/>
  <c r="AC16" i="7"/>
  <c r="AK16" i="7" s="1"/>
  <c r="AE146" i="7"/>
  <c r="AM146" i="7" s="1"/>
  <c r="AI146" i="7"/>
  <c r="AJ146" i="7" s="1"/>
  <c r="AK7" i="7"/>
  <c r="AB18" i="7"/>
  <c r="AB151" i="7"/>
  <c r="AB313" i="7"/>
  <c r="AL313" i="7" s="1"/>
  <c r="AK313" i="7"/>
  <c r="AG82" i="7"/>
  <c r="AH82" i="7" s="1"/>
  <c r="AE44" i="7"/>
  <c r="AM44" i="7" s="1"/>
  <c r="AI44" i="7"/>
  <c r="AJ44" i="7" s="1"/>
  <c r="AC152" i="7"/>
  <c r="AK152" i="7" s="1"/>
  <c r="AI137" i="7"/>
  <c r="AJ137" i="7" s="1"/>
  <c r="AE137" i="7"/>
  <c r="AM137" i="7" s="1"/>
  <c r="AE313" i="7"/>
  <c r="AM313" i="7" s="1"/>
  <c r="AI313" i="7"/>
  <c r="AJ313" i="7" s="1"/>
  <c r="AD95" i="7"/>
  <c r="AL95" i="7" s="1"/>
  <c r="AC222" i="7"/>
  <c r="AK222" i="7" s="1"/>
  <c r="AE60" i="7"/>
  <c r="AM60" i="7" s="1"/>
  <c r="AI60" i="7"/>
  <c r="AJ60" i="7" s="1"/>
  <c r="AK250" i="7"/>
  <c r="AC205" i="7"/>
  <c r="AK205" i="7" s="1"/>
  <c r="AK226" i="7"/>
  <c r="AI134" i="7"/>
  <c r="AJ134" i="7" s="1"/>
  <c r="AE134" i="7"/>
  <c r="AM134" i="7" s="1"/>
  <c r="AC280" i="7"/>
  <c r="AK280" i="7" s="1"/>
  <c r="AE291" i="7"/>
  <c r="AM291" i="7" s="1"/>
  <c r="AI291" i="7"/>
  <c r="AJ291" i="7" s="1"/>
  <c r="AD263" i="7"/>
  <c r="AI128" i="7"/>
  <c r="AJ128" i="7" s="1"/>
  <c r="AE128" i="7"/>
  <c r="AM128" i="7" s="1"/>
  <c r="AK284" i="7"/>
  <c r="AK292" i="7"/>
  <c r="AB244" i="7"/>
  <c r="AE198" i="7"/>
  <c r="AM198" i="7" s="1"/>
  <c r="AI198" i="7"/>
  <c r="AJ198" i="7" s="1"/>
  <c r="AK64" i="7"/>
  <c r="AB239" i="7"/>
  <c r="AE205" i="7"/>
  <c r="AM205" i="7" s="1"/>
  <c r="AI205" i="7"/>
  <c r="AJ205" i="7" s="1"/>
  <c r="AC31" i="7"/>
  <c r="AD31" i="7" s="1"/>
  <c r="AL235" i="7"/>
  <c r="AE300" i="7"/>
  <c r="AM300" i="7" s="1"/>
  <c r="AI300" i="7"/>
  <c r="AJ300" i="7" s="1"/>
  <c r="AK267" i="7"/>
  <c r="AE317" i="7"/>
  <c r="AM317" i="7" s="1"/>
  <c r="AI317" i="7"/>
  <c r="AJ317" i="7" s="1"/>
  <c r="AI278" i="7"/>
  <c r="AJ278" i="7" s="1"/>
  <c r="AE278" i="7"/>
  <c r="AM278" i="7" s="1"/>
  <c r="AE266" i="7"/>
  <c r="AM266" i="7" s="1"/>
  <c r="AI266" i="7"/>
  <c r="AJ266" i="7" s="1"/>
  <c r="AK139" i="7"/>
  <c r="AG233" i="7"/>
  <c r="AH233" i="7" s="1"/>
  <c r="AC233" i="7"/>
  <c r="AK233" i="7" s="1"/>
  <c r="AL134" i="7"/>
  <c r="AI41" i="7"/>
  <c r="AJ41" i="7" s="1"/>
  <c r="AE41" i="7"/>
  <c r="AM41" i="7" s="1"/>
  <c r="AB276" i="7"/>
  <c r="AB283" i="7"/>
  <c r="AL283" i="7" s="1"/>
  <c r="AK283" i="7"/>
  <c r="AE138" i="7"/>
  <c r="AM138" i="7" s="1"/>
  <c r="AI138" i="7"/>
  <c r="AJ138" i="7" s="1"/>
  <c r="AB126" i="7"/>
  <c r="AL126" i="7" s="1"/>
  <c r="AK126" i="7"/>
  <c r="AG175" i="7"/>
  <c r="AH175" i="7" s="1"/>
  <c r="AB31" i="7"/>
  <c r="AG152" i="7"/>
  <c r="AH152" i="7" s="1"/>
  <c r="AG307" i="7"/>
  <c r="AH307" i="7" s="1"/>
  <c r="AE153" i="7"/>
  <c r="AM153" i="7" s="1"/>
  <c r="AI153" i="7"/>
  <c r="AJ153" i="7" s="1"/>
  <c r="AF101" i="7"/>
  <c r="AN101" i="7" s="1"/>
  <c r="AB22" i="7"/>
  <c r="AI73" i="7"/>
  <c r="AJ73" i="7" s="1"/>
  <c r="AE73" i="7"/>
  <c r="AM73" i="7" s="1"/>
  <c r="AE89" i="7"/>
  <c r="AM89" i="7" s="1"/>
  <c r="AI89" i="7"/>
  <c r="AJ89" i="7" s="1"/>
  <c r="AG200" i="7"/>
  <c r="AH200" i="7" s="1"/>
  <c r="AC200" i="7"/>
  <c r="AE145" i="7"/>
  <c r="AM145" i="7" s="1"/>
  <c r="AI145" i="7"/>
  <c r="AJ145" i="7" s="1"/>
  <c r="AE191" i="7"/>
  <c r="AM191" i="7" s="1"/>
  <c r="AI191" i="7"/>
  <c r="AJ191" i="7" s="1"/>
  <c r="AB71" i="7"/>
  <c r="AL71" i="7" s="1"/>
  <c r="AK71" i="7"/>
  <c r="AK118" i="7"/>
  <c r="AE259" i="7"/>
  <c r="AM259" i="7" s="1"/>
  <c r="AI259" i="7"/>
  <c r="AJ259" i="7" s="1"/>
  <c r="AE252" i="7"/>
  <c r="AM252" i="7" s="1"/>
  <c r="AI252" i="7"/>
  <c r="AJ252" i="7" s="1"/>
  <c r="AC223" i="7"/>
  <c r="AK223" i="7" s="1"/>
  <c r="AI80" i="7"/>
  <c r="AJ80" i="7" s="1"/>
  <c r="AE80" i="7"/>
  <c r="AM80" i="7" s="1"/>
  <c r="AE56" i="7"/>
  <c r="AM56" i="7" s="1"/>
  <c r="AI56" i="7"/>
  <c r="AJ56" i="7" s="1"/>
  <c r="AC214" i="7"/>
  <c r="AD214" i="7" s="1"/>
  <c r="AL214" i="7" s="1"/>
  <c r="AG214" i="7"/>
  <c r="AH214" i="7" s="1"/>
  <c r="AB245" i="7"/>
  <c r="AE148" i="7"/>
  <c r="AM148" i="7" s="1"/>
  <c r="AI148" i="7"/>
  <c r="AJ148" i="7" s="1"/>
  <c r="AE210" i="7"/>
  <c r="AM210" i="7" s="1"/>
  <c r="AI210" i="7"/>
  <c r="AJ210" i="7" s="1"/>
  <c r="AL140" i="7"/>
  <c r="AB255" i="7"/>
  <c r="AE171" i="7"/>
  <c r="AM171" i="7" s="1"/>
  <c r="AI171" i="7"/>
  <c r="AJ171" i="7" s="1"/>
  <c r="AE322" i="7"/>
  <c r="AM322" i="7" s="1"/>
  <c r="AI322" i="7"/>
  <c r="AJ322" i="7" s="1"/>
  <c r="AC261" i="7"/>
  <c r="AK261" i="7" s="1"/>
  <c r="AE163" i="7"/>
  <c r="AM163" i="7" s="1"/>
  <c r="AI163" i="7"/>
  <c r="AJ163" i="7" s="1"/>
  <c r="AB324" i="7"/>
  <c r="AB78" i="7"/>
  <c r="AB273" i="7"/>
  <c r="AK273" i="7"/>
  <c r="AB144" i="7"/>
  <c r="AC146" i="7"/>
  <c r="AG146" i="7"/>
  <c r="AH146" i="7" s="1"/>
  <c r="AG45" i="7"/>
  <c r="AH45" i="7" s="1"/>
  <c r="AG301" i="7"/>
  <c r="AH301" i="7" s="1"/>
  <c r="AC207" i="7"/>
  <c r="AK207" i="7" s="1"/>
  <c r="AG235" i="7"/>
  <c r="AH235" i="7" s="1"/>
  <c r="AL14" i="7"/>
  <c r="AB171" i="7"/>
  <c r="AL171" i="7" s="1"/>
  <c r="AK171" i="7"/>
  <c r="AI222" i="7"/>
  <c r="AJ222" i="7" s="1"/>
  <c r="AE222" i="7"/>
  <c r="AM222" i="7" s="1"/>
  <c r="AE30" i="7"/>
  <c r="AM30" i="7" s="1"/>
  <c r="AI30" i="7"/>
  <c r="AJ30" i="7" s="1"/>
  <c r="AL94" i="7"/>
  <c r="AB110" i="7"/>
  <c r="AL110" i="7" s="1"/>
  <c r="AK110" i="7"/>
  <c r="AG217" i="7"/>
  <c r="AH217" i="7" s="1"/>
  <c r="AI217" i="7"/>
  <c r="AJ217" i="7" s="1"/>
  <c r="AE217" i="7"/>
  <c r="AM217" i="7" s="1"/>
  <c r="AI282" i="7"/>
  <c r="AJ282" i="7" s="1"/>
  <c r="AE282" i="7"/>
  <c r="AM282" i="7" s="1"/>
  <c r="AG283" i="7"/>
  <c r="AH283" i="7" s="1"/>
  <c r="AE324" i="7"/>
  <c r="AM324" i="7" s="1"/>
  <c r="AI324" i="7"/>
  <c r="AJ324" i="7" s="1"/>
  <c r="AC29" i="7"/>
  <c r="AK29" i="7" s="1"/>
  <c r="AG181" i="7"/>
  <c r="AH181" i="7" s="1"/>
  <c r="AB304" i="7"/>
  <c r="AL304" i="7" s="1"/>
  <c r="AK304" i="7"/>
  <c r="AK182" i="7"/>
  <c r="AE246" i="7"/>
  <c r="AM246" i="7" s="1"/>
  <c r="AI246" i="7"/>
  <c r="AJ246" i="7" s="1"/>
  <c r="AK60" i="7"/>
  <c r="AE178" i="7"/>
  <c r="AM178" i="7" s="1"/>
  <c r="AI178" i="7"/>
  <c r="AJ178" i="7" s="1"/>
  <c r="AE214" i="7"/>
  <c r="AM214" i="7" s="1"/>
  <c r="AI214" i="7"/>
  <c r="AJ214" i="7" s="1"/>
  <c r="AE78" i="7"/>
  <c r="AM78" i="7" s="1"/>
  <c r="AI78" i="7"/>
  <c r="AJ78" i="7" s="1"/>
  <c r="AI267" i="7"/>
  <c r="AJ267" i="7" s="1"/>
  <c r="AE267" i="7"/>
  <c r="AM267" i="7" s="1"/>
  <c r="AL122" i="7"/>
  <c r="AC150" i="7"/>
  <c r="AG150" i="7"/>
  <c r="AH150" i="7" s="1"/>
  <c r="AG288" i="7"/>
  <c r="AH288" i="7" s="1"/>
  <c r="AE107" i="7"/>
  <c r="AM107" i="7" s="1"/>
  <c r="AI107" i="7"/>
  <c r="AJ107" i="7" s="1"/>
  <c r="AE262" i="7"/>
  <c r="AM262" i="7" s="1"/>
  <c r="AI262" i="7"/>
  <c r="AJ262" i="7" s="1"/>
  <c r="AG71" i="7"/>
  <c r="AH71" i="7" s="1"/>
  <c r="AB222" i="7"/>
  <c r="AC221" i="7"/>
  <c r="AD221" i="7" s="1"/>
  <c r="AK68" i="7"/>
  <c r="AI81" i="7"/>
  <c r="AJ81" i="7" s="1"/>
  <c r="AE81" i="7"/>
  <c r="AM81" i="7" s="1"/>
  <c r="AB11" i="7"/>
  <c r="AL11" i="7" s="1"/>
  <c r="AK11" i="7"/>
  <c r="AE151" i="7"/>
  <c r="AM151" i="7" s="1"/>
  <c r="AI151" i="7"/>
  <c r="AJ151" i="7" s="1"/>
  <c r="AI301" i="7"/>
  <c r="AJ301" i="7" s="1"/>
  <c r="AE301" i="7"/>
  <c r="AM301" i="7" s="1"/>
  <c r="AI320" i="7"/>
  <c r="AJ320" i="7" s="1"/>
  <c r="AE320" i="7"/>
  <c r="AM320" i="7" s="1"/>
  <c r="AB195" i="7"/>
  <c r="AC136" i="7"/>
  <c r="AD136" i="7" s="1"/>
  <c r="AB286" i="7"/>
  <c r="AE249" i="7"/>
  <c r="AM249" i="7" s="1"/>
  <c r="AI249" i="7"/>
  <c r="AJ249" i="7" s="1"/>
  <c r="AB265" i="7"/>
  <c r="AK311" i="7"/>
  <c r="AC17" i="7"/>
  <c r="AK17" i="7" s="1"/>
  <c r="AC51" i="7"/>
  <c r="AK51" i="7" s="1"/>
  <c r="AI200" i="7"/>
  <c r="AJ200" i="7" s="1"/>
  <c r="AE200" i="7"/>
  <c r="AM200" i="7" s="1"/>
  <c r="AC53" i="7"/>
  <c r="AK53" i="7" s="1"/>
  <c r="AE298" i="7"/>
  <c r="AM298" i="7" s="1"/>
  <c r="AI298" i="7"/>
  <c r="AJ298" i="7" s="1"/>
  <c r="AI308" i="7"/>
  <c r="AJ308" i="7" s="1"/>
  <c r="AE308" i="7"/>
  <c r="AM308" i="7" s="1"/>
  <c r="AE292" i="7"/>
  <c r="AM292" i="7" s="1"/>
  <c r="AI292" i="7"/>
  <c r="AJ292" i="7" s="1"/>
  <c r="AB241" i="7"/>
  <c r="AI86" i="7"/>
  <c r="AJ86" i="7" s="1"/>
  <c r="AE86" i="7"/>
  <c r="AM86" i="7" s="1"/>
  <c r="AB258" i="7"/>
  <c r="AL258" i="7" s="1"/>
  <c r="AK258" i="7"/>
  <c r="AB216" i="7"/>
  <c r="AL216" i="7" s="1"/>
  <c r="AK216" i="7"/>
  <c r="AI106" i="7"/>
  <c r="AJ106" i="7" s="1"/>
  <c r="AE106" i="7"/>
  <c r="AM106" i="7" s="1"/>
  <c r="AK13" i="7"/>
  <c r="AB35" i="7"/>
  <c r="AK199" i="7"/>
  <c r="AK114" i="7"/>
  <c r="AB59" i="7"/>
  <c r="AE271" i="7"/>
  <c r="AM271" i="7" s="1"/>
  <c r="AI271" i="7"/>
  <c r="AJ271" i="7" s="1"/>
  <c r="AK94" i="7"/>
  <c r="AB207" i="7"/>
  <c r="AE170" i="7"/>
  <c r="AM170" i="7" s="1"/>
  <c r="AI170" i="7"/>
  <c r="AJ170" i="7" s="1"/>
  <c r="AG139" i="7"/>
  <c r="AH139" i="7" s="1"/>
  <c r="AE152" i="7"/>
  <c r="AM152" i="7" s="1"/>
  <c r="AI152" i="7"/>
  <c r="AJ152" i="7" s="1"/>
  <c r="AB225" i="7"/>
  <c r="AL225" i="7" s="1"/>
  <c r="AK225" i="7"/>
  <c r="AG305" i="7"/>
  <c r="AH305" i="7" s="1"/>
  <c r="AC305" i="7"/>
  <c r="AK305" i="7" s="1"/>
  <c r="AB282" i="7"/>
  <c r="AL282" i="7" s="1"/>
  <c r="AK282" i="7"/>
  <c r="AC120" i="7"/>
  <c r="AD120" i="7" s="1"/>
  <c r="AL120" i="7" s="1"/>
  <c r="AE46" i="7"/>
  <c r="AM46" i="7" s="1"/>
  <c r="AI46" i="7"/>
  <c r="AJ46" i="7" s="1"/>
  <c r="AB236" i="7"/>
  <c r="AE16" i="7"/>
  <c r="AM16" i="7" s="1"/>
  <c r="AI16" i="7"/>
  <c r="AJ16" i="7" s="1"/>
  <c r="AC209" i="7"/>
  <c r="AK209" i="7" s="1"/>
  <c r="AB65" i="7"/>
  <c r="AL65" i="7" s="1"/>
  <c r="AK65" i="7"/>
  <c r="AL175" i="7"/>
  <c r="AI226" i="7"/>
  <c r="AJ226" i="7" s="1"/>
  <c r="AE226" i="7"/>
  <c r="AM226" i="7" s="1"/>
  <c r="AI49" i="7"/>
  <c r="AJ49" i="7" s="1"/>
  <c r="AE49" i="7"/>
  <c r="AM49" i="7" s="1"/>
  <c r="AB307" i="7"/>
  <c r="AL307" i="7" s="1"/>
  <c r="AK307" i="7"/>
  <c r="AE241" i="7"/>
  <c r="AM241" i="7" s="1"/>
  <c r="AI241" i="7"/>
  <c r="AJ241" i="7" s="1"/>
  <c r="AE323" i="7"/>
  <c r="AM323" i="7" s="1"/>
  <c r="AI323" i="7"/>
  <c r="AJ323" i="7" s="1"/>
  <c r="AE97" i="7"/>
  <c r="AM97" i="7" s="1"/>
  <c r="AI97" i="7"/>
  <c r="AJ97" i="7" s="1"/>
  <c r="AG294" i="7"/>
  <c r="AH294" i="7" s="1"/>
  <c r="AI195" i="7"/>
  <c r="AJ195" i="7" s="1"/>
  <c r="AE195" i="7"/>
  <c r="AM195" i="7" s="1"/>
  <c r="AC269" i="7"/>
  <c r="AD269" i="7" s="1"/>
  <c r="AL269" i="7" s="1"/>
  <c r="AG269" i="7"/>
  <c r="AH269" i="7" s="1"/>
  <c r="AB67" i="7"/>
  <c r="AG122" i="7"/>
  <c r="AH122" i="7" s="1"/>
  <c r="AE257" i="7"/>
  <c r="AM257" i="7" s="1"/>
  <c r="AI257" i="7"/>
  <c r="AJ257" i="7" s="1"/>
  <c r="AK177" i="7"/>
  <c r="AC137" i="7"/>
  <c r="AG137" i="7"/>
  <c r="AH137" i="7" s="1"/>
  <c r="AB288" i="7"/>
  <c r="AG96" i="7"/>
  <c r="AH96" i="7" s="1"/>
  <c r="AC96" i="7"/>
  <c r="AD96" i="7" s="1"/>
  <c r="AL260" i="7"/>
  <c r="AI194" i="7"/>
  <c r="AJ194" i="7" s="1"/>
  <c r="AE194" i="7"/>
  <c r="AM194" i="7" s="1"/>
  <c r="AB303" i="7"/>
  <c r="AG46" i="7"/>
  <c r="AH46" i="7" s="1"/>
  <c r="AC46" i="7"/>
  <c r="AD46" i="7" s="1"/>
  <c r="AE188" i="7"/>
  <c r="AM188" i="7" s="1"/>
  <c r="AI188" i="7"/>
  <c r="AJ188" i="7" s="1"/>
  <c r="AE231" i="7"/>
  <c r="AM231" i="7" s="1"/>
  <c r="AI231" i="7"/>
  <c r="AJ231" i="7" s="1"/>
  <c r="AB10" i="7"/>
  <c r="AB264" i="7"/>
  <c r="AL264" i="7" s="1"/>
  <c r="AK264" i="7"/>
  <c r="AB115" i="7"/>
  <c r="AL317" i="7"/>
  <c r="AK107" i="7"/>
  <c r="AE172" i="7"/>
  <c r="AM172" i="7" s="1"/>
  <c r="AI172" i="7"/>
  <c r="AJ172" i="7" s="1"/>
  <c r="AB223" i="7"/>
  <c r="AE204" i="7"/>
  <c r="AM204" i="7" s="1"/>
  <c r="AI204" i="7"/>
  <c r="AJ204" i="7" s="1"/>
  <c r="AB87" i="7"/>
  <c r="AL87" i="7" s="1"/>
  <c r="AK87" i="7"/>
  <c r="AG325" i="7"/>
  <c r="AH325" i="7" s="1"/>
  <c r="AG140" i="7"/>
  <c r="AH140" i="7" s="1"/>
  <c r="AB112" i="7"/>
  <c r="AC115" i="7"/>
  <c r="AD115" i="7" s="1"/>
  <c r="AB287" i="7"/>
  <c r="AI304" i="7"/>
  <c r="AJ304" i="7" s="1"/>
  <c r="AE304" i="7"/>
  <c r="AM304" i="7" s="1"/>
  <c r="AB275" i="7"/>
  <c r="AE258" i="7"/>
  <c r="AM258" i="7" s="1"/>
  <c r="AI258" i="7"/>
  <c r="AJ258" i="7" s="1"/>
  <c r="AK252" i="7"/>
  <c r="AC236" i="7"/>
  <c r="AK236" i="7" s="1"/>
  <c r="AC289" i="7"/>
  <c r="AD289" i="7" s="1"/>
  <c r="AL289" i="7" s="1"/>
  <c r="AG289" i="7"/>
  <c r="AH289" i="7" s="1"/>
  <c r="AC66" i="7"/>
  <c r="AK66" i="7" s="1"/>
  <c r="AC99" i="7"/>
  <c r="AG99" i="7"/>
  <c r="AH99" i="7" s="1"/>
  <c r="AI275" i="7"/>
  <c r="AJ275" i="7" s="1"/>
  <c r="AE275" i="7"/>
  <c r="AM275" i="7" s="1"/>
  <c r="AB197" i="7"/>
  <c r="AE207" i="7"/>
  <c r="AM207" i="7" s="1"/>
  <c r="AI207" i="7"/>
  <c r="AJ207" i="7" s="1"/>
  <c r="AI142" i="7"/>
  <c r="AJ142" i="7" s="1"/>
  <c r="AE142" i="7"/>
  <c r="AM142" i="7" s="1"/>
  <c r="AB91" i="7"/>
  <c r="AK12" i="7"/>
  <c r="AI182" i="7"/>
  <c r="AJ182" i="7" s="1"/>
  <c r="AE182" i="7"/>
  <c r="AM182" i="7" s="1"/>
  <c r="AK235" i="7"/>
  <c r="AB61" i="7"/>
  <c r="AE109" i="7"/>
  <c r="AM109" i="7" s="1"/>
  <c r="AI109" i="7"/>
  <c r="AJ109" i="7" s="1"/>
  <c r="AI13" i="7"/>
  <c r="AJ13" i="7" s="1"/>
  <c r="AE13" i="7"/>
  <c r="AM13" i="7" s="1"/>
  <c r="AI234" i="7"/>
  <c r="AJ234" i="7" s="1"/>
  <c r="AE234" i="7"/>
  <c r="AM234" i="7" s="1"/>
  <c r="AB217" i="7"/>
  <c r="AI103" i="7"/>
  <c r="AJ103" i="7" s="1"/>
  <c r="AE103" i="7"/>
  <c r="AM103" i="7" s="1"/>
  <c r="AG225" i="7"/>
  <c r="AH225" i="7" s="1"/>
  <c r="AC237" i="7"/>
  <c r="AG237" i="7"/>
  <c r="AH237" i="7" s="1"/>
  <c r="AG282" i="7"/>
  <c r="AH282" i="7" s="1"/>
  <c r="AE100" i="7"/>
  <c r="AM100" i="7" s="1"/>
  <c r="AI100" i="7"/>
  <c r="AJ100" i="7" s="1"/>
  <c r="AE211" i="7"/>
  <c r="AM211" i="7" s="1"/>
  <c r="AI211" i="7"/>
  <c r="AJ211" i="7" s="1"/>
  <c r="AE122" i="7"/>
  <c r="AM122" i="7" s="1"/>
  <c r="AI122" i="7"/>
  <c r="AJ122" i="7" s="1"/>
  <c r="AG315" i="7"/>
  <c r="AH315" i="7" s="1"/>
  <c r="AG209" i="7"/>
  <c r="AH209" i="7" s="1"/>
  <c r="AC211" i="7"/>
  <c r="AD211" i="7" s="1"/>
  <c r="AB298" i="7"/>
  <c r="AE299" i="7"/>
  <c r="AM299" i="7" s="1"/>
  <c r="AI299" i="7"/>
  <c r="AJ299" i="7" s="1"/>
  <c r="AC18" i="7"/>
  <c r="AK18" i="7" s="1"/>
  <c r="AF82" i="7"/>
  <c r="AN82" i="7" s="1"/>
  <c r="AG167" i="7"/>
  <c r="AH167" i="7" s="1"/>
  <c r="AC167" i="7"/>
  <c r="AD167" i="7" s="1"/>
  <c r="AL15" i="7"/>
  <c r="AI36" i="7"/>
  <c r="AJ36" i="7" s="1"/>
  <c r="AE36" i="7"/>
  <c r="AM36" i="7" s="1"/>
  <c r="AI228" i="7"/>
  <c r="AJ228" i="7" s="1"/>
  <c r="AE228" i="7"/>
  <c r="AM228" i="7" s="1"/>
  <c r="AG260" i="7"/>
  <c r="AH260" i="7" s="1"/>
  <c r="AC164" i="7"/>
  <c r="AK164" i="7" s="1"/>
  <c r="AE51" i="7"/>
  <c r="AM51" i="7" s="1"/>
  <c r="AI51" i="7"/>
  <c r="AJ51" i="7" s="1"/>
  <c r="AE290" i="7"/>
  <c r="AM290" i="7" s="1"/>
  <c r="AI290" i="7"/>
  <c r="AJ290" i="7" s="1"/>
  <c r="AC24" i="7"/>
  <c r="AK24" i="7" s="1"/>
  <c r="AE169" i="7"/>
  <c r="AM169" i="7" s="1"/>
  <c r="AI169" i="7"/>
  <c r="AJ169" i="7" s="1"/>
  <c r="AG208" i="7"/>
  <c r="AH208" i="7" s="1"/>
  <c r="AC208" i="7"/>
  <c r="AK208" i="7" s="1"/>
  <c r="AB48" i="7"/>
  <c r="AB16" i="7"/>
  <c r="AB262" i="7"/>
  <c r="AL262" i="7" s="1"/>
  <c r="AK262" i="7"/>
  <c r="AG106" i="7"/>
  <c r="AH106" i="7" s="1"/>
  <c r="AG253" i="7"/>
  <c r="AH253" i="7" s="1"/>
  <c r="AC253" i="7"/>
  <c r="AK253" i="7" s="1"/>
  <c r="AE160" i="7"/>
  <c r="AM160" i="7" s="1"/>
  <c r="AI160" i="7"/>
  <c r="AJ160" i="7" s="1"/>
  <c r="AG93" i="7"/>
  <c r="AH93" i="7" s="1"/>
  <c r="AC93" i="7"/>
  <c r="AD93" i="7" s="1"/>
  <c r="AE91" i="7"/>
  <c r="AM91" i="7" s="1"/>
  <c r="AI91" i="7"/>
  <c r="AJ91" i="7" s="1"/>
  <c r="AB123" i="7"/>
  <c r="AB325" i="7"/>
  <c r="AL325" i="7" s="1"/>
  <c r="AK325" i="7"/>
  <c r="AB117" i="7"/>
  <c r="AL117" i="7" s="1"/>
  <c r="AK117" i="7"/>
  <c r="AK140" i="7"/>
  <c r="AG184" i="7"/>
  <c r="AH184" i="7" s="1"/>
  <c r="AI70" i="7"/>
  <c r="AJ70" i="7" s="1"/>
  <c r="AE70" i="7"/>
  <c r="AM70" i="7" s="1"/>
  <c r="AG190" i="7"/>
  <c r="AH190" i="7" s="1"/>
  <c r="AC190" i="7"/>
  <c r="AD190" i="7" s="1"/>
  <c r="AL190" i="7" s="1"/>
  <c r="AB167" i="7"/>
  <c r="AK21" i="7"/>
  <c r="AK318" i="7"/>
  <c r="AE25" i="7"/>
  <c r="AM25" i="7" s="1"/>
  <c r="AI25" i="7"/>
  <c r="AJ25" i="7" s="1"/>
  <c r="AE15" i="7"/>
  <c r="AM15" i="7" s="1"/>
  <c r="AI15" i="7"/>
  <c r="AJ15" i="7" s="1"/>
  <c r="AB124" i="7"/>
  <c r="AL124" i="7" s="1"/>
  <c r="AE321" i="7"/>
  <c r="AM321" i="7" s="1"/>
  <c r="AI321" i="7"/>
  <c r="AJ321" i="7" s="1"/>
  <c r="AC212" i="7"/>
  <c r="AK212" i="7" s="1"/>
  <c r="AG62" i="7"/>
  <c r="AH62" i="7" s="1"/>
  <c r="AC62" i="7"/>
  <c r="AB45" i="7"/>
  <c r="AG101" i="7"/>
  <c r="AH101" i="7" s="1"/>
  <c r="AI28" i="7"/>
  <c r="AJ28" i="7" s="1"/>
  <c r="AE28" i="7"/>
  <c r="AM28" i="7" s="1"/>
  <c r="AE58" i="7"/>
  <c r="AM58" i="7" s="1"/>
  <c r="AI58" i="7"/>
  <c r="AJ58" i="7" s="1"/>
  <c r="AG14" i="7"/>
  <c r="AH14" i="7" s="1"/>
  <c r="AG298" i="7"/>
  <c r="AH298" i="7" s="1"/>
  <c r="AC298" i="7"/>
  <c r="AK298" i="7" s="1"/>
  <c r="AB39" i="7"/>
  <c r="AI84" i="7"/>
  <c r="AJ84" i="7" s="1"/>
  <c r="AE84" i="7"/>
  <c r="AM84" i="7" s="1"/>
  <c r="AG94" i="7"/>
  <c r="AH94" i="7" s="1"/>
  <c r="AB296" i="7"/>
  <c r="AL296" i="7" s="1"/>
  <c r="AK296" i="7"/>
  <c r="AE123" i="7"/>
  <c r="AM123" i="7" s="1"/>
  <c r="AI123" i="7"/>
  <c r="AJ123" i="7" s="1"/>
  <c r="AG279" i="7"/>
  <c r="AH279" i="7" s="1"/>
  <c r="AC279" i="7"/>
  <c r="AK279" i="7" s="1"/>
  <c r="AG63" i="7"/>
  <c r="AH63" i="7" s="1"/>
  <c r="AC63" i="7"/>
  <c r="AK63" i="7" s="1"/>
  <c r="AI179" i="7"/>
  <c r="AJ179" i="7" s="1"/>
  <c r="AE179" i="7"/>
  <c r="AM179" i="7" s="1"/>
  <c r="AI112" i="7"/>
  <c r="AJ112" i="7" s="1"/>
  <c r="AE112" i="7"/>
  <c r="AM112" i="7" s="1"/>
  <c r="AB97" i="7"/>
  <c r="AB209" i="7"/>
  <c r="AE269" i="7"/>
  <c r="AM269" i="7" s="1"/>
  <c r="AI269" i="7"/>
  <c r="AJ269" i="7" s="1"/>
  <c r="AG111" i="7"/>
  <c r="AH111" i="7" s="1"/>
  <c r="AC111" i="7"/>
  <c r="AK111" i="7" s="1"/>
  <c r="AB181" i="7"/>
  <c r="AG261" i="7"/>
  <c r="AH261" i="7" s="1"/>
  <c r="AE177" i="7"/>
  <c r="AM177" i="7" s="1"/>
  <c r="AI177" i="7"/>
  <c r="AJ177" i="7" s="1"/>
  <c r="AG109" i="7"/>
  <c r="AH109" i="7" s="1"/>
  <c r="AE218" i="7"/>
  <c r="AM218" i="7" s="1"/>
  <c r="AI218" i="7"/>
  <c r="AJ218" i="7" s="1"/>
  <c r="AC274" i="7"/>
  <c r="AK274" i="7" s="1"/>
  <c r="AK122" i="7"/>
  <c r="AG177" i="7"/>
  <c r="AH177" i="7" s="1"/>
  <c r="AI131" i="7"/>
  <c r="AJ131" i="7" s="1"/>
  <c r="AE131" i="7"/>
  <c r="AM131" i="7" s="1"/>
  <c r="AB277" i="7"/>
  <c r="AL277" i="7" s="1"/>
  <c r="AK277" i="7"/>
  <c r="AC86" i="7"/>
  <c r="AK86" i="7" s="1"/>
  <c r="AK201" i="7"/>
  <c r="AK183" i="7"/>
  <c r="AK149" i="7"/>
  <c r="AI68" i="7"/>
  <c r="AJ68" i="7" s="1"/>
  <c r="AE68" i="7"/>
  <c r="AM68" i="7" s="1"/>
  <c r="AC256" i="7"/>
  <c r="AD256" i="7" s="1"/>
  <c r="AL256" i="7" s="1"/>
  <c r="AG316" i="7"/>
  <c r="AH316" i="7" s="1"/>
  <c r="AC316" i="7"/>
  <c r="AD316" i="7" s="1"/>
  <c r="AL316" i="7" s="1"/>
  <c r="AE24" i="7"/>
  <c r="AM24" i="7" s="1"/>
  <c r="AI24" i="7"/>
  <c r="AJ24" i="7" s="1"/>
  <c r="AC248" i="7"/>
  <c r="AD248" i="7" s="1"/>
  <c r="AE17" i="7"/>
  <c r="AM17" i="7" s="1"/>
  <c r="AI17" i="7"/>
  <c r="AJ17" i="7" s="1"/>
  <c r="AB220" i="7"/>
  <c r="AI139" i="7"/>
  <c r="AJ139" i="7" s="1"/>
  <c r="AE139" i="7"/>
  <c r="AM139" i="7" s="1"/>
  <c r="AG55" i="7"/>
  <c r="AH55" i="7" s="1"/>
  <c r="AC55" i="7"/>
  <c r="AD55" i="7" s="1"/>
  <c r="AI29" i="7"/>
  <c r="AJ29" i="7" s="1"/>
  <c r="AE29" i="7"/>
  <c r="AM29" i="7" s="1"/>
  <c r="AE130" i="7"/>
  <c r="AM130" i="7" s="1"/>
  <c r="AI130" i="7"/>
  <c r="AJ130" i="7" s="1"/>
  <c r="AE66" i="7"/>
  <c r="AM66" i="7" s="1"/>
  <c r="AI66" i="7"/>
  <c r="AJ66" i="7" s="1"/>
  <c r="AB247" i="7"/>
  <c r="AC187" i="7"/>
  <c r="AK187" i="7" s="1"/>
  <c r="AB164" i="7"/>
  <c r="AB100" i="7"/>
  <c r="AL100" i="7" s="1"/>
  <c r="AK100" i="7"/>
  <c r="AB93" i="7"/>
  <c r="AB184" i="7"/>
  <c r="AB6" i="7"/>
  <c r="AL6" i="7" s="1"/>
  <c r="AI162" i="7"/>
  <c r="AJ162" i="7" s="1"/>
  <c r="AE162" i="7"/>
  <c r="AM162" i="7" s="1"/>
  <c r="AC194" i="7"/>
  <c r="AK194" i="7" s="1"/>
  <c r="AE276" i="7"/>
  <c r="AM276" i="7" s="1"/>
  <c r="AI276" i="7"/>
  <c r="AJ276" i="7" s="1"/>
  <c r="AE59" i="7"/>
  <c r="AM59" i="7" s="1"/>
  <c r="AI59" i="7"/>
  <c r="AJ59" i="7" s="1"/>
  <c r="AC113" i="7"/>
  <c r="AK113" i="7" s="1"/>
  <c r="AB178" i="7"/>
  <c r="AI22" i="7"/>
  <c r="AJ22" i="7" s="1"/>
  <c r="AE22" i="7"/>
  <c r="AM22" i="7" s="1"/>
  <c r="AB88" i="7"/>
  <c r="AC23" i="7"/>
  <c r="AK23" i="7" s="1"/>
  <c r="AK218" i="7"/>
  <c r="AB213" i="7"/>
  <c r="AB28" i="7"/>
  <c r="AL28" i="7" s="1"/>
  <c r="AG148" i="7"/>
  <c r="AH148" i="7" s="1"/>
  <c r="AI129" i="7"/>
  <c r="AJ129" i="7" s="1"/>
  <c r="AE129" i="7"/>
  <c r="AM129" i="7" s="1"/>
  <c r="AG189" i="7"/>
  <c r="AH189" i="7" s="1"/>
  <c r="AI62" i="7"/>
  <c r="AJ62" i="7" s="1"/>
  <c r="AE62" i="7"/>
  <c r="AM62" i="7" s="1"/>
  <c r="AB198" i="7"/>
  <c r="AI57" i="7"/>
  <c r="AJ57" i="7" s="1"/>
  <c r="AE57" i="7"/>
  <c r="AM57" i="7" s="1"/>
  <c r="AB300" i="7"/>
  <c r="AI229" i="7"/>
  <c r="AJ229" i="7" s="1"/>
  <c r="AE229" i="7"/>
  <c r="AM229" i="7" s="1"/>
  <c r="AB199" i="7"/>
  <c r="AL199" i="7" s="1"/>
  <c r="AL166" i="7"/>
  <c r="AE244" i="7"/>
  <c r="AM244" i="7" s="1"/>
  <c r="AI244" i="7"/>
  <c r="AJ244" i="7" s="1"/>
  <c r="AI55" i="7"/>
  <c r="AJ55" i="7" s="1"/>
  <c r="AE55" i="7"/>
  <c r="AM55" i="7" s="1"/>
  <c r="AK14" i="7"/>
  <c r="AE135" i="7"/>
  <c r="AM135" i="7" s="1"/>
  <c r="AI135" i="7"/>
  <c r="AJ135" i="7" s="1"/>
  <c r="AB219" i="7"/>
  <c r="AL219" i="7" s="1"/>
  <c r="AK219" i="7"/>
  <c r="AE20" i="7"/>
  <c r="AM20" i="7" s="1"/>
  <c r="AI20" i="7"/>
  <c r="AJ20" i="7" s="1"/>
  <c r="AE227" i="7"/>
  <c r="AM227" i="7" s="1"/>
  <c r="AI227" i="7"/>
  <c r="AJ227" i="7" s="1"/>
  <c r="AG133" i="7"/>
  <c r="AH133" i="7" s="1"/>
  <c r="AB257" i="7"/>
  <c r="AL257" i="7" s="1"/>
  <c r="AK257" i="7"/>
  <c r="AG22" i="7"/>
  <c r="AH22" i="7" s="1"/>
  <c r="AC22" i="7"/>
  <c r="AK22" i="7" s="1"/>
  <c r="AG48" i="7"/>
  <c r="AH48" i="7" s="1"/>
  <c r="AC48" i="7"/>
  <c r="AD48" i="7" s="1"/>
  <c r="AB315" i="7"/>
  <c r="AL315" i="7" s="1"/>
  <c r="AK315" i="7"/>
  <c r="AC69" i="7"/>
  <c r="AK69" i="7" s="1"/>
  <c r="AE64" i="7"/>
  <c r="AM64" i="7" s="1"/>
  <c r="AI64" i="7"/>
  <c r="AJ64" i="7" s="1"/>
  <c r="AG132" i="7"/>
  <c r="AH132" i="7" s="1"/>
  <c r="AC132" i="7"/>
  <c r="AD132" i="7" s="1"/>
  <c r="AE280" i="7"/>
  <c r="AM280" i="7" s="1"/>
  <c r="AI280" i="7"/>
  <c r="AJ280" i="7" s="1"/>
  <c r="AB261" i="7"/>
  <c r="AG8" i="7"/>
  <c r="AH8" i="7" s="1"/>
  <c r="AI19" i="7"/>
  <c r="AJ19" i="7" s="1"/>
  <c r="AE19" i="7"/>
  <c r="AM19" i="7" s="1"/>
  <c r="AB294" i="7"/>
  <c r="AL294" i="7" s="1"/>
  <c r="AK294" i="7"/>
  <c r="AG15" i="7"/>
  <c r="AH15" i="7" s="1"/>
  <c r="AG180" i="7"/>
  <c r="AH180" i="7" s="1"/>
  <c r="AB280" i="7"/>
  <c r="AC213" i="7"/>
  <c r="AK213" i="7" s="1"/>
  <c r="AE99" i="7"/>
  <c r="AM99" i="7" s="1"/>
  <c r="AI99" i="7"/>
  <c r="AJ99" i="7" s="1"/>
  <c r="AK260" i="7"/>
  <c r="AG153" i="7"/>
  <c r="AH153" i="7" s="1"/>
  <c r="AE310" i="7"/>
  <c r="AM310" i="7" s="1"/>
  <c r="AI310" i="7"/>
  <c r="AJ310" i="7" s="1"/>
  <c r="AI233" i="7"/>
  <c r="AJ233" i="7" s="1"/>
  <c r="AE233" i="7"/>
  <c r="AM233" i="7" s="1"/>
  <c r="AE238" i="7"/>
  <c r="AM238" i="7" s="1"/>
  <c r="AI238" i="7"/>
  <c r="AJ238" i="7" s="1"/>
  <c r="AI85" i="7"/>
  <c r="AJ85" i="7" s="1"/>
  <c r="AE85" i="7"/>
  <c r="AM85" i="7" s="1"/>
  <c r="AI61" i="7"/>
  <c r="AJ61" i="7" s="1"/>
  <c r="AE61" i="7"/>
  <c r="AM61" i="7" s="1"/>
  <c r="AG87" i="7"/>
  <c r="AH87" i="7" s="1"/>
  <c r="AI199" i="7"/>
  <c r="AJ199" i="7" s="1"/>
  <c r="AE199" i="7"/>
  <c r="AM199" i="7" s="1"/>
  <c r="AE159" i="7"/>
  <c r="AM159" i="7" s="1"/>
  <c r="AI159" i="7"/>
  <c r="AJ159" i="7" s="1"/>
  <c r="AC206" i="7"/>
  <c r="AK206" i="7" s="1"/>
  <c r="AG206" i="7"/>
  <c r="AH206" i="7" s="1"/>
  <c r="AC97" i="7"/>
  <c r="AK97" i="7" s="1"/>
  <c r="AG300" i="7"/>
  <c r="AH300" i="7" s="1"/>
  <c r="AC300" i="7"/>
  <c r="AD300" i="7" s="1"/>
  <c r="AI77" i="7"/>
  <c r="AJ77" i="7" s="1"/>
  <c r="AE77" i="7"/>
  <c r="AM77" i="7" s="1"/>
  <c r="AB314" i="7"/>
  <c r="AL314" i="7" s="1"/>
  <c r="AK314" i="7"/>
  <c r="AC179" i="7"/>
  <c r="AK179" i="7" s="1"/>
  <c r="AI42" i="7"/>
  <c r="AJ42" i="7" s="1"/>
  <c r="AE42" i="7"/>
  <c r="AM42" i="7" s="1"/>
  <c r="AB68" i="7"/>
  <c r="AL68" i="7" s="1"/>
  <c r="AI307" i="7"/>
  <c r="AJ307" i="7" s="1"/>
  <c r="AE307" i="7"/>
  <c r="AM307" i="7" s="1"/>
  <c r="AK215" i="7"/>
  <c r="AE31" i="7"/>
  <c r="AM31" i="7" s="1"/>
  <c r="AI31" i="7"/>
  <c r="AJ31" i="7" s="1"/>
  <c r="AB148" i="7"/>
  <c r="AG194" i="7"/>
  <c r="AH194" i="7" s="1"/>
  <c r="AB319" i="7"/>
  <c r="AL319" i="7" s="1"/>
  <c r="AK319" i="7"/>
  <c r="AG85" i="7"/>
  <c r="AH85" i="7" s="1"/>
  <c r="AG35" i="7"/>
  <c r="AH35" i="7" s="1"/>
  <c r="AC35" i="7"/>
  <c r="AK35" i="7" s="1"/>
  <c r="AB159" i="7"/>
  <c r="AL159" i="7" s="1"/>
  <c r="AB101" i="7"/>
  <c r="AG199" i="7"/>
  <c r="AH199" i="7" s="1"/>
  <c r="AB72" i="7"/>
  <c r="AE53" i="7"/>
  <c r="AM53" i="7" s="1"/>
  <c r="AI53" i="7"/>
  <c r="AJ53" i="7" s="1"/>
  <c r="AL278" i="7"/>
  <c r="AE193" i="7"/>
  <c r="AM193" i="7" s="1"/>
  <c r="AI193" i="7"/>
  <c r="AJ193" i="7" s="1"/>
  <c r="AG38" i="7"/>
  <c r="AH38" i="7" s="1"/>
  <c r="AC38" i="7"/>
  <c r="AD38" i="7" s="1"/>
  <c r="AG115" i="7"/>
  <c r="AH115" i="7" s="1"/>
  <c r="AI296" i="7"/>
  <c r="AJ296" i="7" s="1"/>
  <c r="AE296" i="7"/>
  <c r="AM296" i="7" s="1"/>
  <c r="AG296" i="7"/>
  <c r="AH296" i="7" s="1"/>
  <c r="AI186" i="7"/>
  <c r="AJ186" i="7" s="1"/>
  <c r="AE186" i="7"/>
  <c r="AM186" i="7" s="1"/>
  <c r="AC322" i="7"/>
  <c r="AK322" i="7" s="1"/>
  <c r="AF286" i="7"/>
  <c r="AN286" i="7" s="1"/>
  <c r="AK50" i="7"/>
  <c r="AI270" i="7"/>
  <c r="AJ270" i="7" s="1"/>
  <c r="AE270" i="7"/>
  <c r="AM270" i="7" s="1"/>
  <c r="AB96" i="7"/>
  <c r="AB240" i="7"/>
  <c r="AL240" i="7" s="1"/>
  <c r="AG299" i="7"/>
  <c r="AH299" i="7" s="1"/>
  <c r="AC299" i="7"/>
  <c r="AK299" i="7" s="1"/>
  <c r="AE203" i="7"/>
  <c r="AM203" i="7" s="1"/>
  <c r="AI203" i="7"/>
  <c r="AJ203" i="7" s="1"/>
  <c r="AB165" i="7"/>
  <c r="AL165" i="7" s="1"/>
  <c r="AK165" i="7"/>
  <c r="AB234" i="7"/>
  <c r="AL234" i="7" s="1"/>
  <c r="AK234" i="7"/>
  <c r="AB8" i="7"/>
  <c r="AB129" i="7"/>
  <c r="AB109" i="7"/>
  <c r="AE255" i="7"/>
  <c r="AM255" i="7" s="1"/>
  <c r="AI255" i="7"/>
  <c r="AJ255" i="7" s="1"/>
  <c r="AK158" i="7"/>
  <c r="AB180" i="7"/>
  <c r="AI141" i="7"/>
  <c r="AJ141" i="7" s="1"/>
  <c r="AE141" i="7"/>
  <c r="AM141" i="7" s="1"/>
  <c r="AE268" i="7"/>
  <c r="AM268" i="7" s="1"/>
  <c r="AI268" i="7"/>
  <c r="AJ268" i="7" s="1"/>
  <c r="AB107" i="7"/>
  <c r="AL107" i="7" s="1"/>
  <c r="AG277" i="7"/>
  <c r="AH277" i="7" s="1"/>
  <c r="AB153" i="7"/>
  <c r="AL153" i="7" s="1"/>
  <c r="AK153" i="7"/>
  <c r="AC4" i="7"/>
  <c r="AK4" i="7" s="1"/>
  <c r="AE4" i="7"/>
  <c r="AM4" i="7" s="1"/>
  <c r="AB4" i="7"/>
  <c r="K18" i="4"/>
  <c r="AF121" i="7" l="1"/>
  <c r="AN121" i="7" s="1"/>
  <c r="AK240" i="7"/>
  <c r="AL273" i="7"/>
  <c r="AF104" i="7"/>
  <c r="AN104" i="7" s="1"/>
  <c r="AF219" i="7"/>
  <c r="AN219" i="7" s="1"/>
  <c r="AK80" i="7"/>
  <c r="AK188" i="7"/>
  <c r="AK105" i="7"/>
  <c r="AL19" i="7"/>
  <c r="AL197" i="7"/>
  <c r="AK232" i="7"/>
  <c r="AK42" i="7"/>
  <c r="AK123" i="7"/>
  <c r="AL123" i="7"/>
  <c r="AK272" i="7"/>
  <c r="AL272" i="7"/>
  <c r="AK159" i="7"/>
  <c r="AK79" i="7"/>
  <c r="AS79" i="7" s="1"/>
  <c r="C78" i="10" s="1"/>
  <c r="AK197" i="7"/>
  <c r="AF314" i="7"/>
  <c r="AN314" i="7" s="1"/>
  <c r="AF54" i="7"/>
  <c r="AN54" i="7" s="1"/>
  <c r="AD5" i="7"/>
  <c r="AL5" i="7" s="1"/>
  <c r="AK276" i="7"/>
  <c r="AL276" i="7"/>
  <c r="AK10" i="7"/>
  <c r="AL10" i="7"/>
  <c r="AF318" i="7"/>
  <c r="AN318" i="7" s="1"/>
  <c r="AL37" i="7"/>
  <c r="AS108" i="7"/>
  <c r="AK37" i="7"/>
  <c r="AK91" i="7"/>
  <c r="AL91" i="7"/>
  <c r="AD323" i="7"/>
  <c r="AL323" i="7" s="1"/>
  <c r="AK138" i="7"/>
  <c r="AK254" i="7"/>
  <c r="AL254" i="7"/>
  <c r="AS37" i="18"/>
  <c r="AK96" i="7"/>
  <c r="AD246" i="7"/>
  <c r="AL246" i="7" s="1"/>
  <c r="AD26" i="7"/>
  <c r="AK72" i="7"/>
  <c r="AF31" i="17"/>
  <c r="AF12" i="17"/>
  <c r="AF5" i="17"/>
  <c r="AF18" i="17"/>
  <c r="AF10" i="17"/>
  <c r="AF27" i="17"/>
  <c r="AF6" i="17"/>
  <c r="AK88" i="7"/>
  <c r="AL88" i="7"/>
  <c r="AS34" i="16"/>
  <c r="D43" i="13" s="1"/>
  <c r="AK20" i="7"/>
  <c r="AD224" i="7"/>
  <c r="AL224" i="7" s="1"/>
  <c r="AD89" i="7"/>
  <c r="AL89" i="7" s="1"/>
  <c r="AF157" i="7"/>
  <c r="AN157" i="7" s="1"/>
  <c r="AK144" i="7"/>
  <c r="AL144" i="7"/>
  <c r="AK143" i="7"/>
  <c r="AL103" i="7"/>
  <c r="AK8" i="7"/>
  <c r="AD43" i="7"/>
  <c r="AL43" i="7" s="1"/>
  <c r="AK81" i="7"/>
  <c r="AK133" i="7"/>
  <c r="AK52" i="7"/>
  <c r="AK49" i="7"/>
  <c r="AL221" i="7"/>
  <c r="AF9" i="7"/>
  <c r="AN9" i="7" s="1"/>
  <c r="AK228" i="7"/>
  <c r="AL85" i="7"/>
  <c r="AD213" i="7"/>
  <c r="AL213" i="7" s="1"/>
  <c r="AD113" i="7"/>
  <c r="AL113" i="7" s="1"/>
  <c r="AK229" i="7"/>
  <c r="AK220" i="7"/>
  <c r="AF114" i="7"/>
  <c r="AN114" i="7" s="1"/>
  <c r="AS7" i="7"/>
  <c r="AF321" i="7"/>
  <c r="AN321" i="7" s="1"/>
  <c r="AL115" i="7"/>
  <c r="AF263" i="7"/>
  <c r="AN263" i="7" s="1"/>
  <c r="AD69" i="7"/>
  <c r="AL69" i="7" s="1"/>
  <c r="AD280" i="7"/>
  <c r="AL280" i="7" s="1"/>
  <c r="AD303" i="7"/>
  <c r="AL303" i="7" s="1"/>
  <c r="AL133" i="7"/>
  <c r="AD297" i="7"/>
  <c r="AL297" i="7" s="1"/>
  <c r="AL38" i="7"/>
  <c r="AD298" i="7"/>
  <c r="AL298" i="7" s="1"/>
  <c r="AS264" i="7"/>
  <c r="C263" i="10" s="1"/>
  <c r="AL300" i="7"/>
  <c r="AK127" i="7"/>
  <c r="AK59" i="7"/>
  <c r="AL101" i="7"/>
  <c r="AF168" i="7"/>
  <c r="AN168" i="7" s="1"/>
  <c r="AF166" i="7"/>
  <c r="AN166" i="7" s="1"/>
  <c r="AF110" i="7"/>
  <c r="AN110" i="7" s="1"/>
  <c r="AF159" i="7"/>
  <c r="AN159" i="7" s="1"/>
  <c r="AF282" i="7"/>
  <c r="AN282" i="7" s="1"/>
  <c r="AF72" i="7"/>
  <c r="AN72" i="7" s="1"/>
  <c r="AF185" i="7"/>
  <c r="AN185" i="7" s="1"/>
  <c r="AF294" i="7"/>
  <c r="AN294" i="7" s="1"/>
  <c r="AF170" i="7"/>
  <c r="AN170" i="7" s="1"/>
  <c r="AF16" i="7"/>
  <c r="AN16" i="7" s="1"/>
  <c r="AF107" i="7"/>
  <c r="AN107" i="7" s="1"/>
  <c r="AF59" i="7"/>
  <c r="AN59" i="7" s="1"/>
  <c r="AF319" i="7"/>
  <c r="AN319" i="7" s="1"/>
  <c r="AF306" i="7"/>
  <c r="AN306" i="7" s="1"/>
  <c r="AF202" i="7"/>
  <c r="AN202" i="7" s="1"/>
  <c r="AF92" i="7"/>
  <c r="AN92" i="7" s="1"/>
  <c r="AF196" i="7"/>
  <c r="AN196" i="7" s="1"/>
  <c r="AF127" i="7"/>
  <c r="AN127" i="7" s="1"/>
  <c r="AF60" i="7"/>
  <c r="AN60" i="7" s="1"/>
  <c r="AF83" i="7"/>
  <c r="AN83" i="7" s="1"/>
  <c r="AF192" i="7"/>
  <c r="AN192" i="7" s="1"/>
  <c r="AF103" i="7"/>
  <c r="AN103" i="7" s="1"/>
  <c r="AF276" i="7"/>
  <c r="AN276" i="7" s="1"/>
  <c r="AF275" i="7"/>
  <c r="AN275" i="7" s="1"/>
  <c r="AF241" i="7"/>
  <c r="AN241" i="7" s="1"/>
  <c r="AF200" i="7"/>
  <c r="AN200" i="7" s="1"/>
  <c r="AF41" i="7"/>
  <c r="AN41" i="7" s="1"/>
  <c r="AF71" i="7"/>
  <c r="AN71" i="7" s="1"/>
  <c r="AF212" i="7"/>
  <c r="AN212" i="7" s="1"/>
  <c r="AF312" i="7"/>
  <c r="AN312" i="7" s="1"/>
  <c r="AF86" i="7"/>
  <c r="AN86" i="7" s="1"/>
  <c r="AF11" i="7"/>
  <c r="AN11" i="7" s="1"/>
  <c r="AF163" i="7"/>
  <c r="AN163" i="7" s="1"/>
  <c r="AF49" i="7"/>
  <c r="AN49" i="7" s="1"/>
  <c r="AF236" i="7"/>
  <c r="AN236" i="7" s="1"/>
  <c r="AF193" i="7"/>
  <c r="AN193" i="7" s="1"/>
  <c r="AF44" i="7"/>
  <c r="AN44" i="7" s="1"/>
  <c r="AF67" i="7"/>
  <c r="AN67" i="7" s="1"/>
  <c r="AF265" i="7"/>
  <c r="AN265" i="7" s="1"/>
  <c r="AF238" i="7"/>
  <c r="AN238" i="7" s="1"/>
  <c r="AF113" i="7"/>
  <c r="AN113" i="7" s="1"/>
  <c r="AF281" i="7"/>
  <c r="AN281" i="7" s="1"/>
  <c r="AF55" i="7"/>
  <c r="AN55" i="7" s="1"/>
  <c r="AF288" i="7"/>
  <c r="AN288" i="7" s="1"/>
  <c r="AF14" i="7"/>
  <c r="AN14" i="7" s="1"/>
  <c r="AF230" i="7"/>
  <c r="AN230" i="7" s="1"/>
  <c r="AF151" i="7"/>
  <c r="AN151" i="7" s="1"/>
  <c r="AF184" i="7"/>
  <c r="AN184" i="7" s="1"/>
  <c r="AF63" i="7"/>
  <c r="AN63" i="7" s="1"/>
  <c r="AF300" i="7"/>
  <c r="AN300" i="7" s="1"/>
  <c r="AF96" i="7"/>
  <c r="AN96" i="7" s="1"/>
  <c r="AF242" i="7"/>
  <c r="AN242" i="7" s="1"/>
  <c r="AF45" i="7"/>
  <c r="AN45" i="7" s="1"/>
  <c r="AF43" i="7"/>
  <c r="AN43" i="7" s="1"/>
  <c r="AF240" i="7"/>
  <c r="AN240" i="7" s="1"/>
  <c r="AF277" i="7"/>
  <c r="AN277" i="7" s="1"/>
  <c r="AF175" i="7"/>
  <c r="AN175" i="7" s="1"/>
  <c r="AF180" i="7"/>
  <c r="AN180" i="7" s="1"/>
  <c r="AF228" i="7"/>
  <c r="AN228" i="7" s="1"/>
  <c r="AF81" i="7"/>
  <c r="AN81" i="7" s="1"/>
  <c r="AF8" i="7"/>
  <c r="AN8" i="7" s="1"/>
  <c r="AF39" i="7"/>
  <c r="AN39" i="7" s="1"/>
  <c r="AF315" i="7"/>
  <c r="AN315" i="7" s="1"/>
  <c r="AF165" i="7"/>
  <c r="AN165" i="7" s="1"/>
  <c r="AF97" i="7"/>
  <c r="AN97" i="7" s="1"/>
  <c r="AF214" i="7"/>
  <c r="AN214" i="7" s="1"/>
  <c r="AF283" i="7"/>
  <c r="AN283" i="7" s="1"/>
  <c r="AF141" i="7"/>
  <c r="AN141" i="7" s="1"/>
  <c r="AF162" i="7"/>
  <c r="AN162" i="7" s="1"/>
  <c r="AF143" i="7"/>
  <c r="AN143" i="7" s="1"/>
  <c r="AF273" i="7"/>
  <c r="AN273" i="7" s="1"/>
  <c r="AF91" i="7"/>
  <c r="AN91" i="7" s="1"/>
  <c r="AF75" i="7"/>
  <c r="AN75" i="7" s="1"/>
  <c r="AF119" i="7"/>
  <c r="AN119" i="7" s="1"/>
  <c r="AF220" i="7"/>
  <c r="AN220" i="7" s="1"/>
  <c r="AK245" i="7"/>
  <c r="AD116" i="7"/>
  <c r="AL116" i="7" s="1"/>
  <c r="AK61" i="7"/>
  <c r="AK31" i="7"/>
  <c r="AK84" i="7"/>
  <c r="AD195" i="7"/>
  <c r="AL195" i="7" s="1"/>
  <c r="AD56" i="7"/>
  <c r="AL56" i="7" s="1"/>
  <c r="AD212" i="7"/>
  <c r="AL212" i="7" s="1"/>
  <c r="AD275" i="7"/>
  <c r="AL275" i="7" s="1"/>
  <c r="AK256" i="7"/>
  <c r="AD255" i="7"/>
  <c r="AL255" i="7" s="1"/>
  <c r="AD179" i="7"/>
  <c r="AL179" i="7" s="1"/>
  <c r="AD32" i="7"/>
  <c r="AL32" i="7" s="1"/>
  <c r="AD53" i="7"/>
  <c r="AL53" i="7" s="1"/>
  <c r="AD320" i="7"/>
  <c r="AL320" i="7" s="1"/>
  <c r="AD189" i="7"/>
  <c r="AL189" i="7" s="1"/>
  <c r="AD247" i="7"/>
  <c r="AL247" i="7" s="1"/>
  <c r="AS126" i="7"/>
  <c r="AD36" i="7"/>
  <c r="AL36" i="7" s="1"/>
  <c r="AD198" i="7"/>
  <c r="AL198" i="7" s="1"/>
  <c r="AD279" i="7"/>
  <c r="AL279" i="7" s="1"/>
  <c r="AK93" i="7"/>
  <c r="AK115" i="7"/>
  <c r="AK285" i="7"/>
  <c r="AK75" i="7"/>
  <c r="AD270" i="7"/>
  <c r="AL270" i="7" s="1"/>
  <c r="AK174" i="7"/>
  <c r="AD299" i="7"/>
  <c r="AL299" i="7" s="1"/>
  <c r="AD97" i="7"/>
  <c r="AL97" i="7" s="1"/>
  <c r="AD208" i="7"/>
  <c r="AL208" i="7" s="1"/>
  <c r="AF182" i="7"/>
  <c r="AN182" i="7" s="1"/>
  <c r="AF226" i="7"/>
  <c r="AN226" i="7" s="1"/>
  <c r="AD305" i="7"/>
  <c r="AL305" i="7" s="1"/>
  <c r="AF271" i="7"/>
  <c r="AN271" i="7" s="1"/>
  <c r="AF148" i="7"/>
  <c r="AN148" i="7" s="1"/>
  <c r="AF138" i="7"/>
  <c r="AN138" i="7" s="1"/>
  <c r="AF134" i="7"/>
  <c r="AN134" i="7" s="1"/>
  <c r="AF93" i="7"/>
  <c r="AN93" i="7" s="1"/>
  <c r="AD181" i="7"/>
  <c r="AL181" i="7" s="1"/>
  <c r="AF208" i="7"/>
  <c r="AN208" i="7" s="1"/>
  <c r="AF213" i="7"/>
  <c r="AN213" i="7" s="1"/>
  <c r="AK55" i="7"/>
  <c r="AK167" i="7"/>
  <c r="AF73" i="7"/>
  <c r="AN73" i="7" s="1"/>
  <c r="AF136" i="7"/>
  <c r="AN136" i="7" s="1"/>
  <c r="AF98" i="7"/>
  <c r="AN98" i="7" s="1"/>
  <c r="AF6" i="7"/>
  <c r="AN6" i="7" s="1"/>
  <c r="AD286" i="7"/>
  <c r="AL286" i="7" s="1"/>
  <c r="AS286" i="7" s="1"/>
  <c r="AL72" i="7"/>
  <c r="AK101" i="7"/>
  <c r="AD206" i="7"/>
  <c r="AL206" i="7" s="1"/>
  <c r="AD274" i="7"/>
  <c r="AL274" i="7" s="1"/>
  <c r="AL167" i="7"/>
  <c r="AF169" i="7"/>
  <c r="AN169" i="7" s="1"/>
  <c r="AF74" i="7"/>
  <c r="AN74" i="7" s="1"/>
  <c r="AF297" i="7"/>
  <c r="AF284" i="7"/>
  <c r="AN284" i="7" s="1"/>
  <c r="AF232" i="7"/>
  <c r="AN232" i="7" s="1"/>
  <c r="AF42" i="7"/>
  <c r="AN42" i="7" s="1"/>
  <c r="AL93" i="7"/>
  <c r="AF322" i="7"/>
  <c r="AN322" i="7" s="1"/>
  <c r="AD152" i="7"/>
  <c r="AL152" i="7" s="1"/>
  <c r="AD16" i="7"/>
  <c r="AL16" i="7" s="1"/>
  <c r="AF302" i="7"/>
  <c r="AN302" i="7" s="1"/>
  <c r="AD239" i="7"/>
  <c r="AL239" i="7" s="1"/>
  <c r="AF189" i="7"/>
  <c r="AN189" i="7" s="1"/>
  <c r="AF47" i="7"/>
  <c r="AN47" i="7" s="1"/>
  <c r="AF287" i="7"/>
  <c r="AN287" i="7" s="1"/>
  <c r="AF234" i="7"/>
  <c r="AN234" i="7" s="1"/>
  <c r="AF152" i="7"/>
  <c r="AN152" i="7" s="1"/>
  <c r="AK248" i="7"/>
  <c r="AL148" i="7"/>
  <c r="AD205" i="7"/>
  <c r="AL205" i="7" s="1"/>
  <c r="AF190" i="7"/>
  <c r="AN190" i="7" s="1"/>
  <c r="AF90" i="7"/>
  <c r="AN90" i="7" s="1"/>
  <c r="AF37" i="7"/>
  <c r="AN37" i="7" s="1"/>
  <c r="AD265" i="7"/>
  <c r="AL265" i="7" s="1"/>
  <c r="AF245" i="7"/>
  <c r="AN245" i="7" s="1"/>
  <c r="AF211" i="7"/>
  <c r="AN211" i="7" s="1"/>
  <c r="AF158" i="7"/>
  <c r="AF52" i="7"/>
  <c r="AN52" i="7" s="1"/>
  <c r="AF270" i="7"/>
  <c r="AN270" i="7" s="1"/>
  <c r="AD253" i="7"/>
  <c r="AL253" i="7" s="1"/>
  <c r="AF13" i="7"/>
  <c r="AN13" i="7" s="1"/>
  <c r="AD236" i="7"/>
  <c r="AL236" i="7" s="1"/>
  <c r="AF188" i="7"/>
  <c r="AN188" i="7" s="1"/>
  <c r="AF171" i="7"/>
  <c r="AN171" i="7" s="1"/>
  <c r="AF191" i="7"/>
  <c r="AN191" i="7" s="1"/>
  <c r="AD178" i="7"/>
  <c r="AL178" i="7" s="1"/>
  <c r="AD39" i="7"/>
  <c r="AL39" i="7" s="1"/>
  <c r="AL170" i="7"/>
  <c r="AF150" i="7"/>
  <c r="AN150" i="7" s="1"/>
  <c r="AD98" i="7"/>
  <c r="AL98" i="7" s="1"/>
  <c r="AL220" i="7"/>
  <c r="AF99" i="7"/>
  <c r="AN99" i="7" s="1"/>
  <c r="AF244" i="7"/>
  <c r="AN244" i="7" s="1"/>
  <c r="AF100" i="7"/>
  <c r="AF172" i="7"/>
  <c r="AN172" i="7" s="1"/>
  <c r="AF30" i="7"/>
  <c r="AN30" i="7" s="1"/>
  <c r="AK136" i="7"/>
  <c r="AF56" i="7"/>
  <c r="AN56" i="7" s="1"/>
  <c r="AF291" i="7"/>
  <c r="AN291" i="7" s="1"/>
  <c r="AL244" i="7"/>
  <c r="AD288" i="7"/>
  <c r="AL288" i="7" s="1"/>
  <c r="AF77" i="7"/>
  <c r="AN77" i="7" s="1"/>
  <c r="AF61" i="7"/>
  <c r="AN61" i="7" s="1"/>
  <c r="AK211" i="7"/>
  <c r="AD86" i="7"/>
  <c r="AL86" i="7" s="1"/>
  <c r="AF58" i="7"/>
  <c r="AN58" i="7" s="1"/>
  <c r="AF106" i="7"/>
  <c r="AN106" i="7" s="1"/>
  <c r="AF78" i="7"/>
  <c r="AN78" i="7" s="1"/>
  <c r="AD233" i="7"/>
  <c r="AL233" i="7" s="1"/>
  <c r="AL245" i="7"/>
  <c r="AF40" i="7"/>
  <c r="AN40" i="7" s="1"/>
  <c r="AD151" i="7"/>
  <c r="AL151" i="7" s="1"/>
  <c r="AF325" i="7"/>
  <c r="AN325" i="7" s="1"/>
  <c r="AF125" i="7"/>
  <c r="AN125" i="7" s="1"/>
  <c r="AF176" i="7"/>
  <c r="AN176" i="7" s="1"/>
  <c r="AD184" i="7"/>
  <c r="AL184" i="7" s="1"/>
  <c r="AD41" i="7"/>
  <c r="AL41" i="7" s="1"/>
  <c r="AD230" i="7"/>
  <c r="AL230" i="7" s="1"/>
  <c r="AL188" i="7"/>
  <c r="AF203" i="7"/>
  <c r="AN203" i="7" s="1"/>
  <c r="AF53" i="7"/>
  <c r="AN53" i="7" s="1"/>
  <c r="AF123" i="7"/>
  <c r="AN123" i="7" s="1"/>
  <c r="AD164" i="7"/>
  <c r="AL164" i="7" s="1"/>
  <c r="AD222" i="7"/>
  <c r="AL222" i="7" s="1"/>
  <c r="AD287" i="7"/>
  <c r="AL287" i="7" s="1"/>
  <c r="AF124" i="7"/>
  <c r="AN124" i="7" s="1"/>
  <c r="AF299" i="7"/>
  <c r="AN299" i="7" s="1"/>
  <c r="AF324" i="7"/>
  <c r="AN324" i="7" s="1"/>
  <c r="AF210" i="7"/>
  <c r="AN210" i="7" s="1"/>
  <c r="AF311" i="7"/>
  <c r="AN311" i="7" s="1"/>
  <c r="AF186" i="7"/>
  <c r="AN186" i="7" s="1"/>
  <c r="AF24" i="7"/>
  <c r="AN24" i="7" s="1"/>
  <c r="AF28" i="7"/>
  <c r="AN28" i="7" s="1"/>
  <c r="AF194" i="7"/>
  <c r="AN194" i="7" s="1"/>
  <c r="AF181" i="7"/>
  <c r="AN181" i="7" s="1"/>
  <c r="AF248" i="7"/>
  <c r="AN248" i="7" s="1"/>
  <c r="AD217" i="7"/>
  <c r="AL217" i="7" s="1"/>
  <c r="AF250" i="7"/>
  <c r="AN250" i="7" s="1"/>
  <c r="AF144" i="7"/>
  <c r="AN144" i="7" s="1"/>
  <c r="AL248" i="7"/>
  <c r="AL136" i="7"/>
  <c r="AL8" i="7"/>
  <c r="AL211" i="7"/>
  <c r="AL215" i="7"/>
  <c r="C125" i="10"/>
  <c r="AL52" i="7"/>
  <c r="AL81" i="7"/>
  <c r="AL285" i="7"/>
  <c r="AF31" i="7"/>
  <c r="AN31" i="7" s="1"/>
  <c r="AF57" i="7"/>
  <c r="AN57" i="7" s="1"/>
  <c r="AF130" i="7"/>
  <c r="AN130" i="7" s="1"/>
  <c r="AF269" i="7"/>
  <c r="AN269" i="7" s="1"/>
  <c r="AK48" i="7"/>
  <c r="AD18" i="7"/>
  <c r="AL18" i="7" s="1"/>
  <c r="AF258" i="7"/>
  <c r="AN258" i="7" s="1"/>
  <c r="AF323" i="7"/>
  <c r="AN323" i="7" s="1"/>
  <c r="AF249" i="7"/>
  <c r="AN249" i="7" s="1"/>
  <c r="AF217" i="7"/>
  <c r="AN217" i="7" s="1"/>
  <c r="AF259" i="7"/>
  <c r="AN259" i="7" s="1"/>
  <c r="AD200" i="7"/>
  <c r="AL200" i="7" s="1"/>
  <c r="AK200" i="7"/>
  <c r="AF278" i="7"/>
  <c r="AN278" i="7" s="1"/>
  <c r="AF313" i="7"/>
  <c r="AN313" i="7" s="1"/>
  <c r="AF167" i="7"/>
  <c r="AN167" i="7" s="1"/>
  <c r="AK168" i="7"/>
  <c r="AF140" i="7"/>
  <c r="AD54" i="7"/>
  <c r="AL54" i="7" s="1"/>
  <c r="AD324" i="7"/>
  <c r="AL324" i="7" s="1"/>
  <c r="AK46" i="7"/>
  <c r="AD45" i="7"/>
  <c r="AL45" i="7" s="1"/>
  <c r="AK157" i="7"/>
  <c r="AK104" i="7"/>
  <c r="AS104" i="7" s="1"/>
  <c r="AF94" i="7"/>
  <c r="AD321" i="7"/>
  <c r="AL321" i="7" s="1"/>
  <c r="AF35" i="7"/>
  <c r="AN35" i="7" s="1"/>
  <c r="AF260" i="7"/>
  <c r="AD147" i="7"/>
  <c r="AL147" i="7" s="1"/>
  <c r="AK147" i="7"/>
  <c r="AK148" i="7"/>
  <c r="AD62" i="7"/>
  <c r="AL62" i="7" s="1"/>
  <c r="AK62" i="7"/>
  <c r="AF255" i="7"/>
  <c r="AN255" i="7" s="1"/>
  <c r="AF19" i="7"/>
  <c r="AN19" i="7" s="1"/>
  <c r="AF64" i="7"/>
  <c r="AN64" i="7" s="1"/>
  <c r="AF227" i="7"/>
  <c r="AN227" i="7" s="1"/>
  <c r="AF29" i="7"/>
  <c r="AN29" i="7" s="1"/>
  <c r="AF218" i="7"/>
  <c r="AN218" i="7" s="1"/>
  <c r="AF160" i="7"/>
  <c r="AF204" i="7"/>
  <c r="AN204" i="7" s="1"/>
  <c r="AD209" i="7"/>
  <c r="AL209" i="7" s="1"/>
  <c r="AF262" i="7"/>
  <c r="AN262" i="7" s="1"/>
  <c r="AK324" i="7"/>
  <c r="AK214" i="7"/>
  <c r="AF89" i="7"/>
  <c r="AN89" i="7" s="1"/>
  <c r="AF317" i="7"/>
  <c r="AF137" i="7"/>
  <c r="AN137" i="7" s="1"/>
  <c r="AF117" i="7"/>
  <c r="AN117" i="7" s="1"/>
  <c r="AL127" i="7"/>
  <c r="AF132" i="7"/>
  <c r="AN132" i="7" s="1"/>
  <c r="AF309" i="7"/>
  <c r="AN309" i="7" s="1"/>
  <c r="AF235" i="7"/>
  <c r="AF201" i="7"/>
  <c r="AN201" i="7" s="1"/>
  <c r="AF173" i="7"/>
  <c r="AN173" i="7" s="1"/>
  <c r="AF223" i="7"/>
  <c r="AN223" i="7" s="1"/>
  <c r="AF216" i="7"/>
  <c r="AM5" i="7"/>
  <c r="AS5" i="7" s="1"/>
  <c r="AF5" i="15" s="1"/>
  <c r="AL26" i="7"/>
  <c r="AD99" i="7"/>
  <c r="AL99" i="7" s="1"/>
  <c r="AK99" i="7"/>
  <c r="AD207" i="7"/>
  <c r="AD173" i="7"/>
  <c r="AL173" i="7" s="1"/>
  <c r="AK173" i="7"/>
  <c r="AS121" i="7"/>
  <c r="AD302" i="7"/>
  <c r="AL302" i="7" s="1"/>
  <c r="AK302" i="7"/>
  <c r="AF118" i="7"/>
  <c r="AF174" i="7"/>
  <c r="AN174" i="7" s="1"/>
  <c r="AD271" i="7"/>
  <c r="AF65" i="7"/>
  <c r="AN65" i="7" s="1"/>
  <c r="AF12" i="7"/>
  <c r="AF33" i="7"/>
  <c r="AN33" i="7" s="1"/>
  <c r="AF253" i="7"/>
  <c r="AN253" i="7" s="1"/>
  <c r="AF155" i="7"/>
  <c r="AN155" i="7" s="1"/>
  <c r="AF215" i="7"/>
  <c r="AN215" i="7" s="1"/>
  <c r="AF295" i="7"/>
  <c r="AN295" i="7" s="1"/>
  <c r="AF111" i="7"/>
  <c r="AN111" i="7" s="1"/>
  <c r="AD102" i="7"/>
  <c r="AL102" i="7" s="1"/>
  <c r="AK102" i="7"/>
  <c r="AD35" i="7"/>
  <c r="AL35" i="7" s="1"/>
  <c r="AF307" i="7"/>
  <c r="AN307" i="7" s="1"/>
  <c r="AF85" i="7"/>
  <c r="AN85" i="7" s="1"/>
  <c r="AF62" i="7"/>
  <c r="AN62" i="7" s="1"/>
  <c r="AD23" i="7"/>
  <c r="AL23" i="7" s="1"/>
  <c r="AD66" i="7"/>
  <c r="AL66" i="7" s="1"/>
  <c r="AF304" i="7"/>
  <c r="AS82" i="7"/>
  <c r="AD155" i="7"/>
  <c r="AL155" i="7" s="1"/>
  <c r="AD249" i="7"/>
  <c r="AL249" i="7" s="1"/>
  <c r="AK249" i="7"/>
  <c r="AL96" i="7"/>
  <c r="AF128" i="7"/>
  <c r="AN128" i="7" s="1"/>
  <c r="AK306" i="7"/>
  <c r="AK130" i="7"/>
  <c r="AK132" i="7"/>
  <c r="AF303" i="7"/>
  <c r="AN303" i="7" s="1"/>
  <c r="AS161" i="7"/>
  <c r="AF105" i="7"/>
  <c r="AL55" i="7"/>
  <c r="AF268" i="7"/>
  <c r="AN268" i="7" s="1"/>
  <c r="AF20" i="7"/>
  <c r="AN20" i="7" s="1"/>
  <c r="AD194" i="7"/>
  <c r="AL194" i="7" s="1"/>
  <c r="AF177" i="7"/>
  <c r="AN177" i="7" s="1"/>
  <c r="AF109" i="7"/>
  <c r="AN109" i="7" s="1"/>
  <c r="AF142" i="7"/>
  <c r="AN142" i="7" s="1"/>
  <c r="AF231" i="7"/>
  <c r="AN231" i="7" s="1"/>
  <c r="AK269" i="7"/>
  <c r="AF292" i="7"/>
  <c r="AF178" i="7"/>
  <c r="AN178" i="7" s="1"/>
  <c r="AD29" i="7"/>
  <c r="AL29" i="7" s="1"/>
  <c r="AF146" i="7"/>
  <c r="AN146" i="7" s="1"/>
  <c r="AF156" i="7"/>
  <c r="AN156" i="7" s="1"/>
  <c r="AL132" i="7"/>
  <c r="AD109" i="7"/>
  <c r="AL109" i="7" s="1"/>
  <c r="AF21" i="7"/>
  <c r="AF149" i="7"/>
  <c r="AF289" i="7"/>
  <c r="AN289" i="7" s="1"/>
  <c r="AD295" i="7"/>
  <c r="AL295" i="7" s="1"/>
  <c r="AF26" i="7"/>
  <c r="AF32" i="7"/>
  <c r="AF274" i="7"/>
  <c r="AN274" i="7" s="1"/>
  <c r="AD241" i="7"/>
  <c r="AF87" i="7"/>
  <c r="AN87" i="7" s="1"/>
  <c r="AF27" i="7"/>
  <c r="AN27" i="7" s="1"/>
  <c r="AF251" i="7"/>
  <c r="AN251" i="7" s="1"/>
  <c r="AD322" i="7"/>
  <c r="AL322" i="7" s="1"/>
  <c r="AD187" i="7"/>
  <c r="AL187" i="7" s="1"/>
  <c r="AF139" i="7"/>
  <c r="AN139" i="7" s="1"/>
  <c r="AF112" i="7"/>
  <c r="AN112" i="7" s="1"/>
  <c r="AD24" i="7"/>
  <c r="AF36" i="7"/>
  <c r="AN36" i="7" s="1"/>
  <c r="AF195" i="7"/>
  <c r="AN195" i="7" s="1"/>
  <c r="AD51" i="7"/>
  <c r="AL51" i="7" s="1"/>
  <c r="AD261" i="7"/>
  <c r="AL261" i="7" s="1"/>
  <c r="AF80" i="7"/>
  <c r="AN80" i="7" s="1"/>
  <c r="AL263" i="7"/>
  <c r="AD172" i="7"/>
  <c r="AF10" i="7"/>
  <c r="AF279" i="7"/>
  <c r="AN279" i="7" s="1"/>
  <c r="AF254" i="7"/>
  <c r="AD78" i="7"/>
  <c r="AL78" i="7" s="1"/>
  <c r="AK281" i="7"/>
  <c r="AF147" i="7"/>
  <c r="AN147" i="7" s="1"/>
  <c r="AK38" i="7"/>
  <c r="AD146" i="7"/>
  <c r="AL146" i="7" s="1"/>
  <c r="AK146" i="7"/>
  <c r="AK221" i="7"/>
  <c r="AF88" i="7"/>
  <c r="AN88" i="7" s="1"/>
  <c r="AF261" i="7"/>
  <c r="AN261" i="7" s="1"/>
  <c r="AL48" i="7"/>
  <c r="AF280" i="7"/>
  <c r="AN280" i="7" s="1"/>
  <c r="AS219" i="7"/>
  <c r="AF229" i="7"/>
  <c r="AN229" i="7" s="1"/>
  <c r="AF129" i="7"/>
  <c r="AN129" i="7" s="1"/>
  <c r="AF22" i="7"/>
  <c r="AN22" i="7" s="1"/>
  <c r="AK316" i="7"/>
  <c r="AS316" i="7" s="1"/>
  <c r="AF15" i="7"/>
  <c r="AN15" i="7" s="1"/>
  <c r="AF290" i="7"/>
  <c r="AN290" i="7" s="1"/>
  <c r="AD237" i="7"/>
  <c r="AL237" i="7" s="1"/>
  <c r="AK237" i="7"/>
  <c r="AF207" i="7"/>
  <c r="AN207" i="7" s="1"/>
  <c r="AK289" i="7"/>
  <c r="AL228" i="7"/>
  <c r="AF46" i="7"/>
  <c r="AN46" i="7" s="1"/>
  <c r="AD17" i="7"/>
  <c r="AL17" i="7" s="1"/>
  <c r="AF198" i="7"/>
  <c r="AN198" i="7" s="1"/>
  <c r="AF225" i="7"/>
  <c r="AF305" i="7"/>
  <c r="AN305" i="7" s="1"/>
  <c r="AD135" i="7"/>
  <c r="AL135" i="7" s="1"/>
  <c r="AF285" i="7"/>
  <c r="AN285" i="7" s="1"/>
  <c r="AF76" i="7"/>
  <c r="AN76" i="7" s="1"/>
  <c r="AF154" i="7"/>
  <c r="AN154" i="7" s="1"/>
  <c r="AF209" i="7"/>
  <c r="AN209" i="7" s="1"/>
  <c r="AD129" i="7"/>
  <c r="AF239" i="7"/>
  <c r="AK36" i="7"/>
  <c r="AF102" i="7"/>
  <c r="AN102" i="7" s="1"/>
  <c r="AF233" i="7"/>
  <c r="AN233" i="7" s="1"/>
  <c r="AD22" i="7"/>
  <c r="AL22" i="7" s="1"/>
  <c r="AF131" i="7"/>
  <c r="AN131" i="7" s="1"/>
  <c r="AF179" i="7"/>
  <c r="AN179" i="7" s="1"/>
  <c r="AF84" i="7"/>
  <c r="AN84" i="7" s="1"/>
  <c r="AK190" i="7"/>
  <c r="AD137" i="7"/>
  <c r="AL137" i="7" s="1"/>
  <c r="AK137" i="7"/>
  <c r="AF308" i="7"/>
  <c r="AN308" i="7" s="1"/>
  <c r="AF320" i="7"/>
  <c r="AN320" i="7" s="1"/>
  <c r="AF222" i="7"/>
  <c r="AN222" i="7" s="1"/>
  <c r="AD223" i="7"/>
  <c r="AF38" i="7"/>
  <c r="AN38" i="7" s="1"/>
  <c r="AD67" i="7"/>
  <c r="AL67" i="7" s="1"/>
  <c r="AD180" i="7"/>
  <c r="AF221" i="7"/>
  <c r="AN221" i="7" s="1"/>
  <c r="AF247" i="7"/>
  <c r="AN247" i="7" s="1"/>
  <c r="AD150" i="7"/>
  <c r="AL150" i="7" s="1"/>
  <c r="AK150" i="7"/>
  <c r="AS283" i="7"/>
  <c r="AK120" i="7"/>
  <c r="AS120" i="7" s="1"/>
  <c r="AF48" i="7"/>
  <c r="AN48" i="7" s="1"/>
  <c r="AM48" i="7"/>
  <c r="AF95" i="7"/>
  <c r="AD162" i="7"/>
  <c r="AL162" i="7" s="1"/>
  <c r="AK85" i="7"/>
  <c r="AF135" i="7"/>
  <c r="AN135" i="7" s="1"/>
  <c r="AF66" i="7"/>
  <c r="AN66" i="7" s="1"/>
  <c r="AD111" i="7"/>
  <c r="AL111" i="7" s="1"/>
  <c r="AF25" i="7"/>
  <c r="AN25" i="7" s="1"/>
  <c r="AF70" i="7"/>
  <c r="AN70" i="7" s="1"/>
  <c r="AF51" i="7"/>
  <c r="AN51" i="7" s="1"/>
  <c r="AF252" i="7"/>
  <c r="AF266" i="7"/>
  <c r="AN266" i="7" s="1"/>
  <c r="AL31" i="7"/>
  <c r="AF18" i="7"/>
  <c r="AN18" i="7" s="1"/>
  <c r="AL61" i="7"/>
  <c r="AL59" i="7"/>
  <c r="AL70" i="7"/>
  <c r="AF69" i="7"/>
  <c r="AN69" i="7" s="1"/>
  <c r="AF296" i="7"/>
  <c r="AN296" i="7" s="1"/>
  <c r="AF199" i="7"/>
  <c r="AN199" i="7" s="1"/>
  <c r="AF310" i="7"/>
  <c r="AN310" i="7" s="1"/>
  <c r="AK300" i="7"/>
  <c r="AF17" i="7"/>
  <c r="AN17" i="7" s="1"/>
  <c r="AF68" i="7"/>
  <c r="AN68" i="7" s="1"/>
  <c r="AD63" i="7"/>
  <c r="AL63" i="7" s="1"/>
  <c r="AL46" i="7"/>
  <c r="AF301" i="7"/>
  <c r="AN301" i="7" s="1"/>
  <c r="AF267" i="7"/>
  <c r="AN267" i="7" s="1"/>
  <c r="AF246" i="7"/>
  <c r="AN246" i="7" s="1"/>
  <c r="AF145" i="7"/>
  <c r="AN145" i="7" s="1"/>
  <c r="AF153" i="7"/>
  <c r="AF50" i="7"/>
  <c r="AF206" i="7"/>
  <c r="AN206" i="7" s="1"/>
  <c r="AS293" i="7"/>
  <c r="AF256" i="7"/>
  <c r="AM256" i="7"/>
  <c r="AD9" i="7"/>
  <c r="AL9" i="7" s="1"/>
  <c r="AF183" i="7"/>
  <c r="AF237" i="7"/>
  <c r="AN237" i="7" s="1"/>
  <c r="AD112" i="7"/>
  <c r="C107" i="10"/>
  <c r="AF122" i="7"/>
  <c r="AN122" i="7" s="1"/>
  <c r="AF257" i="7"/>
  <c r="AN257" i="7" s="1"/>
  <c r="AF298" i="7"/>
  <c r="AN298" i="7" s="1"/>
  <c r="AF205" i="7"/>
  <c r="AN205" i="7" s="1"/>
  <c r="AK244" i="7"/>
  <c r="AF115" i="7"/>
  <c r="AN115" i="7" s="1"/>
  <c r="AF23" i="7"/>
  <c r="AN23" i="7" s="1"/>
  <c r="AF187" i="7"/>
  <c r="AN187" i="7" s="1"/>
  <c r="AF243" i="7"/>
  <c r="AN243" i="7" s="1"/>
  <c r="AD76" i="7"/>
  <c r="AL76" i="7" s="1"/>
  <c r="AK76" i="7"/>
  <c r="AD128" i="7"/>
  <c r="AL128" i="7" s="1"/>
  <c r="AK128" i="7"/>
  <c r="AF4" i="7"/>
  <c r="AN4" i="7" s="1"/>
  <c r="AD4" i="7"/>
  <c r="AL4" i="7" s="1"/>
  <c r="AI4" i="7"/>
  <c r="AJ4" i="7" s="1"/>
  <c r="AQ4" i="7"/>
  <c r="AG4" i="7"/>
  <c r="AH4" i="7" s="1"/>
  <c r="AS306" i="7" l="1"/>
  <c r="AS197" i="7"/>
  <c r="AS312" i="7"/>
  <c r="C311" i="10" s="1"/>
  <c r="O311" i="10" s="1"/>
  <c r="AS272" i="7"/>
  <c r="C271" i="10" s="1"/>
  <c r="AS116" i="7"/>
  <c r="AS263" i="7"/>
  <c r="AS314" i="7"/>
  <c r="C313" i="10" s="1"/>
  <c r="P313" i="10" s="1"/>
  <c r="AS157" i="7"/>
  <c r="C156" i="10" s="1"/>
  <c r="AS40" i="7"/>
  <c r="AS318" i="7"/>
  <c r="AS282" i="7"/>
  <c r="C281" i="10" s="1"/>
  <c r="AS170" i="7"/>
  <c r="C169" i="10" s="1"/>
  <c r="U169" i="10" s="1"/>
  <c r="W169" i="10" s="1"/>
  <c r="Y169" i="10" s="1"/>
  <c r="AS39" i="7"/>
  <c r="C38" i="10" s="1"/>
  <c r="AS110" i="7"/>
  <c r="C109" i="10" s="1"/>
  <c r="P109" i="10" s="1"/>
  <c r="AS141" i="7"/>
  <c r="C140" i="10" s="1"/>
  <c r="AS192" i="7"/>
  <c r="C191" i="10" s="1"/>
  <c r="AF37" i="19"/>
  <c r="AS133" i="7"/>
  <c r="C132" i="10" s="1"/>
  <c r="O132" i="10" s="1"/>
  <c r="F52" i="13"/>
  <c r="F54" i="13" s="1"/>
  <c r="F56" i="13" s="1"/>
  <c r="F4" i="13" s="1"/>
  <c r="F46" i="13"/>
  <c r="F47" i="13"/>
  <c r="F49" i="13"/>
  <c r="F48" i="13"/>
  <c r="F45" i="13"/>
  <c r="AF34" i="17"/>
  <c r="C46" i="15" s="1"/>
  <c r="AS169" i="7"/>
  <c r="C168" i="10" s="1"/>
  <c r="AS244" i="7"/>
  <c r="C243" i="10" s="1"/>
  <c r="AS74" i="7"/>
  <c r="C73" i="10" s="1"/>
  <c r="AS6" i="7"/>
  <c r="AF6" i="15" s="1"/>
  <c r="AS13" i="7"/>
  <c r="AF13" i="15" s="1"/>
  <c r="C6" i="10"/>
  <c r="AF7" i="15"/>
  <c r="AS73" i="7"/>
  <c r="C72" i="10" s="1"/>
  <c r="AS151" i="7"/>
  <c r="C150" i="10" s="1"/>
  <c r="AS224" i="7"/>
  <c r="C223" i="10" s="1"/>
  <c r="U223" i="10" s="1"/>
  <c r="W223" i="10" s="1"/>
  <c r="Y223" i="10" s="1"/>
  <c r="AS101" i="7"/>
  <c r="C100" i="10" s="1"/>
  <c r="L100" i="10" s="1"/>
  <c r="AS203" i="7"/>
  <c r="C202" i="10" s="1"/>
  <c r="AS319" i="7"/>
  <c r="C318" i="10" s="1"/>
  <c r="R318" i="10" s="1"/>
  <c r="AS41" i="7"/>
  <c r="C40" i="10" s="1"/>
  <c r="AS107" i="7"/>
  <c r="C106" i="10" s="1"/>
  <c r="AS228" i="7"/>
  <c r="C227" i="10" s="1"/>
  <c r="AS98" i="7"/>
  <c r="C97" i="10" s="1"/>
  <c r="AS152" i="7"/>
  <c r="C151" i="10" s="1"/>
  <c r="AS119" i="7"/>
  <c r="C118" i="10" s="1"/>
  <c r="U118" i="10" s="1"/>
  <c r="W118" i="10" s="1"/>
  <c r="Y118" i="10" s="1"/>
  <c r="AS212" i="7"/>
  <c r="C211" i="10" s="1"/>
  <c r="AS14" i="7"/>
  <c r="AF14" i="15" s="1"/>
  <c r="AS166" i="7"/>
  <c r="C165" i="10" s="1"/>
  <c r="AS30" i="7"/>
  <c r="AS164" i="7"/>
  <c r="C163" i="10" s="1"/>
  <c r="AS72" i="7"/>
  <c r="C71" i="10" s="1"/>
  <c r="O71" i="10" s="1"/>
  <c r="AS213" i="7"/>
  <c r="C212" i="10" s="1"/>
  <c r="AS103" i="7"/>
  <c r="C102" i="10" s="1"/>
  <c r="AS168" i="7"/>
  <c r="C167" i="10" s="1"/>
  <c r="AS138" i="7"/>
  <c r="C137" i="10" s="1"/>
  <c r="AS185" i="7"/>
  <c r="C184" i="10" s="1"/>
  <c r="AS276" i="7"/>
  <c r="C275" i="10" s="1"/>
  <c r="AS265" i="7"/>
  <c r="C264" i="10" s="1"/>
  <c r="AS55" i="7"/>
  <c r="C54" i="10" s="1"/>
  <c r="AS294" i="7"/>
  <c r="C293" i="10" s="1"/>
  <c r="AS275" i="7"/>
  <c r="C274" i="10" s="1"/>
  <c r="AS273" i="7"/>
  <c r="C272" i="10" s="1"/>
  <c r="AS277" i="7"/>
  <c r="C276" i="10" s="1"/>
  <c r="AS238" i="7"/>
  <c r="C237" i="10" s="1"/>
  <c r="AS190" i="7"/>
  <c r="C189" i="10" s="1"/>
  <c r="AS75" i="7"/>
  <c r="C74" i="10" s="1"/>
  <c r="O74" i="10" s="1"/>
  <c r="AS16" i="7"/>
  <c r="AF16" i="15" s="1"/>
  <c r="AS281" i="7"/>
  <c r="C280" i="10" s="1"/>
  <c r="AS171" i="7"/>
  <c r="C170" i="10" s="1"/>
  <c r="AS42" i="7"/>
  <c r="C41" i="10" s="1"/>
  <c r="AS81" i="7"/>
  <c r="C80" i="10" s="1"/>
  <c r="AS288" i="7"/>
  <c r="C287" i="10" s="1"/>
  <c r="AS232" i="7"/>
  <c r="C231" i="10" s="1"/>
  <c r="AS114" i="7"/>
  <c r="C113" i="10" s="1"/>
  <c r="R113" i="10" s="1"/>
  <c r="AS71" i="7"/>
  <c r="C70" i="10" s="1"/>
  <c r="AS313" i="7"/>
  <c r="C312" i="10" s="1"/>
  <c r="AS59" i="7"/>
  <c r="C58" i="10" s="1"/>
  <c r="AS176" i="7"/>
  <c r="C175" i="10" s="1"/>
  <c r="AS83" i="7"/>
  <c r="C82" i="10" s="1"/>
  <c r="AS287" i="7"/>
  <c r="C286" i="10" s="1"/>
  <c r="AS193" i="7"/>
  <c r="C192" i="10" s="1"/>
  <c r="AS159" i="7"/>
  <c r="C158" i="10" s="1"/>
  <c r="AS242" i="7"/>
  <c r="C241" i="10" s="1"/>
  <c r="AS123" i="7"/>
  <c r="C122" i="10" s="1"/>
  <c r="AS150" i="7"/>
  <c r="C149" i="10" s="1"/>
  <c r="AS58" i="7"/>
  <c r="C57" i="10" s="1"/>
  <c r="AS262" i="7"/>
  <c r="C261" i="10" s="1"/>
  <c r="AS259" i="7"/>
  <c r="C258" i="10" s="1"/>
  <c r="AS218" i="7"/>
  <c r="C217" i="10" s="1"/>
  <c r="AS31" i="7"/>
  <c r="AF31" i="15" s="1"/>
  <c r="AS201" i="7"/>
  <c r="C200" i="10" s="1"/>
  <c r="AS202" i="7"/>
  <c r="C201" i="10" s="1"/>
  <c r="AS191" i="7"/>
  <c r="C190" i="10" s="1"/>
  <c r="AS274" i="7"/>
  <c r="C273" i="10" s="1"/>
  <c r="AS37" i="7"/>
  <c r="AS315" i="7"/>
  <c r="C314" i="10" s="1"/>
  <c r="AS148" i="7"/>
  <c r="C147" i="10" s="1"/>
  <c r="AS163" i="7"/>
  <c r="C162" i="10" s="1"/>
  <c r="AS165" i="7"/>
  <c r="AS220" i="7"/>
  <c r="C219" i="10" s="1"/>
  <c r="AS196" i="7"/>
  <c r="AS186" i="7"/>
  <c r="C185" i="10" s="1"/>
  <c r="AS11" i="7"/>
  <c r="AF11" i="15" s="1"/>
  <c r="AS127" i="7"/>
  <c r="C126" i="10" s="1"/>
  <c r="AS96" i="7"/>
  <c r="C95" i="10" s="1"/>
  <c r="AS177" i="7"/>
  <c r="C176" i="10" s="1"/>
  <c r="AS236" i="7"/>
  <c r="C235" i="10" s="1"/>
  <c r="AS134" i="7"/>
  <c r="C133" i="10" s="1"/>
  <c r="AS214" i="7"/>
  <c r="C213" i="10" s="1"/>
  <c r="AS253" i="7"/>
  <c r="C252" i="10" s="1"/>
  <c r="AS309" i="7"/>
  <c r="C308" i="10" s="1"/>
  <c r="AS49" i="7"/>
  <c r="AS300" i="7"/>
  <c r="C299" i="10" s="1"/>
  <c r="AS139" i="7"/>
  <c r="C138" i="10" s="1"/>
  <c r="AS217" i="7"/>
  <c r="C216" i="10" s="1"/>
  <c r="AS60" i="7"/>
  <c r="C59" i="10" s="1"/>
  <c r="AS113" i="7"/>
  <c r="C112" i="10" s="1"/>
  <c r="AS227" i="7"/>
  <c r="C226" i="10" s="1"/>
  <c r="AS57" i="7"/>
  <c r="C56" i="10" s="1"/>
  <c r="AS92" i="7"/>
  <c r="AS175" i="7"/>
  <c r="C174" i="10" s="1"/>
  <c r="AS181" i="7"/>
  <c r="C180" i="10" s="1"/>
  <c r="AS245" i="7"/>
  <c r="C244" i="10" s="1"/>
  <c r="AS240" i="7"/>
  <c r="AS89" i="7"/>
  <c r="C88" i="10" s="1"/>
  <c r="AS269" i="7"/>
  <c r="C268" i="10" s="1"/>
  <c r="AS77" i="7"/>
  <c r="C76" i="10" s="1"/>
  <c r="AS84" i="7"/>
  <c r="C83" i="10" s="1"/>
  <c r="AS189" i="7"/>
  <c r="C188" i="10" s="1"/>
  <c r="AS289" i="7"/>
  <c r="C288" i="10" s="1"/>
  <c r="AS28" i="7"/>
  <c r="AF28" i="15" s="1"/>
  <c r="AS137" i="7"/>
  <c r="C136" i="10" s="1"/>
  <c r="AS33" i="7"/>
  <c r="AF33" i="15" s="1"/>
  <c r="AS47" i="7"/>
  <c r="C46" i="10" s="1"/>
  <c r="AS43" i="7"/>
  <c r="AS44" i="7"/>
  <c r="C43" i="10" s="1"/>
  <c r="AS231" i="7"/>
  <c r="C230" i="10" s="1"/>
  <c r="AS64" i="7"/>
  <c r="C63" i="10" s="1"/>
  <c r="AS226" i="7"/>
  <c r="AS290" i="7"/>
  <c r="C289" i="10" s="1"/>
  <c r="AS284" i="7"/>
  <c r="C283" i="10" s="1"/>
  <c r="AS106" i="7"/>
  <c r="C105" i="10" s="1"/>
  <c r="AS8" i="7"/>
  <c r="AF8" i="15" s="1"/>
  <c r="AS136" i="7"/>
  <c r="C135" i="10" s="1"/>
  <c r="AS248" i="7"/>
  <c r="C247" i="10" s="1"/>
  <c r="AS90" i="7"/>
  <c r="AS91" i="7"/>
  <c r="AS204" i="7"/>
  <c r="C203" i="10" s="1"/>
  <c r="AS143" i="7"/>
  <c r="AS19" i="7"/>
  <c r="AF19" i="15" s="1"/>
  <c r="AS182" i="7"/>
  <c r="C181" i="10" s="1"/>
  <c r="AS52" i="7"/>
  <c r="C51" i="10" s="1"/>
  <c r="AS208" i="7"/>
  <c r="C207" i="10" s="1"/>
  <c r="AS54" i="7"/>
  <c r="C53" i="10" s="1"/>
  <c r="AS321" i="7"/>
  <c r="C320" i="10" s="1"/>
  <c r="AS249" i="7"/>
  <c r="C248" i="10" s="1"/>
  <c r="AS132" i="7"/>
  <c r="AS93" i="7"/>
  <c r="AS36" i="7"/>
  <c r="AS200" i="7"/>
  <c r="C199" i="10" s="1"/>
  <c r="AS97" i="7"/>
  <c r="AS63" i="7"/>
  <c r="C62" i="10" s="1"/>
  <c r="AS211" i="7"/>
  <c r="C210" i="10" s="1"/>
  <c r="AS61" i="7"/>
  <c r="C60" i="10" s="1"/>
  <c r="AS86" i="7"/>
  <c r="AS130" i="7"/>
  <c r="C129" i="10" s="1"/>
  <c r="AS53" i="7"/>
  <c r="AS155" i="7"/>
  <c r="C154" i="10" s="1"/>
  <c r="AS174" i="7"/>
  <c r="C173" i="10" s="1"/>
  <c r="AS125" i="7"/>
  <c r="C124" i="10" s="1"/>
  <c r="AS325" i="7"/>
  <c r="AS142" i="7"/>
  <c r="C141" i="10" s="1"/>
  <c r="AS128" i="7"/>
  <c r="AN158" i="7"/>
  <c r="AS158" i="7" s="1"/>
  <c r="AN297" i="7"/>
  <c r="AS297" i="7" s="1"/>
  <c r="AS250" i="7"/>
  <c r="AS144" i="7"/>
  <c r="AS234" i="7"/>
  <c r="AS70" i="7"/>
  <c r="C69" i="10" s="1"/>
  <c r="AS258" i="7"/>
  <c r="C257" i="10" s="1"/>
  <c r="AS167" i="7"/>
  <c r="C166" i="10" s="1"/>
  <c r="AS270" i="7"/>
  <c r="AS23" i="7"/>
  <c r="AS76" i="7"/>
  <c r="C75" i="10" s="1"/>
  <c r="AS299" i="7"/>
  <c r="C298" i="10" s="1"/>
  <c r="AS45" i="7"/>
  <c r="C44" i="10" s="1"/>
  <c r="AS56" i="7"/>
  <c r="AN100" i="7"/>
  <c r="AS100" i="7" s="1"/>
  <c r="AS308" i="7"/>
  <c r="C307" i="10" s="1"/>
  <c r="AS99" i="7"/>
  <c r="C98" i="10" s="1"/>
  <c r="AS20" i="7"/>
  <c r="AF20" i="15" s="1"/>
  <c r="AS184" i="7"/>
  <c r="AS291" i="7"/>
  <c r="AS188" i="7"/>
  <c r="AS285" i="7"/>
  <c r="C284" i="10" s="1"/>
  <c r="AS145" i="7"/>
  <c r="C144" i="10" s="1"/>
  <c r="AS229" i="7"/>
  <c r="C228" i="10" s="1"/>
  <c r="AS230" i="7"/>
  <c r="C229" i="10" s="1"/>
  <c r="AS278" i="7"/>
  <c r="C277" i="10" s="1"/>
  <c r="AS124" i="7"/>
  <c r="C123" i="10" s="1"/>
  <c r="AS210" i="7"/>
  <c r="C209" i="10" s="1"/>
  <c r="AS156" i="7"/>
  <c r="C155" i="10" s="1"/>
  <c r="AS65" i="7"/>
  <c r="C64" i="10" s="1"/>
  <c r="AS22" i="7"/>
  <c r="AF22" i="15" s="1"/>
  <c r="AS311" i="7"/>
  <c r="C103" i="10"/>
  <c r="C4" i="10"/>
  <c r="C285" i="10"/>
  <c r="C305" i="10"/>
  <c r="U107" i="10"/>
  <c r="W107" i="10" s="1"/>
  <c r="Y107" i="10" s="1"/>
  <c r="O107" i="10"/>
  <c r="Q107" i="10"/>
  <c r="R107" i="10"/>
  <c r="P107" i="10"/>
  <c r="L107" i="10"/>
  <c r="AL129" i="7"/>
  <c r="AS129" i="7" s="1"/>
  <c r="AS131" i="7"/>
  <c r="AS38" i="7"/>
  <c r="U78" i="10"/>
  <c r="W78" i="10" s="1"/>
  <c r="Y78" i="10" s="1"/>
  <c r="O78" i="10"/>
  <c r="P78" i="10"/>
  <c r="R78" i="10"/>
  <c r="Q78" i="10"/>
  <c r="L78" i="10"/>
  <c r="AS302" i="7"/>
  <c r="AS147" i="7"/>
  <c r="AS179" i="7"/>
  <c r="AS27" i="7"/>
  <c r="AF27" i="15" s="1"/>
  <c r="AS51" i="7"/>
  <c r="AS209" i="7"/>
  <c r="AS222" i="7"/>
  <c r="AL112" i="7"/>
  <c r="AS112" i="7" s="1"/>
  <c r="AS305" i="7"/>
  <c r="AS117" i="7"/>
  <c r="AS247" i="7"/>
  <c r="AS9" i="7"/>
  <c r="AF9" i="15" s="1"/>
  <c r="AS215" i="7"/>
  <c r="AS251" i="7"/>
  <c r="AL241" i="7"/>
  <c r="AS241" i="7" s="1"/>
  <c r="C120" i="10"/>
  <c r="AN260" i="7"/>
  <c r="AS260" i="7" s="1"/>
  <c r="AN140" i="7"/>
  <c r="AS140" i="7" s="1"/>
  <c r="AS87" i="7"/>
  <c r="AS35" i="7"/>
  <c r="AS178" i="7"/>
  <c r="AS68" i="7"/>
  <c r="C115" i="10"/>
  <c r="AN292" i="7"/>
  <c r="AS292" i="7" s="1"/>
  <c r="AS206" i="7"/>
  <c r="AS301" i="7"/>
  <c r="AS194" i="7"/>
  <c r="AN95" i="7"/>
  <c r="AS95" i="7" s="1"/>
  <c r="AN252" i="7"/>
  <c r="AS252" i="7" s="1"/>
  <c r="AS243" i="7"/>
  <c r="C39" i="10"/>
  <c r="AS237" i="7"/>
  <c r="AN32" i="7"/>
  <c r="AS32" i="7" s="1"/>
  <c r="AF32" i="15" s="1"/>
  <c r="C196" i="10"/>
  <c r="AS173" i="7"/>
  <c r="AN216" i="7"/>
  <c r="AS216" i="7" s="1"/>
  <c r="AS78" i="7"/>
  <c r="AS295" i="7"/>
  <c r="AN160" i="7"/>
  <c r="AS160" i="7" s="1"/>
  <c r="AL24" i="7"/>
  <c r="AS24" i="7" s="1"/>
  <c r="AF24" i="15" s="1"/>
  <c r="AN26" i="7"/>
  <c r="AS26" i="7" s="1"/>
  <c r="AF26" i="15" s="1"/>
  <c r="AN105" i="7"/>
  <c r="AS105" i="7" s="1"/>
  <c r="AS267" i="7"/>
  <c r="AS324" i="7"/>
  <c r="AS162" i="7"/>
  <c r="AS18" i="7"/>
  <c r="AF18" i="15" s="1"/>
  <c r="C160" i="10"/>
  <c r="AN12" i="7"/>
  <c r="AS12" i="7" s="1"/>
  <c r="AF12" i="15" s="1"/>
  <c r="AS15" i="7"/>
  <c r="AF15" i="15" s="1"/>
  <c r="AS266" i="7"/>
  <c r="C317" i="10"/>
  <c r="U311" i="10"/>
  <c r="W311" i="10" s="1"/>
  <c r="Y311" i="10" s="1"/>
  <c r="R311" i="10"/>
  <c r="Q311" i="10"/>
  <c r="P311" i="10"/>
  <c r="AS109" i="7"/>
  <c r="AS111" i="7"/>
  <c r="AS48" i="7"/>
  <c r="AS46" i="7"/>
  <c r="AN183" i="7"/>
  <c r="AS183" i="7" s="1"/>
  <c r="AN254" i="7"/>
  <c r="AS254" i="7" s="1"/>
  <c r="C81" i="10"/>
  <c r="AS102" i="7"/>
  <c r="AN317" i="7"/>
  <c r="AS317" i="7" s="1"/>
  <c r="AN94" i="7"/>
  <c r="AS94" i="7" s="1"/>
  <c r="U313" i="10"/>
  <c r="W313" i="10" s="1"/>
  <c r="Y313" i="10" s="1"/>
  <c r="O313" i="10"/>
  <c r="R313" i="10"/>
  <c r="Q313" i="10"/>
  <c r="L313" i="10"/>
  <c r="AS298" i="7"/>
  <c r="C218" i="10"/>
  <c r="C119" i="10"/>
  <c r="AS146" i="7"/>
  <c r="AS221" i="7"/>
  <c r="AS307" i="7"/>
  <c r="AL207" i="7"/>
  <c r="AS207" i="7" s="1"/>
  <c r="AS29" i="7"/>
  <c r="AF29" i="15" s="1"/>
  <c r="AS279" i="7"/>
  <c r="AN304" i="7"/>
  <c r="AS304" i="7" s="1"/>
  <c r="AS205" i="7"/>
  <c r="AN256" i="7"/>
  <c r="AS256" i="7" s="1"/>
  <c r="AS257" i="7"/>
  <c r="AL223" i="7"/>
  <c r="AS223" i="7" s="1"/>
  <c r="AS280" i="7"/>
  <c r="AN149" i="7"/>
  <c r="AS149" i="7" s="1"/>
  <c r="AS323" i="7"/>
  <c r="AS85" i="7"/>
  <c r="AS246" i="7"/>
  <c r="AN225" i="7"/>
  <c r="AS225" i="7" s="1"/>
  <c r="AS233" i="7"/>
  <c r="AN21" i="7"/>
  <c r="AS21" i="7" s="1"/>
  <c r="AF21" i="15" s="1"/>
  <c r="AS187" i="7"/>
  <c r="U125" i="10"/>
  <c r="W125" i="10" s="1"/>
  <c r="Y125" i="10" s="1"/>
  <c r="O125" i="10"/>
  <c r="P125" i="10"/>
  <c r="R125" i="10"/>
  <c r="Q125" i="10"/>
  <c r="L125" i="10"/>
  <c r="AS322" i="7"/>
  <c r="C315" i="10"/>
  <c r="AS195" i="7"/>
  <c r="AN10" i="7"/>
  <c r="AS10" i="7" s="1"/>
  <c r="AF10" i="15" s="1"/>
  <c r="AS25" i="7"/>
  <c r="AF25" i="15" s="1"/>
  <c r="AS296" i="7"/>
  <c r="AL271" i="7"/>
  <c r="AS271" i="7" s="1"/>
  <c r="AS62" i="7"/>
  <c r="AS261" i="7"/>
  <c r="C292" i="10"/>
  <c r="AL172" i="7"/>
  <c r="AS172" i="7" s="1"/>
  <c r="AS268" i="7"/>
  <c r="AS255" i="7"/>
  <c r="AS80" i="7"/>
  <c r="U263" i="10"/>
  <c r="W263" i="10" s="1"/>
  <c r="Y263" i="10" s="1"/>
  <c r="O263" i="10"/>
  <c r="Q263" i="10"/>
  <c r="R263" i="10"/>
  <c r="P263" i="10"/>
  <c r="L263" i="10"/>
  <c r="AN118" i="7"/>
  <c r="AS118" i="7" s="1"/>
  <c r="AN235" i="7"/>
  <c r="AS235" i="7" s="1"/>
  <c r="AS199" i="7"/>
  <c r="AS198" i="7"/>
  <c r="AS303" i="7"/>
  <c r="AS115" i="7"/>
  <c r="AS67" i="7"/>
  <c r="AS310" i="7"/>
  <c r="AN50" i="7"/>
  <c r="AS50" i="7" s="1"/>
  <c r="AS69" i="7"/>
  <c r="C262" i="10"/>
  <c r="AS320" i="7"/>
  <c r="AS122" i="7"/>
  <c r="AN153" i="7"/>
  <c r="AS153" i="7" s="1"/>
  <c r="AS66" i="7"/>
  <c r="C282" i="10"/>
  <c r="AL180" i="7"/>
  <c r="AS180" i="7" s="1"/>
  <c r="AN239" i="7"/>
  <c r="AS239" i="7" s="1"/>
  <c r="AS88" i="7"/>
  <c r="AS17" i="7"/>
  <c r="AF17" i="15" s="1"/>
  <c r="AS154" i="7"/>
  <c r="AS135" i="7"/>
  <c r="U132" i="10"/>
  <c r="W132" i="10" s="1"/>
  <c r="Y132" i="10" s="1"/>
  <c r="R132" i="10"/>
  <c r="P132" i="10"/>
  <c r="AS4" i="7"/>
  <c r="Q132" i="10" l="1"/>
  <c r="L311" i="10"/>
  <c r="C12" i="21"/>
  <c r="P100" i="10"/>
  <c r="R169" i="10"/>
  <c r="Q169" i="10"/>
  <c r="P169" i="10"/>
  <c r="C12" i="10"/>
  <c r="L132" i="10"/>
  <c r="O109" i="10"/>
  <c r="U109" i="10"/>
  <c r="W109" i="10" s="1"/>
  <c r="Y109" i="10" s="1"/>
  <c r="R71" i="10"/>
  <c r="Q109" i="10"/>
  <c r="L169" i="10"/>
  <c r="O169" i="10"/>
  <c r="L109" i="10"/>
  <c r="C27" i="10"/>
  <c r="P113" i="10"/>
  <c r="R109" i="10"/>
  <c r="U71" i="10"/>
  <c r="W71" i="10" s="1"/>
  <c r="Y71" i="10" s="1"/>
  <c r="AG31" i="17"/>
  <c r="AM30" i="17"/>
  <c r="AN30" i="17" s="1"/>
  <c r="AO30" i="17" s="1"/>
  <c r="AG6" i="17"/>
  <c r="AM9" i="17"/>
  <c r="AN9" i="17" s="1"/>
  <c r="AO9" i="17" s="1"/>
  <c r="AI6" i="17"/>
  <c r="AG17" i="17"/>
  <c r="AM31" i="17"/>
  <c r="AN31" i="17" s="1"/>
  <c r="AO31" i="17" s="1"/>
  <c r="AJ6" i="17"/>
  <c r="AM7" i="17"/>
  <c r="AN7" i="17" s="1"/>
  <c r="AO7" i="17" s="1"/>
  <c r="AK12" i="17"/>
  <c r="AI29" i="17"/>
  <c r="AJ24" i="17"/>
  <c r="AJ25" i="17"/>
  <c r="AJ31" i="17"/>
  <c r="AK10" i="17"/>
  <c r="AK15" i="17"/>
  <c r="AM10" i="17"/>
  <c r="AN10" i="17" s="1"/>
  <c r="AO10" i="17" s="1"/>
  <c r="AG7" i="17"/>
  <c r="AM5" i="17"/>
  <c r="AN5" i="17" s="1"/>
  <c r="AO5" i="17" s="1"/>
  <c r="AH12" i="17"/>
  <c r="AK8" i="17"/>
  <c r="AH13" i="17"/>
  <c r="AM33" i="17"/>
  <c r="AN33" i="17" s="1"/>
  <c r="AO33" i="17" s="1"/>
  <c r="AG25" i="17"/>
  <c r="AI14" i="17"/>
  <c r="AG32" i="17"/>
  <c r="AH11" i="17"/>
  <c r="AM4" i="17"/>
  <c r="AJ11" i="17"/>
  <c r="AK11" i="17"/>
  <c r="AH7" i="17"/>
  <c r="AK6" i="17"/>
  <c r="AI9" i="17"/>
  <c r="AI18" i="17"/>
  <c r="AI8" i="17"/>
  <c r="AK29" i="17"/>
  <c r="AH20" i="17"/>
  <c r="AJ14" i="17"/>
  <c r="AI16" i="17"/>
  <c r="AJ32" i="17"/>
  <c r="AG12" i="17"/>
  <c r="AI17" i="17"/>
  <c r="AJ17" i="17"/>
  <c r="AI12" i="17"/>
  <c r="AK19" i="17"/>
  <c r="AM22" i="17"/>
  <c r="AN22" i="17" s="1"/>
  <c r="AO22" i="17" s="1"/>
  <c r="AM12" i="17"/>
  <c r="AN12" i="17" s="1"/>
  <c r="AO12" i="17" s="1"/>
  <c r="AH30" i="17"/>
  <c r="AJ30" i="17"/>
  <c r="AG10" i="17"/>
  <c r="AM20" i="17"/>
  <c r="AN20" i="17" s="1"/>
  <c r="AO20" i="17" s="1"/>
  <c r="AG4" i="17"/>
  <c r="AK16" i="17"/>
  <c r="AM21" i="17"/>
  <c r="AN21" i="17" s="1"/>
  <c r="AO21" i="17" s="1"/>
  <c r="AG18" i="17"/>
  <c r="AM16" i="17"/>
  <c r="AN16" i="17" s="1"/>
  <c r="AO16" i="17" s="1"/>
  <c r="AM29" i="17"/>
  <c r="AN29" i="17" s="1"/>
  <c r="AO29" i="17" s="1"/>
  <c r="AJ23" i="17"/>
  <c r="AJ13" i="17"/>
  <c r="AG20" i="17"/>
  <c r="AH31" i="17"/>
  <c r="AM25" i="17"/>
  <c r="AN25" i="17" s="1"/>
  <c r="AO25" i="17" s="1"/>
  <c r="AJ21" i="17"/>
  <c r="AJ19" i="17"/>
  <c r="AH17" i="17"/>
  <c r="AJ22" i="17"/>
  <c r="AK22" i="17"/>
  <c r="AI7" i="17"/>
  <c r="AJ9" i="17"/>
  <c r="AG24" i="17"/>
  <c r="AG14" i="17"/>
  <c r="AI30" i="17"/>
  <c r="AK9" i="17"/>
  <c r="AJ26" i="17"/>
  <c r="AG22" i="17"/>
  <c r="AH4" i="17"/>
  <c r="AI22" i="17"/>
  <c r="AG23" i="17"/>
  <c r="AH23" i="17"/>
  <c r="AM11" i="17"/>
  <c r="AN11" i="17" s="1"/>
  <c r="AO11" i="17" s="1"/>
  <c r="AG26" i="17"/>
  <c r="AK28" i="17"/>
  <c r="AK18" i="17"/>
  <c r="AK4" i="17"/>
  <c r="AG27" i="17"/>
  <c r="AK26" i="17"/>
  <c r="AM13" i="17"/>
  <c r="AN13" i="17" s="1"/>
  <c r="AO13" i="17" s="1"/>
  <c r="AM26" i="17"/>
  <c r="AN26" i="17" s="1"/>
  <c r="AO26" i="17" s="1"/>
  <c r="AK27" i="17"/>
  <c r="AI28" i="17"/>
  <c r="AJ12" i="17"/>
  <c r="AJ10" i="17"/>
  <c r="AH29" i="17"/>
  <c r="AH19" i="17"/>
  <c r="AH5" i="17"/>
  <c r="AK31" i="17"/>
  <c r="AH27" i="17"/>
  <c r="AI4" i="17"/>
  <c r="AJ27" i="17"/>
  <c r="AH28" i="17"/>
  <c r="AM32" i="17"/>
  <c r="AN32" i="17" s="1"/>
  <c r="AO32" i="17" s="1"/>
  <c r="AG13" i="17"/>
  <c r="AH16" i="17"/>
  <c r="AK7" i="17"/>
  <c r="AI24" i="17"/>
  <c r="AI10" i="17"/>
  <c r="AH32" i="17"/>
  <c r="AI32" i="17"/>
  <c r="AI20" i="17"/>
  <c r="AG28" i="17"/>
  <c r="AI33" i="17"/>
  <c r="AJ33" i="17"/>
  <c r="AK17" i="17"/>
  <c r="AJ5" i="17"/>
  <c r="AH8" i="17"/>
  <c r="AM28" i="17"/>
  <c r="AN28" i="17" s="1"/>
  <c r="AO28" i="17" s="1"/>
  <c r="AM14" i="17"/>
  <c r="AN14" i="17" s="1"/>
  <c r="AO14" i="17" s="1"/>
  <c r="AK14" i="17"/>
  <c r="AH25" i="17"/>
  <c r="AM19" i="17"/>
  <c r="AN19" i="17" s="1"/>
  <c r="AO19" i="17" s="1"/>
  <c r="AK32" i="17"/>
  <c r="AJ8" i="17"/>
  <c r="AH18" i="17"/>
  <c r="AK5" i="17"/>
  <c r="AI13" i="17"/>
  <c r="AJ29" i="17"/>
  <c r="AJ15" i="17"/>
  <c r="AM24" i="17"/>
  <c r="AN24" i="17" s="1"/>
  <c r="AO24" i="17" s="1"/>
  <c r="AG15" i="17"/>
  <c r="AH6" i="17"/>
  <c r="AH33" i="17"/>
  <c r="AH15" i="17"/>
  <c r="AK24" i="17"/>
  <c r="AI23" i="17"/>
  <c r="AH22" i="17"/>
  <c r="AM17" i="17"/>
  <c r="AN17" i="17" s="1"/>
  <c r="AO17" i="17" s="1"/>
  <c r="AG30" i="17"/>
  <c r="AG16" i="17"/>
  <c r="AI15" i="17"/>
  <c r="AM8" i="17"/>
  <c r="AN8" i="17" s="1"/>
  <c r="AO8" i="17" s="1"/>
  <c r="AI11" i="17"/>
  <c r="AG9" i="17"/>
  <c r="AG5" i="17"/>
  <c r="AI25" i="17"/>
  <c r="AM27" i="17"/>
  <c r="AN27" i="17" s="1"/>
  <c r="AO27" i="17" s="1"/>
  <c r="AI27" i="17"/>
  <c r="AJ18" i="17"/>
  <c r="AK13" i="17"/>
  <c r="AK20" i="17"/>
  <c r="AG21" i="17"/>
  <c r="AJ16" i="17"/>
  <c r="AH9" i="17"/>
  <c r="AK25" i="17"/>
  <c r="AK30" i="17"/>
  <c r="AJ28" i="17"/>
  <c r="AM6" i="17"/>
  <c r="AN6" i="17" s="1"/>
  <c r="AO6" i="17" s="1"/>
  <c r="AG19" i="17"/>
  <c r="AH14" i="17"/>
  <c r="AH21" i="17"/>
  <c r="AI5" i="17"/>
  <c r="AH10" i="17"/>
  <c r="AK21" i="17"/>
  <c r="AM18" i="17"/>
  <c r="AN18" i="17" s="1"/>
  <c r="AO18" i="17" s="1"/>
  <c r="AI31" i="17"/>
  <c r="AJ20" i="17"/>
  <c r="AG29" i="17"/>
  <c r="AJ7" i="17"/>
  <c r="AK23" i="17"/>
  <c r="AI19" i="17"/>
  <c r="AI26" i="17"/>
  <c r="AG11" i="17"/>
  <c r="AH26" i="17"/>
  <c r="AG33" i="17"/>
  <c r="AJ4" i="17"/>
  <c r="AI21" i="17"/>
  <c r="AM15" i="17"/>
  <c r="AN15" i="17" s="1"/>
  <c r="AO15" i="17" s="1"/>
  <c r="AK33" i="17"/>
  <c r="AG8" i="17"/>
  <c r="AH24" i="17"/>
  <c r="AM23" i="17"/>
  <c r="AN23" i="17" s="1"/>
  <c r="AO23" i="17" s="1"/>
  <c r="AM14" i="19"/>
  <c r="AN14" i="19" s="1"/>
  <c r="AO14" i="19" s="1"/>
  <c r="AI9" i="19"/>
  <c r="AI25" i="19"/>
  <c r="AH8" i="19"/>
  <c r="AH24" i="19"/>
  <c r="AK7" i="19"/>
  <c r="AK23" i="19"/>
  <c r="AJ7" i="19"/>
  <c r="AJ23" i="19"/>
  <c r="AG7" i="19"/>
  <c r="AG23" i="19"/>
  <c r="AM23" i="19"/>
  <c r="AN23" i="19" s="1"/>
  <c r="AO23" i="19" s="1"/>
  <c r="AM33" i="19"/>
  <c r="AN33" i="19" s="1"/>
  <c r="AO33" i="19" s="1"/>
  <c r="AI10" i="19"/>
  <c r="AI26" i="19"/>
  <c r="AH9" i="19"/>
  <c r="AH25" i="19"/>
  <c r="AK8" i="19"/>
  <c r="AK24" i="19"/>
  <c r="AJ8" i="19"/>
  <c r="AJ24" i="19"/>
  <c r="AG8" i="19"/>
  <c r="AG24" i="19"/>
  <c r="AM22" i="19"/>
  <c r="AN22" i="19" s="1"/>
  <c r="AO22" i="19" s="1"/>
  <c r="AM15" i="19"/>
  <c r="AN15" i="19" s="1"/>
  <c r="AO15" i="19" s="1"/>
  <c r="AM24" i="19"/>
  <c r="AN24" i="19" s="1"/>
  <c r="AO24" i="19" s="1"/>
  <c r="AM34" i="19"/>
  <c r="AN34" i="19" s="1"/>
  <c r="AO34" i="19" s="1"/>
  <c r="AI11" i="19"/>
  <c r="AI27" i="19"/>
  <c r="AH10" i="19"/>
  <c r="AH26" i="19"/>
  <c r="AK9" i="19"/>
  <c r="AK25" i="19"/>
  <c r="AJ9" i="19"/>
  <c r="AJ25" i="19"/>
  <c r="AG9" i="19"/>
  <c r="AG25" i="19"/>
  <c r="AI24" i="19"/>
  <c r="AM25" i="19"/>
  <c r="AN25" i="19" s="1"/>
  <c r="AO25" i="19" s="1"/>
  <c r="AI12" i="19"/>
  <c r="AI28" i="19"/>
  <c r="AH11" i="19"/>
  <c r="AH27" i="19"/>
  <c r="AK10" i="19"/>
  <c r="AK26" i="19"/>
  <c r="AJ10" i="19"/>
  <c r="AJ26" i="19"/>
  <c r="AG10" i="19"/>
  <c r="AG26" i="19"/>
  <c r="AJ22" i="19"/>
  <c r="AM16" i="19"/>
  <c r="AN16" i="19" s="1"/>
  <c r="AO16" i="19" s="1"/>
  <c r="AM26" i="19"/>
  <c r="AN26" i="19" s="1"/>
  <c r="AO26" i="19" s="1"/>
  <c r="AM35" i="19"/>
  <c r="AN35" i="19" s="1"/>
  <c r="AO35" i="19" s="1"/>
  <c r="AI13" i="19"/>
  <c r="AI29" i="19"/>
  <c r="AH12" i="19"/>
  <c r="AH28" i="19"/>
  <c r="AK11" i="19"/>
  <c r="AK27" i="19"/>
  <c r="AJ11" i="19"/>
  <c r="AJ27" i="19"/>
  <c r="AG11" i="19"/>
  <c r="AG27" i="19"/>
  <c r="AK22" i="19"/>
  <c r="AM27" i="19"/>
  <c r="AN27" i="19" s="1"/>
  <c r="AO27" i="19" s="1"/>
  <c r="AI14" i="19"/>
  <c r="AI30" i="19"/>
  <c r="AH13" i="19"/>
  <c r="AH29" i="19"/>
  <c r="AK12" i="19"/>
  <c r="AK28" i="19"/>
  <c r="AJ12" i="19"/>
  <c r="AJ28" i="19"/>
  <c r="AG12" i="19"/>
  <c r="AG28" i="19"/>
  <c r="AM5" i="19"/>
  <c r="AN5" i="19" s="1"/>
  <c r="AO5" i="19" s="1"/>
  <c r="AI15" i="19"/>
  <c r="AI31" i="19"/>
  <c r="AH14" i="19"/>
  <c r="AH30" i="19"/>
  <c r="AK13" i="19"/>
  <c r="AK29" i="19"/>
  <c r="AJ13" i="19"/>
  <c r="AJ29" i="19"/>
  <c r="AG13" i="19"/>
  <c r="AG29" i="19"/>
  <c r="AI8" i="19"/>
  <c r="AM6" i="19"/>
  <c r="AN6" i="19" s="1"/>
  <c r="AO6" i="19" s="1"/>
  <c r="AM17" i="19"/>
  <c r="AN17" i="19" s="1"/>
  <c r="AO17" i="19" s="1"/>
  <c r="AM36" i="19"/>
  <c r="AN36" i="19" s="1"/>
  <c r="AO36" i="19" s="1"/>
  <c r="AI16" i="19"/>
  <c r="AI32" i="19"/>
  <c r="AH15" i="19"/>
  <c r="AH31" i="19"/>
  <c r="AK14" i="19"/>
  <c r="AK30" i="19"/>
  <c r="AJ14" i="19"/>
  <c r="AJ30" i="19"/>
  <c r="AG14" i="19"/>
  <c r="AG30" i="19"/>
  <c r="AG22" i="19"/>
  <c r="AM7" i="19"/>
  <c r="AN7" i="19" s="1"/>
  <c r="AO7" i="19" s="1"/>
  <c r="AM18" i="19"/>
  <c r="AN18" i="19" s="1"/>
  <c r="AO18" i="19" s="1"/>
  <c r="AM28" i="19"/>
  <c r="AN28" i="19" s="1"/>
  <c r="AO28" i="19" s="1"/>
  <c r="AM4" i="19"/>
  <c r="AI17" i="19"/>
  <c r="AI33" i="19"/>
  <c r="AH16" i="19"/>
  <c r="AH32" i="19"/>
  <c r="AK15" i="19"/>
  <c r="AK31" i="19"/>
  <c r="AJ15" i="19"/>
  <c r="AJ31" i="19"/>
  <c r="AG15" i="19"/>
  <c r="AG31" i="19"/>
  <c r="AH7" i="19"/>
  <c r="AM8" i="19"/>
  <c r="AN8" i="19" s="1"/>
  <c r="AO8" i="19" s="1"/>
  <c r="AM29" i="19"/>
  <c r="AN29" i="19" s="1"/>
  <c r="AO29" i="19" s="1"/>
  <c r="AI18" i="19"/>
  <c r="AI34" i="19"/>
  <c r="AH17" i="19"/>
  <c r="AH33" i="19"/>
  <c r="AK16" i="19"/>
  <c r="AK32" i="19"/>
  <c r="AJ16" i="19"/>
  <c r="AJ32" i="19"/>
  <c r="AG16" i="19"/>
  <c r="AG32" i="19"/>
  <c r="AH23" i="19"/>
  <c r="AM9" i="19"/>
  <c r="AN9" i="19" s="1"/>
  <c r="AO9" i="19" s="1"/>
  <c r="AM19" i="19"/>
  <c r="AN19" i="19" s="1"/>
  <c r="AO19" i="19" s="1"/>
  <c r="AM30" i="19"/>
  <c r="AN30" i="19" s="1"/>
  <c r="AO30" i="19" s="1"/>
  <c r="AK4" i="19"/>
  <c r="AI19" i="19"/>
  <c r="AI35" i="19"/>
  <c r="AH18" i="19"/>
  <c r="AH34" i="19"/>
  <c r="AK17" i="19"/>
  <c r="AK33" i="19"/>
  <c r="AJ17" i="19"/>
  <c r="AJ33" i="19"/>
  <c r="AG17" i="19"/>
  <c r="AG33" i="19"/>
  <c r="AG6" i="19"/>
  <c r="AM10" i="19"/>
  <c r="AN10" i="19" s="1"/>
  <c r="AO10" i="19" s="1"/>
  <c r="AJ4" i="19"/>
  <c r="AI20" i="19"/>
  <c r="AI36" i="19"/>
  <c r="AH19" i="19"/>
  <c r="AH35" i="19"/>
  <c r="AK18" i="19"/>
  <c r="AK34" i="19"/>
  <c r="AJ18" i="19"/>
  <c r="AJ34" i="19"/>
  <c r="AG18" i="19"/>
  <c r="AG34" i="19"/>
  <c r="AJ6" i="19"/>
  <c r="AM11" i="19"/>
  <c r="AN11" i="19" s="1"/>
  <c r="AO11" i="19" s="1"/>
  <c r="AM31" i="19"/>
  <c r="AN31" i="19" s="1"/>
  <c r="AO31" i="19" s="1"/>
  <c r="AI5" i="19"/>
  <c r="AI21" i="19"/>
  <c r="AI4" i="19"/>
  <c r="AH20" i="19"/>
  <c r="AH36" i="19"/>
  <c r="AK19" i="19"/>
  <c r="AK35" i="19"/>
  <c r="AJ19" i="19"/>
  <c r="AJ35" i="19"/>
  <c r="AG19" i="19"/>
  <c r="AG35" i="19"/>
  <c r="AM20" i="19"/>
  <c r="AN20" i="19" s="1"/>
  <c r="AO20" i="19" s="1"/>
  <c r="AI6" i="19"/>
  <c r="AI22" i="19"/>
  <c r="AH5" i="19"/>
  <c r="AH21" i="19"/>
  <c r="AH4" i="19"/>
  <c r="AK20" i="19"/>
  <c r="AK36" i="19"/>
  <c r="AJ20" i="19"/>
  <c r="AJ36" i="19"/>
  <c r="AG20" i="19"/>
  <c r="AG36" i="19"/>
  <c r="AK6" i="19"/>
  <c r="AM12" i="19"/>
  <c r="AN12" i="19" s="1"/>
  <c r="AO12" i="19" s="1"/>
  <c r="AM21" i="19"/>
  <c r="AN21" i="19" s="1"/>
  <c r="AO21" i="19" s="1"/>
  <c r="AM32" i="19"/>
  <c r="AN32" i="19" s="1"/>
  <c r="AO32" i="19" s="1"/>
  <c r="AI7" i="19"/>
  <c r="AI23" i="19"/>
  <c r="AH6" i="19"/>
  <c r="AH22" i="19"/>
  <c r="AG4" i="19"/>
  <c r="AK21" i="19"/>
  <c r="AK5" i="19"/>
  <c r="AJ21" i="19"/>
  <c r="AJ5" i="19"/>
  <c r="AG21" i="19"/>
  <c r="AG5" i="19"/>
  <c r="AM13" i="19"/>
  <c r="AN13" i="19" s="1"/>
  <c r="AO13" i="19" s="1"/>
  <c r="F50" i="13"/>
  <c r="F3" i="13" s="1"/>
  <c r="F5" i="13" s="1"/>
  <c r="C5" i="10"/>
  <c r="L71" i="10"/>
  <c r="R100" i="10"/>
  <c r="U318" i="10"/>
  <c r="W318" i="10" s="1"/>
  <c r="Y318" i="10" s="1"/>
  <c r="C32" i="10"/>
  <c r="U100" i="10"/>
  <c r="W100" i="10" s="1"/>
  <c r="Y100" i="10" s="1"/>
  <c r="Q74" i="10"/>
  <c r="U74" i="10"/>
  <c r="W74" i="10" s="1"/>
  <c r="Y74" i="10" s="1"/>
  <c r="Q100" i="10"/>
  <c r="C19" i="10"/>
  <c r="C7" i="10"/>
  <c r="L223" i="10"/>
  <c r="Q223" i="10"/>
  <c r="O223" i="10"/>
  <c r="U231" i="10"/>
  <c r="W231" i="10" s="1"/>
  <c r="Y231" i="10" s="1"/>
  <c r="Q231" i="10"/>
  <c r="P231" i="10"/>
  <c r="R231" i="10"/>
  <c r="L231" i="10"/>
  <c r="C21" i="10"/>
  <c r="O100" i="10"/>
  <c r="C30" i="10"/>
  <c r="O318" i="10"/>
  <c r="P74" i="10"/>
  <c r="C18" i="10"/>
  <c r="C15" i="10"/>
  <c r="P118" i="10"/>
  <c r="Q118" i="10"/>
  <c r="R118" i="10"/>
  <c r="L118" i="10"/>
  <c r="O118" i="10"/>
  <c r="C13" i="10"/>
  <c r="C22" i="10"/>
  <c r="AF23" i="15"/>
  <c r="AF4" i="15"/>
  <c r="AS34" i="7"/>
  <c r="B43" i="13" s="1"/>
  <c r="C29" i="10"/>
  <c r="AF30" i="15"/>
  <c r="P223" i="10"/>
  <c r="R223" i="10"/>
  <c r="O231" i="10"/>
  <c r="L318" i="10"/>
  <c r="Q318" i="10"/>
  <c r="P318" i="10"/>
  <c r="R74" i="10"/>
  <c r="L74" i="10"/>
  <c r="P71" i="10"/>
  <c r="Q71" i="10"/>
  <c r="L113" i="10"/>
  <c r="O113" i="10"/>
  <c r="U113" i="10"/>
  <c r="W113" i="10" s="1"/>
  <c r="Y113" i="10" s="1"/>
  <c r="Q113" i="10"/>
  <c r="C310" i="10"/>
  <c r="C49" i="10"/>
  <c r="C99" i="10"/>
  <c r="C239" i="10"/>
  <c r="C55" i="10"/>
  <c r="C324" i="10"/>
  <c r="C225" i="10"/>
  <c r="C91" i="10"/>
  <c r="C52" i="10"/>
  <c r="C42" i="10"/>
  <c r="C10" i="10"/>
  <c r="C269" i="10"/>
  <c r="C85" i="10"/>
  <c r="C142" i="10"/>
  <c r="C195" i="10"/>
  <c r="C131" i="10"/>
  <c r="U131" i="10" s="1"/>
  <c r="W131" i="10" s="1"/>
  <c r="Y131" i="10" s="1"/>
  <c r="C90" i="10"/>
  <c r="C164" i="10"/>
  <c r="C187" i="10"/>
  <c r="C233" i="10"/>
  <c r="C89" i="10"/>
  <c r="C290" i="10"/>
  <c r="C143" i="10"/>
  <c r="C96" i="10"/>
  <c r="C127" i="10"/>
  <c r="U127" i="10" s="1"/>
  <c r="W127" i="10" s="1"/>
  <c r="Y127" i="10" s="1"/>
  <c r="C183" i="10"/>
  <c r="C249" i="10"/>
  <c r="C48" i="10"/>
  <c r="C296" i="10"/>
  <c r="C35" i="10"/>
  <c r="U35" i="10" s="1"/>
  <c r="W35" i="10" s="1"/>
  <c r="Y35" i="10" s="1"/>
  <c r="C36" i="10"/>
  <c r="C47" i="10"/>
  <c r="C157" i="10"/>
  <c r="C92" i="10"/>
  <c r="C31" i="10"/>
  <c r="C238" i="10"/>
  <c r="C23" i="10"/>
  <c r="C253" i="10"/>
  <c r="C255" i="10"/>
  <c r="C270" i="10"/>
  <c r="C111" i="10"/>
  <c r="C93" i="10"/>
  <c r="C222" i="10"/>
  <c r="U273" i="10"/>
  <c r="W273" i="10" s="1"/>
  <c r="Y273" i="10" s="1"/>
  <c r="O273" i="10"/>
  <c r="Q273" i="10"/>
  <c r="R273" i="10"/>
  <c r="P273" i="10"/>
  <c r="L273" i="10"/>
  <c r="U199" i="10"/>
  <c r="W199" i="10" s="1"/>
  <c r="Y199" i="10" s="1"/>
  <c r="O199" i="10"/>
  <c r="R199" i="10"/>
  <c r="P199" i="10"/>
  <c r="Q199" i="10"/>
  <c r="L199" i="10"/>
  <c r="C279" i="10"/>
  <c r="C302" i="10"/>
  <c r="U40" i="10"/>
  <c r="W40" i="10" s="1"/>
  <c r="Y40" i="10" s="1"/>
  <c r="O40" i="10"/>
  <c r="R40" i="10"/>
  <c r="Q40" i="10"/>
  <c r="P40" i="10"/>
  <c r="L40" i="10"/>
  <c r="C186" i="10"/>
  <c r="U213" i="10"/>
  <c r="W213" i="10" s="1"/>
  <c r="Y213" i="10" s="1"/>
  <c r="P213" i="10"/>
  <c r="R213" i="10"/>
  <c r="Q213" i="10"/>
  <c r="O213" i="10"/>
  <c r="L213" i="10"/>
  <c r="U64" i="10"/>
  <c r="W64" i="10" s="1"/>
  <c r="Y64" i="10" s="1"/>
  <c r="Q64" i="10"/>
  <c r="P64" i="10"/>
  <c r="R64" i="10"/>
  <c r="O64" i="10"/>
  <c r="L64" i="10"/>
  <c r="U81" i="10"/>
  <c r="W81" i="10" s="1"/>
  <c r="Y81" i="10" s="1"/>
  <c r="O81" i="10"/>
  <c r="R81" i="10"/>
  <c r="P81" i="10"/>
  <c r="Q81" i="10"/>
  <c r="L81" i="10"/>
  <c r="U83" i="10"/>
  <c r="W83" i="10" s="1"/>
  <c r="Y83" i="10" s="1"/>
  <c r="O83" i="10"/>
  <c r="P83" i="10"/>
  <c r="Q83" i="10"/>
  <c r="R83" i="10"/>
  <c r="L83" i="10"/>
  <c r="U268" i="10"/>
  <c r="W268" i="10" s="1"/>
  <c r="Y268" i="10" s="1"/>
  <c r="O268" i="10"/>
  <c r="P268" i="10"/>
  <c r="Q268" i="10"/>
  <c r="R268" i="10"/>
  <c r="L268" i="10"/>
  <c r="U200" i="10"/>
  <c r="W200" i="10" s="1"/>
  <c r="Y200" i="10" s="1"/>
  <c r="P200" i="10"/>
  <c r="Q200" i="10"/>
  <c r="R200" i="10"/>
  <c r="O200" i="10"/>
  <c r="L200" i="10"/>
  <c r="C205" i="10"/>
  <c r="C208" i="10"/>
  <c r="U137" i="10"/>
  <c r="W137" i="10" s="1"/>
  <c r="Y137" i="10" s="1"/>
  <c r="O137" i="10"/>
  <c r="R137" i="10"/>
  <c r="Q137" i="10"/>
  <c r="P137" i="10"/>
  <c r="L137" i="10"/>
  <c r="U285" i="10"/>
  <c r="W285" i="10" s="1"/>
  <c r="Y285" i="10" s="1"/>
  <c r="Q285" i="10"/>
  <c r="R285" i="10"/>
  <c r="P285" i="10"/>
  <c r="O285" i="10"/>
  <c r="L285" i="10"/>
  <c r="U123" i="10"/>
  <c r="W123" i="10" s="1"/>
  <c r="Y123" i="10" s="1"/>
  <c r="O123" i="10"/>
  <c r="Q123" i="10"/>
  <c r="R123" i="10"/>
  <c r="P123" i="10"/>
  <c r="L123" i="10"/>
  <c r="C65" i="10"/>
  <c r="C265" i="10"/>
  <c r="C291" i="10"/>
  <c r="U264" i="10"/>
  <c r="W264" i="10" s="1"/>
  <c r="Y264" i="10" s="1"/>
  <c r="P264" i="10"/>
  <c r="Q264" i="10"/>
  <c r="R264" i="10"/>
  <c r="O264" i="10"/>
  <c r="L264" i="10"/>
  <c r="U299" i="10"/>
  <c r="W299" i="10" s="1"/>
  <c r="Y299" i="10" s="1"/>
  <c r="O299" i="10"/>
  <c r="Q299" i="10"/>
  <c r="R299" i="10"/>
  <c r="P299" i="10"/>
  <c r="L299" i="10"/>
  <c r="C153" i="10"/>
  <c r="U162" i="10"/>
  <c r="W162" i="10" s="1"/>
  <c r="Y162" i="10" s="1"/>
  <c r="Q162" i="10"/>
  <c r="O162" i="10"/>
  <c r="R162" i="10"/>
  <c r="P162" i="10"/>
  <c r="L162" i="10"/>
  <c r="U41" i="10"/>
  <c r="W41" i="10" s="1"/>
  <c r="Y41" i="10" s="1"/>
  <c r="Q41" i="10"/>
  <c r="P41" i="10"/>
  <c r="O41" i="10"/>
  <c r="R41" i="10"/>
  <c r="L41" i="10"/>
  <c r="C256" i="10"/>
  <c r="C278" i="10"/>
  <c r="U191" i="10"/>
  <c r="W191" i="10" s="1"/>
  <c r="Y191" i="10" s="1"/>
  <c r="O191" i="10"/>
  <c r="R191" i="10"/>
  <c r="P191" i="10"/>
  <c r="Q191" i="10"/>
  <c r="L191" i="10"/>
  <c r="U281" i="10"/>
  <c r="W281" i="10" s="1"/>
  <c r="Y281" i="10" s="1"/>
  <c r="O281" i="10"/>
  <c r="R281" i="10"/>
  <c r="Q281" i="10"/>
  <c r="P281" i="10"/>
  <c r="L281" i="10"/>
  <c r="U241" i="10"/>
  <c r="W241" i="10" s="1"/>
  <c r="Y241" i="10" s="1"/>
  <c r="O241" i="10"/>
  <c r="Q241" i="10"/>
  <c r="R241" i="10"/>
  <c r="P241" i="10"/>
  <c r="L241" i="10"/>
  <c r="C236" i="10"/>
  <c r="C177" i="10"/>
  <c r="U140" i="10"/>
  <c r="W140" i="10" s="1"/>
  <c r="Y140" i="10" s="1"/>
  <c r="O140" i="10"/>
  <c r="P140" i="10"/>
  <c r="Q140" i="10"/>
  <c r="R140" i="10"/>
  <c r="L140" i="10"/>
  <c r="U252" i="10"/>
  <c r="W252" i="10" s="1"/>
  <c r="Y252" i="10" s="1"/>
  <c r="O252" i="10"/>
  <c r="P252" i="10"/>
  <c r="Q252" i="10"/>
  <c r="R252" i="10"/>
  <c r="L252" i="10"/>
  <c r="C26" i="10"/>
  <c r="C37" i="10"/>
  <c r="U103" i="10"/>
  <c r="W103" i="10" s="1"/>
  <c r="Y103" i="10" s="1"/>
  <c r="O103" i="10"/>
  <c r="P103" i="10"/>
  <c r="R103" i="10"/>
  <c r="Q103" i="10"/>
  <c r="L103" i="10"/>
  <c r="U46" i="10"/>
  <c r="W46" i="10" s="1"/>
  <c r="Y46" i="10" s="1"/>
  <c r="O46" i="10"/>
  <c r="P46" i="10"/>
  <c r="R46" i="10"/>
  <c r="Q46" i="10"/>
  <c r="L46" i="10"/>
  <c r="C50" i="10"/>
  <c r="U226" i="10"/>
  <c r="W226" i="10" s="1"/>
  <c r="Y226" i="10" s="1"/>
  <c r="O226" i="10"/>
  <c r="Q226" i="10"/>
  <c r="R226" i="10"/>
  <c r="P226" i="10"/>
  <c r="L226" i="10"/>
  <c r="U72" i="10"/>
  <c r="W72" i="10" s="1"/>
  <c r="Y72" i="10" s="1"/>
  <c r="Q72" i="10"/>
  <c r="P72" i="10"/>
  <c r="R72" i="10"/>
  <c r="O72" i="10"/>
  <c r="L72" i="10"/>
  <c r="C79" i="10"/>
  <c r="C232" i="10"/>
  <c r="U271" i="10"/>
  <c r="W271" i="10" s="1"/>
  <c r="Y271" i="10" s="1"/>
  <c r="R271" i="10"/>
  <c r="Q271" i="10"/>
  <c r="O271" i="10"/>
  <c r="P271" i="10"/>
  <c r="L271" i="10"/>
  <c r="C28" i="10"/>
  <c r="U218" i="10"/>
  <c r="W218" i="10" s="1"/>
  <c r="Y218" i="10" s="1"/>
  <c r="O218" i="10"/>
  <c r="Q218" i="10"/>
  <c r="R218" i="10"/>
  <c r="P218" i="10"/>
  <c r="L218" i="10"/>
  <c r="U283" i="10"/>
  <c r="W283" i="10" s="1"/>
  <c r="Y283" i="10" s="1"/>
  <c r="O283" i="10"/>
  <c r="Q283" i="10"/>
  <c r="P283" i="10"/>
  <c r="R283" i="10"/>
  <c r="L283" i="10"/>
  <c r="U102" i="10"/>
  <c r="W102" i="10" s="1"/>
  <c r="Y102" i="10" s="1"/>
  <c r="Q102" i="10"/>
  <c r="P102" i="10"/>
  <c r="R102" i="10"/>
  <c r="O102" i="10"/>
  <c r="L102" i="10"/>
  <c r="C294" i="10"/>
  <c r="U217" i="10"/>
  <c r="W217" i="10" s="1"/>
  <c r="Y217" i="10" s="1"/>
  <c r="O217" i="10"/>
  <c r="R217" i="10"/>
  <c r="Q217" i="10"/>
  <c r="P217" i="10"/>
  <c r="L217" i="10"/>
  <c r="U82" i="10"/>
  <c r="W82" i="10" s="1"/>
  <c r="Y82" i="10" s="1"/>
  <c r="O82" i="10"/>
  <c r="Q82" i="10"/>
  <c r="P82" i="10"/>
  <c r="R82" i="10"/>
  <c r="L82" i="10"/>
  <c r="U112" i="10"/>
  <c r="W112" i="10" s="1"/>
  <c r="Y112" i="10" s="1"/>
  <c r="O112" i="10"/>
  <c r="R112" i="10"/>
  <c r="Q112" i="10"/>
  <c r="P112" i="10"/>
  <c r="L112" i="10"/>
  <c r="C178" i="10"/>
  <c r="U122" i="10"/>
  <c r="W122" i="10" s="1"/>
  <c r="Y122" i="10" s="1"/>
  <c r="O122" i="10"/>
  <c r="Q122" i="10"/>
  <c r="R122" i="10"/>
  <c r="P122" i="10"/>
  <c r="L122" i="10"/>
  <c r="U189" i="10"/>
  <c r="W189" i="10" s="1"/>
  <c r="Y189" i="10" s="1"/>
  <c r="O189" i="10"/>
  <c r="P189" i="10"/>
  <c r="Q189" i="10"/>
  <c r="R189" i="10"/>
  <c r="L189" i="10"/>
  <c r="C146" i="10"/>
  <c r="O97" i="10"/>
  <c r="U97" i="10"/>
  <c r="W97" i="10" s="1"/>
  <c r="Y97" i="10" s="1"/>
  <c r="Q97" i="10"/>
  <c r="R97" i="10"/>
  <c r="P97" i="10"/>
  <c r="L97" i="10"/>
  <c r="U147" i="10"/>
  <c r="W147" i="10" s="1"/>
  <c r="Y147" i="10" s="1"/>
  <c r="O147" i="10"/>
  <c r="P147" i="10"/>
  <c r="R147" i="10"/>
  <c r="Q147" i="10"/>
  <c r="L147" i="10"/>
  <c r="U58" i="10"/>
  <c r="W58" i="10" s="1"/>
  <c r="Y58" i="10" s="1"/>
  <c r="O58" i="10"/>
  <c r="Q58" i="10"/>
  <c r="R58" i="10"/>
  <c r="P58" i="10"/>
  <c r="L58" i="10"/>
  <c r="C198" i="10"/>
  <c r="U76" i="10"/>
  <c r="W76" i="10" s="1"/>
  <c r="Y76" i="10" s="1"/>
  <c r="O76" i="10"/>
  <c r="P76" i="10"/>
  <c r="Q76" i="10"/>
  <c r="R76" i="10"/>
  <c r="L76" i="10"/>
  <c r="C206" i="10"/>
  <c r="C77" i="10"/>
  <c r="C86" i="10"/>
  <c r="C16" i="10"/>
  <c r="U88" i="10"/>
  <c r="W88" i="10" s="1"/>
  <c r="Y88" i="10" s="1"/>
  <c r="O88" i="10"/>
  <c r="R88" i="10"/>
  <c r="Q88" i="10"/>
  <c r="P88" i="10"/>
  <c r="L88" i="10"/>
  <c r="C117" i="10"/>
  <c r="U59" i="10"/>
  <c r="W59" i="10" s="1"/>
  <c r="Y59" i="10" s="1"/>
  <c r="O59" i="10"/>
  <c r="Q59" i="10"/>
  <c r="P59" i="10"/>
  <c r="R59" i="10"/>
  <c r="L59" i="10"/>
  <c r="C204" i="10"/>
  <c r="U138" i="10"/>
  <c r="W138" i="10" s="1"/>
  <c r="Y138" i="10" s="1"/>
  <c r="R138" i="10"/>
  <c r="P138" i="10"/>
  <c r="O138" i="10"/>
  <c r="Q138" i="10"/>
  <c r="L138" i="10"/>
  <c r="C45" i="10"/>
  <c r="C11" i="10"/>
  <c r="U173" i="10"/>
  <c r="W173" i="10" s="1"/>
  <c r="Y173" i="10" s="1"/>
  <c r="O173" i="10"/>
  <c r="R173" i="10"/>
  <c r="P173" i="10"/>
  <c r="Q173" i="10"/>
  <c r="L173" i="10"/>
  <c r="C215" i="10"/>
  <c r="U272" i="10"/>
  <c r="W272" i="10" s="1"/>
  <c r="Y272" i="10" s="1"/>
  <c r="O272" i="10"/>
  <c r="R272" i="10"/>
  <c r="Q272" i="10"/>
  <c r="P272" i="10"/>
  <c r="L272" i="10"/>
  <c r="U275" i="10"/>
  <c r="W275" i="10" s="1"/>
  <c r="Y275" i="10" s="1"/>
  <c r="O275" i="10"/>
  <c r="P275" i="10"/>
  <c r="R275" i="10"/>
  <c r="Q275" i="10"/>
  <c r="L275" i="10"/>
  <c r="U115" i="10"/>
  <c r="W115" i="10" s="1"/>
  <c r="Y115" i="10" s="1"/>
  <c r="O115" i="10"/>
  <c r="P115" i="10"/>
  <c r="Q115" i="10"/>
  <c r="R115" i="10"/>
  <c r="L115" i="10"/>
  <c r="C139" i="10"/>
  <c r="C250" i="10"/>
  <c r="U212" i="10"/>
  <c r="W212" i="10" s="1"/>
  <c r="Y212" i="10" s="1"/>
  <c r="O212" i="10"/>
  <c r="P212" i="10"/>
  <c r="Q212" i="10"/>
  <c r="R212" i="10"/>
  <c r="L212" i="10"/>
  <c r="C295" i="10"/>
  <c r="U276" i="10"/>
  <c r="W276" i="10" s="1"/>
  <c r="Y276" i="10" s="1"/>
  <c r="O276" i="10"/>
  <c r="P276" i="10"/>
  <c r="Q276" i="10"/>
  <c r="R276" i="10"/>
  <c r="L276" i="10"/>
  <c r="C25" i="10"/>
  <c r="C152" i="10"/>
  <c r="U62" i="10"/>
  <c r="W62" i="10" s="1"/>
  <c r="Y62" i="10" s="1"/>
  <c r="O62" i="10"/>
  <c r="P62" i="10"/>
  <c r="Q62" i="10"/>
  <c r="R62" i="10"/>
  <c r="L62" i="10"/>
  <c r="U57" i="10"/>
  <c r="W57" i="10" s="1"/>
  <c r="Y57" i="10" s="1"/>
  <c r="O57" i="10"/>
  <c r="R57" i="10"/>
  <c r="Q57" i="10"/>
  <c r="P57" i="10"/>
  <c r="L57" i="10"/>
  <c r="U277" i="10"/>
  <c r="W277" i="10" s="1"/>
  <c r="Y277" i="10" s="1"/>
  <c r="R277" i="10"/>
  <c r="P277" i="10"/>
  <c r="Q277" i="10"/>
  <c r="O277" i="10"/>
  <c r="L277" i="10"/>
  <c r="C121" i="10"/>
  <c r="C254" i="10"/>
  <c r="C193" i="10"/>
  <c r="U229" i="10"/>
  <c r="W229" i="10" s="1"/>
  <c r="Y229" i="10" s="1"/>
  <c r="O229" i="10"/>
  <c r="Q229" i="10"/>
  <c r="R229" i="10"/>
  <c r="P229" i="10"/>
  <c r="L229" i="10"/>
  <c r="U106" i="10"/>
  <c r="W106" i="10" s="1"/>
  <c r="Y106" i="10" s="1"/>
  <c r="O106" i="10"/>
  <c r="Q106" i="10"/>
  <c r="R106" i="10"/>
  <c r="P106" i="10"/>
  <c r="L106" i="10"/>
  <c r="R190" i="10"/>
  <c r="P190" i="10"/>
  <c r="Q190" i="10"/>
  <c r="O190" i="10"/>
  <c r="L190" i="10"/>
  <c r="U124" i="10"/>
  <c r="W124" i="10" s="1"/>
  <c r="Y124" i="10" s="1"/>
  <c r="O124" i="10"/>
  <c r="P124" i="10"/>
  <c r="Q124" i="10"/>
  <c r="R124" i="10"/>
  <c r="L124" i="10"/>
  <c r="C94" i="10"/>
  <c r="U243" i="10"/>
  <c r="W243" i="10" s="1"/>
  <c r="Y243" i="10" s="1"/>
  <c r="O243" i="10"/>
  <c r="P243" i="10"/>
  <c r="Q243" i="10"/>
  <c r="R243" i="10"/>
  <c r="L243" i="10"/>
  <c r="U54" i="10"/>
  <c r="W54" i="10" s="1"/>
  <c r="Y54" i="10" s="1"/>
  <c r="O54" i="10"/>
  <c r="R54" i="10"/>
  <c r="P54" i="10"/>
  <c r="Q54" i="10"/>
  <c r="L54" i="10"/>
  <c r="C172" i="10"/>
  <c r="U192" i="10"/>
  <c r="W192" i="10" s="1"/>
  <c r="Y192" i="10" s="1"/>
  <c r="Q192" i="10"/>
  <c r="P192" i="10"/>
  <c r="R192" i="10"/>
  <c r="O192" i="10"/>
  <c r="L192" i="10"/>
  <c r="C67" i="10"/>
  <c r="C259" i="10"/>
  <c r="U184" i="10"/>
  <c r="W184" i="10" s="1"/>
  <c r="Y184" i="10" s="1"/>
  <c r="O184" i="10"/>
  <c r="R184" i="10"/>
  <c r="Q184" i="10"/>
  <c r="P184" i="10"/>
  <c r="L184" i="10"/>
  <c r="U150" i="10"/>
  <c r="W150" i="10" s="1"/>
  <c r="Y150" i="10" s="1"/>
  <c r="O150" i="10"/>
  <c r="R150" i="10"/>
  <c r="Q150" i="10"/>
  <c r="P150" i="10"/>
  <c r="L150" i="10"/>
  <c r="C14" i="10"/>
  <c r="C319" i="10"/>
  <c r="U308" i="10"/>
  <c r="W308" i="10" s="1"/>
  <c r="Y308" i="10" s="1"/>
  <c r="O308" i="10"/>
  <c r="P308" i="10"/>
  <c r="R308" i="10"/>
  <c r="Q308" i="10"/>
  <c r="L308" i="10"/>
  <c r="U174" i="10"/>
  <c r="W174" i="10" s="1"/>
  <c r="Y174" i="10" s="1"/>
  <c r="O174" i="10"/>
  <c r="R174" i="10"/>
  <c r="P174" i="10"/>
  <c r="Q174" i="10"/>
  <c r="L174" i="10"/>
  <c r="C148" i="10"/>
  <c r="U168" i="10"/>
  <c r="W168" i="10" s="1"/>
  <c r="Y168" i="10" s="1"/>
  <c r="O168" i="10"/>
  <c r="R168" i="10"/>
  <c r="P168" i="10"/>
  <c r="Q168" i="10"/>
  <c r="L168" i="10"/>
  <c r="U207" i="10"/>
  <c r="W207" i="10" s="1"/>
  <c r="Y207" i="10" s="1"/>
  <c r="Q207" i="10"/>
  <c r="O207" i="10"/>
  <c r="R207" i="10"/>
  <c r="P207" i="10"/>
  <c r="L207" i="10"/>
  <c r="U149" i="10"/>
  <c r="W149" i="10" s="1"/>
  <c r="Y149" i="10" s="1"/>
  <c r="R149" i="10"/>
  <c r="Q149" i="10"/>
  <c r="P149" i="10"/>
  <c r="O149" i="10"/>
  <c r="L149" i="10"/>
  <c r="C110" i="10"/>
  <c r="C87" i="10"/>
  <c r="U315" i="10"/>
  <c r="W315" i="10" s="1"/>
  <c r="Y315" i="10" s="1"/>
  <c r="O315" i="10"/>
  <c r="Q315" i="10"/>
  <c r="R315" i="10"/>
  <c r="P315" i="10"/>
  <c r="L315" i="10"/>
  <c r="C245" i="10"/>
  <c r="U155" i="10"/>
  <c r="W155" i="10" s="1"/>
  <c r="Y155" i="10" s="1"/>
  <c r="O155" i="10"/>
  <c r="Q155" i="10"/>
  <c r="R155" i="10"/>
  <c r="P155" i="10"/>
  <c r="L155" i="10"/>
  <c r="C306" i="10"/>
  <c r="U51" i="10"/>
  <c r="W51" i="10" s="1"/>
  <c r="Y51" i="10" s="1"/>
  <c r="O51" i="10"/>
  <c r="P51" i="10"/>
  <c r="Q51" i="10"/>
  <c r="R51" i="10"/>
  <c r="L51" i="10"/>
  <c r="U98" i="10"/>
  <c r="W98" i="10" s="1"/>
  <c r="Y98" i="10" s="1"/>
  <c r="O98" i="10"/>
  <c r="Q98" i="10"/>
  <c r="R98" i="10"/>
  <c r="P98" i="10"/>
  <c r="L98" i="10"/>
  <c r="C108" i="10"/>
  <c r="U160" i="10"/>
  <c r="W160" i="10" s="1"/>
  <c r="Y160" i="10" s="1"/>
  <c r="O160" i="10"/>
  <c r="R160" i="10"/>
  <c r="Q160" i="10"/>
  <c r="P160" i="10"/>
  <c r="L160" i="10"/>
  <c r="U141" i="10"/>
  <c r="W141" i="10" s="1"/>
  <c r="Y141" i="10" s="1"/>
  <c r="O141" i="10"/>
  <c r="P141" i="10"/>
  <c r="Q141" i="10"/>
  <c r="R141" i="10"/>
  <c r="L141" i="10"/>
  <c r="C214" i="10"/>
  <c r="S107" i="10"/>
  <c r="U180" i="10"/>
  <c r="W180" i="10" s="1"/>
  <c r="Y180" i="10" s="1"/>
  <c r="O180" i="10"/>
  <c r="P180" i="10"/>
  <c r="R180" i="10"/>
  <c r="Q180" i="10"/>
  <c r="L180" i="10"/>
  <c r="U105" i="10"/>
  <c r="W105" i="10" s="1"/>
  <c r="Y105" i="10" s="1"/>
  <c r="P105" i="10"/>
  <c r="Q105" i="10"/>
  <c r="R105" i="10"/>
  <c r="O105" i="10"/>
  <c r="L105" i="10"/>
  <c r="C297" i="10"/>
  <c r="C159" i="10"/>
  <c r="C9" i="10"/>
  <c r="C224" i="10"/>
  <c r="U262" i="10"/>
  <c r="W262" i="10" s="1"/>
  <c r="Y262" i="10" s="1"/>
  <c r="O262" i="10"/>
  <c r="Q262" i="10"/>
  <c r="R262" i="10"/>
  <c r="P262" i="10"/>
  <c r="L262" i="10"/>
  <c r="U312" i="10"/>
  <c r="W312" i="10" s="1"/>
  <c r="Y312" i="10" s="1"/>
  <c r="O312" i="10"/>
  <c r="R312" i="10"/>
  <c r="P312" i="10"/>
  <c r="Q312" i="10"/>
  <c r="L312" i="10"/>
  <c r="C267" i="10"/>
  <c r="U133" i="10"/>
  <c r="W133" i="10" s="1"/>
  <c r="Y133" i="10" s="1"/>
  <c r="O133" i="10"/>
  <c r="R133" i="10"/>
  <c r="P133" i="10"/>
  <c r="Q133" i="10"/>
  <c r="L133" i="10"/>
  <c r="U216" i="10"/>
  <c r="W216" i="10" s="1"/>
  <c r="Y216" i="10" s="1"/>
  <c r="O216" i="10"/>
  <c r="R216" i="10"/>
  <c r="Q216" i="10"/>
  <c r="P216" i="10"/>
  <c r="L216" i="10"/>
  <c r="U211" i="10"/>
  <c r="W211" i="10" s="1"/>
  <c r="Y211" i="10" s="1"/>
  <c r="O211" i="10"/>
  <c r="P211" i="10"/>
  <c r="Q211" i="10"/>
  <c r="R211" i="10"/>
  <c r="L211" i="10"/>
  <c r="P257" i="10"/>
  <c r="O257" i="10"/>
  <c r="R257" i="10"/>
  <c r="U257" i="10"/>
  <c r="W257" i="10" s="1"/>
  <c r="Y257" i="10" s="1"/>
  <c r="Q257" i="10"/>
  <c r="L257" i="10"/>
  <c r="U209" i="10"/>
  <c r="W209" i="10" s="1"/>
  <c r="Y209" i="10" s="1"/>
  <c r="O209" i="10"/>
  <c r="Q209" i="10"/>
  <c r="R209" i="10"/>
  <c r="P209" i="10"/>
  <c r="L209" i="10"/>
  <c r="U39" i="10"/>
  <c r="W39" i="10" s="1"/>
  <c r="Y39" i="10" s="1"/>
  <c r="O39" i="10"/>
  <c r="R39" i="10"/>
  <c r="Q39" i="10"/>
  <c r="P39" i="10"/>
  <c r="L39" i="10"/>
  <c r="S169" i="10"/>
  <c r="U154" i="10"/>
  <c r="W154" i="10" s="1"/>
  <c r="Y154" i="10" s="1"/>
  <c r="O154" i="10"/>
  <c r="Q154" i="10"/>
  <c r="R154" i="10"/>
  <c r="P154" i="10"/>
  <c r="L154" i="10"/>
  <c r="U126" i="10"/>
  <c r="W126" i="10" s="1"/>
  <c r="Y126" i="10" s="1"/>
  <c r="R126" i="10"/>
  <c r="Q126" i="10"/>
  <c r="P126" i="10"/>
  <c r="O126" i="10"/>
  <c r="L126" i="10"/>
  <c r="U56" i="10"/>
  <c r="W56" i="10" s="1"/>
  <c r="Y56" i="10" s="1"/>
  <c r="O56" i="10"/>
  <c r="R56" i="10"/>
  <c r="Q56" i="10"/>
  <c r="P56" i="10"/>
  <c r="L56" i="10"/>
  <c r="U244" i="10"/>
  <c r="W244" i="10" s="1"/>
  <c r="Y244" i="10" s="1"/>
  <c r="O244" i="10"/>
  <c r="P244" i="10"/>
  <c r="Q244" i="10"/>
  <c r="R244" i="10"/>
  <c r="L244" i="10"/>
  <c r="U156" i="10"/>
  <c r="W156" i="10" s="1"/>
  <c r="Y156" i="10" s="1"/>
  <c r="Q156" i="10"/>
  <c r="R156" i="10"/>
  <c r="P156" i="10"/>
  <c r="O156" i="10"/>
  <c r="L156" i="10"/>
  <c r="U227" i="10"/>
  <c r="W227" i="10" s="1"/>
  <c r="Y227" i="10" s="1"/>
  <c r="O227" i="10"/>
  <c r="P227" i="10"/>
  <c r="R227" i="10"/>
  <c r="Q227" i="10"/>
  <c r="L227" i="10"/>
  <c r="U165" i="10"/>
  <c r="W165" i="10" s="1"/>
  <c r="Y165" i="10" s="1"/>
  <c r="O165" i="10"/>
  <c r="Q165" i="10"/>
  <c r="R165" i="10"/>
  <c r="P165" i="10"/>
  <c r="L165" i="10"/>
  <c r="U293" i="10"/>
  <c r="W293" i="10" s="1"/>
  <c r="Y293" i="10" s="1"/>
  <c r="O293" i="10"/>
  <c r="P293" i="10"/>
  <c r="R293" i="10"/>
  <c r="Q293" i="10"/>
  <c r="L293" i="10"/>
  <c r="U230" i="10"/>
  <c r="W230" i="10" s="1"/>
  <c r="Y230" i="10" s="1"/>
  <c r="R230" i="10"/>
  <c r="P230" i="10"/>
  <c r="Q230" i="10"/>
  <c r="O230" i="10"/>
  <c r="L230" i="10"/>
  <c r="U188" i="10"/>
  <c r="W188" i="10" s="1"/>
  <c r="Y188" i="10" s="1"/>
  <c r="O188" i="10"/>
  <c r="P188" i="10"/>
  <c r="Q188" i="10"/>
  <c r="R188" i="10"/>
  <c r="L188" i="10"/>
  <c r="U203" i="10"/>
  <c r="W203" i="10" s="1"/>
  <c r="Y203" i="10" s="1"/>
  <c r="R203" i="10"/>
  <c r="P203" i="10"/>
  <c r="Q203" i="10"/>
  <c r="O203" i="10"/>
  <c r="L203" i="10"/>
  <c r="C316" i="10"/>
  <c r="U151" i="10"/>
  <c r="W151" i="10" s="1"/>
  <c r="Y151" i="10" s="1"/>
  <c r="O151" i="10"/>
  <c r="R151" i="10"/>
  <c r="P151" i="10"/>
  <c r="Q151" i="10"/>
  <c r="L151" i="10"/>
  <c r="U289" i="10"/>
  <c r="W289" i="10" s="1"/>
  <c r="Y289" i="10" s="1"/>
  <c r="O289" i="10"/>
  <c r="Q289" i="10"/>
  <c r="R289" i="10"/>
  <c r="P289" i="10"/>
  <c r="L289" i="10"/>
  <c r="U196" i="10"/>
  <c r="W196" i="10" s="1"/>
  <c r="Y196" i="10" s="1"/>
  <c r="R196" i="10"/>
  <c r="Q196" i="10"/>
  <c r="P196" i="10"/>
  <c r="O196" i="10"/>
  <c r="L196" i="10"/>
  <c r="U163" i="10"/>
  <c r="W163" i="10" s="1"/>
  <c r="Y163" i="10" s="1"/>
  <c r="O163" i="10"/>
  <c r="P163" i="10"/>
  <c r="Q163" i="10"/>
  <c r="R163" i="10"/>
  <c r="L163" i="10"/>
  <c r="U144" i="10"/>
  <c r="W144" i="10" s="1"/>
  <c r="Y144" i="10" s="1"/>
  <c r="Q144" i="10"/>
  <c r="O144" i="10"/>
  <c r="R144" i="10"/>
  <c r="P144" i="10"/>
  <c r="L144" i="10"/>
  <c r="U287" i="10"/>
  <c r="W287" i="10" s="1"/>
  <c r="Y287" i="10" s="1"/>
  <c r="O287" i="10"/>
  <c r="R287" i="10"/>
  <c r="Q287" i="10"/>
  <c r="P287" i="10"/>
  <c r="L287" i="10"/>
  <c r="U247" i="10"/>
  <c r="W247" i="10" s="1"/>
  <c r="Y247" i="10" s="1"/>
  <c r="P247" i="10"/>
  <c r="Q247" i="10"/>
  <c r="R247" i="10"/>
  <c r="O247" i="10"/>
  <c r="L247" i="10"/>
  <c r="C197" i="10"/>
  <c r="C20" i="10"/>
  <c r="U166" i="10"/>
  <c r="W166" i="10" s="1"/>
  <c r="Y166" i="10" s="1"/>
  <c r="Q166" i="10"/>
  <c r="R166" i="10"/>
  <c r="P166" i="10"/>
  <c r="O166" i="10"/>
  <c r="L166" i="10"/>
  <c r="U202" i="10"/>
  <c r="W202" i="10" s="1"/>
  <c r="Y202" i="10" s="1"/>
  <c r="R202" i="10"/>
  <c r="P202" i="10"/>
  <c r="Q202" i="10"/>
  <c r="O202" i="10"/>
  <c r="L202" i="10"/>
  <c r="U284" i="10"/>
  <c r="W284" i="10" s="1"/>
  <c r="Y284" i="10" s="1"/>
  <c r="Q284" i="10"/>
  <c r="R284" i="10"/>
  <c r="P284" i="10"/>
  <c r="O284" i="10"/>
  <c r="L284" i="10"/>
  <c r="C171" i="10"/>
  <c r="U298" i="10"/>
  <c r="W298" i="10" s="1"/>
  <c r="Y298" i="10" s="1"/>
  <c r="O298" i="10"/>
  <c r="Q298" i="10"/>
  <c r="R298" i="10"/>
  <c r="P298" i="10"/>
  <c r="L298" i="10"/>
  <c r="C303" i="10"/>
  <c r="U38" i="10"/>
  <c r="W38" i="10" s="1"/>
  <c r="Y38" i="10" s="1"/>
  <c r="Q38" i="10"/>
  <c r="P38" i="10"/>
  <c r="R38" i="10"/>
  <c r="O38" i="10"/>
  <c r="L38" i="10"/>
  <c r="U307" i="10"/>
  <c r="W307" i="10" s="1"/>
  <c r="Y307" i="10" s="1"/>
  <c r="O307" i="10"/>
  <c r="P307" i="10"/>
  <c r="R307" i="10"/>
  <c r="Q307" i="10"/>
  <c r="L307" i="10"/>
  <c r="C84" i="10"/>
  <c r="U261" i="10"/>
  <c r="W261" i="10" s="1"/>
  <c r="Y261" i="10" s="1"/>
  <c r="O261" i="10"/>
  <c r="Q261" i="10"/>
  <c r="R261" i="10"/>
  <c r="P261" i="10"/>
  <c r="L261" i="10"/>
  <c r="C220" i="10"/>
  <c r="U228" i="10"/>
  <c r="W228" i="10" s="1"/>
  <c r="Y228" i="10" s="1"/>
  <c r="O228" i="10"/>
  <c r="P228" i="10"/>
  <c r="Q228" i="10"/>
  <c r="R228" i="10"/>
  <c r="L228" i="10"/>
  <c r="U237" i="10"/>
  <c r="W237" i="10" s="1"/>
  <c r="Y237" i="10" s="1"/>
  <c r="O237" i="10"/>
  <c r="Q237" i="10"/>
  <c r="R237" i="10"/>
  <c r="P237" i="10"/>
  <c r="L237" i="10"/>
  <c r="C242" i="10"/>
  <c r="U120" i="10"/>
  <c r="W120" i="10" s="1"/>
  <c r="Y120" i="10" s="1"/>
  <c r="O120" i="10"/>
  <c r="R120" i="10"/>
  <c r="P120" i="10"/>
  <c r="Q120" i="10"/>
  <c r="L120" i="10"/>
  <c r="C8" i="10"/>
  <c r="U60" i="10"/>
  <c r="W60" i="10" s="1"/>
  <c r="Y60" i="10" s="1"/>
  <c r="O60" i="10"/>
  <c r="P60" i="10"/>
  <c r="Q60" i="10"/>
  <c r="R60" i="10"/>
  <c r="L60" i="10"/>
  <c r="C301" i="10"/>
  <c r="C130" i="10"/>
  <c r="U286" i="10"/>
  <c r="W286" i="10" s="1"/>
  <c r="Y286" i="10" s="1"/>
  <c r="Q286" i="10"/>
  <c r="R286" i="10"/>
  <c r="P286" i="10"/>
  <c r="O286" i="10"/>
  <c r="L286" i="10"/>
  <c r="U314" i="10"/>
  <c r="W314" i="10" s="1"/>
  <c r="Y314" i="10" s="1"/>
  <c r="O314" i="10"/>
  <c r="Q314" i="10"/>
  <c r="R314" i="10"/>
  <c r="P314" i="10"/>
  <c r="L314" i="10"/>
  <c r="O129" i="10"/>
  <c r="Q129" i="10"/>
  <c r="U129" i="10"/>
  <c r="W129" i="10" s="1"/>
  <c r="Y129" i="10" s="1"/>
  <c r="R129" i="10"/>
  <c r="P129" i="10"/>
  <c r="L129" i="10"/>
  <c r="C322" i="10"/>
  <c r="C145" i="10"/>
  <c r="U119" i="10"/>
  <c r="W119" i="10" s="1"/>
  <c r="Y119" i="10" s="1"/>
  <c r="Q119" i="10"/>
  <c r="P119" i="10"/>
  <c r="R119" i="10"/>
  <c r="O119" i="10"/>
  <c r="L119" i="10"/>
  <c r="U63" i="10"/>
  <c r="W63" i="10" s="1"/>
  <c r="Y63" i="10" s="1"/>
  <c r="O63" i="10"/>
  <c r="R63" i="10"/>
  <c r="Q63" i="10"/>
  <c r="P63" i="10"/>
  <c r="L63" i="10"/>
  <c r="U176" i="10"/>
  <c r="W176" i="10" s="1"/>
  <c r="Y176" i="10" s="1"/>
  <c r="O176" i="10"/>
  <c r="R176" i="10"/>
  <c r="P176" i="10"/>
  <c r="Q176" i="10"/>
  <c r="L176" i="10"/>
  <c r="C266" i="10"/>
  <c r="C251" i="10"/>
  <c r="C246" i="10"/>
  <c r="C128" i="10"/>
  <c r="C134" i="10"/>
  <c r="C179" i="10"/>
  <c r="U70" i="10"/>
  <c r="W70" i="10" s="1"/>
  <c r="Y70" i="10" s="1"/>
  <c r="O70" i="10"/>
  <c r="R70" i="10"/>
  <c r="Q70" i="10"/>
  <c r="P70" i="10"/>
  <c r="L70" i="10"/>
  <c r="U292" i="10"/>
  <c r="W292" i="10" s="1"/>
  <c r="Y292" i="10" s="1"/>
  <c r="O292" i="10"/>
  <c r="P292" i="10"/>
  <c r="R292" i="10"/>
  <c r="Q292" i="10"/>
  <c r="L292" i="10"/>
  <c r="U210" i="10"/>
  <c r="W210" i="10" s="1"/>
  <c r="Y210" i="10" s="1"/>
  <c r="O210" i="10"/>
  <c r="Q210" i="10"/>
  <c r="P210" i="10"/>
  <c r="R210" i="10"/>
  <c r="L210" i="10"/>
  <c r="C24" i="10"/>
  <c r="C321" i="10"/>
  <c r="U158" i="10"/>
  <c r="W158" i="10" s="1"/>
  <c r="Y158" i="10" s="1"/>
  <c r="O158" i="10"/>
  <c r="R158" i="10"/>
  <c r="P158" i="10"/>
  <c r="Q158" i="10"/>
  <c r="L158" i="10"/>
  <c r="U219" i="10"/>
  <c r="W219" i="10" s="1"/>
  <c r="Y219" i="10" s="1"/>
  <c r="O219" i="10"/>
  <c r="Q219" i="10"/>
  <c r="P219" i="10"/>
  <c r="R219" i="10"/>
  <c r="L219" i="10"/>
  <c r="U43" i="10"/>
  <c r="W43" i="10" s="1"/>
  <c r="Y43" i="10" s="1"/>
  <c r="O43" i="10"/>
  <c r="Q43" i="10"/>
  <c r="R43" i="10"/>
  <c r="P43" i="10"/>
  <c r="L43" i="10"/>
  <c r="C17" i="10"/>
  <c r="C104" i="10"/>
  <c r="U201" i="10"/>
  <c r="W201" i="10" s="1"/>
  <c r="Y201" i="10" s="1"/>
  <c r="O201" i="10"/>
  <c r="R201" i="10"/>
  <c r="P201" i="10"/>
  <c r="Q201" i="10"/>
  <c r="L201" i="10"/>
  <c r="C300" i="10"/>
  <c r="U53" i="10"/>
  <c r="W53" i="10" s="1"/>
  <c r="Y53" i="10" s="1"/>
  <c r="O53" i="10"/>
  <c r="P53" i="10"/>
  <c r="R53" i="10"/>
  <c r="Q53" i="10"/>
  <c r="L53" i="10"/>
  <c r="C116" i="10"/>
  <c r="U135" i="10"/>
  <c r="W135" i="10" s="1"/>
  <c r="Y135" i="10" s="1"/>
  <c r="O135" i="10"/>
  <c r="Q135" i="10"/>
  <c r="R135" i="10"/>
  <c r="P135" i="10"/>
  <c r="L135" i="10"/>
  <c r="U80" i="10"/>
  <c r="W80" i="10" s="1"/>
  <c r="Y80" i="10" s="1"/>
  <c r="O80" i="10"/>
  <c r="Q80" i="10"/>
  <c r="R80" i="10"/>
  <c r="P80" i="10"/>
  <c r="L80" i="10"/>
  <c r="U95" i="10"/>
  <c r="W95" i="10" s="1"/>
  <c r="Y95" i="10" s="1"/>
  <c r="O95" i="10"/>
  <c r="R95" i="10"/>
  <c r="Q95" i="10"/>
  <c r="P95" i="10"/>
  <c r="L95" i="10"/>
  <c r="U167" i="10"/>
  <c r="W167" i="10" s="1"/>
  <c r="Y167" i="10" s="1"/>
  <c r="O167" i="10"/>
  <c r="P167" i="10"/>
  <c r="Q167" i="10"/>
  <c r="R167" i="10"/>
  <c r="L167" i="10"/>
  <c r="U136" i="10"/>
  <c r="W136" i="10" s="1"/>
  <c r="Y136" i="10" s="1"/>
  <c r="Q136" i="10"/>
  <c r="P136" i="10"/>
  <c r="R136" i="10"/>
  <c r="O136" i="10"/>
  <c r="L136" i="10"/>
  <c r="C309" i="10"/>
  <c r="C234" i="10"/>
  <c r="U181" i="10"/>
  <c r="W181" i="10" s="1"/>
  <c r="Y181" i="10" s="1"/>
  <c r="O181" i="10"/>
  <c r="R181" i="10"/>
  <c r="Q181" i="10"/>
  <c r="P181" i="10"/>
  <c r="L181" i="10"/>
  <c r="C68" i="10"/>
  <c r="C66" i="10"/>
  <c r="U69" i="10"/>
  <c r="W69" i="10" s="1"/>
  <c r="Y69" i="10" s="1"/>
  <c r="O69" i="10"/>
  <c r="R69" i="10"/>
  <c r="Q69" i="10"/>
  <c r="P69" i="10"/>
  <c r="L69" i="10"/>
  <c r="U44" i="10"/>
  <c r="W44" i="10" s="1"/>
  <c r="Y44" i="10" s="1"/>
  <c r="O44" i="10"/>
  <c r="P44" i="10"/>
  <c r="Q44" i="10"/>
  <c r="R44" i="10"/>
  <c r="L44" i="10"/>
  <c r="C260" i="10"/>
  <c r="U185" i="10"/>
  <c r="W185" i="10" s="1"/>
  <c r="Y185" i="10" s="1"/>
  <c r="O185" i="10"/>
  <c r="R185" i="10"/>
  <c r="P185" i="10"/>
  <c r="Q185" i="10"/>
  <c r="L185" i="10"/>
  <c r="U258" i="10"/>
  <c r="W258" i="10" s="1"/>
  <c r="Y258" i="10" s="1"/>
  <c r="O258" i="10"/>
  <c r="Q258" i="10"/>
  <c r="R258" i="10"/>
  <c r="P258" i="10"/>
  <c r="L258" i="10"/>
  <c r="C101" i="10"/>
  <c r="C161" i="10"/>
  <c r="C194" i="10"/>
  <c r="U73" i="10"/>
  <c r="W73" i="10" s="1"/>
  <c r="Y73" i="10" s="1"/>
  <c r="O73" i="10"/>
  <c r="R73" i="10"/>
  <c r="P73" i="10"/>
  <c r="Q73" i="10"/>
  <c r="L73" i="10"/>
  <c r="C304" i="10"/>
  <c r="U248" i="10"/>
  <c r="W248" i="10" s="1"/>
  <c r="Y248" i="10" s="1"/>
  <c r="O248" i="10"/>
  <c r="R248" i="10"/>
  <c r="Q248" i="10"/>
  <c r="P248" i="10"/>
  <c r="L248" i="10"/>
  <c r="O305" i="10"/>
  <c r="U305" i="10"/>
  <c r="W305" i="10" s="1"/>
  <c r="Y305" i="10" s="1"/>
  <c r="L305" i="10"/>
  <c r="Q305" i="10"/>
  <c r="R305" i="10"/>
  <c r="P305" i="10"/>
  <c r="U282" i="10"/>
  <c r="W282" i="10" s="1"/>
  <c r="Y282" i="10" s="1"/>
  <c r="O282" i="10"/>
  <c r="Q282" i="10"/>
  <c r="R282" i="10"/>
  <c r="P282" i="10"/>
  <c r="L282" i="10"/>
  <c r="C114" i="10"/>
  <c r="C61" i="10"/>
  <c r="U320" i="10"/>
  <c r="W320" i="10" s="1"/>
  <c r="Y320" i="10" s="1"/>
  <c r="P320" i="10"/>
  <c r="Q320" i="10"/>
  <c r="R320" i="10"/>
  <c r="O320" i="10"/>
  <c r="L320" i="10"/>
  <c r="C182" i="10"/>
  <c r="U317" i="10"/>
  <c r="W317" i="10" s="1"/>
  <c r="Y317" i="10" s="1"/>
  <c r="O317" i="10"/>
  <c r="P317" i="10"/>
  <c r="R317" i="10"/>
  <c r="Q317" i="10"/>
  <c r="L317" i="10"/>
  <c r="C323" i="10"/>
  <c r="U170" i="10"/>
  <c r="W170" i="10" s="1"/>
  <c r="Y170" i="10" s="1"/>
  <c r="O170" i="10"/>
  <c r="Q170" i="10"/>
  <c r="R170" i="10"/>
  <c r="P170" i="10"/>
  <c r="L170" i="10"/>
  <c r="C240" i="10"/>
  <c r="U288" i="10"/>
  <c r="W288" i="10" s="1"/>
  <c r="Y288" i="10" s="1"/>
  <c r="O288" i="10"/>
  <c r="R288" i="10"/>
  <c r="Q288" i="10"/>
  <c r="P288" i="10"/>
  <c r="L288" i="10"/>
  <c r="C221" i="10"/>
  <c r="U175" i="10"/>
  <c r="W175" i="10" s="1"/>
  <c r="Y175" i="10" s="1"/>
  <c r="O175" i="10"/>
  <c r="R175" i="10"/>
  <c r="P175" i="10"/>
  <c r="Q175" i="10"/>
  <c r="L175" i="10"/>
  <c r="U280" i="10"/>
  <c r="W280" i="10" s="1"/>
  <c r="Y280" i="10" s="1"/>
  <c r="O280" i="10"/>
  <c r="R280" i="10"/>
  <c r="Q280" i="10"/>
  <c r="P280" i="10"/>
  <c r="L280" i="10"/>
  <c r="U274" i="10"/>
  <c r="W274" i="10" s="1"/>
  <c r="Y274" i="10" s="1"/>
  <c r="Q274" i="10"/>
  <c r="R274" i="10"/>
  <c r="P274" i="10"/>
  <c r="O274" i="10"/>
  <c r="L274" i="10"/>
  <c r="U75" i="10"/>
  <c r="W75" i="10" s="1"/>
  <c r="Y75" i="10" s="1"/>
  <c r="P75" i="10"/>
  <c r="R75" i="10"/>
  <c r="Q75" i="10"/>
  <c r="O75" i="10"/>
  <c r="L75" i="10"/>
  <c r="U235" i="10"/>
  <c r="W235" i="10" s="1"/>
  <c r="Y235" i="10" s="1"/>
  <c r="O235" i="10"/>
  <c r="Q235" i="10"/>
  <c r="R235" i="10"/>
  <c r="P235" i="10"/>
  <c r="L235" i="10"/>
  <c r="C3" i="10"/>
  <c r="S109" i="10" l="1"/>
  <c r="B48" i="13"/>
  <c r="B46" i="13"/>
  <c r="B52" i="13"/>
  <c r="B54" i="13" s="1"/>
  <c r="B56" i="13" s="1"/>
  <c r="B4" i="13" s="1"/>
  <c r="AL30" i="17"/>
  <c r="AL23" i="17"/>
  <c r="B45" i="13"/>
  <c r="B47" i="13"/>
  <c r="B49" i="13"/>
  <c r="Q127" i="10"/>
  <c r="AL9" i="17"/>
  <c r="AL21" i="17"/>
  <c r="AL14" i="17"/>
  <c r="AL19" i="17"/>
  <c r="AL8" i="17"/>
  <c r="AL22" i="17"/>
  <c r="AL25" i="17"/>
  <c r="AL5" i="17"/>
  <c r="AL7" i="17"/>
  <c r="S219" i="10"/>
  <c r="AJ34" i="17"/>
  <c r="B48" i="17" s="1"/>
  <c r="C51" i="15" s="1"/>
  <c r="AL29" i="17"/>
  <c r="AL31" i="17"/>
  <c r="AL4" i="17"/>
  <c r="AH34" i="17"/>
  <c r="B46" i="17" s="1"/>
  <c r="C49" i="15" s="1"/>
  <c r="AN4" i="17"/>
  <c r="AM34" i="17"/>
  <c r="AL24" i="17"/>
  <c r="AL11" i="17"/>
  <c r="AL26" i="17"/>
  <c r="AL10" i="17"/>
  <c r="AL32" i="17"/>
  <c r="AL13" i="17"/>
  <c r="AL16" i="17"/>
  <c r="AL20" i="17"/>
  <c r="AL15" i="17"/>
  <c r="AL28" i="17"/>
  <c r="AK34" i="17"/>
  <c r="B49" i="17" s="1"/>
  <c r="C52" i="15" s="1"/>
  <c r="AG34" i="17"/>
  <c r="B45" i="17" s="1"/>
  <c r="C48" i="15" s="1"/>
  <c r="AL12" i="17"/>
  <c r="S74" i="10"/>
  <c r="AG37" i="19"/>
  <c r="B48" i="19" s="1"/>
  <c r="D48" i="15" s="1"/>
  <c r="AL33" i="17"/>
  <c r="S73" i="10"/>
  <c r="AL6" i="17"/>
  <c r="AI34" i="17"/>
  <c r="B47" i="17" s="1"/>
  <c r="C50" i="15" s="1"/>
  <c r="AL18" i="17"/>
  <c r="AL27" i="17"/>
  <c r="AL17" i="17"/>
  <c r="AH37" i="19"/>
  <c r="B49" i="19" s="1"/>
  <c r="D49" i="15" s="1"/>
  <c r="AN4" i="19"/>
  <c r="AM37" i="19"/>
  <c r="AJ37" i="19"/>
  <c r="B51" i="19" s="1"/>
  <c r="D51" i="15" s="1"/>
  <c r="AK37" i="19"/>
  <c r="B52" i="19" s="1"/>
  <c r="D52" i="15" s="1"/>
  <c r="AI37" i="19"/>
  <c r="B50" i="19" s="1"/>
  <c r="D50" i="15" s="1"/>
  <c r="S118" i="10"/>
  <c r="P127" i="10"/>
  <c r="R127" i="10"/>
  <c r="O127" i="10"/>
  <c r="S277" i="10"/>
  <c r="S223" i="10"/>
  <c r="S176" i="10"/>
  <c r="S100" i="10"/>
  <c r="L127" i="10"/>
  <c r="S71" i="10"/>
  <c r="AF34" i="15"/>
  <c r="D52" i="13"/>
  <c r="D54" i="13" s="1"/>
  <c r="D56" i="13" s="1"/>
  <c r="D4" i="13" s="1"/>
  <c r="D48" i="13"/>
  <c r="D47" i="13"/>
  <c r="D46" i="13"/>
  <c r="D45" i="13"/>
  <c r="D49" i="13"/>
  <c r="S59" i="10"/>
  <c r="P35" i="10"/>
  <c r="Q35" i="10"/>
  <c r="L35" i="10"/>
  <c r="L96" i="10"/>
  <c r="O96" i="10"/>
  <c r="S165" i="10"/>
  <c r="S184" i="10"/>
  <c r="S217" i="10"/>
  <c r="S151" i="10"/>
  <c r="S307" i="10"/>
  <c r="U47" i="10"/>
  <c r="W47" i="10" s="1"/>
  <c r="Y47" i="10" s="1"/>
  <c r="Q47" i="10"/>
  <c r="P47" i="10"/>
  <c r="O47" i="10"/>
  <c r="R47" i="10"/>
  <c r="L47" i="10"/>
  <c r="U36" i="10"/>
  <c r="W36" i="10" s="1"/>
  <c r="Y36" i="10" s="1"/>
  <c r="Q36" i="10"/>
  <c r="P36" i="10"/>
  <c r="O36" i="10"/>
  <c r="L36" i="10"/>
  <c r="R36" i="10"/>
  <c r="U143" i="10"/>
  <c r="W143" i="10" s="1"/>
  <c r="Y143" i="10" s="1"/>
  <c r="R143" i="10"/>
  <c r="O143" i="10"/>
  <c r="P143" i="10"/>
  <c r="Q143" i="10"/>
  <c r="L143" i="10"/>
  <c r="Q225" i="10"/>
  <c r="R225" i="10"/>
  <c r="P225" i="10"/>
  <c r="L225" i="10"/>
  <c r="O225" i="10"/>
  <c r="U225" i="10"/>
  <c r="W225" i="10" s="1"/>
  <c r="Y225" i="10" s="1"/>
  <c r="U142" i="10"/>
  <c r="W142" i="10" s="1"/>
  <c r="Y142" i="10" s="1"/>
  <c r="O142" i="10"/>
  <c r="P142" i="10"/>
  <c r="R142" i="10"/>
  <c r="L142" i="10"/>
  <c r="Q142" i="10"/>
  <c r="U290" i="10"/>
  <c r="W290" i="10" s="1"/>
  <c r="Y290" i="10" s="1"/>
  <c r="Q290" i="10"/>
  <c r="P290" i="10"/>
  <c r="R290" i="10"/>
  <c r="O290" i="10"/>
  <c r="L290" i="10"/>
  <c r="P324" i="10"/>
  <c r="L324" i="10"/>
  <c r="O324" i="10"/>
  <c r="R324" i="10"/>
  <c r="U324" i="10"/>
  <c r="W324" i="10" s="1"/>
  <c r="Y324" i="10" s="1"/>
  <c r="Q324" i="10"/>
  <c r="R195" i="10"/>
  <c r="P195" i="10"/>
  <c r="L195" i="10"/>
  <c r="O195" i="10"/>
  <c r="Q195" i="10"/>
  <c r="U195" i="10"/>
  <c r="W195" i="10" s="1"/>
  <c r="Y195" i="10" s="1"/>
  <c r="L131" i="10"/>
  <c r="O35" i="10"/>
  <c r="U85" i="10"/>
  <c r="W85" i="10" s="1"/>
  <c r="Y85" i="10" s="1"/>
  <c r="P85" i="10"/>
  <c r="R85" i="10"/>
  <c r="O85" i="10"/>
  <c r="Q85" i="10"/>
  <c r="L85" i="10"/>
  <c r="O131" i="10"/>
  <c r="O296" i="10"/>
  <c r="U296" i="10"/>
  <c r="W296" i="10" s="1"/>
  <c r="Y296" i="10" s="1"/>
  <c r="R296" i="10"/>
  <c r="Q296" i="10"/>
  <c r="P296" i="10"/>
  <c r="L296" i="10"/>
  <c r="U89" i="10"/>
  <c r="W89" i="10" s="1"/>
  <c r="Y89" i="10" s="1"/>
  <c r="R89" i="10"/>
  <c r="O89" i="10"/>
  <c r="Q89" i="10"/>
  <c r="P89" i="10"/>
  <c r="L89" i="10"/>
  <c r="R55" i="10"/>
  <c r="U55" i="10"/>
  <c r="W55" i="10" s="1"/>
  <c r="Y55" i="10" s="1"/>
  <c r="P55" i="10"/>
  <c r="Q55" i="10"/>
  <c r="O55" i="10"/>
  <c r="L55" i="10"/>
  <c r="P131" i="10"/>
  <c r="R35" i="10"/>
  <c r="U269" i="10"/>
  <c r="W269" i="10" s="1"/>
  <c r="Y269" i="10" s="1"/>
  <c r="O269" i="10"/>
  <c r="R269" i="10"/>
  <c r="Q269" i="10"/>
  <c r="P269" i="10"/>
  <c r="L269" i="10"/>
  <c r="S315" i="10"/>
  <c r="S174" i="10"/>
  <c r="R131" i="10"/>
  <c r="S54" i="10"/>
  <c r="S281" i="10"/>
  <c r="S123" i="10"/>
  <c r="R48" i="10"/>
  <c r="L48" i="10"/>
  <c r="Q48" i="10"/>
  <c r="P48" i="10"/>
  <c r="O48" i="10"/>
  <c r="U48" i="10"/>
  <c r="W48" i="10" s="1"/>
  <c r="Y48" i="10" s="1"/>
  <c r="U233" i="10"/>
  <c r="W233" i="10" s="1"/>
  <c r="Y233" i="10" s="1"/>
  <c r="Q233" i="10"/>
  <c r="P233" i="10"/>
  <c r="R233" i="10"/>
  <c r="O233" i="10"/>
  <c r="L233" i="10"/>
  <c r="U239" i="10"/>
  <c r="W239" i="10" s="1"/>
  <c r="Y239" i="10" s="1"/>
  <c r="O239" i="10"/>
  <c r="P239" i="10"/>
  <c r="R239" i="10"/>
  <c r="Q239" i="10"/>
  <c r="L239" i="10"/>
  <c r="S261" i="10"/>
  <c r="Q131" i="10"/>
  <c r="R249" i="10"/>
  <c r="Q249" i="10"/>
  <c r="P249" i="10"/>
  <c r="L249" i="10"/>
  <c r="O249" i="10"/>
  <c r="U249" i="10"/>
  <c r="W249" i="10" s="1"/>
  <c r="Y249" i="10" s="1"/>
  <c r="L187" i="10"/>
  <c r="U187" i="10"/>
  <c r="W187" i="10" s="1"/>
  <c r="Y187" i="10" s="1"/>
  <c r="O187" i="10"/>
  <c r="Q187" i="10"/>
  <c r="P187" i="10"/>
  <c r="R187" i="10"/>
  <c r="U99" i="10"/>
  <c r="W99" i="10" s="1"/>
  <c r="Y99" i="10" s="1"/>
  <c r="O99" i="10"/>
  <c r="P99" i="10"/>
  <c r="Q99" i="10"/>
  <c r="R99" i="10"/>
  <c r="L99" i="10"/>
  <c r="U42" i="10"/>
  <c r="W42" i="10" s="1"/>
  <c r="Y42" i="10" s="1"/>
  <c r="O42" i="10"/>
  <c r="Q42" i="10"/>
  <c r="R42" i="10"/>
  <c r="P42" i="10"/>
  <c r="L42" i="10"/>
  <c r="S280" i="10"/>
  <c r="U92" i="10"/>
  <c r="W92" i="10" s="1"/>
  <c r="Y92" i="10" s="1"/>
  <c r="R92" i="10"/>
  <c r="O92" i="10"/>
  <c r="P92" i="10"/>
  <c r="L92" i="10"/>
  <c r="Q92" i="10"/>
  <c r="U183" i="10"/>
  <c r="W183" i="10" s="1"/>
  <c r="Y183" i="10" s="1"/>
  <c r="R183" i="10"/>
  <c r="O183" i="10"/>
  <c r="Q183" i="10"/>
  <c r="L183" i="10"/>
  <c r="P183" i="10"/>
  <c r="U164" i="10"/>
  <c r="W164" i="10" s="1"/>
  <c r="Y164" i="10" s="1"/>
  <c r="O164" i="10"/>
  <c r="Q164" i="10"/>
  <c r="R164" i="10"/>
  <c r="L164" i="10"/>
  <c r="P164" i="10"/>
  <c r="U49" i="10"/>
  <c r="W49" i="10" s="1"/>
  <c r="Y49" i="10" s="1"/>
  <c r="Q49" i="10"/>
  <c r="R49" i="10"/>
  <c r="O49" i="10"/>
  <c r="P49" i="10"/>
  <c r="L49" i="10"/>
  <c r="U52" i="10"/>
  <c r="W52" i="10" s="1"/>
  <c r="Y52" i="10" s="1"/>
  <c r="Q52" i="10"/>
  <c r="O52" i="10"/>
  <c r="P52" i="10"/>
  <c r="R52" i="10"/>
  <c r="L52" i="10"/>
  <c r="U157" i="10"/>
  <c r="W157" i="10" s="1"/>
  <c r="Y157" i="10" s="1"/>
  <c r="R157" i="10"/>
  <c r="Q157" i="10"/>
  <c r="P157" i="10"/>
  <c r="L157" i="10"/>
  <c r="O157" i="10"/>
  <c r="U90" i="10"/>
  <c r="W90" i="10" s="1"/>
  <c r="Y90" i="10" s="1"/>
  <c r="O90" i="10"/>
  <c r="Q90" i="10"/>
  <c r="P90" i="10"/>
  <c r="L90" i="10"/>
  <c r="R90" i="10"/>
  <c r="U310" i="10"/>
  <c r="W310" i="10" s="1"/>
  <c r="Y310" i="10" s="1"/>
  <c r="O310" i="10"/>
  <c r="P310" i="10"/>
  <c r="R310" i="10"/>
  <c r="Q310" i="10"/>
  <c r="L310" i="10"/>
  <c r="U96" i="10"/>
  <c r="W96" i="10" s="1"/>
  <c r="Y96" i="10" s="1"/>
  <c r="R96" i="10"/>
  <c r="Q96" i="10"/>
  <c r="P96" i="10"/>
  <c r="R91" i="10"/>
  <c r="U91" i="10"/>
  <c r="W91" i="10" s="1"/>
  <c r="Y91" i="10" s="1"/>
  <c r="O91" i="10"/>
  <c r="Q91" i="10"/>
  <c r="P91" i="10"/>
  <c r="L91" i="10"/>
  <c r="S170" i="10"/>
  <c r="S243" i="10"/>
  <c r="S175" i="10"/>
  <c r="C33" i="10"/>
  <c r="O3" i="10" s="1"/>
  <c r="S168" i="10"/>
  <c r="S308" i="10"/>
  <c r="S150" i="10"/>
  <c r="S305" i="10"/>
  <c r="S288" i="10"/>
  <c r="S235" i="10"/>
  <c r="S293" i="10"/>
  <c r="U304" i="10"/>
  <c r="W304" i="10" s="1"/>
  <c r="Y304" i="10" s="1"/>
  <c r="O304" i="10"/>
  <c r="R304" i="10"/>
  <c r="P304" i="10"/>
  <c r="Q304" i="10"/>
  <c r="L304" i="10"/>
  <c r="U240" i="10"/>
  <c r="W240" i="10" s="1"/>
  <c r="Y240" i="10" s="1"/>
  <c r="O240" i="10"/>
  <c r="R240" i="10"/>
  <c r="Q240" i="10"/>
  <c r="P240" i="10"/>
  <c r="L240" i="10"/>
  <c r="S282" i="10"/>
  <c r="U234" i="10"/>
  <c r="W234" i="10" s="1"/>
  <c r="Y234" i="10" s="1"/>
  <c r="O234" i="10"/>
  <c r="Q234" i="10"/>
  <c r="R234" i="10"/>
  <c r="P234" i="10"/>
  <c r="L234" i="10"/>
  <c r="S135" i="10"/>
  <c r="S60" i="10"/>
  <c r="S202" i="10"/>
  <c r="U259" i="10"/>
  <c r="W259" i="10" s="1"/>
  <c r="Y259" i="10" s="1"/>
  <c r="Q259" i="10"/>
  <c r="R259" i="10"/>
  <c r="P259" i="10"/>
  <c r="O259" i="10"/>
  <c r="L259" i="10"/>
  <c r="U139" i="10"/>
  <c r="W139" i="10" s="1"/>
  <c r="Y139" i="10" s="1"/>
  <c r="R139" i="10"/>
  <c r="P139" i="10"/>
  <c r="O139" i="10"/>
  <c r="Q139" i="10"/>
  <c r="L139" i="10"/>
  <c r="U117" i="10"/>
  <c r="W117" i="10" s="1"/>
  <c r="Y117" i="10" s="1"/>
  <c r="O117" i="10"/>
  <c r="Q117" i="10"/>
  <c r="P117" i="10"/>
  <c r="R117" i="10"/>
  <c r="L117" i="10"/>
  <c r="S189" i="10"/>
  <c r="U294" i="10"/>
  <c r="W294" i="10" s="1"/>
  <c r="Y294" i="10" s="1"/>
  <c r="R294" i="10"/>
  <c r="Q294" i="10"/>
  <c r="P294" i="10"/>
  <c r="O294" i="10"/>
  <c r="L294" i="10"/>
  <c r="S264" i="10"/>
  <c r="U93" i="10"/>
  <c r="W93" i="10" s="1"/>
  <c r="Y93" i="10" s="1"/>
  <c r="R93" i="10"/>
  <c r="Q93" i="10"/>
  <c r="P93" i="10"/>
  <c r="O93" i="10"/>
  <c r="L93" i="10"/>
  <c r="U84" i="10"/>
  <c r="W84" i="10" s="1"/>
  <c r="Y84" i="10" s="1"/>
  <c r="O84" i="10"/>
  <c r="P84" i="10"/>
  <c r="Q84" i="10"/>
  <c r="R84" i="10"/>
  <c r="L84" i="10"/>
  <c r="S39" i="10"/>
  <c r="U267" i="10"/>
  <c r="W267" i="10" s="1"/>
  <c r="Y267" i="10" s="1"/>
  <c r="R267" i="10"/>
  <c r="P267" i="10"/>
  <c r="Q267" i="10"/>
  <c r="O267" i="10"/>
  <c r="L267" i="10"/>
  <c r="U67" i="10"/>
  <c r="W67" i="10" s="1"/>
  <c r="Y67" i="10" s="1"/>
  <c r="Q67" i="10"/>
  <c r="R67" i="10"/>
  <c r="P67" i="10"/>
  <c r="O67" i="10"/>
  <c r="L67" i="10"/>
  <c r="S272" i="10"/>
  <c r="S147" i="10"/>
  <c r="S102" i="10"/>
  <c r="U37" i="10"/>
  <c r="W37" i="10" s="1"/>
  <c r="Y37" i="10" s="1"/>
  <c r="O37" i="10"/>
  <c r="R37" i="10"/>
  <c r="Q37" i="10"/>
  <c r="P37" i="10"/>
  <c r="L37" i="10"/>
  <c r="U177" i="10"/>
  <c r="W177" i="10" s="1"/>
  <c r="Y177" i="10" s="1"/>
  <c r="O177" i="10"/>
  <c r="P177" i="10"/>
  <c r="L177" i="10"/>
  <c r="Q177" i="10"/>
  <c r="R177" i="10"/>
  <c r="S285" i="10"/>
  <c r="U205" i="10"/>
  <c r="W205" i="10" s="1"/>
  <c r="Y205" i="10" s="1"/>
  <c r="O205" i="10"/>
  <c r="P205" i="10"/>
  <c r="R205" i="10"/>
  <c r="Q205" i="10"/>
  <c r="L205" i="10"/>
  <c r="U309" i="10"/>
  <c r="W309" i="10" s="1"/>
  <c r="Y309" i="10" s="1"/>
  <c r="O309" i="10"/>
  <c r="R309" i="10"/>
  <c r="Q309" i="10"/>
  <c r="P309" i="10"/>
  <c r="L309" i="10"/>
  <c r="U104" i="10"/>
  <c r="W104" i="10" s="1"/>
  <c r="Y104" i="10" s="1"/>
  <c r="O104" i="10"/>
  <c r="R104" i="10"/>
  <c r="P104" i="10"/>
  <c r="Q104" i="10"/>
  <c r="L104" i="10"/>
  <c r="U128" i="10"/>
  <c r="W128" i="10" s="1"/>
  <c r="Y128" i="10" s="1"/>
  <c r="P128" i="10"/>
  <c r="Q128" i="10"/>
  <c r="O128" i="10"/>
  <c r="R128" i="10"/>
  <c r="L128" i="10"/>
  <c r="S286" i="10"/>
  <c r="U108" i="10"/>
  <c r="W108" i="10" s="1"/>
  <c r="Y108" i="10" s="1"/>
  <c r="O108" i="10"/>
  <c r="P108" i="10"/>
  <c r="Q108" i="10"/>
  <c r="R108" i="10"/>
  <c r="L108" i="10"/>
  <c r="U87" i="10"/>
  <c r="W87" i="10" s="1"/>
  <c r="Y87" i="10" s="1"/>
  <c r="O87" i="10"/>
  <c r="Q87" i="10"/>
  <c r="P87" i="10"/>
  <c r="R87" i="10"/>
  <c r="L87" i="10"/>
  <c r="O193" i="10"/>
  <c r="U193" i="10"/>
  <c r="W193" i="10" s="1"/>
  <c r="Y193" i="10" s="1"/>
  <c r="Q193" i="10"/>
  <c r="R193" i="10"/>
  <c r="P193" i="10"/>
  <c r="L193" i="10"/>
  <c r="S57" i="10"/>
  <c r="U236" i="10"/>
  <c r="W236" i="10" s="1"/>
  <c r="Y236" i="10" s="1"/>
  <c r="O236" i="10"/>
  <c r="P236" i="10"/>
  <c r="Q236" i="10"/>
  <c r="R236" i="10"/>
  <c r="L236" i="10"/>
  <c r="U111" i="10"/>
  <c r="W111" i="10" s="1"/>
  <c r="Y111" i="10" s="1"/>
  <c r="O111" i="10"/>
  <c r="R111" i="10"/>
  <c r="Q111" i="10"/>
  <c r="P111" i="10"/>
  <c r="L111" i="10"/>
  <c r="P306" i="10"/>
  <c r="R306" i="10"/>
  <c r="U306" i="10"/>
  <c r="W306" i="10" s="1"/>
  <c r="Y306" i="10" s="1"/>
  <c r="L306" i="10"/>
  <c r="O306" i="10"/>
  <c r="Q306" i="10"/>
  <c r="U279" i="10"/>
  <c r="W279" i="10" s="1"/>
  <c r="Y279" i="10" s="1"/>
  <c r="O279" i="10"/>
  <c r="Q279" i="10"/>
  <c r="R279" i="10"/>
  <c r="P279" i="10"/>
  <c r="L279" i="10"/>
  <c r="U116" i="10"/>
  <c r="W116" i="10" s="1"/>
  <c r="Y116" i="10" s="1"/>
  <c r="O116" i="10"/>
  <c r="P116" i="10"/>
  <c r="Q116" i="10"/>
  <c r="R116" i="10"/>
  <c r="L116" i="10"/>
  <c r="S69" i="10"/>
  <c r="U246" i="10"/>
  <c r="W246" i="10" s="1"/>
  <c r="Y246" i="10" s="1"/>
  <c r="O246" i="10"/>
  <c r="R246" i="10"/>
  <c r="P246" i="10"/>
  <c r="Q246" i="10"/>
  <c r="L246" i="10"/>
  <c r="S63" i="10"/>
  <c r="U270" i="10"/>
  <c r="W270" i="10" s="1"/>
  <c r="Y270" i="10" s="1"/>
  <c r="O270" i="10"/>
  <c r="P270" i="10"/>
  <c r="Q270" i="10"/>
  <c r="R270" i="10"/>
  <c r="L270" i="10"/>
  <c r="S136" i="10"/>
  <c r="U159" i="10"/>
  <c r="W159" i="10" s="1"/>
  <c r="Y159" i="10" s="1"/>
  <c r="O159" i="10"/>
  <c r="R159" i="10"/>
  <c r="Q159" i="10"/>
  <c r="P159" i="10"/>
  <c r="L159" i="10"/>
  <c r="U214" i="10"/>
  <c r="W214" i="10" s="1"/>
  <c r="Y214" i="10" s="1"/>
  <c r="O214" i="10"/>
  <c r="Q214" i="10"/>
  <c r="P214" i="10"/>
  <c r="R214" i="10"/>
  <c r="L214" i="10"/>
  <c r="U110" i="10"/>
  <c r="W110" i="10" s="1"/>
  <c r="Y110" i="10" s="1"/>
  <c r="O110" i="10"/>
  <c r="P110" i="10"/>
  <c r="Q110" i="10"/>
  <c r="R110" i="10"/>
  <c r="L110" i="10"/>
  <c r="U215" i="10"/>
  <c r="W215" i="10" s="1"/>
  <c r="Y215" i="10" s="1"/>
  <c r="O215" i="10"/>
  <c r="Q215" i="10"/>
  <c r="P215" i="10"/>
  <c r="R215" i="10"/>
  <c r="L215" i="10"/>
  <c r="U291" i="10"/>
  <c r="W291" i="10" s="1"/>
  <c r="Y291" i="10" s="1"/>
  <c r="O291" i="10"/>
  <c r="P291" i="10"/>
  <c r="R291" i="10"/>
  <c r="Q291" i="10"/>
  <c r="L291" i="10"/>
  <c r="Q194" i="10"/>
  <c r="P194" i="10"/>
  <c r="R194" i="10"/>
  <c r="O194" i="10"/>
  <c r="U194" i="10"/>
  <c r="W194" i="10" s="1"/>
  <c r="Y194" i="10" s="1"/>
  <c r="L194" i="10"/>
  <c r="S185" i="10"/>
  <c r="S292" i="10"/>
  <c r="S166" i="10"/>
  <c r="U297" i="10"/>
  <c r="W297" i="10" s="1"/>
  <c r="Y297" i="10" s="1"/>
  <c r="Q297" i="10"/>
  <c r="P297" i="10"/>
  <c r="R297" i="10"/>
  <c r="O297" i="10"/>
  <c r="L297" i="10"/>
  <c r="U254" i="10"/>
  <c r="W254" i="10" s="1"/>
  <c r="Y254" i="10" s="1"/>
  <c r="R254" i="10"/>
  <c r="P254" i="10"/>
  <c r="Q254" i="10"/>
  <c r="O254" i="10"/>
  <c r="L254" i="10"/>
  <c r="S199" i="10"/>
  <c r="U121" i="10"/>
  <c r="W121" i="10" s="1"/>
  <c r="Y121" i="10" s="1"/>
  <c r="O121" i="10"/>
  <c r="R121" i="10"/>
  <c r="P121" i="10"/>
  <c r="Q121" i="10"/>
  <c r="L121" i="10"/>
  <c r="U295" i="10"/>
  <c r="W295" i="10" s="1"/>
  <c r="Y295" i="10" s="1"/>
  <c r="O295" i="10"/>
  <c r="P295" i="10"/>
  <c r="R295" i="10"/>
  <c r="Q295" i="10"/>
  <c r="L295" i="10"/>
  <c r="U204" i="10"/>
  <c r="W204" i="10" s="1"/>
  <c r="Y204" i="10" s="1"/>
  <c r="O204" i="10"/>
  <c r="P204" i="10"/>
  <c r="Q204" i="10"/>
  <c r="R204" i="10"/>
  <c r="L204" i="10"/>
  <c r="U198" i="10"/>
  <c r="W198" i="10" s="1"/>
  <c r="Y198" i="10" s="1"/>
  <c r="O198" i="10"/>
  <c r="R198" i="10"/>
  <c r="P198" i="10"/>
  <c r="Q198" i="10"/>
  <c r="L198" i="10"/>
  <c r="U278" i="10"/>
  <c r="W278" i="10" s="1"/>
  <c r="Y278" i="10" s="1"/>
  <c r="O278" i="10"/>
  <c r="Q278" i="10"/>
  <c r="R278" i="10"/>
  <c r="P278" i="10"/>
  <c r="L278" i="10"/>
  <c r="U153" i="10"/>
  <c r="W153" i="10" s="1"/>
  <c r="Y153" i="10" s="1"/>
  <c r="O153" i="10"/>
  <c r="R153" i="10"/>
  <c r="P153" i="10"/>
  <c r="Q153" i="10"/>
  <c r="L153" i="10"/>
  <c r="U186" i="10"/>
  <c r="W186" i="10" s="1"/>
  <c r="Y186" i="10" s="1"/>
  <c r="O186" i="10"/>
  <c r="Q186" i="10"/>
  <c r="R186" i="10"/>
  <c r="P186" i="10"/>
  <c r="L186" i="10"/>
  <c r="U255" i="10"/>
  <c r="W255" i="10" s="1"/>
  <c r="Y255" i="10" s="1"/>
  <c r="O255" i="10"/>
  <c r="R255" i="10"/>
  <c r="Q255" i="10"/>
  <c r="P255" i="10"/>
  <c r="L255" i="10"/>
  <c r="U221" i="10"/>
  <c r="W221" i="10" s="1"/>
  <c r="Y221" i="10" s="1"/>
  <c r="Q221" i="10"/>
  <c r="R221" i="10"/>
  <c r="P221" i="10"/>
  <c r="O221" i="10"/>
  <c r="L221" i="10"/>
  <c r="U61" i="10"/>
  <c r="W61" i="10" s="1"/>
  <c r="Y61" i="10" s="1"/>
  <c r="O61" i="10"/>
  <c r="P61" i="10"/>
  <c r="Q61" i="10"/>
  <c r="R61" i="10"/>
  <c r="L61" i="10"/>
  <c r="U266" i="10"/>
  <c r="W266" i="10" s="1"/>
  <c r="Y266" i="10" s="1"/>
  <c r="R266" i="10"/>
  <c r="P266" i="10"/>
  <c r="Q266" i="10"/>
  <c r="O266" i="10"/>
  <c r="L266" i="10"/>
  <c r="U171" i="10"/>
  <c r="W171" i="10" s="1"/>
  <c r="Y171" i="10" s="1"/>
  <c r="O171" i="10"/>
  <c r="Q171" i="10"/>
  <c r="R171" i="10"/>
  <c r="P171" i="10"/>
  <c r="L171" i="10"/>
  <c r="S230" i="10"/>
  <c r="U94" i="10"/>
  <c r="W94" i="10" s="1"/>
  <c r="Y94" i="10" s="1"/>
  <c r="O94" i="10"/>
  <c r="P94" i="10"/>
  <c r="R94" i="10"/>
  <c r="Q94" i="10"/>
  <c r="L94" i="10"/>
  <c r="Q178" i="10"/>
  <c r="R178" i="10"/>
  <c r="O178" i="10"/>
  <c r="P178" i="10"/>
  <c r="U178" i="10"/>
  <c r="W178" i="10" s="1"/>
  <c r="Y178" i="10" s="1"/>
  <c r="L178" i="10"/>
  <c r="U265" i="10"/>
  <c r="W265" i="10" s="1"/>
  <c r="Y265" i="10" s="1"/>
  <c r="O265" i="10"/>
  <c r="R265" i="10"/>
  <c r="P265" i="10"/>
  <c r="Q265" i="10"/>
  <c r="L265" i="10"/>
  <c r="S81" i="10"/>
  <c r="U253" i="10"/>
  <c r="W253" i="10" s="1"/>
  <c r="Y253" i="10" s="1"/>
  <c r="O253" i="10"/>
  <c r="Q253" i="10"/>
  <c r="R253" i="10"/>
  <c r="P253" i="10"/>
  <c r="L253" i="10"/>
  <c r="U260" i="10"/>
  <c r="W260" i="10" s="1"/>
  <c r="Y260" i="10" s="1"/>
  <c r="Q260" i="10"/>
  <c r="R260" i="10"/>
  <c r="P260" i="10"/>
  <c r="O260" i="10"/>
  <c r="L260" i="10"/>
  <c r="U130" i="10"/>
  <c r="W130" i="10" s="1"/>
  <c r="Y130" i="10" s="1"/>
  <c r="O130" i="10"/>
  <c r="R130" i="10"/>
  <c r="P130" i="10"/>
  <c r="Q130" i="10"/>
  <c r="L130" i="10"/>
  <c r="S98" i="10"/>
  <c r="U245" i="10"/>
  <c r="W245" i="10" s="1"/>
  <c r="Y245" i="10" s="1"/>
  <c r="O245" i="10"/>
  <c r="P245" i="10"/>
  <c r="Q245" i="10"/>
  <c r="R245" i="10"/>
  <c r="L245" i="10"/>
  <c r="U148" i="10"/>
  <c r="W148" i="10" s="1"/>
  <c r="Y148" i="10" s="1"/>
  <c r="O148" i="10"/>
  <c r="P148" i="10"/>
  <c r="R148" i="10"/>
  <c r="Q148" i="10"/>
  <c r="L148" i="10"/>
  <c r="U319" i="10"/>
  <c r="W319" i="10" s="1"/>
  <c r="Y319" i="10" s="1"/>
  <c r="O319" i="10"/>
  <c r="R319" i="10"/>
  <c r="Q319" i="10"/>
  <c r="P319" i="10"/>
  <c r="L319" i="10"/>
  <c r="U172" i="10"/>
  <c r="W172" i="10" s="1"/>
  <c r="Y172" i="10" s="1"/>
  <c r="O172" i="10"/>
  <c r="P172" i="10"/>
  <c r="Q172" i="10"/>
  <c r="R172" i="10"/>
  <c r="L172" i="10"/>
  <c r="U86" i="10"/>
  <c r="W86" i="10" s="1"/>
  <c r="Y86" i="10" s="1"/>
  <c r="O86" i="10"/>
  <c r="Q86" i="10"/>
  <c r="P86" i="10"/>
  <c r="R86" i="10"/>
  <c r="L86" i="10"/>
  <c r="S97" i="10"/>
  <c r="S252" i="10"/>
  <c r="S241" i="10"/>
  <c r="O65" i="10"/>
  <c r="Q65" i="10"/>
  <c r="U65" i="10"/>
  <c r="W65" i="10" s="1"/>
  <c r="Y65" i="10" s="1"/>
  <c r="R65" i="10"/>
  <c r="P65" i="10"/>
  <c r="L65" i="10"/>
  <c r="U66" i="10"/>
  <c r="W66" i="10" s="1"/>
  <c r="Y66" i="10" s="1"/>
  <c r="O66" i="10"/>
  <c r="Q66" i="10"/>
  <c r="P66" i="10"/>
  <c r="R66" i="10"/>
  <c r="L66" i="10"/>
  <c r="U161" i="10"/>
  <c r="W161" i="10" s="1"/>
  <c r="Y161" i="10" s="1"/>
  <c r="Q161" i="10"/>
  <c r="R161" i="10"/>
  <c r="P161" i="10"/>
  <c r="O161" i="10"/>
  <c r="L161" i="10"/>
  <c r="U301" i="10"/>
  <c r="W301" i="10" s="1"/>
  <c r="Y301" i="10" s="1"/>
  <c r="O301" i="10"/>
  <c r="R301" i="10"/>
  <c r="Q301" i="10"/>
  <c r="P301" i="10"/>
  <c r="L301" i="10"/>
  <c r="U220" i="10"/>
  <c r="W220" i="10" s="1"/>
  <c r="Y220" i="10" s="1"/>
  <c r="Q220" i="10"/>
  <c r="R220" i="10"/>
  <c r="P220" i="10"/>
  <c r="O220" i="10"/>
  <c r="L220" i="10"/>
  <c r="U316" i="10"/>
  <c r="W316" i="10" s="1"/>
  <c r="Y316" i="10" s="1"/>
  <c r="O316" i="10"/>
  <c r="P316" i="10"/>
  <c r="Q316" i="10"/>
  <c r="R316" i="10"/>
  <c r="L316" i="10"/>
  <c r="S173" i="10"/>
  <c r="U146" i="10"/>
  <c r="W146" i="10" s="1"/>
  <c r="Y146" i="10" s="1"/>
  <c r="O146" i="10"/>
  <c r="Q146" i="10"/>
  <c r="R146" i="10"/>
  <c r="P146" i="10"/>
  <c r="L146" i="10"/>
  <c r="U256" i="10"/>
  <c r="W256" i="10" s="1"/>
  <c r="Y256" i="10" s="1"/>
  <c r="Q256" i="10"/>
  <c r="P256" i="10"/>
  <c r="R256" i="10"/>
  <c r="O256" i="10"/>
  <c r="L256" i="10"/>
  <c r="U323" i="10"/>
  <c r="W323" i="10" s="1"/>
  <c r="Y323" i="10" s="1"/>
  <c r="R323" i="10"/>
  <c r="L323" i="10"/>
  <c r="P323" i="10"/>
  <c r="O323" i="10"/>
  <c r="Q323" i="10"/>
  <c r="Q321" i="10"/>
  <c r="O321" i="10"/>
  <c r="U321" i="10"/>
  <c r="W321" i="10" s="1"/>
  <c r="Y321" i="10" s="1"/>
  <c r="P321" i="10"/>
  <c r="R321" i="10"/>
  <c r="L321" i="10"/>
  <c r="U101" i="10"/>
  <c r="W101" i="10" s="1"/>
  <c r="Y101" i="10" s="1"/>
  <c r="O101" i="10"/>
  <c r="P101" i="10"/>
  <c r="R101" i="10"/>
  <c r="Q101" i="10"/>
  <c r="L101" i="10"/>
  <c r="U300" i="10"/>
  <c r="W300" i="10" s="1"/>
  <c r="Y300" i="10" s="1"/>
  <c r="O300" i="10"/>
  <c r="P300" i="10"/>
  <c r="Q300" i="10"/>
  <c r="R300" i="10"/>
  <c r="L300" i="10"/>
  <c r="U242" i="10"/>
  <c r="W242" i="10" s="1"/>
  <c r="Y242" i="10" s="1"/>
  <c r="O242" i="10"/>
  <c r="Q242" i="10"/>
  <c r="R242" i="10"/>
  <c r="P242" i="10"/>
  <c r="L242" i="10"/>
  <c r="U77" i="10"/>
  <c r="W77" i="10" s="1"/>
  <c r="Y77" i="10" s="1"/>
  <c r="O77" i="10"/>
  <c r="P77" i="10"/>
  <c r="R77" i="10"/>
  <c r="Q77" i="10"/>
  <c r="L77" i="10"/>
  <c r="U232" i="10"/>
  <c r="W232" i="10" s="1"/>
  <c r="Y232" i="10" s="1"/>
  <c r="O232" i="10"/>
  <c r="R232" i="10"/>
  <c r="Q232" i="10"/>
  <c r="P232" i="10"/>
  <c r="L232" i="10"/>
  <c r="S226" i="10"/>
  <c r="S137" i="10"/>
  <c r="S64" i="10"/>
  <c r="U224" i="10"/>
  <c r="W224" i="10" s="1"/>
  <c r="Y224" i="10" s="1"/>
  <c r="O224" i="10"/>
  <c r="R224" i="10"/>
  <c r="P224" i="10"/>
  <c r="Q224" i="10"/>
  <c r="L224" i="10"/>
  <c r="U251" i="10"/>
  <c r="W251" i="10" s="1"/>
  <c r="Y251" i="10" s="1"/>
  <c r="O251" i="10"/>
  <c r="Q251" i="10"/>
  <c r="R251" i="10"/>
  <c r="P251" i="10"/>
  <c r="L251" i="10"/>
  <c r="U68" i="10"/>
  <c r="W68" i="10" s="1"/>
  <c r="Y68" i="10" s="1"/>
  <c r="R68" i="10"/>
  <c r="Q68" i="10"/>
  <c r="P68" i="10"/>
  <c r="O68" i="10"/>
  <c r="L68" i="10"/>
  <c r="U114" i="10"/>
  <c r="W114" i="10" s="1"/>
  <c r="Y114" i="10" s="1"/>
  <c r="O114" i="10"/>
  <c r="Q114" i="10"/>
  <c r="R114" i="10"/>
  <c r="P114" i="10"/>
  <c r="L114" i="10"/>
  <c r="S248" i="10"/>
  <c r="S70" i="10"/>
  <c r="S203" i="10"/>
  <c r="U152" i="10"/>
  <c r="W152" i="10" s="1"/>
  <c r="Y152" i="10" s="1"/>
  <c r="O152" i="10"/>
  <c r="R152" i="10"/>
  <c r="P152" i="10"/>
  <c r="Q152" i="10"/>
  <c r="L152" i="10"/>
  <c r="S275" i="10"/>
  <c r="S58" i="10"/>
  <c r="S268" i="10"/>
  <c r="S273" i="10"/>
  <c r="U134" i="10"/>
  <c r="W134" i="10" s="1"/>
  <c r="Y134" i="10" s="1"/>
  <c r="O134" i="10"/>
  <c r="R134" i="10"/>
  <c r="P134" i="10"/>
  <c r="Q134" i="10"/>
  <c r="L134" i="10"/>
  <c r="U145" i="10"/>
  <c r="W145" i="10" s="1"/>
  <c r="Y145" i="10" s="1"/>
  <c r="O145" i="10"/>
  <c r="Q145" i="10"/>
  <c r="R145" i="10"/>
  <c r="P145" i="10"/>
  <c r="L145" i="10"/>
  <c r="U79" i="10"/>
  <c r="W79" i="10" s="1"/>
  <c r="Y79" i="10" s="1"/>
  <c r="R79" i="10"/>
  <c r="Q79" i="10"/>
  <c r="O79" i="10"/>
  <c r="P79" i="10"/>
  <c r="L79" i="10"/>
  <c r="U208" i="10"/>
  <c r="W208" i="10" s="1"/>
  <c r="Y208" i="10" s="1"/>
  <c r="O208" i="10"/>
  <c r="R208" i="10"/>
  <c r="Q208" i="10"/>
  <c r="P208" i="10"/>
  <c r="L208" i="10"/>
  <c r="U238" i="10"/>
  <c r="W238" i="10" s="1"/>
  <c r="Y238" i="10" s="1"/>
  <c r="O238" i="10"/>
  <c r="Q238" i="10"/>
  <c r="P238" i="10"/>
  <c r="R238" i="10"/>
  <c r="L238" i="10"/>
  <c r="S181" i="10"/>
  <c r="U179" i="10"/>
  <c r="W179" i="10" s="1"/>
  <c r="Y179" i="10" s="1"/>
  <c r="O179" i="10"/>
  <c r="P179" i="10"/>
  <c r="R179" i="10"/>
  <c r="Q179" i="10"/>
  <c r="L179" i="10"/>
  <c r="U322" i="10"/>
  <c r="W322" i="10" s="1"/>
  <c r="Y322" i="10" s="1"/>
  <c r="O322" i="10"/>
  <c r="R322" i="10"/>
  <c r="Q322" i="10"/>
  <c r="P322" i="10"/>
  <c r="L322" i="10"/>
  <c r="U197" i="10"/>
  <c r="W197" i="10" s="1"/>
  <c r="Y197" i="10" s="1"/>
  <c r="O197" i="10"/>
  <c r="R197" i="10"/>
  <c r="P197" i="10"/>
  <c r="Q197" i="10"/>
  <c r="L197" i="10"/>
  <c r="S144" i="10"/>
  <c r="S262" i="10"/>
  <c r="U50" i="10"/>
  <c r="W50" i="10" s="1"/>
  <c r="Y50" i="10" s="1"/>
  <c r="O50" i="10"/>
  <c r="R50" i="10"/>
  <c r="L50" i="10"/>
  <c r="P50" i="10"/>
  <c r="Q50" i="10"/>
  <c r="U182" i="10"/>
  <c r="W182" i="10" s="1"/>
  <c r="Y182" i="10" s="1"/>
  <c r="O182" i="10"/>
  <c r="Q182" i="10"/>
  <c r="R182" i="10"/>
  <c r="P182" i="10"/>
  <c r="L182" i="10"/>
  <c r="U303" i="10"/>
  <c r="W303" i="10" s="1"/>
  <c r="Y303" i="10" s="1"/>
  <c r="O303" i="10"/>
  <c r="R303" i="10"/>
  <c r="P303" i="10"/>
  <c r="Q303" i="10"/>
  <c r="L303" i="10"/>
  <c r="U250" i="10"/>
  <c r="W250" i="10" s="1"/>
  <c r="Y250" i="10" s="1"/>
  <c r="O250" i="10"/>
  <c r="Q250" i="10"/>
  <c r="R250" i="10"/>
  <c r="P250" i="10"/>
  <c r="L250" i="10"/>
  <c r="U45" i="10"/>
  <c r="W45" i="10" s="1"/>
  <c r="Y45" i="10" s="1"/>
  <c r="O45" i="10"/>
  <c r="P45" i="10"/>
  <c r="R45" i="10"/>
  <c r="Q45" i="10"/>
  <c r="L45" i="10"/>
  <c r="U206" i="10"/>
  <c r="W206" i="10" s="1"/>
  <c r="Y206" i="10" s="1"/>
  <c r="R206" i="10"/>
  <c r="O206" i="10"/>
  <c r="Q206" i="10"/>
  <c r="P206" i="10"/>
  <c r="L206" i="10"/>
  <c r="U302" i="10"/>
  <c r="W302" i="10" s="1"/>
  <c r="Y302" i="10" s="1"/>
  <c r="O302" i="10"/>
  <c r="Q302" i="10"/>
  <c r="R302" i="10"/>
  <c r="P302" i="10"/>
  <c r="L302" i="10"/>
  <c r="U222" i="10"/>
  <c r="W222" i="10" s="1"/>
  <c r="Y222" i="10" s="1"/>
  <c r="O222" i="10"/>
  <c r="R222" i="10"/>
  <c r="Q222" i="10"/>
  <c r="P222" i="10"/>
  <c r="L222" i="10"/>
  <c r="C34" i="10"/>
  <c r="Q34" i="10" s="1"/>
  <c r="AG12" i="15" l="1"/>
  <c r="B46" i="15"/>
  <c r="B50" i="13"/>
  <c r="B3" i="13" s="1"/>
  <c r="B5" i="13" s="1"/>
  <c r="Q25" i="10"/>
  <c r="R17" i="10"/>
  <c r="R32" i="10"/>
  <c r="D57" i="15"/>
  <c r="L22" i="10"/>
  <c r="AO4" i="17"/>
  <c r="AO34" i="17" s="1"/>
  <c r="B52" i="17" s="1"/>
  <c r="B55" i="17" s="1"/>
  <c r="AN34" i="17"/>
  <c r="B57" i="19"/>
  <c r="AL34" i="17"/>
  <c r="B50" i="17" s="1"/>
  <c r="C53" i="15" s="1"/>
  <c r="C57" i="15" s="1"/>
  <c r="AO4" i="19"/>
  <c r="AO37" i="19" s="1"/>
  <c r="B55" i="19" s="1"/>
  <c r="AN37" i="19"/>
  <c r="O20" i="10"/>
  <c r="Q24" i="10"/>
  <c r="Q32" i="10"/>
  <c r="P23" i="10"/>
  <c r="U23" i="10"/>
  <c r="W23" i="10" s="1"/>
  <c r="Y23" i="10" s="1"/>
  <c r="S249" i="10"/>
  <c r="S306" i="10"/>
  <c r="S242" i="10"/>
  <c r="S110" i="10"/>
  <c r="S92" i="10"/>
  <c r="AG32" i="15"/>
  <c r="AG24" i="15"/>
  <c r="AG30" i="15"/>
  <c r="AG21" i="15"/>
  <c r="AG22" i="15"/>
  <c r="AG6" i="15"/>
  <c r="AG29" i="15"/>
  <c r="AG13" i="15"/>
  <c r="AG5" i="15"/>
  <c r="AG16" i="15"/>
  <c r="AM20" i="15"/>
  <c r="AN20" i="15" s="1"/>
  <c r="AO20" i="15" s="1"/>
  <c r="AM11" i="15"/>
  <c r="AN11" i="15" s="1"/>
  <c r="AO11" i="15" s="1"/>
  <c r="AM24" i="15"/>
  <c r="AN24" i="15" s="1"/>
  <c r="AO24" i="15" s="1"/>
  <c r="AM8" i="15"/>
  <c r="AN8" i="15" s="1"/>
  <c r="AO8" i="15" s="1"/>
  <c r="AM26" i="15"/>
  <c r="AN26" i="15" s="1"/>
  <c r="AO26" i="15" s="1"/>
  <c r="AM27" i="15"/>
  <c r="AN27" i="15" s="1"/>
  <c r="AO27" i="15" s="1"/>
  <c r="AM15" i="15"/>
  <c r="AN15" i="15" s="1"/>
  <c r="AO15" i="15" s="1"/>
  <c r="AM13" i="15"/>
  <c r="AN13" i="15" s="1"/>
  <c r="AO13" i="15" s="1"/>
  <c r="AM31" i="15"/>
  <c r="AN31" i="15" s="1"/>
  <c r="AO31" i="15" s="1"/>
  <c r="AM9" i="15"/>
  <c r="AN9" i="15" s="1"/>
  <c r="AO9" i="15" s="1"/>
  <c r="AM6" i="15"/>
  <c r="AN6" i="15" s="1"/>
  <c r="AO6" i="15" s="1"/>
  <c r="AM29" i="15"/>
  <c r="AN29" i="15" s="1"/>
  <c r="AO29" i="15" s="1"/>
  <c r="AM7" i="15"/>
  <c r="AN7" i="15" s="1"/>
  <c r="AO7" i="15" s="1"/>
  <c r="AM16" i="15"/>
  <c r="AN16" i="15" s="1"/>
  <c r="AO16" i="15" s="1"/>
  <c r="AM22" i="15"/>
  <c r="AN22" i="15" s="1"/>
  <c r="AO22" i="15" s="1"/>
  <c r="AM4" i="15"/>
  <c r="AM12" i="15"/>
  <c r="AN12" i="15" s="1"/>
  <c r="AO12" i="15" s="1"/>
  <c r="AM32" i="15"/>
  <c r="AN32" i="15" s="1"/>
  <c r="AO32" i="15" s="1"/>
  <c r="AM17" i="15"/>
  <c r="AN17" i="15" s="1"/>
  <c r="AO17" i="15" s="1"/>
  <c r="AM23" i="15"/>
  <c r="AN23" i="15" s="1"/>
  <c r="AO23" i="15" s="1"/>
  <c r="AM19" i="15"/>
  <c r="AN19" i="15" s="1"/>
  <c r="AO19" i="15" s="1"/>
  <c r="AM33" i="15"/>
  <c r="AN33" i="15" s="1"/>
  <c r="AO33" i="15" s="1"/>
  <c r="AM28" i="15"/>
  <c r="AN28" i="15" s="1"/>
  <c r="AO28" i="15" s="1"/>
  <c r="AM5" i="15"/>
  <c r="AN5" i="15" s="1"/>
  <c r="AO5" i="15" s="1"/>
  <c r="AM25" i="15"/>
  <c r="AN25" i="15" s="1"/>
  <c r="AO25" i="15" s="1"/>
  <c r="AM30" i="15"/>
  <c r="AN30" i="15" s="1"/>
  <c r="AO30" i="15" s="1"/>
  <c r="AM21" i="15"/>
  <c r="AN21" i="15" s="1"/>
  <c r="AO21" i="15" s="1"/>
  <c r="AM18" i="15"/>
  <c r="AN18" i="15" s="1"/>
  <c r="AO18" i="15" s="1"/>
  <c r="AM14" i="15"/>
  <c r="AN14" i="15" s="1"/>
  <c r="AO14" i="15" s="1"/>
  <c r="AM10" i="15"/>
  <c r="AN10" i="15" s="1"/>
  <c r="AO10" i="15" s="1"/>
  <c r="AG19" i="15"/>
  <c r="AG11" i="15"/>
  <c r="AG10" i="15"/>
  <c r="AK5" i="15"/>
  <c r="AK21" i="15"/>
  <c r="AJ7" i="15"/>
  <c r="AJ23" i="15"/>
  <c r="AI9" i="15"/>
  <c r="AI25" i="15"/>
  <c r="AK6" i="15"/>
  <c r="AK22" i="15"/>
  <c r="AJ8" i="15"/>
  <c r="AJ24" i="15"/>
  <c r="AI10" i="15"/>
  <c r="AI26" i="15"/>
  <c r="AK7" i="15"/>
  <c r="AK23" i="15"/>
  <c r="AJ9" i="15"/>
  <c r="AJ25" i="15"/>
  <c r="AI11" i="15"/>
  <c r="AI27" i="15"/>
  <c r="AK8" i="15"/>
  <c r="AK24" i="15"/>
  <c r="AJ10" i="15"/>
  <c r="AJ26" i="15"/>
  <c r="AI12" i="15"/>
  <c r="AI28" i="15"/>
  <c r="AK9" i="15"/>
  <c r="AK25" i="15"/>
  <c r="AJ11" i="15"/>
  <c r="AJ27" i="15"/>
  <c r="AI13" i="15"/>
  <c r="AI29" i="15"/>
  <c r="AK10" i="15"/>
  <c r="AK26" i="15"/>
  <c r="AJ12" i="15"/>
  <c r="AJ28" i="15"/>
  <c r="AI14" i="15"/>
  <c r="AI30" i="15"/>
  <c r="AK11" i="15"/>
  <c r="AK27" i="15"/>
  <c r="AJ13" i="15"/>
  <c r="AJ29" i="15"/>
  <c r="AI15" i="15"/>
  <c r="AI31" i="15"/>
  <c r="AK12" i="15"/>
  <c r="AK28" i="15"/>
  <c r="AJ14" i="15"/>
  <c r="AJ30" i="15"/>
  <c r="AI16" i="15"/>
  <c r="AI32" i="15"/>
  <c r="AK13" i="15"/>
  <c r="AK29" i="15"/>
  <c r="AJ15" i="15"/>
  <c r="AJ31" i="15"/>
  <c r="AI17" i="15"/>
  <c r="AI33" i="15"/>
  <c r="AK14" i="15"/>
  <c r="AK30" i="15"/>
  <c r="AJ16" i="15"/>
  <c r="AJ32" i="15"/>
  <c r="AI18" i="15"/>
  <c r="AI4" i="15"/>
  <c r="AK15" i="15"/>
  <c r="AK31" i="15"/>
  <c r="AJ17" i="15"/>
  <c r="AJ33" i="15"/>
  <c r="AI19" i="15"/>
  <c r="AK16" i="15"/>
  <c r="AK32" i="15"/>
  <c r="AJ18" i="15"/>
  <c r="AJ4" i="15"/>
  <c r="AI20" i="15"/>
  <c r="AK17" i="15"/>
  <c r="AK33" i="15"/>
  <c r="AJ19" i="15"/>
  <c r="AI5" i="15"/>
  <c r="AI21" i="15"/>
  <c r="AK18" i="15"/>
  <c r="AK4" i="15"/>
  <c r="AJ20" i="15"/>
  <c r="AI6" i="15"/>
  <c r="AI22" i="15"/>
  <c r="AK19" i="15"/>
  <c r="AJ5" i="15"/>
  <c r="AJ21" i="15"/>
  <c r="AI7" i="15"/>
  <c r="AI23" i="15"/>
  <c r="AK20" i="15"/>
  <c r="AJ6" i="15"/>
  <c r="AJ22" i="15"/>
  <c r="AI8" i="15"/>
  <c r="AI24" i="15"/>
  <c r="AH4" i="15"/>
  <c r="AG26" i="15"/>
  <c r="AG31" i="15"/>
  <c r="AG20" i="15"/>
  <c r="AG23" i="15"/>
  <c r="AG27" i="15"/>
  <c r="AG15" i="15"/>
  <c r="AG18" i="15"/>
  <c r="AG7" i="15"/>
  <c r="AG9" i="15"/>
  <c r="AH16" i="15"/>
  <c r="AH32" i="15"/>
  <c r="AH17" i="15"/>
  <c r="AH33" i="15"/>
  <c r="AH18" i="15"/>
  <c r="AH19" i="15"/>
  <c r="AG4" i="15"/>
  <c r="AH20" i="15"/>
  <c r="AH5" i="15"/>
  <c r="AH21" i="15"/>
  <c r="AH6" i="15"/>
  <c r="AH22" i="15"/>
  <c r="AH7" i="15"/>
  <c r="AH23" i="15"/>
  <c r="AH8" i="15"/>
  <c r="AH24" i="15"/>
  <c r="AH9" i="15"/>
  <c r="AH25" i="15"/>
  <c r="AH10" i="15"/>
  <c r="AH26" i="15"/>
  <c r="AH11" i="15"/>
  <c r="AH27" i="15"/>
  <c r="AH12" i="15"/>
  <c r="AH28" i="15"/>
  <c r="AH13" i="15"/>
  <c r="AH29" i="15"/>
  <c r="AH14" i="15"/>
  <c r="AH30" i="15"/>
  <c r="AH15" i="15"/>
  <c r="AH31" i="15"/>
  <c r="AG33" i="15"/>
  <c r="AG28" i="15"/>
  <c r="AG25" i="15"/>
  <c r="AG8" i="15"/>
  <c r="AG17" i="15"/>
  <c r="AG14" i="15"/>
  <c r="U5" i="10"/>
  <c r="W5" i="10" s="1"/>
  <c r="Y5" i="10" s="1"/>
  <c r="L3" i="10"/>
  <c r="D50" i="13"/>
  <c r="D3" i="13" s="1"/>
  <c r="D5" i="13" s="1"/>
  <c r="O29" i="10"/>
  <c r="P22" i="10"/>
  <c r="O21" i="10"/>
  <c r="Q21" i="10"/>
  <c r="R24" i="10"/>
  <c r="R31" i="10"/>
  <c r="P14" i="10"/>
  <c r="R25" i="10"/>
  <c r="U13" i="10"/>
  <c r="W13" i="10" s="1"/>
  <c r="Y13" i="10" s="1"/>
  <c r="L32" i="10"/>
  <c r="L14" i="10"/>
  <c r="Q30" i="10"/>
  <c r="L21" i="10"/>
  <c r="U19" i="10"/>
  <c r="W19" i="10" s="1"/>
  <c r="Y19" i="10" s="1"/>
  <c r="U32" i="10"/>
  <c r="W32" i="10" s="1"/>
  <c r="Y32" i="10" s="1"/>
  <c r="P30" i="10"/>
  <c r="P9" i="10"/>
  <c r="L20" i="10"/>
  <c r="Q17" i="10"/>
  <c r="U12" i="10"/>
  <c r="W12" i="10" s="1"/>
  <c r="Y12" i="10" s="1"/>
  <c r="L5" i="10"/>
  <c r="U31" i="10"/>
  <c r="W31" i="10" s="1"/>
  <c r="Y31" i="10" s="1"/>
  <c r="L23" i="10"/>
  <c r="U27" i="10"/>
  <c r="W27" i="10" s="1"/>
  <c r="Y27" i="10" s="1"/>
  <c r="Q8" i="10"/>
  <c r="R14" i="10"/>
  <c r="L18" i="10"/>
  <c r="O10" i="10"/>
  <c r="O32" i="10"/>
  <c r="Q16" i="10"/>
  <c r="O18" i="10"/>
  <c r="U17" i="10"/>
  <c r="W17" i="10" s="1"/>
  <c r="Y17" i="10" s="1"/>
  <c r="U21" i="10"/>
  <c r="W21" i="10" s="1"/>
  <c r="Y21" i="10" s="1"/>
  <c r="Q4" i="10"/>
  <c r="R15" i="10"/>
  <c r="O5" i="10"/>
  <c r="L7" i="10"/>
  <c r="P26" i="10"/>
  <c r="O9" i="10"/>
  <c r="O16" i="10"/>
  <c r="L25" i="10"/>
  <c r="R22" i="10"/>
  <c r="U26" i="10"/>
  <c r="W26" i="10" s="1"/>
  <c r="Y26" i="10" s="1"/>
  <c r="U11" i="10"/>
  <c r="W11" i="10" s="1"/>
  <c r="Y11" i="10" s="1"/>
  <c r="R12" i="10"/>
  <c r="U28" i="10"/>
  <c r="W28" i="10" s="1"/>
  <c r="Y28" i="10" s="1"/>
  <c r="U29" i="10"/>
  <c r="W29" i="10" s="1"/>
  <c r="Y29" i="10" s="1"/>
  <c r="L30" i="10"/>
  <c r="U30" i="10"/>
  <c r="W30" i="10" s="1"/>
  <c r="Y30" i="10" s="1"/>
  <c r="U3" i="10"/>
  <c r="W3" i="10" s="1"/>
  <c r="Y3" i="10" s="1"/>
  <c r="Q10" i="10"/>
  <c r="L13" i="10"/>
  <c r="L12" i="10"/>
  <c r="L31" i="10"/>
  <c r="L28" i="10"/>
  <c r="L16" i="10"/>
  <c r="R27" i="10"/>
  <c r="Q13" i="10"/>
  <c r="P7" i="10"/>
  <c r="Q6" i="10"/>
  <c r="R29" i="10"/>
  <c r="O19" i="10"/>
  <c r="L24" i="10"/>
  <c r="U16" i="10"/>
  <c r="W16" i="10" s="1"/>
  <c r="Y16" i="10" s="1"/>
  <c r="U20" i="10"/>
  <c r="W20" i="10" s="1"/>
  <c r="Y20" i="10" s="1"/>
  <c r="O13" i="10"/>
  <c r="P11" i="10"/>
  <c r="R9" i="10"/>
  <c r="U22" i="10"/>
  <c r="W22" i="10" s="1"/>
  <c r="Y22" i="10" s="1"/>
  <c r="O11" i="10"/>
  <c r="R11" i="10"/>
  <c r="P29" i="10"/>
  <c r="L19" i="10"/>
  <c r="O15" i="10"/>
  <c r="R13" i="10"/>
  <c r="P27" i="10"/>
  <c r="P21" i="10"/>
  <c r="P5" i="10"/>
  <c r="R21" i="10"/>
  <c r="O8" i="10"/>
  <c r="O23" i="10"/>
  <c r="U25" i="10"/>
  <c r="W25" i="10" s="1"/>
  <c r="Y25" i="10" s="1"/>
  <c r="U10" i="10"/>
  <c r="W10" i="10" s="1"/>
  <c r="Y10" i="10" s="1"/>
  <c r="O27" i="10"/>
  <c r="Q20" i="10"/>
  <c r="Q29" i="10"/>
  <c r="Q28" i="10"/>
  <c r="L10" i="10"/>
  <c r="O24" i="10"/>
  <c r="R4" i="10"/>
  <c r="O28" i="10"/>
  <c r="R8" i="10"/>
  <c r="R26" i="10"/>
  <c r="R10" i="10"/>
  <c r="P28" i="10"/>
  <c r="P10" i="10"/>
  <c r="Q22" i="10"/>
  <c r="U190" i="10"/>
  <c r="W190" i="10" s="1"/>
  <c r="Y190" i="10" s="1"/>
  <c r="U34" i="10"/>
  <c r="L34" i="10"/>
  <c r="L11" i="10"/>
  <c r="P16" i="10"/>
  <c r="U7" i="10"/>
  <c r="W7" i="10" s="1"/>
  <c r="Y7" i="10" s="1"/>
  <c r="Q9" i="10"/>
  <c r="P15" i="10"/>
  <c r="Q12" i="10"/>
  <c r="O7" i="10"/>
  <c r="P20" i="10"/>
  <c r="P24" i="10"/>
  <c r="P6" i="10"/>
  <c r="P13" i="10"/>
  <c r="U24" i="10"/>
  <c r="W24" i="10" s="1"/>
  <c r="Y24" i="10" s="1"/>
  <c r="O12" i="10"/>
  <c r="R30" i="10"/>
  <c r="R5" i="10"/>
  <c r="L4" i="10"/>
  <c r="L26" i="10"/>
  <c r="P32" i="10"/>
  <c r="L9" i="10"/>
  <c r="R20" i="10"/>
  <c r="L29" i="10"/>
  <c r="Q5" i="10"/>
  <c r="R7" i="10"/>
  <c r="P4" i="10"/>
  <c r="Q19" i="10"/>
  <c r="Q11" i="10"/>
  <c r="Q3" i="10"/>
  <c r="U15" i="10"/>
  <c r="W15" i="10" s="1"/>
  <c r="Y15" i="10" s="1"/>
  <c r="O4" i="10"/>
  <c r="Q18" i="10"/>
  <c r="P17" i="10"/>
  <c r="Q31" i="10"/>
  <c r="O30" i="10"/>
  <c r="O6" i="10"/>
  <c r="P19" i="10"/>
  <c r="O14" i="10"/>
  <c r="L15" i="10"/>
  <c r="Q26" i="10"/>
  <c r="U6" i="10"/>
  <c r="W6" i="10" s="1"/>
  <c r="Y6" i="10" s="1"/>
  <c r="S239" i="10"/>
  <c r="R34" i="10"/>
  <c r="S164" i="10"/>
  <c r="O34" i="10"/>
  <c r="S42" i="10"/>
  <c r="S99" i="10"/>
  <c r="S55" i="10"/>
  <c r="S296" i="10"/>
  <c r="S142" i="10"/>
  <c r="R28" i="10"/>
  <c r="P3" i="10"/>
  <c r="O17" i="10"/>
  <c r="Q7" i="10"/>
  <c r="R19" i="10"/>
  <c r="Q27" i="10"/>
  <c r="P18" i="10"/>
  <c r="Q23" i="10"/>
  <c r="U18" i="10"/>
  <c r="W18" i="10" s="1"/>
  <c r="Y18" i="10" s="1"/>
  <c r="U14" i="10"/>
  <c r="W14" i="10" s="1"/>
  <c r="Y14" i="10" s="1"/>
  <c r="L8" i="10"/>
  <c r="O22" i="10"/>
  <c r="L6" i="10"/>
  <c r="P25" i="10"/>
  <c r="O25" i="10"/>
  <c r="P8" i="10"/>
  <c r="R6" i="10"/>
  <c r="Q15" i="10"/>
  <c r="P31" i="10"/>
  <c r="L17" i="10"/>
  <c r="U9" i="10"/>
  <c r="W9" i="10" s="1"/>
  <c r="Y9" i="10" s="1"/>
  <c r="S96" i="10"/>
  <c r="S324" i="10"/>
  <c r="S79" i="10"/>
  <c r="S85" i="10"/>
  <c r="R16" i="10"/>
  <c r="R23" i="10"/>
  <c r="R18" i="10"/>
  <c r="Q14" i="10"/>
  <c r="O26" i="10"/>
  <c r="L27" i="10"/>
  <c r="P12" i="10"/>
  <c r="R3" i="10"/>
  <c r="O31" i="10"/>
  <c r="U8" i="10"/>
  <c r="W8" i="10" s="1"/>
  <c r="Y8" i="10" s="1"/>
  <c r="U4" i="10"/>
  <c r="W4" i="10" s="1"/>
  <c r="Y4" i="10" s="1"/>
  <c r="S233" i="10"/>
  <c r="S269" i="10"/>
  <c r="S90" i="10"/>
  <c r="S279" i="10"/>
  <c r="S159" i="10"/>
  <c r="S238" i="10"/>
  <c r="S139" i="10"/>
  <c r="S291" i="10"/>
  <c r="S240" i="10"/>
  <c r="S116" i="10"/>
  <c r="S193" i="10"/>
  <c r="S234" i="10"/>
  <c r="S61" i="10"/>
  <c r="S295" i="10"/>
  <c r="S297" i="10"/>
  <c r="S294" i="10"/>
  <c r="S208" i="10"/>
  <c r="S148" i="10"/>
  <c r="S111" i="10"/>
  <c r="S251" i="10"/>
  <c r="S186" i="10"/>
  <c r="S221" i="10"/>
  <c r="S259" i="10"/>
  <c r="S303" i="10"/>
  <c r="S179" i="10"/>
  <c r="S301" i="10"/>
  <c r="S222" i="10"/>
  <c r="S114" i="10"/>
  <c r="S178" i="10"/>
  <c r="S245" i="10"/>
  <c r="S266" i="10"/>
  <c r="S104" i="10"/>
  <c r="S197" i="10"/>
  <c r="S224" i="10"/>
  <c r="S153" i="10"/>
  <c r="S215" i="10"/>
  <c r="S182" i="10"/>
  <c r="S194" i="10"/>
  <c r="S108" i="10"/>
  <c r="S220" i="10"/>
  <c r="P34" i="10"/>
  <c r="S302" i="10"/>
  <c r="S267" i="10"/>
  <c r="S304" i="10"/>
  <c r="S152" i="10"/>
  <c r="B54" i="17" l="1"/>
  <c r="B56" i="17" s="1"/>
  <c r="D7" i="13"/>
  <c r="F8" i="13"/>
  <c r="C55" i="15"/>
  <c r="C58" i="15" s="1"/>
  <c r="C59" i="15" s="1"/>
  <c r="AL4" i="15"/>
  <c r="B58" i="19"/>
  <c r="B59" i="19" s="1"/>
  <c r="D55" i="15"/>
  <c r="D58" i="15" s="1"/>
  <c r="D59" i="15" s="1"/>
  <c r="AL13" i="15"/>
  <c r="AL27" i="15"/>
  <c r="AG34" i="15"/>
  <c r="B48" i="15" s="1"/>
  <c r="AL19" i="15"/>
  <c r="S32" i="10"/>
  <c r="AL26" i="15"/>
  <c r="AL33" i="15"/>
  <c r="S20" i="10"/>
  <c r="AL11" i="15"/>
  <c r="S24" i="10"/>
  <c r="AL10" i="15"/>
  <c r="AL17" i="15"/>
  <c r="AL25" i="15"/>
  <c r="AL9" i="15"/>
  <c r="AL23" i="15"/>
  <c r="AL12" i="15"/>
  <c r="AL31" i="15"/>
  <c r="AL5" i="15"/>
  <c r="S9" i="10"/>
  <c r="AL28" i="15"/>
  <c r="AL20" i="15"/>
  <c r="AI34" i="15"/>
  <c r="B50" i="15" s="1"/>
  <c r="AL18" i="15"/>
  <c r="AL32" i="15"/>
  <c r="AL16" i="15"/>
  <c r="AL24" i="15"/>
  <c r="AL8" i="15"/>
  <c r="S22" i="10"/>
  <c r="AL15" i="15"/>
  <c r="AL7" i="15"/>
  <c r="AL30" i="15"/>
  <c r="AL22" i="15"/>
  <c r="AL14" i="15"/>
  <c r="AL6" i="15"/>
  <c r="AM34" i="15"/>
  <c r="AN4" i="15"/>
  <c r="AL29" i="15"/>
  <c r="AL21" i="15"/>
  <c r="AK34" i="15"/>
  <c r="B52" i="15" s="1"/>
  <c r="S4" i="10"/>
  <c r="AJ34" i="15"/>
  <c r="B51" i="15" s="1"/>
  <c r="S29" i="10"/>
  <c r="S25" i="10"/>
  <c r="AH34" i="15"/>
  <c r="B49" i="15" s="1"/>
  <c r="S17" i="10"/>
  <c r="S21" i="10"/>
  <c r="S27" i="10"/>
  <c r="S13" i="10"/>
  <c r="S11" i="10"/>
  <c r="S10" i="10"/>
  <c r="S5" i="10"/>
  <c r="W34" i="10"/>
  <c r="Y34" i="10" s="1"/>
  <c r="S16" i="10"/>
  <c r="S30" i="10"/>
  <c r="S34" i="10"/>
  <c r="S19" i="10"/>
  <c r="S12" i="10"/>
  <c r="S15" i="10"/>
  <c r="S6" i="10"/>
  <c r="S28" i="10"/>
  <c r="S26" i="10"/>
  <c r="S8" i="10"/>
  <c r="S14" i="10"/>
  <c r="S31" i="10"/>
  <c r="S18" i="10"/>
  <c r="R33" i="10"/>
  <c r="R325" i="10" s="1"/>
  <c r="S23" i="10"/>
  <c r="Q33" i="10"/>
  <c r="Q325" i="10" s="1"/>
  <c r="P33" i="10"/>
  <c r="P325" i="10" s="1"/>
  <c r="L33" i="10"/>
  <c r="L325" i="10" s="1"/>
  <c r="S3" i="10"/>
  <c r="S7" i="10"/>
  <c r="W33" i="10"/>
  <c r="O33" i="10"/>
  <c r="O325" i="10" s="1"/>
  <c r="U33" i="10"/>
  <c r="U325" i="10" s="1"/>
  <c r="D63" i="15" l="1"/>
  <c r="AL34" i="15"/>
  <c r="B53" i="15" s="1"/>
  <c r="B57" i="15" s="1"/>
  <c r="AO4" i="15"/>
  <c r="AO34" i="15" s="1"/>
  <c r="B55" i="15" s="1"/>
  <c r="B58" i="15" s="1"/>
  <c r="AN34" i="15"/>
  <c r="W325" i="10"/>
  <c r="T1" i="10"/>
  <c r="S33" i="10"/>
  <c r="S325" i="10" s="1"/>
  <c r="Y33" i="10"/>
  <c r="Y325" i="10" s="1"/>
  <c r="S1" i="10"/>
  <c r="U1" i="10" l="1"/>
  <c r="B59" i="15"/>
  <c r="C62" i="1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<sst xmlns="http://schemas.openxmlformats.org/spreadsheetml/2006/main" count="9536" uniqueCount="1676">
  <si>
    <t>Z219</t>
  </si>
  <si>
    <t>CIS BEA FTE K-3</t>
  </si>
  <si>
    <t>Z220</t>
  </si>
  <si>
    <t>Z221</t>
  </si>
  <si>
    <t>CIS BEA FTE 5-6</t>
  </si>
  <si>
    <t>Z222</t>
  </si>
  <si>
    <t>CIS BEA FTE 7-8</t>
  </si>
  <si>
    <t>Z223</t>
  </si>
  <si>
    <t>Z224</t>
  </si>
  <si>
    <t>227A</t>
  </si>
  <si>
    <t>228A</t>
  </si>
  <si>
    <t>229A</t>
  </si>
  <si>
    <t>230A</t>
  </si>
  <si>
    <t>231A</t>
  </si>
  <si>
    <t>593X</t>
  </si>
  <si>
    <t>232A</t>
  </si>
  <si>
    <t>234A</t>
  </si>
  <si>
    <t>235A</t>
  </si>
  <si>
    <t>236A</t>
  </si>
  <si>
    <t>237A</t>
  </si>
  <si>
    <t>594X</t>
  </si>
  <si>
    <t>Z244</t>
  </si>
  <si>
    <t>Substitutes BEA</t>
  </si>
  <si>
    <t>Z245</t>
  </si>
  <si>
    <t>MSOC BEA Per Student</t>
  </si>
  <si>
    <t>Z246</t>
  </si>
  <si>
    <t>CIS BEA FTE 9-12</t>
  </si>
  <si>
    <t>CAS BEA FTE K-3</t>
  </si>
  <si>
    <t>CAS BEA FTE 5-6</t>
  </si>
  <si>
    <t>CAS BEA FTE 7-8</t>
  </si>
  <si>
    <t>CAS BEA FTE 9-12</t>
  </si>
  <si>
    <t>CLS BEA FTE K-3</t>
  </si>
  <si>
    <t>CLS BEA FTE 5-6</t>
  </si>
  <si>
    <t>CLS BEA FTE 7-8</t>
  </si>
  <si>
    <t>CLS BEA FTE 9-12</t>
  </si>
  <si>
    <t>Z225</t>
  </si>
  <si>
    <t>Z226</t>
  </si>
  <si>
    <t>Z228</t>
  </si>
  <si>
    <t>Z229</t>
  </si>
  <si>
    <t>Z231</t>
  </si>
  <si>
    <t>CLS BEA Salary Maint Total</t>
  </si>
  <si>
    <t>Z232</t>
  </si>
  <si>
    <t>CLS BEA Salary Inc Total</t>
  </si>
  <si>
    <t>Z235</t>
  </si>
  <si>
    <t>Z236</t>
  </si>
  <si>
    <t>Z237</t>
  </si>
  <si>
    <t>Z238</t>
  </si>
  <si>
    <t>Z239</t>
  </si>
  <si>
    <t>CIS/CAS BEA Benefits Maint Total</t>
  </si>
  <si>
    <t>Z240</t>
  </si>
  <si>
    <t>Z241</t>
  </si>
  <si>
    <t>Z242</t>
  </si>
  <si>
    <t>CLS BEA Benefits Inc Total</t>
  </si>
  <si>
    <t>223X</t>
  </si>
  <si>
    <t>52X</t>
  </si>
  <si>
    <t>224X</t>
  </si>
  <si>
    <t>53X</t>
  </si>
  <si>
    <t>502X</t>
  </si>
  <si>
    <t>CIS Calculations</t>
  </si>
  <si>
    <t>CAS Calculations</t>
  </si>
  <si>
    <t>CLS Calculations</t>
  </si>
  <si>
    <t>561X</t>
  </si>
  <si>
    <t>CTE 7-8 Class Size</t>
  </si>
  <si>
    <t>Class Size K-3</t>
  </si>
  <si>
    <t>514X</t>
  </si>
  <si>
    <t>Teaching Assist Elem</t>
  </si>
  <si>
    <t>559X</t>
  </si>
  <si>
    <t>Central Admin CLS%</t>
  </si>
  <si>
    <t>CTE 7-8 Planning</t>
  </si>
  <si>
    <t>Z315</t>
  </si>
  <si>
    <t>Planning K-3</t>
  </si>
  <si>
    <t>515X</t>
  </si>
  <si>
    <t>School Office Elem</t>
  </si>
  <si>
    <t>221A</t>
  </si>
  <si>
    <t>Pupil NoEnh K-3 CLS</t>
  </si>
  <si>
    <t>565X</t>
  </si>
  <si>
    <t>CTE 9-12 Class Size</t>
  </si>
  <si>
    <t>501X</t>
  </si>
  <si>
    <t>Proto Enroll Elem</t>
  </si>
  <si>
    <t>516X</t>
  </si>
  <si>
    <t>Custodians Elem</t>
  </si>
  <si>
    <t>206A</t>
  </si>
  <si>
    <t>Dist Specific Pupil K-3 CLS</t>
  </si>
  <si>
    <t>CTE 9-12 Planning</t>
  </si>
  <si>
    <t>509X</t>
  </si>
  <si>
    <t>Librarian Elem</t>
  </si>
  <si>
    <t>517X</t>
  </si>
  <si>
    <t>Security Elem</t>
  </si>
  <si>
    <t>573X</t>
  </si>
  <si>
    <t>Skill Center Class Size</t>
  </si>
  <si>
    <t>510X</t>
  </si>
  <si>
    <t>Counselor Elem</t>
  </si>
  <si>
    <t>518X</t>
  </si>
  <si>
    <t>Family Envolve Elem</t>
  </si>
  <si>
    <t>Skill Center Planning</t>
  </si>
  <si>
    <t>511X</t>
  </si>
  <si>
    <t>Nurse Elem</t>
  </si>
  <si>
    <t>553X</t>
  </si>
  <si>
    <t>Proto Enroll District</t>
  </si>
  <si>
    <t>512X</t>
  </si>
  <si>
    <t>Social Worker Elem</t>
  </si>
  <si>
    <t>554X</t>
  </si>
  <si>
    <t>Technology</t>
  </si>
  <si>
    <t>513X</t>
  </si>
  <si>
    <t>555X</t>
  </si>
  <si>
    <t>Facilities</t>
  </si>
  <si>
    <t>201A</t>
  </si>
  <si>
    <t>Pupil Elem ESA</t>
  </si>
  <si>
    <t>556X</t>
  </si>
  <si>
    <t>Warehouse</t>
  </si>
  <si>
    <t>116X</t>
  </si>
  <si>
    <t>Substitute Days</t>
  </si>
  <si>
    <t>204A</t>
  </si>
  <si>
    <t>Pupil K-3 CIS</t>
  </si>
  <si>
    <t>203A</t>
  </si>
  <si>
    <t>Pupil Elem School CLS</t>
  </si>
  <si>
    <t>132X</t>
  </si>
  <si>
    <t>Substitute Rate</t>
  </si>
  <si>
    <t>508X</t>
  </si>
  <si>
    <t>Principal Elem</t>
  </si>
  <si>
    <t>581X</t>
  </si>
  <si>
    <t>Teacher %</t>
  </si>
  <si>
    <t>Dist Specific Class Size</t>
  </si>
  <si>
    <t>202A</t>
  </si>
  <si>
    <t>Pupil Elem Principal</t>
  </si>
  <si>
    <t>Dist Specific Pupil K-3 CIS</t>
  </si>
  <si>
    <t>557X</t>
  </si>
  <si>
    <t>Central Admin %</t>
  </si>
  <si>
    <t>M1</t>
  </si>
  <si>
    <t>MSOC Technology-Reg</t>
  </si>
  <si>
    <t>558X</t>
  </si>
  <si>
    <t>Central Admin CAS%</t>
  </si>
  <si>
    <t>M2</t>
  </si>
  <si>
    <t>MSOC Utilities-Reg</t>
  </si>
  <si>
    <t>205A</t>
  </si>
  <si>
    <t>Pupil K-3 CAS</t>
  </si>
  <si>
    <t>M3</t>
  </si>
  <si>
    <t>Dist Specific Pupil K-3 CAS</t>
  </si>
  <si>
    <t>M5</t>
  </si>
  <si>
    <t>MSOC Prof Dvlp-Reg</t>
  </si>
  <si>
    <t>226A</t>
  </si>
  <si>
    <t>Class Size 4 NoEnh</t>
  </si>
  <si>
    <t>222A</t>
  </si>
  <si>
    <t>Pupil NoEnh 4 CIS</t>
  </si>
  <si>
    <t>M6</t>
  </si>
  <si>
    <t>MSOC Facilities-Reg</t>
  </si>
  <si>
    <t>Z316</t>
  </si>
  <si>
    <t>Planning 4</t>
  </si>
  <si>
    <t>223A</t>
  </si>
  <si>
    <t>Pupil NoEnh 4 CAS</t>
  </si>
  <si>
    <t>224A</t>
  </si>
  <si>
    <t>Pupil NoEnh 4 CLS</t>
  </si>
  <si>
    <t>M7</t>
  </si>
  <si>
    <t>MSOC Districtwide-Reg</t>
  </si>
  <si>
    <t>M80</t>
  </si>
  <si>
    <t>MSOC-Reg</t>
  </si>
  <si>
    <t>M9</t>
  </si>
  <si>
    <t>MSOC Technology-LabSci</t>
  </si>
  <si>
    <t>504X</t>
  </si>
  <si>
    <t>Class Size 5-6</t>
  </si>
  <si>
    <t>210A</t>
  </si>
  <si>
    <t>Pupil 5-6 CIS</t>
  </si>
  <si>
    <t>M10</t>
  </si>
  <si>
    <t>MSOC Utilities-LabSci</t>
  </si>
  <si>
    <t>Z317</t>
  </si>
  <si>
    <t>Planning 5-6</t>
  </si>
  <si>
    <t>211A</t>
  </si>
  <si>
    <t>Pupil 5-6 CAS</t>
  </si>
  <si>
    <t>212A</t>
  </si>
  <si>
    <t>Pupil 5-6 CLS</t>
  </si>
  <si>
    <t>M11</t>
  </si>
  <si>
    <t>M13</t>
  </si>
  <si>
    <t>MSOC Prof Dvlp-LabSci</t>
  </si>
  <si>
    <t>520X</t>
  </si>
  <si>
    <t>Class Size 7-8</t>
  </si>
  <si>
    <t>530X</t>
  </si>
  <si>
    <t>Teaching Assist Middle</t>
  </si>
  <si>
    <t>096A</t>
  </si>
  <si>
    <t>Pupil Middle Central CLS</t>
  </si>
  <si>
    <t>M14</t>
  </si>
  <si>
    <t>MSOC Facilities-LabSci</t>
  </si>
  <si>
    <t>Z318</t>
  </si>
  <si>
    <t>Planning 7-8</t>
  </si>
  <si>
    <t>531X</t>
  </si>
  <si>
    <t>School Office Middle</t>
  </si>
  <si>
    <t>098A</t>
  </si>
  <si>
    <t>Pupil Middle School CLS</t>
  </si>
  <si>
    <t>M15</t>
  </si>
  <si>
    <t>MSOC Districtwide-LabSci</t>
  </si>
  <si>
    <t>519X</t>
  </si>
  <si>
    <t>Proto Enroll Middle</t>
  </si>
  <si>
    <t>532X</t>
  </si>
  <si>
    <t>Custodians Middle</t>
  </si>
  <si>
    <t>215A</t>
  </si>
  <si>
    <t>Pupil 7-8 CLS</t>
  </si>
  <si>
    <t>M81</t>
  </si>
  <si>
    <t>MSOC-LabSci</t>
  </si>
  <si>
    <t>525X</t>
  </si>
  <si>
    <t>Librarian Middle</t>
  </si>
  <si>
    <t>533X</t>
  </si>
  <si>
    <t>Security Middle</t>
  </si>
  <si>
    <t>M17</t>
  </si>
  <si>
    <t>MSOC Technology-CTE</t>
  </si>
  <si>
    <t>526X</t>
  </si>
  <si>
    <t>Counselor Middle</t>
  </si>
  <si>
    <t>534X</t>
  </si>
  <si>
    <t>Family Involve Middle</t>
  </si>
  <si>
    <t>M18</t>
  </si>
  <si>
    <t>MSOC Utilities-CTE</t>
  </si>
  <si>
    <t>527X</t>
  </si>
  <si>
    <t>Nurse Middle</t>
  </si>
  <si>
    <t>094A</t>
  </si>
  <si>
    <t>Pupil Middle All Staff</t>
  </si>
  <si>
    <t>M19</t>
  </si>
  <si>
    <t>528X</t>
  </si>
  <si>
    <t>Social Worker Middle</t>
  </si>
  <si>
    <t>095A</t>
  </si>
  <si>
    <t>Pupil Middle Central Admin</t>
  </si>
  <si>
    <t>529X</t>
  </si>
  <si>
    <t>Psychologists Middle</t>
  </si>
  <si>
    <t>524X</t>
  </si>
  <si>
    <t>Principal Middle</t>
  </si>
  <si>
    <t>M21</t>
  </si>
  <si>
    <t>MSOC Prof Dvlp-CTE</t>
  </si>
  <si>
    <t>213A</t>
  </si>
  <si>
    <t>Pupil 7-8 CIS</t>
  </si>
  <si>
    <t>097A</t>
  </si>
  <si>
    <t>Pupil Middle Principal</t>
  </si>
  <si>
    <t>M22</t>
  </si>
  <si>
    <t>214A</t>
  </si>
  <si>
    <t>Pupil 7-8 CAS</t>
  </si>
  <si>
    <t>M23</t>
  </si>
  <si>
    <t>MSOC Districtwide-CTE</t>
  </si>
  <si>
    <t>MSOC-CTE</t>
  </si>
  <si>
    <t>540X</t>
  </si>
  <si>
    <t>LabSci Class Size 9-12</t>
  </si>
  <si>
    <t>542X</t>
  </si>
  <si>
    <t>Principal High</t>
  </si>
  <si>
    <t>091A</t>
  </si>
  <si>
    <t>Pupil High Central CLS</t>
  </si>
  <si>
    <t>536X</t>
  </si>
  <si>
    <t>Class Size 9-12</t>
  </si>
  <si>
    <t>548X</t>
  </si>
  <si>
    <t>Teaching Assist High</t>
  </si>
  <si>
    <t>093A</t>
  </si>
  <si>
    <t>Pupil High School CLS</t>
  </si>
  <si>
    <t>541X</t>
  </si>
  <si>
    <t>LabSci% 9-12</t>
  </si>
  <si>
    <t>549X</t>
  </si>
  <si>
    <t>School Office High</t>
  </si>
  <si>
    <t>218A</t>
  </si>
  <si>
    <t>Pupil 9-12 CLS</t>
  </si>
  <si>
    <t>Z319</t>
  </si>
  <si>
    <t>Planning 9-12</t>
  </si>
  <si>
    <t>550X</t>
  </si>
  <si>
    <t>Custodians High</t>
  </si>
  <si>
    <t>535X</t>
  </si>
  <si>
    <t>Proto Enroll High</t>
  </si>
  <si>
    <t>551X</t>
  </si>
  <si>
    <t>Security High</t>
  </si>
  <si>
    <t>543X</t>
  </si>
  <si>
    <t>Librarian High</t>
  </si>
  <si>
    <t>552X</t>
  </si>
  <si>
    <t>Family Involve High</t>
  </si>
  <si>
    <t>544X</t>
  </si>
  <si>
    <t>Counselor High</t>
  </si>
  <si>
    <t>089A</t>
  </si>
  <si>
    <t>Pupil High All Staff</t>
  </si>
  <si>
    <t>545X</t>
  </si>
  <si>
    <t>Nurse High</t>
  </si>
  <si>
    <t>090A</t>
  </si>
  <si>
    <t>Pupil High Central Admin</t>
  </si>
  <si>
    <t>546X</t>
  </si>
  <si>
    <t>Social Worker High</t>
  </si>
  <si>
    <t>092A</t>
  </si>
  <si>
    <t>Pupil High Principal</t>
  </si>
  <si>
    <t>547X</t>
  </si>
  <si>
    <t>217A</t>
  </si>
  <si>
    <t>Pupil 9-12 CAS</t>
  </si>
  <si>
    <t>216A</t>
  </si>
  <si>
    <t>Pupil 9-12 CIS</t>
  </si>
  <si>
    <t>124X</t>
  </si>
  <si>
    <t>Health Insurance</t>
  </si>
  <si>
    <t>Health Insurance Inc</t>
  </si>
  <si>
    <t>125X</t>
  </si>
  <si>
    <t>CLS Health Factor</t>
  </si>
  <si>
    <t>126X</t>
  </si>
  <si>
    <t>127X</t>
  </si>
  <si>
    <t>128X</t>
  </si>
  <si>
    <t>CLS Benefits Maint</t>
  </si>
  <si>
    <t>129X</t>
  </si>
  <si>
    <t>CLS Benefits Inc</t>
  </si>
  <si>
    <t>OSPILegacyCode</t>
  </si>
  <si>
    <t>OrganizationName</t>
  </si>
  <si>
    <t>SchoolYearCode</t>
  </si>
  <si>
    <t>A12
Enroll 7-8</t>
  </si>
  <si>
    <t>A17
Enroll Total w/ Run Start</t>
  </si>
  <si>
    <t>A39
Enroll K-3</t>
  </si>
  <si>
    <t>A40
Enroll 5-6</t>
  </si>
  <si>
    <t>A41
Enroll 9-12</t>
  </si>
  <si>
    <t>A42
Enroll Total</t>
  </si>
  <si>
    <t>A7A
Enroll 4</t>
  </si>
  <si>
    <t>A16
Enroll Run Start</t>
  </si>
  <si>
    <t>A15
Enroll Run Start CTE</t>
  </si>
  <si>
    <t>A13
Enroll Reengage</t>
  </si>
  <si>
    <t>A14
Enroll Reengage CTE</t>
  </si>
  <si>
    <t>A18
Grades K-6 ALE FTE</t>
  </si>
  <si>
    <t>A19
Grades 7-8 ALE FTE</t>
  </si>
  <si>
    <t>A20
Grades 9-12 ALE FT</t>
  </si>
  <si>
    <t>31015</t>
  </si>
  <si>
    <t>Edmonds School District</t>
  </si>
  <si>
    <t>34033</t>
  </si>
  <si>
    <t>Tumwater School District</t>
  </si>
  <si>
    <t>34111</t>
  </si>
  <si>
    <t>Olympia School District</t>
  </si>
  <si>
    <t>14005</t>
  </si>
  <si>
    <t>Aberdeen School District</t>
  </si>
  <si>
    <t>21226</t>
  </si>
  <si>
    <t>Adna School District</t>
  </si>
  <si>
    <t>22017</t>
  </si>
  <si>
    <t>Almira School District</t>
  </si>
  <si>
    <t>29103</t>
  </si>
  <si>
    <t>Anacortes School District</t>
  </si>
  <si>
    <t>31016</t>
  </si>
  <si>
    <t>Arlington School District</t>
  </si>
  <si>
    <t>02420</t>
  </si>
  <si>
    <t>Asotin-Anatone School District</t>
  </si>
  <si>
    <t>17408</t>
  </si>
  <si>
    <t>Auburn School District</t>
  </si>
  <si>
    <t>18303</t>
  </si>
  <si>
    <t>Bainbridge Island School District</t>
  </si>
  <si>
    <t>06119</t>
  </si>
  <si>
    <t>Battle Ground School District</t>
  </si>
  <si>
    <t>17405</t>
  </si>
  <si>
    <t>Bellevue School District</t>
  </si>
  <si>
    <t>37501</t>
  </si>
  <si>
    <t>Bellingham School District</t>
  </si>
  <si>
    <t>01122</t>
  </si>
  <si>
    <t>Benge School District</t>
  </si>
  <si>
    <t>27403</t>
  </si>
  <si>
    <t>Bethel School District</t>
  </si>
  <si>
    <t>20203</t>
  </si>
  <si>
    <t>Bickleton School District</t>
  </si>
  <si>
    <t>37503</t>
  </si>
  <si>
    <t>Blaine School District</t>
  </si>
  <si>
    <t>21234</t>
  </si>
  <si>
    <t>Boistfort School District</t>
  </si>
  <si>
    <t>18100</t>
  </si>
  <si>
    <t>Bremerton School District</t>
  </si>
  <si>
    <t>24111</t>
  </si>
  <si>
    <t>Brewster School District</t>
  </si>
  <si>
    <t>09075</t>
  </si>
  <si>
    <t>Bridgeport School District</t>
  </si>
  <si>
    <t>16046</t>
  </si>
  <si>
    <t>Brinnon School District</t>
  </si>
  <si>
    <t>29100</t>
  </si>
  <si>
    <t>Burlington-Edison School District</t>
  </si>
  <si>
    <t>06117</t>
  </si>
  <si>
    <t>Camas School District</t>
  </si>
  <si>
    <t>05401</t>
  </si>
  <si>
    <t>Cape Flattery School District</t>
  </si>
  <si>
    <t>27019</t>
  </si>
  <si>
    <t>Carbonado School District</t>
  </si>
  <si>
    <t>04228</t>
  </si>
  <si>
    <t>Cascade School District</t>
  </si>
  <si>
    <t>04222</t>
  </si>
  <si>
    <t>08401</t>
  </si>
  <si>
    <t>Castle Rock School District</t>
  </si>
  <si>
    <t>20215</t>
  </si>
  <si>
    <t>Centerville School District</t>
  </si>
  <si>
    <t>18401</t>
  </si>
  <si>
    <t>Central Kitsap School District</t>
  </si>
  <si>
    <t>32356</t>
  </si>
  <si>
    <t>Central Valley School District</t>
  </si>
  <si>
    <t>21401</t>
  </si>
  <si>
    <t>Centralia School District</t>
  </si>
  <si>
    <t>21302</t>
  </si>
  <si>
    <t>Chehalis School District</t>
  </si>
  <si>
    <t>32360</t>
  </si>
  <si>
    <t>Cheney School District</t>
  </si>
  <si>
    <t>33036</t>
  </si>
  <si>
    <t>Chewelah School District</t>
  </si>
  <si>
    <t>16049</t>
  </si>
  <si>
    <t>Chimacum School District</t>
  </si>
  <si>
    <t>02250</t>
  </si>
  <si>
    <t>Clarkston School District</t>
  </si>
  <si>
    <t>19404</t>
  </si>
  <si>
    <t>Cle Elum-Roslyn School District</t>
  </si>
  <si>
    <t>27400</t>
  </si>
  <si>
    <t>Clover Park School District</t>
  </si>
  <si>
    <t>38300</t>
  </si>
  <si>
    <t>Colfax School District</t>
  </si>
  <si>
    <t>36250</t>
  </si>
  <si>
    <t>College Place School District</t>
  </si>
  <si>
    <t>38306</t>
  </si>
  <si>
    <t>Colton School District</t>
  </si>
  <si>
    <t>33206</t>
  </si>
  <si>
    <t>Columbia (Stevens) School District</t>
  </si>
  <si>
    <t>36400</t>
  </si>
  <si>
    <t>Columbia (Walla Walla) School District</t>
  </si>
  <si>
    <t>33115</t>
  </si>
  <si>
    <t>Colville School District</t>
  </si>
  <si>
    <t>29011</t>
  </si>
  <si>
    <t>Concrete School District</t>
  </si>
  <si>
    <t>29317</t>
  </si>
  <si>
    <t>Conway School District</t>
  </si>
  <si>
    <t>14099</t>
  </si>
  <si>
    <t>Cosmopolis School District</t>
  </si>
  <si>
    <t>13151</t>
  </si>
  <si>
    <t>Coulee-Hartline School District</t>
  </si>
  <si>
    <t>15204</t>
  </si>
  <si>
    <t>Coupeville School District</t>
  </si>
  <si>
    <t>05313</t>
  </si>
  <si>
    <t>Crescent School District</t>
  </si>
  <si>
    <t>22073</t>
  </si>
  <si>
    <t>Creston School District</t>
  </si>
  <si>
    <t>10050</t>
  </si>
  <si>
    <t>Curlew School District</t>
  </si>
  <si>
    <t>26059</t>
  </si>
  <si>
    <t>Cusick School District</t>
  </si>
  <si>
    <t>19007</t>
  </si>
  <si>
    <t>Damman School District</t>
  </si>
  <si>
    <t>31330</t>
  </si>
  <si>
    <t>Darrington School District</t>
  </si>
  <si>
    <t>22207</t>
  </si>
  <si>
    <t>Davenport School District</t>
  </si>
  <si>
    <t>07002</t>
  </si>
  <si>
    <t>Dayton School District</t>
  </si>
  <si>
    <t>32414</t>
  </si>
  <si>
    <t>Deer Park School District</t>
  </si>
  <si>
    <t>27343</t>
  </si>
  <si>
    <t>Dieringer School District</t>
  </si>
  <si>
    <t>36101</t>
  </si>
  <si>
    <t>Dixie School District</t>
  </si>
  <si>
    <t>32361</t>
  </si>
  <si>
    <t>East Valley School District (Spokane)</t>
  </si>
  <si>
    <t>39090</t>
  </si>
  <si>
    <t>East Valley School District (Yakima)</t>
  </si>
  <si>
    <t>09206</t>
  </si>
  <si>
    <t>Eastmont School District</t>
  </si>
  <si>
    <t>19028</t>
  </si>
  <si>
    <t>Easton School District</t>
  </si>
  <si>
    <t>27404</t>
  </si>
  <si>
    <t>Eatonville School District</t>
  </si>
  <si>
    <t>19401</t>
  </si>
  <si>
    <t>Ellensburg School District</t>
  </si>
  <si>
    <t>14068</t>
  </si>
  <si>
    <t>Elma School District</t>
  </si>
  <si>
    <t>38308</t>
  </si>
  <si>
    <t>Endicott School District</t>
  </si>
  <si>
    <t>04127</t>
  </si>
  <si>
    <t>Entiat School District</t>
  </si>
  <si>
    <t>17216</t>
  </si>
  <si>
    <t>Enumclaw School District</t>
  </si>
  <si>
    <t>13165</t>
  </si>
  <si>
    <t>Ephrata School District</t>
  </si>
  <si>
    <t>21036</t>
  </si>
  <si>
    <t>Evaline School District</t>
  </si>
  <si>
    <t>31002</t>
  </si>
  <si>
    <t>Everett School District</t>
  </si>
  <si>
    <t>06114</t>
  </si>
  <si>
    <t>Evergreen School District (Clark)</t>
  </si>
  <si>
    <t>33205</t>
  </si>
  <si>
    <t>Evergreen School District (Stevens)</t>
  </si>
  <si>
    <t>17210</t>
  </si>
  <si>
    <t>Federal Way School District</t>
  </si>
  <si>
    <t>37502</t>
  </si>
  <si>
    <t>Ferndale School District</t>
  </si>
  <si>
    <t>27417</t>
  </si>
  <si>
    <t>Fife School District</t>
  </si>
  <si>
    <t>03053</t>
  </si>
  <si>
    <t>Finley School District</t>
  </si>
  <si>
    <t>27402</t>
  </si>
  <si>
    <t>Franklin Pierce School District</t>
  </si>
  <si>
    <t>32358</t>
  </si>
  <si>
    <t>Freeman School District</t>
  </si>
  <si>
    <t>38302</t>
  </si>
  <si>
    <t>Garfield School District</t>
  </si>
  <si>
    <t>20401</t>
  </si>
  <si>
    <t>Glenwood School District</t>
  </si>
  <si>
    <t>20404</t>
  </si>
  <si>
    <t>Goldendale School District</t>
  </si>
  <si>
    <t>13301</t>
  </si>
  <si>
    <t>Grand Coulee Dam School District</t>
  </si>
  <si>
    <t>39200</t>
  </si>
  <si>
    <t>Grandview School District</t>
  </si>
  <si>
    <t>39204</t>
  </si>
  <si>
    <t>Granger School District</t>
  </si>
  <si>
    <t>31332</t>
  </si>
  <si>
    <t>Granite Falls School District</t>
  </si>
  <si>
    <t>23054</t>
  </si>
  <si>
    <t>Grapeview School District</t>
  </si>
  <si>
    <t>32312</t>
  </si>
  <si>
    <t>Great Northern School District</t>
  </si>
  <si>
    <t>06103</t>
  </si>
  <si>
    <t>Green Mountain School District</t>
  </si>
  <si>
    <t>34324</t>
  </si>
  <si>
    <t>Griffin School District</t>
  </si>
  <si>
    <t>22204</t>
  </si>
  <si>
    <t>Harrington School District</t>
  </si>
  <si>
    <t>39203</t>
  </si>
  <si>
    <t>Highland School District</t>
  </si>
  <si>
    <t>17401</t>
  </si>
  <si>
    <t>Highline School District</t>
  </si>
  <si>
    <t>06098</t>
  </si>
  <si>
    <t>Hockinson School District</t>
  </si>
  <si>
    <t>23404</t>
  </si>
  <si>
    <t>Hood Canal School District</t>
  </si>
  <si>
    <t>14028</t>
  </si>
  <si>
    <t>Hoquiam School District</t>
  </si>
  <si>
    <t>10070</t>
  </si>
  <si>
    <t>Inchelium School District</t>
  </si>
  <si>
    <t>31063</t>
  </si>
  <si>
    <t>Index School District</t>
  </si>
  <si>
    <t>17411</t>
  </si>
  <si>
    <t>Issaquah School District</t>
  </si>
  <si>
    <t>11056</t>
  </si>
  <si>
    <t>Kahlotus School District</t>
  </si>
  <si>
    <t>08402</t>
  </si>
  <si>
    <t>Kalama School District</t>
  </si>
  <si>
    <t>10003</t>
  </si>
  <si>
    <t>Keller School District</t>
  </si>
  <si>
    <t>08458</t>
  </si>
  <si>
    <t>Kelso School District</t>
  </si>
  <si>
    <t>03017</t>
  </si>
  <si>
    <t>Kennewick School District</t>
  </si>
  <si>
    <t>17415</t>
  </si>
  <si>
    <t>Kent School District</t>
  </si>
  <si>
    <t>33212</t>
  </si>
  <si>
    <t>Kettle Falls School District</t>
  </si>
  <si>
    <t>03052</t>
  </si>
  <si>
    <t>Kiona-Benton City School District</t>
  </si>
  <si>
    <t>19403</t>
  </si>
  <si>
    <t>Kittitas School District</t>
  </si>
  <si>
    <t>20402</t>
  </si>
  <si>
    <t>Klickitat School District</t>
  </si>
  <si>
    <t>06101</t>
  </si>
  <si>
    <t>La Center School District</t>
  </si>
  <si>
    <t>29311</t>
  </si>
  <si>
    <t>La Conner School District</t>
  </si>
  <si>
    <t>38126</t>
  </si>
  <si>
    <t>LaCrosse School District</t>
  </si>
  <si>
    <t>04129</t>
  </si>
  <si>
    <t>Lake Chelan School District</t>
  </si>
  <si>
    <t>14097</t>
  </si>
  <si>
    <t>Lake Quinault School District</t>
  </si>
  <si>
    <t>31004</t>
  </si>
  <si>
    <t>Lake Stevens School District</t>
  </si>
  <si>
    <t>17414</t>
  </si>
  <si>
    <t>Lake Washington School District</t>
  </si>
  <si>
    <t>31306</t>
  </si>
  <si>
    <t>Lakewood School District</t>
  </si>
  <si>
    <t>38264</t>
  </si>
  <si>
    <t>Lamont School District</t>
  </si>
  <si>
    <t>32362</t>
  </si>
  <si>
    <t>Liberty School District</t>
  </si>
  <si>
    <t>01158</t>
  </si>
  <si>
    <t>Lind School District</t>
  </si>
  <si>
    <t>08122</t>
  </si>
  <si>
    <t>Longview School District</t>
  </si>
  <si>
    <t>33183</t>
  </si>
  <si>
    <t>Loon Lake School District</t>
  </si>
  <si>
    <t>28144</t>
  </si>
  <si>
    <t>Lopez School District</t>
  </si>
  <si>
    <t>20406</t>
  </si>
  <si>
    <t>Lyle School District</t>
  </si>
  <si>
    <t>37504</t>
  </si>
  <si>
    <t>Lynden School District</t>
  </si>
  <si>
    <t>39120</t>
  </si>
  <si>
    <t>Mabton School District</t>
  </si>
  <si>
    <t>09207</t>
  </si>
  <si>
    <t>Mansfield School District</t>
  </si>
  <si>
    <t>04019</t>
  </si>
  <si>
    <t>Manson School District</t>
  </si>
  <si>
    <t>23311</t>
  </si>
  <si>
    <t>Mary M Knight School District</t>
  </si>
  <si>
    <t>33207</t>
  </si>
  <si>
    <t>Mary Walker School District</t>
  </si>
  <si>
    <t>31025</t>
  </si>
  <si>
    <t>Marysville School District</t>
  </si>
  <si>
    <t>14065</t>
  </si>
  <si>
    <t>McCleary School District</t>
  </si>
  <si>
    <t>32354</t>
  </si>
  <si>
    <t>Mead School District</t>
  </si>
  <si>
    <t>32326</t>
  </si>
  <si>
    <t>Medical Lake School District</t>
  </si>
  <si>
    <t>17400</t>
  </si>
  <si>
    <t>Mercer Island School District</t>
  </si>
  <si>
    <t>37505</t>
  </si>
  <si>
    <t>Meridian School District</t>
  </si>
  <si>
    <t>24350</t>
  </si>
  <si>
    <t>Methow Valley School District</t>
  </si>
  <si>
    <t>30031</t>
  </si>
  <si>
    <t>Mill A School District</t>
  </si>
  <si>
    <t>31103</t>
  </si>
  <si>
    <t>Monroe School District</t>
  </si>
  <si>
    <t>14066</t>
  </si>
  <si>
    <t>Montesano School District</t>
  </si>
  <si>
    <t>21214</t>
  </si>
  <si>
    <t>Morton School District</t>
  </si>
  <si>
    <t>13161</t>
  </si>
  <si>
    <t>Moses Lake School District</t>
  </si>
  <si>
    <t>21206</t>
  </si>
  <si>
    <t>Mossyrock School District</t>
  </si>
  <si>
    <t>39209</t>
  </si>
  <si>
    <t>Mount Adams School District</t>
  </si>
  <si>
    <t>37507</t>
  </si>
  <si>
    <t>Mount Baker School District</t>
  </si>
  <si>
    <t>30029</t>
  </si>
  <si>
    <t>Mount Pleasant School District</t>
  </si>
  <si>
    <t>29320</t>
  </si>
  <si>
    <t>Mount Vernon School District</t>
  </si>
  <si>
    <t>31006</t>
  </si>
  <si>
    <t>Mukilteo School District</t>
  </si>
  <si>
    <t>39003</t>
  </si>
  <si>
    <t>Naches Valley School District</t>
  </si>
  <si>
    <t>21014</t>
  </si>
  <si>
    <t>Napavine School District</t>
  </si>
  <si>
    <t>25155</t>
  </si>
  <si>
    <t>Naselle-Grays River Valley School District</t>
  </si>
  <si>
    <t>24014</t>
  </si>
  <si>
    <t>26056</t>
  </si>
  <si>
    <t>Newport School District</t>
  </si>
  <si>
    <t>32325</t>
  </si>
  <si>
    <t>Nine Mile Falls School District</t>
  </si>
  <si>
    <t>37506</t>
  </si>
  <si>
    <t>Nooksack Valley School District</t>
  </si>
  <si>
    <t>14064</t>
  </si>
  <si>
    <t>North Beach School District</t>
  </si>
  <si>
    <t>11051</t>
  </si>
  <si>
    <t>North Franklin School District</t>
  </si>
  <si>
    <t>18400</t>
  </si>
  <si>
    <t>North Kitsap School District</t>
  </si>
  <si>
    <t>23403</t>
  </si>
  <si>
    <t>North Mason School District</t>
  </si>
  <si>
    <t>25200</t>
  </si>
  <si>
    <t>North River School District</t>
  </si>
  <si>
    <t>34003</t>
  </si>
  <si>
    <t>North Thurston Public Schools</t>
  </si>
  <si>
    <t>33211</t>
  </si>
  <si>
    <t>Northport School District</t>
  </si>
  <si>
    <t>17417</t>
  </si>
  <si>
    <t>Northshore School District</t>
  </si>
  <si>
    <t>15201</t>
  </si>
  <si>
    <t>Oak Harbor School District</t>
  </si>
  <si>
    <t>38324</t>
  </si>
  <si>
    <t>Oakesdale School District</t>
  </si>
  <si>
    <t>14400</t>
  </si>
  <si>
    <t>Oakville School District</t>
  </si>
  <si>
    <t>25101</t>
  </si>
  <si>
    <t>Ocean Beach School District</t>
  </si>
  <si>
    <t>14172</t>
  </si>
  <si>
    <t>Ocosta School District</t>
  </si>
  <si>
    <t>22105</t>
  </si>
  <si>
    <t>Odessa School District</t>
  </si>
  <si>
    <t>24105</t>
  </si>
  <si>
    <t>Okanogan School District</t>
  </si>
  <si>
    <t>24019</t>
  </si>
  <si>
    <t>Omak School District</t>
  </si>
  <si>
    <t>21300</t>
  </si>
  <si>
    <t>Onalaska School District</t>
  </si>
  <si>
    <t>33030</t>
  </si>
  <si>
    <t>Onion Creek School District</t>
  </si>
  <si>
    <t>28137</t>
  </si>
  <si>
    <t>Orcas Island School District</t>
  </si>
  <si>
    <t>32123</t>
  </si>
  <si>
    <t>Orchard Prairie School District</t>
  </si>
  <si>
    <t>10065</t>
  </si>
  <si>
    <t>Orient School District</t>
  </si>
  <si>
    <t>09013</t>
  </si>
  <si>
    <t>Orondo School District</t>
  </si>
  <si>
    <t>24410</t>
  </si>
  <si>
    <t>Oroville School District</t>
  </si>
  <si>
    <t>27344</t>
  </si>
  <si>
    <t>Orting School District</t>
  </si>
  <si>
    <t>01147</t>
  </si>
  <si>
    <t>Othello School District</t>
  </si>
  <si>
    <t>09102</t>
  </si>
  <si>
    <t>Palisades School District</t>
  </si>
  <si>
    <t>38301</t>
  </si>
  <si>
    <t>Palouse School District</t>
  </si>
  <si>
    <t>11001</t>
  </si>
  <si>
    <t>Pasco School District</t>
  </si>
  <si>
    <t>24122</t>
  </si>
  <si>
    <t>Pateros School District</t>
  </si>
  <si>
    <t>03050</t>
  </si>
  <si>
    <t>Paterson School District</t>
  </si>
  <si>
    <t>21301</t>
  </si>
  <si>
    <t>Pe Ell School District</t>
  </si>
  <si>
    <t>27401</t>
  </si>
  <si>
    <t>Peninsula School District</t>
  </si>
  <si>
    <t>23402</t>
  </si>
  <si>
    <t>Pioneer School District</t>
  </si>
  <si>
    <t>12110</t>
  </si>
  <si>
    <t>Pomeroy School District</t>
  </si>
  <si>
    <t>05121</t>
  </si>
  <si>
    <t>Port Angeles School District</t>
  </si>
  <si>
    <t>16050</t>
  </si>
  <si>
    <t>Port Townsend School District</t>
  </si>
  <si>
    <t>36402</t>
  </si>
  <si>
    <t>Prescott School District</t>
  </si>
  <si>
    <t>03116</t>
  </si>
  <si>
    <t>Prosser School District</t>
  </si>
  <si>
    <t>38267</t>
  </si>
  <si>
    <t>Pullman School District</t>
  </si>
  <si>
    <t>27003</t>
  </si>
  <si>
    <t>Puyallup School District</t>
  </si>
  <si>
    <t>16020</t>
  </si>
  <si>
    <t>Queets-Clearwater School District</t>
  </si>
  <si>
    <t>16048</t>
  </si>
  <si>
    <t>Quilcene School District</t>
  </si>
  <si>
    <t>05402</t>
  </si>
  <si>
    <t>Quillayute Valley School District</t>
  </si>
  <si>
    <t>13144</t>
  </si>
  <si>
    <t>Quincy School District</t>
  </si>
  <si>
    <t>34307</t>
  </si>
  <si>
    <t>Rainier School District</t>
  </si>
  <si>
    <t>25116</t>
  </si>
  <si>
    <t>Raymond School District</t>
  </si>
  <si>
    <t>22009</t>
  </si>
  <si>
    <t>Reardan-Edwall School District</t>
  </si>
  <si>
    <t>17403</t>
  </si>
  <si>
    <t>Renton School District</t>
  </si>
  <si>
    <t>10309</t>
  </si>
  <si>
    <t>Republic School District</t>
  </si>
  <si>
    <t>03400</t>
  </si>
  <si>
    <t>Richland School District</t>
  </si>
  <si>
    <t>06122</t>
  </si>
  <si>
    <t>Ridgefield School District</t>
  </si>
  <si>
    <t>01160</t>
  </si>
  <si>
    <t>Ritzville School District</t>
  </si>
  <si>
    <t>32416</t>
  </si>
  <si>
    <t>Riverside School District</t>
  </si>
  <si>
    <t>17407</t>
  </si>
  <si>
    <t>Riverview School District</t>
  </si>
  <si>
    <t>34401</t>
  </si>
  <si>
    <t>Rochester School District</t>
  </si>
  <si>
    <t>20403</t>
  </si>
  <si>
    <t>Roosevelt School District</t>
  </si>
  <si>
    <t>38320</t>
  </si>
  <si>
    <t>Rosalia School District</t>
  </si>
  <si>
    <t>13160</t>
  </si>
  <si>
    <t>Royal School District</t>
  </si>
  <si>
    <t>28149</t>
  </si>
  <si>
    <t>San Juan Island School District</t>
  </si>
  <si>
    <t>14104</t>
  </si>
  <si>
    <t>Satsop School District</t>
  </si>
  <si>
    <t>17001</t>
  </si>
  <si>
    <t>Seattle Public Schools</t>
  </si>
  <si>
    <t>29101</t>
  </si>
  <si>
    <t>Sedro-Woolley School District</t>
  </si>
  <si>
    <t>39119</t>
  </si>
  <si>
    <t>Selah School District</t>
  </si>
  <si>
    <t>26070</t>
  </si>
  <si>
    <t>Selkirk School District</t>
  </si>
  <si>
    <t>05323</t>
  </si>
  <si>
    <t>Sequim School District</t>
  </si>
  <si>
    <t>28010</t>
  </si>
  <si>
    <t>Shaw Island School District</t>
  </si>
  <si>
    <t>23309</t>
  </si>
  <si>
    <t>Shelton School District</t>
  </si>
  <si>
    <t>17412</t>
  </si>
  <si>
    <t>Shoreline School District</t>
  </si>
  <si>
    <t>30002</t>
  </si>
  <si>
    <t>Skamania School District</t>
  </si>
  <si>
    <t>17404</t>
  </si>
  <si>
    <t>Skykomish School District</t>
  </si>
  <si>
    <t>31201</t>
  </si>
  <si>
    <t>Snohomish School District</t>
  </si>
  <si>
    <t>17410</t>
  </si>
  <si>
    <t>Snoqualmie Valley School District</t>
  </si>
  <si>
    <t>13156</t>
  </si>
  <si>
    <t>Soap Lake School District</t>
  </si>
  <si>
    <t>25118</t>
  </si>
  <si>
    <t>South Bend School District</t>
  </si>
  <si>
    <t>18402</t>
  </si>
  <si>
    <t>South Kitsap School District</t>
  </si>
  <si>
    <t>15206</t>
  </si>
  <si>
    <t>South Whidbey School District</t>
  </si>
  <si>
    <t>23042</t>
  </si>
  <si>
    <t>Southside School District</t>
  </si>
  <si>
    <t>32081</t>
  </si>
  <si>
    <t>Spokane School District</t>
  </si>
  <si>
    <t>22008</t>
  </si>
  <si>
    <t>Sprague School District</t>
  </si>
  <si>
    <t>38322</t>
  </si>
  <si>
    <t>St. John School District</t>
  </si>
  <si>
    <t>31401</t>
  </si>
  <si>
    <t>Stanwood-Camano School District</t>
  </si>
  <si>
    <t>11054</t>
  </si>
  <si>
    <t>Star School District No. 054</t>
  </si>
  <si>
    <t>07035</t>
  </si>
  <si>
    <t>Starbuck School District</t>
  </si>
  <si>
    <t>04069</t>
  </si>
  <si>
    <t>Stehekin School District</t>
  </si>
  <si>
    <t>27001</t>
  </si>
  <si>
    <t>Steilacoom Hist. School District</t>
  </si>
  <si>
    <t>38304</t>
  </si>
  <si>
    <t>Steptoe School District</t>
  </si>
  <si>
    <t>30303</t>
  </si>
  <si>
    <t>Stevenson-Carson School District</t>
  </si>
  <si>
    <t>31311</t>
  </si>
  <si>
    <t>Sultan School District</t>
  </si>
  <si>
    <t>33202</t>
  </si>
  <si>
    <t>Summit Valley School District</t>
  </si>
  <si>
    <t>27320</t>
  </si>
  <si>
    <t>Sumner School District</t>
  </si>
  <si>
    <t>39201</t>
  </si>
  <si>
    <t>Sunnyside School District</t>
  </si>
  <si>
    <t>27010</t>
  </si>
  <si>
    <t>Tacoma School District</t>
  </si>
  <si>
    <t>14077</t>
  </si>
  <si>
    <t>Taholah School District</t>
  </si>
  <si>
    <t>17409</t>
  </si>
  <si>
    <t>Tahoma School District</t>
  </si>
  <si>
    <t>38265</t>
  </si>
  <si>
    <t>Tekoa School District</t>
  </si>
  <si>
    <t>34402</t>
  </si>
  <si>
    <t>Tenino School District</t>
  </si>
  <si>
    <t>19400</t>
  </si>
  <si>
    <t>Thorp School District</t>
  </si>
  <si>
    <t>21237</t>
  </si>
  <si>
    <t>Toledo School District</t>
  </si>
  <si>
    <t>24404</t>
  </si>
  <si>
    <t>Tonasket School District</t>
  </si>
  <si>
    <t>39202</t>
  </si>
  <si>
    <t>Toppenish School District</t>
  </si>
  <si>
    <t>36300</t>
  </si>
  <si>
    <t>Touchet School District</t>
  </si>
  <si>
    <t>08130</t>
  </si>
  <si>
    <t>Toutle Lake School District</t>
  </si>
  <si>
    <t>20400</t>
  </si>
  <si>
    <t>Trout Lake School District</t>
  </si>
  <si>
    <t>17406</t>
  </si>
  <si>
    <t>Tukwila School District</t>
  </si>
  <si>
    <t>39002</t>
  </si>
  <si>
    <t>Union Gap School District</t>
  </si>
  <si>
    <t>27083</t>
  </si>
  <si>
    <t>University Place School District</t>
  </si>
  <si>
    <t>33070</t>
  </si>
  <si>
    <t>Valley School District</t>
  </si>
  <si>
    <t>06037</t>
  </si>
  <si>
    <t>Vancouver School District</t>
  </si>
  <si>
    <t>17402</t>
  </si>
  <si>
    <t>Vashon Island School District</t>
  </si>
  <si>
    <t>35200</t>
  </si>
  <si>
    <t>Wahkiakum School District</t>
  </si>
  <si>
    <t>13073</t>
  </si>
  <si>
    <t>Wahluke School District</t>
  </si>
  <si>
    <t>36401</t>
  </si>
  <si>
    <t>Waitsburg School District</t>
  </si>
  <si>
    <t>36140</t>
  </si>
  <si>
    <t>Walla Walla Public Schools</t>
  </si>
  <si>
    <t>39207</t>
  </si>
  <si>
    <t>Wapato School District</t>
  </si>
  <si>
    <t>13146</t>
  </si>
  <si>
    <t>Warden School District</t>
  </si>
  <si>
    <t>06112</t>
  </si>
  <si>
    <t>Washougal School District</t>
  </si>
  <si>
    <t>01109</t>
  </si>
  <si>
    <t>Washtucna School District</t>
  </si>
  <si>
    <t>09209</t>
  </si>
  <si>
    <t>Waterville School District</t>
  </si>
  <si>
    <t>33049</t>
  </si>
  <si>
    <t>Wellpinit School District</t>
  </si>
  <si>
    <t>04246</t>
  </si>
  <si>
    <t>Wenatchee School District</t>
  </si>
  <si>
    <t>32363</t>
  </si>
  <si>
    <t>West Valley School District (Spokane)</t>
  </si>
  <si>
    <t>39208</t>
  </si>
  <si>
    <t>West Valley School District (Yakima)</t>
  </si>
  <si>
    <t>21303</t>
  </si>
  <si>
    <t>White Pass School District</t>
  </si>
  <si>
    <t>27416</t>
  </si>
  <si>
    <t>White River School District</t>
  </si>
  <si>
    <t>20405</t>
  </si>
  <si>
    <t>White Salmon Valley School District</t>
  </si>
  <si>
    <t>22200</t>
  </si>
  <si>
    <t>Wilbur School District</t>
  </si>
  <si>
    <t>25160</t>
  </si>
  <si>
    <t>Willapa Valley School District</t>
  </si>
  <si>
    <t>13167</t>
  </si>
  <si>
    <t>Wilson Creek School District</t>
  </si>
  <si>
    <t>21232</t>
  </si>
  <si>
    <t>Winlock School District</t>
  </si>
  <si>
    <t>14117</t>
  </si>
  <si>
    <t>Wishkah Valley School District</t>
  </si>
  <si>
    <t>20094</t>
  </si>
  <si>
    <t>Wishram School District</t>
  </si>
  <si>
    <t>08404</t>
  </si>
  <si>
    <t>Woodland School District</t>
  </si>
  <si>
    <t>39007</t>
  </si>
  <si>
    <t>Yakima School District</t>
  </si>
  <si>
    <t>34002</t>
  </si>
  <si>
    <t>Yelm School District</t>
  </si>
  <si>
    <t>39205</t>
  </si>
  <si>
    <t>Zillah School District</t>
  </si>
  <si>
    <t>37903</t>
  </si>
  <si>
    <t>Lummi Tribal Agency</t>
  </si>
  <si>
    <t>17903</t>
  </si>
  <si>
    <t>Muckleshoot Indian Tribe</t>
  </si>
  <si>
    <t>18902</t>
  </si>
  <si>
    <t>Suquamish Tribal Education Department</t>
  </si>
  <si>
    <t>PRIDE Prep Charter School District</t>
  </si>
  <si>
    <t>Rainier Prep Charter School District</t>
  </si>
  <si>
    <t>Summit Public School: Olympus</t>
  </si>
  <si>
    <t>Summit Public School: Sierra</t>
  </si>
  <si>
    <t>Spokane International Academy</t>
  </si>
  <si>
    <t>32907</t>
  </si>
  <si>
    <t>17908</t>
  </si>
  <si>
    <t>27905</t>
  </si>
  <si>
    <t>17902</t>
  </si>
  <si>
    <t>32901</t>
  </si>
  <si>
    <t>CIS/CAS BEA Benefits Inc Total</t>
  </si>
  <si>
    <t>MSOC Curriculum-Reg</t>
  </si>
  <si>
    <t>MSOC Curriculum-LabSci</t>
  </si>
  <si>
    <t>MSOC Curriculum-CTE</t>
  </si>
  <si>
    <t>Psychologists High</t>
  </si>
  <si>
    <t>CIS/CAS Benefits Inc</t>
  </si>
  <si>
    <t>Psychologists Elem</t>
  </si>
  <si>
    <t>05903</t>
  </si>
  <si>
    <t>M33</t>
  </si>
  <si>
    <t>M35</t>
  </si>
  <si>
    <t>MSOC Technology-Skills</t>
  </si>
  <si>
    <t>M38</t>
  </si>
  <si>
    <t>M34</t>
  </si>
  <si>
    <t>MSOC Utilities-Skills</t>
  </si>
  <si>
    <t>M37</t>
  </si>
  <si>
    <t>MSOC Prof Dvlp-Skills</t>
  </si>
  <si>
    <t>M39</t>
  </si>
  <si>
    <t>MSOC Districtwide-Skills</t>
  </si>
  <si>
    <t>MSOC-Skill Center</t>
  </si>
  <si>
    <t>34901</t>
  </si>
  <si>
    <t>17910</t>
  </si>
  <si>
    <t>17905</t>
  </si>
  <si>
    <t>Calculated State Constant using K-3 Class Size 25.23</t>
  </si>
  <si>
    <t>Calculated State Constant using Dist Specific Class Size</t>
  </si>
  <si>
    <t>MSCTE Calculations</t>
  </si>
  <si>
    <t>177A</t>
  </si>
  <si>
    <t xml:space="preserve">CTE CAS School Level Enhance </t>
  </si>
  <si>
    <t>560X</t>
  </si>
  <si>
    <t>CTE_7-8_Enroll</t>
  </si>
  <si>
    <t>Pupil Middle Principal CTE</t>
  </si>
  <si>
    <t>Pupil 7-8 CTE CLS</t>
  </si>
  <si>
    <t>563X</t>
  </si>
  <si>
    <t>CTE_7-8_Other</t>
  </si>
  <si>
    <t>Pupil 7-8 CTE CIS</t>
  </si>
  <si>
    <t>176A</t>
  </si>
  <si>
    <t xml:space="preserve">CTE CAS Central Office Enhance </t>
  </si>
  <si>
    <t>Pupil Middle Central Admin CTE</t>
  </si>
  <si>
    <t>Pupil 7-8 CTE CAS</t>
  </si>
  <si>
    <t>CTE Calculations</t>
  </si>
  <si>
    <t>564X</t>
  </si>
  <si>
    <t>CTE_9-12_Enroll</t>
  </si>
  <si>
    <t>Pupil High Principal CTE</t>
  </si>
  <si>
    <t>Pupil 9-12 CTE CLS</t>
  </si>
  <si>
    <t>567X</t>
  </si>
  <si>
    <t>CTE_9-12_Other</t>
  </si>
  <si>
    <t>Pupil 9-12 CTE CIS</t>
  </si>
  <si>
    <t>Pupil High Central Admin CTE</t>
  </si>
  <si>
    <t>Pupil 9-12 CTE CAS</t>
  </si>
  <si>
    <t>Skill Center Calculations</t>
  </si>
  <si>
    <t>187A</t>
  </si>
  <si>
    <t xml:space="preserve">Skills CAS School Level Enhance </t>
  </si>
  <si>
    <t>612X</t>
  </si>
  <si>
    <t>SKILLS_Enroll</t>
  </si>
  <si>
    <t>Pupil Principal Skill</t>
  </si>
  <si>
    <t>575X</t>
  </si>
  <si>
    <t>SKILLS_Other</t>
  </si>
  <si>
    <t>Pupil Skill CIS</t>
  </si>
  <si>
    <t>186A</t>
  </si>
  <si>
    <t xml:space="preserve">Skills CAS Central Office Enhance </t>
  </si>
  <si>
    <t>Pupil High Central Admin Skill</t>
  </si>
  <si>
    <t>Pupil Skill CAS</t>
  </si>
  <si>
    <t>MSOC Library-Reg</t>
  </si>
  <si>
    <t>MSOC Supplies-Reg</t>
  </si>
  <si>
    <t>MSOC Library-LabSci</t>
  </si>
  <si>
    <t>MSOC Supplies-LabSci</t>
  </si>
  <si>
    <t>MSOC Library-CTE</t>
  </si>
  <si>
    <t>MSOC Supplies-CTE</t>
  </si>
  <si>
    <t>M4LR</t>
  </si>
  <si>
    <t>M4SR</t>
  </si>
  <si>
    <t>M12LL</t>
  </si>
  <si>
    <t>M12SL</t>
  </si>
  <si>
    <t>M20LC</t>
  </si>
  <si>
    <t>M20SC</t>
  </si>
  <si>
    <t>M36LS</t>
  </si>
  <si>
    <t>M36LL</t>
  </si>
  <si>
    <t>MSOC Library-Skills</t>
  </si>
  <si>
    <t>MSOC Supplies-Skills</t>
  </si>
  <si>
    <t>Z226pd</t>
  </si>
  <si>
    <t>Z240pd</t>
  </si>
  <si>
    <t>A33r
Regionalization</t>
  </si>
  <si>
    <t>39901</t>
  </si>
  <si>
    <t>Yakama Nation Tribal Compact</t>
  </si>
  <si>
    <t>27901</t>
  </si>
  <si>
    <t>Chief Leschi Tribal Compact</t>
  </si>
  <si>
    <t>17911</t>
  </si>
  <si>
    <t>MSOC Curriculum-Skills</t>
  </si>
  <si>
    <t>A33rb
Regionalization Base</t>
  </si>
  <si>
    <t>A33re
Regionalization Experience Factor</t>
  </si>
  <si>
    <t>MSOC Facilities-CTE</t>
  </si>
  <si>
    <t>MSOC Facilities-Skills</t>
  </si>
  <si>
    <t>125XC</t>
  </si>
  <si>
    <t>Cert Health Factor</t>
  </si>
  <si>
    <t>621X</t>
  </si>
  <si>
    <t>CIS/CAS Benefits</t>
  </si>
  <si>
    <t>CASHMERE SCHOOL DISTRICT</t>
  </si>
  <si>
    <t>Quileute Tribal School District</t>
  </si>
  <si>
    <t>Summit Public School: Atlas</t>
  </si>
  <si>
    <t xml:space="preserve">Rainier Valley Leadership Academy </t>
  </si>
  <si>
    <t>Impact | Puget Sound Elementary</t>
  </si>
  <si>
    <t>17916</t>
  </si>
  <si>
    <t>Impact | Salish Sea Elementary</t>
  </si>
  <si>
    <t>17917</t>
  </si>
  <si>
    <t>18901</t>
  </si>
  <si>
    <t>Catalyst Public Schools</t>
  </si>
  <si>
    <t>32903</t>
  </si>
  <si>
    <t>Lumen Public School</t>
  </si>
  <si>
    <t>WA HE LUT Indian School Agency</t>
  </si>
  <si>
    <t>37902</t>
  </si>
  <si>
    <t>Whatcom Intergenerational High School</t>
  </si>
  <si>
    <t>Z272
Enroll BEA Resident</t>
  </si>
  <si>
    <t>06701</t>
  </si>
  <si>
    <t>ESA 112</t>
  </si>
  <si>
    <t>Prof Learning Days</t>
  </si>
  <si>
    <t>614Xpd</t>
  </si>
  <si>
    <t>613Xpd</t>
  </si>
  <si>
    <t>School Year Total Days</t>
  </si>
  <si>
    <t>04901</t>
  </si>
  <si>
    <t>Pinnacles Prep</t>
  </si>
  <si>
    <t>Why Not You Academy (formerly Cascade: Midway charter)</t>
  </si>
  <si>
    <t xml:space="preserve">Nespelem School District  </t>
  </si>
  <si>
    <t>27902</t>
  </si>
  <si>
    <t>Impact | Commencement Bay Elementary</t>
  </si>
  <si>
    <t>38901</t>
  </si>
  <si>
    <t>Pullman Community Montessori</t>
  </si>
  <si>
    <t>118X</t>
  </si>
  <si>
    <t>CIS Base Salary</t>
  </si>
  <si>
    <t>142X</t>
  </si>
  <si>
    <t>CIS Inc Salary</t>
  </si>
  <si>
    <t>CAS Base Salary</t>
  </si>
  <si>
    <t>CAS Inc Salary</t>
  </si>
  <si>
    <t>CLS Base Salary</t>
  </si>
  <si>
    <t>CLS Inc Salary</t>
  </si>
  <si>
    <t>IPD MSOC and National Board</t>
  </si>
  <si>
    <t>IPD Salary Only</t>
  </si>
  <si>
    <t>CIS BEA FTE 4</t>
  </si>
  <si>
    <t>CIS BEA FTE K-12</t>
  </si>
  <si>
    <t>CAS BEA FTE 4</t>
  </si>
  <si>
    <t>CAS BEA FTE K-12</t>
  </si>
  <si>
    <t>Pupil K-3 CLS</t>
  </si>
  <si>
    <t>CLS BEA FTE 4</t>
  </si>
  <si>
    <t>CLS BEA FTE K-12</t>
  </si>
  <si>
    <t xml:space="preserve"> CIS Salary Maint Total</t>
  </si>
  <si>
    <t xml:space="preserve"> CIS Salary Inc Total</t>
  </si>
  <si>
    <t xml:space="preserve"> CAS Salary Maint Total</t>
  </si>
  <si>
    <t xml:space="preserve"> CAS Salary Inc Total</t>
  </si>
  <si>
    <t>CIS/CAS BEA Insurance Maint Total</t>
  </si>
  <si>
    <t>CIS/CAS BEA Insurance Inc Total</t>
  </si>
  <si>
    <t>CLS BEA Insurance Maint Total</t>
  </si>
  <si>
    <t>CLS BEA Insurance Inc Total</t>
  </si>
  <si>
    <t>CLS BEA Benefits Maint Total</t>
  </si>
  <si>
    <t>CIS BEA PD Salary</t>
  </si>
  <si>
    <t>CIS BEA PD Benefits</t>
  </si>
  <si>
    <t>SpEd BEA Rate</t>
  </si>
  <si>
    <t>Enroll SpEd 3-PK</t>
  </si>
  <si>
    <t>Enroll SpEd K-21 LRE1</t>
  </si>
  <si>
    <t>Enroll SpEd K-21 Other</t>
  </si>
  <si>
    <t>Enroll BEA Resident</t>
  </si>
  <si>
    <t>Enroll SpEd% K-21</t>
  </si>
  <si>
    <t>Excess Enroll SpEd% K-21</t>
  </si>
  <si>
    <t>SpEd 3-PK Allocation</t>
  </si>
  <si>
    <t>SpEd K-21 LRE1 Allocation</t>
  </si>
  <si>
    <t>SpEd K-21 Other Allocation</t>
  </si>
  <si>
    <t>SpEd K-21 Exceeds Max Fund%</t>
  </si>
  <si>
    <t>Serving District SpEd K-21</t>
  </si>
  <si>
    <t>SpEd Gen Apport</t>
  </si>
  <si>
    <t>SpEd State Recovery Rate</t>
  </si>
  <si>
    <t>SpEd Gen Apport Instruct</t>
  </si>
  <si>
    <t>% Stdnt Avg FTE SpEd</t>
  </si>
  <si>
    <t>SpEd General Apport 3121</t>
  </si>
  <si>
    <t>Enroll SpEd TK LRE1</t>
  </si>
  <si>
    <t>Enroll SpEd TK Other</t>
  </si>
  <si>
    <t>SpEd TK LRE1 Allocation</t>
  </si>
  <si>
    <t>SpEd TK Other Allocation</t>
  </si>
  <si>
    <t>Fed Funds Int Rate</t>
  </si>
  <si>
    <t>Fed Funds Int Rate Per Student</t>
  </si>
  <si>
    <t>2023-2024</t>
  </si>
  <si>
    <t>06901</t>
  </si>
  <si>
    <t>Rooted School Vancouver</t>
  </si>
  <si>
    <t>17919</t>
  </si>
  <si>
    <t>Impact | Black River Elementary</t>
  </si>
  <si>
    <t>24915</t>
  </si>
  <si>
    <t>Paschal Sherman Indian School</t>
  </si>
  <si>
    <t>TKZ271
Enroll TK</t>
  </si>
  <si>
    <t>CIS BEA FTE TK</t>
  </si>
  <si>
    <t>TKZ219</t>
  </si>
  <si>
    <t>TK227A</t>
  </si>
  <si>
    <t>CAS BEA FTE TK</t>
  </si>
  <si>
    <t>CLS BEA FTE TK</t>
  </si>
  <si>
    <t>TK232A</t>
  </si>
  <si>
    <t>2425 A33rb
Regionalization Base</t>
  </si>
  <si>
    <t>2425 A33r
Regionalization</t>
  </si>
  <si>
    <t>2425 A33re
Regionalization Experience Factor</t>
  </si>
  <si>
    <t>TK &amp; K-3 Class Size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</si>
  <si>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</si>
  <si>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</si>
  <si>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</si>
  <si>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</si>
  <si>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</si>
  <si>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</si>
  <si>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</si>
  <si>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</si>
  <si>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</si>
  <si>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</si>
  <si>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</si>
  <si>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</si>
  <si>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</si>
  <si>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</si>
  <si>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</si>
  <si>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Enroll Total w/ Run Start</t>
  </si>
  <si>
    <t>2023-24 Enroll</t>
  </si>
  <si>
    <t>2024-25 Enroll</t>
  </si>
  <si>
    <t>2023-24 Enroll Supp</t>
  </si>
  <si>
    <t>SpEd 3-PK Multiplier</t>
  </si>
  <si>
    <t>SpEd TK LRE1 Multiplier</t>
  </si>
  <si>
    <t>SpEd TK Other Multiplier</t>
  </si>
  <si>
    <t>SpEd LRE1 Multiplier</t>
  </si>
  <si>
    <t>SpEd Other Multiplier</t>
  </si>
  <si>
    <t>ESA 23-24</t>
  </si>
  <si>
    <t>ESA 24-25</t>
  </si>
  <si>
    <t>No</t>
  </si>
  <si>
    <t>Yes</t>
  </si>
  <si>
    <t>2425 SpEd State Recovery Rate</t>
  </si>
  <si>
    <t>2425 % Stdnt Avg FTE SpEd</t>
  </si>
  <si>
    <t>V</t>
  </si>
  <si>
    <t>W</t>
  </si>
  <si>
    <t>X</t>
  </si>
  <si>
    <t>Y</t>
  </si>
  <si>
    <t>Z</t>
  </si>
  <si>
    <t>AA</t>
  </si>
  <si>
    <t>AE</t>
  </si>
  <si>
    <t>CCDDD</t>
  </si>
  <si>
    <t>Revenue 4121</t>
  </si>
  <si>
    <t>Revenue 3121</t>
  </si>
  <si>
    <t>Program 21 Total</t>
  </si>
  <si>
    <t>SpEd Rate</t>
  </si>
  <si>
    <t>May 2324 SpEd BEA Rate</t>
  </si>
  <si>
    <t>Supplemental Increase</t>
  </si>
  <si>
    <t>2024-25 Increase</t>
  </si>
  <si>
    <t>&lt;-------(Select District here)</t>
  </si>
  <si>
    <t>District Calculations Tool</t>
  </si>
  <si>
    <t>To calculate your funding follow these steps:</t>
  </si>
  <si>
    <t>This tool is provided for districts, that aren't part of the ESA cooperative, to report additional expenditures due to an increase in staffing</t>
  </si>
  <si>
    <t>ESA 112 Cooperative Calculations Tool</t>
  </si>
  <si>
    <t>Each sheet is populated with student enrollment (P223) data as of June 2024.</t>
  </si>
  <si>
    <r>
      <rPr>
        <b/>
        <sz val="11"/>
        <color theme="1"/>
        <rFont val="Calibri"/>
        <family val="2"/>
        <scheme val="minor"/>
      </rPr>
      <t>3.</t>
    </r>
    <r>
      <rPr>
        <sz val="11"/>
        <color theme="1"/>
        <rFont val="Calibri"/>
        <family val="2"/>
        <scheme val="minor"/>
      </rPr>
      <t xml:space="preserve"> Any enrollment adjustments and/or K-3 class size values can be entered into column B and will populate in columns D &amp; F. </t>
    </r>
  </si>
  <si>
    <t>4. If enrollment change is anticipated for 2024-25 school year, enter those into column F.</t>
  </si>
  <si>
    <r>
      <rPr>
        <b/>
        <sz val="11"/>
        <color theme="1"/>
        <rFont val="Calibri"/>
        <family val="2"/>
        <scheme val="minor"/>
      </rPr>
      <t>2.</t>
    </r>
    <r>
      <rPr>
        <sz val="11"/>
        <color theme="1"/>
        <rFont val="Calibri"/>
        <family val="2"/>
        <scheme val="minor"/>
      </rPr>
      <t xml:space="preserve"> This will populate the student enrollment (P223) data as of June 2024 in all columns.</t>
    </r>
  </si>
  <si>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Any enrollment adjustments and/or K-3 class size values can be entered into any of the non-grey cells in rows 3-32.</t>
    </r>
  </si>
  <si>
    <r>
      <rPr>
        <b/>
        <sz val="11"/>
        <color theme="1"/>
        <rFont val="Calibri"/>
        <family val="2"/>
        <scheme val="minor"/>
      </rPr>
      <t>5.</t>
    </r>
    <r>
      <rPr>
        <sz val="11"/>
        <color theme="1"/>
        <rFont val="Calibri"/>
        <family val="2"/>
        <scheme val="minor"/>
      </rPr>
      <t xml:space="preserve"> Calculated State funding will be displayed on row 4 for each scenario.</t>
    </r>
  </si>
  <si>
    <t>Each scenario is calculated on separate sheets but the totals and comparison is displayed on the 'ESA Calculations 2324' sheet.</t>
  </si>
  <si>
    <r>
      <rPr>
        <b/>
        <sz val="11"/>
        <color theme="1"/>
        <rFont val="Calibri"/>
        <family val="2"/>
        <scheme val="minor"/>
      </rPr>
      <t>3.</t>
    </r>
    <r>
      <rPr>
        <sz val="11"/>
        <color theme="1"/>
        <rFont val="Calibri"/>
        <family val="2"/>
        <scheme val="minor"/>
      </rPr>
      <t xml:space="preserve"> Any enrollment adjustments entered onto 'ESA Calculations 2324' sheet will display on the'ESA Calculations 2425' sheet. </t>
    </r>
  </si>
  <si>
    <r>
      <rPr>
        <b/>
        <sz val="11"/>
        <color theme="1"/>
        <rFont val="Calibri"/>
        <family val="2"/>
        <scheme val="minor"/>
      </rPr>
      <t>6.</t>
    </r>
    <r>
      <rPr>
        <sz val="11"/>
        <color theme="1"/>
        <rFont val="Calibri"/>
        <family val="2"/>
        <scheme val="minor"/>
      </rPr>
      <t xml:space="preserve"> The supplemental funding difference for 2023-24 will appear in cell D6.</t>
    </r>
  </si>
  <si>
    <r>
      <rPr>
        <b/>
        <sz val="11"/>
        <color theme="1"/>
        <rFont val="Calibri"/>
        <family val="2"/>
        <scheme val="minor"/>
      </rPr>
      <t>7.</t>
    </r>
    <r>
      <rPr>
        <sz val="11"/>
        <color theme="1"/>
        <rFont val="Calibri"/>
        <family val="2"/>
        <scheme val="minor"/>
      </rPr>
      <t xml:space="preserve"> The 2024-25 school year funding difference will appear in cell F7.</t>
    </r>
  </si>
  <si>
    <t>This tool calculates funding differently and has been separated because any change to one ESA 112 Cooperative district's enrollment affects the total funding.</t>
  </si>
  <si>
    <t xml:space="preserve">     Due to a change in districts within the ESA for the 2024-25 school year, the enrollment is using data as of June 2024.</t>
  </si>
  <si>
    <t xml:space="preserve">     Any anticipated enrollment change for the new school year will need to be entered manually on the 'ESA Calcautions 2425' sheet.</t>
  </si>
  <si>
    <r>
      <rPr>
        <b/>
        <sz val="11"/>
        <color theme="1"/>
        <rFont val="Calibri"/>
        <family val="2"/>
        <scheme val="minor"/>
      </rPr>
      <t>4.</t>
    </r>
    <r>
      <rPr>
        <sz val="11"/>
        <color theme="1"/>
        <rFont val="Calibri"/>
        <family val="2"/>
        <scheme val="minor"/>
      </rPr>
      <t xml:space="preserve"> Calculated state funding will be displayed on row 55 for each scenario on the 'ESA Calculations 2324' sheet.</t>
    </r>
  </si>
  <si>
    <r>
      <rPr>
        <b/>
        <sz val="11"/>
        <color theme="1"/>
        <rFont val="Calibri"/>
        <family val="2"/>
        <scheme val="minor"/>
      </rPr>
      <t>5.</t>
    </r>
    <r>
      <rPr>
        <sz val="11"/>
        <color theme="1"/>
        <rFont val="Calibri"/>
        <family val="2"/>
        <scheme val="minor"/>
      </rPr>
      <t xml:space="preserve"> The supplemental funding difference for 2023-24 will appear in cell C58 on the 'ESA Calculations 2324' sheet. </t>
    </r>
  </si>
  <si>
    <r>
      <rPr>
        <b/>
        <sz val="11"/>
        <color theme="1"/>
        <rFont val="Calibri"/>
        <family val="2"/>
        <scheme val="minor"/>
      </rPr>
      <t>6.</t>
    </r>
    <r>
      <rPr>
        <sz val="11"/>
        <color theme="1"/>
        <rFont val="Calibri"/>
        <family val="2"/>
        <scheme val="minor"/>
      </rPr>
      <t xml:space="preserve"> The 2024-25 school year funding difference will appear in cell D59 on the 'ESA Calculations 2324' sheet.</t>
    </r>
  </si>
  <si>
    <t>after the passage of the 2024 Supplemental Budget for the 2023-24 school year and the anticipated expenditures for the 2024-25 school year.</t>
  </si>
  <si>
    <t>2023-24 Enroll Supplemental</t>
  </si>
  <si>
    <t>State Special Education Funding Differences</t>
  </si>
  <si>
    <t>If you have any questions on this tool contact Melissa Jarmon at 360-725-6315 or</t>
  </si>
  <si>
    <t xml:space="preserve">melissa.jarmon@k12.wa.us. </t>
  </si>
  <si>
    <t>Narrative questions will need to be addressed by the Special Education Department</t>
  </si>
  <si>
    <t>Special Education Funding Report (alchemer.com)</t>
  </si>
  <si>
    <t>Sumner-Bonney Lake School District</t>
  </si>
  <si>
    <t>36901</t>
  </si>
  <si>
    <t xml:space="preserve">Innovation Charter School </t>
  </si>
  <si>
    <t>22-23
SpEd BEA Rate</t>
  </si>
  <si>
    <t>18-19
SpEd BEA Rate</t>
  </si>
  <si>
    <t>N/A</t>
  </si>
  <si>
    <t>18-19 3-preK</t>
  </si>
  <si>
    <t>18-19 K-21</t>
  </si>
  <si>
    <t>For report</t>
  </si>
  <si>
    <t>18-19 3-21 enroll</t>
  </si>
  <si>
    <t>22-23
Enroll SpEd 3-PK</t>
  </si>
  <si>
    <t>22-23
Enroll SpEd K-21 LRE1</t>
  </si>
  <si>
    <t>22-23
Enroll SpEd K-21 Other</t>
  </si>
  <si>
    <t>22-23 3-21 enroll</t>
  </si>
  <si>
    <t>2020-2021</t>
  </si>
  <si>
    <t>2021-2022</t>
  </si>
  <si>
    <t>2022-2023</t>
  </si>
  <si>
    <t>2023-24</t>
  </si>
  <si>
    <t>31</t>
  </si>
  <si>
    <t>33</t>
  </si>
  <si>
    <t>34</t>
  </si>
  <si>
    <t>County District Code</t>
  </si>
  <si>
    <t>District Name</t>
  </si>
  <si>
    <t>Instructional Professional Development</t>
  </si>
  <si>
    <t>Curriculum</t>
  </si>
  <si>
    <t>Professional Learning - State</t>
  </si>
  <si>
    <t>Washtucna</t>
  </si>
  <si>
    <t>Othello</t>
  </si>
  <si>
    <t>Clarkston</t>
  </si>
  <si>
    <t>Asotin-Anatone</t>
  </si>
  <si>
    <t>Kennewick</t>
  </si>
  <si>
    <t>Paterson</t>
  </si>
  <si>
    <t>Kiona Benton</t>
  </si>
  <si>
    <t>Finley</t>
  </si>
  <si>
    <t>Prosser</t>
  </si>
  <si>
    <t>Richland</t>
  </si>
  <si>
    <t>Manson</t>
  </si>
  <si>
    <t>Entiat</t>
  </si>
  <si>
    <t>Lake Chelan</t>
  </si>
  <si>
    <t>Cashmere</t>
  </si>
  <si>
    <t>Cascade</t>
  </si>
  <si>
    <t>Wenatchee</t>
  </si>
  <si>
    <t>Pinnacle Prep Charter</t>
  </si>
  <si>
    <t>Port Angeles</t>
  </si>
  <si>
    <t>Crescent</t>
  </si>
  <si>
    <t>Sequim</t>
  </si>
  <si>
    <t>Cape Flattery</t>
  </si>
  <si>
    <t>Quillayute Valley</t>
  </si>
  <si>
    <t>Quileute Tribal</t>
  </si>
  <si>
    <t>Vancouver</t>
  </si>
  <si>
    <t>Hockinson</t>
  </si>
  <si>
    <t>Lacenter</t>
  </si>
  <si>
    <t>Washougal</t>
  </si>
  <si>
    <t>Evergreen (Clark)</t>
  </si>
  <si>
    <t>Camas</t>
  </si>
  <si>
    <t>Battle Ground</t>
  </si>
  <si>
    <t>Ridgefield</t>
  </si>
  <si>
    <t>Longview</t>
  </si>
  <si>
    <t>Castle Rock</t>
  </si>
  <si>
    <t>Woodland</t>
  </si>
  <si>
    <t>Kelso</t>
  </si>
  <si>
    <t>Bridgeport</t>
  </si>
  <si>
    <t>Palisades</t>
  </si>
  <si>
    <t>Eastmont</t>
  </si>
  <si>
    <t>Mansfield</t>
  </si>
  <si>
    <t>Curlew</t>
  </si>
  <si>
    <t>Inchelium</t>
  </si>
  <si>
    <t>Republic</t>
  </si>
  <si>
    <t>Pasco</t>
  </si>
  <si>
    <t>North Franklin</t>
  </si>
  <si>
    <t>Pomeroy</t>
  </si>
  <si>
    <t>Wahluke</t>
  </si>
  <si>
    <t>Quincy</t>
  </si>
  <si>
    <t>Warden</t>
  </si>
  <si>
    <t>Coulee/Hartline</t>
  </si>
  <si>
    <t>Soap Lake</t>
  </si>
  <si>
    <t>Royal</t>
  </si>
  <si>
    <t>Moses Lake</t>
  </si>
  <si>
    <t>Ephrata</t>
  </si>
  <si>
    <t>Wilson Creek</t>
  </si>
  <si>
    <t>Grand Coulee Dam</t>
  </si>
  <si>
    <t>Aberdeen</t>
  </si>
  <si>
    <t>Hoquiam</t>
  </si>
  <si>
    <t>North Beach</t>
  </si>
  <si>
    <t>Mc Cleary</t>
  </si>
  <si>
    <t>Montesano</t>
  </si>
  <si>
    <t>Elma</t>
  </si>
  <si>
    <t>Taholah</t>
  </si>
  <si>
    <t>Cosmopolis</t>
  </si>
  <si>
    <t>Satsop</t>
  </si>
  <si>
    <t>Wishkah Valley</t>
  </si>
  <si>
    <t>Ocosta</t>
  </si>
  <si>
    <t>Oakville</t>
  </si>
  <si>
    <t>Oak Harbor</t>
  </si>
  <si>
    <t>Coupeville</t>
  </si>
  <si>
    <t>South Whidbey</t>
  </si>
  <si>
    <t>Brinnon</t>
  </si>
  <si>
    <t>Quilcene</t>
  </si>
  <si>
    <t>Chimacum</t>
  </si>
  <si>
    <t>Port Townsend</t>
  </si>
  <si>
    <t>Seattle</t>
  </si>
  <si>
    <t>Federal Way</t>
  </si>
  <si>
    <t>Enumclaw</t>
  </si>
  <si>
    <t>Mercer Island</t>
  </si>
  <si>
    <t>Highline</t>
  </si>
  <si>
    <t>Vashon Island</t>
  </si>
  <si>
    <t>Renton</t>
  </si>
  <si>
    <t>Bellevue</t>
  </si>
  <si>
    <t>Tukwila</t>
  </si>
  <si>
    <t>Riverview</t>
  </si>
  <si>
    <t>Auburn</t>
  </si>
  <si>
    <t>Tahoma</t>
  </si>
  <si>
    <t>Snoqualmie Valley</t>
  </si>
  <si>
    <t>Issaquah</t>
  </si>
  <si>
    <t>Shoreline</t>
  </si>
  <si>
    <t>Lake Washington</t>
  </si>
  <si>
    <t>Kent</t>
  </si>
  <si>
    <t>Northshore</t>
  </si>
  <si>
    <t>Summit Sierra Charter</t>
  </si>
  <si>
    <t>Summit Atlas Charter</t>
  </si>
  <si>
    <t>Rainier Prep Charter</t>
  </si>
  <si>
    <t>RVLA Charter</t>
  </si>
  <si>
    <t>Why Not You Charter</t>
  </si>
  <si>
    <t>Bremerton</t>
  </si>
  <si>
    <t>Bainbridge</t>
  </si>
  <si>
    <t>North Kitsap</t>
  </si>
  <si>
    <t>Central Kitsap</t>
  </si>
  <si>
    <t>South Kitsap</t>
  </si>
  <si>
    <t>Catalyst Charter</t>
  </si>
  <si>
    <t>Damman</t>
  </si>
  <si>
    <t>Easton</t>
  </si>
  <si>
    <t>Ellensburg</t>
  </si>
  <si>
    <t>Kittitas</t>
  </si>
  <si>
    <t>Cle Elum-Roslyn</t>
  </si>
  <si>
    <t>Napavine</t>
  </si>
  <si>
    <t>Mossyrock</t>
  </si>
  <si>
    <t>Morton</t>
  </si>
  <si>
    <t>Adna</t>
  </si>
  <si>
    <t>Winlock</t>
  </si>
  <si>
    <t>Toledo</t>
  </si>
  <si>
    <t>Onalaska</t>
  </si>
  <si>
    <t>Pe Ell</t>
  </si>
  <si>
    <t>Chehalis</t>
  </si>
  <si>
    <t>White Pass</t>
  </si>
  <si>
    <t>Centralia</t>
  </si>
  <si>
    <t>Sprague</t>
  </si>
  <si>
    <t>Reardan</t>
  </si>
  <si>
    <t>Creston</t>
  </si>
  <si>
    <t>Odessa</t>
  </si>
  <si>
    <t>Harrington</t>
  </si>
  <si>
    <t>Davenport</t>
  </si>
  <si>
    <t>Grapeview</t>
  </si>
  <si>
    <t>Shelton</t>
  </si>
  <si>
    <t>Mary M Knight</t>
  </si>
  <si>
    <t>Pioneer</t>
  </si>
  <si>
    <t>North Mason</t>
  </si>
  <si>
    <t>Hood Canal</t>
  </si>
  <si>
    <t>Nespelem</t>
  </si>
  <si>
    <t>Omak</t>
  </si>
  <si>
    <t>Okanogan</t>
  </si>
  <si>
    <t>Brewster</t>
  </si>
  <si>
    <t>Pateros</t>
  </si>
  <si>
    <t>Tonasket</t>
  </si>
  <si>
    <t>Oroville</t>
  </si>
  <si>
    <t>Raymond</t>
  </si>
  <si>
    <t>South Bend</t>
  </si>
  <si>
    <t>Willapa Valley</t>
  </si>
  <si>
    <t>Cusick</t>
  </si>
  <si>
    <t>Selkirk</t>
  </si>
  <si>
    <t>Steilacoom Hist.</t>
  </si>
  <si>
    <t>Puyallup</t>
  </si>
  <si>
    <t>Tacoma</t>
  </si>
  <si>
    <t>University Place</t>
  </si>
  <si>
    <t>Sumner</t>
  </si>
  <si>
    <t>Dieringer</t>
  </si>
  <si>
    <t>Orting</t>
  </si>
  <si>
    <t>Clover Park</t>
  </si>
  <si>
    <t>Peninsula</t>
  </si>
  <si>
    <t>Franklin Pierce</t>
  </si>
  <si>
    <t>Bethel</t>
  </si>
  <si>
    <t>Eatonville</t>
  </si>
  <si>
    <t>White River</t>
  </si>
  <si>
    <t>Fife</t>
  </si>
  <si>
    <t>Chief Leschi Tribal</t>
  </si>
  <si>
    <t>Summit Olympus Charter</t>
  </si>
  <si>
    <t>Orcas</t>
  </si>
  <si>
    <t>Lopez</t>
  </si>
  <si>
    <t>San Juan</t>
  </si>
  <si>
    <t>Concrete</t>
  </si>
  <si>
    <t>Burlington Edison</t>
  </si>
  <si>
    <t>Sedro Woolley</t>
  </si>
  <si>
    <t>Anacortes</t>
  </si>
  <si>
    <t>La Conner</t>
  </si>
  <si>
    <t>Conway</t>
  </si>
  <si>
    <t>Mt Vernon</t>
  </si>
  <si>
    <t>Everett</t>
  </si>
  <si>
    <t>Lake Stevens</t>
  </si>
  <si>
    <t>Mukilteo</t>
  </si>
  <si>
    <t>Edmonds</t>
  </si>
  <si>
    <t>Arlington</t>
  </si>
  <si>
    <t>Marysville</t>
  </si>
  <si>
    <t>Index</t>
  </si>
  <si>
    <t>Monroe</t>
  </si>
  <si>
    <t>Snohomish</t>
  </si>
  <si>
    <t>Lakewood</t>
  </si>
  <si>
    <t>Sultan</t>
  </si>
  <si>
    <t>Darrington</t>
  </si>
  <si>
    <t>Granite Falls</t>
  </si>
  <si>
    <t>Stanwood</t>
  </si>
  <si>
    <t>Spokane</t>
  </si>
  <si>
    <t>Orchard Prairie</t>
  </si>
  <si>
    <t>Nine Mile Falls</t>
  </si>
  <si>
    <t>Medical Lake</t>
  </si>
  <si>
    <t>Mead</t>
  </si>
  <si>
    <t>Central Valley</t>
  </si>
  <si>
    <t>Freeman</t>
  </si>
  <si>
    <t>Cheney</t>
  </si>
  <si>
    <t>East Valley (Spokane)</t>
  </si>
  <si>
    <t>Liberty</t>
  </si>
  <si>
    <t>West Valley (Spokane)</t>
  </si>
  <si>
    <t>Deer Park</t>
  </si>
  <si>
    <t>Riverside</t>
  </si>
  <si>
    <t>Spokane Int'l Charter</t>
  </si>
  <si>
    <t>Lumen Charter</t>
  </si>
  <si>
    <t>Onion Creek</t>
  </si>
  <si>
    <t>Chewelah</t>
  </si>
  <si>
    <t>Wellpinit</t>
  </si>
  <si>
    <t>Valley</t>
  </si>
  <si>
    <t>Colville</t>
  </si>
  <si>
    <t>Loon Lake</t>
  </si>
  <si>
    <t>Summit Valley</t>
  </si>
  <si>
    <t>Columbia (Stevenson)</t>
  </si>
  <si>
    <t>Mary Walker</t>
  </si>
  <si>
    <t>Northport</t>
  </si>
  <si>
    <t>Kettle Falls</t>
  </si>
  <si>
    <t>Yelm</t>
  </si>
  <si>
    <t>North Thurston</t>
  </si>
  <si>
    <t>Tumwater</t>
  </si>
  <si>
    <t>Olympia</t>
  </si>
  <si>
    <t>Rainier</t>
  </si>
  <si>
    <t>Griffin</t>
  </si>
  <si>
    <t>Rochester</t>
  </si>
  <si>
    <t>Tenino</t>
  </si>
  <si>
    <t>Walla Walla</t>
  </si>
  <si>
    <t>College Place</t>
  </si>
  <si>
    <t>Columbia (Walla)</t>
  </si>
  <si>
    <t>Waitsburg</t>
  </si>
  <si>
    <t>Prescott</t>
  </si>
  <si>
    <t>Bellingham</t>
  </si>
  <si>
    <t>Ferndale</t>
  </si>
  <si>
    <t>Blaine</t>
  </si>
  <si>
    <t>Lynden</t>
  </si>
  <si>
    <t>Meridian</t>
  </si>
  <si>
    <t>Nooksack Valley</t>
  </si>
  <si>
    <t>Mount Baker</t>
  </si>
  <si>
    <t>Whatcom Int'g Charter</t>
  </si>
  <si>
    <t>Lummi Tribal</t>
  </si>
  <si>
    <t>Lacrosse Joint</t>
  </si>
  <si>
    <t>Lamont</t>
  </si>
  <si>
    <t>Tekoa</t>
  </si>
  <si>
    <t>Pullman</t>
  </si>
  <si>
    <t>Colfax</t>
  </si>
  <si>
    <t>Palouse</t>
  </si>
  <si>
    <t>Garfield</t>
  </si>
  <si>
    <t>Pullman Mont Charter</t>
  </si>
  <si>
    <t>Union Gap</t>
  </si>
  <si>
    <t>Naches Valley</t>
  </si>
  <si>
    <t>Yakima</t>
  </si>
  <si>
    <t>East Valley (Yakima)</t>
  </si>
  <si>
    <t>Selah</t>
  </si>
  <si>
    <t>Mabton</t>
  </si>
  <si>
    <t>Grandview</t>
  </si>
  <si>
    <t>Sunnyside</t>
  </si>
  <si>
    <t>Toppenish</t>
  </si>
  <si>
    <t>Highland</t>
  </si>
  <si>
    <t>Granger</t>
  </si>
  <si>
    <t>Zillah</t>
  </si>
  <si>
    <t>Wapato</t>
  </si>
  <si>
    <t>West Valley (Yakima)</t>
  </si>
  <si>
    <t>Mount Adams</t>
  </si>
  <si>
    <t>F-196 (Actual) Data</t>
  </si>
  <si>
    <t>F-195 (Budget) Data</t>
  </si>
  <si>
    <t>School Year</t>
  </si>
  <si>
    <t>2018-19</t>
  </si>
  <si>
    <t>2019-2020</t>
  </si>
  <si>
    <t>Activity Code</t>
  </si>
  <si>
    <t>Orient</t>
  </si>
  <si>
    <t>Impact Puget Sound Charter</t>
  </si>
  <si>
    <t>Innovation Spokane (Pride) Charter</t>
  </si>
  <si>
    <t>Evergreen (Stevevenson)</t>
  </si>
  <si>
    <t>Wa He Lut Tribal</t>
  </si>
  <si>
    <t>&lt;-------(District selected from SpEd Funding Survey sheet)</t>
  </si>
  <si>
    <t>Additional sheets are available to assist with 2023-24 and 2024-25 data with directions listed below</t>
  </si>
  <si>
    <t>Funding Survey Sheet</t>
  </si>
  <si>
    <t>This sheet populates district data from apportionment, S275, F196 and F195 systems and can be overwritten.</t>
  </si>
  <si>
    <t>The data in the gray cells are from closed school years.</t>
  </si>
  <si>
    <t>The data in the purple cells are from the calculated sheets to assit with the 2023-24 and 2024-25 data.</t>
  </si>
  <si>
    <t>This tool can be used for the 2024-25 Special Education Funding Report that is due November 1, 2024</t>
  </si>
  <si>
    <t>Additional question numbers are displayed where narrative questions are completed.</t>
  </si>
  <si>
    <t>The data in the blue cells will need to be completed by districts because final data is not available.</t>
  </si>
  <si>
    <t>Select the district in cell B2 and will populate data on Funding Surevy sheet as well as District Calcalations sheet.</t>
  </si>
  <si>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Select your district name from the dropdown menu in cell B2 on the sheet titled </t>
    </r>
    <r>
      <rPr>
        <b/>
        <sz val="11"/>
        <color theme="1"/>
        <rFont val="Calibri"/>
        <family val="2"/>
        <scheme val="minor"/>
      </rPr>
      <t>'Funding Survey'</t>
    </r>
    <r>
      <rPr>
        <sz val="11"/>
        <color theme="1"/>
        <rFont val="Calibri"/>
        <family val="2"/>
        <scheme val="minor"/>
      </rPr>
      <t>.</t>
    </r>
  </si>
  <si>
    <t>1a.</t>
  </si>
  <si>
    <t>1b.</t>
  </si>
  <si>
    <t>1c.</t>
  </si>
  <si>
    <t>1d.</t>
  </si>
  <si>
    <t>1e.</t>
  </si>
  <si>
    <t>1f.</t>
  </si>
  <si>
    <t>1g.</t>
  </si>
  <si>
    <t>What is the per pupil amount received in 3121 &amp; 4121 during the 2018-19 SY?</t>
  </si>
  <si>
    <t>What is the per pupil amount received in 3121 &amp; 4121 during the 2022-23 SY?</t>
  </si>
  <si>
    <t>What is the per pupil amount received in 3121 &amp; 4121 during the 2023-24 SY?</t>
  </si>
  <si>
    <t>Use these instructions to complete the input for the PURPLE COLORED VALUES IN THE FUNDING SURVEY</t>
  </si>
  <si>
    <t>List the services, programs &amp; supports that increased the most during the 2023-24 SY:</t>
  </si>
  <si>
    <t>What is the per pupil amount budgeted in 3121 &amp; 4121 for 2024-25 SY</t>
  </si>
  <si>
    <t>List the services, programs &amp; supports that increased the most during the 2024-25 SY</t>
  </si>
  <si>
    <t>How did the district change staffing ratios in special education programs to support students with disabilities, compared with 2022-23?</t>
  </si>
  <si>
    <t>Data Source</t>
  </si>
  <si>
    <t>Suggested Value</t>
  </si>
  <si>
    <t>How did the district change staffing ratios in SpEd programs to support students with disabilities, compared with 2022-23?</t>
  </si>
  <si>
    <t>Calc - See "Instructions Tab" to update</t>
  </si>
  <si>
    <t>District Narrative</t>
  </si>
  <si>
    <t>Survey Value Input</t>
  </si>
  <si>
    <t>Apport Reports (SY 2018-19)</t>
  </si>
  <si>
    <t>Apport Reports (SY 2022-23)</t>
  </si>
  <si>
    <t>2a.</t>
  </si>
  <si>
    <t>2d.</t>
  </si>
  <si>
    <t>2g.</t>
  </si>
  <si>
    <t>2j.</t>
  </si>
  <si>
    <t>During the 2018-19 school year, what is the number of students age 3-21 served in special education?</t>
  </si>
  <si>
    <t>Apport 1191SE (SY 2018-19)</t>
  </si>
  <si>
    <t>Apport 1191SE (SY 2022-23)</t>
  </si>
  <si>
    <t>2b.</t>
  </si>
  <si>
    <t>2c.</t>
  </si>
  <si>
    <t>2e.</t>
  </si>
  <si>
    <t>2f.</t>
  </si>
  <si>
    <t>2h.</t>
  </si>
  <si>
    <t>2i.</t>
  </si>
  <si>
    <t>2k.</t>
  </si>
  <si>
    <t>2l.</t>
  </si>
  <si>
    <t>Survey Question</t>
  </si>
  <si>
    <t>During the 2022-23 school year, what is the number of students age 3-21 served in special education?</t>
  </si>
  <si>
    <t>During the 2018-19 school year, what is the number of Certificated Staff coded to special education?</t>
  </si>
  <si>
    <t>During the 2018-19 school year, what is the number of Classified Staff coded to special education?</t>
  </si>
  <si>
    <t>During the 2022-23 school year, what is the number of Classified Staff coded to special education?</t>
  </si>
  <si>
    <t>During the 2022-23 school year, what is the number of Certificated Staff coded to special education?</t>
  </si>
  <si>
    <t>During the 2023-24 school year, what is the number of students age 3-21 served in special education?</t>
  </si>
  <si>
    <t>During the 2023-24 school year, what is the number of Classified Staff coded to special education?</t>
  </si>
  <si>
    <t>During the 2023-24 school year, what is the number of Certificated Staff coded to special education?</t>
  </si>
  <si>
    <t>During the 2024-25 schoolyear, what is the number of students age 3-21 served in special education?</t>
  </si>
  <si>
    <t>During the 2024-25 school year, what is the number of Classified Staff coded to special education?</t>
  </si>
  <si>
    <t>During the 2024-25 school year, what is the number of Certificated Staff coded to special education?</t>
  </si>
  <si>
    <t>District Input</t>
  </si>
  <si>
    <t>Pull from SY 2024-25 budget</t>
  </si>
  <si>
    <t>By what amount has the district increased employee compensation for both certificated special education staff to improve staff retention and recruitment of new staff, compared with 2018-19 and 2022-23?</t>
  </si>
  <si>
    <t>3)</t>
  </si>
  <si>
    <t>2)</t>
  </si>
  <si>
    <t>1)</t>
  </si>
  <si>
    <t>By how much has the district increased special services, programs and supports to students with disabilities, compared with 2018-19 and 2022-23?</t>
  </si>
  <si>
    <t>3a.</t>
  </si>
  <si>
    <t>3b.</t>
  </si>
  <si>
    <t>3c.</t>
  </si>
  <si>
    <t>3d.</t>
  </si>
  <si>
    <t>3e.</t>
  </si>
  <si>
    <t>3f.</t>
  </si>
  <si>
    <t>What was the annual average compensation for classified and certificated employees during the 2022-23 school year?</t>
  </si>
  <si>
    <t>4)</t>
  </si>
  <si>
    <t>By what amount has the district increased staff development programs and curriculum to meet the needs of students with disabilities, compared with 2018-19 and 2022-23?</t>
  </si>
  <si>
    <t>What was the annual average compensation for classified and certificated employees during the 2023-24 school year?</t>
  </si>
  <si>
    <t>What is the annual average compensation for classified and certificated employees during the 2024-25 school year?</t>
  </si>
  <si>
    <t>SY 2018-19 S275F, Class Staff in Pgm 21</t>
  </si>
  <si>
    <t>SY 2022-23 S275F, Class Staff in Pgm 21</t>
  </si>
  <si>
    <t>SY 2018-19 S275F, Cert Staff in Pgm 21</t>
  </si>
  <si>
    <t>SY 2022-23 S275F, Cert Staff in Pgm 21</t>
  </si>
  <si>
    <t>SY 2023-24 S275P, Class Staff in Pgm 21</t>
  </si>
  <si>
    <t>SY 2023-24 S275P, Cert Staff in Pgm 21</t>
  </si>
  <si>
    <t>List all funding sources utilized for these purchases during the 2023-24 school year.</t>
  </si>
  <si>
    <t>List all funding sources utilized for these purchases during the 2024-25 school year.</t>
  </si>
  <si>
    <t>Pull from SY 2023-24 F196</t>
  </si>
  <si>
    <t>SY2018-19 S275F, Avg Class&amp;Cert Sal Pgm 21 Staff (2a&amp;b)</t>
  </si>
  <si>
    <t>SY2022-23 S275F, Avg Class&amp;Cert Sal Pgm 21 Staff (2e&amp;f)</t>
  </si>
  <si>
    <t>SY2023-24 S275P, Avg Class&amp;Cert Sal Pgm 21 Staff (2h&amp;i)</t>
  </si>
  <si>
    <t>4a.</t>
  </si>
  <si>
    <t>4b.</t>
  </si>
  <si>
    <t>4c.</t>
  </si>
  <si>
    <t>4d.</t>
  </si>
  <si>
    <t>4e.</t>
  </si>
  <si>
    <t>4f.</t>
  </si>
  <si>
    <t>What was the annual average compensation for classified and certificated employees during the 2018-19 school year?</t>
  </si>
  <si>
    <t>What is the amount charged for professional development &amp; curriculum to program 21 during the 2022-23 school year?</t>
  </si>
  <si>
    <t>What is the amount charged for professional development &amp; curriculum to program 21 during the 2018-19 school year?</t>
  </si>
  <si>
    <t>What is the amount charged for professional development &amp; curriculum to program 21 during the 2023-24 school year?</t>
  </si>
  <si>
    <t>Provide examples of professional development and curriculum purchases for the 2023-24 school year.</t>
  </si>
  <si>
    <t>What is the amount charged for professional development &amp; curriculum to program 21 during the 2024-25 school year?</t>
  </si>
  <si>
    <t>Provide examples of professional development and curriculum purchases for the 2024-25 school year.</t>
  </si>
  <si>
    <t>SY 2018-19 F196, Pgm 21, Activity 31, 33, &amp; 34</t>
  </si>
  <si>
    <r>
      <t xml:space="preserve">SY 2023-24 </t>
    </r>
    <r>
      <rPr>
        <b/>
        <u/>
        <sz val="11"/>
        <color theme="1"/>
        <rFont val="Calibri"/>
        <family val="2"/>
        <scheme val="minor"/>
      </rPr>
      <t>F195</t>
    </r>
    <r>
      <rPr>
        <sz val="11"/>
        <color theme="1"/>
        <rFont val="Calibri"/>
        <family val="2"/>
        <scheme val="minor"/>
      </rPr>
      <t>, Pgm 21, Activity 31, 33, &amp; 34</t>
    </r>
  </si>
  <si>
    <t>SY 2022-23 F196, Pgm 21, Activity 31, 33, &amp; 34</t>
  </si>
  <si>
    <t>5)</t>
  </si>
  <si>
    <t>To what extent did the district use the resources use the resources provided to purchase staff safety equipment in order to reduce work-related inquiries?</t>
  </si>
  <si>
    <t>How much was spent to purchase staff safety equipment in order to reduce work-related inquiries during the 2023-24 SY?</t>
  </si>
  <si>
    <t>5a.</t>
  </si>
  <si>
    <t>5b.</t>
  </si>
  <si>
    <t>5c.</t>
  </si>
  <si>
    <t>5d.</t>
  </si>
  <si>
    <t>List all funding sources utilized for safety-equipment during the 2023-24 school year.</t>
  </si>
  <si>
    <t>How much was spent to purchase staff safety equipment in order to reduce work-related inquiries during the 2024-25 SY?</t>
  </si>
  <si>
    <t>List all funding sources utilized for safety-equipment during the 2024-25 school year.</t>
  </si>
  <si>
    <t>Grand Total</t>
  </si>
  <si>
    <t>Yakama Nation Tribl</t>
  </si>
  <si>
    <t>West Valley (Yak)</t>
  </si>
  <si>
    <t>East Valley (Yak)</t>
  </si>
  <si>
    <t>Pullman CM Charter</t>
  </si>
  <si>
    <t>Oakesdale</t>
  </si>
  <si>
    <t>St. John</t>
  </si>
  <si>
    <t>Rosalia</t>
  </si>
  <si>
    <t>Endicott</t>
  </si>
  <si>
    <t>Colton</t>
  </si>
  <si>
    <t>Steptoe</t>
  </si>
  <si>
    <t>Lacrosse</t>
  </si>
  <si>
    <t>Whatcom Intg'l Chrt</t>
  </si>
  <si>
    <t>Innovation Charter School</t>
  </si>
  <si>
    <t>Columbia (Wal)</t>
  </si>
  <si>
    <t>Touchet</t>
  </si>
  <si>
    <t>Columbia (Ste)</t>
  </si>
  <si>
    <t>Evergreen (Ste)</t>
  </si>
  <si>
    <t>PRIDE Prep Charter</t>
  </si>
  <si>
    <t>Spokane IA Charter</t>
  </si>
  <si>
    <t>West Valley (Spo)</t>
  </si>
  <si>
    <t>East Valley (Spo)</t>
  </si>
  <si>
    <t>Great Northern</t>
  </si>
  <si>
    <t>Stanwood-Camano</t>
  </si>
  <si>
    <t>Mill A</t>
  </si>
  <si>
    <t>Sedro-Woolley</t>
  </si>
  <si>
    <t>Burlington-Edison</t>
  </si>
  <si>
    <t>San Juan Island</t>
  </si>
  <si>
    <t>Lopez Island</t>
  </si>
  <si>
    <t>Orcas Island</t>
  </si>
  <si>
    <t>SOAR Academy Charter</t>
  </si>
  <si>
    <t>27909</t>
  </si>
  <si>
    <t>Summit Olympus Chrt</t>
  </si>
  <si>
    <t>Green Dot Public Schools Destiny</t>
  </si>
  <si>
    <t>27904</t>
  </si>
  <si>
    <t>Impact CB Charter</t>
  </si>
  <si>
    <t>Sumner-Bonney Lake</t>
  </si>
  <si>
    <t>Carbonado</t>
  </si>
  <si>
    <t>Newport</t>
  </si>
  <si>
    <t>North River</t>
  </si>
  <si>
    <t>Methow Valley</t>
  </si>
  <si>
    <t>Mary M. Knight</t>
  </si>
  <si>
    <t>Southside</t>
  </si>
  <si>
    <t>Wilbur</t>
  </si>
  <si>
    <t>Almira</t>
  </si>
  <si>
    <t>Reardan-Edwall</t>
  </si>
  <si>
    <t>Boistfort</t>
  </si>
  <si>
    <t>Evaline</t>
  </si>
  <si>
    <t>Bickleton</t>
  </si>
  <si>
    <t>Thorp</t>
  </si>
  <si>
    <t>Suquamish Tribal</t>
  </si>
  <si>
    <t>Catalyst Brem Chrtr</t>
  </si>
  <si>
    <t>Impact BR Charter</t>
  </si>
  <si>
    <t>Why Not You Chrtr</t>
  </si>
  <si>
    <t>Impact SS Charter</t>
  </si>
  <si>
    <t>Impact PS Charter</t>
  </si>
  <si>
    <t>Rainier Vlly LA Chr</t>
  </si>
  <si>
    <t>Rainier Prep Chrtr</t>
  </si>
  <si>
    <t>Green Dot Public Schools Excel</t>
  </si>
  <si>
    <t>17906</t>
  </si>
  <si>
    <t>Summit Atlas Chrtr</t>
  </si>
  <si>
    <t>Muckleshoot Tribal</t>
  </si>
  <si>
    <t>Summit Sierra Chrtr</t>
  </si>
  <si>
    <t>ESD 121</t>
  </si>
  <si>
    <t>17801</t>
  </si>
  <si>
    <t>Skykomish</t>
  </si>
  <si>
    <t>Queets-Clearwater</t>
  </si>
  <si>
    <t>McCleary</t>
  </si>
  <si>
    <t>Coulee-Hartline</t>
  </si>
  <si>
    <t>Kahlotus</t>
  </si>
  <si>
    <t>Keller</t>
  </si>
  <si>
    <t>Orondo</t>
  </si>
  <si>
    <t>Starbuck</t>
  </si>
  <si>
    <t>Rooted School Chrtr</t>
  </si>
  <si>
    <t>La Center</t>
  </si>
  <si>
    <t>Pinnacles Prep Chrt</t>
  </si>
  <si>
    <t>Kiona-Benton</t>
  </si>
  <si>
    <t>Ritzville</t>
  </si>
  <si>
    <t>Lind</t>
  </si>
  <si>
    <t>Certificated</t>
  </si>
  <si>
    <t>Classified</t>
  </si>
  <si>
    <t>Average Salary</t>
  </si>
  <si>
    <t>DistrictName</t>
  </si>
  <si>
    <t>Row Labels</t>
  </si>
  <si>
    <t>2018-2019</t>
  </si>
  <si>
    <t>Tool to help complete Special Education Funding Report Due November 1, 2024 - Download and Save a local copy and select your district before using!</t>
  </si>
  <si>
    <t>Budget for SY 2024-25, Activity 31,33,&amp; 34</t>
  </si>
  <si>
    <t>District SY 2023-24 Local financial record, Program 21</t>
  </si>
  <si>
    <t>District SY 2024-25 Local Budget Planning, Program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</si>
</sst>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0.00000"/>
    <numFmt numFmtId="166" formatCode="0.000000"/>
    <numFmt numFmtId="167" formatCode="_(* #,##0_);_(* \(#,##0\);_(* &quot;-&quot;??_);_(@_)"/>
    <numFmt numFmtId="168" formatCode="_(* #,##0.0000_);_(* \(#,##0.0000\);_(* &quot;-&quot;??_);_(@_)"/>
    <numFmt numFmtId="169" formatCode="0.0000000"/>
    <numFmt numFmtId="170" formatCode="#,##0.00;\(#,##0.00\)"/>
    <numFmt numFmtId="171" formatCode="_(&quot;$&quot;* #,##0_);_(&quot;$&quot;* \(#,##0\);_(&quot;$&quot;* &quot;-&quot;??_);_(@_)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MT"/>
    </font>
    <font>
      <i/>
      <sz val="11"/>
      <color theme="0" tint="-0.34998626667073579"/>
      <name val="Calibri"/>
      <family val="2"/>
      <scheme val="minor"/>
    </font>
    <font>
      <i/>
      <sz val="11"/>
      <name val="Calibri"/>
      <family val="2"/>
      <scheme val="minor"/>
    </font>
    <font>
      <sz val="12"/>
      <name val="Arial"/>
      <family val="2"/>
    </font>
    <font>
      <i/>
      <sz val="11"/>
      <color theme="1"/>
      <name val="Calibri"/>
      <family val="2"/>
      <scheme val="minor"/>
    </font>
    <font>
      <sz val="8"/>
      <color theme="8" tint="0.39997558519241921"/>
      <name val="Calibri"/>
      <family val="2"/>
      <scheme val="minor"/>
    </font>
    <font>
      <b/>
      <sz val="11"/>
      <name val="Calibri"/>
      <family val="2"/>
    </font>
    <font>
      <sz val="10"/>
      <name val="Arial"/>
      <family val="2"/>
    </font>
    <font>
      <sz val="10"/>
      <name val="Geneva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8"/>
      <color theme="8" tint="-0.249977111117893"/>
      <name val="Calibri"/>
      <family val="2"/>
      <scheme val="minor"/>
    </font>
    <font>
      <sz val="8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rgb="FFFF0000"/>
      <name val="Calibri"/>
      <family val="2"/>
    </font>
    <font>
      <b/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theme="0" tint="-0.1499984740745262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20"/>
      <color theme="1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theme="4" tint="0.59996337778862885"/>
      </left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auto="1"/>
      </left>
      <right style="medium">
        <color theme="4" tint="0.59996337778862885"/>
      </right>
      <top style="medium">
        <color auto="1"/>
      </top>
      <bottom style="medium">
        <color auto="1"/>
      </bottom>
      <diagonal/>
    </border>
    <border>
      <left style="medium">
        <color theme="6" tint="0.59996337778862885"/>
      </left>
      <right style="medium">
        <color theme="6" tint="0.59996337778862885"/>
      </right>
      <top style="medium">
        <color theme="6" tint="0.59996337778862885"/>
      </top>
      <bottom style="medium">
        <color theme="6" tint="0.59996337778862885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theme="6" tint="0.59996337778862885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1" fillId="0" borderId="0"/>
    <xf numFmtId="0" fontId="1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43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226">
    <xf numFmtId="0" fontId="0" fillId="0" borderId="0" xfId="0"/>
    <xf numFmtId="0" fontId="0" fillId="2" borderId="0" xfId="0" applyFill="1"/>
    <xf numFmtId="0" fontId="3" fillId="0" borderId="0" xfId="0" applyFont="1"/>
    <xf numFmtId="0" fontId="3" fillId="0" borderId="1" xfId="0" applyFont="1" applyBorder="1"/>
    <xf numFmtId="0" fontId="0" fillId="0" borderId="1" xfId="0" applyBorder="1"/>
    <xf numFmtId="165" fontId="0" fillId="0" borderId="0" xfId="0" applyNumberFormat="1"/>
    <xf numFmtId="43" fontId="0" fillId="0" borderId="0" xfId="1" applyFont="1"/>
    <xf numFmtId="43" fontId="0" fillId="0" borderId="0" xfId="0" applyNumberFormat="1"/>
    <xf numFmtId="0" fontId="0" fillId="0" borderId="0" xfId="0" quotePrefix="1"/>
    <xf numFmtId="165" fontId="0" fillId="0" borderId="1" xfId="0" applyNumberFormat="1" applyBorder="1"/>
    <xf numFmtId="166" fontId="0" fillId="2" borderId="0" xfId="0" applyNumberFormat="1" applyFill="1"/>
    <xf numFmtId="166" fontId="0" fillId="0" borderId="0" xfId="0" applyNumberFormat="1"/>
    <xf numFmtId="166" fontId="0" fillId="4" borderId="0" xfId="0" applyNumberFormat="1" applyFill="1"/>
    <xf numFmtId="0" fontId="6" fillId="0" borderId="1" xfId="0" applyFont="1" applyBorder="1"/>
    <xf numFmtId="166" fontId="6" fillId="2" borderId="1" xfId="0" applyNumberFormat="1" applyFont="1" applyFill="1" applyBorder="1"/>
    <xf numFmtId="0" fontId="0" fillId="3" borderId="0" xfId="0" applyFill="1"/>
    <xf numFmtId="166" fontId="0" fillId="0" borderId="1" xfId="0" applyNumberFormat="1" applyBorder="1"/>
    <xf numFmtId="0" fontId="0" fillId="2" borderId="1" xfId="0" applyFill="1" applyBorder="1"/>
    <xf numFmtId="166" fontId="4" fillId="0" borderId="0" xfId="0" applyNumberFormat="1" applyFont="1"/>
    <xf numFmtId="0" fontId="3" fillId="0" borderId="2" xfId="0" applyFont="1" applyBorder="1"/>
    <xf numFmtId="0" fontId="0" fillId="0" borderId="2" xfId="0" applyBorder="1"/>
    <xf numFmtId="166" fontId="0" fillId="2" borderId="2" xfId="0" applyNumberFormat="1" applyFill="1" applyBorder="1"/>
    <xf numFmtId="166" fontId="4" fillId="2" borderId="0" xfId="0" applyNumberFormat="1" applyFont="1" applyFill="1"/>
    <xf numFmtId="0" fontId="7" fillId="0" borderId="0" xfId="0" applyFont="1"/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43" fontId="0" fillId="0" borderId="0" xfId="1" applyFont="1" applyFill="1"/>
    <xf numFmtId="0" fontId="0" fillId="5" borderId="0" xfId="0" applyFill="1"/>
    <xf numFmtId="43" fontId="0" fillId="5" borderId="0" xfId="0" applyNumberFormat="1" applyFill="1"/>
    <xf numFmtId="43" fontId="0" fillId="5" borderId="0" xfId="1" applyFont="1" applyFill="1"/>
    <xf numFmtId="166" fontId="0" fillId="2" borderId="1" xfId="0" applyNumberFormat="1" applyFill="1" applyBorder="1"/>
    <xf numFmtId="165" fontId="0" fillId="2" borderId="0" xfId="0" applyNumberFormat="1" applyFill="1"/>
    <xf numFmtId="166" fontId="0" fillId="3" borderId="0" xfId="0" applyNumberFormat="1" applyFill="1"/>
    <xf numFmtId="0" fontId="1" fillId="0" borderId="0" xfId="26"/>
    <xf numFmtId="168" fontId="0" fillId="0" borderId="0" xfId="1" applyNumberFormat="1" applyFont="1"/>
    <xf numFmtId="165" fontId="11" fillId="0" borderId="0" xfId="11" applyNumberFormat="1" applyFont="1" applyAlignment="1">
      <alignment wrapText="1"/>
    </xf>
    <xf numFmtId="43" fontId="11" fillId="0" borderId="0" xfId="1" applyFont="1" applyAlignment="1">
      <alignment wrapText="1"/>
    </xf>
    <xf numFmtId="0" fontId="13" fillId="0" borderId="0" xfId="27" applyFont="1"/>
    <xf numFmtId="0" fontId="8" fillId="0" borderId="0" xfId="11" applyFont="1" applyAlignment="1">
      <alignment wrapText="1"/>
    </xf>
    <xf numFmtId="0" fontId="11" fillId="0" borderId="0" xfId="11" applyFont="1"/>
    <xf numFmtId="0" fontId="3" fillId="6" borderId="0" xfId="0" applyFont="1" applyFill="1"/>
    <xf numFmtId="0" fontId="3" fillId="7" borderId="0" xfId="0" applyFont="1" applyFill="1"/>
    <xf numFmtId="0" fontId="0" fillId="0" borderId="0" xfId="0" applyAlignment="1">
      <alignment vertical="top" wrapText="1"/>
    </xf>
    <xf numFmtId="0" fontId="0" fillId="5" borderId="1" xfId="0" applyFill="1" applyBorder="1"/>
    <xf numFmtId="43" fontId="1" fillId="3" borderId="0" xfId="3" applyFont="1" applyFill="1"/>
    <xf numFmtId="43" fontId="11" fillId="0" borderId="0" xfId="1" applyFont="1" applyFill="1" applyAlignment="1">
      <alignment wrapText="1"/>
    </xf>
    <xf numFmtId="43" fontId="1" fillId="0" borderId="0" xfId="3" applyFont="1" applyFill="1"/>
    <xf numFmtId="0" fontId="8" fillId="8" borderId="0" xfId="0" applyFont="1" applyFill="1" applyAlignment="1">
      <alignment wrapText="1"/>
    </xf>
    <xf numFmtId="0" fontId="3" fillId="8" borderId="0" xfId="0" applyFont="1" applyFill="1"/>
    <xf numFmtId="43" fontId="0" fillId="3" borderId="0" xfId="1" applyFont="1" applyFill="1"/>
    <xf numFmtId="167" fontId="0" fillId="5" borderId="0" xfId="1" applyNumberFormat="1" applyFont="1" applyFill="1"/>
    <xf numFmtId="0" fontId="11" fillId="3" borderId="0" xfId="11" applyFont="1" applyFill="1"/>
    <xf numFmtId="43" fontId="0" fillId="3" borderId="0" xfId="0" applyNumberFormat="1" applyFill="1"/>
    <xf numFmtId="10" fontId="0" fillId="0" borderId="0" xfId="25" applyNumberFormat="1" applyFont="1"/>
    <xf numFmtId="164" fontId="11" fillId="0" borderId="0" xfId="11" applyNumberFormat="1" applyFont="1" applyAlignment="1">
      <alignment wrapText="1"/>
    </xf>
    <xf numFmtId="0" fontId="12" fillId="4" borderId="0" xfId="0" applyFont="1" applyFill="1"/>
    <xf numFmtId="43" fontId="8" fillId="4" borderId="0" xfId="3" applyFont="1" applyFill="1"/>
    <xf numFmtId="43" fontId="12" fillId="4" borderId="0" xfId="1" applyFont="1" applyFill="1"/>
    <xf numFmtId="10" fontId="12" fillId="4" borderId="0" xfId="25" applyNumberFormat="1" applyFont="1" applyFill="1"/>
    <xf numFmtId="169" fontId="11" fillId="0" borderId="0" xfId="11" applyNumberFormat="1" applyFont="1" applyAlignment="1">
      <alignment wrapText="1"/>
    </xf>
    <xf numFmtId="10" fontId="0" fillId="5" borderId="0" xfId="0" applyNumberFormat="1" applyFill="1"/>
    <xf numFmtId="0" fontId="13" fillId="0" borderId="0" xfId="27" applyFont="1" applyAlignment="1">
      <alignment wrapText="1"/>
    </xf>
    <xf numFmtId="0" fontId="0" fillId="0" borderId="0" xfId="0" applyAlignment="1">
      <alignment horizontal="left" vertical="top" wrapText="1"/>
    </xf>
    <xf numFmtId="0" fontId="12" fillId="2" borderId="0" xfId="0" applyFont="1" applyFill="1"/>
    <xf numFmtId="43" fontId="12" fillId="2" borderId="0" xfId="1" applyFont="1" applyFill="1"/>
    <xf numFmtId="167" fontId="0" fillId="2" borderId="0" xfId="1" applyNumberFormat="1" applyFont="1" applyFill="1"/>
    <xf numFmtId="43" fontId="0" fillId="2" borderId="0" xfId="1" applyFont="1" applyFill="1"/>
    <xf numFmtId="2" fontId="1" fillId="0" borderId="0" xfId="27" applyNumberFormat="1"/>
    <xf numFmtId="2" fontId="0" fillId="0" borderId="0" xfId="0" applyNumberFormat="1"/>
    <xf numFmtId="0" fontId="12" fillId="0" borderId="0" xfId="27" applyFont="1" applyAlignment="1">
      <alignment wrapText="1"/>
    </xf>
    <xf numFmtId="0" fontId="0" fillId="0" borderId="0" xfId="0" applyAlignment="1">
      <alignment horizontal="center"/>
    </xf>
    <xf numFmtId="0" fontId="0" fillId="9" borderId="0" xfId="0" applyFill="1"/>
    <xf numFmtId="43" fontId="0" fillId="9" borderId="0" xfId="1" applyFont="1" applyFill="1"/>
    <xf numFmtId="0" fontId="8" fillId="5" borderId="0" xfId="0" applyFont="1" applyFill="1" applyAlignment="1">
      <alignment wrapText="1"/>
    </xf>
    <xf numFmtId="0" fontId="0" fillId="10" borderId="0" xfId="0" applyFill="1"/>
    <xf numFmtId="0" fontId="15" fillId="0" borderId="0" xfId="0" applyFont="1"/>
    <xf numFmtId="43" fontId="0" fillId="0" borderId="3" xfId="1" applyFont="1" applyBorder="1"/>
    <xf numFmtId="0" fontId="1" fillId="11" borderId="4" xfId="27" applyFill="1" applyBorder="1" applyAlignment="1">
      <alignment wrapText="1"/>
    </xf>
    <xf numFmtId="0" fontId="11" fillId="11" borderId="4" xfId="0" applyFont="1" applyFill="1" applyBorder="1" applyAlignment="1">
      <alignment wrapText="1"/>
    </xf>
    <xf numFmtId="0" fontId="8" fillId="11" borderId="4" xfId="0" applyFont="1" applyFill="1" applyBorder="1" applyAlignment="1">
      <alignment wrapText="1"/>
    </xf>
    <xf numFmtId="0" fontId="11" fillId="11" borderId="0" xfId="0" applyFont="1" applyFill="1" applyAlignment="1">
      <alignment wrapText="1"/>
    </xf>
    <xf numFmtId="43" fontId="12" fillId="0" borderId="3" xfId="1" applyFont="1" applyBorder="1"/>
    <xf numFmtId="10" fontId="0" fillId="0" borderId="3" xfId="0" applyNumberFormat="1" applyBorder="1"/>
    <xf numFmtId="0" fontId="11" fillId="12" borderId="6" xfId="0" applyFont="1" applyFill="1" applyBorder="1" applyAlignment="1">
      <alignment wrapText="1"/>
    </xf>
    <xf numFmtId="43" fontId="0" fillId="0" borderId="5" xfId="1" applyFont="1" applyBorder="1"/>
    <xf numFmtId="43" fontId="11" fillId="12" borderId="7" xfId="1" applyFont="1" applyFill="1" applyBorder="1" applyAlignment="1">
      <alignment wrapText="1"/>
    </xf>
    <xf numFmtId="0" fontId="0" fillId="12" borderId="0" xfId="0" applyFill="1"/>
    <xf numFmtId="169" fontId="8" fillId="5" borderId="0" xfId="11" applyNumberFormat="1" applyFont="1" applyFill="1" applyAlignment="1">
      <alignment wrapText="1"/>
    </xf>
    <xf numFmtId="165" fontId="8" fillId="5" borderId="0" xfId="11" applyNumberFormat="1" applyFont="1" applyFill="1" applyAlignment="1">
      <alignment wrapText="1"/>
    </xf>
    <xf numFmtId="43" fontId="12" fillId="2" borderId="0" xfId="0" applyNumberFormat="1" applyFont="1" applyFill="1"/>
    <xf numFmtId="10" fontId="12" fillId="2" borderId="0" xfId="25" applyNumberFormat="1" applyFont="1" applyFill="1"/>
    <xf numFmtId="10" fontId="0" fillId="3" borderId="0" xfId="25" applyNumberFormat="1" applyFont="1" applyFill="1"/>
    <xf numFmtId="43" fontId="0" fillId="3" borderId="0" xfId="1" applyFont="1" applyFill="1" applyBorder="1"/>
    <xf numFmtId="168" fontId="0" fillId="3" borderId="0" xfId="1" applyNumberFormat="1" applyFont="1" applyFill="1" applyBorder="1"/>
    <xf numFmtId="0" fontId="11" fillId="11" borderId="8" xfId="0" applyFont="1" applyFill="1" applyBorder="1" applyAlignment="1">
      <alignment wrapText="1"/>
    </xf>
    <xf numFmtId="10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0" fontId="12" fillId="0" borderId="0" xfId="0" applyFont="1"/>
    <xf numFmtId="43" fontId="12" fillId="0" borderId="0" xfId="0" applyNumberFormat="1" applyFont="1"/>
    <xf numFmtId="43" fontId="12" fillId="0" borderId="0" xfId="1" applyFont="1"/>
    <xf numFmtId="43" fontId="12" fillId="0" borderId="2" xfId="0" applyNumberFormat="1" applyFont="1" applyBorder="1"/>
    <xf numFmtId="43" fontId="1" fillId="12" borderId="0" xfId="3" applyFont="1" applyFill="1"/>
    <xf numFmtId="43" fontId="12" fillId="12" borderId="0" xfId="0" applyNumberFormat="1" applyFont="1" applyFill="1"/>
    <xf numFmtId="0" fontId="11" fillId="5" borderId="0" xfId="11" applyFont="1" applyFill="1"/>
    <xf numFmtId="0" fontId="16" fillId="0" borderId="0" xfId="13" applyFont="1"/>
    <xf numFmtId="0" fontId="17" fillId="0" borderId="0" xfId="0" applyFont="1"/>
    <xf numFmtId="0" fontId="19" fillId="0" borderId="0" xfId="0" applyFont="1"/>
    <xf numFmtId="43" fontId="12" fillId="3" borderId="3" xfId="1" applyFont="1" applyFill="1" applyBorder="1"/>
    <xf numFmtId="0" fontId="20" fillId="0" borderId="0" xfId="0" applyFont="1" applyAlignment="1">
      <alignment horizontal="right"/>
    </xf>
    <xf numFmtId="43" fontId="20" fillId="0" borderId="0" xfId="0" applyNumberFormat="1" applyFont="1"/>
    <xf numFmtId="0" fontId="20" fillId="0" borderId="0" xfId="0" applyFont="1" applyAlignment="1">
      <alignment horizontal="center"/>
    </xf>
    <xf numFmtId="0" fontId="20" fillId="0" borderId="0" xfId="0" applyFont="1"/>
    <xf numFmtId="0" fontId="21" fillId="0" borderId="0" xfId="0" applyFont="1"/>
    <xf numFmtId="43" fontId="20" fillId="0" borderId="0" xfId="1" applyFont="1"/>
    <xf numFmtId="43" fontId="20" fillId="0" borderId="2" xfId="0" applyNumberFormat="1" applyFont="1" applyBorder="1"/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43" fontId="20" fillId="5" borderId="0" xfId="0" applyNumberFormat="1" applyFont="1" applyFill="1"/>
    <xf numFmtId="0" fontId="22" fillId="0" borderId="0" xfId="30"/>
    <xf numFmtId="0" fontId="0" fillId="0" borderId="11" xfId="0" applyBorder="1"/>
    <xf numFmtId="0" fontId="0" fillId="0" borderId="14" xfId="0" applyBorder="1"/>
    <xf numFmtId="0" fontId="0" fillId="0" borderId="17" xfId="0" applyBorder="1"/>
    <xf numFmtId="0" fontId="0" fillId="0" borderId="18" xfId="0" applyBorder="1"/>
    <xf numFmtId="44" fontId="0" fillId="0" borderId="0" xfId="31" applyFont="1"/>
    <xf numFmtId="43" fontId="8" fillId="0" borderId="0" xfId="1" applyFont="1" applyAlignment="1">
      <alignment wrapText="1"/>
    </xf>
    <xf numFmtId="43" fontId="0" fillId="12" borderId="0" xfId="1" applyFont="1" applyFill="1"/>
    <xf numFmtId="0" fontId="25" fillId="0" borderId="0" xfId="0" applyFont="1"/>
    <xf numFmtId="0" fontId="26" fillId="0" borderId="0" xfId="0" applyFont="1"/>
    <xf numFmtId="0" fontId="27" fillId="0" borderId="0" xfId="0" applyFont="1"/>
    <xf numFmtId="43" fontId="27" fillId="0" borderId="0" xfId="1" quotePrefix="1" applyFont="1" applyAlignment="1">
      <alignment horizontal="center" vertical="center"/>
    </xf>
    <xf numFmtId="0" fontId="27" fillId="0" borderId="0" xfId="0" quotePrefix="1" applyFont="1" applyAlignment="1">
      <alignment horizontal="center" vertical="center"/>
    </xf>
    <xf numFmtId="43" fontId="27" fillId="0" borderId="0" xfId="1" quotePrefix="1" applyFont="1" applyAlignment="1">
      <alignment horizontal="center"/>
    </xf>
    <xf numFmtId="43" fontId="28" fillId="0" borderId="0" xfId="1" quotePrefix="1" applyFont="1" applyAlignment="1">
      <alignment horizontal="left" vertical="top"/>
    </xf>
    <xf numFmtId="0" fontId="27" fillId="7" borderId="0" xfId="0" applyFont="1" applyFill="1"/>
    <xf numFmtId="0" fontId="27" fillId="7" borderId="0" xfId="0" applyFont="1" applyFill="1" applyAlignment="1">
      <alignment horizontal="center"/>
    </xf>
    <xf numFmtId="43" fontId="27" fillId="7" borderId="19" xfId="1" quotePrefix="1" applyFont="1" applyFill="1" applyBorder="1" applyAlignment="1">
      <alignment horizontal="center"/>
    </xf>
    <xf numFmtId="43" fontId="27" fillId="7" borderId="20" xfId="1" quotePrefix="1" applyFont="1" applyFill="1" applyBorder="1" applyAlignment="1">
      <alignment horizontal="center"/>
    </xf>
    <xf numFmtId="43" fontId="27" fillId="7" borderId="21" xfId="1" quotePrefix="1" applyFont="1" applyFill="1" applyBorder="1" applyAlignment="1">
      <alignment horizontal="center"/>
    </xf>
    <xf numFmtId="0" fontId="27" fillId="7" borderId="20" xfId="0" quotePrefix="1" applyFont="1" applyFill="1" applyBorder="1" applyAlignment="1">
      <alignment horizontal="center"/>
    </xf>
    <xf numFmtId="0" fontId="27" fillId="7" borderId="20" xfId="0" applyFont="1" applyFill="1" applyBorder="1"/>
    <xf numFmtId="0" fontId="27" fillId="7" borderId="21" xfId="0" applyFont="1" applyFill="1" applyBorder="1"/>
    <xf numFmtId="0" fontId="27" fillId="7" borderId="19" xfId="0" quotePrefix="1" applyFont="1" applyFill="1" applyBorder="1" applyAlignment="1">
      <alignment horizontal="center"/>
    </xf>
    <xf numFmtId="0" fontId="27" fillId="13" borderId="0" xfId="0" applyFont="1" applyFill="1"/>
    <xf numFmtId="0" fontId="27" fillId="7" borderId="19" xfId="0" applyFont="1" applyFill="1" applyBorder="1" applyAlignment="1">
      <alignment horizontal="center"/>
    </xf>
    <xf numFmtId="43" fontId="27" fillId="7" borderId="22" xfId="1" quotePrefix="1" applyFont="1" applyFill="1" applyBorder="1" applyAlignment="1">
      <alignment horizontal="center"/>
    </xf>
    <xf numFmtId="43" fontId="27" fillId="7" borderId="0" xfId="1" quotePrefix="1" applyFont="1" applyFill="1" applyBorder="1" applyAlignment="1">
      <alignment horizontal="center"/>
    </xf>
    <xf numFmtId="43" fontId="27" fillId="7" borderId="23" xfId="1" quotePrefix="1" applyFont="1" applyFill="1" applyBorder="1" applyAlignment="1">
      <alignment horizontal="center"/>
    </xf>
    <xf numFmtId="0" fontId="27" fillId="7" borderId="0" xfId="0" quotePrefix="1" applyFont="1" applyFill="1" applyAlignment="1">
      <alignment horizontal="center"/>
    </xf>
    <xf numFmtId="0" fontId="27" fillId="7" borderId="23" xfId="0" quotePrefix="1" applyFont="1" applyFill="1" applyBorder="1" applyAlignment="1">
      <alignment horizontal="center"/>
    </xf>
    <xf numFmtId="0" fontId="27" fillId="7" borderId="22" xfId="0" quotePrefix="1" applyFont="1" applyFill="1" applyBorder="1" applyAlignment="1">
      <alignment horizontal="center"/>
    </xf>
    <xf numFmtId="0" fontId="27" fillId="13" borderId="0" xfId="0" quotePrefix="1" applyFont="1" applyFill="1" applyAlignment="1">
      <alignment horizontal="center"/>
    </xf>
    <xf numFmtId="0" fontId="27" fillId="7" borderId="0" xfId="0" quotePrefix="1" applyFont="1" applyFill="1" applyAlignment="1">
      <alignment horizontal="center" vertical="center" wrapText="1"/>
    </xf>
    <xf numFmtId="43" fontId="27" fillId="7" borderId="24" xfId="1" quotePrefix="1" applyFont="1" applyFill="1" applyBorder="1" applyAlignment="1">
      <alignment horizontal="center" vertical="center" wrapText="1"/>
    </xf>
    <xf numFmtId="43" fontId="27" fillId="7" borderId="1" xfId="1" quotePrefix="1" applyFont="1" applyFill="1" applyBorder="1" applyAlignment="1">
      <alignment horizontal="center" vertical="center" wrapText="1"/>
    </xf>
    <xf numFmtId="43" fontId="27" fillId="7" borderId="25" xfId="1" quotePrefix="1" applyFont="1" applyFill="1" applyBorder="1" applyAlignment="1">
      <alignment horizontal="center" vertical="center" wrapText="1"/>
    </xf>
    <xf numFmtId="0" fontId="27" fillId="7" borderId="1" xfId="0" quotePrefix="1" applyFont="1" applyFill="1" applyBorder="1" applyAlignment="1">
      <alignment horizontal="center" vertical="center" wrapText="1"/>
    </xf>
    <xf numFmtId="0" fontId="27" fillId="7" borderId="25" xfId="0" quotePrefix="1" applyFont="1" applyFill="1" applyBorder="1" applyAlignment="1">
      <alignment horizontal="center" vertical="center" wrapText="1"/>
    </xf>
    <xf numFmtId="0" fontId="27" fillId="7" borderId="24" xfId="0" quotePrefix="1" applyFont="1" applyFill="1" applyBorder="1" applyAlignment="1">
      <alignment horizontal="center" vertical="center" wrapText="1"/>
    </xf>
    <xf numFmtId="0" fontId="27" fillId="13" borderId="0" xfId="0" quotePrefix="1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0" xfId="0" quotePrefix="1" applyFont="1" applyAlignment="1">
      <alignment horizontal="left" vertical="top"/>
    </xf>
    <xf numFmtId="43" fontId="27" fillId="0" borderId="0" xfId="1" applyFont="1"/>
    <xf numFmtId="170" fontId="27" fillId="0" borderId="0" xfId="0" applyNumberFormat="1" applyFont="1" applyAlignment="1">
      <alignment vertical="center"/>
    </xf>
    <xf numFmtId="43" fontId="27" fillId="0" borderId="0" xfId="1" applyFont="1" applyAlignment="1">
      <alignment vertical="center"/>
    </xf>
    <xf numFmtId="0" fontId="12" fillId="0" borderId="0" xfId="0" applyFont="1" applyAlignment="1">
      <alignment wrapText="1"/>
    </xf>
    <xf numFmtId="0" fontId="18" fillId="14" borderId="0" xfId="0" applyFont="1" applyFill="1"/>
    <xf numFmtId="0" fontId="12" fillId="0" borderId="0" xfId="0" applyFont="1" applyAlignment="1">
      <alignment horizontal="left" wrapText="1"/>
    </xf>
    <xf numFmtId="0" fontId="26" fillId="0" borderId="0" xfId="0" applyFont="1" applyAlignment="1">
      <alignment horizontal="center"/>
    </xf>
    <xf numFmtId="44" fontId="0" fillId="0" borderId="0" xfId="31" applyFont="1" applyFill="1" applyBorder="1"/>
    <xf numFmtId="0" fontId="23" fillId="0" borderId="0" xfId="0" applyFont="1"/>
    <xf numFmtId="0" fontId="24" fillId="0" borderId="0" xfId="0" applyFont="1"/>
    <xf numFmtId="0" fontId="17" fillId="0" borderId="0" xfId="0" applyFont="1" applyAlignment="1">
      <alignment horizontal="center"/>
    </xf>
    <xf numFmtId="0" fontId="0" fillId="0" borderId="12" xfId="0" applyBorder="1"/>
    <xf numFmtId="0" fontId="0" fillId="3" borderId="15" xfId="0" applyFill="1" applyBorder="1"/>
    <xf numFmtId="0" fontId="0" fillId="3" borderId="12" xfId="0" applyFill="1" applyBorder="1"/>
    <xf numFmtId="43" fontId="0" fillId="0" borderId="0" xfId="1" applyFont="1" applyFill="1" applyBorder="1"/>
    <xf numFmtId="0" fontId="31" fillId="0" borderId="0" xfId="0" applyFont="1"/>
    <xf numFmtId="0" fontId="32" fillId="0" borderId="0" xfId="0" applyFont="1" applyAlignment="1">
      <alignment horizontal="center"/>
    </xf>
    <xf numFmtId="0" fontId="32" fillId="0" borderId="0" xfId="0" applyFont="1"/>
    <xf numFmtId="0" fontId="12" fillId="0" borderId="0" xfId="0" applyFont="1" applyAlignment="1">
      <alignment horizontal="right" vertical="center"/>
    </xf>
    <xf numFmtId="167" fontId="0" fillId="3" borderId="13" xfId="1" applyNumberFormat="1" applyFont="1" applyFill="1" applyBorder="1" applyAlignment="1">
      <alignment horizontal="center"/>
    </xf>
    <xf numFmtId="167" fontId="0" fillId="3" borderId="29" xfId="1" applyNumberFormat="1" applyFont="1" applyFill="1" applyBorder="1" applyAlignment="1">
      <alignment horizontal="center"/>
    </xf>
    <xf numFmtId="171" fontId="0" fillId="3" borderId="32" xfId="31" applyNumberFormat="1" applyFont="1" applyFill="1" applyBorder="1" applyAlignment="1">
      <alignment horizontal="center"/>
    </xf>
    <xf numFmtId="171" fontId="0" fillId="3" borderId="29" xfId="31" applyNumberFormat="1" applyFont="1" applyFill="1" applyBorder="1" applyAlignment="1">
      <alignment horizontal="center"/>
    </xf>
    <xf numFmtId="0" fontId="0" fillId="0" borderId="33" xfId="0" applyBorder="1"/>
    <xf numFmtId="0" fontId="0" fillId="0" borderId="34" xfId="0" applyBorder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167" fontId="0" fillId="5" borderId="13" xfId="1" applyNumberFormat="1" applyFont="1" applyFill="1" applyBorder="1"/>
    <xf numFmtId="167" fontId="0" fillId="5" borderId="10" xfId="1" applyNumberFormat="1" applyFont="1" applyFill="1" applyBorder="1"/>
    <xf numFmtId="171" fontId="0" fillId="5" borderId="16" xfId="31" applyNumberFormat="1" applyFont="1" applyFill="1" applyBorder="1"/>
    <xf numFmtId="171" fontId="0" fillId="5" borderId="13" xfId="31" applyNumberFormat="1" applyFont="1" applyFill="1" applyBorder="1"/>
    <xf numFmtId="44" fontId="34" fillId="5" borderId="26" xfId="31" applyFont="1" applyFill="1" applyBorder="1" applyAlignment="1"/>
    <xf numFmtId="44" fontId="34" fillId="5" borderId="27" xfId="31" applyFont="1" applyFill="1" applyBorder="1" applyAlignment="1"/>
    <xf numFmtId="167" fontId="0" fillId="0" borderId="0" xfId="1" applyNumberFormat="1" applyFont="1"/>
    <xf numFmtId="43" fontId="0" fillId="3" borderId="32" xfId="1" applyFont="1" applyFill="1" applyBorder="1" applyAlignment="1">
      <alignment horizontal="center"/>
    </xf>
    <xf numFmtId="43" fontId="0" fillId="3" borderId="29" xfId="1" applyFont="1" applyFill="1" applyBorder="1" applyAlignment="1">
      <alignment horizontal="center"/>
    </xf>
    <xf numFmtId="44" fontId="0" fillId="3" borderId="28" xfId="31" applyFont="1" applyFill="1" applyBorder="1"/>
    <xf numFmtId="44" fontId="0" fillId="3" borderId="29" xfId="31" applyFont="1" applyFill="1" applyBorder="1"/>
    <xf numFmtId="7" fontId="0" fillId="5" borderId="16" xfId="31" applyNumberFormat="1" applyFont="1" applyFill="1" applyBorder="1"/>
    <xf numFmtId="7" fontId="0" fillId="5" borderId="13" xfId="31" applyNumberFormat="1" applyFont="1" applyFill="1" applyBorder="1"/>
    <xf numFmtId="43" fontId="0" fillId="5" borderId="16" xfId="1" applyFont="1" applyFill="1" applyBorder="1"/>
    <xf numFmtId="43" fontId="0" fillId="5" borderId="13" xfId="1" applyFont="1" applyFill="1" applyBorder="1"/>
    <xf numFmtId="0" fontId="34" fillId="5" borderId="26" xfId="0" applyFont="1" applyFill="1" applyBorder="1"/>
    <xf numFmtId="0" fontId="34" fillId="5" borderId="30" xfId="0" applyFont="1" applyFill="1" applyBorder="1"/>
    <xf numFmtId="0" fontId="34" fillId="5" borderId="19" xfId="0" applyFont="1" applyFill="1" applyBorder="1"/>
    <xf numFmtId="0" fontId="34" fillId="5" borderId="27" xfId="0" applyFont="1" applyFill="1" applyBorder="1"/>
    <xf numFmtId="0" fontId="34" fillId="5" borderId="31" xfId="0" applyFont="1" applyFill="1" applyBorder="1"/>
    <xf numFmtId="0" fontId="34" fillId="10" borderId="13" xfId="0" applyFont="1" applyFill="1" applyBorder="1" applyAlignment="1">
      <alignment horizontal="center"/>
    </xf>
    <xf numFmtId="0" fontId="34" fillId="10" borderId="10" xfId="0" applyFont="1" applyFill="1" applyBorder="1" applyAlignment="1">
      <alignment horizontal="center"/>
    </xf>
    <xf numFmtId="0" fontId="34" fillId="10" borderId="12" xfId="0" applyFont="1" applyFill="1" applyBorder="1"/>
    <xf numFmtId="0" fontId="34" fillId="10" borderId="9" xfId="0" applyFont="1" applyFill="1" applyBorder="1"/>
    <xf numFmtId="0" fontId="34" fillId="10" borderId="16" xfId="0" applyFont="1" applyFill="1" applyBorder="1" applyAlignment="1">
      <alignment horizontal="center"/>
    </xf>
    <xf numFmtId="0" fontId="34" fillId="10" borderId="15" xfId="0" applyFont="1" applyFill="1" applyBorder="1"/>
    <xf numFmtId="0" fontId="4" fillId="8" borderId="0" xfId="0" applyFont="1" applyFill="1"/>
    <xf numFmtId="44" fontId="34" fillId="15" borderId="29" xfId="31" applyFont="1" applyFill="1" applyBorder="1"/>
    <xf numFmtId="0" fontId="34" fillId="15" borderId="12" xfId="0" applyFont="1" applyFill="1" applyBorder="1"/>
    <xf numFmtId="43" fontId="34" fillId="15" borderId="29" xfId="1" applyFont="1" applyFill="1" applyBorder="1" applyAlignment="1">
      <alignment horizontal="center"/>
    </xf>
    <xf numFmtId="0" fontId="12" fillId="0" borderId="0" xfId="0" applyFont="1" applyAlignment="1">
      <alignment horizontal="left" vertical="center" wrapText="1"/>
    </xf>
    <xf numFmtId="0" fontId="35" fillId="0" borderId="0" xfId="0" applyFont="1" applyAlignment="1">
      <alignment horizontal="center"/>
    </xf>
    <xf numFmtId="0" fontId="29" fillId="14" borderId="0" xfId="0" applyFont="1" applyFill="1" applyAlignment="1">
      <alignment horizontal="center" vertical="center" wrapText="1"/>
    </xf>
    <xf numFmtId="0" fontId="30" fillId="14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44" fontId="0" fillId="0" borderId="0" xfId="31" applyFont="1" applyAlignment="1">
      <alignment horizontal="center"/>
    </xf>
  </cellXfs>
  <cellStyles count="32">
    <cellStyle name="Comma" xfId="1" builtinId="3"/>
    <cellStyle name="Comma 2" xfId="3" xr:uid="{00000000-0005-0000-0000-000001000000}"/>
    <cellStyle name="Comma 2 2" xfId="29" xr:uid="{6BEBC4E2-0AC2-4BC6-992B-E6B041DB488D}"/>
    <cellStyle name="Comma 3" xfId="4" xr:uid="{00000000-0005-0000-0000-000002000000}"/>
    <cellStyle name="Comma 4" xfId="5" xr:uid="{00000000-0005-0000-0000-000003000000}"/>
    <cellStyle name="Comma 4 2" xfId="6" xr:uid="{00000000-0005-0000-0000-000004000000}"/>
    <cellStyle name="Comma 5" xfId="7" xr:uid="{00000000-0005-0000-0000-000005000000}"/>
    <cellStyle name="Currency" xfId="31" builtinId="4"/>
    <cellStyle name="Hyperlink" xfId="30" builtinId="8"/>
    <cellStyle name="Normal" xfId="0" builtinId="0"/>
    <cellStyle name="Normal 10" xfId="8" xr:uid="{00000000-0005-0000-0000-000008000000}"/>
    <cellStyle name="Normal 2" xfId="2" xr:uid="{00000000-0005-0000-0000-000009000000}"/>
    <cellStyle name="Normal 2 2" xfId="9" xr:uid="{00000000-0005-0000-0000-00000A000000}"/>
    <cellStyle name="Normal 2 2 2" xfId="10" xr:uid="{00000000-0005-0000-0000-00000B000000}"/>
    <cellStyle name="Normal 2 2 2 2" xfId="26" xr:uid="{00000000-0005-0000-0000-00000C000000}"/>
    <cellStyle name="Normal 2 2 2 2 2 2" xfId="27" xr:uid="{00000000-0005-0000-0000-00000D000000}"/>
    <cellStyle name="Normal 2 3" xfId="11" xr:uid="{00000000-0005-0000-0000-00000E000000}"/>
    <cellStyle name="Normal 2 3 4" xfId="28" xr:uid="{51BF8C69-C018-4BDF-B2EE-6BA86C6DF812}"/>
    <cellStyle name="Normal 2 4" xfId="12" xr:uid="{00000000-0005-0000-0000-00000F000000}"/>
    <cellStyle name="Normal 3" xfId="13" xr:uid="{00000000-0005-0000-0000-000010000000}"/>
    <cellStyle name="Normal 3 2" xfId="14" xr:uid="{00000000-0005-0000-0000-000011000000}"/>
    <cellStyle name="Normal 3 3" xfId="15" xr:uid="{00000000-0005-0000-0000-000012000000}"/>
    <cellStyle name="Normal 4" xfId="16" xr:uid="{00000000-0005-0000-0000-000013000000}"/>
    <cellStyle name="Normal 5" xfId="17" xr:uid="{00000000-0005-0000-0000-000014000000}"/>
    <cellStyle name="Normal 6" xfId="18" xr:uid="{00000000-0005-0000-0000-000015000000}"/>
    <cellStyle name="Normal 6 2" xfId="19" xr:uid="{00000000-0005-0000-0000-000016000000}"/>
    <cellStyle name="Normal 7" xfId="20" xr:uid="{00000000-0005-0000-0000-000017000000}"/>
    <cellStyle name="Normal 8" xfId="21" xr:uid="{00000000-0005-0000-0000-000018000000}"/>
    <cellStyle name="Normal 9" xfId="22" xr:uid="{00000000-0005-0000-0000-000019000000}"/>
    <cellStyle name="Percent" xfId="25" builtinId="5"/>
    <cellStyle name="Percent 2" xfId="23" xr:uid="{00000000-0005-0000-0000-00001C000000}"/>
    <cellStyle name="Percent 2 2" xfId="24" xr:uid="{00000000-0005-0000-0000-00001D000000}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198438</xdr:colOff>
      <xdr:row>1</xdr:row>
      <xdr:rowOff>82976</xdr:rowOff>
    </xdr:from>
    <xdr:to>
      <xdr:col>4</xdr:col>
      <xdr:colOff>2911907</xdr:colOff>
      <xdr:row>7</xdr:row>
      <xdr:rowOff>232772</xdr:rowOff>
    </xdr:to>
    <xdr:pic>
      <xdr:nvPicPr>
        <xdr:cNvPr id="4" name="Picture 3" descr="Color Key for completing form">
          <a:extLst>
            <a:ext uri="{FF2B5EF4-FFF2-40B4-BE49-F238E27FC236}">
              <a16:creationId xmlns:a16="http://schemas.microsoft.com/office/drawing/2014/main" id="{13C2AD41-AA2D-9A93-CC3B-28780261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09376" y="82976"/>
          <a:ext cx="2713469" cy="1348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urvey.alchemer.com/s3/7888914/Special-Education-Funding-Report" TargetMode="External"/><Relationship Id="rId1" Type="http://schemas.openxmlformats.org/officeDocument/2006/relationships/hyperlink" Target="mailto:melissa.jarmon@k12.wa.us?subject=SpEd%20Funding%20Difference%20Too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52EC-F3EA-4BC0-9E82-FED65BCBCFA7}">
  <sheetPr>
    <tabColor theme="7" tint="0.39997558519241921"/>
    <pageSetUpPr fitToPage="1"/>
  </sheetPr>
  <dimension ref="B1:O50"/>
  <sheetViews>
    <sheetView tabSelected="1" zoomScaleNormal="100" workbookViewId="0">
      <selection activeCell="B1" sqref="B1:O1"/>
    </sheetView>
  </sheetViews>
  <sheetFormatPr defaultRowHeight="15"/>
  <cols>
    <col min="1" max="1" width="4.28515625" customWidth="1"/>
  </cols>
  <sheetData>
    <row r="1" spans="2:15" ht="61.5" customHeight="1">
      <c r="B1" s="222" t="s">
        <v>1491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</row>
    <row r="2" spans="2:15" ht="23.25">
      <c r="B2" s="106" t="s">
        <v>1174</v>
      </c>
    </row>
    <row r="4" spans="2:15">
      <c r="B4" t="s">
        <v>1476</v>
      </c>
    </row>
    <row r="5" spans="2:15">
      <c r="B5" s="119" t="s">
        <v>1178</v>
      </c>
    </row>
    <row r="6" spans="2:15">
      <c r="B6" t="s">
        <v>1471</v>
      </c>
    </row>
    <row r="7" spans="2:15">
      <c r="B7" t="s">
        <v>1177</v>
      </c>
    </row>
    <row r="9" spans="2:15" ht="23.25">
      <c r="B9" s="166" t="s">
        <v>1472</v>
      </c>
      <c r="C9" s="166"/>
      <c r="D9" s="166"/>
      <c r="E9" s="166"/>
      <c r="F9" s="166"/>
      <c r="G9" s="166"/>
      <c r="H9" s="166"/>
      <c r="I9" s="166"/>
    </row>
    <row r="11" spans="2:15">
      <c r="B11" t="s">
        <v>1473</v>
      </c>
    </row>
    <row r="12" spans="2:15">
      <c r="B12" t="s">
        <v>1479</v>
      </c>
    </row>
    <row r="13" spans="2:15">
      <c r="B13" t="s">
        <v>1474</v>
      </c>
    </row>
    <row r="14" spans="2:15">
      <c r="B14" t="s">
        <v>1475</v>
      </c>
    </row>
    <row r="15" spans="2:15">
      <c r="B15" t="s">
        <v>1478</v>
      </c>
    </row>
    <row r="16" spans="2:15">
      <c r="B16" t="s">
        <v>1477</v>
      </c>
    </row>
    <row r="18" spans="2:9" ht="23.25">
      <c r="B18" s="166" t="s">
        <v>1152</v>
      </c>
      <c r="C18" s="166"/>
      <c r="D18" s="166"/>
      <c r="E18" s="166"/>
      <c r="F18" s="166"/>
      <c r="G18" s="166"/>
      <c r="H18" s="166"/>
      <c r="I18" s="166"/>
    </row>
    <row r="20" spans="2:9">
      <c r="B20" t="s">
        <v>1154</v>
      </c>
    </row>
    <row r="21" spans="2:9">
      <c r="B21" t="s">
        <v>1172</v>
      </c>
    </row>
    <row r="23" spans="2:9">
      <c r="B23" s="107" t="s">
        <v>1153</v>
      </c>
      <c r="C23" s="107"/>
      <c r="D23" s="107"/>
      <c r="E23" s="107"/>
      <c r="F23" s="107"/>
      <c r="G23" s="107"/>
      <c r="H23" s="107"/>
    </row>
    <row r="24" spans="2:9">
      <c r="B24" t="s">
        <v>1480</v>
      </c>
    </row>
    <row r="25" spans="2:9">
      <c r="B25" s="8" t="s">
        <v>1159</v>
      </c>
    </row>
    <row r="26" spans="2:9">
      <c r="B26" t="s">
        <v>1157</v>
      </c>
    </row>
    <row r="27" spans="2:9">
      <c r="B27" t="s">
        <v>1158</v>
      </c>
    </row>
    <row r="28" spans="2:9">
      <c r="B28" t="s">
        <v>1161</v>
      </c>
    </row>
    <row r="29" spans="2:9">
      <c r="B29" t="s">
        <v>1164</v>
      </c>
    </row>
    <row r="30" spans="2:9">
      <c r="B30" s="8" t="s">
        <v>1165</v>
      </c>
    </row>
    <row r="32" spans="2:9" ht="23.25">
      <c r="B32" s="166" t="s">
        <v>1155</v>
      </c>
      <c r="C32" s="166"/>
      <c r="D32" s="166"/>
      <c r="E32" s="166"/>
      <c r="F32" s="166"/>
      <c r="G32" s="166"/>
      <c r="H32" s="166"/>
      <c r="I32" s="166"/>
    </row>
    <row r="34" spans="2:8">
      <c r="B34" t="s">
        <v>1166</v>
      </c>
    </row>
    <row r="35" spans="2:8">
      <c r="B35" t="s">
        <v>1162</v>
      </c>
    </row>
    <row r="36" spans="2:8">
      <c r="B36" t="s">
        <v>1156</v>
      </c>
    </row>
    <row r="38" spans="2:8">
      <c r="B38" s="107" t="s">
        <v>1153</v>
      </c>
      <c r="C38" s="107"/>
      <c r="D38" s="107"/>
      <c r="E38" s="107"/>
      <c r="F38" s="107"/>
      <c r="G38" s="107"/>
      <c r="H38" s="107"/>
    </row>
    <row r="39" spans="2:8">
      <c r="B39" t="s">
        <v>1160</v>
      </c>
    </row>
    <row r="40" spans="2:8">
      <c r="B40" t="s">
        <v>1159</v>
      </c>
    </row>
    <row r="41" spans="2:8">
      <c r="B41" t="s">
        <v>1163</v>
      </c>
    </row>
    <row r="42" spans="2:8">
      <c r="B42" t="s">
        <v>1167</v>
      </c>
    </row>
    <row r="43" spans="2:8">
      <c r="B43" t="s">
        <v>1168</v>
      </c>
    </row>
    <row r="44" spans="2:8">
      <c r="B44" t="s">
        <v>1169</v>
      </c>
    </row>
    <row r="45" spans="2:8">
      <c r="B45" t="s">
        <v>1170</v>
      </c>
    </row>
    <row r="46" spans="2:8">
      <c r="B46" s="8" t="s">
        <v>1171</v>
      </c>
    </row>
    <row r="49" spans="2:2">
      <c r="B49" t="s">
        <v>1175</v>
      </c>
    </row>
    <row r="50" spans="2:2">
      <c r="B50" s="119" t="s">
        <v>1176</v>
      </c>
    </row>
  </sheetData>
  <mergeCells count="1">
    <mergeCell ref="B1:O1"/>
  </mergeCells>
  <hyperlinks>
    <hyperlink ref="B50" r:id="rId1" xr:uid="{9C75427E-4B18-4A3B-9E44-8D09CE3BE7A0}"/>
    <hyperlink ref="B5" r:id="rId2" display="https://survey.alchemer.com/s3/7888914/Special-Education-Funding-Report" xr:uid="{9591D1AC-1C67-4AE3-BEBF-F6DFB01415BC}"/>
  </hyperlinks>
  <pageMargins left="0.25" right="0.25" top="0.75" bottom="0.75" header="0.3" footer="0.3"/>
  <pageSetup scale="62" orientation="landscape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S73"/>
  <sheetViews>
    <sheetView zoomScale="90" zoomScaleNormal="90" workbookViewId="0">
      <pane ySplit="2" topLeftCell="A3" activePane="bottomLeft" state="frozen"/>
      <selection sqref="A1:L1"/>
      <selection pane="bottomLeft" sqref="A1:L1"/>
    </sheetView>
  </sheetViews>
  <sheetFormatPr defaultRowHeight="15"/>
  <cols>
    <col min="1" max="1" width="6.28515625" style="2" customWidth="1"/>
    <col min="2" max="2" width="24.5703125" customWidth="1"/>
    <col min="3" max="3" width="23.85546875" customWidth="1"/>
    <col min="4" max="4" width="4.28515625" customWidth="1"/>
    <col min="5" max="5" width="6.28515625" bestFit="1" customWidth="1"/>
    <col min="6" max="6" width="24.140625" customWidth="1"/>
    <col min="7" max="7" width="10.28515625" customWidth="1"/>
    <col min="8" max="8" width="3" customWidth="1"/>
    <col min="9" max="9" width="5.85546875" bestFit="1" customWidth="1"/>
    <col min="10" max="10" width="29" customWidth="1"/>
    <col min="11" max="11" width="13.28515625" bestFit="1" customWidth="1"/>
    <col min="12" max="12" width="3.140625" customWidth="1"/>
    <col min="13" max="13" width="9.28515625" bestFit="1" customWidth="1"/>
    <col min="14" max="14" width="23.85546875" customWidth="1"/>
    <col min="15" max="15" width="13.28515625" bestFit="1" customWidth="1"/>
    <col min="18" max="18" width="13.85546875" bestFit="1" customWidth="1"/>
  </cols>
  <sheetData>
    <row r="1" spans="1:19">
      <c r="B1" s="1" t="s">
        <v>935</v>
      </c>
      <c r="C1" s="1"/>
    </row>
    <row r="2" spans="1:19">
      <c r="B2" s="26" t="s">
        <v>936</v>
      </c>
      <c r="C2" s="26"/>
      <c r="F2" s="224" t="s">
        <v>58</v>
      </c>
      <c r="G2" s="224"/>
      <c r="J2" s="224" t="s">
        <v>59</v>
      </c>
      <c r="K2" s="224"/>
      <c r="N2" s="224" t="s">
        <v>60</v>
      </c>
      <c r="O2" s="224"/>
      <c r="Q2" s="8"/>
    </row>
    <row r="3" spans="1:19">
      <c r="E3" s="2" t="s">
        <v>57</v>
      </c>
      <c r="F3" t="s">
        <v>63</v>
      </c>
      <c r="G3">
        <v>25.23</v>
      </c>
      <c r="I3" s="2" t="s">
        <v>64</v>
      </c>
      <c r="J3" t="s">
        <v>65</v>
      </c>
      <c r="K3">
        <v>0.93600000000000005</v>
      </c>
      <c r="M3" s="2" t="s">
        <v>66</v>
      </c>
      <c r="N3" s="4" t="s">
        <v>67</v>
      </c>
      <c r="O3" s="9">
        <v>0.74529999999999996</v>
      </c>
    </row>
    <row r="4" spans="1:19">
      <c r="E4" s="2" t="s">
        <v>69</v>
      </c>
      <c r="F4" t="s">
        <v>70</v>
      </c>
      <c r="G4">
        <v>0.155</v>
      </c>
      <c r="I4" s="2" t="s">
        <v>71</v>
      </c>
      <c r="J4" t="s">
        <v>72</v>
      </c>
      <c r="K4">
        <v>2.012</v>
      </c>
      <c r="M4" s="2" t="s">
        <v>73</v>
      </c>
      <c r="N4" t="s">
        <v>74</v>
      </c>
      <c r="O4" s="10">
        <f>(((Apport_204A_Old+Apport_203A+Apport_202A)*Apport_557X)*Apport_559X)+Apport_203A</f>
        <v>1.7419121044638792E-2</v>
      </c>
      <c r="Q4" s="11"/>
      <c r="R4" s="11"/>
      <c r="S4" s="11"/>
    </row>
    <row r="5" spans="1:19">
      <c r="A5" s="2" t="s">
        <v>110</v>
      </c>
      <c r="B5" t="s">
        <v>111</v>
      </c>
      <c r="C5">
        <v>4</v>
      </c>
      <c r="E5" s="2" t="s">
        <v>77</v>
      </c>
      <c r="F5" t="s">
        <v>78</v>
      </c>
      <c r="G5">
        <v>400</v>
      </c>
      <c r="I5" s="2" t="s">
        <v>79</v>
      </c>
      <c r="J5" t="s">
        <v>80</v>
      </c>
      <c r="K5">
        <v>1.657</v>
      </c>
      <c r="M5" s="2" t="s">
        <v>81</v>
      </c>
      <c r="N5" t="s">
        <v>82</v>
      </c>
      <c r="O5" s="12">
        <f>ROUND((((Apport_204A+Apport_203A+Apport_202A)*Apport_557X)*Apport_559X)+Apport_203A,6)</f>
        <v>1.8294999999999999E-2</v>
      </c>
    </row>
    <row r="6" spans="1:19">
      <c r="A6" s="2" t="s">
        <v>116</v>
      </c>
      <c r="B6" t="s">
        <v>117</v>
      </c>
      <c r="C6">
        <v>151.86000000000001</v>
      </c>
      <c r="E6" s="2" t="s">
        <v>84</v>
      </c>
      <c r="F6" t="s">
        <v>85</v>
      </c>
      <c r="G6">
        <v>0.66300000000000003</v>
      </c>
      <c r="I6" s="2" t="s">
        <v>86</v>
      </c>
      <c r="J6" t="s">
        <v>87</v>
      </c>
      <c r="K6">
        <v>7.9000000000000001E-2</v>
      </c>
      <c r="O6" s="11"/>
    </row>
    <row r="7" spans="1:19">
      <c r="A7" s="2" t="s">
        <v>120</v>
      </c>
      <c r="B7" t="s">
        <v>121</v>
      </c>
      <c r="C7">
        <v>0.91700000000000004</v>
      </c>
      <c r="E7" s="2" t="s">
        <v>90</v>
      </c>
      <c r="F7" t="s">
        <v>91</v>
      </c>
      <c r="G7" s="28">
        <f>0.66+0.167</f>
        <v>0.82700000000000007</v>
      </c>
      <c r="I7" s="2" t="s">
        <v>92</v>
      </c>
      <c r="J7" t="s">
        <v>93</v>
      </c>
      <c r="K7">
        <v>8.2500000000000004E-2</v>
      </c>
    </row>
    <row r="8" spans="1:19">
      <c r="B8" t="s">
        <v>1045</v>
      </c>
      <c r="C8" s="61">
        <v>2.5999999999999999E-2</v>
      </c>
      <c r="E8" s="2" t="s">
        <v>95</v>
      </c>
      <c r="F8" t="s">
        <v>96</v>
      </c>
      <c r="G8" s="28">
        <f>0.246+0.17</f>
        <v>0.41600000000000004</v>
      </c>
      <c r="I8" s="2" t="s">
        <v>97</v>
      </c>
      <c r="J8" t="s">
        <v>98</v>
      </c>
      <c r="K8">
        <v>1000</v>
      </c>
    </row>
    <row r="9" spans="1:19">
      <c r="B9" t="s">
        <v>1046</v>
      </c>
      <c r="C9" s="61">
        <v>4.4999999999999998E-2</v>
      </c>
      <c r="E9" s="2" t="s">
        <v>99</v>
      </c>
      <c r="F9" t="s">
        <v>100</v>
      </c>
      <c r="G9" s="28">
        <f>0.132+0.09</f>
        <v>0.222</v>
      </c>
      <c r="I9" s="2" t="s">
        <v>101</v>
      </c>
      <c r="J9" t="s">
        <v>102</v>
      </c>
      <c r="K9">
        <v>0.628</v>
      </c>
    </row>
    <row r="10" spans="1:19">
      <c r="A10" s="2" t="s">
        <v>128</v>
      </c>
      <c r="B10" t="s">
        <v>129</v>
      </c>
      <c r="C10" s="50">
        <v>178.98</v>
      </c>
      <c r="E10" s="2" t="s">
        <v>103</v>
      </c>
      <c r="F10" t="s">
        <v>919</v>
      </c>
      <c r="G10" s="28">
        <f>0.046+0.029</f>
        <v>7.4999999999999997E-2</v>
      </c>
      <c r="I10" s="2" t="s">
        <v>104</v>
      </c>
      <c r="J10" t="s">
        <v>105</v>
      </c>
      <c r="K10">
        <v>1.8129999999999999</v>
      </c>
    </row>
    <row r="11" spans="1:19">
      <c r="A11" s="2" t="s">
        <v>132</v>
      </c>
      <c r="B11" t="s">
        <v>133</v>
      </c>
      <c r="C11" s="50">
        <v>416.26</v>
      </c>
      <c r="E11" s="2" t="s">
        <v>106</v>
      </c>
      <c r="F11" s="13" t="s">
        <v>107</v>
      </c>
      <c r="G11" s="14">
        <f>ROUND((Apport_509X+Apport_510X+Apport_511X+Apport_512X+Apport_513X)/Apport_501X,6)</f>
        <v>5.5079999999999999E-3</v>
      </c>
      <c r="I11" s="2" t="s">
        <v>108</v>
      </c>
      <c r="J11" s="4" t="s">
        <v>109</v>
      </c>
      <c r="K11" s="4">
        <v>0.33200000000000002</v>
      </c>
    </row>
    <row r="12" spans="1:19">
      <c r="A12" s="2" t="s">
        <v>136</v>
      </c>
      <c r="B12" t="s">
        <v>914</v>
      </c>
      <c r="C12" s="50">
        <v>164.48</v>
      </c>
      <c r="E12" s="2" t="s">
        <v>112</v>
      </c>
      <c r="F12" t="s">
        <v>113</v>
      </c>
      <c r="G12" s="10">
        <f>((1/Apport_502X_Old)*(1+Apport_Z315))+Apport_201A</f>
        <v>5.1286834720570752E-2</v>
      </c>
      <c r="I12" s="2" t="s">
        <v>114</v>
      </c>
      <c r="J12" t="s">
        <v>115</v>
      </c>
      <c r="K12" s="10">
        <f>((Apport_514X+Apport_515X+Apport_516X+Apport_517X+Apport_518X)/Apport_501X)+((Apport_554X+Apport_555X+Apport_556X)/Apport_553X)</f>
        <v>1.4689249999999999E-2</v>
      </c>
    </row>
    <row r="13" spans="1:19">
      <c r="A13" s="2" t="s">
        <v>980</v>
      </c>
      <c r="B13" t="s">
        <v>974</v>
      </c>
      <c r="C13" s="50">
        <v>22.65</v>
      </c>
      <c r="I13" s="2" t="s">
        <v>118</v>
      </c>
      <c r="J13" s="4" t="s">
        <v>119</v>
      </c>
      <c r="K13" s="4">
        <v>1.2529999999999999</v>
      </c>
    </row>
    <row r="14" spans="1:19">
      <c r="A14" s="2" t="s">
        <v>981</v>
      </c>
      <c r="B14" t="s">
        <v>975</v>
      </c>
      <c r="C14" s="50">
        <v>326.54000000000002</v>
      </c>
      <c r="E14" s="2" t="s">
        <v>57</v>
      </c>
      <c r="F14" t="s">
        <v>122</v>
      </c>
      <c r="G14" s="29">
        <v>17</v>
      </c>
      <c r="I14" s="2" t="s">
        <v>123</v>
      </c>
      <c r="J14" t="s">
        <v>124</v>
      </c>
      <c r="K14" s="10">
        <f>ROUND(Apport_508X/Apport_501X,6)</f>
        <v>3.1329999999999999E-3</v>
      </c>
    </row>
    <row r="15" spans="1:19">
      <c r="A15" s="2" t="s">
        <v>138</v>
      </c>
      <c r="B15" t="s">
        <v>139</v>
      </c>
      <c r="C15" s="50">
        <v>25.44</v>
      </c>
      <c r="E15" s="2" t="s">
        <v>112</v>
      </c>
      <c r="F15" t="s">
        <v>125</v>
      </c>
      <c r="G15" s="12">
        <f>ROUND((IFERROR((1/Apport_502X)*(1+Apport_Z315),0))+Apport_201A,6)</f>
        <v>7.3449E-2</v>
      </c>
      <c r="I15" s="2" t="s">
        <v>126</v>
      </c>
      <c r="J15" t="s">
        <v>127</v>
      </c>
      <c r="K15" s="5">
        <v>5.2999999999999999E-2</v>
      </c>
    </row>
    <row r="16" spans="1:19">
      <c r="A16" s="2" t="s">
        <v>144</v>
      </c>
      <c r="B16" t="s">
        <v>145</v>
      </c>
      <c r="C16" s="50">
        <v>206.22</v>
      </c>
      <c r="E16" s="2"/>
      <c r="G16" s="11"/>
      <c r="I16" s="3" t="s">
        <v>130</v>
      </c>
      <c r="J16" s="4" t="s">
        <v>131</v>
      </c>
      <c r="K16" s="9">
        <v>0.25469999999999998</v>
      </c>
    </row>
    <row r="17" spans="1:18">
      <c r="A17" s="2" t="s">
        <v>152</v>
      </c>
      <c r="B17" t="s">
        <v>153</v>
      </c>
      <c r="C17" s="50">
        <v>142.87</v>
      </c>
      <c r="I17" s="2" t="s">
        <v>134</v>
      </c>
      <c r="J17" t="s">
        <v>135</v>
      </c>
      <c r="K17" s="10">
        <f>(((Apport_204A_Old+Apport_203A+Apport_202A)*Apport_557X)*Apport_558X)+Apport_202A</f>
        <v>4.0659104455514567E-3</v>
      </c>
      <c r="R17" s="6"/>
    </row>
    <row r="18" spans="1:18">
      <c r="A18" s="2" t="s">
        <v>154</v>
      </c>
      <c r="B18" t="s">
        <v>155</v>
      </c>
      <c r="C18" s="27">
        <f>SUM(C10:C17)</f>
        <v>1483.44</v>
      </c>
      <c r="I18" s="2" t="s">
        <v>134</v>
      </c>
      <c r="J18" t="s">
        <v>137</v>
      </c>
      <c r="K18" s="12">
        <f>ROUND((((Apport_204A+Apport_203A+Apport_202A)*Apport_557X)*Apport_558X)+Apport_202A,6)</f>
        <v>4.365E-3</v>
      </c>
      <c r="M18" s="11"/>
      <c r="R18" s="6"/>
    </row>
    <row r="19" spans="1:18">
      <c r="A19" s="2" t="s">
        <v>156</v>
      </c>
      <c r="B19" t="s">
        <v>157</v>
      </c>
      <c r="C19" s="50">
        <v>44.04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R19" s="6"/>
    </row>
    <row r="20" spans="1:18">
      <c r="A20" s="2" t="s">
        <v>162</v>
      </c>
      <c r="B20" t="s">
        <v>163</v>
      </c>
      <c r="C20" s="50">
        <v>0</v>
      </c>
      <c r="E20" s="2" t="s">
        <v>140</v>
      </c>
      <c r="F20" t="s">
        <v>141</v>
      </c>
      <c r="G20">
        <v>27</v>
      </c>
      <c r="I20" s="3" t="s">
        <v>142</v>
      </c>
      <c r="J20" s="4" t="s">
        <v>143</v>
      </c>
      <c r="K20" s="16">
        <f>Apport_222A</f>
        <v>4.8286000000000003E-2</v>
      </c>
      <c r="M20" s="3" t="s">
        <v>142</v>
      </c>
      <c r="N20" s="4" t="s">
        <v>143</v>
      </c>
      <c r="O20" s="4">
        <f>Apport_222A</f>
        <v>4.8286000000000003E-2</v>
      </c>
    </row>
    <row r="21" spans="1:18">
      <c r="A21" s="2" t="s">
        <v>170</v>
      </c>
      <c r="B21" t="s">
        <v>915</v>
      </c>
      <c r="C21" s="50">
        <v>48.06</v>
      </c>
      <c r="E21" s="3" t="s">
        <v>146</v>
      </c>
      <c r="F21" s="4" t="s">
        <v>147</v>
      </c>
      <c r="G21" s="4">
        <v>0.155</v>
      </c>
      <c r="I21" s="2" t="s">
        <v>148</v>
      </c>
      <c r="J21" t="s">
        <v>149</v>
      </c>
      <c r="K21" s="1">
        <f>ROUND((((Apport_222A+Apport_203A+Apport_202A)*Apport_557X)*Apport_558X)+Apport_202A,6)</f>
        <v>4.0249999999999999E-3</v>
      </c>
      <c r="M21" s="2" t="s">
        <v>150</v>
      </c>
      <c r="N21" t="s">
        <v>151</v>
      </c>
      <c r="O21" s="32">
        <f>ROUND((((Apport_222A+Apport_203A+Apport_202A)*Apport_557X)*Apport_559X)+Apport_203A,5)</f>
        <v>1.7299999999999999E-2</v>
      </c>
    </row>
    <row r="22" spans="1:18">
      <c r="A22" s="2" t="s">
        <v>982</v>
      </c>
      <c r="B22" t="s">
        <v>976</v>
      </c>
      <c r="C22" s="50">
        <v>6.05</v>
      </c>
      <c r="E22" s="2" t="s">
        <v>142</v>
      </c>
      <c r="F22" t="s">
        <v>143</v>
      </c>
      <c r="G22" s="10">
        <f>ROUND(((1/Apport_226A)*(1+Apport_Z316))+Apport_201A,6)</f>
        <v>4.8286000000000003E-2</v>
      </c>
    </row>
    <row r="23" spans="1:18">
      <c r="A23" s="2" t="s">
        <v>983</v>
      </c>
      <c r="B23" t="s">
        <v>977</v>
      </c>
      <c r="C23" s="50">
        <v>94.07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</row>
    <row r="24" spans="1:18">
      <c r="A24" s="2" t="s">
        <v>171</v>
      </c>
      <c r="B24" t="s">
        <v>172</v>
      </c>
      <c r="C24" s="50">
        <v>8.01</v>
      </c>
      <c r="E24" s="2" t="s">
        <v>158</v>
      </c>
      <c r="F24" t="s">
        <v>159</v>
      </c>
      <c r="G24">
        <v>27</v>
      </c>
      <c r="I24" s="3" t="s">
        <v>160</v>
      </c>
      <c r="J24" s="4" t="s">
        <v>161</v>
      </c>
      <c r="K24" s="4">
        <f>Apport_210A</f>
        <v>4.8286000000000003E-2</v>
      </c>
      <c r="M24" s="3" t="s">
        <v>160</v>
      </c>
      <c r="N24" s="4" t="s">
        <v>161</v>
      </c>
      <c r="O24" s="4">
        <f>Apport_210A</f>
        <v>4.8286000000000003E-2</v>
      </c>
    </row>
    <row r="25" spans="1:18">
      <c r="A25" s="2" t="s">
        <v>179</v>
      </c>
      <c r="B25" t="s">
        <v>180</v>
      </c>
      <c r="C25" s="50">
        <v>0</v>
      </c>
      <c r="E25" s="3" t="s">
        <v>164</v>
      </c>
      <c r="F25" s="4" t="s">
        <v>165</v>
      </c>
      <c r="G25" s="4">
        <v>0.155</v>
      </c>
      <c r="I25" s="2" t="s">
        <v>166</v>
      </c>
      <c r="J25" t="s">
        <v>167</v>
      </c>
      <c r="K25" s="1">
        <f>ROUND((((Apport_210A+Apport_203A+Apport_202A)*Apport_557X)*Apport_558X)+Apport_202A,6)</f>
        <v>4.0249999999999999E-3</v>
      </c>
      <c r="M25" s="2" t="s">
        <v>168</v>
      </c>
      <c r="N25" t="s">
        <v>169</v>
      </c>
      <c r="O25" s="32">
        <f>ROUND((((Apport_210A+Apport_203A+Apport_202A)*Apport_557X)*Apport_559X)+Apport_203A,5)</f>
        <v>1.7299999999999999E-2</v>
      </c>
    </row>
    <row r="26" spans="1:18">
      <c r="A26" s="2" t="s">
        <v>187</v>
      </c>
      <c r="B26" t="s">
        <v>188</v>
      </c>
      <c r="C26" s="50">
        <v>0</v>
      </c>
      <c r="E26" s="2" t="s">
        <v>160</v>
      </c>
      <c r="F26" t="s">
        <v>161</v>
      </c>
      <c r="G26" s="10">
        <f>ROUND(((1/Apport_504X)*(1+Apport_Z317))+Apport_201A,6)</f>
        <v>4.8286000000000003E-2</v>
      </c>
    </row>
    <row r="27" spans="1:18">
      <c r="A27" s="2" t="s">
        <v>195</v>
      </c>
      <c r="B27" t="s">
        <v>196</v>
      </c>
      <c r="C27" s="27">
        <f>SUM(C19:C26)</f>
        <v>200.22999999999996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</row>
    <row r="28" spans="1:18">
      <c r="A28" s="2" t="s">
        <v>201</v>
      </c>
      <c r="B28" t="s">
        <v>202</v>
      </c>
      <c r="C28" s="50">
        <v>172.47</v>
      </c>
      <c r="E28" s="2" t="s">
        <v>173</v>
      </c>
      <c r="F28" t="s">
        <v>174</v>
      </c>
      <c r="G28">
        <v>28.53</v>
      </c>
      <c r="I28" s="2" t="s">
        <v>175</v>
      </c>
      <c r="J28" t="s">
        <v>176</v>
      </c>
      <c r="K28">
        <v>0.7</v>
      </c>
      <c r="M28" s="2" t="s">
        <v>177</v>
      </c>
      <c r="N28" t="s">
        <v>178</v>
      </c>
      <c r="O28" s="1">
        <f>ROUND((Apport_094A*Apport_557X)*Apport_559X,6)</f>
        <v>2.6090000000000002E-3</v>
      </c>
    </row>
    <row r="29" spans="1:18">
      <c r="A29" s="2" t="s">
        <v>207</v>
      </c>
      <c r="B29" t="s">
        <v>208</v>
      </c>
      <c r="C29" s="50">
        <v>500.13</v>
      </c>
      <c r="E29" s="2" t="s">
        <v>181</v>
      </c>
      <c r="F29" t="s">
        <v>182</v>
      </c>
      <c r="G29">
        <v>0.2</v>
      </c>
      <c r="I29" s="2" t="s">
        <v>183</v>
      </c>
      <c r="J29" t="s">
        <v>184</v>
      </c>
      <c r="K29">
        <v>2.3250000000000002</v>
      </c>
      <c r="M29" s="3" t="s">
        <v>185</v>
      </c>
      <c r="N29" s="4" t="s">
        <v>186</v>
      </c>
      <c r="O29" s="17">
        <f>ROUND(((Apport_530X+Apport_531X+Apport_532X+Apport_533X+Apport_534X)/Apport_519X)+((Apport_554X+Apport_555X+Apport_556X)/Apport_553X),6)</f>
        <v>1.4484E-2</v>
      </c>
    </row>
    <row r="30" spans="1:18">
      <c r="A30" s="2" t="s">
        <v>213</v>
      </c>
      <c r="B30" t="s">
        <v>916</v>
      </c>
      <c r="C30" s="50">
        <v>189.7</v>
      </c>
      <c r="E30" s="2" t="s">
        <v>189</v>
      </c>
      <c r="F30" t="s">
        <v>190</v>
      </c>
      <c r="G30">
        <v>432</v>
      </c>
      <c r="I30" s="2" t="s">
        <v>191</v>
      </c>
      <c r="J30" t="s">
        <v>192</v>
      </c>
      <c r="K30">
        <v>1.9419999999999999</v>
      </c>
      <c r="M30" s="2" t="s">
        <v>193</v>
      </c>
      <c r="N30" t="s">
        <v>194</v>
      </c>
      <c r="O30" s="1">
        <f>ROUND(Apport_096A+Apport_098A,6)</f>
        <v>1.7093000000000001E-2</v>
      </c>
    </row>
    <row r="31" spans="1:18">
      <c r="A31" s="2" t="s">
        <v>984</v>
      </c>
      <c r="B31" t="s">
        <v>978</v>
      </c>
      <c r="C31" s="50">
        <v>34.49</v>
      </c>
      <c r="E31" s="2" t="s">
        <v>197</v>
      </c>
      <c r="F31" t="s">
        <v>198</v>
      </c>
      <c r="G31">
        <v>0.51900000000000002</v>
      </c>
      <c r="I31" s="2" t="s">
        <v>199</v>
      </c>
      <c r="J31" t="s">
        <v>200</v>
      </c>
      <c r="K31">
        <v>9.1999999999999998E-2</v>
      </c>
    </row>
    <row r="32" spans="1:18">
      <c r="A32" s="2" t="s">
        <v>985</v>
      </c>
      <c r="B32" t="s">
        <v>979</v>
      </c>
      <c r="C32" s="50">
        <v>379.41</v>
      </c>
      <c r="E32" s="2" t="s">
        <v>203</v>
      </c>
      <c r="F32" t="s">
        <v>204</v>
      </c>
      <c r="G32" s="28">
        <f>1.383+0.167</f>
        <v>1.55</v>
      </c>
      <c r="I32" s="2" t="s">
        <v>205</v>
      </c>
      <c r="J32" s="4" t="s">
        <v>206</v>
      </c>
      <c r="K32" s="4">
        <v>0</v>
      </c>
    </row>
    <row r="33" spans="1:15">
      <c r="A33" s="2" t="s">
        <v>222</v>
      </c>
      <c r="B33" t="s">
        <v>223</v>
      </c>
      <c r="C33" s="50">
        <v>34.49</v>
      </c>
      <c r="E33" s="2" t="s">
        <v>209</v>
      </c>
      <c r="F33" t="s">
        <v>210</v>
      </c>
      <c r="G33" s="28">
        <f>0.336+0.276</f>
        <v>0.6120000000000001</v>
      </c>
      <c r="I33" s="2" t="s">
        <v>211</v>
      </c>
      <c r="J33" t="s">
        <v>212</v>
      </c>
      <c r="K33" s="1">
        <f>ROUND(((1/Apport_520X)*(1+Apport_Z318))+((Apport_524X+Apport_525X+Apport_526X+Apport_527X+Apport_528X+Apport_529X+Apport_530X+Apport_531X+Apport_532X+Apport_533X+Apport_534X)/Apport_519X)+((Apport_554X+Apport_555X+Apport_556X)/Apport_553X),6)</f>
        <v>6.6059000000000007E-2</v>
      </c>
    </row>
    <row r="34" spans="1:15">
      <c r="A34" s="2" t="s">
        <v>228</v>
      </c>
      <c r="B34" t="s">
        <v>1001</v>
      </c>
      <c r="C34" s="50">
        <v>241.46</v>
      </c>
      <c r="E34" s="2" t="s">
        <v>214</v>
      </c>
      <c r="F34" t="s">
        <v>215</v>
      </c>
      <c r="G34" s="28">
        <f>0.033+0.027</f>
        <v>0.06</v>
      </c>
      <c r="I34" s="2" t="s">
        <v>216</v>
      </c>
      <c r="J34" t="s">
        <v>217</v>
      </c>
      <c r="K34" s="1">
        <f>ROUND((Apport_094A*Apport_557X)*Apport_558X,6)</f>
        <v>8.92E-4</v>
      </c>
    </row>
    <row r="35" spans="1:15">
      <c r="A35" s="2" t="s">
        <v>231</v>
      </c>
      <c r="B35" t="s">
        <v>232</v>
      </c>
      <c r="C35" s="50">
        <v>172.47</v>
      </c>
      <c r="E35" s="3" t="s">
        <v>218</v>
      </c>
      <c r="F35" s="4" t="s">
        <v>219</v>
      </c>
      <c r="G35" s="44">
        <f>0.009+0.007</f>
        <v>1.6E-2</v>
      </c>
      <c r="I35" s="2" t="s">
        <v>220</v>
      </c>
      <c r="J35" s="4" t="s">
        <v>221</v>
      </c>
      <c r="K35" s="4">
        <v>1.353</v>
      </c>
    </row>
    <row r="36" spans="1:15">
      <c r="B36" t="s">
        <v>233</v>
      </c>
      <c r="C36" s="27">
        <f>SUM(C28:C35)</f>
        <v>1724.6200000000001</v>
      </c>
      <c r="E36" s="2" t="s">
        <v>224</v>
      </c>
      <c r="F36" t="s">
        <v>225</v>
      </c>
      <c r="G36" s="10">
        <f>ROUND(((1/Apport_520X)*(1+Apport_Z318))+((Apport_525X+Apport_526X+Apport_527X+Apport_528X+Apport_529X)/Apport_519X),6)</f>
        <v>4.8443E-2</v>
      </c>
      <c r="I36" s="2" t="s">
        <v>226</v>
      </c>
      <c r="J36" t="s">
        <v>227</v>
      </c>
      <c r="K36" s="1">
        <f>ROUND(Apport_524X/Apport_519X,6)</f>
        <v>3.1319999999999998E-3</v>
      </c>
    </row>
    <row r="37" spans="1:15">
      <c r="A37" s="2" t="s">
        <v>921</v>
      </c>
      <c r="B37" t="s">
        <v>923</v>
      </c>
      <c r="C37" s="50">
        <v>172.47</v>
      </c>
      <c r="I37" s="2" t="s">
        <v>229</v>
      </c>
      <c r="J37" t="s">
        <v>230</v>
      </c>
      <c r="K37" s="1">
        <f>ROUND(Apport_095A+Apport_097A,6)</f>
        <v>4.0239999999999998E-3</v>
      </c>
    </row>
    <row r="38" spans="1:15">
      <c r="A38" s="2" t="s">
        <v>922</v>
      </c>
      <c r="B38" t="s">
        <v>926</v>
      </c>
      <c r="C38" s="50">
        <v>500.13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</row>
    <row r="39" spans="1:15">
      <c r="A39" s="2" t="s">
        <v>925</v>
      </c>
      <c r="B39" t="s">
        <v>998</v>
      </c>
      <c r="C39" s="50">
        <v>189.7</v>
      </c>
      <c r="E39" s="2" t="s">
        <v>234</v>
      </c>
      <c r="F39" t="s">
        <v>235</v>
      </c>
      <c r="G39">
        <v>19.98</v>
      </c>
      <c r="I39" s="2" t="s">
        <v>236</v>
      </c>
      <c r="J39" t="s">
        <v>237</v>
      </c>
      <c r="K39">
        <v>1.88</v>
      </c>
      <c r="M39" s="2" t="s">
        <v>238</v>
      </c>
      <c r="N39" t="s">
        <v>239</v>
      </c>
      <c r="O39" s="18">
        <f>(Apport_089A*Apport_557X)*Apport_559X</f>
        <v>2.6761166028243829E-3</v>
      </c>
    </row>
    <row r="40" spans="1:15">
      <c r="A40" s="2" t="s">
        <v>986</v>
      </c>
      <c r="B40" t="s">
        <v>988</v>
      </c>
      <c r="C40" s="50">
        <v>34.49</v>
      </c>
      <c r="E40" s="2" t="s">
        <v>240</v>
      </c>
      <c r="F40" t="s">
        <v>241</v>
      </c>
      <c r="G40">
        <v>28.74</v>
      </c>
      <c r="I40" s="2" t="s">
        <v>242</v>
      </c>
      <c r="J40" t="s">
        <v>243</v>
      </c>
      <c r="K40">
        <v>0.65200000000000002</v>
      </c>
      <c r="M40" s="2" t="s">
        <v>244</v>
      </c>
      <c r="N40" t="s">
        <v>245</v>
      </c>
      <c r="O40" s="11">
        <f>((Apport_548X+Apport_549X+Apport_550X+Apport_551X+Apport_552X)/Apport_535X)+((Apport_554X+Apport_555X+Apport_556X)/Apport_553X)</f>
        <v>1.4484666666666667E-2</v>
      </c>
    </row>
    <row r="41" spans="1:15" ht="15.75" thickBot="1">
      <c r="A41" s="2" t="s">
        <v>987</v>
      </c>
      <c r="B41" t="s">
        <v>989</v>
      </c>
      <c r="C41" s="50">
        <v>379.41</v>
      </c>
      <c r="E41" s="2" t="s">
        <v>246</v>
      </c>
      <c r="F41" t="s">
        <v>247</v>
      </c>
      <c r="G41">
        <v>8.3299999999999999E-2</v>
      </c>
      <c r="I41" s="2" t="s">
        <v>248</v>
      </c>
      <c r="J41" t="s">
        <v>249</v>
      </c>
      <c r="K41">
        <v>3.2690000000000001</v>
      </c>
      <c r="M41" s="19" t="s">
        <v>250</v>
      </c>
      <c r="N41" s="20" t="s">
        <v>251</v>
      </c>
      <c r="O41" s="21">
        <f>ROUND(O39+O40,6)</f>
        <v>1.7160999999999999E-2</v>
      </c>
    </row>
    <row r="42" spans="1:15" ht="15.75" thickTop="1">
      <c r="A42" s="2" t="s">
        <v>927</v>
      </c>
      <c r="B42" t="s">
        <v>928</v>
      </c>
      <c r="C42" s="50">
        <v>34.49</v>
      </c>
      <c r="E42" s="2" t="s">
        <v>252</v>
      </c>
      <c r="F42" t="s">
        <v>253</v>
      </c>
      <c r="G42">
        <v>0.2</v>
      </c>
      <c r="I42" s="2" t="s">
        <v>254</v>
      </c>
      <c r="J42" t="s">
        <v>255</v>
      </c>
      <c r="K42">
        <v>2.9649999999999999</v>
      </c>
    </row>
    <row r="43" spans="1:15">
      <c r="A43" s="2" t="s">
        <v>924</v>
      </c>
      <c r="B43" t="s">
        <v>1002</v>
      </c>
      <c r="C43" s="50">
        <v>241.46</v>
      </c>
      <c r="E43" s="2" t="s">
        <v>256</v>
      </c>
      <c r="F43" t="s">
        <v>257</v>
      </c>
      <c r="G43">
        <v>600</v>
      </c>
      <c r="I43" s="2" t="s">
        <v>258</v>
      </c>
      <c r="J43" t="s">
        <v>259</v>
      </c>
      <c r="K43">
        <v>0.14099999999999999</v>
      </c>
      <c r="M43" s="2"/>
    </row>
    <row r="44" spans="1:15">
      <c r="A44" s="2" t="s">
        <v>929</v>
      </c>
      <c r="B44" t="s">
        <v>930</v>
      </c>
      <c r="C44" s="50">
        <v>172.47</v>
      </c>
      <c r="E44" s="2" t="s">
        <v>260</v>
      </c>
      <c r="F44" t="s">
        <v>261</v>
      </c>
      <c r="G44">
        <v>0.52300000000000002</v>
      </c>
      <c r="I44" s="2" t="s">
        <v>262</v>
      </c>
      <c r="J44" t="s">
        <v>263</v>
      </c>
      <c r="K44">
        <v>0</v>
      </c>
      <c r="M44" s="2"/>
    </row>
    <row r="45" spans="1:15">
      <c r="B45" t="s">
        <v>931</v>
      </c>
      <c r="C45" s="27">
        <f>SUM(C37:C44)</f>
        <v>1724.6200000000001</v>
      </c>
      <c r="E45" s="2" t="s">
        <v>264</v>
      </c>
      <c r="F45" t="s">
        <v>265</v>
      </c>
      <c r="G45" s="28">
        <f>2.706+0.176</f>
        <v>2.8820000000000001</v>
      </c>
      <c r="I45" s="2" t="s">
        <v>266</v>
      </c>
      <c r="J45" t="s">
        <v>267</v>
      </c>
      <c r="K45" s="22">
        <f>((((1/Apport_540X-1/Apport_536X)*Apport_541X)+(1/Apport_536X))*(1+Apport_Z319))+((Apport_542X+Apport_543X+Apport_544X+Apport_545X+Apport_546X+Apport_547X+Apport_548X+Apport_549X+Apport_550X+Apport_551X+Apport_552X)/Apport_535X)+((Apport_554X+Apport_555X+Apport_556X)/Apport_553X)</f>
        <v>6.774824378240453E-2</v>
      </c>
      <c r="M45" s="2"/>
    </row>
    <row r="46" spans="1:15">
      <c r="E46" s="2" t="s">
        <v>268</v>
      </c>
      <c r="F46" t="s">
        <v>269</v>
      </c>
      <c r="G46" s="28">
        <f>0.339+0.243</f>
        <v>0.58200000000000007</v>
      </c>
      <c r="I46" s="2" t="s">
        <v>270</v>
      </c>
      <c r="J46" t="s">
        <v>271</v>
      </c>
      <c r="K46" s="22">
        <f>(Apport_089A*Apport_557X)*Apport_558X</f>
        <v>9.1454031764305686E-4</v>
      </c>
    </row>
    <row r="47" spans="1:15">
      <c r="A47" s="2" t="s">
        <v>281</v>
      </c>
      <c r="B47" t="s">
        <v>282</v>
      </c>
      <c r="C47" s="51">
        <f>ROUND(1026*12,0)</f>
        <v>12312</v>
      </c>
      <c r="E47" s="2" t="s">
        <v>272</v>
      </c>
      <c r="F47" t="s">
        <v>273</v>
      </c>
      <c r="G47" s="28">
        <f>0.052+0.037</f>
        <v>8.8999999999999996E-2</v>
      </c>
      <c r="I47" s="2" t="s">
        <v>274</v>
      </c>
      <c r="J47" t="s">
        <v>275</v>
      </c>
      <c r="K47" s="11">
        <f>Apport_542X/Apport_535X</f>
        <v>3.133333333333333E-3</v>
      </c>
      <c r="M47" s="2"/>
    </row>
    <row r="48" spans="1:15" ht="15.75" thickBot="1">
      <c r="A48" s="2" t="s">
        <v>1005</v>
      </c>
      <c r="B48" t="s">
        <v>283</v>
      </c>
      <c r="C48" s="51">
        <f>ROUND(1100*12,0)</f>
        <v>13200</v>
      </c>
      <c r="E48" s="3" t="s">
        <v>276</v>
      </c>
      <c r="F48" s="4" t="s">
        <v>917</v>
      </c>
      <c r="G48" s="44">
        <f>0.021+0.014</f>
        <v>3.5000000000000003E-2</v>
      </c>
      <c r="I48" s="19" t="s">
        <v>277</v>
      </c>
      <c r="J48" s="20" t="s">
        <v>278</v>
      </c>
      <c r="K48" s="21">
        <f>ROUND(Apport_090A+Apport_092A,6)</f>
        <v>4.0480000000000004E-3</v>
      </c>
      <c r="M48" s="2"/>
    </row>
    <row r="49" spans="1:15" ht="13.5" customHeight="1" thickTop="1">
      <c r="A49" s="2" t="s">
        <v>1003</v>
      </c>
      <c r="B49" t="s">
        <v>1004</v>
      </c>
      <c r="C49">
        <v>1.02</v>
      </c>
      <c r="E49" s="2" t="s">
        <v>279</v>
      </c>
      <c r="F49" t="s">
        <v>280</v>
      </c>
      <c r="G49" s="10">
        <f>ROUND(((((1/Apport_540X-1/Apport_536X)*Apport_541X)+(1/Apport_536X))*(1+Apport_Z319))+((Apport_543X+Apport_544X+Apport_545X+Apport_546X+Apport_547X)/Apport_535X),6)</f>
        <v>5.0130000000000001E-2</v>
      </c>
      <c r="M49" s="2"/>
    </row>
    <row r="50" spans="1:15">
      <c r="A50" s="2" t="s">
        <v>284</v>
      </c>
      <c r="B50" t="s">
        <v>285</v>
      </c>
      <c r="C50">
        <v>1.43</v>
      </c>
      <c r="D50" s="15" t="s">
        <v>937</v>
      </c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</row>
    <row r="51" spans="1:15">
      <c r="A51" s="2" t="s">
        <v>286</v>
      </c>
      <c r="B51" t="s">
        <v>1006</v>
      </c>
      <c r="C51" s="28">
        <v>0.1797</v>
      </c>
      <c r="E51" s="2" t="s">
        <v>61</v>
      </c>
      <c r="F51" t="s">
        <v>62</v>
      </c>
      <c r="G51">
        <v>23</v>
      </c>
      <c r="I51" s="2" t="s">
        <v>226</v>
      </c>
      <c r="J51" t="s">
        <v>227</v>
      </c>
      <c r="K51" s="10">
        <f>ROUND(Apport_524X/Apport_519X,6)</f>
        <v>3.1319999999999998E-3</v>
      </c>
      <c r="M51" s="2" t="s">
        <v>177</v>
      </c>
      <c r="N51" t="s">
        <v>178</v>
      </c>
      <c r="O51" s="1">
        <f>ROUND((Apport_094A*Apport_557X)*Apport_559X,6)</f>
        <v>2.6090000000000002E-3</v>
      </c>
    </row>
    <row r="52" spans="1:15">
      <c r="A52" s="2" t="s">
        <v>287</v>
      </c>
      <c r="B52" t="s">
        <v>918</v>
      </c>
      <c r="C52" s="28">
        <v>0.17330000000000001</v>
      </c>
      <c r="E52" s="2"/>
      <c r="F52" t="s">
        <v>68</v>
      </c>
      <c r="G52">
        <v>0.2</v>
      </c>
      <c r="I52" s="2" t="s">
        <v>938</v>
      </c>
      <c r="J52" s="4" t="s">
        <v>939</v>
      </c>
      <c r="K52" s="4">
        <v>2.5000000000000001E-2</v>
      </c>
      <c r="M52" s="2" t="s">
        <v>185</v>
      </c>
      <c r="N52" t="s">
        <v>186</v>
      </c>
      <c r="O52" s="1">
        <f>ROUND(((Apport_530X+Apport_531X+Apport_532X+Apport_533X+Apport_534X)/Apport_519X)+((Apport_554X+Apport_555X+Apport_556X)/Apport_553X),6)</f>
        <v>1.4484E-2</v>
      </c>
    </row>
    <row r="53" spans="1:15" ht="15.75" thickBot="1">
      <c r="A53" s="2" t="s">
        <v>288</v>
      </c>
      <c r="B53" t="s">
        <v>289</v>
      </c>
      <c r="C53" s="28">
        <v>0.22059999999999999</v>
      </c>
      <c r="E53" s="2" t="s">
        <v>940</v>
      </c>
      <c r="F53" t="s">
        <v>941</v>
      </c>
      <c r="G53">
        <v>1000</v>
      </c>
      <c r="J53" t="s">
        <v>942</v>
      </c>
      <c r="K53" s="10">
        <f>ROUND(K51*(1+K52),6)</f>
        <v>3.2100000000000002E-3</v>
      </c>
      <c r="M53" s="19"/>
      <c r="N53" s="20" t="s">
        <v>943</v>
      </c>
      <c r="O53" s="21">
        <f>ROUND(O51+O52,6)</f>
        <v>1.7093000000000001E-2</v>
      </c>
    </row>
    <row r="54" spans="1:15" ht="15.75" thickTop="1">
      <c r="A54" s="2" t="s">
        <v>290</v>
      </c>
      <c r="B54" t="s">
        <v>291</v>
      </c>
      <c r="C54" s="28">
        <v>0.18559999999999999</v>
      </c>
      <c r="E54" s="3" t="s">
        <v>944</v>
      </c>
      <c r="F54" s="4" t="s">
        <v>945</v>
      </c>
      <c r="G54" s="44">
        <f>ROUND(2.024+(($G$45-1.909)/600*1000),2)</f>
        <v>3.65</v>
      </c>
      <c r="I54" s="2" t="s">
        <v>216</v>
      </c>
      <c r="J54" t="s">
        <v>217</v>
      </c>
      <c r="K54" s="10">
        <f>ROUND((Apport_094A*Apport_557X)*Apport_558X,6)</f>
        <v>8.92E-4</v>
      </c>
    </row>
    <row r="55" spans="1:15">
      <c r="F55" t="s">
        <v>946</v>
      </c>
      <c r="G55" s="10">
        <f>ROUND(((1/Apport_561X)*(1+CTE_9_12_Class_Size))+((G54)/G53),6)</f>
        <v>5.5823999999999999E-2</v>
      </c>
      <c r="I55" s="2" t="s">
        <v>947</v>
      </c>
      <c r="J55" s="4" t="s">
        <v>948</v>
      </c>
      <c r="K55" s="4">
        <v>0.1211</v>
      </c>
    </row>
    <row r="56" spans="1:15">
      <c r="A56" s="2" t="s">
        <v>1026</v>
      </c>
      <c r="B56" t="s">
        <v>1025</v>
      </c>
      <c r="C56">
        <v>3</v>
      </c>
      <c r="I56" s="4"/>
      <c r="J56" s="4" t="s">
        <v>949</v>
      </c>
      <c r="K56" s="31">
        <f>ROUND(K54*(1+K55),6)</f>
        <v>1E-3</v>
      </c>
    </row>
    <row r="57" spans="1:15">
      <c r="A57" s="2" t="s">
        <v>1027</v>
      </c>
      <c r="B57" t="s">
        <v>1028</v>
      </c>
      <c r="C57">
        <v>180</v>
      </c>
      <c r="J57" t="s">
        <v>950</v>
      </c>
      <c r="K57" s="10">
        <f>ROUND(K53+K56,6)</f>
        <v>4.2100000000000002E-3</v>
      </c>
    </row>
    <row r="58" spans="1:15">
      <c r="D58" s="15" t="s">
        <v>951</v>
      </c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</row>
    <row r="59" spans="1:15">
      <c r="A59" s="2" t="s">
        <v>1037</v>
      </c>
      <c r="B59" t="s">
        <v>1038</v>
      </c>
      <c r="C59" s="30">
        <v>72728</v>
      </c>
      <c r="E59" s="2" t="s">
        <v>75</v>
      </c>
      <c r="F59" t="s">
        <v>76</v>
      </c>
      <c r="G59">
        <v>23</v>
      </c>
      <c r="I59" s="2" t="s">
        <v>274</v>
      </c>
      <c r="J59" t="s">
        <v>275</v>
      </c>
      <c r="K59" s="11">
        <f>Apport_542X/Apport_535X</f>
        <v>3.133333333333333E-3</v>
      </c>
      <c r="M59" s="2" t="s">
        <v>238</v>
      </c>
      <c r="N59" t="s">
        <v>239</v>
      </c>
      <c r="O59" s="18">
        <f>(Apport_089A*Apport_557X)*Apport_559X</f>
        <v>2.6761166028243829E-3</v>
      </c>
    </row>
    <row r="60" spans="1:15">
      <c r="A60" s="2" t="s">
        <v>1039</v>
      </c>
      <c r="B60" t="s">
        <v>1040</v>
      </c>
      <c r="C60" s="30">
        <v>75419</v>
      </c>
      <c r="E60" s="2"/>
      <c r="F60" t="s">
        <v>83</v>
      </c>
      <c r="G60">
        <v>0.2</v>
      </c>
      <c r="I60" s="2" t="s">
        <v>938</v>
      </c>
      <c r="J60" s="4" t="s">
        <v>939</v>
      </c>
      <c r="K60" s="4">
        <v>2.5000000000000001E-2</v>
      </c>
      <c r="M60" s="2" t="s">
        <v>244</v>
      </c>
      <c r="N60" t="s">
        <v>245</v>
      </c>
      <c r="O60" s="11">
        <f>((Apport_548X+Apport_549X+Apport_550X+Apport_551X+Apport_552X)/Apport_535X)+((Apport_554X+Apport_555X+Apport_556X)/Apport_553X)</f>
        <v>1.4484666666666667E-2</v>
      </c>
    </row>
    <row r="61" spans="1:15" ht="15.75" thickBot="1">
      <c r="A61" s="2" t="s">
        <v>53</v>
      </c>
      <c r="B61" t="s">
        <v>1041</v>
      </c>
      <c r="C61" s="30">
        <v>107955</v>
      </c>
      <c r="E61" s="2" t="s">
        <v>952</v>
      </c>
      <c r="F61" t="s">
        <v>953</v>
      </c>
      <c r="G61">
        <v>1000</v>
      </c>
      <c r="J61" t="s">
        <v>954</v>
      </c>
      <c r="K61" s="10">
        <f>ROUND(K59*(1+K60),6)</f>
        <v>3.212E-3</v>
      </c>
      <c r="M61" s="19" t="s">
        <v>250</v>
      </c>
      <c r="N61" s="20" t="s">
        <v>955</v>
      </c>
      <c r="O61" s="21">
        <f>ROUND(O59+O60,6)</f>
        <v>1.7160999999999999E-2</v>
      </c>
    </row>
    <row r="62" spans="1:15" ht="15.75" thickTop="1">
      <c r="A62" s="2" t="s">
        <v>54</v>
      </c>
      <c r="B62" t="s">
        <v>1042</v>
      </c>
      <c r="C62" s="30">
        <v>111950</v>
      </c>
      <c r="E62" s="3" t="s">
        <v>956</v>
      </c>
      <c r="F62" s="4" t="s">
        <v>957</v>
      </c>
      <c r="G62" s="44">
        <f>ROUND(2.024+(($G$45-1.909)/600*1000),2)</f>
        <v>3.65</v>
      </c>
      <c r="I62" s="2" t="s">
        <v>270</v>
      </c>
      <c r="J62" t="s">
        <v>271</v>
      </c>
      <c r="K62" s="22">
        <f>(Apport_089A*Apport_557X)*Apport_558X</f>
        <v>9.1454031764305686E-4</v>
      </c>
    </row>
    <row r="63" spans="1:15">
      <c r="A63" s="2" t="s">
        <v>55</v>
      </c>
      <c r="B63" t="s">
        <v>1043</v>
      </c>
      <c r="C63" s="30">
        <v>52173</v>
      </c>
      <c r="F63" t="s">
        <v>958</v>
      </c>
      <c r="G63" s="10">
        <f>ROUND(((1/Apport_565X)*(1+CTE_Planning))+((G62)/G61),6)</f>
        <v>5.5823999999999999E-2</v>
      </c>
      <c r="I63" s="2" t="s">
        <v>947</v>
      </c>
      <c r="J63" s="4" t="s">
        <v>948</v>
      </c>
      <c r="K63" s="4">
        <v>0.1211</v>
      </c>
    </row>
    <row r="64" spans="1:15">
      <c r="A64" s="2" t="s">
        <v>56</v>
      </c>
      <c r="B64" t="s">
        <v>1044</v>
      </c>
      <c r="C64" s="30">
        <v>54103</v>
      </c>
      <c r="I64" s="4"/>
      <c r="J64" s="4" t="s">
        <v>959</v>
      </c>
      <c r="K64" s="31">
        <f>ROUND(K62*(1+K63),6)</f>
        <v>1.0250000000000001E-3</v>
      </c>
    </row>
    <row r="65" spans="4:15">
      <c r="J65" t="s">
        <v>960</v>
      </c>
      <c r="K65" s="10">
        <f>ROUND(K61+K64,6)</f>
        <v>4.2370000000000003E-3</v>
      </c>
    </row>
    <row r="66" spans="4:15">
      <c r="D66" s="15" t="s">
        <v>961</v>
      </c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</row>
    <row r="67" spans="4:15">
      <c r="E67" s="2" t="s">
        <v>88</v>
      </c>
      <c r="F67" t="s">
        <v>89</v>
      </c>
      <c r="G67">
        <v>19</v>
      </c>
      <c r="I67" s="2" t="s">
        <v>274</v>
      </c>
      <c r="J67" t="s">
        <v>275</v>
      </c>
      <c r="K67" s="11">
        <f>Apport_542X/Apport_535X</f>
        <v>3.133333333333333E-3</v>
      </c>
      <c r="M67" s="2" t="s">
        <v>238</v>
      </c>
      <c r="N67" t="s">
        <v>239</v>
      </c>
      <c r="O67" s="18">
        <f>(Apport_089A*Apport_557X)*Apport_559X</f>
        <v>2.6761166028243829E-3</v>
      </c>
    </row>
    <row r="68" spans="4:15">
      <c r="E68" s="2"/>
      <c r="F68" t="s">
        <v>94</v>
      </c>
      <c r="G68">
        <v>0.2</v>
      </c>
      <c r="I68" s="2" t="s">
        <v>962</v>
      </c>
      <c r="J68" t="s">
        <v>963</v>
      </c>
      <c r="K68">
        <v>0.19800000000000001</v>
      </c>
      <c r="M68" s="2" t="s">
        <v>244</v>
      </c>
      <c r="N68" t="s">
        <v>245</v>
      </c>
      <c r="O68" s="11">
        <f>((Apport_548X+Apport_549X+Apport_550X+Apport_551X+Apport_552X)/Apport_535X)+((Apport_554X+Apport_555X+Apport_556X)/Apport_553X)</f>
        <v>1.4484666666666667E-2</v>
      </c>
    </row>
    <row r="69" spans="4:15" ht="15.75" thickBot="1">
      <c r="E69" s="2" t="s">
        <v>964</v>
      </c>
      <c r="F69" t="s">
        <v>965</v>
      </c>
      <c r="G69">
        <v>1000</v>
      </c>
      <c r="J69" t="s">
        <v>966</v>
      </c>
      <c r="K69" s="10">
        <f>ROUND(K67*(1+K68),6)</f>
        <v>3.754E-3</v>
      </c>
      <c r="M69" s="19" t="s">
        <v>250</v>
      </c>
      <c r="N69" s="20" t="s">
        <v>955</v>
      </c>
      <c r="O69" s="21">
        <f>ROUND(O67+O68,6)</f>
        <v>1.7160999999999999E-2</v>
      </c>
    </row>
    <row r="70" spans="4:15" ht="15.75" thickTop="1">
      <c r="E70" s="2" t="s">
        <v>967</v>
      </c>
      <c r="F70" t="s">
        <v>968</v>
      </c>
      <c r="G70" s="44">
        <f>ROUND(2.363+(($G$45-1.909)/600*1000),2)</f>
        <v>3.98</v>
      </c>
      <c r="I70" s="2" t="s">
        <v>270</v>
      </c>
      <c r="J70" t="s">
        <v>271</v>
      </c>
      <c r="K70" s="22">
        <f>(Apport_089A*Apport_557X)*Apport_558X</f>
        <v>9.1454031764305686E-4</v>
      </c>
    </row>
    <row r="71" spans="4:15">
      <c r="F71" t="s">
        <v>969</v>
      </c>
      <c r="G71" s="10">
        <f>ROUND(((1/Apport_573X)*(1+G68))+((G70)/G69),6)</f>
        <v>6.7138000000000003E-2</v>
      </c>
      <c r="I71" s="2" t="s">
        <v>970</v>
      </c>
      <c r="J71" t="s">
        <v>971</v>
      </c>
      <c r="K71">
        <v>0.17419999999999999</v>
      </c>
    </row>
    <row r="72" spans="4:15">
      <c r="I72" s="4"/>
      <c r="J72" s="4" t="s">
        <v>972</v>
      </c>
      <c r="K72" s="31">
        <f>ROUND(K70*(1+K71),6)</f>
        <v>1.0740000000000001E-3</v>
      </c>
    </row>
    <row r="73" spans="4:15">
      <c r="J73" t="s">
        <v>973</v>
      </c>
      <c r="K73" s="10">
        <f>ROUND(K69+K72,6)</f>
        <v>4.8279999999999998E-3</v>
      </c>
    </row>
  </sheetData>
  <mergeCells count="3">
    <mergeCell ref="F2:G2"/>
    <mergeCell ref="J2:K2"/>
    <mergeCell ref="N2:O2"/>
  </mergeCells>
  <pageMargins left="0.7" right="0.7" top="0.75" bottom="0.75" header="0.3" footer="0.3"/>
  <pageSetup scale="77" orientation="portrait" r:id="rId1"/>
  <colBreaks count="1" manualBreakCount="1">
    <brk id="8" max="6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7E321-DF7C-4A67-A53A-45B9E23CB139}">
  <dimension ref="A1:S73"/>
  <sheetViews>
    <sheetView zoomScale="90" zoomScaleNormal="90" workbookViewId="0">
      <pane ySplit="2" topLeftCell="A3" activePane="bottomLeft" state="frozen"/>
      <selection sqref="A1:L1"/>
      <selection pane="bottomLeft" sqref="A1:L1"/>
    </sheetView>
  </sheetViews>
  <sheetFormatPr defaultRowHeight="15"/>
  <cols>
    <col min="1" max="1" width="6.28515625" style="2" customWidth="1"/>
    <col min="2" max="2" width="24.5703125" customWidth="1"/>
    <col min="3" max="3" width="23.85546875" customWidth="1"/>
    <col min="4" max="4" width="4.28515625" customWidth="1"/>
    <col min="5" max="5" width="6.28515625" bestFit="1" customWidth="1"/>
    <col min="6" max="6" width="24.140625" customWidth="1"/>
    <col min="7" max="7" width="10.28515625" customWidth="1"/>
    <col min="8" max="8" width="3" customWidth="1"/>
    <col min="9" max="9" width="5.85546875" bestFit="1" customWidth="1"/>
    <col min="10" max="10" width="29" customWidth="1"/>
    <col min="11" max="11" width="13.28515625" bestFit="1" customWidth="1"/>
    <col min="12" max="12" width="3.140625" customWidth="1"/>
    <col min="13" max="13" width="9.28515625" bestFit="1" customWidth="1"/>
    <col min="14" max="14" width="23.85546875" customWidth="1"/>
    <col min="15" max="15" width="13.28515625" bestFit="1" customWidth="1"/>
    <col min="18" max="18" width="13.85546875" bestFit="1" customWidth="1"/>
  </cols>
  <sheetData>
    <row r="1" spans="1:19">
      <c r="B1" s="1" t="s">
        <v>935</v>
      </c>
      <c r="C1" s="1"/>
    </row>
    <row r="2" spans="1:19">
      <c r="B2" s="26" t="s">
        <v>936</v>
      </c>
      <c r="C2" s="26"/>
      <c r="F2" s="224" t="s">
        <v>58</v>
      </c>
      <c r="G2" s="224"/>
      <c r="J2" s="224" t="s">
        <v>59</v>
      </c>
      <c r="K2" s="224"/>
      <c r="N2" s="224" t="s">
        <v>60</v>
      </c>
      <c r="O2" s="224"/>
      <c r="Q2" s="8"/>
    </row>
    <row r="3" spans="1:19">
      <c r="E3" s="2" t="s">
        <v>57</v>
      </c>
      <c r="F3" t="s">
        <v>63</v>
      </c>
      <c r="G3">
        <v>25.23</v>
      </c>
      <c r="I3" s="2" t="s">
        <v>64</v>
      </c>
      <c r="J3" t="s">
        <v>65</v>
      </c>
      <c r="K3" s="72">
        <v>1.012</v>
      </c>
      <c r="M3" s="2" t="s">
        <v>66</v>
      </c>
      <c r="N3" s="4" t="s">
        <v>67</v>
      </c>
      <c r="O3" s="9">
        <v>0.74529999999999996</v>
      </c>
    </row>
    <row r="4" spans="1:19">
      <c r="E4" s="2" t="s">
        <v>69</v>
      </c>
      <c r="F4" t="s">
        <v>70</v>
      </c>
      <c r="G4">
        <v>0.155</v>
      </c>
      <c r="I4" s="2" t="s">
        <v>71</v>
      </c>
      <c r="J4" t="s">
        <v>72</v>
      </c>
      <c r="K4" s="72">
        <v>2.0880000000000001</v>
      </c>
      <c r="M4" s="2" t="s">
        <v>73</v>
      </c>
      <c r="N4" t="s">
        <v>74</v>
      </c>
      <c r="O4" s="10">
        <f>(((Apport_204A_Old+Apport_203A+Apport_202A)*Apport_557X)*Apport_559X)+Apport_203A</f>
        <v>1.7814131386638791E-2</v>
      </c>
      <c r="Q4" s="11"/>
      <c r="R4" s="11"/>
      <c r="S4" s="11"/>
    </row>
    <row r="5" spans="1:19">
      <c r="A5" s="2" t="s">
        <v>110</v>
      </c>
      <c r="B5" t="s">
        <v>111</v>
      </c>
      <c r="C5">
        <v>4</v>
      </c>
      <c r="E5" s="2" t="s">
        <v>77</v>
      </c>
      <c r="F5" t="s">
        <v>78</v>
      </c>
      <c r="G5">
        <v>400</v>
      </c>
      <c r="I5" s="2" t="s">
        <v>79</v>
      </c>
      <c r="J5" t="s">
        <v>80</v>
      </c>
      <c r="K5">
        <v>1.657</v>
      </c>
      <c r="M5" s="2" t="s">
        <v>81</v>
      </c>
      <c r="N5" t="s">
        <v>82</v>
      </c>
      <c r="O5" s="12">
        <f>ROUND((((Apport_204A+Apport_203A+Apport_202A)*Apport_557X)*Apport_559X)+Apport_203A,6)</f>
        <v>1.8689999999999998E-2</v>
      </c>
    </row>
    <row r="6" spans="1:19">
      <c r="A6" s="2" t="s">
        <v>116</v>
      </c>
      <c r="B6" t="s">
        <v>117</v>
      </c>
      <c r="C6">
        <v>151.86000000000001</v>
      </c>
      <c r="E6" s="2" t="s">
        <v>84</v>
      </c>
      <c r="F6" t="s">
        <v>85</v>
      </c>
      <c r="G6">
        <v>0.66300000000000003</v>
      </c>
      <c r="I6" s="2" t="s">
        <v>86</v>
      </c>
      <c r="J6" t="s">
        <v>87</v>
      </c>
      <c r="K6">
        <v>7.9000000000000001E-2</v>
      </c>
      <c r="O6" s="11"/>
    </row>
    <row r="7" spans="1:19">
      <c r="A7" s="2" t="s">
        <v>120</v>
      </c>
      <c r="B7" t="s">
        <v>121</v>
      </c>
      <c r="C7">
        <v>0.91700000000000004</v>
      </c>
      <c r="E7" s="2" t="s">
        <v>90</v>
      </c>
      <c r="F7" t="s">
        <v>91</v>
      </c>
      <c r="G7" s="28">
        <f>0.66+0.167</f>
        <v>0.82700000000000007</v>
      </c>
      <c r="I7" s="2" t="s">
        <v>92</v>
      </c>
      <c r="J7" t="s">
        <v>93</v>
      </c>
      <c r="K7">
        <v>8.2500000000000004E-2</v>
      </c>
    </row>
    <row r="8" spans="1:19">
      <c r="B8" t="s">
        <v>1045</v>
      </c>
      <c r="C8" s="61">
        <v>2.5999999999999999E-2</v>
      </c>
      <c r="E8" s="2" t="s">
        <v>95</v>
      </c>
      <c r="F8" t="s">
        <v>96</v>
      </c>
      <c r="G8" s="28">
        <f>0.246+0.17</f>
        <v>0.41600000000000004</v>
      </c>
      <c r="I8" s="2" t="s">
        <v>97</v>
      </c>
      <c r="J8" t="s">
        <v>98</v>
      </c>
      <c r="K8">
        <v>1000</v>
      </c>
    </row>
    <row r="9" spans="1:19">
      <c r="B9" t="s">
        <v>1046</v>
      </c>
      <c r="C9" s="61">
        <v>4.4999999999999998E-2</v>
      </c>
      <c r="E9" s="2" t="s">
        <v>99</v>
      </c>
      <c r="F9" t="s">
        <v>100</v>
      </c>
      <c r="G9" s="28">
        <f>0.132+0.09</f>
        <v>0.222</v>
      </c>
      <c r="I9" s="2" t="s">
        <v>101</v>
      </c>
      <c r="J9" t="s">
        <v>102</v>
      </c>
      <c r="K9">
        <v>0.628</v>
      </c>
    </row>
    <row r="10" spans="1:19">
      <c r="A10" s="2" t="s">
        <v>128</v>
      </c>
      <c r="B10" t="s">
        <v>129</v>
      </c>
      <c r="C10" s="50">
        <v>178.98</v>
      </c>
      <c r="E10" s="2" t="s">
        <v>103</v>
      </c>
      <c r="F10" t="s">
        <v>919</v>
      </c>
      <c r="G10" s="28">
        <f>0.046+0.029</f>
        <v>7.4999999999999997E-2</v>
      </c>
      <c r="I10" s="2" t="s">
        <v>104</v>
      </c>
      <c r="J10" t="s">
        <v>105</v>
      </c>
      <c r="K10">
        <v>1.8129999999999999</v>
      </c>
    </row>
    <row r="11" spans="1:19">
      <c r="A11" s="2" t="s">
        <v>132</v>
      </c>
      <c r="B11" t="s">
        <v>133</v>
      </c>
      <c r="C11" s="73">
        <v>430.26</v>
      </c>
      <c r="E11" s="2" t="s">
        <v>106</v>
      </c>
      <c r="F11" s="13" t="s">
        <v>107</v>
      </c>
      <c r="G11" s="14">
        <f>ROUND((Apport_509X+Apport_510X+Apport_511X+Apport_512X+Apport_513X)/Apport_501X,6)</f>
        <v>5.5079999999999999E-3</v>
      </c>
      <c r="I11" s="2" t="s">
        <v>108</v>
      </c>
      <c r="J11" s="4" t="s">
        <v>109</v>
      </c>
      <c r="K11" s="4">
        <v>0.33200000000000002</v>
      </c>
    </row>
    <row r="12" spans="1:19">
      <c r="A12" s="2" t="s">
        <v>136</v>
      </c>
      <c r="B12" t="s">
        <v>914</v>
      </c>
      <c r="C12" s="50">
        <v>164.48</v>
      </c>
      <c r="E12" s="2" t="s">
        <v>112</v>
      </c>
      <c r="F12" t="s">
        <v>113</v>
      </c>
      <c r="G12" s="10">
        <f>((1/Apport_502X_Old)*(1+Apport_Z315))+Apport_201A</f>
        <v>5.1286834720570752E-2</v>
      </c>
      <c r="I12" s="2" t="s">
        <v>114</v>
      </c>
      <c r="J12" t="s">
        <v>115</v>
      </c>
      <c r="K12" s="10">
        <f>((Apport_514X+Apport_515X+Apport_516X+Apport_517X+Apport_518X)/Apport_501X)+((Apport_554X+Apport_555X+Apport_556X)/Apport_553X)</f>
        <v>1.5069249999999998E-2</v>
      </c>
    </row>
    <row r="13" spans="1:19">
      <c r="A13" s="2" t="s">
        <v>980</v>
      </c>
      <c r="B13" t="s">
        <v>974</v>
      </c>
      <c r="C13" s="50">
        <v>22.65</v>
      </c>
      <c r="I13" s="2" t="s">
        <v>118</v>
      </c>
      <c r="J13" s="4" t="s">
        <v>119</v>
      </c>
      <c r="K13" s="4">
        <v>1.2529999999999999</v>
      </c>
    </row>
    <row r="14" spans="1:19">
      <c r="A14" s="2" t="s">
        <v>981</v>
      </c>
      <c r="B14" t="s">
        <v>975</v>
      </c>
      <c r="C14" s="50">
        <v>326.54000000000002</v>
      </c>
      <c r="E14" s="2" t="s">
        <v>57</v>
      </c>
      <c r="F14" t="s">
        <v>122</v>
      </c>
      <c r="G14" s="29">
        <v>17</v>
      </c>
      <c r="I14" s="2" t="s">
        <v>123</v>
      </c>
      <c r="J14" t="s">
        <v>124</v>
      </c>
      <c r="K14" s="10">
        <f>ROUND(Apport_508X/Apport_501X,6)</f>
        <v>3.1329999999999999E-3</v>
      </c>
    </row>
    <row r="15" spans="1:19">
      <c r="A15" s="2" t="s">
        <v>138</v>
      </c>
      <c r="B15" t="s">
        <v>139</v>
      </c>
      <c r="C15" s="73">
        <v>28.94</v>
      </c>
      <c r="E15" s="2" t="s">
        <v>112</v>
      </c>
      <c r="F15" t="s">
        <v>125</v>
      </c>
      <c r="G15" s="12">
        <f>ROUND((IFERROR((1/Apport_502X)*(1+Apport_Z315),0))+Apport_201A,6)</f>
        <v>7.3449E-2</v>
      </c>
      <c r="I15" s="2" t="s">
        <v>126</v>
      </c>
      <c r="J15" t="s">
        <v>127</v>
      </c>
      <c r="K15" s="5">
        <v>5.2999999999999999E-2</v>
      </c>
    </row>
    <row r="16" spans="1:19">
      <c r="A16" s="2" t="s">
        <v>144</v>
      </c>
      <c r="B16" t="s">
        <v>145</v>
      </c>
      <c r="C16" s="50">
        <v>206.22</v>
      </c>
      <c r="E16" s="2"/>
      <c r="G16" s="11"/>
      <c r="I16" s="3" t="s">
        <v>130</v>
      </c>
      <c r="J16" s="4" t="s">
        <v>131</v>
      </c>
      <c r="K16" s="9">
        <v>0.25469999999999998</v>
      </c>
    </row>
    <row r="17" spans="1:18">
      <c r="A17" s="2" t="s">
        <v>152</v>
      </c>
      <c r="B17" t="s">
        <v>153</v>
      </c>
      <c r="C17" s="73">
        <v>146.37</v>
      </c>
      <c r="I17" s="2" t="s">
        <v>134</v>
      </c>
      <c r="J17" t="s">
        <v>135</v>
      </c>
      <c r="K17" s="10">
        <f>(((Apport_204A_Old+Apport_203A+Apport_202A)*Apport_557X)*Apport_558X)+Apport_202A</f>
        <v>4.0710401035514562E-3</v>
      </c>
      <c r="R17" s="6"/>
    </row>
    <row r="18" spans="1:18">
      <c r="A18" s="2" t="s">
        <v>154</v>
      </c>
      <c r="B18" t="s">
        <v>155</v>
      </c>
      <c r="C18" s="27">
        <f>SUM(C10:C17)</f>
        <v>1504.44</v>
      </c>
      <c r="I18" s="2" t="s">
        <v>134</v>
      </c>
      <c r="J18" t="s">
        <v>137</v>
      </c>
      <c r="K18" s="12">
        <f>ROUND((((Apport_204A+Apport_203A+Apport_202A)*Apport_557X)*Apport_558X)+Apport_202A,6)</f>
        <v>4.3699999999999998E-3</v>
      </c>
      <c r="M18" s="11"/>
      <c r="R18" s="6"/>
    </row>
    <row r="19" spans="1:18">
      <c r="A19" s="2" t="s">
        <v>156</v>
      </c>
      <c r="B19" t="s">
        <v>157</v>
      </c>
      <c r="C19" s="50">
        <v>44.04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R19" s="6"/>
    </row>
    <row r="20" spans="1:18">
      <c r="A20" s="2" t="s">
        <v>162</v>
      </c>
      <c r="B20" t="s">
        <v>163</v>
      </c>
      <c r="C20" s="50">
        <v>0</v>
      </c>
      <c r="E20" s="2" t="s">
        <v>140</v>
      </c>
      <c r="F20" t="s">
        <v>141</v>
      </c>
      <c r="G20">
        <v>27</v>
      </c>
      <c r="I20" s="3" t="s">
        <v>142</v>
      </c>
      <c r="J20" s="4" t="s">
        <v>143</v>
      </c>
      <c r="K20" s="16">
        <f>Apport_222A</f>
        <v>4.8286000000000003E-2</v>
      </c>
      <c r="M20" s="3" t="s">
        <v>142</v>
      </c>
      <c r="N20" s="4" t="s">
        <v>143</v>
      </c>
      <c r="O20" s="4">
        <f>Apport_222A</f>
        <v>4.8286000000000003E-2</v>
      </c>
    </row>
    <row r="21" spans="1:18">
      <c r="A21" s="2" t="s">
        <v>170</v>
      </c>
      <c r="B21" t="s">
        <v>915</v>
      </c>
      <c r="C21" s="50">
        <v>48.06</v>
      </c>
      <c r="E21" s="3" t="s">
        <v>146</v>
      </c>
      <c r="F21" s="4" t="s">
        <v>147</v>
      </c>
      <c r="G21" s="4">
        <v>0.155</v>
      </c>
      <c r="I21" s="2" t="s">
        <v>148</v>
      </c>
      <c r="J21" t="s">
        <v>149</v>
      </c>
      <c r="K21" s="1">
        <f>ROUND((((Apport_222A+Apport_203A+Apport_202A)*Apport_557X)*Apport_558X)+Apport_202A,6)</f>
        <v>4.0309999999999999E-3</v>
      </c>
      <c r="M21" s="2" t="s">
        <v>150</v>
      </c>
      <c r="N21" t="s">
        <v>151</v>
      </c>
      <c r="O21" s="32">
        <f>ROUND((((Apport_222A+Apport_203A+Apport_202A)*Apport_557X)*Apport_559X)+Apport_203A,5)</f>
        <v>1.77E-2</v>
      </c>
    </row>
    <row r="22" spans="1:18">
      <c r="A22" s="2" t="s">
        <v>982</v>
      </c>
      <c r="B22" t="s">
        <v>976</v>
      </c>
      <c r="C22" s="50">
        <v>6.05</v>
      </c>
      <c r="E22" s="2" t="s">
        <v>142</v>
      </c>
      <c r="F22" t="s">
        <v>143</v>
      </c>
      <c r="G22" s="10">
        <f>ROUND(((1/Apport_226A)*(1+Apport_Z316))+Apport_201A,6)</f>
        <v>4.8286000000000003E-2</v>
      </c>
    </row>
    <row r="23" spans="1:18">
      <c r="A23" s="2" t="s">
        <v>983</v>
      </c>
      <c r="B23" t="s">
        <v>977</v>
      </c>
      <c r="C23" s="50">
        <v>94.07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</row>
    <row r="24" spans="1:18">
      <c r="A24" s="2" t="s">
        <v>171</v>
      </c>
      <c r="B24" t="s">
        <v>172</v>
      </c>
      <c r="C24" s="50">
        <v>8.01</v>
      </c>
      <c r="E24" s="2" t="s">
        <v>158</v>
      </c>
      <c r="F24" t="s">
        <v>159</v>
      </c>
      <c r="G24">
        <v>27</v>
      </c>
      <c r="I24" s="3" t="s">
        <v>160</v>
      </c>
      <c r="J24" s="4" t="s">
        <v>161</v>
      </c>
      <c r="K24" s="4">
        <f>Apport_210A</f>
        <v>4.8286000000000003E-2</v>
      </c>
      <c r="M24" s="3" t="s">
        <v>160</v>
      </c>
      <c r="N24" s="4" t="s">
        <v>161</v>
      </c>
      <c r="O24" s="4">
        <f>Apport_210A</f>
        <v>4.8286000000000003E-2</v>
      </c>
    </row>
    <row r="25" spans="1:18">
      <c r="A25" s="2" t="s">
        <v>179</v>
      </c>
      <c r="B25" t="s">
        <v>180</v>
      </c>
      <c r="C25" s="50">
        <v>0</v>
      </c>
      <c r="E25" s="3" t="s">
        <v>164</v>
      </c>
      <c r="F25" s="4" t="s">
        <v>165</v>
      </c>
      <c r="G25" s="4">
        <v>0.155</v>
      </c>
      <c r="I25" s="2" t="s">
        <v>166</v>
      </c>
      <c r="J25" t="s">
        <v>167</v>
      </c>
      <c r="K25" s="1">
        <f>ROUND((((Apport_210A+Apport_203A+Apport_202A)*Apport_557X)*Apport_558X)+Apport_202A,6)</f>
        <v>4.0309999999999999E-3</v>
      </c>
      <c r="M25" s="2" t="s">
        <v>168</v>
      </c>
      <c r="N25" t="s">
        <v>169</v>
      </c>
      <c r="O25" s="32">
        <f>ROUND((((Apport_210A+Apport_203A+Apport_202A)*Apport_557X)*Apport_559X)+Apport_203A,5)</f>
        <v>1.77E-2</v>
      </c>
    </row>
    <row r="26" spans="1:18">
      <c r="A26" s="2" t="s">
        <v>187</v>
      </c>
      <c r="B26" t="s">
        <v>188</v>
      </c>
      <c r="C26" s="50">
        <v>0</v>
      </c>
      <c r="E26" s="2" t="s">
        <v>160</v>
      </c>
      <c r="F26" t="s">
        <v>161</v>
      </c>
      <c r="G26" s="10">
        <f>ROUND(((1/Apport_504X)*(1+Apport_Z317))+Apport_201A,6)</f>
        <v>4.8286000000000003E-2</v>
      </c>
    </row>
    <row r="27" spans="1:18">
      <c r="A27" s="2" t="s">
        <v>195</v>
      </c>
      <c r="B27" t="s">
        <v>196</v>
      </c>
      <c r="C27" s="27">
        <f>SUM(C19:C26)</f>
        <v>200.22999999999996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</row>
    <row r="28" spans="1:18">
      <c r="A28" s="2" t="s">
        <v>201</v>
      </c>
      <c r="B28" t="s">
        <v>202</v>
      </c>
      <c r="C28" s="50">
        <v>172.47</v>
      </c>
      <c r="E28" s="2" t="s">
        <v>173</v>
      </c>
      <c r="F28" t="s">
        <v>174</v>
      </c>
      <c r="G28">
        <v>28.53</v>
      </c>
      <c r="I28" s="2" t="s">
        <v>175</v>
      </c>
      <c r="J28" t="s">
        <v>176</v>
      </c>
      <c r="K28" s="72">
        <v>0.77600000000000002</v>
      </c>
      <c r="M28" s="2" t="s">
        <v>177</v>
      </c>
      <c r="N28" t="s">
        <v>178</v>
      </c>
      <c r="O28" s="1">
        <f>ROUND((Apport_094A*Apport_557X)*Apport_559X,6)</f>
        <v>2.6229999999999999E-3</v>
      </c>
    </row>
    <row r="29" spans="1:18">
      <c r="A29" s="2" t="s">
        <v>207</v>
      </c>
      <c r="B29" t="s">
        <v>208</v>
      </c>
      <c r="C29" s="50">
        <v>500.13</v>
      </c>
      <c r="E29" s="2" t="s">
        <v>181</v>
      </c>
      <c r="F29" t="s">
        <v>182</v>
      </c>
      <c r="G29">
        <v>0.2</v>
      </c>
      <c r="I29" s="2" t="s">
        <v>183</v>
      </c>
      <c r="J29" t="s">
        <v>184</v>
      </c>
      <c r="K29" s="72">
        <v>2.4009999999999998</v>
      </c>
      <c r="M29" s="3" t="s">
        <v>185</v>
      </c>
      <c r="N29" s="4" t="s">
        <v>186</v>
      </c>
      <c r="O29" s="17">
        <f>ROUND(((Apport_530X+Apport_531X+Apport_532X+Apport_533X+Apport_534X)/Apport_519X)+((Apport_554X+Apport_555X+Apport_556X)/Apport_553X),6)</f>
        <v>1.4836E-2</v>
      </c>
    </row>
    <row r="30" spans="1:18">
      <c r="A30" s="2" t="s">
        <v>213</v>
      </c>
      <c r="B30" t="s">
        <v>916</v>
      </c>
      <c r="C30" s="50">
        <v>189.7</v>
      </c>
      <c r="E30" s="2" t="s">
        <v>189</v>
      </c>
      <c r="F30" t="s">
        <v>190</v>
      </c>
      <c r="G30">
        <v>432</v>
      </c>
      <c r="I30" s="2" t="s">
        <v>191</v>
      </c>
      <c r="J30" t="s">
        <v>192</v>
      </c>
      <c r="K30">
        <v>1.9419999999999999</v>
      </c>
      <c r="M30" s="2" t="s">
        <v>193</v>
      </c>
      <c r="N30" t="s">
        <v>194</v>
      </c>
      <c r="O30" s="1">
        <f>ROUND(Apport_096A+Apport_098A,6)</f>
        <v>1.7458999999999999E-2</v>
      </c>
    </row>
    <row r="31" spans="1:18">
      <c r="A31" s="2" t="s">
        <v>984</v>
      </c>
      <c r="B31" t="s">
        <v>978</v>
      </c>
      <c r="C31" s="50">
        <v>34.49</v>
      </c>
      <c r="E31" s="2" t="s">
        <v>197</v>
      </c>
      <c r="F31" t="s">
        <v>198</v>
      </c>
      <c r="G31">
        <v>0.51900000000000002</v>
      </c>
      <c r="I31" s="2" t="s">
        <v>199</v>
      </c>
      <c r="J31" t="s">
        <v>200</v>
      </c>
      <c r="K31">
        <v>9.1999999999999998E-2</v>
      </c>
    </row>
    <row r="32" spans="1:18">
      <c r="A32" s="2" t="s">
        <v>985</v>
      </c>
      <c r="B32" t="s">
        <v>979</v>
      </c>
      <c r="C32" s="50">
        <v>379.41</v>
      </c>
      <c r="E32" s="2" t="s">
        <v>203</v>
      </c>
      <c r="F32" t="s">
        <v>204</v>
      </c>
      <c r="G32" s="28">
        <f>1.383+0.167</f>
        <v>1.55</v>
      </c>
      <c r="I32" s="2" t="s">
        <v>205</v>
      </c>
      <c r="J32" s="4" t="s">
        <v>206</v>
      </c>
      <c r="K32" s="4">
        <v>0</v>
      </c>
    </row>
    <row r="33" spans="1:15">
      <c r="A33" s="2" t="s">
        <v>222</v>
      </c>
      <c r="B33" t="s">
        <v>223</v>
      </c>
      <c r="C33" s="50">
        <v>34.49</v>
      </c>
      <c r="E33" s="2" t="s">
        <v>209</v>
      </c>
      <c r="F33" t="s">
        <v>210</v>
      </c>
      <c r="G33" s="28">
        <f>0.336+0.276</f>
        <v>0.6120000000000001</v>
      </c>
      <c r="I33" s="2" t="s">
        <v>211</v>
      </c>
      <c r="J33" t="s">
        <v>212</v>
      </c>
      <c r="K33" s="1">
        <f>ROUND(((1/Apport_520X)*(1+Apport_Z318))+((Apport_524X+Apport_525X+Apport_526X+Apport_527X+Apport_528X+Apport_529X+Apport_530X+Apport_531X+Apport_532X+Apport_533X+Apport_534X)/Apport_519X)+((Apport_554X+Apport_555X+Apport_556X)/Apport_553X),6)</f>
        <v>6.6409999999999997E-2</v>
      </c>
    </row>
    <row r="34" spans="1:15">
      <c r="A34" s="2" t="s">
        <v>228</v>
      </c>
      <c r="B34" t="s">
        <v>1001</v>
      </c>
      <c r="C34" s="50">
        <v>241.46</v>
      </c>
      <c r="E34" s="2" t="s">
        <v>214</v>
      </c>
      <c r="F34" t="s">
        <v>215</v>
      </c>
      <c r="G34" s="28">
        <f>0.033+0.027</f>
        <v>0.06</v>
      </c>
      <c r="I34" s="2" t="s">
        <v>216</v>
      </c>
      <c r="J34" t="s">
        <v>217</v>
      </c>
      <c r="K34" s="1">
        <f>ROUND((Apport_094A*Apport_557X)*Apport_558X,6)</f>
        <v>8.9599999999999999E-4</v>
      </c>
    </row>
    <row r="35" spans="1:15">
      <c r="A35" s="2" t="s">
        <v>231</v>
      </c>
      <c r="B35" t="s">
        <v>232</v>
      </c>
      <c r="C35" s="50">
        <v>172.47</v>
      </c>
      <c r="E35" s="3" t="s">
        <v>218</v>
      </c>
      <c r="F35" s="4" t="s">
        <v>219</v>
      </c>
      <c r="G35" s="44">
        <f>0.009+0.007</f>
        <v>1.6E-2</v>
      </c>
      <c r="I35" s="2" t="s">
        <v>220</v>
      </c>
      <c r="J35" s="4" t="s">
        <v>221</v>
      </c>
      <c r="K35" s="4">
        <v>1.353</v>
      </c>
    </row>
    <row r="36" spans="1:15">
      <c r="B36" t="s">
        <v>233</v>
      </c>
      <c r="C36" s="27">
        <f>SUM(C28:C35)</f>
        <v>1724.6200000000001</v>
      </c>
      <c r="E36" s="2" t="s">
        <v>224</v>
      </c>
      <c r="F36" t="s">
        <v>225</v>
      </c>
      <c r="G36" s="10">
        <f>ROUND(((1/Apport_520X)*(1+Apport_Z318))+((Apport_525X+Apport_526X+Apport_527X+Apport_528X+Apport_529X)/Apport_519X),6)</f>
        <v>4.8443E-2</v>
      </c>
      <c r="I36" s="2" t="s">
        <v>226</v>
      </c>
      <c r="J36" t="s">
        <v>227</v>
      </c>
      <c r="K36" s="1">
        <f>ROUND(Apport_524X/Apport_519X,6)</f>
        <v>3.1319999999999998E-3</v>
      </c>
    </row>
    <row r="37" spans="1:15">
      <c r="A37" s="2" t="s">
        <v>921</v>
      </c>
      <c r="B37" t="s">
        <v>923</v>
      </c>
      <c r="C37" s="50">
        <v>172.47</v>
      </c>
      <c r="I37" s="2" t="s">
        <v>229</v>
      </c>
      <c r="J37" t="s">
        <v>230</v>
      </c>
      <c r="K37" s="1">
        <f>ROUND(Apport_095A+Apport_097A,6)</f>
        <v>4.0280000000000003E-3</v>
      </c>
    </row>
    <row r="38" spans="1:15">
      <c r="A38" s="2" t="s">
        <v>922</v>
      </c>
      <c r="B38" t="s">
        <v>926</v>
      </c>
      <c r="C38" s="50">
        <v>500.13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</row>
    <row r="39" spans="1:15">
      <c r="A39" s="2" t="s">
        <v>925</v>
      </c>
      <c r="B39" t="s">
        <v>998</v>
      </c>
      <c r="C39" s="50">
        <v>189.7</v>
      </c>
      <c r="E39" s="2" t="s">
        <v>234</v>
      </c>
      <c r="F39" t="s">
        <v>235</v>
      </c>
      <c r="G39">
        <v>19.98</v>
      </c>
      <c r="I39" s="2" t="s">
        <v>236</v>
      </c>
      <c r="J39" t="s">
        <v>237</v>
      </c>
      <c r="K39">
        <v>1.88</v>
      </c>
      <c r="M39" s="2" t="s">
        <v>238</v>
      </c>
      <c r="N39" t="s">
        <v>239</v>
      </c>
      <c r="O39" s="18">
        <f>(Apport_089A*Apport_557X)*Apport_559X</f>
        <v>2.6861234974910491E-3</v>
      </c>
    </row>
    <row r="40" spans="1:15">
      <c r="A40" s="2" t="s">
        <v>986</v>
      </c>
      <c r="B40" t="s">
        <v>988</v>
      </c>
      <c r="C40" s="50">
        <v>34.49</v>
      </c>
      <c r="E40" s="2" t="s">
        <v>240</v>
      </c>
      <c r="F40" t="s">
        <v>241</v>
      </c>
      <c r="G40">
        <v>28.74</v>
      </c>
      <c r="I40" s="2" t="s">
        <v>242</v>
      </c>
      <c r="J40" t="s">
        <v>243</v>
      </c>
      <c r="K40" s="72">
        <v>0.72799999999999998</v>
      </c>
      <c r="M40" s="2" t="s">
        <v>244</v>
      </c>
      <c r="N40" t="s">
        <v>245</v>
      </c>
      <c r="O40" s="11">
        <f>((Apport_548X+Apport_549X+Apport_550X+Apport_551X+Apport_552X)/Apport_535X)+((Apport_554X+Apport_555X+Apport_556X)/Apport_553X)</f>
        <v>1.4737999999999999E-2</v>
      </c>
    </row>
    <row r="41" spans="1:15" ht="15.75" thickBot="1">
      <c r="A41" s="2" t="s">
        <v>987</v>
      </c>
      <c r="B41" t="s">
        <v>989</v>
      </c>
      <c r="C41" s="50">
        <v>379.41</v>
      </c>
      <c r="E41" s="2" t="s">
        <v>246</v>
      </c>
      <c r="F41" t="s">
        <v>247</v>
      </c>
      <c r="G41">
        <v>8.3299999999999999E-2</v>
      </c>
      <c r="I41" s="2" t="s">
        <v>248</v>
      </c>
      <c r="J41" t="s">
        <v>249</v>
      </c>
      <c r="K41" s="72">
        <v>3.3450000000000002</v>
      </c>
      <c r="M41" s="19" t="s">
        <v>250</v>
      </c>
      <c r="N41" s="20" t="s">
        <v>251</v>
      </c>
      <c r="O41" s="21">
        <f>ROUND(O39+O40,6)</f>
        <v>1.7423999999999999E-2</v>
      </c>
    </row>
    <row r="42" spans="1:15" ht="15.75" thickTop="1">
      <c r="A42" s="2" t="s">
        <v>927</v>
      </c>
      <c r="B42" t="s">
        <v>928</v>
      </c>
      <c r="C42" s="50">
        <v>34.49</v>
      </c>
      <c r="E42" s="2" t="s">
        <v>252</v>
      </c>
      <c r="F42" t="s">
        <v>253</v>
      </c>
      <c r="G42">
        <v>0.2</v>
      </c>
      <c r="I42" s="2" t="s">
        <v>254</v>
      </c>
      <c r="J42" t="s">
        <v>255</v>
      </c>
      <c r="K42">
        <v>2.9649999999999999</v>
      </c>
    </row>
    <row r="43" spans="1:15">
      <c r="A43" s="2" t="s">
        <v>924</v>
      </c>
      <c r="B43" t="s">
        <v>1002</v>
      </c>
      <c r="C43" s="50">
        <v>241.46</v>
      </c>
      <c r="E43" s="2" t="s">
        <v>256</v>
      </c>
      <c r="F43" t="s">
        <v>257</v>
      </c>
      <c r="G43">
        <v>600</v>
      </c>
      <c r="I43" s="2" t="s">
        <v>258</v>
      </c>
      <c r="J43" t="s">
        <v>259</v>
      </c>
      <c r="K43">
        <v>0.14099999999999999</v>
      </c>
      <c r="M43" s="2"/>
    </row>
    <row r="44" spans="1:15">
      <c r="A44" s="2" t="s">
        <v>929</v>
      </c>
      <c r="B44" t="s">
        <v>930</v>
      </c>
      <c r="C44" s="50">
        <v>172.47</v>
      </c>
      <c r="E44" s="2" t="s">
        <v>260</v>
      </c>
      <c r="F44" t="s">
        <v>261</v>
      </c>
      <c r="G44">
        <v>0.52300000000000002</v>
      </c>
      <c r="I44" s="2" t="s">
        <v>262</v>
      </c>
      <c r="J44" t="s">
        <v>263</v>
      </c>
      <c r="K44">
        <v>0</v>
      </c>
      <c r="M44" s="2"/>
    </row>
    <row r="45" spans="1:15">
      <c r="B45" t="s">
        <v>931</v>
      </c>
      <c r="C45" s="27">
        <f>SUM(C37:C44)</f>
        <v>1724.6200000000001</v>
      </c>
      <c r="E45" s="2" t="s">
        <v>264</v>
      </c>
      <c r="F45" t="s">
        <v>265</v>
      </c>
      <c r="G45" s="28">
        <f>2.706+0.176</f>
        <v>2.8820000000000001</v>
      </c>
      <c r="I45" s="2" t="s">
        <v>266</v>
      </c>
      <c r="J45" t="s">
        <v>267</v>
      </c>
      <c r="K45" s="22">
        <f>((((1/Apport_540X-1/Apport_536X)*Apport_541X)+(1/Apport_536X))*(1+Apport_Z319))+((Apport_542X+Apport_543X+Apport_544X+Apport_545X+Apport_546X+Apport_547X+Apport_548X+Apport_549X+Apport_550X+Apport_551X+Apport_552X)/Apport_535X)+((Apport_554X+Apport_555X+Apport_556X)/Apport_553X)</f>
        <v>6.8001577115737857E-2</v>
      </c>
      <c r="M45" s="2"/>
    </row>
    <row r="46" spans="1:15">
      <c r="E46" s="2" t="s">
        <v>268</v>
      </c>
      <c r="F46" t="s">
        <v>269</v>
      </c>
      <c r="G46" s="28">
        <f>0.339+0.243</f>
        <v>0.58200000000000007</v>
      </c>
      <c r="I46" s="2" t="s">
        <v>270</v>
      </c>
      <c r="J46" t="s">
        <v>271</v>
      </c>
      <c r="K46" s="22">
        <f>(Apport_089A*Apport_557X)*Apport_558X</f>
        <v>9.1796008964305676E-4</v>
      </c>
    </row>
    <row r="47" spans="1:15">
      <c r="A47" s="2" t="s">
        <v>281</v>
      </c>
      <c r="B47" t="s">
        <v>282</v>
      </c>
      <c r="C47" s="51">
        <f>ROUND(1026*12,0)</f>
        <v>12312</v>
      </c>
      <c r="E47" s="2" t="s">
        <v>272</v>
      </c>
      <c r="F47" t="s">
        <v>273</v>
      </c>
      <c r="G47" s="28">
        <f>0.052+0.037</f>
        <v>8.8999999999999996E-2</v>
      </c>
      <c r="I47" s="2" t="s">
        <v>274</v>
      </c>
      <c r="J47" t="s">
        <v>275</v>
      </c>
      <c r="K47" s="11">
        <f>Apport_542X/Apport_535X</f>
        <v>3.133333333333333E-3</v>
      </c>
      <c r="M47" s="2"/>
    </row>
    <row r="48" spans="1:15" ht="15.75" thickBot="1">
      <c r="A48" s="2" t="s">
        <v>1005</v>
      </c>
      <c r="B48" t="s">
        <v>283</v>
      </c>
      <c r="C48" s="51">
        <f>ROUND(1100*12,0)</f>
        <v>13200</v>
      </c>
      <c r="E48" s="3" t="s">
        <v>276</v>
      </c>
      <c r="F48" s="4" t="s">
        <v>917</v>
      </c>
      <c r="G48" s="44">
        <f>0.021+0.014</f>
        <v>3.5000000000000003E-2</v>
      </c>
      <c r="I48" s="19" t="s">
        <v>277</v>
      </c>
      <c r="J48" s="20" t="s">
        <v>278</v>
      </c>
      <c r="K48" s="21">
        <f>ROUND(Apport_090A+Apport_092A,6)</f>
        <v>4.0509999999999999E-3</v>
      </c>
      <c r="M48" s="2"/>
    </row>
    <row r="49" spans="1:15" ht="13.5" customHeight="1" thickTop="1">
      <c r="A49" s="2" t="s">
        <v>1003</v>
      </c>
      <c r="B49" t="s">
        <v>1004</v>
      </c>
      <c r="C49">
        <v>1.02</v>
      </c>
      <c r="E49" s="2" t="s">
        <v>279</v>
      </c>
      <c r="F49" t="s">
        <v>280</v>
      </c>
      <c r="G49" s="10">
        <f>ROUND(((((1/Apport_540X-1/Apport_536X)*Apport_541X)+(1/Apport_536X))*(1+Apport_Z319))+((Apport_543X+Apport_544X+Apport_545X+Apport_546X+Apport_547X)/Apport_535X),6)</f>
        <v>5.0130000000000001E-2</v>
      </c>
      <c r="M49" s="2"/>
    </row>
    <row r="50" spans="1:15">
      <c r="A50" s="2" t="s">
        <v>284</v>
      </c>
      <c r="B50" t="s">
        <v>285</v>
      </c>
      <c r="C50">
        <v>1.43</v>
      </c>
      <c r="D50" s="15" t="s">
        <v>937</v>
      </c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</row>
    <row r="51" spans="1:15">
      <c r="A51" s="2" t="s">
        <v>286</v>
      </c>
      <c r="B51" t="s">
        <v>1006</v>
      </c>
      <c r="C51" s="28">
        <v>0.1797</v>
      </c>
      <c r="E51" s="2" t="s">
        <v>61</v>
      </c>
      <c r="F51" t="s">
        <v>62</v>
      </c>
      <c r="G51">
        <v>23</v>
      </c>
      <c r="I51" s="2" t="s">
        <v>226</v>
      </c>
      <c r="J51" t="s">
        <v>227</v>
      </c>
      <c r="K51" s="10">
        <f>ROUND(Apport_524X/Apport_519X,6)</f>
        <v>3.1319999999999998E-3</v>
      </c>
      <c r="M51" s="2" t="s">
        <v>177</v>
      </c>
      <c r="N51" t="s">
        <v>178</v>
      </c>
      <c r="O51" s="1">
        <f>ROUND((Apport_094A*Apport_557X)*Apport_559X,6)</f>
        <v>2.6229999999999999E-3</v>
      </c>
    </row>
    <row r="52" spans="1:15">
      <c r="A52" s="2" t="s">
        <v>287</v>
      </c>
      <c r="B52" t="s">
        <v>918</v>
      </c>
      <c r="C52" s="28">
        <v>0.17330000000000001</v>
      </c>
      <c r="E52" s="2"/>
      <c r="F52" t="s">
        <v>68</v>
      </c>
      <c r="G52">
        <v>0.2</v>
      </c>
      <c r="I52" s="2" t="s">
        <v>938</v>
      </c>
      <c r="J52" s="4" t="s">
        <v>939</v>
      </c>
      <c r="K52" s="4">
        <v>2.5000000000000001E-2</v>
      </c>
      <c r="M52" s="2" t="s">
        <v>185</v>
      </c>
      <c r="N52" t="s">
        <v>186</v>
      </c>
      <c r="O52" s="1">
        <f>ROUND(((Apport_530X+Apport_531X+Apport_532X+Apport_533X+Apport_534X)/Apport_519X)+((Apport_554X+Apport_555X+Apport_556X)/Apport_553X),6)</f>
        <v>1.4836E-2</v>
      </c>
    </row>
    <row r="53" spans="1:15" ht="15.75" thickBot="1">
      <c r="A53" s="2" t="s">
        <v>288</v>
      </c>
      <c r="B53" t="s">
        <v>289</v>
      </c>
      <c r="C53" s="28">
        <v>0.22059999999999999</v>
      </c>
      <c r="E53" s="2" t="s">
        <v>940</v>
      </c>
      <c r="F53" t="s">
        <v>941</v>
      </c>
      <c r="G53">
        <v>1000</v>
      </c>
      <c r="J53" t="s">
        <v>942</v>
      </c>
      <c r="K53" s="10">
        <f>ROUND(K51*(1+K52),6)</f>
        <v>3.2100000000000002E-3</v>
      </c>
      <c r="M53" s="19"/>
      <c r="N53" s="20" t="s">
        <v>943</v>
      </c>
      <c r="O53" s="21">
        <f>ROUND(O51+O52,6)</f>
        <v>1.7458999999999999E-2</v>
      </c>
    </row>
    <row r="54" spans="1:15" ht="15.75" thickTop="1">
      <c r="A54" s="2" t="s">
        <v>290</v>
      </c>
      <c r="B54" t="s">
        <v>291</v>
      </c>
      <c r="C54" s="28">
        <v>0.18559999999999999</v>
      </c>
      <c r="E54" s="3" t="s">
        <v>944</v>
      </c>
      <c r="F54" s="4" t="s">
        <v>945</v>
      </c>
      <c r="G54" s="44">
        <f>ROUND(2.024+(($G$45-1.909)/600*1000),2)</f>
        <v>3.65</v>
      </c>
      <c r="I54" s="2" t="s">
        <v>216</v>
      </c>
      <c r="J54" t="s">
        <v>217</v>
      </c>
      <c r="K54" s="10">
        <f>ROUND((Apport_094A*Apport_557X)*Apport_558X,6)</f>
        <v>8.9599999999999999E-4</v>
      </c>
    </row>
    <row r="55" spans="1:15">
      <c r="F55" t="s">
        <v>946</v>
      </c>
      <c r="G55" s="10">
        <f>ROUND(((1/Apport_561X)*(1+CTE_9_12_Class_Size))+((G54)/G53),6)</f>
        <v>5.5823999999999999E-2</v>
      </c>
      <c r="I55" s="2" t="s">
        <v>947</v>
      </c>
      <c r="J55" s="4" t="s">
        <v>948</v>
      </c>
      <c r="K55" s="4">
        <v>0.1211</v>
      </c>
    </row>
    <row r="56" spans="1:15">
      <c r="A56" s="2" t="s">
        <v>1026</v>
      </c>
      <c r="B56" t="s">
        <v>1025</v>
      </c>
      <c r="C56">
        <v>3</v>
      </c>
      <c r="I56" s="4"/>
      <c r="J56" s="4" t="s">
        <v>949</v>
      </c>
      <c r="K56" s="31">
        <f>ROUND(K54*(1+K55),6)</f>
        <v>1.005E-3</v>
      </c>
    </row>
    <row r="57" spans="1:15">
      <c r="A57" s="2" t="s">
        <v>1027</v>
      </c>
      <c r="B57" t="s">
        <v>1028</v>
      </c>
      <c r="C57">
        <v>180</v>
      </c>
      <c r="J57" t="s">
        <v>950</v>
      </c>
      <c r="K57" s="10">
        <f>ROUND(K53+K56,6)</f>
        <v>4.215E-3</v>
      </c>
    </row>
    <row r="58" spans="1:15">
      <c r="D58" s="15" t="s">
        <v>951</v>
      </c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</row>
    <row r="59" spans="1:15">
      <c r="A59" s="2" t="s">
        <v>1037</v>
      </c>
      <c r="B59" t="s">
        <v>1038</v>
      </c>
      <c r="C59" s="30">
        <v>72728</v>
      </c>
      <c r="E59" s="2" t="s">
        <v>75</v>
      </c>
      <c r="F59" t="s">
        <v>76</v>
      </c>
      <c r="G59">
        <v>23</v>
      </c>
      <c r="I59" s="2" t="s">
        <v>274</v>
      </c>
      <c r="J59" t="s">
        <v>275</v>
      </c>
      <c r="K59" s="11">
        <f>Apport_542X/Apport_535X</f>
        <v>3.133333333333333E-3</v>
      </c>
      <c r="M59" s="2" t="s">
        <v>238</v>
      </c>
      <c r="N59" t="s">
        <v>239</v>
      </c>
      <c r="O59" s="18">
        <f>(Apport_089A*Apport_557X)*Apport_559X</f>
        <v>2.6861234974910491E-3</v>
      </c>
    </row>
    <row r="60" spans="1:15">
      <c r="A60" s="2" t="s">
        <v>1039</v>
      </c>
      <c r="B60" t="s">
        <v>1040</v>
      </c>
      <c r="C60" s="30">
        <v>75419</v>
      </c>
      <c r="E60" s="2"/>
      <c r="F60" t="s">
        <v>83</v>
      </c>
      <c r="G60">
        <v>0.2</v>
      </c>
      <c r="I60" s="2" t="s">
        <v>938</v>
      </c>
      <c r="J60" s="4" t="s">
        <v>939</v>
      </c>
      <c r="K60" s="4">
        <v>2.5000000000000001E-2</v>
      </c>
      <c r="M60" s="2" t="s">
        <v>244</v>
      </c>
      <c r="N60" t="s">
        <v>245</v>
      </c>
      <c r="O60" s="11">
        <f>((Apport_548X+Apport_549X+Apport_550X+Apport_551X+Apport_552X)/Apport_535X)+((Apport_554X+Apport_555X+Apport_556X)/Apport_553X)</f>
        <v>1.4737999999999999E-2</v>
      </c>
    </row>
    <row r="61" spans="1:15" ht="15.75" thickBot="1">
      <c r="A61" s="2" t="s">
        <v>53</v>
      </c>
      <c r="B61" t="s">
        <v>1041</v>
      </c>
      <c r="C61" s="30">
        <v>107955</v>
      </c>
      <c r="E61" s="2" t="s">
        <v>952</v>
      </c>
      <c r="F61" t="s">
        <v>953</v>
      </c>
      <c r="G61">
        <v>1000</v>
      </c>
      <c r="J61" t="s">
        <v>954</v>
      </c>
      <c r="K61" s="10">
        <f>ROUND(K59*(1+K60),6)</f>
        <v>3.212E-3</v>
      </c>
      <c r="M61" s="19" t="s">
        <v>250</v>
      </c>
      <c r="N61" s="20" t="s">
        <v>955</v>
      </c>
      <c r="O61" s="21">
        <f>ROUND(O59+O60,6)</f>
        <v>1.7423999999999999E-2</v>
      </c>
    </row>
    <row r="62" spans="1:15" ht="15.75" thickTop="1">
      <c r="A62" s="2" t="s">
        <v>54</v>
      </c>
      <c r="B62" t="s">
        <v>1042</v>
      </c>
      <c r="C62" s="30">
        <v>111950</v>
      </c>
      <c r="E62" s="3" t="s">
        <v>956</v>
      </c>
      <c r="F62" s="4" t="s">
        <v>957</v>
      </c>
      <c r="G62" s="44">
        <f>ROUND(2.024+(($G$45-1.909)/600*1000),2)</f>
        <v>3.65</v>
      </c>
      <c r="I62" s="2" t="s">
        <v>270</v>
      </c>
      <c r="J62" t="s">
        <v>271</v>
      </c>
      <c r="K62" s="22">
        <f>(Apport_089A*Apport_557X)*Apport_558X</f>
        <v>9.1796008964305676E-4</v>
      </c>
    </row>
    <row r="63" spans="1:15">
      <c r="A63" s="2" t="s">
        <v>55</v>
      </c>
      <c r="B63" t="s">
        <v>1043</v>
      </c>
      <c r="C63" s="30">
        <v>52173</v>
      </c>
      <c r="F63" t="s">
        <v>958</v>
      </c>
      <c r="G63" s="10">
        <f>ROUND(((1/Apport_565X)*(1+CTE_Planning))+((G62)/G61),6)</f>
        <v>5.5823999999999999E-2</v>
      </c>
      <c r="I63" s="2" t="s">
        <v>947</v>
      </c>
      <c r="J63" s="4" t="s">
        <v>948</v>
      </c>
      <c r="K63" s="4">
        <v>0.1211</v>
      </c>
    </row>
    <row r="64" spans="1:15">
      <c r="A64" s="2" t="s">
        <v>56</v>
      </c>
      <c r="B64" t="s">
        <v>1044</v>
      </c>
      <c r="C64" s="30">
        <v>54103</v>
      </c>
      <c r="I64" s="4"/>
      <c r="J64" s="4" t="s">
        <v>959</v>
      </c>
      <c r="K64" s="31">
        <f>ROUND(K62*(1+K63),6)</f>
        <v>1.029E-3</v>
      </c>
    </row>
    <row r="65" spans="4:15">
      <c r="J65" t="s">
        <v>960</v>
      </c>
      <c r="K65" s="10">
        <f>ROUND(K61+K64,6)</f>
        <v>4.241E-3</v>
      </c>
    </row>
    <row r="66" spans="4:15">
      <c r="D66" s="15" t="s">
        <v>961</v>
      </c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</row>
    <row r="67" spans="4:15">
      <c r="E67" s="2" t="s">
        <v>88</v>
      </c>
      <c r="F67" t="s">
        <v>89</v>
      </c>
      <c r="G67">
        <v>19</v>
      </c>
      <c r="I67" s="2" t="s">
        <v>274</v>
      </c>
      <c r="J67" t="s">
        <v>275</v>
      </c>
      <c r="K67" s="11">
        <f>Apport_542X/Apport_535X</f>
        <v>3.133333333333333E-3</v>
      </c>
      <c r="M67" s="2" t="s">
        <v>238</v>
      </c>
      <c r="N67" t="s">
        <v>239</v>
      </c>
      <c r="O67" s="18">
        <f>(Apport_089A*Apport_557X)*Apport_559X</f>
        <v>2.6861234974910491E-3</v>
      </c>
    </row>
    <row r="68" spans="4:15">
      <c r="E68" s="2"/>
      <c r="F68" t="s">
        <v>94</v>
      </c>
      <c r="G68">
        <v>0.2</v>
      </c>
      <c r="I68" s="2" t="s">
        <v>962</v>
      </c>
      <c r="J68" t="s">
        <v>963</v>
      </c>
      <c r="K68">
        <v>0.19800000000000001</v>
      </c>
      <c r="M68" s="2" t="s">
        <v>244</v>
      </c>
      <c r="N68" t="s">
        <v>245</v>
      </c>
      <c r="O68" s="11">
        <f>((Apport_548X+Apport_549X+Apport_550X+Apport_551X+Apport_552X)/Apport_535X)+((Apport_554X+Apport_555X+Apport_556X)/Apport_553X)</f>
        <v>1.4737999999999999E-2</v>
      </c>
    </row>
    <row r="69" spans="4:15" ht="15.75" thickBot="1">
      <c r="E69" s="2" t="s">
        <v>964</v>
      </c>
      <c r="F69" t="s">
        <v>965</v>
      </c>
      <c r="G69">
        <v>1000</v>
      </c>
      <c r="J69" t="s">
        <v>966</v>
      </c>
      <c r="K69" s="10">
        <f>ROUND(K67*(1+K68),6)</f>
        <v>3.754E-3</v>
      </c>
      <c r="M69" s="19" t="s">
        <v>250</v>
      </c>
      <c r="N69" s="20" t="s">
        <v>955</v>
      </c>
      <c r="O69" s="21">
        <f>ROUND(O67+O68,6)</f>
        <v>1.7423999999999999E-2</v>
      </c>
    </row>
    <row r="70" spans="4:15" ht="15.75" thickTop="1">
      <c r="E70" s="2" t="s">
        <v>967</v>
      </c>
      <c r="F70" t="s">
        <v>968</v>
      </c>
      <c r="G70" s="44">
        <f>ROUND(2.363+(($G$45-1.909)/600*1000),2)</f>
        <v>3.98</v>
      </c>
      <c r="I70" s="2" t="s">
        <v>270</v>
      </c>
      <c r="J70" t="s">
        <v>271</v>
      </c>
      <c r="K70" s="22">
        <f>(Apport_089A*Apport_557X)*Apport_558X</f>
        <v>9.1796008964305676E-4</v>
      </c>
    </row>
    <row r="71" spans="4:15">
      <c r="F71" t="s">
        <v>969</v>
      </c>
      <c r="G71" s="10">
        <f>ROUND(((1/Apport_573X)*(1+G68))+((G70)/G69),6)</f>
        <v>6.7138000000000003E-2</v>
      </c>
      <c r="I71" s="2" t="s">
        <v>970</v>
      </c>
      <c r="J71" t="s">
        <v>971</v>
      </c>
      <c r="K71">
        <v>0.17419999999999999</v>
      </c>
    </row>
    <row r="72" spans="4:15">
      <c r="I72" s="4"/>
      <c r="J72" s="4" t="s">
        <v>972</v>
      </c>
      <c r="K72" s="31">
        <f>ROUND(K70*(1+K71),6)</f>
        <v>1.078E-3</v>
      </c>
    </row>
    <row r="73" spans="4:15">
      <c r="J73" t="s">
        <v>973</v>
      </c>
      <c r="K73" s="10">
        <f>ROUND(K69+K72,6)</f>
        <v>4.8320000000000004E-3</v>
      </c>
    </row>
  </sheetData>
  <mergeCells count="3">
    <mergeCell ref="F2:G2"/>
    <mergeCell ref="J2:K2"/>
    <mergeCell ref="N2:O2"/>
  </mergeCells>
  <pageMargins left="0.7" right="0.7" top="0.75" bottom="0.75" header="0.3" footer="0.3"/>
  <pageSetup scale="77" orientation="portrait" r:id="rId1"/>
  <colBreaks count="1" manualBreakCount="1">
    <brk id="8" max="6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E3D7D-5CFB-408B-90B6-2A114FBEB0C0}">
  <dimension ref="A1:S73"/>
  <sheetViews>
    <sheetView zoomScale="90" zoomScaleNormal="90" workbookViewId="0">
      <pane ySplit="2" topLeftCell="A3" activePane="bottomLeft" state="frozen"/>
      <selection sqref="A1:L1"/>
      <selection pane="bottomLeft" sqref="A1:L1"/>
    </sheetView>
  </sheetViews>
  <sheetFormatPr defaultRowHeight="15"/>
  <cols>
    <col min="1" max="1" width="6.28515625" style="2" customWidth="1"/>
    <col min="2" max="2" width="24.5703125" customWidth="1"/>
    <col min="3" max="3" width="23.85546875" customWidth="1"/>
    <col min="4" max="4" width="4.28515625" customWidth="1"/>
    <col min="5" max="5" width="6.28515625" bestFit="1" customWidth="1"/>
    <col min="6" max="6" width="24.140625" customWidth="1"/>
    <col min="7" max="7" width="10.28515625" customWidth="1"/>
    <col min="8" max="8" width="3" customWidth="1"/>
    <col min="9" max="9" width="5.85546875" bestFit="1" customWidth="1"/>
    <col min="10" max="10" width="29" customWidth="1"/>
    <col min="11" max="11" width="13.28515625" bestFit="1" customWidth="1"/>
    <col min="12" max="12" width="3.140625" customWidth="1"/>
    <col min="13" max="13" width="9.28515625" bestFit="1" customWidth="1"/>
    <col min="14" max="14" width="23.85546875" customWidth="1"/>
    <col min="15" max="15" width="13.28515625" bestFit="1" customWidth="1"/>
    <col min="18" max="18" width="13.85546875" bestFit="1" customWidth="1"/>
  </cols>
  <sheetData>
    <row r="1" spans="1:19">
      <c r="B1" s="1" t="s">
        <v>935</v>
      </c>
      <c r="C1" s="1"/>
    </row>
    <row r="2" spans="1:19">
      <c r="B2" s="26" t="s">
        <v>936</v>
      </c>
      <c r="C2" s="26"/>
      <c r="F2" s="224" t="s">
        <v>58</v>
      </c>
      <c r="G2" s="224"/>
      <c r="J2" s="224" t="s">
        <v>59</v>
      </c>
      <c r="K2" s="224"/>
      <c r="N2" s="224" t="s">
        <v>60</v>
      </c>
      <c r="O2" s="224"/>
      <c r="Q2" s="8"/>
    </row>
    <row r="3" spans="1:19">
      <c r="E3" s="2" t="s">
        <v>57</v>
      </c>
      <c r="F3" t="s">
        <v>63</v>
      </c>
      <c r="G3">
        <v>25.23</v>
      </c>
      <c r="I3" s="2" t="s">
        <v>64</v>
      </c>
      <c r="J3" t="s">
        <v>65</v>
      </c>
      <c r="K3">
        <v>1.012</v>
      </c>
      <c r="M3" s="2" t="s">
        <v>66</v>
      </c>
      <c r="N3" s="4" t="s">
        <v>67</v>
      </c>
      <c r="O3" s="9">
        <v>0.74529999999999996</v>
      </c>
    </row>
    <row r="4" spans="1:19">
      <c r="E4" s="2" t="s">
        <v>69</v>
      </c>
      <c r="F4" t="s">
        <v>70</v>
      </c>
      <c r="G4">
        <v>0.155</v>
      </c>
      <c r="I4" s="2" t="s">
        <v>71</v>
      </c>
      <c r="J4" t="s">
        <v>72</v>
      </c>
      <c r="K4">
        <v>2.0880000000000001</v>
      </c>
      <c r="M4" s="2" t="s">
        <v>73</v>
      </c>
      <c r="N4" t="s">
        <v>74</v>
      </c>
      <c r="O4" s="10">
        <f>(((Apport_204A_Old+Apport_203A+Apport_202A)*Apport_557X)*Apport_559X)+Apport_203A</f>
        <v>1.7858846405438791E-2</v>
      </c>
      <c r="Q4" s="11"/>
      <c r="R4" s="11"/>
      <c r="S4" s="11"/>
    </row>
    <row r="5" spans="1:19">
      <c r="A5" s="2" t="s">
        <v>110</v>
      </c>
      <c r="B5" t="s">
        <v>111</v>
      </c>
      <c r="C5">
        <v>4</v>
      </c>
      <c r="E5" s="2" t="s">
        <v>77</v>
      </c>
      <c r="F5" t="s">
        <v>78</v>
      </c>
      <c r="G5">
        <v>400</v>
      </c>
      <c r="I5" s="2" t="s">
        <v>79</v>
      </c>
      <c r="J5" t="s">
        <v>80</v>
      </c>
      <c r="K5">
        <v>1.657</v>
      </c>
      <c r="M5" s="2" t="s">
        <v>81</v>
      </c>
      <c r="N5" t="s">
        <v>82</v>
      </c>
      <c r="O5" s="12">
        <f>ROUND((((Apport_204A+Apport_203A+Apport_202A)*Apport_557X)*Apport_559X)+Apport_203A,6)</f>
        <v>1.8734000000000001E-2</v>
      </c>
    </row>
    <row r="6" spans="1:19">
      <c r="A6" s="2" t="s">
        <v>116</v>
      </c>
      <c r="B6" t="s">
        <v>117</v>
      </c>
      <c r="C6">
        <v>151.86000000000001</v>
      </c>
      <c r="E6" s="2" t="s">
        <v>84</v>
      </c>
      <c r="F6" t="s">
        <v>85</v>
      </c>
      <c r="G6">
        <v>0.66300000000000003</v>
      </c>
      <c r="I6" s="2" t="s">
        <v>86</v>
      </c>
      <c r="J6" t="s">
        <v>87</v>
      </c>
      <c r="K6">
        <v>7.9000000000000001E-2</v>
      </c>
      <c r="O6" s="11"/>
    </row>
    <row r="7" spans="1:19">
      <c r="A7" s="2" t="s">
        <v>120</v>
      </c>
      <c r="B7" t="s">
        <v>121</v>
      </c>
      <c r="C7">
        <v>0.91700000000000004</v>
      </c>
      <c r="E7" s="2" t="s">
        <v>90</v>
      </c>
      <c r="F7" t="s">
        <v>91</v>
      </c>
      <c r="G7" s="28">
        <v>0.99299999999999999</v>
      </c>
      <c r="I7" s="2" t="s">
        <v>92</v>
      </c>
      <c r="J7" t="s">
        <v>93</v>
      </c>
      <c r="K7">
        <v>8.2500000000000004E-2</v>
      </c>
    </row>
    <row r="8" spans="1:19">
      <c r="B8" t="s">
        <v>1045</v>
      </c>
      <c r="C8" s="61">
        <v>1.9E-2</v>
      </c>
      <c r="E8" s="2" t="s">
        <v>95</v>
      </c>
      <c r="F8" t="s">
        <v>96</v>
      </c>
      <c r="G8" s="28">
        <v>0.58499999999999996</v>
      </c>
      <c r="I8" s="2" t="s">
        <v>97</v>
      </c>
      <c r="J8" t="s">
        <v>98</v>
      </c>
      <c r="K8">
        <v>1000</v>
      </c>
    </row>
    <row r="9" spans="1:19">
      <c r="B9" t="s">
        <v>1046</v>
      </c>
      <c r="C9" s="61">
        <v>3.6999999999999998E-2</v>
      </c>
      <c r="E9" s="2" t="s">
        <v>99</v>
      </c>
      <c r="F9" t="s">
        <v>100</v>
      </c>
      <c r="G9" s="28">
        <v>0.311</v>
      </c>
      <c r="I9" s="2" t="s">
        <v>101</v>
      </c>
      <c r="J9" t="s">
        <v>102</v>
      </c>
      <c r="K9">
        <v>0.628</v>
      </c>
    </row>
    <row r="10" spans="1:19">
      <c r="A10" s="2" t="s">
        <v>128</v>
      </c>
      <c r="B10" t="s">
        <v>129</v>
      </c>
      <c r="C10" s="50">
        <v>182.37</v>
      </c>
      <c r="E10" s="2" t="s">
        <v>103</v>
      </c>
      <c r="F10" t="s">
        <v>919</v>
      </c>
      <c r="G10" s="28">
        <v>0.104</v>
      </c>
      <c r="I10" s="2" t="s">
        <v>104</v>
      </c>
      <c r="J10" t="s">
        <v>105</v>
      </c>
      <c r="K10">
        <v>1.8129999999999999</v>
      </c>
    </row>
    <row r="11" spans="1:19">
      <c r="A11" s="2" t="s">
        <v>132</v>
      </c>
      <c r="B11" t="s">
        <v>133</v>
      </c>
      <c r="C11" s="50">
        <v>438.43</v>
      </c>
      <c r="E11" s="2" t="s">
        <v>106</v>
      </c>
      <c r="F11" s="13" t="s">
        <v>107</v>
      </c>
      <c r="G11" s="14">
        <f>ROUND((Apport_509X+Apport_510X+Apport_511X+Apport_512X+Apport_513X)/Apport_501X,6)</f>
        <v>6.6400000000000001E-3</v>
      </c>
      <c r="I11" s="2" t="s">
        <v>108</v>
      </c>
      <c r="J11" s="4" t="s">
        <v>109</v>
      </c>
      <c r="K11" s="4">
        <v>0.33200000000000002</v>
      </c>
    </row>
    <row r="12" spans="1:19">
      <c r="A12" s="2" t="s">
        <v>136</v>
      </c>
      <c r="B12" t="s">
        <v>914</v>
      </c>
      <c r="C12" s="50">
        <v>167.61</v>
      </c>
      <c r="E12" s="2" t="s">
        <v>112</v>
      </c>
      <c r="F12" t="s">
        <v>113</v>
      </c>
      <c r="G12" s="10">
        <f>((1/Apport_502X_Old)*(1+Apport_Z315))+Apport_201A</f>
        <v>5.2418834720570753E-2</v>
      </c>
      <c r="I12" s="2" t="s">
        <v>114</v>
      </c>
      <c r="J12" t="s">
        <v>115</v>
      </c>
      <c r="K12" s="10">
        <f>((Apport_514X+Apport_515X+Apport_516X+Apport_517X+Apport_518X)/Apport_501X)+((Apport_554X+Apport_555X+Apport_556X)/Apport_553X)</f>
        <v>1.5069249999999998E-2</v>
      </c>
    </row>
    <row r="13" spans="1:19">
      <c r="A13" s="2" t="s">
        <v>980</v>
      </c>
      <c r="B13" t="s">
        <v>974</v>
      </c>
      <c r="C13" s="50">
        <v>23.09</v>
      </c>
      <c r="I13" s="2" t="s">
        <v>118</v>
      </c>
      <c r="J13" s="4" t="s">
        <v>119</v>
      </c>
      <c r="K13" s="4">
        <v>1.2529999999999999</v>
      </c>
    </row>
    <row r="14" spans="1:19">
      <c r="A14" s="2" t="s">
        <v>981</v>
      </c>
      <c r="B14" t="s">
        <v>975</v>
      </c>
      <c r="C14" s="50">
        <v>332.74</v>
      </c>
      <c r="E14" s="2" t="s">
        <v>57</v>
      </c>
      <c r="F14" t="s">
        <v>122</v>
      </c>
      <c r="G14" s="29">
        <v>17</v>
      </c>
      <c r="I14" s="2" t="s">
        <v>123</v>
      </c>
      <c r="J14" t="s">
        <v>124</v>
      </c>
      <c r="K14" s="10">
        <f>ROUND(Apport_508X/Apport_501X,6)</f>
        <v>3.1329999999999999E-3</v>
      </c>
    </row>
    <row r="15" spans="1:19">
      <c r="A15" s="2" t="s">
        <v>138</v>
      </c>
      <c r="B15" t="s">
        <v>139</v>
      </c>
      <c r="C15" s="50">
        <v>29.5</v>
      </c>
      <c r="E15" s="2" t="s">
        <v>112</v>
      </c>
      <c r="F15" t="s">
        <v>125</v>
      </c>
      <c r="G15" s="12">
        <f>ROUND((IFERROR((1/Apport_502X)*(1+Apport_Z315),0))+Apport_201A,6)</f>
        <v>7.4580999999999995E-2</v>
      </c>
      <c r="I15" s="2" t="s">
        <v>126</v>
      </c>
      <c r="J15" t="s">
        <v>127</v>
      </c>
      <c r="K15" s="5">
        <v>5.2999999999999999E-2</v>
      </c>
    </row>
    <row r="16" spans="1:19">
      <c r="A16" s="2" t="s">
        <v>144</v>
      </c>
      <c r="B16" t="s">
        <v>145</v>
      </c>
      <c r="C16" s="50">
        <v>210.13</v>
      </c>
      <c r="E16" s="2"/>
      <c r="G16" s="11"/>
      <c r="I16" s="3" t="s">
        <v>130</v>
      </c>
      <c r="J16" s="4" t="s">
        <v>131</v>
      </c>
      <c r="K16" s="9">
        <v>0.25469999999999998</v>
      </c>
    </row>
    <row r="17" spans="1:18">
      <c r="A17" s="2" t="s">
        <v>152</v>
      </c>
      <c r="B17" t="s">
        <v>153</v>
      </c>
      <c r="C17" s="50">
        <v>149.15</v>
      </c>
      <c r="I17" s="2" t="s">
        <v>134</v>
      </c>
      <c r="J17" t="s">
        <v>135</v>
      </c>
      <c r="K17" s="10">
        <f>(((Apport_204A_Old+Apport_203A+Apport_202A)*Apport_557X)*Apport_558X)+Apport_202A</f>
        <v>4.0863210847514563E-3</v>
      </c>
      <c r="R17" s="6"/>
    </row>
    <row r="18" spans="1:18">
      <c r="A18" s="2" t="s">
        <v>154</v>
      </c>
      <c r="B18" t="s">
        <v>155</v>
      </c>
      <c r="C18" s="30">
        <f>SUM(C10:C17)</f>
        <v>1533.02</v>
      </c>
      <c r="I18" s="2" t="s">
        <v>134</v>
      </c>
      <c r="J18" t="s">
        <v>137</v>
      </c>
      <c r="K18" s="12">
        <f>ROUND((((Apport_204A+Apport_203A+Apport_202A)*Apport_557X)*Apport_558X)+Apport_202A,6)</f>
        <v>4.385E-3</v>
      </c>
      <c r="M18" s="11"/>
      <c r="R18" s="6"/>
    </row>
    <row r="19" spans="1:18">
      <c r="A19" s="2" t="s">
        <v>156</v>
      </c>
      <c r="B19" t="s">
        <v>157</v>
      </c>
      <c r="C19" s="50">
        <v>44.88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R19" s="6"/>
    </row>
    <row r="20" spans="1:18">
      <c r="A20" s="2" t="s">
        <v>162</v>
      </c>
      <c r="B20" t="s">
        <v>163</v>
      </c>
      <c r="C20" s="50">
        <v>0</v>
      </c>
      <c r="E20" s="2" t="s">
        <v>140</v>
      </c>
      <c r="F20" t="s">
        <v>141</v>
      </c>
      <c r="G20">
        <v>27</v>
      </c>
      <c r="I20" s="3" t="s">
        <v>142</v>
      </c>
      <c r="J20" s="4" t="s">
        <v>143</v>
      </c>
      <c r="K20" s="16">
        <f>Apport_222A</f>
        <v>4.9417999999999997E-2</v>
      </c>
      <c r="M20" s="3" t="s">
        <v>142</v>
      </c>
      <c r="N20" s="4" t="s">
        <v>143</v>
      </c>
      <c r="O20" s="4">
        <f>Apport_222A</f>
        <v>4.9417999999999997E-2</v>
      </c>
    </row>
    <row r="21" spans="1:18">
      <c r="A21" s="2" t="s">
        <v>170</v>
      </c>
      <c r="B21" t="s">
        <v>915</v>
      </c>
      <c r="C21" s="50">
        <v>48.97</v>
      </c>
      <c r="E21" s="3" t="s">
        <v>146</v>
      </c>
      <c r="F21" s="4" t="s">
        <v>147</v>
      </c>
      <c r="G21" s="4">
        <v>0.155</v>
      </c>
      <c r="I21" s="2" t="s">
        <v>148</v>
      </c>
      <c r="J21" t="s">
        <v>149</v>
      </c>
      <c r="K21" s="1">
        <f>ROUND((((Apport_222A+Apport_203A+Apport_202A)*Apport_557X)*Apport_558X)+Apport_202A,6)</f>
        <v>4.0460000000000001E-3</v>
      </c>
      <c r="M21" s="2" t="s">
        <v>150</v>
      </c>
      <c r="N21" t="s">
        <v>151</v>
      </c>
      <c r="O21" s="32">
        <f>ROUND((((Apport_222A+Apport_203A+Apport_202A)*Apport_557X)*Apport_559X)+Apport_203A,5)</f>
        <v>1.7739999999999999E-2</v>
      </c>
    </row>
    <row r="22" spans="1:18">
      <c r="A22" s="2" t="s">
        <v>982</v>
      </c>
      <c r="B22" t="s">
        <v>976</v>
      </c>
      <c r="C22" s="50">
        <v>6.16</v>
      </c>
      <c r="E22" s="2" t="s">
        <v>142</v>
      </c>
      <c r="F22" t="s">
        <v>143</v>
      </c>
      <c r="G22" s="10">
        <f>ROUND(((1/Apport_226A)*(1+Apport_Z316))+Apport_201A,6)</f>
        <v>4.9417999999999997E-2</v>
      </c>
    </row>
    <row r="23" spans="1:18">
      <c r="A23" s="2" t="s">
        <v>983</v>
      </c>
      <c r="B23" t="s">
        <v>977</v>
      </c>
      <c r="C23" s="50">
        <v>95.86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</row>
    <row r="24" spans="1:18">
      <c r="A24" s="2" t="s">
        <v>171</v>
      </c>
      <c r="B24" t="s">
        <v>172</v>
      </c>
      <c r="C24" s="50">
        <v>8.16</v>
      </c>
      <c r="E24" s="2" t="s">
        <v>158</v>
      </c>
      <c r="F24" t="s">
        <v>159</v>
      </c>
      <c r="G24">
        <v>27</v>
      </c>
      <c r="I24" s="3" t="s">
        <v>160</v>
      </c>
      <c r="J24" s="4" t="s">
        <v>161</v>
      </c>
      <c r="K24" s="4">
        <f>Apport_210A</f>
        <v>4.9417999999999997E-2</v>
      </c>
      <c r="M24" s="3" t="s">
        <v>160</v>
      </c>
      <c r="N24" s="4" t="s">
        <v>161</v>
      </c>
      <c r="O24" s="4">
        <f>Apport_210A</f>
        <v>4.9417999999999997E-2</v>
      </c>
    </row>
    <row r="25" spans="1:18">
      <c r="A25" s="2" t="s">
        <v>179</v>
      </c>
      <c r="B25" t="s">
        <v>180</v>
      </c>
      <c r="C25" s="50">
        <v>0</v>
      </c>
      <c r="E25" s="3" t="s">
        <v>164</v>
      </c>
      <c r="F25" s="4" t="s">
        <v>165</v>
      </c>
      <c r="G25" s="4">
        <v>0.155</v>
      </c>
      <c r="I25" s="2" t="s">
        <v>166</v>
      </c>
      <c r="J25" t="s">
        <v>167</v>
      </c>
      <c r="K25" s="1">
        <f>ROUND((((Apport_210A+Apport_203A+Apport_202A)*Apport_557X)*Apport_558X)+Apport_202A,6)</f>
        <v>4.0460000000000001E-3</v>
      </c>
      <c r="M25" s="2" t="s">
        <v>168</v>
      </c>
      <c r="N25" t="s">
        <v>169</v>
      </c>
      <c r="O25" s="32">
        <f>ROUND((((Apport_210A+Apport_203A+Apport_202A)*Apport_557X)*Apport_559X)+Apport_203A,5)</f>
        <v>1.7739999999999999E-2</v>
      </c>
    </row>
    <row r="26" spans="1:18">
      <c r="A26" s="2" t="s">
        <v>187</v>
      </c>
      <c r="B26" t="s">
        <v>188</v>
      </c>
      <c r="C26" s="50">
        <v>0</v>
      </c>
      <c r="E26" s="2" t="s">
        <v>160</v>
      </c>
      <c r="F26" t="s">
        <v>161</v>
      </c>
      <c r="G26" s="10">
        <f>ROUND(((1/Apport_504X)*(1+Apport_Z317))+Apport_201A,6)</f>
        <v>4.9417999999999997E-2</v>
      </c>
    </row>
    <row r="27" spans="1:18">
      <c r="A27" s="2" t="s">
        <v>195</v>
      </c>
      <c r="B27" t="s">
        <v>196</v>
      </c>
      <c r="C27" s="30">
        <f>SUM(C19:C26)</f>
        <v>204.03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</row>
    <row r="28" spans="1:18">
      <c r="A28" s="2" t="s">
        <v>201</v>
      </c>
      <c r="B28" t="s">
        <v>202</v>
      </c>
      <c r="C28" s="50">
        <v>175.75</v>
      </c>
      <c r="E28" s="2" t="s">
        <v>173</v>
      </c>
      <c r="F28" t="s">
        <v>174</v>
      </c>
      <c r="G28">
        <v>28.53</v>
      </c>
      <c r="I28" s="2" t="s">
        <v>175</v>
      </c>
      <c r="J28" t="s">
        <v>176</v>
      </c>
      <c r="K28">
        <v>0.77600000000000002</v>
      </c>
      <c r="M28" s="2" t="s">
        <v>177</v>
      </c>
      <c r="N28" t="s">
        <v>178</v>
      </c>
      <c r="O28" s="1">
        <f>ROUND((Apport_094A*Apport_557X)*Apport_559X,6)</f>
        <v>2.6670000000000001E-3</v>
      </c>
    </row>
    <row r="29" spans="1:18">
      <c r="A29" s="2" t="s">
        <v>207</v>
      </c>
      <c r="B29" t="s">
        <v>208</v>
      </c>
      <c r="C29" s="50">
        <v>509.62</v>
      </c>
      <c r="E29" s="2" t="s">
        <v>181</v>
      </c>
      <c r="F29" t="s">
        <v>182</v>
      </c>
      <c r="G29">
        <v>0.2</v>
      </c>
      <c r="I29" s="2" t="s">
        <v>183</v>
      </c>
      <c r="J29" t="s">
        <v>184</v>
      </c>
      <c r="K29">
        <v>2.4009999999999998</v>
      </c>
      <c r="M29" s="3" t="s">
        <v>185</v>
      </c>
      <c r="N29" s="4" t="s">
        <v>186</v>
      </c>
      <c r="O29" s="17">
        <f>ROUND(((Apport_530X+Apport_531X+Apport_532X+Apport_533X+Apport_534X)/Apport_519X)+((Apport_554X+Apport_555X+Apport_556X)/Apport_553X),6)</f>
        <v>1.4836E-2</v>
      </c>
    </row>
    <row r="30" spans="1:18">
      <c r="A30" s="2" t="s">
        <v>213</v>
      </c>
      <c r="B30" t="s">
        <v>916</v>
      </c>
      <c r="C30" s="50">
        <v>193.3</v>
      </c>
      <c r="E30" s="2" t="s">
        <v>189</v>
      </c>
      <c r="F30" t="s">
        <v>190</v>
      </c>
      <c r="G30">
        <v>432</v>
      </c>
      <c r="I30" s="2" t="s">
        <v>191</v>
      </c>
      <c r="J30" t="s">
        <v>192</v>
      </c>
      <c r="K30">
        <v>1.9419999999999999</v>
      </c>
      <c r="M30" s="2" t="s">
        <v>193</v>
      </c>
      <c r="N30" t="s">
        <v>194</v>
      </c>
      <c r="O30" s="1">
        <f>ROUND(Apport_096A+Apport_098A,6)</f>
        <v>1.7503000000000001E-2</v>
      </c>
    </row>
    <row r="31" spans="1:18">
      <c r="A31" s="2" t="s">
        <v>984</v>
      </c>
      <c r="B31" t="s">
        <v>978</v>
      </c>
      <c r="C31" s="50">
        <v>35.15</v>
      </c>
      <c r="E31" s="2" t="s">
        <v>197</v>
      </c>
      <c r="F31" t="s">
        <v>198</v>
      </c>
      <c r="G31">
        <v>0.51900000000000002</v>
      </c>
      <c r="I31" s="2" t="s">
        <v>199</v>
      </c>
      <c r="J31" t="s">
        <v>200</v>
      </c>
      <c r="K31">
        <v>9.1999999999999998E-2</v>
      </c>
    </row>
    <row r="32" spans="1:18">
      <c r="A32" s="2" t="s">
        <v>985</v>
      </c>
      <c r="B32" t="s">
        <v>979</v>
      </c>
      <c r="C32" s="50">
        <v>386.62</v>
      </c>
      <c r="E32" s="2" t="s">
        <v>203</v>
      </c>
      <c r="F32" t="s">
        <v>204</v>
      </c>
      <c r="G32" s="28">
        <v>1.716</v>
      </c>
      <c r="I32" s="2" t="s">
        <v>205</v>
      </c>
      <c r="J32" s="4" t="s">
        <v>206</v>
      </c>
      <c r="K32" s="4">
        <v>0</v>
      </c>
    </row>
    <row r="33" spans="1:15">
      <c r="A33" s="2" t="s">
        <v>222</v>
      </c>
      <c r="B33" t="s">
        <v>223</v>
      </c>
      <c r="C33" s="50">
        <v>35.15</v>
      </c>
      <c r="E33" s="2" t="s">
        <v>209</v>
      </c>
      <c r="F33" t="s">
        <v>210</v>
      </c>
      <c r="G33" s="28">
        <v>0.88800000000000001</v>
      </c>
      <c r="I33" s="2" t="s">
        <v>211</v>
      </c>
      <c r="J33" t="s">
        <v>212</v>
      </c>
      <c r="K33" s="1">
        <f>ROUND(((1/Apport_520X)*(1+Apport_Z318))+((Apport_524X+Apport_525X+Apport_526X+Apport_527X+Apport_528X+Apport_529X+Apport_530X+Apport_531X+Apport_532X+Apport_533X+Apport_534X)/Apport_519X)+((Apport_554X+Apport_555X+Apport_556X)/Apport_553X),6)</f>
        <v>6.7516999999999994E-2</v>
      </c>
    </row>
    <row r="34" spans="1:15">
      <c r="A34" s="2" t="s">
        <v>228</v>
      </c>
      <c r="B34" t="s">
        <v>1001</v>
      </c>
      <c r="C34" s="50">
        <v>246.05</v>
      </c>
      <c r="E34" s="2" t="s">
        <v>214</v>
      </c>
      <c r="F34" t="s">
        <v>215</v>
      </c>
      <c r="G34" s="28">
        <v>8.7999999999999995E-2</v>
      </c>
      <c r="I34" s="2" t="s">
        <v>216</v>
      </c>
      <c r="J34" t="s">
        <v>217</v>
      </c>
      <c r="K34" s="1">
        <f>ROUND((Apport_094A*Apport_557X)*Apport_558X,6)</f>
        <v>9.1100000000000003E-4</v>
      </c>
    </row>
    <row r="35" spans="1:15">
      <c r="A35" s="2" t="s">
        <v>231</v>
      </c>
      <c r="B35" t="s">
        <v>232</v>
      </c>
      <c r="C35" s="50">
        <v>175.75</v>
      </c>
      <c r="E35" s="3" t="s">
        <v>218</v>
      </c>
      <c r="F35" s="4" t="s">
        <v>219</v>
      </c>
      <c r="G35" s="44">
        <v>2.4E-2</v>
      </c>
      <c r="I35" s="2" t="s">
        <v>220</v>
      </c>
      <c r="J35" s="4" t="s">
        <v>221</v>
      </c>
      <c r="K35" s="4">
        <v>1.353</v>
      </c>
    </row>
    <row r="36" spans="1:15">
      <c r="B36" t="s">
        <v>233</v>
      </c>
      <c r="C36" s="30">
        <f>SUM(C28:C35)</f>
        <v>1757.39</v>
      </c>
      <c r="E36" s="2" t="s">
        <v>224</v>
      </c>
      <c r="F36" t="s">
        <v>225</v>
      </c>
      <c r="G36" s="10">
        <f>ROUND(((1/Apport_520X)*(1+Apport_Z318))+((Apport_525X+Apport_526X+Apport_527X+Apport_528X+Apport_529X)/Apport_519X),6)</f>
        <v>4.9549000000000003E-2</v>
      </c>
      <c r="I36" s="2" t="s">
        <v>226</v>
      </c>
      <c r="J36" t="s">
        <v>227</v>
      </c>
      <c r="K36" s="1">
        <f>ROUND(Apport_524X/Apport_519X,6)</f>
        <v>3.1319999999999998E-3</v>
      </c>
    </row>
    <row r="37" spans="1:15">
      <c r="A37" s="2" t="s">
        <v>921</v>
      </c>
      <c r="B37" t="s">
        <v>923</v>
      </c>
      <c r="C37" s="50">
        <v>175.75</v>
      </c>
      <c r="I37" s="2" t="s">
        <v>229</v>
      </c>
      <c r="J37" t="s">
        <v>230</v>
      </c>
      <c r="K37" s="1">
        <f>ROUND(Apport_095A+Apport_097A,6)</f>
        <v>4.0429999999999997E-3</v>
      </c>
    </row>
    <row r="38" spans="1:15">
      <c r="A38" s="2" t="s">
        <v>922</v>
      </c>
      <c r="B38" t="s">
        <v>926</v>
      </c>
      <c r="C38" s="50">
        <v>509.62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</row>
    <row r="39" spans="1:15">
      <c r="A39" s="2" t="s">
        <v>925</v>
      </c>
      <c r="B39" t="s">
        <v>998</v>
      </c>
      <c r="C39" s="50">
        <v>193.3</v>
      </c>
      <c r="E39" s="2" t="s">
        <v>234</v>
      </c>
      <c r="F39" t="s">
        <v>235</v>
      </c>
      <c r="G39">
        <v>19.98</v>
      </c>
      <c r="I39" s="2" t="s">
        <v>236</v>
      </c>
      <c r="J39" t="s">
        <v>237</v>
      </c>
      <c r="K39">
        <v>1.88</v>
      </c>
      <c r="M39" s="2" t="s">
        <v>238</v>
      </c>
      <c r="N39" t="s">
        <v>239</v>
      </c>
      <c r="O39" s="18">
        <f>(Apport_089A*Apport_557X)*Apport_559X</f>
        <v>2.7158150073243827E-3</v>
      </c>
    </row>
    <row r="40" spans="1:15">
      <c r="A40" s="2" t="s">
        <v>986</v>
      </c>
      <c r="B40" t="s">
        <v>988</v>
      </c>
      <c r="C40" s="50">
        <v>35.15</v>
      </c>
      <c r="E40" s="2" t="s">
        <v>240</v>
      </c>
      <c r="F40" t="s">
        <v>241</v>
      </c>
      <c r="G40">
        <v>28.74</v>
      </c>
      <c r="I40" s="2" t="s">
        <v>242</v>
      </c>
      <c r="J40" t="s">
        <v>243</v>
      </c>
      <c r="K40">
        <v>0.72799999999999998</v>
      </c>
      <c r="M40" s="2" t="s">
        <v>244</v>
      </c>
      <c r="N40" t="s">
        <v>245</v>
      </c>
      <c r="O40" s="11">
        <f>((Apport_548X+Apport_549X+Apport_550X+Apport_551X+Apport_552X)/Apport_535X)+((Apport_554X+Apport_555X+Apport_556X)/Apport_553X)</f>
        <v>1.4737999999999999E-2</v>
      </c>
    </row>
    <row r="41" spans="1:15" ht="15.75" thickBot="1">
      <c r="A41" s="2" t="s">
        <v>987</v>
      </c>
      <c r="B41" t="s">
        <v>989</v>
      </c>
      <c r="C41" s="50">
        <v>386.62</v>
      </c>
      <c r="E41" s="2" t="s">
        <v>246</v>
      </c>
      <c r="F41" t="s">
        <v>247</v>
      </c>
      <c r="G41">
        <v>8.3299999999999999E-2</v>
      </c>
      <c r="I41" s="2" t="s">
        <v>248</v>
      </c>
      <c r="J41" t="s">
        <v>249</v>
      </c>
      <c r="K41">
        <v>3.3450000000000002</v>
      </c>
      <c r="M41" s="19" t="s">
        <v>250</v>
      </c>
      <c r="N41" s="20" t="s">
        <v>251</v>
      </c>
      <c r="O41" s="21">
        <f>ROUND(O39+O40,6)</f>
        <v>1.7454000000000001E-2</v>
      </c>
    </row>
    <row r="42" spans="1:15" ht="15.75" thickTop="1">
      <c r="A42" s="2" t="s">
        <v>927</v>
      </c>
      <c r="B42" t="s">
        <v>928</v>
      </c>
      <c r="C42" s="50">
        <v>35.15</v>
      </c>
      <c r="E42" s="2" t="s">
        <v>252</v>
      </c>
      <c r="F42" t="s">
        <v>253</v>
      </c>
      <c r="G42">
        <v>0.2</v>
      </c>
      <c r="I42" s="2" t="s">
        <v>254</v>
      </c>
      <c r="J42" t="s">
        <v>255</v>
      </c>
      <c r="K42">
        <v>2.9649999999999999</v>
      </c>
    </row>
    <row r="43" spans="1:15">
      <c r="A43" s="2" t="s">
        <v>924</v>
      </c>
      <c r="B43" t="s">
        <v>1002</v>
      </c>
      <c r="C43" s="50">
        <v>246.05</v>
      </c>
      <c r="E43" s="2" t="s">
        <v>256</v>
      </c>
      <c r="F43" t="s">
        <v>257</v>
      </c>
      <c r="G43">
        <v>600</v>
      </c>
      <c r="I43" s="2" t="s">
        <v>258</v>
      </c>
      <c r="J43" t="s">
        <v>259</v>
      </c>
      <c r="K43">
        <v>0.14099999999999999</v>
      </c>
      <c r="M43" s="2"/>
    </row>
    <row r="44" spans="1:15">
      <c r="A44" s="2" t="s">
        <v>929</v>
      </c>
      <c r="B44" t="s">
        <v>930</v>
      </c>
      <c r="C44" s="50">
        <v>175.75</v>
      </c>
      <c r="E44" s="2" t="s">
        <v>260</v>
      </c>
      <c r="F44" t="s">
        <v>261</v>
      </c>
      <c r="G44">
        <v>0.52300000000000002</v>
      </c>
      <c r="I44" s="2" t="s">
        <v>262</v>
      </c>
      <c r="J44" t="s">
        <v>263</v>
      </c>
      <c r="K44">
        <v>0</v>
      </c>
      <c r="M44" s="2"/>
    </row>
    <row r="45" spans="1:15">
      <c r="B45" t="s">
        <v>931</v>
      </c>
      <c r="C45" s="30">
        <f>SUM(C37:C44)</f>
        <v>1757.39</v>
      </c>
      <c r="E45" s="2" t="s">
        <v>264</v>
      </c>
      <c r="F45" t="s">
        <v>265</v>
      </c>
      <c r="G45" s="28">
        <v>3.0390000000000001</v>
      </c>
      <c r="I45" s="2" t="s">
        <v>266</v>
      </c>
      <c r="J45" t="s">
        <v>267</v>
      </c>
      <c r="K45" s="22">
        <f>((((1/Apport_540X-1/Apport_536X)*Apport_541X)+(1/Apport_536X))*(1+Apport_Z319))+((Apport_542X+Apport_543X+Apport_544X+Apport_545X+Apport_546X+Apport_547X+Apport_548X+Apport_549X+Apport_550X+Apport_551X+Apport_552X)/Apport_535X)+((Apport_554X+Apport_555X+Apport_556X)/Apport_553X)</f>
        <v>6.8753243782404522E-2</v>
      </c>
      <c r="M45" s="2"/>
    </row>
    <row r="46" spans="1:15">
      <c r="E46" s="2" t="s">
        <v>268</v>
      </c>
      <c r="F46" t="s">
        <v>269</v>
      </c>
      <c r="G46" s="28">
        <v>0.82399999999999995</v>
      </c>
      <c r="I46" s="2" t="s">
        <v>270</v>
      </c>
      <c r="J46" t="s">
        <v>271</v>
      </c>
      <c r="K46" s="22">
        <f>(Apport_089A*Apport_557X)*Apport_558X</f>
        <v>9.2810691314305688E-4</v>
      </c>
    </row>
    <row r="47" spans="1:15">
      <c r="A47" s="2" t="s">
        <v>281</v>
      </c>
      <c r="B47" t="s">
        <v>282</v>
      </c>
      <c r="C47" s="51">
        <f>ROUND(1100*12,0)</f>
        <v>13200</v>
      </c>
      <c r="E47" s="2" t="s">
        <v>272</v>
      </c>
      <c r="F47" t="s">
        <v>273</v>
      </c>
      <c r="G47" s="28">
        <v>0.127</v>
      </c>
      <c r="I47" s="2" t="s">
        <v>274</v>
      </c>
      <c r="J47" t="s">
        <v>275</v>
      </c>
      <c r="K47" s="11">
        <f>Apport_542X/Apport_535X</f>
        <v>3.133333333333333E-3</v>
      </c>
      <c r="M47" s="2"/>
    </row>
    <row r="48" spans="1:15" ht="15.75" thickBot="1">
      <c r="A48" s="2" t="s">
        <v>1005</v>
      </c>
      <c r="B48" t="s">
        <v>283</v>
      </c>
      <c r="C48" s="51">
        <f>ROUND(1178*12,0)</f>
        <v>14136</v>
      </c>
      <c r="E48" s="3" t="s">
        <v>276</v>
      </c>
      <c r="F48" s="4" t="s">
        <v>917</v>
      </c>
      <c r="G48" s="44">
        <v>4.9000000000000002E-2</v>
      </c>
      <c r="I48" s="19" t="s">
        <v>277</v>
      </c>
      <c r="J48" s="20" t="s">
        <v>278</v>
      </c>
      <c r="K48" s="21">
        <f>ROUND(Apport_090A+Apport_092A,6)</f>
        <v>4.0610000000000004E-3</v>
      </c>
      <c r="M48" s="2"/>
    </row>
    <row r="49" spans="1:15" ht="13.5" customHeight="1" thickTop="1">
      <c r="A49" s="2" t="s">
        <v>1003</v>
      </c>
      <c r="B49" t="s">
        <v>1004</v>
      </c>
      <c r="C49">
        <v>1.02</v>
      </c>
      <c r="E49" s="2" t="s">
        <v>279</v>
      </c>
      <c r="F49" t="s">
        <v>280</v>
      </c>
      <c r="G49" s="10">
        <f>ROUND(((((1/Apport_540X-1/Apport_536X)*Apport_541X)+(1/Apport_536X))*(1+Apport_Z319))+((Apport_543X+Apport_544X+Apport_545X+Apport_546X+Apport_547X)/Apport_535X),6)</f>
        <v>5.0881999999999997E-2</v>
      </c>
      <c r="M49" s="2"/>
    </row>
    <row r="50" spans="1:15">
      <c r="A50" s="2" t="s">
        <v>284</v>
      </c>
      <c r="B50" t="s">
        <v>285</v>
      </c>
      <c r="C50">
        <v>1.43</v>
      </c>
      <c r="D50" s="15" t="s">
        <v>937</v>
      </c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</row>
    <row r="51" spans="1:15">
      <c r="A51" s="2" t="s">
        <v>286</v>
      </c>
      <c r="B51" t="s">
        <v>1006</v>
      </c>
      <c r="C51" s="28">
        <v>0.18149999999999999</v>
      </c>
      <c r="E51" s="2" t="s">
        <v>61</v>
      </c>
      <c r="F51" t="s">
        <v>62</v>
      </c>
      <c r="G51">
        <v>23</v>
      </c>
      <c r="I51" s="2" t="s">
        <v>226</v>
      </c>
      <c r="J51" t="s">
        <v>227</v>
      </c>
      <c r="K51" s="10">
        <f>ROUND(Apport_524X/Apport_519X,6)</f>
        <v>3.1319999999999998E-3</v>
      </c>
      <c r="M51" s="2" t="s">
        <v>177</v>
      </c>
      <c r="N51" t="s">
        <v>178</v>
      </c>
      <c r="O51" s="1">
        <f>ROUND((Apport_094A*Apport_557X)*Apport_559X,6)</f>
        <v>2.6670000000000001E-3</v>
      </c>
    </row>
    <row r="52" spans="1:15">
      <c r="A52" s="2" t="s">
        <v>287</v>
      </c>
      <c r="B52" t="s">
        <v>918</v>
      </c>
      <c r="C52" s="28">
        <v>0.17510000000000001</v>
      </c>
      <c r="E52" s="2"/>
      <c r="F52" t="s">
        <v>68</v>
      </c>
      <c r="G52">
        <v>0.2</v>
      </c>
      <c r="I52" s="2" t="s">
        <v>938</v>
      </c>
      <c r="J52" s="4" t="s">
        <v>939</v>
      </c>
      <c r="K52" s="4">
        <v>2.5000000000000001E-2</v>
      </c>
      <c r="M52" s="2" t="s">
        <v>185</v>
      </c>
      <c r="N52" t="s">
        <v>186</v>
      </c>
      <c r="O52" s="1">
        <f>ROUND(((Apport_530X+Apport_531X+Apport_532X+Apport_533X+Apport_534X)/Apport_519X)+((Apport_554X+Apport_555X+Apport_556X)/Apport_553X),6)</f>
        <v>1.4836E-2</v>
      </c>
    </row>
    <row r="53" spans="1:15" ht="15.75" thickBot="1">
      <c r="A53" s="2" t="s">
        <v>288</v>
      </c>
      <c r="B53" t="s">
        <v>289</v>
      </c>
      <c r="C53" s="28">
        <v>0.21659999999999999</v>
      </c>
      <c r="E53" s="2" t="s">
        <v>940</v>
      </c>
      <c r="F53" t="s">
        <v>941</v>
      </c>
      <c r="G53">
        <v>1000</v>
      </c>
      <c r="J53" t="s">
        <v>942</v>
      </c>
      <c r="K53" s="10">
        <f>ROUND(K51*(1+K52),6)</f>
        <v>3.2100000000000002E-3</v>
      </c>
      <c r="M53" s="19"/>
      <c r="N53" s="20" t="s">
        <v>943</v>
      </c>
      <c r="O53" s="21">
        <f>ROUND(O51+O52,6)</f>
        <v>1.7503000000000001E-2</v>
      </c>
    </row>
    <row r="54" spans="1:15" ht="15.75" thickTop="1">
      <c r="A54" s="2" t="s">
        <v>290</v>
      </c>
      <c r="B54" t="s">
        <v>291</v>
      </c>
      <c r="C54" s="28">
        <v>0.18160000000000001</v>
      </c>
      <c r="E54" s="3" t="s">
        <v>944</v>
      </c>
      <c r="F54" s="4" t="s">
        <v>945</v>
      </c>
      <c r="G54" s="44">
        <f>ROUND(2.024+(($G$45-1.909)/600*1000),2)</f>
        <v>3.91</v>
      </c>
      <c r="I54" s="2" t="s">
        <v>216</v>
      </c>
      <c r="J54" t="s">
        <v>217</v>
      </c>
      <c r="K54" s="10">
        <f>ROUND((Apport_094A*Apport_557X)*Apport_558X,6)</f>
        <v>9.1100000000000003E-4</v>
      </c>
    </row>
    <row r="55" spans="1:15">
      <c r="F55" t="s">
        <v>946</v>
      </c>
      <c r="G55" s="10">
        <f>ROUND(((1/Apport_561X)*(1+CTE_9_12_Class_Size))+((G54)/G53),6)</f>
        <v>5.6084000000000002E-2</v>
      </c>
      <c r="I55" s="2" t="s">
        <v>947</v>
      </c>
      <c r="J55" s="4" t="s">
        <v>948</v>
      </c>
      <c r="K55" s="4">
        <v>0.1211</v>
      </c>
    </row>
    <row r="56" spans="1:15">
      <c r="A56" s="2" t="s">
        <v>1026</v>
      </c>
      <c r="B56" t="s">
        <v>1025</v>
      </c>
      <c r="C56">
        <v>3</v>
      </c>
      <c r="I56" s="4"/>
      <c r="J56" s="4" t="s">
        <v>949</v>
      </c>
      <c r="K56" s="31">
        <f>ROUND(K54*(1+K55),6)</f>
        <v>1.021E-3</v>
      </c>
    </row>
    <row r="57" spans="1:15">
      <c r="A57" s="2" t="s">
        <v>1027</v>
      </c>
      <c r="B57" t="s">
        <v>1028</v>
      </c>
      <c r="C57">
        <v>180</v>
      </c>
      <c r="J57" t="s">
        <v>950</v>
      </c>
      <c r="K57" s="10">
        <f>ROUND(K53+K56,6)</f>
        <v>4.2310000000000004E-3</v>
      </c>
    </row>
    <row r="58" spans="1:15">
      <c r="D58" s="15" t="s">
        <v>951</v>
      </c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</row>
    <row r="59" spans="1:15">
      <c r="A59" s="2" t="s">
        <v>1037</v>
      </c>
      <c r="B59" t="s">
        <v>1038</v>
      </c>
      <c r="C59" s="30">
        <v>75419</v>
      </c>
      <c r="E59" s="2" t="s">
        <v>75</v>
      </c>
      <c r="F59" t="s">
        <v>76</v>
      </c>
      <c r="G59">
        <v>23</v>
      </c>
      <c r="I59" s="2" t="s">
        <v>274</v>
      </c>
      <c r="J59" t="s">
        <v>275</v>
      </c>
      <c r="K59" s="11">
        <f>Apport_542X/Apport_535X</f>
        <v>3.133333333333333E-3</v>
      </c>
      <c r="M59" s="2" t="s">
        <v>238</v>
      </c>
      <c r="N59" t="s">
        <v>239</v>
      </c>
      <c r="O59" s="18">
        <f>(Apport_089A*Apport_557X)*Apport_559X</f>
        <v>2.7158150073243827E-3</v>
      </c>
    </row>
    <row r="60" spans="1:15">
      <c r="A60" s="2" t="s">
        <v>1039</v>
      </c>
      <c r="B60" t="s">
        <v>1040</v>
      </c>
      <c r="C60" s="30">
        <v>78209</v>
      </c>
      <c r="E60" s="2"/>
      <c r="F60" t="s">
        <v>83</v>
      </c>
      <c r="G60">
        <v>0.2</v>
      </c>
      <c r="I60" s="2" t="s">
        <v>938</v>
      </c>
      <c r="J60" s="4" t="s">
        <v>939</v>
      </c>
      <c r="K60" s="4">
        <v>2.5000000000000001E-2</v>
      </c>
      <c r="M60" s="2" t="s">
        <v>244</v>
      </c>
      <c r="N60" t="s">
        <v>245</v>
      </c>
      <c r="O60" s="11">
        <f>((Apport_548X+Apport_549X+Apport_550X+Apport_551X+Apport_552X)/Apport_535X)+((Apport_554X+Apport_555X+Apport_556X)/Apport_553X)</f>
        <v>1.4737999999999999E-2</v>
      </c>
    </row>
    <row r="61" spans="1:15" ht="15.75" thickBot="1">
      <c r="A61" s="2" t="s">
        <v>53</v>
      </c>
      <c r="B61" t="s">
        <v>1041</v>
      </c>
      <c r="C61" s="30">
        <v>111950</v>
      </c>
      <c r="E61" s="2" t="s">
        <v>952</v>
      </c>
      <c r="F61" t="s">
        <v>953</v>
      </c>
      <c r="G61">
        <v>1000</v>
      </c>
      <c r="J61" t="s">
        <v>954</v>
      </c>
      <c r="K61" s="10">
        <f>ROUND(K59*(1+K60),6)</f>
        <v>3.212E-3</v>
      </c>
      <c r="M61" s="19" t="s">
        <v>250</v>
      </c>
      <c r="N61" s="20" t="s">
        <v>955</v>
      </c>
      <c r="O61" s="21">
        <f>ROUND(O59+O60,6)</f>
        <v>1.7454000000000001E-2</v>
      </c>
    </row>
    <row r="62" spans="1:15" ht="15.75" thickTop="1">
      <c r="A62" s="2" t="s">
        <v>54</v>
      </c>
      <c r="B62" t="s">
        <v>1042</v>
      </c>
      <c r="C62" s="30">
        <v>116092</v>
      </c>
      <c r="E62" s="3" t="s">
        <v>956</v>
      </c>
      <c r="F62" s="4" t="s">
        <v>957</v>
      </c>
      <c r="G62" s="44">
        <f>ROUND(2.024+(($G$45-1.909)/600*1000),2)</f>
        <v>3.91</v>
      </c>
      <c r="I62" s="2" t="s">
        <v>270</v>
      </c>
      <c r="J62" t="s">
        <v>271</v>
      </c>
      <c r="K62" s="22">
        <f>(Apport_089A*Apport_557X)*Apport_558X</f>
        <v>9.2810691314305688E-4</v>
      </c>
    </row>
    <row r="63" spans="1:15">
      <c r="A63" s="2" t="s">
        <v>55</v>
      </c>
      <c r="B63" t="s">
        <v>1043</v>
      </c>
      <c r="C63" s="30">
        <v>54103</v>
      </c>
      <c r="F63" t="s">
        <v>958</v>
      </c>
      <c r="G63" s="10">
        <f>ROUND(((1/Apport_565X)*(1+CTE_Planning))+((G62)/G61),6)</f>
        <v>5.6084000000000002E-2</v>
      </c>
      <c r="I63" s="2" t="s">
        <v>947</v>
      </c>
      <c r="J63" s="4" t="s">
        <v>948</v>
      </c>
      <c r="K63" s="4">
        <v>0.1211</v>
      </c>
    </row>
    <row r="64" spans="1:15">
      <c r="A64" s="2" t="s">
        <v>56</v>
      </c>
      <c r="B64" t="s">
        <v>1044</v>
      </c>
      <c r="C64" s="30">
        <v>56105</v>
      </c>
      <c r="I64" s="4"/>
      <c r="J64" s="4" t="s">
        <v>959</v>
      </c>
      <c r="K64" s="31">
        <f>ROUND(K62*(1+K63),6)</f>
        <v>1.041E-3</v>
      </c>
    </row>
    <row r="65" spans="4:15">
      <c r="J65" t="s">
        <v>960</v>
      </c>
      <c r="K65" s="10">
        <f>ROUND(K61+K64,6)</f>
        <v>4.2529999999999998E-3</v>
      </c>
    </row>
    <row r="66" spans="4:15">
      <c r="D66" s="15" t="s">
        <v>961</v>
      </c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</row>
    <row r="67" spans="4:15">
      <c r="E67" s="2" t="s">
        <v>88</v>
      </c>
      <c r="F67" t="s">
        <v>89</v>
      </c>
      <c r="G67">
        <v>19</v>
      </c>
      <c r="I67" s="2" t="s">
        <v>274</v>
      </c>
      <c r="J67" t="s">
        <v>275</v>
      </c>
      <c r="K67" s="11">
        <f>Apport_542X/Apport_535X</f>
        <v>3.133333333333333E-3</v>
      </c>
      <c r="M67" s="2" t="s">
        <v>238</v>
      </c>
      <c r="N67" t="s">
        <v>239</v>
      </c>
      <c r="O67" s="18">
        <f>(Apport_089A*Apport_557X)*Apport_559X</f>
        <v>2.7158150073243827E-3</v>
      </c>
    </row>
    <row r="68" spans="4:15">
      <c r="E68" s="2"/>
      <c r="F68" t="s">
        <v>94</v>
      </c>
      <c r="G68">
        <v>0.2</v>
      </c>
      <c r="I68" s="2" t="s">
        <v>962</v>
      </c>
      <c r="J68" t="s">
        <v>963</v>
      </c>
      <c r="K68">
        <v>0.19800000000000001</v>
      </c>
      <c r="M68" s="2" t="s">
        <v>244</v>
      </c>
      <c r="N68" t="s">
        <v>245</v>
      </c>
      <c r="O68" s="11">
        <f>((Apport_548X+Apport_549X+Apport_550X+Apport_551X+Apport_552X)/Apport_535X)+((Apport_554X+Apport_555X+Apport_556X)/Apport_553X)</f>
        <v>1.4737999999999999E-2</v>
      </c>
    </row>
    <row r="69" spans="4:15" ht="15.75" thickBot="1">
      <c r="E69" s="2" t="s">
        <v>964</v>
      </c>
      <c r="F69" t="s">
        <v>965</v>
      </c>
      <c r="G69">
        <v>1000</v>
      </c>
      <c r="J69" t="s">
        <v>966</v>
      </c>
      <c r="K69" s="10">
        <f>ROUND(K67*(1+K68),6)</f>
        <v>3.754E-3</v>
      </c>
      <c r="M69" s="19" t="s">
        <v>250</v>
      </c>
      <c r="N69" s="20" t="s">
        <v>955</v>
      </c>
      <c r="O69" s="21">
        <f>ROUND(O67+O68,6)</f>
        <v>1.7454000000000001E-2</v>
      </c>
    </row>
    <row r="70" spans="4:15" ht="15.75" thickTop="1">
      <c r="E70" s="2" t="s">
        <v>967</v>
      </c>
      <c r="F70" t="s">
        <v>968</v>
      </c>
      <c r="G70" s="44">
        <f>ROUND(2.363+(($G$45-1.909)/600*1000),2)</f>
        <v>4.25</v>
      </c>
      <c r="I70" s="2" t="s">
        <v>270</v>
      </c>
      <c r="J70" t="s">
        <v>271</v>
      </c>
      <c r="K70" s="22">
        <f>(Apport_089A*Apport_557X)*Apport_558X</f>
        <v>9.2810691314305688E-4</v>
      </c>
    </row>
    <row r="71" spans="4:15">
      <c r="F71" t="s">
        <v>969</v>
      </c>
      <c r="G71" s="10">
        <f>ROUND(((1/Apport_573X)*(1+G68))+((G70)/G69),6)</f>
        <v>6.7407999999999996E-2</v>
      </c>
      <c r="I71" s="2" t="s">
        <v>970</v>
      </c>
      <c r="J71" t="s">
        <v>971</v>
      </c>
      <c r="K71">
        <v>0.17419999999999999</v>
      </c>
    </row>
    <row r="72" spans="4:15">
      <c r="I72" s="4"/>
      <c r="J72" s="4" t="s">
        <v>972</v>
      </c>
      <c r="K72" s="31">
        <f>ROUND(K70*(1+K71),6)</f>
        <v>1.09E-3</v>
      </c>
    </row>
    <row r="73" spans="4:15">
      <c r="J73" t="s">
        <v>973</v>
      </c>
      <c r="K73" s="10">
        <f>ROUND(K69+K72,6)</f>
        <v>4.8440000000000002E-3</v>
      </c>
    </row>
  </sheetData>
  <mergeCells count="3">
    <mergeCell ref="F2:G2"/>
    <mergeCell ref="J2:K2"/>
    <mergeCell ref="N2:O2"/>
  </mergeCells>
  <pageMargins left="0.7" right="0.7" top="0.75" bottom="0.75" header="0.3" footer="0.3"/>
  <pageSetup scale="77" orientation="portrait" r:id="rId1"/>
  <colBreaks count="1" manualBreakCount="1">
    <brk id="8" max="6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AL326"/>
  <sheetViews>
    <sheetView zoomScale="90" zoomScaleNormal="90" workbookViewId="0">
      <pane xSplit="2" ySplit="3" topLeftCell="D4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/>
  <cols>
    <col min="1" max="1" width="15.7109375" bestFit="1" customWidth="1"/>
    <col min="2" max="2" width="28.85546875" customWidth="1"/>
    <col min="3" max="3" width="18" customWidth="1"/>
    <col min="4" max="4" width="11.140625" bestFit="1" customWidth="1"/>
    <col min="5" max="5" width="12" customWidth="1"/>
    <col min="6" max="6" width="11.7109375" customWidth="1"/>
    <col min="7" max="7" width="13" customWidth="1"/>
    <col min="8" max="8" width="14" customWidth="1"/>
    <col min="9" max="9" width="11.85546875" customWidth="1"/>
    <col min="10" max="10" width="13.85546875" customWidth="1"/>
    <col min="11" max="11" width="14.7109375" customWidth="1"/>
    <col min="12" max="12" width="10" customWidth="1"/>
    <col min="13" max="13" width="15.7109375" customWidth="1"/>
    <col min="14" max="15" width="15.42578125" customWidth="1"/>
    <col min="16" max="16" width="11.5703125" customWidth="1"/>
    <col min="17" max="17" width="10.42578125" customWidth="1"/>
    <col min="18" max="18" width="11.42578125" customWidth="1"/>
    <col min="19" max="19" width="15" customWidth="1"/>
    <col min="20" max="20" width="12.28515625" customWidth="1"/>
    <col min="21" max="21" width="12.7109375" customWidth="1"/>
    <col min="22" max="26" width="10" customWidth="1"/>
    <col min="27" max="27" width="12.5703125" bestFit="1" customWidth="1"/>
    <col min="28" max="29" width="9.140625" customWidth="1"/>
    <col min="31" max="31" width="12.5703125" bestFit="1" customWidth="1"/>
    <col min="34" max="34" width="15" customWidth="1"/>
    <col min="35" max="35" width="12.28515625" customWidth="1"/>
    <col min="36" max="36" width="12.7109375" customWidth="1"/>
  </cols>
  <sheetData>
    <row r="1" spans="1:38">
      <c r="A1" s="23">
        <f>COLUMN(A1)</f>
        <v>1</v>
      </c>
      <c r="B1" s="23">
        <f t="shared" ref="B1:AL1" si="0">COLUMN(B1)</f>
        <v>2</v>
      </c>
      <c r="C1" s="23">
        <f t="shared" si="0"/>
        <v>3</v>
      </c>
      <c r="D1" s="23">
        <f t="shared" si="0"/>
        <v>4</v>
      </c>
      <c r="E1" s="23">
        <f t="shared" si="0"/>
        <v>5</v>
      </c>
      <c r="F1" s="23">
        <f t="shared" si="0"/>
        <v>6</v>
      </c>
      <c r="G1" s="23">
        <f t="shared" si="0"/>
        <v>7</v>
      </c>
      <c r="H1" s="23">
        <f t="shared" si="0"/>
        <v>8</v>
      </c>
      <c r="I1" s="23">
        <f t="shared" si="0"/>
        <v>9</v>
      </c>
      <c r="J1" s="23">
        <f t="shared" si="0"/>
        <v>10</v>
      </c>
      <c r="K1" s="23">
        <f t="shared" si="0"/>
        <v>11</v>
      </c>
      <c r="L1" s="23">
        <f t="shared" si="0"/>
        <v>12</v>
      </c>
      <c r="M1" s="23">
        <f t="shared" si="0"/>
        <v>13</v>
      </c>
      <c r="N1" s="23">
        <f t="shared" si="0"/>
        <v>14</v>
      </c>
      <c r="O1" s="23">
        <f t="shared" si="0"/>
        <v>15</v>
      </c>
      <c r="P1" s="23">
        <f t="shared" si="0"/>
        <v>16</v>
      </c>
      <c r="Q1" s="23">
        <f t="shared" si="0"/>
        <v>17</v>
      </c>
      <c r="R1" s="23">
        <f t="shared" si="0"/>
        <v>18</v>
      </c>
      <c r="S1" s="23">
        <f t="shared" si="0"/>
        <v>19</v>
      </c>
      <c r="T1" s="23">
        <f t="shared" si="0"/>
        <v>20</v>
      </c>
      <c r="U1" s="23">
        <f t="shared" si="0"/>
        <v>21</v>
      </c>
      <c r="V1" s="23">
        <f t="shared" si="0"/>
        <v>22</v>
      </c>
      <c r="W1" s="23">
        <f t="shared" si="0"/>
        <v>23</v>
      </c>
      <c r="X1" s="23">
        <f t="shared" si="0"/>
        <v>24</v>
      </c>
      <c r="Y1" s="23">
        <f t="shared" si="0"/>
        <v>25</v>
      </c>
      <c r="Z1" s="23">
        <f t="shared" si="0"/>
        <v>26</v>
      </c>
      <c r="AA1" s="23">
        <f t="shared" si="0"/>
        <v>27</v>
      </c>
      <c r="AB1" s="23">
        <f t="shared" si="0"/>
        <v>28</v>
      </c>
      <c r="AC1" s="23">
        <f t="shared" si="0"/>
        <v>29</v>
      </c>
      <c r="AD1" s="23">
        <f t="shared" si="0"/>
        <v>30</v>
      </c>
      <c r="AE1" s="23">
        <f t="shared" si="0"/>
        <v>31</v>
      </c>
      <c r="AF1" s="23">
        <f t="shared" si="0"/>
        <v>32</v>
      </c>
      <c r="AG1" s="23">
        <f t="shared" si="0"/>
        <v>33</v>
      </c>
      <c r="AH1" s="23">
        <f t="shared" si="0"/>
        <v>34</v>
      </c>
      <c r="AI1" s="23">
        <f t="shared" si="0"/>
        <v>35</v>
      </c>
      <c r="AJ1" s="23">
        <f t="shared" si="0"/>
        <v>36</v>
      </c>
      <c r="AK1" s="23">
        <f t="shared" si="0"/>
        <v>37</v>
      </c>
      <c r="AL1" s="23">
        <f t="shared" si="0"/>
        <v>38</v>
      </c>
    </row>
    <row r="2" spans="1:38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E2" s="23"/>
      <c r="AH2" s="23"/>
      <c r="AI2" s="23"/>
      <c r="AJ2" s="23"/>
    </row>
    <row r="3" spans="1:38" s="25" customFormat="1" ht="75">
      <c r="A3" s="24" t="s">
        <v>292</v>
      </c>
      <c r="B3" s="24" t="s">
        <v>293</v>
      </c>
      <c r="C3" s="24" t="s">
        <v>294</v>
      </c>
      <c r="D3" s="70" t="s">
        <v>1095</v>
      </c>
      <c r="E3" s="24" t="s">
        <v>297</v>
      </c>
      <c r="F3" s="24" t="s">
        <v>301</v>
      </c>
      <c r="G3" s="24" t="s">
        <v>298</v>
      </c>
      <c r="H3" s="24" t="s">
        <v>295</v>
      </c>
      <c r="I3" s="24" t="s">
        <v>299</v>
      </c>
      <c r="J3" s="24" t="s">
        <v>300</v>
      </c>
      <c r="K3" s="24" t="s">
        <v>302</v>
      </c>
      <c r="L3" s="24" t="s">
        <v>303</v>
      </c>
      <c r="M3" s="24" t="s">
        <v>296</v>
      </c>
      <c r="N3" s="24" t="s">
        <v>304</v>
      </c>
      <c r="O3" s="24" t="s">
        <v>305</v>
      </c>
      <c r="P3" s="24" t="s">
        <v>306</v>
      </c>
      <c r="Q3" s="24" t="s">
        <v>307</v>
      </c>
      <c r="R3" s="24" t="s">
        <v>308</v>
      </c>
      <c r="S3" s="24" t="s">
        <v>999</v>
      </c>
      <c r="T3" s="24" t="s">
        <v>992</v>
      </c>
      <c r="U3" s="24" t="s">
        <v>1000</v>
      </c>
      <c r="V3" s="36" t="s">
        <v>1066</v>
      </c>
      <c r="W3" s="25" t="s">
        <v>1082</v>
      </c>
      <c r="X3" s="25" t="s">
        <v>1083</v>
      </c>
      <c r="Y3" s="25" t="s">
        <v>1067</v>
      </c>
      <c r="Z3" s="25" t="s">
        <v>1068</v>
      </c>
      <c r="AA3" s="25" t="s">
        <v>1069</v>
      </c>
      <c r="AB3" s="24" t="s">
        <v>1105</v>
      </c>
      <c r="AC3" s="37" t="s">
        <v>1086</v>
      </c>
      <c r="AD3" s="37" t="s">
        <v>1087</v>
      </c>
      <c r="AE3" s="25" t="s">
        <v>1076</v>
      </c>
      <c r="AF3" s="60" t="s">
        <v>1078</v>
      </c>
      <c r="AG3" s="36" t="s">
        <v>1080</v>
      </c>
      <c r="AH3" s="74" t="s">
        <v>1102</v>
      </c>
      <c r="AI3" s="74" t="s">
        <v>1103</v>
      </c>
      <c r="AJ3" s="74" t="s">
        <v>1104</v>
      </c>
      <c r="AK3" s="88" t="s">
        <v>1134</v>
      </c>
      <c r="AL3" s="89" t="s">
        <v>1135</v>
      </c>
    </row>
    <row r="4" spans="1:38">
      <c r="A4" s="28" t="s">
        <v>572</v>
      </c>
      <c r="B4" s="28" t="s">
        <v>573</v>
      </c>
      <c r="C4" t="s">
        <v>1088</v>
      </c>
      <c r="D4" s="6">
        <v>0</v>
      </c>
      <c r="E4" s="6">
        <v>176.76</v>
      </c>
      <c r="F4" s="6">
        <v>51.3</v>
      </c>
      <c r="G4" s="6">
        <v>85.52</v>
      </c>
      <c r="H4" s="6">
        <v>101.08</v>
      </c>
      <c r="I4" s="6">
        <v>233.09</v>
      </c>
      <c r="J4" s="6">
        <v>647.75</v>
      </c>
      <c r="K4" s="6">
        <v>0.89</v>
      </c>
      <c r="L4" s="6">
        <v>0</v>
      </c>
      <c r="M4" s="6">
        <v>648.64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>
        <v>1</v>
      </c>
      <c r="T4">
        <v>1</v>
      </c>
      <c r="U4">
        <v>0</v>
      </c>
      <c r="V4" s="6">
        <v>6</v>
      </c>
      <c r="W4" s="6">
        <v>0</v>
      </c>
      <c r="X4" s="6">
        <v>0</v>
      </c>
      <c r="Y4" s="6">
        <v>71.11</v>
      </c>
      <c r="Z4" s="6">
        <v>11.22</v>
      </c>
      <c r="AA4" s="6">
        <v>649.23</v>
      </c>
      <c r="AB4" s="6">
        <v>17</v>
      </c>
      <c r="AC4" s="6">
        <v>126.16</v>
      </c>
      <c r="AD4" s="6">
        <v>20.88</v>
      </c>
      <c r="AE4" s="6">
        <v>82.33</v>
      </c>
      <c r="AF4" s="35">
        <v>0.1157</v>
      </c>
      <c r="AG4" s="35">
        <v>0.15629999999999999</v>
      </c>
      <c r="AH4">
        <v>1</v>
      </c>
      <c r="AI4">
        <v>1</v>
      </c>
      <c r="AJ4">
        <v>0</v>
      </c>
      <c r="AK4" s="35">
        <v>0.20899999999999999</v>
      </c>
      <c r="AL4" s="35">
        <v>0.19130000000000003</v>
      </c>
    </row>
    <row r="5" spans="1:38">
      <c r="A5" s="28" t="s">
        <v>450</v>
      </c>
      <c r="B5" s="28" t="s">
        <v>451</v>
      </c>
      <c r="C5" t="s">
        <v>1088</v>
      </c>
      <c r="D5" s="6">
        <v>0</v>
      </c>
      <c r="E5" s="6">
        <v>138.71</v>
      </c>
      <c r="F5" s="6">
        <v>27.4</v>
      </c>
      <c r="G5" s="6">
        <v>74.7</v>
      </c>
      <c r="H5" s="6">
        <v>47.45</v>
      </c>
      <c r="I5" s="6">
        <v>87.17</v>
      </c>
      <c r="J5" s="6">
        <v>375.43</v>
      </c>
      <c r="K5" s="6">
        <v>4.45</v>
      </c>
      <c r="L5" s="6">
        <v>0.42</v>
      </c>
      <c r="M5" s="6">
        <v>380.3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>
        <v>1</v>
      </c>
      <c r="T5">
        <v>1</v>
      </c>
      <c r="U5">
        <v>0.04</v>
      </c>
      <c r="V5" s="6">
        <v>6</v>
      </c>
      <c r="W5" s="6">
        <v>0</v>
      </c>
      <c r="X5" s="6">
        <v>0</v>
      </c>
      <c r="Y5" s="6">
        <v>24.67</v>
      </c>
      <c r="Z5" s="6">
        <v>5.22</v>
      </c>
      <c r="AA5" s="6">
        <v>386.18</v>
      </c>
      <c r="AB5" s="6">
        <v>17</v>
      </c>
      <c r="AC5" s="6">
        <v>140.16999999999999</v>
      </c>
      <c r="AD5" s="6">
        <v>23.2</v>
      </c>
      <c r="AE5" s="6">
        <v>29.89</v>
      </c>
      <c r="AF5" s="35">
        <v>0.2389</v>
      </c>
      <c r="AG5" s="35">
        <v>0.15890000000000001</v>
      </c>
      <c r="AH5">
        <v>1</v>
      </c>
      <c r="AI5">
        <v>1</v>
      </c>
      <c r="AJ5">
        <v>4.0000000000000036E-2</v>
      </c>
      <c r="AK5" s="35">
        <v>0.2185</v>
      </c>
      <c r="AL5" s="35">
        <v>0.19130000000000003</v>
      </c>
    </row>
    <row r="6" spans="1:38">
      <c r="A6" s="28" t="s">
        <v>363</v>
      </c>
      <c r="B6" s="28" t="s">
        <v>364</v>
      </c>
      <c r="C6" t="s">
        <v>1088</v>
      </c>
      <c r="D6" s="6">
        <v>16.95</v>
      </c>
      <c r="E6" s="6">
        <v>334.71</v>
      </c>
      <c r="F6" s="6">
        <v>86</v>
      </c>
      <c r="G6" s="6">
        <v>175.46</v>
      </c>
      <c r="H6" s="6">
        <v>175.52</v>
      </c>
      <c r="I6" s="6">
        <v>359.86</v>
      </c>
      <c r="J6" s="6">
        <v>1131.55</v>
      </c>
      <c r="K6" s="6">
        <v>34.270000000000003</v>
      </c>
      <c r="L6" s="6">
        <v>2.19</v>
      </c>
      <c r="M6" s="6">
        <v>1205.92</v>
      </c>
      <c r="N6" s="6">
        <v>0</v>
      </c>
      <c r="O6" s="6">
        <v>0</v>
      </c>
      <c r="P6" s="6">
        <v>28.27</v>
      </c>
      <c r="Q6" s="6">
        <v>8.48</v>
      </c>
      <c r="R6" s="6">
        <v>1.1599999999999999</v>
      </c>
      <c r="S6">
        <v>1</v>
      </c>
      <c r="T6">
        <v>1</v>
      </c>
      <c r="U6">
        <v>0</v>
      </c>
      <c r="V6" s="6">
        <v>14.11</v>
      </c>
      <c r="W6" s="6">
        <v>0.67</v>
      </c>
      <c r="X6" s="6">
        <v>0.89</v>
      </c>
      <c r="Y6" s="6">
        <v>77.44</v>
      </c>
      <c r="Z6" s="6">
        <v>49</v>
      </c>
      <c r="AA6" s="6">
        <v>1223.76</v>
      </c>
      <c r="AB6" s="6">
        <v>17</v>
      </c>
      <c r="AC6" s="6">
        <v>129.86000000000001</v>
      </c>
      <c r="AD6" s="6">
        <v>21.49</v>
      </c>
      <c r="AE6" s="6">
        <v>128</v>
      </c>
      <c r="AF6" s="35">
        <v>0.14610000000000001</v>
      </c>
      <c r="AG6" s="35">
        <v>0.21029999999999999</v>
      </c>
      <c r="AH6">
        <v>1</v>
      </c>
      <c r="AI6">
        <v>1</v>
      </c>
      <c r="AJ6">
        <v>0</v>
      </c>
      <c r="AK6" s="35">
        <v>0.15049999999999999</v>
      </c>
      <c r="AL6" s="35">
        <v>0.19130000000000003</v>
      </c>
    </row>
    <row r="7" spans="1:38">
      <c r="A7" t="s">
        <v>494</v>
      </c>
      <c r="B7" t="s">
        <v>495</v>
      </c>
      <c r="C7" t="s">
        <v>1088</v>
      </c>
      <c r="D7" s="6">
        <v>0</v>
      </c>
      <c r="E7" s="6">
        <v>79.3</v>
      </c>
      <c r="F7" s="6">
        <v>19</v>
      </c>
      <c r="G7" s="6">
        <v>40.799999999999997</v>
      </c>
      <c r="H7" s="6">
        <v>28.6</v>
      </c>
      <c r="I7" s="6">
        <v>0</v>
      </c>
      <c r="J7" s="6">
        <v>167.7</v>
      </c>
      <c r="K7" s="6">
        <v>0</v>
      </c>
      <c r="L7" s="6">
        <v>0</v>
      </c>
      <c r="M7" s="6">
        <v>167.7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>
        <v>1.06</v>
      </c>
      <c r="T7">
        <v>1.06</v>
      </c>
      <c r="U7">
        <v>0</v>
      </c>
      <c r="V7" s="6">
        <v>0.67</v>
      </c>
      <c r="W7" s="6">
        <v>0</v>
      </c>
      <c r="X7" s="6">
        <v>0</v>
      </c>
      <c r="Y7" s="6">
        <v>16.78</v>
      </c>
      <c r="Z7" s="6">
        <v>1</v>
      </c>
      <c r="AA7" s="6">
        <v>167.7</v>
      </c>
      <c r="AB7" s="6">
        <v>17</v>
      </c>
      <c r="AC7" s="6">
        <v>132.1</v>
      </c>
      <c r="AD7" s="6">
        <v>21.86</v>
      </c>
      <c r="AE7" s="6">
        <v>17.78</v>
      </c>
      <c r="AF7" s="35">
        <v>0.24010000000000001</v>
      </c>
      <c r="AG7" s="35">
        <v>0.2056</v>
      </c>
      <c r="AH7">
        <v>1.06</v>
      </c>
      <c r="AI7">
        <v>1.06</v>
      </c>
      <c r="AJ7">
        <v>0</v>
      </c>
      <c r="AK7" s="35">
        <v>0.28460000000000002</v>
      </c>
      <c r="AL7" s="35">
        <v>0.19130000000000003</v>
      </c>
    </row>
    <row r="8" spans="1:38">
      <c r="A8" t="s">
        <v>426</v>
      </c>
      <c r="B8" t="s">
        <v>427</v>
      </c>
      <c r="C8" t="s">
        <v>1088</v>
      </c>
      <c r="D8" s="6">
        <v>0</v>
      </c>
      <c r="E8" s="6">
        <v>112.4</v>
      </c>
      <c r="F8" s="6">
        <v>28.7</v>
      </c>
      <c r="G8" s="6">
        <v>49.28</v>
      </c>
      <c r="H8" s="6">
        <v>55.14</v>
      </c>
      <c r="I8" s="6">
        <v>82.24</v>
      </c>
      <c r="J8" s="6">
        <v>327.76</v>
      </c>
      <c r="K8" s="6">
        <v>9.89</v>
      </c>
      <c r="L8" s="6">
        <v>1.37</v>
      </c>
      <c r="M8" s="6">
        <v>344.62</v>
      </c>
      <c r="N8" s="6">
        <v>5.6</v>
      </c>
      <c r="O8" s="6">
        <v>0</v>
      </c>
      <c r="P8" s="6">
        <v>0</v>
      </c>
      <c r="Q8" s="6">
        <v>0</v>
      </c>
      <c r="R8" s="6">
        <v>0</v>
      </c>
      <c r="S8">
        <v>1</v>
      </c>
      <c r="T8">
        <v>1</v>
      </c>
      <c r="U8">
        <v>0.04</v>
      </c>
      <c r="V8" s="6">
        <v>3.33</v>
      </c>
      <c r="W8" s="6">
        <v>0</v>
      </c>
      <c r="X8" s="6">
        <v>0</v>
      </c>
      <c r="Y8" s="6">
        <v>37.78</v>
      </c>
      <c r="Z8" s="6">
        <v>11.11</v>
      </c>
      <c r="AA8" s="6">
        <v>347.36</v>
      </c>
      <c r="AB8" s="6">
        <v>17</v>
      </c>
      <c r="AC8" s="6">
        <v>119.43</v>
      </c>
      <c r="AD8" s="6">
        <v>19.77</v>
      </c>
      <c r="AE8" s="6">
        <v>48.89</v>
      </c>
      <c r="AF8" s="35">
        <v>0.25600000000000001</v>
      </c>
      <c r="AG8" s="35">
        <v>0.2056</v>
      </c>
      <c r="AH8">
        <v>1</v>
      </c>
      <c r="AI8">
        <v>1</v>
      </c>
      <c r="AJ8">
        <v>4.0000000000000036E-2</v>
      </c>
      <c r="AK8" s="35">
        <v>0.2051</v>
      </c>
      <c r="AL8" s="35">
        <v>0.19130000000000003</v>
      </c>
    </row>
    <row r="9" spans="1:38">
      <c r="A9" t="s">
        <v>829</v>
      </c>
      <c r="B9" t="s">
        <v>830</v>
      </c>
      <c r="C9" t="s">
        <v>1088</v>
      </c>
      <c r="D9" s="6">
        <v>0</v>
      </c>
      <c r="E9" s="6">
        <v>218.72</v>
      </c>
      <c r="F9" s="6">
        <v>56.7</v>
      </c>
      <c r="G9" s="6">
        <v>102.7</v>
      </c>
      <c r="H9" s="6">
        <v>113.43</v>
      </c>
      <c r="I9" s="6">
        <v>151.75</v>
      </c>
      <c r="J9" s="6">
        <v>643.29999999999995</v>
      </c>
      <c r="K9" s="6">
        <v>27.72</v>
      </c>
      <c r="L9" s="6">
        <v>2.61</v>
      </c>
      <c r="M9" s="6">
        <v>673.63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>
        <v>1</v>
      </c>
      <c r="T9">
        <v>1</v>
      </c>
      <c r="U9">
        <v>0.02</v>
      </c>
      <c r="V9" s="6">
        <v>3.78</v>
      </c>
      <c r="W9" s="6">
        <v>0</v>
      </c>
      <c r="X9" s="6">
        <v>0</v>
      </c>
      <c r="Y9" s="6">
        <v>61.33</v>
      </c>
      <c r="Z9" s="6">
        <v>34.33</v>
      </c>
      <c r="AA9" s="6">
        <v>673.63</v>
      </c>
      <c r="AB9" s="6">
        <v>17.989999999999998</v>
      </c>
      <c r="AC9" s="6">
        <v>119.42</v>
      </c>
      <c r="AD9" s="6">
        <v>19.77</v>
      </c>
      <c r="AE9" s="6">
        <v>95.66</v>
      </c>
      <c r="AF9" s="35">
        <v>0.15939999999999999</v>
      </c>
      <c r="AG9" s="35">
        <v>0.2056</v>
      </c>
      <c r="AH9">
        <v>1</v>
      </c>
      <c r="AI9">
        <v>1</v>
      </c>
      <c r="AJ9">
        <v>1.0000000000000009E-2</v>
      </c>
      <c r="AK9" s="35">
        <v>0.19439999999999999</v>
      </c>
      <c r="AL9" s="35">
        <v>0.19130000000000003</v>
      </c>
    </row>
    <row r="10" spans="1:38">
      <c r="A10" t="s">
        <v>518</v>
      </c>
      <c r="B10" t="s">
        <v>519</v>
      </c>
      <c r="C10" t="s">
        <v>1088</v>
      </c>
      <c r="D10" s="6">
        <v>34.340000000000003</v>
      </c>
      <c r="E10" s="6">
        <v>315.48</v>
      </c>
      <c r="F10" s="6">
        <v>99.4</v>
      </c>
      <c r="G10" s="6">
        <v>186.98</v>
      </c>
      <c r="H10" s="6">
        <v>147.32</v>
      </c>
      <c r="I10" s="6">
        <v>279.11</v>
      </c>
      <c r="J10" s="6">
        <v>1028.29</v>
      </c>
      <c r="K10" s="6">
        <v>33.950000000000003</v>
      </c>
      <c r="L10" s="6">
        <v>2.36</v>
      </c>
      <c r="M10" s="6">
        <v>1103.06</v>
      </c>
      <c r="N10" s="6">
        <v>0.1</v>
      </c>
      <c r="O10" s="6">
        <v>0</v>
      </c>
      <c r="P10" s="6">
        <v>0</v>
      </c>
      <c r="Q10" s="6">
        <v>1.1299999999999999</v>
      </c>
      <c r="R10" s="6">
        <v>37.229999999999997</v>
      </c>
      <c r="S10">
        <v>1</v>
      </c>
      <c r="T10">
        <v>1</v>
      </c>
      <c r="U10">
        <v>0</v>
      </c>
      <c r="V10" s="6">
        <v>10.220000000000001</v>
      </c>
      <c r="W10" s="6">
        <v>0</v>
      </c>
      <c r="X10" s="6">
        <v>0</v>
      </c>
      <c r="Y10" s="6">
        <v>121.78</v>
      </c>
      <c r="Z10" s="6">
        <v>62.11</v>
      </c>
      <c r="AA10" s="6">
        <v>1138.68</v>
      </c>
      <c r="AB10" s="6">
        <v>17</v>
      </c>
      <c r="AC10" s="6">
        <v>137.26</v>
      </c>
      <c r="AD10" s="6">
        <v>22.72</v>
      </c>
      <c r="AE10" s="6">
        <v>183.89</v>
      </c>
      <c r="AF10" s="35">
        <v>0.19919999999999999</v>
      </c>
      <c r="AG10" s="35">
        <v>0.2056</v>
      </c>
      <c r="AH10">
        <v>1</v>
      </c>
      <c r="AI10">
        <v>1</v>
      </c>
      <c r="AJ10">
        <v>0</v>
      </c>
      <c r="AK10" s="35">
        <v>0.23150000000000001</v>
      </c>
      <c r="AL10" s="35">
        <v>0.19130000000000003</v>
      </c>
    </row>
    <row r="11" spans="1:38">
      <c r="A11" t="s">
        <v>669</v>
      </c>
      <c r="B11" t="s">
        <v>670</v>
      </c>
      <c r="C11" t="s">
        <v>1088</v>
      </c>
      <c r="D11" s="6">
        <v>0</v>
      </c>
      <c r="E11" s="6">
        <v>49.6</v>
      </c>
      <c r="F11" s="6">
        <v>12</v>
      </c>
      <c r="G11" s="6">
        <v>24.9</v>
      </c>
      <c r="H11" s="6">
        <v>22.56</v>
      </c>
      <c r="I11" s="6">
        <v>0</v>
      </c>
      <c r="J11" s="6">
        <v>109.06</v>
      </c>
      <c r="K11" s="6">
        <v>0</v>
      </c>
      <c r="L11" s="6">
        <v>0</v>
      </c>
      <c r="M11" s="6">
        <v>109.06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>
        <v>1</v>
      </c>
      <c r="T11">
        <v>1</v>
      </c>
      <c r="U11">
        <v>0</v>
      </c>
      <c r="V11" s="6">
        <v>2</v>
      </c>
      <c r="W11" s="6">
        <v>0</v>
      </c>
      <c r="X11" s="6">
        <v>0</v>
      </c>
      <c r="Y11" s="6">
        <v>11.44</v>
      </c>
      <c r="Z11" s="6">
        <v>4.78</v>
      </c>
      <c r="AA11" s="6">
        <v>109.06</v>
      </c>
      <c r="AB11" s="6">
        <v>17</v>
      </c>
      <c r="AC11" s="6">
        <v>117.82</v>
      </c>
      <c r="AD11" s="6">
        <v>19.5</v>
      </c>
      <c r="AE11" s="6">
        <v>16.22</v>
      </c>
      <c r="AF11" s="35">
        <v>0.21729999999999999</v>
      </c>
      <c r="AG11" s="35">
        <v>0.2056</v>
      </c>
      <c r="AH11">
        <v>1</v>
      </c>
      <c r="AI11">
        <v>1</v>
      </c>
      <c r="AJ11">
        <v>0</v>
      </c>
      <c r="AK11" s="35">
        <v>0.27489999999999998</v>
      </c>
      <c r="AL11" s="35">
        <v>0.19130000000000003</v>
      </c>
    </row>
    <row r="12" spans="1:38">
      <c r="A12" t="s">
        <v>677</v>
      </c>
      <c r="B12" t="s">
        <v>678</v>
      </c>
      <c r="C12" t="s">
        <v>1088</v>
      </c>
      <c r="D12" s="6">
        <v>3</v>
      </c>
      <c r="E12" s="6">
        <v>15.2</v>
      </c>
      <c r="F12" s="6">
        <v>4</v>
      </c>
      <c r="G12" s="6">
        <v>4.5</v>
      </c>
      <c r="H12" s="6">
        <v>0</v>
      </c>
      <c r="I12" s="6">
        <v>0</v>
      </c>
      <c r="J12" s="6">
        <v>23.7</v>
      </c>
      <c r="K12" s="6">
        <v>0</v>
      </c>
      <c r="L12" s="6">
        <v>0</v>
      </c>
      <c r="M12" s="6">
        <v>23.7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>
        <v>1</v>
      </c>
      <c r="T12">
        <v>1</v>
      </c>
      <c r="U12">
        <v>0</v>
      </c>
      <c r="V12" s="6">
        <v>0</v>
      </c>
      <c r="W12" s="6">
        <v>0</v>
      </c>
      <c r="X12" s="6">
        <v>0</v>
      </c>
      <c r="Y12" s="6">
        <v>3.89</v>
      </c>
      <c r="Z12" s="6">
        <v>0</v>
      </c>
      <c r="AA12" s="6">
        <v>26.7</v>
      </c>
      <c r="AB12" s="6">
        <v>17</v>
      </c>
      <c r="AC12" s="6">
        <v>130.18</v>
      </c>
      <c r="AD12" s="6">
        <v>21.55</v>
      </c>
      <c r="AE12" s="6">
        <v>3.89</v>
      </c>
      <c r="AF12" s="35">
        <v>0.72509999999999997</v>
      </c>
      <c r="AG12" s="35">
        <v>0.2056</v>
      </c>
      <c r="AH12">
        <v>1</v>
      </c>
      <c r="AI12">
        <v>1</v>
      </c>
      <c r="AJ12">
        <v>0</v>
      </c>
      <c r="AK12" s="35">
        <v>0.48349999999999999</v>
      </c>
      <c r="AL12" s="35">
        <v>0.19130000000000003</v>
      </c>
    </row>
    <row r="13" spans="1:38">
      <c r="A13" t="s">
        <v>570</v>
      </c>
      <c r="B13" t="s">
        <v>571</v>
      </c>
      <c r="C13" t="s">
        <v>1088</v>
      </c>
      <c r="D13" s="6">
        <v>0</v>
      </c>
      <c r="E13" s="6">
        <v>33.4</v>
      </c>
      <c r="F13" s="6">
        <v>9</v>
      </c>
      <c r="G13" s="6">
        <v>13.3</v>
      </c>
      <c r="H13" s="6">
        <v>15.4</v>
      </c>
      <c r="I13" s="6">
        <v>28.84</v>
      </c>
      <c r="J13" s="6">
        <v>99.94</v>
      </c>
      <c r="K13" s="6">
        <v>0</v>
      </c>
      <c r="L13" s="6">
        <v>0</v>
      </c>
      <c r="M13" s="6">
        <v>99.94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>
        <v>1</v>
      </c>
      <c r="T13">
        <v>1</v>
      </c>
      <c r="U13">
        <v>0</v>
      </c>
      <c r="V13" s="6">
        <v>2</v>
      </c>
      <c r="W13" s="6">
        <v>0</v>
      </c>
      <c r="X13" s="6">
        <v>0</v>
      </c>
      <c r="Y13" s="6">
        <v>7.44</v>
      </c>
      <c r="Z13" s="6">
        <v>3.33</v>
      </c>
      <c r="AA13" s="6">
        <v>99.95</v>
      </c>
      <c r="AB13" s="6">
        <v>17</v>
      </c>
      <c r="AC13" s="6">
        <v>135.93</v>
      </c>
      <c r="AD13" s="6">
        <v>22.5</v>
      </c>
      <c r="AE13" s="6">
        <v>10.77</v>
      </c>
      <c r="AF13" s="35">
        <v>0.34100000000000003</v>
      </c>
      <c r="AG13" s="35">
        <v>0.2056</v>
      </c>
      <c r="AH13">
        <v>1</v>
      </c>
      <c r="AI13">
        <v>1</v>
      </c>
      <c r="AJ13">
        <v>0</v>
      </c>
      <c r="AK13" s="35">
        <v>0.35859999999999997</v>
      </c>
      <c r="AL13" s="35">
        <v>0.19130000000000003</v>
      </c>
    </row>
    <row r="14" spans="1:38">
      <c r="A14" t="s">
        <v>861</v>
      </c>
      <c r="B14" t="s">
        <v>862</v>
      </c>
      <c r="C14" t="s">
        <v>1088</v>
      </c>
      <c r="D14" s="6">
        <v>17.399999999999999</v>
      </c>
      <c r="E14" s="6">
        <v>73.599999999999994</v>
      </c>
      <c r="F14" s="6">
        <v>20</v>
      </c>
      <c r="G14" s="6">
        <v>25.64</v>
      </c>
      <c r="H14" s="6">
        <v>42.98</v>
      </c>
      <c r="I14" s="6">
        <v>72.08</v>
      </c>
      <c r="J14" s="6">
        <v>234.3</v>
      </c>
      <c r="K14" s="6">
        <v>3.22</v>
      </c>
      <c r="L14" s="6">
        <v>0.27</v>
      </c>
      <c r="M14" s="6">
        <v>237.79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>
        <v>1</v>
      </c>
      <c r="T14">
        <v>1</v>
      </c>
      <c r="U14">
        <v>0</v>
      </c>
      <c r="V14" s="6">
        <v>3.89</v>
      </c>
      <c r="W14" s="6">
        <v>0</v>
      </c>
      <c r="X14" s="6">
        <v>0</v>
      </c>
      <c r="Y14" s="6">
        <v>38.11</v>
      </c>
      <c r="Z14" s="6">
        <v>4</v>
      </c>
      <c r="AA14" s="6">
        <v>255.77</v>
      </c>
      <c r="AB14" s="6">
        <v>17</v>
      </c>
      <c r="AC14" s="6">
        <v>130.53</v>
      </c>
      <c r="AD14" s="6">
        <v>21.6</v>
      </c>
      <c r="AE14" s="6">
        <v>42.11</v>
      </c>
      <c r="AF14" s="35">
        <v>0.25659999999999999</v>
      </c>
      <c r="AG14" s="35">
        <v>0.2056</v>
      </c>
      <c r="AH14">
        <v>1</v>
      </c>
      <c r="AI14">
        <v>1</v>
      </c>
      <c r="AJ14">
        <v>0</v>
      </c>
      <c r="AK14" s="35">
        <v>0.28549999999999998</v>
      </c>
      <c r="AL14" s="35">
        <v>0.19130000000000003</v>
      </c>
    </row>
    <row r="15" spans="1:38">
      <c r="A15" t="s">
        <v>516</v>
      </c>
      <c r="B15" t="s">
        <v>517</v>
      </c>
      <c r="C15" t="s">
        <v>1088</v>
      </c>
      <c r="D15" s="6">
        <v>0</v>
      </c>
      <c r="E15" s="6">
        <v>15</v>
      </c>
      <c r="F15" s="6">
        <v>5.7</v>
      </c>
      <c r="G15" s="6">
        <v>10.1</v>
      </c>
      <c r="H15" s="6">
        <v>5.0999999999999996</v>
      </c>
      <c r="I15" s="6">
        <v>11.88</v>
      </c>
      <c r="J15" s="6">
        <v>47.78</v>
      </c>
      <c r="K15" s="6">
        <v>0.55000000000000004</v>
      </c>
      <c r="L15" s="6">
        <v>0.18</v>
      </c>
      <c r="M15" s="6">
        <v>48.51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>
        <v>1</v>
      </c>
      <c r="T15">
        <v>1</v>
      </c>
      <c r="U15">
        <v>0.02</v>
      </c>
      <c r="V15" s="6">
        <v>0</v>
      </c>
      <c r="W15" s="6">
        <v>0</v>
      </c>
      <c r="X15" s="6">
        <v>0</v>
      </c>
      <c r="Y15" s="6">
        <v>12</v>
      </c>
      <c r="Z15" s="6">
        <v>0</v>
      </c>
      <c r="AA15" s="6">
        <v>48.51</v>
      </c>
      <c r="AB15" s="6">
        <v>17</v>
      </c>
      <c r="AC15" s="6">
        <v>127.81</v>
      </c>
      <c r="AD15" s="6">
        <v>21.15</v>
      </c>
      <c r="AE15" s="6">
        <v>12</v>
      </c>
      <c r="AF15" s="35">
        <v>0.46110000000000001</v>
      </c>
      <c r="AG15" s="35">
        <v>0.2056</v>
      </c>
      <c r="AH15">
        <v>1</v>
      </c>
      <c r="AI15">
        <v>1</v>
      </c>
      <c r="AJ15">
        <v>1.0000000000000009E-2</v>
      </c>
      <c r="AK15" s="35">
        <v>0.3569</v>
      </c>
      <c r="AL15" s="35">
        <v>0.19130000000000003</v>
      </c>
    </row>
    <row r="16" spans="1:38">
      <c r="A16" t="s">
        <v>544</v>
      </c>
      <c r="B16" t="s">
        <v>545</v>
      </c>
      <c r="C16" t="s">
        <v>1088</v>
      </c>
      <c r="D16" s="6">
        <v>0</v>
      </c>
      <c r="E16" s="6">
        <v>53.9</v>
      </c>
      <c r="F16" s="6">
        <v>24.5</v>
      </c>
      <c r="G16" s="6">
        <v>28.2</v>
      </c>
      <c r="H16" s="6">
        <v>34.200000000000003</v>
      </c>
      <c r="I16" s="6">
        <v>51.94</v>
      </c>
      <c r="J16" s="6">
        <v>192.74</v>
      </c>
      <c r="K16" s="6">
        <v>2.15</v>
      </c>
      <c r="L16" s="6">
        <v>3.46</v>
      </c>
      <c r="M16" s="6">
        <v>208.02</v>
      </c>
      <c r="N16" s="6">
        <v>0.5</v>
      </c>
      <c r="O16" s="6">
        <v>0</v>
      </c>
      <c r="P16" s="6">
        <v>0.5</v>
      </c>
      <c r="Q16" s="6">
        <v>2.7</v>
      </c>
      <c r="R16" s="6">
        <v>5.97</v>
      </c>
      <c r="S16">
        <v>1</v>
      </c>
      <c r="T16">
        <v>1</v>
      </c>
      <c r="U16">
        <v>0</v>
      </c>
      <c r="V16" s="6">
        <v>1.56</v>
      </c>
      <c r="W16" s="6">
        <v>0</v>
      </c>
      <c r="X16" s="6">
        <v>0</v>
      </c>
      <c r="Y16" s="6">
        <v>16.329999999999998</v>
      </c>
      <c r="Z16" s="6">
        <v>21.67</v>
      </c>
      <c r="AA16" s="6">
        <v>208.02</v>
      </c>
      <c r="AB16" s="6">
        <v>17</v>
      </c>
      <c r="AC16" s="6">
        <v>140.57</v>
      </c>
      <c r="AD16" s="6">
        <v>23.27</v>
      </c>
      <c r="AE16" s="6">
        <v>38</v>
      </c>
      <c r="AF16" s="35">
        <v>0.25519999999999998</v>
      </c>
      <c r="AG16" s="35">
        <v>0.2056</v>
      </c>
      <c r="AH16">
        <v>1</v>
      </c>
      <c r="AI16">
        <v>1</v>
      </c>
      <c r="AJ16">
        <v>0</v>
      </c>
      <c r="AK16" s="35">
        <v>0.315</v>
      </c>
      <c r="AL16" s="35">
        <v>0.19130000000000003</v>
      </c>
    </row>
    <row r="17" spans="1:38">
      <c r="A17" t="s">
        <v>887</v>
      </c>
      <c r="B17" t="s">
        <v>888</v>
      </c>
      <c r="C17" t="s">
        <v>1088</v>
      </c>
      <c r="D17" s="6">
        <v>0</v>
      </c>
      <c r="E17" s="6">
        <v>35.6</v>
      </c>
      <c r="F17" s="6">
        <v>6.1</v>
      </c>
      <c r="G17" s="6">
        <v>15.7</v>
      </c>
      <c r="H17" s="6">
        <v>17.100000000000001</v>
      </c>
      <c r="I17" s="6">
        <v>25.93</v>
      </c>
      <c r="J17" s="6">
        <v>100.43</v>
      </c>
      <c r="K17" s="6">
        <v>0</v>
      </c>
      <c r="L17" s="6">
        <v>0</v>
      </c>
      <c r="M17" s="6">
        <v>100.43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>
        <v>1</v>
      </c>
      <c r="T17">
        <v>1</v>
      </c>
      <c r="U17">
        <v>0</v>
      </c>
      <c r="V17" s="6">
        <v>0.22</v>
      </c>
      <c r="W17" s="6">
        <v>0</v>
      </c>
      <c r="X17" s="6">
        <v>0</v>
      </c>
      <c r="Y17" s="6">
        <v>12.33</v>
      </c>
      <c r="Z17" s="6">
        <v>3.89</v>
      </c>
      <c r="AA17" s="6">
        <v>100.43</v>
      </c>
      <c r="AB17" s="6">
        <v>17</v>
      </c>
      <c r="AC17" s="6">
        <v>127.88</v>
      </c>
      <c r="AD17" s="6">
        <v>21.17</v>
      </c>
      <c r="AE17" s="6">
        <v>16.22</v>
      </c>
      <c r="AF17" s="35">
        <v>0.4</v>
      </c>
      <c r="AG17" s="35">
        <v>0.2056</v>
      </c>
      <c r="AH17">
        <v>1</v>
      </c>
      <c r="AI17">
        <v>1</v>
      </c>
      <c r="AJ17">
        <v>0</v>
      </c>
      <c r="AK17" s="35">
        <v>0.28499999999999998</v>
      </c>
      <c r="AL17" s="35">
        <v>0.19130000000000003</v>
      </c>
    </row>
    <row r="18" spans="1:38">
      <c r="A18" t="s">
        <v>341</v>
      </c>
      <c r="B18" t="s">
        <v>342</v>
      </c>
      <c r="C18" t="s">
        <v>1088</v>
      </c>
      <c r="D18" s="6">
        <v>0</v>
      </c>
      <c r="E18" s="6">
        <v>33.5</v>
      </c>
      <c r="F18" s="6">
        <v>7.2</v>
      </c>
      <c r="G18" s="6">
        <v>20.3</v>
      </c>
      <c r="H18" s="6">
        <v>15.6</v>
      </c>
      <c r="I18" s="6">
        <v>22.4</v>
      </c>
      <c r="J18" s="6">
        <v>99</v>
      </c>
      <c r="K18" s="6">
        <v>0</v>
      </c>
      <c r="L18" s="6">
        <v>0</v>
      </c>
      <c r="M18" s="6">
        <v>99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>
        <v>1</v>
      </c>
      <c r="T18">
        <v>1</v>
      </c>
      <c r="U18">
        <v>0</v>
      </c>
      <c r="V18" s="6">
        <v>1</v>
      </c>
      <c r="W18" s="6">
        <v>0</v>
      </c>
      <c r="X18" s="6">
        <v>0</v>
      </c>
      <c r="Y18" s="6">
        <v>13.11</v>
      </c>
      <c r="Z18" s="6">
        <v>1.1100000000000001</v>
      </c>
      <c r="AA18" s="6">
        <v>99</v>
      </c>
      <c r="AB18" s="6">
        <v>17</v>
      </c>
      <c r="AC18" s="6">
        <v>128.81</v>
      </c>
      <c r="AD18" s="6">
        <v>21.32</v>
      </c>
      <c r="AE18" s="6">
        <v>14.22</v>
      </c>
      <c r="AF18" s="35">
        <v>0.2621</v>
      </c>
      <c r="AG18" s="35">
        <v>0.2056</v>
      </c>
      <c r="AH18">
        <v>1</v>
      </c>
      <c r="AI18">
        <v>1</v>
      </c>
      <c r="AJ18">
        <v>0</v>
      </c>
      <c r="AK18" s="35">
        <v>0.29859999999999998</v>
      </c>
      <c r="AL18" s="35">
        <v>0.19130000000000003</v>
      </c>
    </row>
    <row r="19" spans="1:38">
      <c r="A19" t="s">
        <v>368</v>
      </c>
      <c r="B19" t="s">
        <v>369</v>
      </c>
      <c r="C19" t="s">
        <v>1088</v>
      </c>
      <c r="D19" s="6">
        <v>0</v>
      </c>
      <c r="E19" s="6">
        <v>46</v>
      </c>
      <c r="F19" s="6">
        <v>7</v>
      </c>
      <c r="G19" s="6">
        <v>18</v>
      </c>
      <c r="H19" s="6">
        <v>19.3</v>
      </c>
      <c r="I19" s="6">
        <v>0</v>
      </c>
      <c r="J19" s="6">
        <v>90.3</v>
      </c>
      <c r="K19" s="6">
        <v>0</v>
      </c>
      <c r="L19" s="6">
        <v>0</v>
      </c>
      <c r="M19" s="6">
        <v>90.3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>
        <v>1</v>
      </c>
      <c r="T19">
        <v>1</v>
      </c>
      <c r="U19">
        <v>0.02</v>
      </c>
      <c r="V19" s="6">
        <v>0</v>
      </c>
      <c r="W19" s="6">
        <v>0</v>
      </c>
      <c r="X19" s="6">
        <v>0</v>
      </c>
      <c r="Y19" s="6">
        <v>10.220000000000001</v>
      </c>
      <c r="Z19" s="6">
        <v>0</v>
      </c>
      <c r="AA19" s="6">
        <v>90.3</v>
      </c>
      <c r="AB19" s="6">
        <v>17.36</v>
      </c>
      <c r="AC19" s="6">
        <v>116.64</v>
      </c>
      <c r="AD19" s="6">
        <v>19.309999999999999</v>
      </c>
      <c r="AE19" s="6">
        <v>10.220000000000001</v>
      </c>
      <c r="AF19" s="35">
        <v>0.318</v>
      </c>
      <c r="AG19" s="35">
        <v>0.2056</v>
      </c>
      <c r="AH19">
        <v>1</v>
      </c>
      <c r="AI19">
        <v>1</v>
      </c>
      <c r="AJ19">
        <v>1.0000000000000009E-2</v>
      </c>
      <c r="AK19" s="35">
        <v>0.28570000000000001</v>
      </c>
      <c r="AL19" s="35">
        <v>0.19130000000000003</v>
      </c>
    </row>
    <row r="20" spans="1:38">
      <c r="A20" t="s">
        <v>831</v>
      </c>
      <c r="B20" t="s">
        <v>832</v>
      </c>
      <c r="C20" t="s">
        <v>1088</v>
      </c>
      <c r="D20" s="6">
        <v>0</v>
      </c>
      <c r="E20" s="6">
        <v>58.2</v>
      </c>
      <c r="F20" s="6">
        <v>17.5</v>
      </c>
      <c r="G20" s="6">
        <v>21.9</v>
      </c>
      <c r="H20" s="6">
        <v>37.159999999999997</v>
      </c>
      <c r="I20" s="6">
        <v>66.650000000000006</v>
      </c>
      <c r="J20" s="6">
        <v>201.41</v>
      </c>
      <c r="K20" s="6">
        <v>3.6</v>
      </c>
      <c r="L20" s="6">
        <v>0.09</v>
      </c>
      <c r="M20" s="6">
        <v>205.1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>
        <v>1</v>
      </c>
      <c r="T20">
        <v>1</v>
      </c>
      <c r="U20">
        <v>0</v>
      </c>
      <c r="V20" s="6">
        <v>1.89</v>
      </c>
      <c r="W20" s="6">
        <v>0</v>
      </c>
      <c r="X20" s="6">
        <v>0</v>
      </c>
      <c r="Y20" s="6">
        <v>11.89</v>
      </c>
      <c r="Z20" s="6">
        <v>7.56</v>
      </c>
      <c r="AA20" s="6">
        <v>206.71</v>
      </c>
      <c r="AB20" s="6">
        <v>17</v>
      </c>
      <c r="AC20" s="6">
        <v>118.73</v>
      </c>
      <c r="AD20" s="6">
        <v>19.649999999999999</v>
      </c>
      <c r="AE20" s="6">
        <v>19.45</v>
      </c>
      <c r="AF20" s="35">
        <v>0.2142</v>
      </c>
      <c r="AG20" s="35">
        <v>0.2056</v>
      </c>
      <c r="AH20">
        <v>1</v>
      </c>
      <c r="AI20">
        <v>1</v>
      </c>
      <c r="AJ20">
        <v>0</v>
      </c>
      <c r="AK20" s="35">
        <v>0.2039</v>
      </c>
      <c r="AL20" s="35">
        <v>0.19130000000000003</v>
      </c>
    </row>
    <row r="21" spans="1:38">
      <c r="A21" t="s">
        <v>478</v>
      </c>
      <c r="B21" t="s">
        <v>479</v>
      </c>
      <c r="C21" t="s">
        <v>1088</v>
      </c>
      <c r="D21" s="6">
        <v>0</v>
      </c>
      <c r="E21" s="6">
        <v>19.899999999999999</v>
      </c>
      <c r="F21" s="6">
        <v>4.9000000000000004</v>
      </c>
      <c r="G21" s="6">
        <v>4</v>
      </c>
      <c r="H21" s="6">
        <v>7.5</v>
      </c>
      <c r="I21" s="6">
        <v>25.3</v>
      </c>
      <c r="J21" s="6">
        <v>61.6</v>
      </c>
      <c r="K21" s="6">
        <v>0</v>
      </c>
      <c r="L21" s="6">
        <v>0</v>
      </c>
      <c r="M21" s="6">
        <v>61.6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>
        <v>1</v>
      </c>
      <c r="T21">
        <v>1</v>
      </c>
      <c r="U21">
        <v>0.04</v>
      </c>
      <c r="V21" s="6">
        <v>0.78</v>
      </c>
      <c r="W21" s="6">
        <v>0</v>
      </c>
      <c r="X21" s="6">
        <v>0</v>
      </c>
      <c r="Y21" s="6">
        <v>10.44</v>
      </c>
      <c r="Z21" s="6">
        <v>0.44</v>
      </c>
      <c r="AA21" s="6">
        <v>61.89</v>
      </c>
      <c r="AB21" s="6">
        <v>17</v>
      </c>
      <c r="AC21" s="6">
        <v>134.80000000000001</v>
      </c>
      <c r="AD21" s="6">
        <v>22.31</v>
      </c>
      <c r="AE21" s="6">
        <v>10.88</v>
      </c>
      <c r="AF21" s="35">
        <v>0.42220000000000002</v>
      </c>
      <c r="AG21" s="35">
        <v>0.2056</v>
      </c>
      <c r="AH21">
        <v>1</v>
      </c>
      <c r="AI21">
        <v>1</v>
      </c>
      <c r="AJ21">
        <v>4.0000000000000036E-2</v>
      </c>
      <c r="AK21" s="35">
        <v>0.2878</v>
      </c>
      <c r="AL21" s="35">
        <v>0.19130000000000003</v>
      </c>
    </row>
    <row r="22" spans="1:38">
      <c r="A22" t="s">
        <v>534</v>
      </c>
      <c r="B22" t="s">
        <v>535</v>
      </c>
      <c r="C22" t="s">
        <v>1088</v>
      </c>
      <c r="D22" s="6">
        <v>0</v>
      </c>
      <c r="E22" s="6">
        <v>27.5</v>
      </c>
      <c r="F22" s="6">
        <v>7.2</v>
      </c>
      <c r="G22" s="6">
        <v>13.7</v>
      </c>
      <c r="H22" s="6">
        <v>10.8</v>
      </c>
      <c r="I22" s="6">
        <v>25.69</v>
      </c>
      <c r="J22" s="6">
        <v>84.89</v>
      </c>
      <c r="K22" s="6">
        <v>0.96</v>
      </c>
      <c r="L22" s="6">
        <v>0</v>
      </c>
      <c r="M22" s="6">
        <v>85.85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>
        <v>1</v>
      </c>
      <c r="T22">
        <v>1</v>
      </c>
      <c r="U22">
        <v>0.04</v>
      </c>
      <c r="V22" s="6">
        <v>0.67</v>
      </c>
      <c r="W22" s="6">
        <v>0</v>
      </c>
      <c r="X22" s="6">
        <v>0</v>
      </c>
      <c r="Y22" s="6">
        <v>9.56</v>
      </c>
      <c r="Z22" s="6">
        <v>0.78</v>
      </c>
      <c r="AA22" s="6">
        <v>85.85</v>
      </c>
      <c r="AB22" s="6">
        <v>17</v>
      </c>
      <c r="AC22" s="6">
        <v>129.01</v>
      </c>
      <c r="AD22" s="6">
        <v>21.35</v>
      </c>
      <c r="AE22" s="6">
        <v>10.34</v>
      </c>
      <c r="AF22" s="35">
        <v>0.30470000000000003</v>
      </c>
      <c r="AG22" s="35">
        <v>0.2056</v>
      </c>
      <c r="AH22">
        <v>1</v>
      </c>
      <c r="AI22">
        <v>1</v>
      </c>
      <c r="AJ22">
        <v>4.0000000000000036E-2</v>
      </c>
      <c r="AK22" s="35">
        <v>0.35730000000000001</v>
      </c>
      <c r="AL22" s="35">
        <v>0.19130000000000003</v>
      </c>
    </row>
    <row r="23" spans="1:38">
      <c r="A23" t="s">
        <v>737</v>
      </c>
      <c r="B23" t="s">
        <v>738</v>
      </c>
      <c r="C23" t="s">
        <v>1088</v>
      </c>
      <c r="D23" s="6">
        <v>0</v>
      </c>
      <c r="E23" s="6">
        <v>11.5</v>
      </c>
      <c r="F23" s="6">
        <v>2.5</v>
      </c>
      <c r="G23" s="6">
        <v>13.1</v>
      </c>
      <c r="H23" s="6">
        <v>0</v>
      </c>
      <c r="I23" s="6">
        <v>0</v>
      </c>
      <c r="J23" s="6">
        <v>27.1</v>
      </c>
      <c r="K23" s="6">
        <v>0</v>
      </c>
      <c r="L23" s="6">
        <v>0</v>
      </c>
      <c r="M23" s="6">
        <v>27.1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>
        <v>1</v>
      </c>
      <c r="T23">
        <v>1</v>
      </c>
      <c r="U23">
        <v>0</v>
      </c>
      <c r="V23" s="6">
        <v>0</v>
      </c>
      <c r="W23" s="6">
        <v>0</v>
      </c>
      <c r="X23" s="6">
        <v>0</v>
      </c>
      <c r="Y23" s="6">
        <v>3.56</v>
      </c>
      <c r="Z23" s="6">
        <v>0</v>
      </c>
      <c r="AA23" s="6">
        <v>27.1</v>
      </c>
      <c r="AB23" s="6">
        <v>17</v>
      </c>
      <c r="AC23" s="6">
        <v>123.8</v>
      </c>
      <c r="AD23" s="6">
        <v>20.49</v>
      </c>
      <c r="AE23" s="6">
        <v>3.56</v>
      </c>
      <c r="AF23" s="35">
        <v>0.21310000000000001</v>
      </c>
      <c r="AG23" s="35">
        <v>0.2056</v>
      </c>
      <c r="AH23">
        <v>1</v>
      </c>
      <c r="AI23">
        <v>1</v>
      </c>
      <c r="AJ23">
        <v>0</v>
      </c>
      <c r="AK23" s="35">
        <v>0.21729999999999999</v>
      </c>
      <c r="AL23" s="35">
        <v>0.19130000000000003</v>
      </c>
    </row>
    <row r="24" spans="1:38">
      <c r="A24" t="s">
        <v>480</v>
      </c>
      <c r="B24" t="s">
        <v>481</v>
      </c>
      <c r="C24" t="s">
        <v>1088</v>
      </c>
      <c r="D24" s="6">
        <v>0</v>
      </c>
      <c r="E24" s="6">
        <v>235.89</v>
      </c>
      <c r="F24" s="6">
        <v>61.5</v>
      </c>
      <c r="G24" s="6">
        <v>116.2</v>
      </c>
      <c r="H24" s="6">
        <v>137.91</v>
      </c>
      <c r="I24" s="6">
        <v>297.08</v>
      </c>
      <c r="J24" s="6">
        <v>848.58</v>
      </c>
      <c r="K24" s="6">
        <v>34.869999999999997</v>
      </c>
      <c r="L24" s="6">
        <v>4.21</v>
      </c>
      <c r="M24" s="6">
        <v>2933</v>
      </c>
      <c r="N24" s="6">
        <v>0</v>
      </c>
      <c r="O24" s="6">
        <v>0</v>
      </c>
      <c r="P24" s="6">
        <v>458.7</v>
      </c>
      <c r="Q24" s="6">
        <v>351.3</v>
      </c>
      <c r="R24" s="6">
        <v>1235.3399999999999</v>
      </c>
      <c r="S24">
        <v>1</v>
      </c>
      <c r="T24">
        <v>1</v>
      </c>
      <c r="U24">
        <v>0</v>
      </c>
      <c r="V24" s="6">
        <v>4.33</v>
      </c>
      <c r="W24" s="6">
        <v>0</v>
      </c>
      <c r="X24" s="6">
        <v>0</v>
      </c>
      <c r="Y24" s="6">
        <v>385.56</v>
      </c>
      <c r="Z24" s="6">
        <v>87.22</v>
      </c>
      <c r="AA24" s="6">
        <v>2933</v>
      </c>
      <c r="AB24" s="6">
        <v>17.27</v>
      </c>
      <c r="AC24" s="6">
        <v>121.45</v>
      </c>
      <c r="AD24" s="6">
        <v>20.100000000000001</v>
      </c>
      <c r="AE24" s="6">
        <v>472.78</v>
      </c>
      <c r="AF24" s="35">
        <v>8.4699999999999998E-2</v>
      </c>
      <c r="AG24" s="35">
        <v>0.2056</v>
      </c>
      <c r="AH24">
        <v>1</v>
      </c>
      <c r="AI24">
        <v>1</v>
      </c>
      <c r="AJ24">
        <v>0</v>
      </c>
      <c r="AK24" s="35">
        <v>7.4899999999999994E-2</v>
      </c>
      <c r="AL24" s="35">
        <v>0.19130000000000003</v>
      </c>
    </row>
    <row r="25" spans="1:38">
      <c r="A25" t="s">
        <v>875</v>
      </c>
      <c r="B25" t="s">
        <v>876</v>
      </c>
      <c r="C25" t="s">
        <v>1088</v>
      </c>
      <c r="D25" s="6">
        <v>0</v>
      </c>
      <c r="E25" s="6">
        <v>281.57</v>
      </c>
      <c r="F25" s="6">
        <v>81.599999999999994</v>
      </c>
      <c r="G25" s="6">
        <v>169</v>
      </c>
      <c r="H25" s="6">
        <v>179.3</v>
      </c>
      <c r="I25" s="6">
        <v>331.73</v>
      </c>
      <c r="J25" s="6">
        <v>1043.2</v>
      </c>
      <c r="K25" s="6">
        <v>18.96</v>
      </c>
      <c r="L25" s="6">
        <v>0.09</v>
      </c>
      <c r="M25" s="6">
        <v>1084.3</v>
      </c>
      <c r="N25" s="6">
        <v>0</v>
      </c>
      <c r="O25" s="6">
        <v>0</v>
      </c>
      <c r="P25" s="6">
        <v>0</v>
      </c>
      <c r="Q25" s="6">
        <v>0</v>
      </c>
      <c r="R25" s="6">
        <v>22.05</v>
      </c>
      <c r="S25">
        <v>1</v>
      </c>
      <c r="T25">
        <v>1</v>
      </c>
      <c r="U25">
        <v>0.04</v>
      </c>
      <c r="V25" s="6">
        <v>7.67</v>
      </c>
      <c r="W25" s="6">
        <v>0</v>
      </c>
      <c r="X25" s="6">
        <v>0</v>
      </c>
      <c r="Y25" s="6">
        <v>121.78</v>
      </c>
      <c r="Z25" s="6">
        <v>35.56</v>
      </c>
      <c r="AA25" s="6">
        <v>1084.3</v>
      </c>
      <c r="AB25" s="6">
        <v>17</v>
      </c>
      <c r="AC25" s="6">
        <v>122.12</v>
      </c>
      <c r="AD25" s="6">
        <v>20.21</v>
      </c>
      <c r="AE25" s="6">
        <v>157.34</v>
      </c>
      <c r="AF25" s="35">
        <v>0.18959999999999999</v>
      </c>
      <c r="AG25" s="35">
        <v>0.2056</v>
      </c>
      <c r="AH25">
        <v>1</v>
      </c>
      <c r="AI25">
        <v>1</v>
      </c>
      <c r="AJ25">
        <v>4.0000000000000036E-2</v>
      </c>
      <c r="AK25" s="35">
        <v>0.1852</v>
      </c>
      <c r="AL25" s="35">
        <v>0.19130000000000003</v>
      </c>
    </row>
    <row r="26" spans="1:38">
      <c r="A26" t="s">
        <v>564</v>
      </c>
      <c r="B26" t="s">
        <v>565</v>
      </c>
      <c r="C26" t="s">
        <v>1088</v>
      </c>
      <c r="D26" s="6">
        <v>4.8</v>
      </c>
      <c r="E26" s="6">
        <v>60.6</v>
      </c>
      <c r="F26" s="6">
        <v>13.9</v>
      </c>
      <c r="G26" s="6">
        <v>37.1</v>
      </c>
      <c r="H26" s="6">
        <v>29.35</v>
      </c>
      <c r="I26" s="6">
        <v>50.19</v>
      </c>
      <c r="J26" s="6">
        <v>191.14</v>
      </c>
      <c r="K26" s="6">
        <v>4.3899999999999997</v>
      </c>
      <c r="L26" s="6">
        <v>0</v>
      </c>
      <c r="M26" s="6">
        <v>195.53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>
        <v>1</v>
      </c>
      <c r="T26">
        <v>1</v>
      </c>
      <c r="U26">
        <v>0</v>
      </c>
      <c r="V26" s="6">
        <v>0.56000000000000005</v>
      </c>
      <c r="W26" s="6">
        <v>0</v>
      </c>
      <c r="X26" s="6">
        <v>0</v>
      </c>
      <c r="Y26" s="6">
        <v>29</v>
      </c>
      <c r="Z26" s="6">
        <v>2.89</v>
      </c>
      <c r="AA26" s="6">
        <v>200.32</v>
      </c>
      <c r="AB26" s="6">
        <v>17</v>
      </c>
      <c r="AC26" s="6">
        <v>133.91999999999999</v>
      </c>
      <c r="AD26" s="6">
        <v>22.17</v>
      </c>
      <c r="AE26" s="6">
        <v>31.89</v>
      </c>
      <c r="AF26" s="35">
        <v>0.16400000000000001</v>
      </c>
      <c r="AG26" s="35">
        <v>0.2056</v>
      </c>
      <c r="AH26">
        <v>1</v>
      </c>
      <c r="AI26">
        <v>1</v>
      </c>
      <c r="AJ26">
        <v>0</v>
      </c>
      <c r="AK26" s="35">
        <v>0.19270000000000001</v>
      </c>
      <c r="AL26" s="35">
        <v>0.19130000000000003</v>
      </c>
    </row>
    <row r="27" spans="1:38">
      <c r="A27" t="s">
        <v>590</v>
      </c>
      <c r="B27" t="s">
        <v>591</v>
      </c>
      <c r="C27" t="s">
        <v>1088</v>
      </c>
      <c r="D27" s="6">
        <v>0</v>
      </c>
      <c r="E27" s="6">
        <v>222.39</v>
      </c>
      <c r="F27" s="6">
        <v>66.5</v>
      </c>
      <c r="G27" s="6">
        <v>115.25</v>
      </c>
      <c r="H27" s="6">
        <v>112.72</v>
      </c>
      <c r="I27" s="6">
        <v>200.27</v>
      </c>
      <c r="J27" s="6">
        <v>717.13</v>
      </c>
      <c r="K27" s="6">
        <v>8.4499999999999993</v>
      </c>
      <c r="L27" s="6">
        <v>0.74</v>
      </c>
      <c r="M27" s="6">
        <v>751.97</v>
      </c>
      <c r="N27" s="6">
        <v>0</v>
      </c>
      <c r="O27" s="6">
        <v>0</v>
      </c>
      <c r="P27" s="6">
        <v>15.03</v>
      </c>
      <c r="Q27" s="6">
        <v>4.71</v>
      </c>
      <c r="R27" s="6">
        <v>5.91</v>
      </c>
      <c r="S27">
        <v>1</v>
      </c>
      <c r="T27">
        <v>1</v>
      </c>
      <c r="U27">
        <v>0</v>
      </c>
      <c r="V27" s="6">
        <v>6.67</v>
      </c>
      <c r="W27" s="6">
        <v>0</v>
      </c>
      <c r="X27" s="6">
        <v>0</v>
      </c>
      <c r="Y27" s="6">
        <v>76.44</v>
      </c>
      <c r="Z27" s="6">
        <v>7.22</v>
      </c>
      <c r="AA27" s="6">
        <v>751.97</v>
      </c>
      <c r="AB27" s="6">
        <v>17</v>
      </c>
      <c r="AC27" s="6">
        <v>125.6</v>
      </c>
      <c r="AD27" s="6">
        <v>20.79</v>
      </c>
      <c r="AE27" s="6">
        <v>83.66</v>
      </c>
      <c r="AF27" s="35">
        <v>0.21049999999999999</v>
      </c>
      <c r="AG27" s="35">
        <v>0.2056</v>
      </c>
      <c r="AH27">
        <v>1</v>
      </c>
      <c r="AI27">
        <v>1</v>
      </c>
      <c r="AJ27">
        <v>0</v>
      </c>
      <c r="AK27" s="35">
        <v>0.20200000000000001</v>
      </c>
      <c r="AL27" s="35">
        <v>0.19130000000000003</v>
      </c>
    </row>
    <row r="28" spans="1:38">
      <c r="A28" t="s">
        <v>649</v>
      </c>
      <c r="B28" t="s">
        <v>650</v>
      </c>
      <c r="C28" t="s">
        <v>1088</v>
      </c>
      <c r="D28" s="6">
        <v>13.9</v>
      </c>
      <c r="E28" s="6">
        <v>266.06</v>
      </c>
      <c r="F28" s="6">
        <v>69.02</v>
      </c>
      <c r="G28" s="6">
        <v>126.27</v>
      </c>
      <c r="H28" s="6">
        <v>152.88999999999999</v>
      </c>
      <c r="I28" s="6">
        <v>287.17</v>
      </c>
      <c r="J28" s="6">
        <v>901.41</v>
      </c>
      <c r="K28" s="6">
        <v>11.8</v>
      </c>
      <c r="L28" s="6">
        <v>1.1599999999999999</v>
      </c>
      <c r="M28" s="6">
        <v>978.46</v>
      </c>
      <c r="N28" s="6">
        <v>1.2</v>
      </c>
      <c r="O28" s="6">
        <v>0</v>
      </c>
      <c r="P28" s="6">
        <v>2.93</v>
      </c>
      <c r="Q28" s="6">
        <v>11.64</v>
      </c>
      <c r="R28" s="6">
        <v>48.32</v>
      </c>
      <c r="S28">
        <v>1</v>
      </c>
      <c r="T28">
        <v>1</v>
      </c>
      <c r="U28">
        <v>0</v>
      </c>
      <c r="V28" s="6">
        <v>18.559999999999999</v>
      </c>
      <c r="W28" s="6">
        <v>0</v>
      </c>
      <c r="X28" s="6">
        <v>0</v>
      </c>
      <c r="Y28" s="6">
        <v>202.89</v>
      </c>
      <c r="Z28" s="6">
        <v>16.559999999999999</v>
      </c>
      <c r="AA28" s="6">
        <v>992.08</v>
      </c>
      <c r="AB28" s="6">
        <v>17.84</v>
      </c>
      <c r="AC28" s="6">
        <v>130.24</v>
      </c>
      <c r="AD28" s="6">
        <v>21.56</v>
      </c>
      <c r="AE28" s="6">
        <v>219.45</v>
      </c>
      <c r="AF28" s="35">
        <v>0.1807</v>
      </c>
      <c r="AG28" s="35">
        <v>0.2056</v>
      </c>
      <c r="AH28">
        <v>1</v>
      </c>
      <c r="AI28">
        <v>1</v>
      </c>
      <c r="AJ28">
        <v>0</v>
      </c>
      <c r="AK28" s="35">
        <v>0.16239999999999999</v>
      </c>
      <c r="AL28" s="35">
        <v>0.19130000000000003</v>
      </c>
    </row>
    <row r="29" spans="1:38">
      <c r="A29" t="s">
        <v>618</v>
      </c>
      <c r="B29" t="s">
        <v>619</v>
      </c>
      <c r="C29" t="s">
        <v>1088</v>
      </c>
      <c r="D29" s="6">
        <v>0</v>
      </c>
      <c r="E29" s="6">
        <v>84.2</v>
      </c>
      <c r="F29" s="6">
        <v>19.5</v>
      </c>
      <c r="G29" s="6">
        <v>46.5</v>
      </c>
      <c r="H29" s="6">
        <v>61.38</v>
      </c>
      <c r="I29" s="6">
        <v>90.37</v>
      </c>
      <c r="J29" s="6">
        <v>301.95</v>
      </c>
      <c r="K29" s="6">
        <v>7.04</v>
      </c>
      <c r="L29" s="6">
        <v>1.1200000000000001</v>
      </c>
      <c r="M29" s="6">
        <v>310.11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>
        <v>1</v>
      </c>
      <c r="T29">
        <v>1</v>
      </c>
      <c r="U29">
        <v>0.02</v>
      </c>
      <c r="V29" s="6">
        <v>1.78</v>
      </c>
      <c r="W29" s="6">
        <v>0</v>
      </c>
      <c r="X29" s="6">
        <v>0</v>
      </c>
      <c r="Y29" s="6">
        <v>26</v>
      </c>
      <c r="Z29" s="6">
        <v>14.44</v>
      </c>
      <c r="AA29" s="6">
        <v>310.10000000000002</v>
      </c>
      <c r="AB29" s="6">
        <v>17.34</v>
      </c>
      <c r="AC29" s="6">
        <v>126.23</v>
      </c>
      <c r="AD29" s="6">
        <v>20.89</v>
      </c>
      <c r="AE29" s="6">
        <v>40.44</v>
      </c>
      <c r="AF29" s="35">
        <v>0.13009999999999999</v>
      </c>
      <c r="AG29" s="35">
        <v>0.2056</v>
      </c>
      <c r="AH29">
        <v>1</v>
      </c>
      <c r="AI29">
        <v>1</v>
      </c>
      <c r="AJ29">
        <v>1.0000000000000009E-2</v>
      </c>
      <c r="AK29" s="35">
        <v>0.20419999999999999</v>
      </c>
      <c r="AL29" s="35">
        <v>0.19130000000000003</v>
      </c>
    </row>
    <row r="30" spans="1:38">
      <c r="A30" t="s">
        <v>763</v>
      </c>
      <c r="B30" t="s">
        <v>764</v>
      </c>
      <c r="C30" t="s">
        <v>1088</v>
      </c>
      <c r="D30" s="6">
        <v>6.14</v>
      </c>
      <c r="E30" s="6">
        <v>38.6</v>
      </c>
      <c r="F30" s="6">
        <v>6</v>
      </c>
      <c r="G30" s="6">
        <v>22.4</v>
      </c>
      <c r="H30" s="6">
        <v>9</v>
      </c>
      <c r="I30" s="6">
        <v>0</v>
      </c>
      <c r="J30" s="6">
        <v>76</v>
      </c>
      <c r="K30" s="6">
        <v>0</v>
      </c>
      <c r="L30" s="6">
        <v>0</v>
      </c>
      <c r="M30" s="6">
        <v>76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>
        <v>1.06</v>
      </c>
      <c r="T30">
        <v>1.06</v>
      </c>
      <c r="U30">
        <v>0</v>
      </c>
      <c r="V30" s="6">
        <v>0</v>
      </c>
      <c r="W30" s="6">
        <v>0</v>
      </c>
      <c r="X30" s="6">
        <v>0</v>
      </c>
      <c r="Y30" s="6">
        <v>8.2200000000000006</v>
      </c>
      <c r="Z30" s="6">
        <v>0</v>
      </c>
      <c r="AA30" s="6">
        <v>82.14</v>
      </c>
      <c r="AB30" s="6">
        <v>17</v>
      </c>
      <c r="AC30" s="6">
        <v>117.72</v>
      </c>
      <c r="AD30" s="6">
        <v>19.48</v>
      </c>
      <c r="AE30" s="6">
        <v>8.2200000000000006</v>
      </c>
      <c r="AF30" s="35">
        <v>0.40949999999999998</v>
      </c>
      <c r="AG30" s="35">
        <v>0.2056</v>
      </c>
      <c r="AH30">
        <v>1.06</v>
      </c>
      <c r="AI30">
        <v>1.06</v>
      </c>
      <c r="AJ30">
        <v>0</v>
      </c>
      <c r="AK30" s="35">
        <v>0.28739999999999999</v>
      </c>
      <c r="AL30" s="35">
        <v>0.19130000000000003</v>
      </c>
    </row>
    <row r="31" spans="1:38">
      <c r="A31" t="s">
        <v>608</v>
      </c>
      <c r="B31" t="s">
        <v>609</v>
      </c>
      <c r="C31" t="s">
        <v>1088</v>
      </c>
      <c r="D31" s="6">
        <v>0</v>
      </c>
      <c r="E31" s="6">
        <v>32.200000000000003</v>
      </c>
      <c r="F31" s="6">
        <v>7.3</v>
      </c>
      <c r="G31" s="6">
        <v>15.4</v>
      </c>
      <c r="H31" s="6">
        <v>11.1</v>
      </c>
      <c r="I31" s="6">
        <v>0</v>
      </c>
      <c r="J31" s="6">
        <v>66</v>
      </c>
      <c r="K31" s="6">
        <v>0</v>
      </c>
      <c r="L31" s="6">
        <v>0</v>
      </c>
      <c r="M31" s="6">
        <v>66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>
        <v>1.06</v>
      </c>
      <c r="T31">
        <v>1.06</v>
      </c>
      <c r="U31">
        <v>0</v>
      </c>
      <c r="V31" s="6">
        <v>0</v>
      </c>
      <c r="W31" s="6">
        <v>0</v>
      </c>
      <c r="X31" s="6">
        <v>0</v>
      </c>
      <c r="Y31" s="6">
        <v>7.78</v>
      </c>
      <c r="Z31" s="6">
        <v>0.11</v>
      </c>
      <c r="AA31" s="6">
        <v>66</v>
      </c>
      <c r="AB31" s="6">
        <v>17</v>
      </c>
      <c r="AC31" s="6">
        <v>135.22</v>
      </c>
      <c r="AD31" s="6">
        <v>22.38</v>
      </c>
      <c r="AE31" s="6">
        <v>7.89</v>
      </c>
      <c r="AF31" s="35">
        <v>0.36559999999999998</v>
      </c>
      <c r="AG31" s="35">
        <v>0.2056</v>
      </c>
      <c r="AH31">
        <v>1.06</v>
      </c>
      <c r="AI31">
        <v>1.06</v>
      </c>
      <c r="AJ31">
        <v>0</v>
      </c>
      <c r="AK31" s="35">
        <v>0.28070000000000001</v>
      </c>
      <c r="AL31" s="35">
        <v>0.19130000000000003</v>
      </c>
    </row>
    <row r="32" spans="1:38">
      <c r="A32" t="s">
        <v>592</v>
      </c>
      <c r="B32" t="s">
        <v>593</v>
      </c>
      <c r="C32" t="s">
        <v>1088</v>
      </c>
      <c r="D32" s="6">
        <v>0</v>
      </c>
      <c r="E32" s="6">
        <v>19</v>
      </c>
      <c r="F32" s="6">
        <v>6</v>
      </c>
      <c r="G32" s="6">
        <v>14.2</v>
      </c>
      <c r="H32" s="6">
        <v>6.1</v>
      </c>
      <c r="I32" s="6">
        <v>22.44</v>
      </c>
      <c r="J32" s="6">
        <v>67.739999999999995</v>
      </c>
      <c r="K32" s="6">
        <v>0</v>
      </c>
      <c r="L32" s="6">
        <v>0</v>
      </c>
      <c r="M32" s="6">
        <v>67.739999999999995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>
        <v>1</v>
      </c>
      <c r="T32">
        <v>1</v>
      </c>
      <c r="U32">
        <v>0</v>
      </c>
      <c r="V32" s="6">
        <v>0</v>
      </c>
      <c r="W32" s="6">
        <v>0</v>
      </c>
      <c r="X32" s="6">
        <v>0</v>
      </c>
      <c r="Y32" s="6">
        <v>4.22</v>
      </c>
      <c r="Z32" s="6">
        <v>1</v>
      </c>
      <c r="AA32" s="6">
        <v>67.739999999999995</v>
      </c>
      <c r="AB32" s="6">
        <v>17</v>
      </c>
      <c r="AC32" s="6">
        <v>117.52</v>
      </c>
      <c r="AD32" s="6">
        <v>19.45</v>
      </c>
      <c r="AE32" s="6">
        <v>5.22</v>
      </c>
      <c r="AF32" s="35">
        <v>0.26869999999999999</v>
      </c>
      <c r="AG32" s="35">
        <v>0.2056</v>
      </c>
      <c r="AH32">
        <v>1</v>
      </c>
      <c r="AI32">
        <v>1</v>
      </c>
      <c r="AJ32">
        <v>0</v>
      </c>
      <c r="AK32" s="35">
        <v>0.33500000000000002</v>
      </c>
      <c r="AL32" s="35">
        <v>0.19130000000000003</v>
      </c>
    </row>
    <row r="33" spans="1:38">
      <c r="A33" t="s">
        <v>799</v>
      </c>
      <c r="B33" t="s">
        <v>800</v>
      </c>
      <c r="C33" t="s">
        <v>1088</v>
      </c>
      <c r="D33" s="6">
        <v>27.5</v>
      </c>
      <c r="E33" s="6">
        <v>196.26</v>
      </c>
      <c r="F33" s="6">
        <v>45.23</v>
      </c>
      <c r="G33" s="6">
        <v>131.4</v>
      </c>
      <c r="H33" s="6">
        <v>125.12</v>
      </c>
      <c r="I33" s="6">
        <v>255.47</v>
      </c>
      <c r="J33" s="6">
        <v>753.48</v>
      </c>
      <c r="K33" s="6">
        <v>4.34</v>
      </c>
      <c r="L33" s="6">
        <v>0.48</v>
      </c>
      <c r="M33" s="6">
        <v>766.7</v>
      </c>
      <c r="N33" s="6">
        <v>8.4</v>
      </c>
      <c r="O33" s="6">
        <v>0</v>
      </c>
      <c r="P33" s="6">
        <v>0</v>
      </c>
      <c r="Q33" s="6">
        <v>0</v>
      </c>
      <c r="R33" s="6">
        <v>0</v>
      </c>
      <c r="S33">
        <v>1</v>
      </c>
      <c r="T33">
        <v>1</v>
      </c>
      <c r="U33">
        <v>0</v>
      </c>
      <c r="V33" s="6">
        <v>7.11</v>
      </c>
      <c r="W33" s="6">
        <v>0</v>
      </c>
      <c r="X33" s="6">
        <v>0</v>
      </c>
      <c r="Y33" s="6">
        <v>80.67</v>
      </c>
      <c r="Z33" s="6">
        <v>44.22</v>
      </c>
      <c r="AA33" s="6">
        <v>795.5</v>
      </c>
      <c r="AB33" s="6">
        <v>17</v>
      </c>
      <c r="AC33" s="6">
        <v>124.01</v>
      </c>
      <c r="AD33" s="6">
        <v>20.53</v>
      </c>
      <c r="AE33" s="6">
        <v>124.89</v>
      </c>
      <c r="AF33" s="35">
        <v>0.15629999999999999</v>
      </c>
      <c r="AG33" s="35">
        <v>0.2056</v>
      </c>
      <c r="AH33">
        <v>1</v>
      </c>
      <c r="AI33">
        <v>1</v>
      </c>
      <c r="AJ33">
        <v>0</v>
      </c>
      <c r="AK33" s="35">
        <v>0.20250000000000001</v>
      </c>
      <c r="AL33" s="35">
        <v>0.19130000000000003</v>
      </c>
    </row>
    <row r="34" spans="1:38">
      <c r="A34" t="s">
        <v>845</v>
      </c>
      <c r="B34" t="s">
        <v>846</v>
      </c>
      <c r="C34" t="s">
        <v>1088</v>
      </c>
      <c r="D34" s="6">
        <v>0</v>
      </c>
      <c r="E34" s="6">
        <v>111.23</v>
      </c>
      <c r="F34" s="6">
        <v>32.5</v>
      </c>
      <c r="G34" s="6">
        <v>67.83</v>
      </c>
      <c r="H34" s="6">
        <v>51.04</v>
      </c>
      <c r="I34" s="6">
        <v>124.37</v>
      </c>
      <c r="J34" s="6">
        <v>386.97</v>
      </c>
      <c r="K34" s="6">
        <v>6.53</v>
      </c>
      <c r="L34" s="6">
        <v>0.31</v>
      </c>
      <c r="M34" s="6">
        <v>410.06</v>
      </c>
      <c r="N34" s="6">
        <v>0</v>
      </c>
      <c r="O34" s="6">
        <v>0</v>
      </c>
      <c r="P34" s="6">
        <v>2.83</v>
      </c>
      <c r="Q34" s="6">
        <v>1.93</v>
      </c>
      <c r="R34" s="6">
        <v>11.49</v>
      </c>
      <c r="S34">
        <v>1</v>
      </c>
      <c r="T34">
        <v>1</v>
      </c>
      <c r="U34">
        <v>0.04</v>
      </c>
      <c r="V34" s="6">
        <v>2.78</v>
      </c>
      <c r="W34" s="6">
        <v>0</v>
      </c>
      <c r="X34" s="6">
        <v>0</v>
      </c>
      <c r="Y34" s="6">
        <v>46.33</v>
      </c>
      <c r="Z34" s="6">
        <v>22.22</v>
      </c>
      <c r="AA34" s="6">
        <v>410.42</v>
      </c>
      <c r="AB34" s="6">
        <v>17</v>
      </c>
      <c r="AC34" s="6">
        <v>132.54</v>
      </c>
      <c r="AD34" s="6">
        <v>21.94</v>
      </c>
      <c r="AE34" s="6">
        <v>68.55</v>
      </c>
      <c r="AF34" s="35">
        <v>0.2656</v>
      </c>
      <c r="AG34" s="35">
        <v>0.2056</v>
      </c>
      <c r="AH34">
        <v>1</v>
      </c>
      <c r="AI34">
        <v>1</v>
      </c>
      <c r="AJ34">
        <v>4.0000000000000036E-2</v>
      </c>
      <c r="AK34" s="35">
        <v>0.43559999999999999</v>
      </c>
      <c r="AL34" s="35">
        <v>0.19130000000000003</v>
      </c>
    </row>
    <row r="35" spans="1:38">
      <c r="A35" t="s">
        <v>432</v>
      </c>
      <c r="B35" t="s">
        <v>433</v>
      </c>
      <c r="C35" t="s">
        <v>1088</v>
      </c>
      <c r="D35" s="6">
        <v>0</v>
      </c>
      <c r="E35" s="6">
        <v>15</v>
      </c>
      <c r="F35" s="6">
        <v>1</v>
      </c>
      <c r="G35" s="6">
        <v>3</v>
      </c>
      <c r="H35" s="6">
        <v>0</v>
      </c>
      <c r="I35" s="6">
        <v>0</v>
      </c>
      <c r="J35" s="6">
        <v>19</v>
      </c>
      <c r="K35" s="6">
        <v>0</v>
      </c>
      <c r="L35" s="6">
        <v>0</v>
      </c>
      <c r="M35" s="6">
        <v>19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>
        <v>1</v>
      </c>
      <c r="T35">
        <v>1</v>
      </c>
      <c r="U35">
        <v>0.04</v>
      </c>
      <c r="V35" s="6">
        <v>0</v>
      </c>
      <c r="W35" s="6">
        <v>0</v>
      </c>
      <c r="X35" s="6">
        <v>0</v>
      </c>
      <c r="Y35" s="6">
        <v>2.44</v>
      </c>
      <c r="Z35" s="6">
        <v>0</v>
      </c>
      <c r="AA35" s="6">
        <v>19</v>
      </c>
      <c r="AB35" s="6">
        <v>17</v>
      </c>
      <c r="AC35" s="6">
        <v>146.15</v>
      </c>
      <c r="AD35" s="6">
        <v>24.19</v>
      </c>
      <c r="AE35" s="6">
        <v>2.44</v>
      </c>
      <c r="AF35" s="35">
        <v>0.40489999999999998</v>
      </c>
      <c r="AG35" s="35">
        <v>0.2056</v>
      </c>
      <c r="AH35">
        <v>1</v>
      </c>
      <c r="AI35">
        <v>1</v>
      </c>
      <c r="AJ35">
        <v>4.0000000000000036E-2</v>
      </c>
      <c r="AK35" s="35">
        <v>0.36070000000000002</v>
      </c>
      <c r="AL35" s="35">
        <v>0.19130000000000003</v>
      </c>
    </row>
    <row r="36" spans="1:38">
      <c r="A36" t="s">
        <v>849</v>
      </c>
      <c r="B36" t="s">
        <v>850</v>
      </c>
      <c r="C36" t="s">
        <v>1088</v>
      </c>
      <c r="D36" s="6">
        <v>0</v>
      </c>
      <c r="E36" s="6">
        <v>81.17</v>
      </c>
      <c r="F36" s="6">
        <v>16.7</v>
      </c>
      <c r="G36" s="6">
        <v>49.41</v>
      </c>
      <c r="H36" s="6">
        <v>41.5</v>
      </c>
      <c r="I36" s="6">
        <v>84.61</v>
      </c>
      <c r="J36" s="6">
        <v>273.39</v>
      </c>
      <c r="K36" s="6">
        <v>9.08</v>
      </c>
      <c r="L36" s="6">
        <v>0.48</v>
      </c>
      <c r="M36" s="6">
        <v>282.95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>
        <v>1</v>
      </c>
      <c r="T36">
        <v>1</v>
      </c>
      <c r="U36">
        <v>0</v>
      </c>
      <c r="V36" s="6">
        <v>0.89</v>
      </c>
      <c r="W36" s="6">
        <v>0</v>
      </c>
      <c r="X36" s="6">
        <v>0</v>
      </c>
      <c r="Y36" s="6">
        <v>28.78</v>
      </c>
      <c r="Z36" s="6">
        <v>1.56</v>
      </c>
      <c r="AA36" s="6">
        <v>287.66000000000003</v>
      </c>
      <c r="AB36" s="6">
        <v>17.14</v>
      </c>
      <c r="AC36" s="6">
        <v>127.47</v>
      </c>
      <c r="AD36" s="6">
        <v>21.1</v>
      </c>
      <c r="AE36" s="6">
        <v>30.34</v>
      </c>
      <c r="AF36" s="35">
        <v>0.31909999999999999</v>
      </c>
      <c r="AG36" s="35">
        <v>0.2056</v>
      </c>
      <c r="AH36">
        <v>1</v>
      </c>
      <c r="AI36">
        <v>1</v>
      </c>
      <c r="AJ36">
        <v>0</v>
      </c>
      <c r="AK36" s="35">
        <v>0.29049999999999998</v>
      </c>
      <c r="AL36" s="35">
        <v>0.19130000000000003</v>
      </c>
    </row>
    <row r="37" spans="1:38" s="1" customFormat="1">
      <c r="A37" s="64" t="s">
        <v>1023</v>
      </c>
      <c r="B37" s="64" t="s">
        <v>1024</v>
      </c>
      <c r="C37" s="64"/>
      <c r="D37" s="65">
        <f>SUM(D$4:D36)</f>
        <v>124.03</v>
      </c>
      <c r="E37" s="65">
        <f>SUM(E$4:E36)</f>
        <v>3493.1499999999992</v>
      </c>
      <c r="F37" s="65">
        <f>SUM(F$4:F36)</f>
        <v>922.84999999999991</v>
      </c>
      <c r="G37" s="65">
        <f>SUM(G$4:G36)</f>
        <v>1842.7400000000002</v>
      </c>
      <c r="H37" s="65">
        <f>SUM(H$4:H36)</f>
        <v>1813.6499999999996</v>
      </c>
      <c r="I37" s="65">
        <f>SUM(I$4:I36)</f>
        <v>3267.63</v>
      </c>
      <c r="J37" s="65">
        <f>SUM(J$4:J36)</f>
        <v>11340.019999999999</v>
      </c>
      <c r="K37" s="65">
        <f>SUM(K$4:K36)</f>
        <v>227.10999999999999</v>
      </c>
      <c r="L37" s="65">
        <f>SUM(L$4:L36)</f>
        <v>21.54</v>
      </c>
      <c r="M37" s="65">
        <f>SUM(M$4:M36)</f>
        <v>13862.090000000004</v>
      </c>
      <c r="N37" s="65">
        <f>SUM(N$4:N36)</f>
        <v>15.8</v>
      </c>
      <c r="O37" s="65">
        <f>SUM(O$4:O36)</f>
        <v>0</v>
      </c>
      <c r="P37" s="65">
        <f>SUM(P$4:P36)</f>
        <v>508.25999999999993</v>
      </c>
      <c r="Q37" s="65">
        <f>SUM(Q$4:Q36)</f>
        <v>381.89</v>
      </c>
      <c r="R37" s="65">
        <f>SUM(R$4:R36)</f>
        <v>1367.4699999999998</v>
      </c>
      <c r="V37" s="65">
        <f t="shared" ref="V37" si="1">SUM(V7:V36)</f>
        <v>82.36</v>
      </c>
      <c r="W37" s="65">
        <f>SUM(W$4:W36)</f>
        <v>0.67</v>
      </c>
      <c r="X37" s="65">
        <f>SUM(X$4:X36)</f>
        <v>0.89</v>
      </c>
      <c r="Y37" s="65">
        <f>SUM(Y$4:Y36)</f>
        <v>1591.3200000000002</v>
      </c>
      <c r="Z37" s="65">
        <f>SUM(Z$4:Z36)</f>
        <v>454.55000000000013</v>
      </c>
      <c r="AA37" s="65">
        <f>SUM(AA$4:AA36)</f>
        <v>14006.06</v>
      </c>
      <c r="AB37" s="66"/>
      <c r="AC37" s="67">
        <f>ROUND(SUMPRODUCT(AA4:AA36,AC4:AC36)/AA37,2)</f>
        <v>126.72</v>
      </c>
      <c r="AD37" s="1">
        <f>ROUND(AC37*24/145,2)</f>
        <v>20.97</v>
      </c>
      <c r="AE37" s="65">
        <f>SUM(AE$4:AE36)</f>
        <v>2047.4300000000003</v>
      </c>
    </row>
    <row r="38" spans="1:38">
      <c r="A38" t="s">
        <v>859</v>
      </c>
      <c r="B38" t="s">
        <v>860</v>
      </c>
      <c r="C38" t="s">
        <v>1088</v>
      </c>
      <c r="D38" s="6">
        <v>0</v>
      </c>
      <c r="E38" s="6">
        <v>15</v>
      </c>
      <c r="F38" s="6">
        <v>7.27</v>
      </c>
      <c r="G38" s="6">
        <v>6</v>
      </c>
      <c r="H38" s="6">
        <v>9.26</v>
      </c>
      <c r="I38" s="6">
        <v>24.89</v>
      </c>
      <c r="J38" s="6">
        <v>62.42</v>
      </c>
      <c r="K38" s="6">
        <v>0.78</v>
      </c>
      <c r="L38" s="6">
        <v>0</v>
      </c>
      <c r="M38" s="6">
        <v>65.7</v>
      </c>
      <c r="N38" s="6">
        <v>0</v>
      </c>
      <c r="O38" s="6">
        <v>0</v>
      </c>
      <c r="P38" s="6">
        <v>0</v>
      </c>
      <c r="Q38" s="6">
        <v>0</v>
      </c>
      <c r="R38" s="6">
        <v>2.5</v>
      </c>
      <c r="S38">
        <v>1</v>
      </c>
      <c r="T38">
        <v>1</v>
      </c>
      <c r="U38">
        <v>0</v>
      </c>
      <c r="V38" s="6">
        <v>0.89</v>
      </c>
      <c r="W38" s="6">
        <v>0</v>
      </c>
      <c r="X38" s="6">
        <v>0</v>
      </c>
      <c r="Y38" s="6">
        <v>13.11</v>
      </c>
      <c r="Z38" s="6">
        <v>1</v>
      </c>
      <c r="AA38" s="6">
        <v>65.709999999999994</v>
      </c>
      <c r="AB38" s="6">
        <v>17</v>
      </c>
      <c r="AC38" s="6">
        <v>124.08</v>
      </c>
      <c r="AD38" s="6">
        <v>20.54</v>
      </c>
      <c r="AE38" s="6">
        <v>14.11</v>
      </c>
      <c r="AF38" s="35">
        <v>0.31080000000000002</v>
      </c>
      <c r="AG38" s="35">
        <v>0.105</v>
      </c>
      <c r="AH38">
        <v>1</v>
      </c>
      <c r="AI38">
        <v>1</v>
      </c>
      <c r="AJ38">
        <v>0</v>
      </c>
      <c r="AK38" s="35">
        <v>0.28170000000000001</v>
      </c>
      <c r="AL38" s="35">
        <v>0.1179</v>
      </c>
    </row>
    <row r="39" spans="1:38">
      <c r="A39" t="s">
        <v>337</v>
      </c>
      <c r="B39" t="s">
        <v>338</v>
      </c>
      <c r="C39" t="s">
        <v>1088</v>
      </c>
      <c r="D39" s="6">
        <v>0</v>
      </c>
      <c r="E39" s="6">
        <v>8</v>
      </c>
      <c r="F39" s="6">
        <v>2</v>
      </c>
      <c r="G39" s="6">
        <v>1</v>
      </c>
      <c r="H39" s="6">
        <v>0</v>
      </c>
      <c r="I39" s="6">
        <v>0</v>
      </c>
      <c r="J39" s="6">
        <v>11</v>
      </c>
      <c r="K39" s="6">
        <v>0</v>
      </c>
      <c r="L39" s="6">
        <v>0</v>
      </c>
      <c r="M39" s="6">
        <v>11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>
        <v>1</v>
      </c>
      <c r="T39">
        <v>1</v>
      </c>
      <c r="U39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11</v>
      </c>
      <c r="AB39" s="6">
        <v>17</v>
      </c>
      <c r="AC39" s="6">
        <v>117.15</v>
      </c>
      <c r="AD39" s="6">
        <v>19.39</v>
      </c>
      <c r="AE39" s="6">
        <v>0</v>
      </c>
      <c r="AF39" s="35">
        <v>0.28810000000000002</v>
      </c>
      <c r="AG39" s="35">
        <v>0</v>
      </c>
      <c r="AH39">
        <v>1</v>
      </c>
      <c r="AI39">
        <v>1</v>
      </c>
      <c r="AJ39">
        <v>0</v>
      </c>
      <c r="AK39" s="35">
        <v>0.3574</v>
      </c>
      <c r="AL39" s="35">
        <v>0</v>
      </c>
    </row>
    <row r="40" spans="1:38">
      <c r="A40" t="s">
        <v>675</v>
      </c>
      <c r="B40" t="s">
        <v>676</v>
      </c>
      <c r="C40" t="s">
        <v>1088</v>
      </c>
      <c r="D40" s="6">
        <v>48.13</v>
      </c>
      <c r="E40" s="6">
        <v>1231.97</v>
      </c>
      <c r="F40" s="6">
        <v>340.7</v>
      </c>
      <c r="G40" s="6">
        <v>691</v>
      </c>
      <c r="H40" s="6">
        <v>735.42</v>
      </c>
      <c r="I40" s="6">
        <v>1323.17</v>
      </c>
      <c r="J40" s="6">
        <v>4322.26</v>
      </c>
      <c r="K40" s="6">
        <v>64.540000000000006</v>
      </c>
      <c r="L40" s="6">
        <v>9.1199999999999992</v>
      </c>
      <c r="M40" s="6">
        <v>4455.17</v>
      </c>
      <c r="N40" s="6">
        <v>24.5</v>
      </c>
      <c r="O40" s="6">
        <v>0</v>
      </c>
      <c r="P40" s="6">
        <v>0</v>
      </c>
      <c r="Q40" s="6">
        <v>1.1000000000000001</v>
      </c>
      <c r="R40" s="6">
        <v>33.65</v>
      </c>
      <c r="S40">
        <v>1</v>
      </c>
      <c r="T40">
        <v>1</v>
      </c>
      <c r="U40">
        <v>0</v>
      </c>
      <c r="V40" s="6">
        <v>61</v>
      </c>
      <c r="W40" s="6">
        <v>1</v>
      </c>
      <c r="X40" s="6">
        <v>4</v>
      </c>
      <c r="Y40" s="6">
        <v>335.78</v>
      </c>
      <c r="Z40" s="6">
        <v>169.33</v>
      </c>
      <c r="AA40" s="6">
        <v>4523.45</v>
      </c>
      <c r="AB40" s="6">
        <v>17</v>
      </c>
      <c r="AC40" s="6">
        <v>142.66999999999999</v>
      </c>
      <c r="AD40" s="6">
        <v>23.61</v>
      </c>
      <c r="AE40" s="6">
        <v>509.11</v>
      </c>
      <c r="AF40" s="35">
        <v>0.1477</v>
      </c>
      <c r="AG40" s="35">
        <v>0.2394</v>
      </c>
      <c r="AH40">
        <v>1</v>
      </c>
      <c r="AI40">
        <v>1</v>
      </c>
      <c r="AJ40">
        <v>0</v>
      </c>
      <c r="AK40" s="35">
        <v>0.14860000000000001</v>
      </c>
      <c r="AL40" s="35">
        <v>0.24880000000000002</v>
      </c>
    </row>
    <row r="41" spans="1:38">
      <c r="A41" t="s">
        <v>556</v>
      </c>
      <c r="B41" t="s">
        <v>557</v>
      </c>
      <c r="C41" t="s">
        <v>1088</v>
      </c>
      <c r="D41" s="6">
        <v>6.6</v>
      </c>
      <c r="E41" s="6">
        <v>54</v>
      </c>
      <c r="F41" s="6">
        <v>12.7</v>
      </c>
      <c r="G41" s="6">
        <v>29.84</v>
      </c>
      <c r="H41" s="6">
        <v>35.9</v>
      </c>
      <c r="I41" s="6">
        <v>41.63</v>
      </c>
      <c r="J41" s="6">
        <v>174.07</v>
      </c>
      <c r="K41" s="6">
        <v>1.22</v>
      </c>
      <c r="L41" s="6">
        <v>0</v>
      </c>
      <c r="M41" s="6">
        <v>175.29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>
        <v>1</v>
      </c>
      <c r="T41">
        <v>1</v>
      </c>
      <c r="U41">
        <v>0</v>
      </c>
      <c r="V41" s="6">
        <v>0.33</v>
      </c>
      <c r="W41" s="6">
        <v>0</v>
      </c>
      <c r="X41" s="6">
        <v>0</v>
      </c>
      <c r="Y41" s="6">
        <v>16.89</v>
      </c>
      <c r="Z41" s="6">
        <v>1</v>
      </c>
      <c r="AA41" s="6">
        <v>181.89</v>
      </c>
      <c r="AB41" s="6">
        <v>17</v>
      </c>
      <c r="AC41" s="6">
        <v>125.35</v>
      </c>
      <c r="AD41" s="6">
        <v>20.75</v>
      </c>
      <c r="AE41" s="6">
        <v>17.89</v>
      </c>
      <c r="AF41" s="35">
        <v>0.18890000000000001</v>
      </c>
      <c r="AG41" s="35">
        <v>0.15720000000000001</v>
      </c>
      <c r="AH41">
        <v>1</v>
      </c>
      <c r="AI41">
        <v>1</v>
      </c>
      <c r="AJ41">
        <v>0</v>
      </c>
      <c r="AK41" s="35">
        <v>0.16170000000000001</v>
      </c>
      <c r="AL41" s="35">
        <v>0.14000000000000001</v>
      </c>
    </row>
    <row r="42" spans="1:38">
      <c r="A42" t="s">
        <v>729</v>
      </c>
      <c r="B42" t="s">
        <v>730</v>
      </c>
      <c r="C42" t="s">
        <v>1088</v>
      </c>
      <c r="D42" s="6">
        <v>12.97</v>
      </c>
      <c r="E42" s="6">
        <v>96.1</v>
      </c>
      <c r="F42" s="6">
        <v>32.6</v>
      </c>
      <c r="G42" s="6">
        <v>50.3</v>
      </c>
      <c r="H42" s="6">
        <v>63.89</v>
      </c>
      <c r="I42" s="6">
        <v>109.84</v>
      </c>
      <c r="J42" s="6">
        <v>352.73</v>
      </c>
      <c r="K42" s="6">
        <v>4.46</v>
      </c>
      <c r="L42" s="6">
        <v>1.1000000000000001</v>
      </c>
      <c r="M42" s="6">
        <v>384.07</v>
      </c>
      <c r="N42" s="6">
        <v>0</v>
      </c>
      <c r="O42" s="6">
        <v>0</v>
      </c>
      <c r="P42" s="6">
        <v>6.53</v>
      </c>
      <c r="Q42" s="6">
        <v>6.77</v>
      </c>
      <c r="R42" s="6">
        <v>12.48</v>
      </c>
      <c r="S42">
        <v>1</v>
      </c>
      <c r="T42">
        <v>1</v>
      </c>
      <c r="U42">
        <v>0.04</v>
      </c>
      <c r="V42" s="6">
        <v>4.5599999999999996</v>
      </c>
      <c r="W42" s="6">
        <v>0.11</v>
      </c>
      <c r="X42" s="6">
        <v>0</v>
      </c>
      <c r="Y42" s="6">
        <v>32.33</v>
      </c>
      <c r="Z42" s="6">
        <v>5.78</v>
      </c>
      <c r="AA42" s="6">
        <v>397.04</v>
      </c>
      <c r="AB42" s="6">
        <v>17</v>
      </c>
      <c r="AC42" s="6">
        <v>118.99</v>
      </c>
      <c r="AD42" s="6">
        <v>19.690000000000001</v>
      </c>
      <c r="AE42" s="6">
        <v>38.22</v>
      </c>
      <c r="AF42" s="35">
        <v>0.25059999999999999</v>
      </c>
      <c r="AG42" s="35">
        <v>0.14599999999999999</v>
      </c>
      <c r="AH42">
        <v>1</v>
      </c>
      <c r="AI42">
        <v>1</v>
      </c>
      <c r="AJ42">
        <v>4.0000000000000036E-2</v>
      </c>
      <c r="AK42" s="35">
        <v>0.2457</v>
      </c>
      <c r="AL42" s="35">
        <v>0.15029999999999999</v>
      </c>
    </row>
    <row r="43" spans="1:38">
      <c r="A43" t="s">
        <v>384</v>
      </c>
      <c r="B43" t="s">
        <v>385</v>
      </c>
      <c r="C43" t="s">
        <v>1088</v>
      </c>
      <c r="D43" s="6">
        <v>51.7</v>
      </c>
      <c r="E43" s="6">
        <v>680.95</v>
      </c>
      <c r="F43" s="6">
        <v>188.1</v>
      </c>
      <c r="G43" s="6">
        <v>349</v>
      </c>
      <c r="H43" s="6">
        <v>341.39</v>
      </c>
      <c r="I43" s="6">
        <v>628.66</v>
      </c>
      <c r="J43" s="6">
        <v>2188.1</v>
      </c>
      <c r="K43" s="6">
        <v>17.670000000000002</v>
      </c>
      <c r="L43" s="6">
        <v>6</v>
      </c>
      <c r="M43" s="6">
        <v>2409.65</v>
      </c>
      <c r="N43" s="6">
        <v>11</v>
      </c>
      <c r="O43" s="6">
        <v>0</v>
      </c>
      <c r="P43" s="6">
        <v>25.35</v>
      </c>
      <c r="Q43" s="6">
        <v>11.85</v>
      </c>
      <c r="R43" s="6">
        <v>149.68</v>
      </c>
      <c r="S43">
        <v>1</v>
      </c>
      <c r="T43">
        <v>1</v>
      </c>
      <c r="U43">
        <v>0</v>
      </c>
      <c r="V43" s="6">
        <v>42.56</v>
      </c>
      <c r="W43" s="6">
        <v>4.22</v>
      </c>
      <c r="X43" s="6">
        <v>3.33</v>
      </c>
      <c r="Y43" s="6">
        <v>266</v>
      </c>
      <c r="Z43" s="6">
        <v>177.33</v>
      </c>
      <c r="AA43" s="6">
        <v>2463.0700000000002</v>
      </c>
      <c r="AB43" s="6">
        <v>18.350000000000001</v>
      </c>
      <c r="AC43" s="6">
        <v>122.73</v>
      </c>
      <c r="AD43" s="6">
        <v>20.309999999999999</v>
      </c>
      <c r="AE43" s="6">
        <v>450.88</v>
      </c>
      <c r="AF43" s="35">
        <v>0.1966</v>
      </c>
      <c r="AG43" s="35">
        <v>0.222</v>
      </c>
      <c r="AH43">
        <v>1</v>
      </c>
      <c r="AI43">
        <v>1</v>
      </c>
      <c r="AJ43">
        <v>0</v>
      </c>
      <c r="AK43" s="35">
        <v>0.19939999999999999</v>
      </c>
      <c r="AL43" s="35">
        <v>0.22460000000000002</v>
      </c>
    </row>
    <row r="44" spans="1:38">
      <c r="A44" t="s">
        <v>325</v>
      </c>
      <c r="B44" t="s">
        <v>326</v>
      </c>
      <c r="C44" t="s">
        <v>1088</v>
      </c>
      <c r="D44" s="6">
        <v>29.5</v>
      </c>
      <c r="E44" s="6">
        <v>187.18</v>
      </c>
      <c r="F44" s="6">
        <v>40.4</v>
      </c>
      <c r="G44" s="6">
        <v>100.69</v>
      </c>
      <c r="H44" s="6">
        <v>83.97</v>
      </c>
      <c r="I44" s="6">
        <v>166.54</v>
      </c>
      <c r="J44" s="6">
        <v>578.78</v>
      </c>
      <c r="K44" s="6">
        <v>8.02</v>
      </c>
      <c r="L44" s="6">
        <v>0.55000000000000004</v>
      </c>
      <c r="M44" s="6">
        <v>587.35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>
        <v>1</v>
      </c>
      <c r="T44">
        <v>1</v>
      </c>
      <c r="U44">
        <v>0</v>
      </c>
      <c r="V44" s="6">
        <v>2.89</v>
      </c>
      <c r="W44" s="6">
        <v>4</v>
      </c>
      <c r="X44" s="6">
        <v>1</v>
      </c>
      <c r="Y44" s="6">
        <v>58.22</v>
      </c>
      <c r="Z44" s="6">
        <v>26.78</v>
      </c>
      <c r="AA44" s="6">
        <v>616.85</v>
      </c>
      <c r="AB44" s="6">
        <v>21.4</v>
      </c>
      <c r="AC44" s="6">
        <v>121.59</v>
      </c>
      <c r="AD44" s="6">
        <v>20.13</v>
      </c>
      <c r="AE44" s="6">
        <v>90</v>
      </c>
      <c r="AF44" s="35">
        <v>0.19339999999999999</v>
      </c>
      <c r="AG44" s="35">
        <v>0.24579999999999999</v>
      </c>
      <c r="AH44">
        <v>1</v>
      </c>
      <c r="AI44">
        <v>1</v>
      </c>
      <c r="AJ44">
        <v>0</v>
      </c>
      <c r="AK44" s="35">
        <v>0.17829999999999999</v>
      </c>
      <c r="AL44" s="35">
        <v>0.21660000000000001</v>
      </c>
    </row>
    <row r="45" spans="1:38">
      <c r="A45" t="s">
        <v>524</v>
      </c>
      <c r="B45" t="s">
        <v>525</v>
      </c>
      <c r="C45" t="s">
        <v>1088</v>
      </c>
      <c r="D45" s="6">
        <v>20.9</v>
      </c>
      <c r="E45" s="6">
        <v>5258.63</v>
      </c>
      <c r="F45" s="6">
        <v>1377.32</v>
      </c>
      <c r="G45" s="6">
        <v>2734.45</v>
      </c>
      <c r="H45" s="6">
        <v>2680.33</v>
      </c>
      <c r="I45" s="6">
        <v>5530.7</v>
      </c>
      <c r="J45" s="6">
        <v>17581.43</v>
      </c>
      <c r="K45" s="6">
        <v>392.48</v>
      </c>
      <c r="L45" s="6">
        <v>37.11</v>
      </c>
      <c r="M45" s="6">
        <v>18673.87</v>
      </c>
      <c r="N45" s="6">
        <v>90.2</v>
      </c>
      <c r="O45" s="6">
        <v>0</v>
      </c>
      <c r="P45" s="6">
        <v>259.14</v>
      </c>
      <c r="Q45" s="6">
        <v>124.51</v>
      </c>
      <c r="R45" s="6">
        <v>189</v>
      </c>
      <c r="S45">
        <v>1</v>
      </c>
      <c r="T45">
        <v>1</v>
      </c>
      <c r="U45">
        <v>0</v>
      </c>
      <c r="V45" s="6">
        <v>236.44</v>
      </c>
      <c r="W45" s="6">
        <v>2.11</v>
      </c>
      <c r="X45" s="6">
        <v>1.44</v>
      </c>
      <c r="Y45" s="6">
        <v>1285.8900000000001</v>
      </c>
      <c r="Z45" s="6">
        <v>1184.33</v>
      </c>
      <c r="AA45" s="6">
        <v>18343.330000000002</v>
      </c>
      <c r="AB45" s="6">
        <v>17</v>
      </c>
      <c r="AC45" s="6">
        <v>128.56</v>
      </c>
      <c r="AD45" s="6">
        <v>21.28</v>
      </c>
      <c r="AE45" s="6">
        <v>2466.33</v>
      </c>
      <c r="AF45" s="35">
        <v>0.1245</v>
      </c>
      <c r="AG45" s="35">
        <v>0.30859999999999999</v>
      </c>
      <c r="AH45">
        <v>1</v>
      </c>
      <c r="AI45">
        <v>1</v>
      </c>
      <c r="AJ45">
        <v>0</v>
      </c>
      <c r="AK45" s="35">
        <v>0.11119999999999999</v>
      </c>
      <c r="AL45" s="35">
        <v>0.30079999999999996</v>
      </c>
    </row>
    <row r="46" spans="1:38">
      <c r="A46" t="s">
        <v>685</v>
      </c>
      <c r="B46" t="s">
        <v>686</v>
      </c>
      <c r="C46" t="s">
        <v>1088</v>
      </c>
      <c r="D46" s="6">
        <v>0</v>
      </c>
      <c r="E46" s="6">
        <v>57.4</v>
      </c>
      <c r="F46" s="6">
        <v>18.7</v>
      </c>
      <c r="G46" s="6">
        <v>32</v>
      </c>
      <c r="H46" s="6">
        <v>32.700000000000003</v>
      </c>
      <c r="I46" s="6">
        <v>0</v>
      </c>
      <c r="J46" s="6">
        <v>140.80000000000001</v>
      </c>
      <c r="K46" s="6">
        <v>0</v>
      </c>
      <c r="L46" s="6">
        <v>0</v>
      </c>
      <c r="M46" s="6">
        <v>140.80000000000001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>
        <v>1</v>
      </c>
      <c r="T46">
        <v>1</v>
      </c>
      <c r="U46">
        <v>0</v>
      </c>
      <c r="V46" s="6">
        <v>3</v>
      </c>
      <c r="W46" s="6">
        <v>0</v>
      </c>
      <c r="X46" s="6">
        <v>0</v>
      </c>
      <c r="Y46" s="6">
        <v>26.33</v>
      </c>
      <c r="Z46" s="6">
        <v>0</v>
      </c>
      <c r="AA46" s="6">
        <v>140.80000000000001</v>
      </c>
      <c r="AB46" s="6">
        <v>17</v>
      </c>
      <c r="AC46" s="6">
        <v>164.55</v>
      </c>
      <c r="AD46" s="6">
        <v>27.24</v>
      </c>
      <c r="AE46" s="6">
        <v>26.33</v>
      </c>
      <c r="AF46" s="35">
        <v>0.21809999999999999</v>
      </c>
      <c r="AG46" s="35">
        <v>0.09</v>
      </c>
      <c r="AH46">
        <v>1</v>
      </c>
      <c r="AI46">
        <v>1</v>
      </c>
      <c r="AJ46">
        <v>0</v>
      </c>
      <c r="AK46" s="35">
        <v>0.2505</v>
      </c>
      <c r="AL46" s="35">
        <v>8.4200000000000053E-2</v>
      </c>
    </row>
    <row r="47" spans="1:38">
      <c r="A47" t="s">
        <v>530</v>
      </c>
      <c r="B47" t="s">
        <v>531</v>
      </c>
      <c r="C47" t="s">
        <v>1088</v>
      </c>
      <c r="D47" s="6">
        <v>16.2</v>
      </c>
      <c r="E47" s="6">
        <v>391.3</v>
      </c>
      <c r="F47" s="6">
        <v>89.2</v>
      </c>
      <c r="G47" s="6">
        <v>237.2</v>
      </c>
      <c r="H47" s="6">
        <v>206.9</v>
      </c>
      <c r="I47" s="6">
        <v>382.07</v>
      </c>
      <c r="J47" s="6">
        <v>1306.67</v>
      </c>
      <c r="K47" s="6">
        <v>28.52</v>
      </c>
      <c r="L47" s="6">
        <v>1.82</v>
      </c>
      <c r="M47" s="6">
        <v>1339.01</v>
      </c>
      <c r="N47" s="6">
        <v>2</v>
      </c>
      <c r="O47" s="6">
        <v>0</v>
      </c>
      <c r="P47" s="6">
        <v>0</v>
      </c>
      <c r="Q47" s="6">
        <v>0</v>
      </c>
      <c r="R47" s="6">
        <v>0</v>
      </c>
      <c r="S47">
        <v>1</v>
      </c>
      <c r="T47">
        <v>1</v>
      </c>
      <c r="U47">
        <v>0.04</v>
      </c>
      <c r="V47" s="6">
        <v>11.44</v>
      </c>
      <c r="W47" s="6">
        <v>3.11</v>
      </c>
      <c r="X47" s="6">
        <v>0.89</v>
      </c>
      <c r="Y47" s="6">
        <v>122.78</v>
      </c>
      <c r="Z47" s="6">
        <v>55.33</v>
      </c>
      <c r="AA47" s="6">
        <v>1378.38</v>
      </c>
      <c r="AB47" s="6">
        <v>17.23</v>
      </c>
      <c r="AC47" s="6">
        <v>125.35</v>
      </c>
      <c r="AD47" s="6">
        <v>20.75</v>
      </c>
      <c r="AE47" s="6">
        <v>181.11</v>
      </c>
      <c r="AF47" s="35">
        <v>0.19320000000000001</v>
      </c>
      <c r="AG47" s="35">
        <v>0.2268</v>
      </c>
      <c r="AH47">
        <v>1</v>
      </c>
      <c r="AI47">
        <v>1</v>
      </c>
      <c r="AJ47">
        <v>4.0000000000000036E-2</v>
      </c>
      <c r="AK47" s="35">
        <v>0.17979999999999999</v>
      </c>
      <c r="AL47" s="35">
        <v>0.21009999999999995</v>
      </c>
    </row>
    <row r="48" spans="1:38">
      <c r="A48" t="s">
        <v>470</v>
      </c>
      <c r="B48" t="s">
        <v>471</v>
      </c>
      <c r="C48" t="s">
        <v>1088</v>
      </c>
      <c r="D48" s="6">
        <v>0</v>
      </c>
      <c r="E48" s="6">
        <v>227.16</v>
      </c>
      <c r="F48" s="6">
        <v>68.5</v>
      </c>
      <c r="G48" s="6">
        <v>141.69999999999999</v>
      </c>
      <c r="H48" s="6">
        <v>139.71</v>
      </c>
      <c r="I48" s="6">
        <v>249.95</v>
      </c>
      <c r="J48" s="6">
        <v>827.02</v>
      </c>
      <c r="K48" s="6">
        <v>13.21</v>
      </c>
      <c r="L48" s="6">
        <v>0.98</v>
      </c>
      <c r="M48" s="6">
        <v>854.57</v>
      </c>
      <c r="N48" s="6">
        <v>1</v>
      </c>
      <c r="O48" s="6">
        <v>0</v>
      </c>
      <c r="P48" s="6">
        <v>0</v>
      </c>
      <c r="Q48" s="6">
        <v>0.41</v>
      </c>
      <c r="R48" s="6">
        <v>11.95</v>
      </c>
      <c r="S48">
        <v>1</v>
      </c>
      <c r="T48">
        <v>1</v>
      </c>
      <c r="U48">
        <v>0</v>
      </c>
      <c r="V48" s="6">
        <v>11.89</v>
      </c>
      <c r="W48" s="6">
        <v>0</v>
      </c>
      <c r="X48" s="6">
        <v>0</v>
      </c>
      <c r="Y48" s="6">
        <v>62.22</v>
      </c>
      <c r="Z48" s="6">
        <v>47.11</v>
      </c>
      <c r="AA48" s="6">
        <v>874.01</v>
      </c>
      <c r="AB48" s="6">
        <v>17</v>
      </c>
      <c r="AC48" s="6">
        <v>121.62</v>
      </c>
      <c r="AD48" s="6">
        <v>20.13</v>
      </c>
      <c r="AE48" s="6">
        <v>109.33</v>
      </c>
      <c r="AF48" s="35">
        <v>0.17879999999999999</v>
      </c>
      <c r="AG48" s="35">
        <v>0.27610000000000001</v>
      </c>
      <c r="AH48">
        <v>1</v>
      </c>
      <c r="AI48">
        <v>1</v>
      </c>
      <c r="AJ48">
        <v>0</v>
      </c>
      <c r="AK48" s="35">
        <v>0.18859999999999999</v>
      </c>
      <c r="AL48" s="35">
        <v>0.27039999999999997</v>
      </c>
    </row>
    <row r="49" spans="1:38">
      <c r="A49" t="s">
        <v>701</v>
      </c>
      <c r="B49" t="s">
        <v>702</v>
      </c>
      <c r="C49" t="s">
        <v>1088</v>
      </c>
      <c r="D49" s="6">
        <v>34.9</v>
      </c>
      <c r="E49" s="6">
        <v>640.26</v>
      </c>
      <c r="F49" s="6">
        <v>168.26</v>
      </c>
      <c r="G49" s="6">
        <v>334.9</v>
      </c>
      <c r="H49" s="6">
        <v>376.92</v>
      </c>
      <c r="I49" s="6">
        <v>753.8</v>
      </c>
      <c r="J49" s="6">
        <v>2274.14</v>
      </c>
      <c r="K49" s="6">
        <v>42.28</v>
      </c>
      <c r="L49" s="6">
        <v>4.9800000000000004</v>
      </c>
      <c r="M49" s="6">
        <v>2389</v>
      </c>
      <c r="N49" s="6">
        <v>40</v>
      </c>
      <c r="O49" s="6">
        <v>0</v>
      </c>
      <c r="P49" s="6">
        <v>0</v>
      </c>
      <c r="Q49" s="6">
        <v>6.4</v>
      </c>
      <c r="R49" s="6">
        <v>21.2</v>
      </c>
      <c r="S49">
        <v>1</v>
      </c>
      <c r="T49">
        <v>1</v>
      </c>
      <c r="U49">
        <v>0</v>
      </c>
      <c r="V49" s="6">
        <v>20.67</v>
      </c>
      <c r="W49" s="6">
        <v>0.11</v>
      </c>
      <c r="X49" s="6">
        <v>0</v>
      </c>
      <c r="Y49" s="6">
        <v>171.11</v>
      </c>
      <c r="Z49" s="6">
        <v>164.78</v>
      </c>
      <c r="AA49" s="6">
        <v>2449.54</v>
      </c>
      <c r="AB49" s="6">
        <v>17</v>
      </c>
      <c r="AC49" s="6">
        <v>127.41</v>
      </c>
      <c r="AD49" s="6">
        <v>21.09</v>
      </c>
      <c r="AE49" s="6">
        <v>334</v>
      </c>
      <c r="AF49" s="35">
        <v>0.17230000000000001</v>
      </c>
      <c r="AG49" s="35">
        <v>0.30509999999999998</v>
      </c>
      <c r="AH49">
        <v>1</v>
      </c>
      <c r="AI49">
        <v>1</v>
      </c>
      <c r="AJ49">
        <v>0</v>
      </c>
      <c r="AK49" s="35">
        <v>0.16089999999999999</v>
      </c>
      <c r="AL49" s="35">
        <v>0.28080000000000005</v>
      </c>
    </row>
    <row r="50" spans="1:38">
      <c r="A50" t="s">
        <v>725</v>
      </c>
      <c r="B50" t="s">
        <v>726</v>
      </c>
      <c r="C50" t="s">
        <v>1088</v>
      </c>
      <c r="D50" s="6">
        <v>0</v>
      </c>
      <c r="E50" s="6">
        <v>3644.4</v>
      </c>
      <c r="F50" s="6">
        <v>985.12</v>
      </c>
      <c r="G50" s="6">
        <v>1948.76</v>
      </c>
      <c r="H50" s="6">
        <v>1972.89</v>
      </c>
      <c r="I50" s="6">
        <v>3777.91</v>
      </c>
      <c r="J50" s="6">
        <v>12329.08</v>
      </c>
      <c r="K50" s="6">
        <v>235.79</v>
      </c>
      <c r="L50" s="6">
        <v>27.08</v>
      </c>
      <c r="M50" s="6">
        <v>13779.88</v>
      </c>
      <c r="N50" s="6">
        <v>56.39</v>
      </c>
      <c r="O50" s="6">
        <v>0</v>
      </c>
      <c r="P50" s="6">
        <v>452.76</v>
      </c>
      <c r="Q50" s="6">
        <v>252.16</v>
      </c>
      <c r="R50" s="6">
        <v>426.62</v>
      </c>
      <c r="S50">
        <v>1.0149999999999999</v>
      </c>
      <c r="T50">
        <v>1.0149999999999999</v>
      </c>
      <c r="U50">
        <v>0</v>
      </c>
      <c r="V50" s="6">
        <v>181.11</v>
      </c>
      <c r="W50" s="6">
        <v>0</v>
      </c>
      <c r="X50" s="6">
        <v>0</v>
      </c>
      <c r="Y50" s="6">
        <v>1310.56</v>
      </c>
      <c r="Z50" s="6">
        <v>756.33</v>
      </c>
      <c r="AA50" s="6">
        <v>13902.95</v>
      </c>
      <c r="AB50" s="6">
        <v>18.16</v>
      </c>
      <c r="AC50" s="6">
        <v>129.91999999999999</v>
      </c>
      <c r="AD50" s="6">
        <v>21.5</v>
      </c>
      <c r="AE50" s="6">
        <v>2065.89</v>
      </c>
      <c r="AF50" s="35">
        <v>0.14829999999999999</v>
      </c>
      <c r="AG50" s="35">
        <v>0.27129999999999999</v>
      </c>
      <c r="AH50">
        <v>1</v>
      </c>
      <c r="AI50">
        <v>1</v>
      </c>
      <c r="AJ50">
        <v>0</v>
      </c>
      <c r="AK50" s="35">
        <v>0.14219999999999999</v>
      </c>
      <c r="AL50" s="35">
        <v>0.26870000000000005</v>
      </c>
    </row>
    <row r="51" spans="1:38">
      <c r="A51" t="s">
        <v>793</v>
      </c>
      <c r="B51" t="s">
        <v>794</v>
      </c>
      <c r="C51" t="s">
        <v>1088</v>
      </c>
      <c r="D51" s="6">
        <v>0</v>
      </c>
      <c r="E51" s="6">
        <v>3.36</v>
      </c>
      <c r="F51" s="6">
        <v>1</v>
      </c>
      <c r="G51" s="6">
        <v>2</v>
      </c>
      <c r="H51" s="6">
        <v>4</v>
      </c>
      <c r="I51" s="6">
        <v>0</v>
      </c>
      <c r="J51" s="6">
        <v>10.36</v>
      </c>
      <c r="K51" s="6">
        <v>0</v>
      </c>
      <c r="L51" s="6">
        <v>0</v>
      </c>
      <c r="M51" s="6">
        <v>10.36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>
        <v>1.0149999999999999</v>
      </c>
      <c r="T51">
        <v>1.0149999999999999</v>
      </c>
      <c r="U51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10.36</v>
      </c>
      <c r="AB51" s="6">
        <v>17</v>
      </c>
      <c r="AC51" s="6">
        <v>115.6</v>
      </c>
      <c r="AD51" s="6">
        <v>19.13</v>
      </c>
      <c r="AE51" s="6">
        <v>0</v>
      </c>
      <c r="AF51" s="35">
        <v>0.72540000000000004</v>
      </c>
      <c r="AG51" s="35">
        <v>0</v>
      </c>
      <c r="AH51">
        <v>1</v>
      </c>
      <c r="AI51">
        <v>1</v>
      </c>
      <c r="AJ51">
        <v>0</v>
      </c>
      <c r="AK51" s="35">
        <v>0.71950000000000003</v>
      </c>
      <c r="AL51" s="35">
        <v>0</v>
      </c>
    </row>
    <row r="52" spans="1:38">
      <c r="A52" t="s">
        <v>542</v>
      </c>
      <c r="B52" t="s">
        <v>543</v>
      </c>
      <c r="C52" t="s">
        <v>1088</v>
      </c>
      <c r="D52" s="6">
        <v>0</v>
      </c>
      <c r="E52" s="6">
        <v>306.75</v>
      </c>
      <c r="F52" s="6">
        <v>85</v>
      </c>
      <c r="G52" s="6">
        <v>177.93</v>
      </c>
      <c r="H52" s="6">
        <v>212</v>
      </c>
      <c r="I52" s="6">
        <v>447.52</v>
      </c>
      <c r="J52" s="6">
        <v>1229.2</v>
      </c>
      <c r="K52" s="6">
        <v>15.29</v>
      </c>
      <c r="L52" s="6">
        <v>2.0699999999999998</v>
      </c>
      <c r="M52" s="6">
        <v>1269.69</v>
      </c>
      <c r="N52" s="6">
        <v>0</v>
      </c>
      <c r="O52" s="6">
        <v>0</v>
      </c>
      <c r="P52" s="6">
        <v>0</v>
      </c>
      <c r="Q52" s="6">
        <v>0</v>
      </c>
      <c r="R52" s="6">
        <v>23.13</v>
      </c>
      <c r="S52">
        <v>1</v>
      </c>
      <c r="T52">
        <v>1</v>
      </c>
      <c r="U52">
        <v>0</v>
      </c>
      <c r="V52" s="6">
        <v>15.11</v>
      </c>
      <c r="W52" s="6">
        <v>0</v>
      </c>
      <c r="X52" s="6">
        <v>0</v>
      </c>
      <c r="Y52" s="6">
        <v>107.11</v>
      </c>
      <c r="Z52" s="6">
        <v>23.56</v>
      </c>
      <c r="AA52" s="6">
        <v>1273.49</v>
      </c>
      <c r="AB52" s="6">
        <v>17</v>
      </c>
      <c r="AC52" s="6">
        <v>129.97</v>
      </c>
      <c r="AD52" s="6">
        <v>21.51</v>
      </c>
      <c r="AE52" s="6">
        <v>130.66999999999999</v>
      </c>
      <c r="AF52" s="35">
        <v>0.1855</v>
      </c>
      <c r="AG52" s="35">
        <v>0.1736</v>
      </c>
      <c r="AH52">
        <v>1</v>
      </c>
      <c r="AI52">
        <v>1</v>
      </c>
      <c r="AJ52">
        <v>0</v>
      </c>
      <c r="AK52" s="35">
        <v>0.18</v>
      </c>
      <c r="AL52" s="35">
        <v>0.15359999999999996</v>
      </c>
    </row>
    <row r="53" spans="1:38">
      <c r="A53" t="s">
        <v>365</v>
      </c>
      <c r="B53" t="s">
        <v>1007</v>
      </c>
      <c r="C53" t="s">
        <v>1088</v>
      </c>
      <c r="D53" s="6">
        <v>0</v>
      </c>
      <c r="E53" s="6">
        <v>467.4</v>
      </c>
      <c r="F53" s="6">
        <v>118.9</v>
      </c>
      <c r="G53" s="6">
        <v>245.26</v>
      </c>
      <c r="H53" s="6">
        <v>248.87</v>
      </c>
      <c r="I53" s="6">
        <v>494.83</v>
      </c>
      <c r="J53" s="6">
        <v>1575.26</v>
      </c>
      <c r="K53" s="6">
        <v>23.37</v>
      </c>
      <c r="L53" s="6">
        <v>2.35</v>
      </c>
      <c r="M53" s="6">
        <v>1600.98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>
        <v>1</v>
      </c>
      <c r="T53">
        <v>1</v>
      </c>
      <c r="U53">
        <v>0.04</v>
      </c>
      <c r="V53" s="6">
        <v>19.559999999999999</v>
      </c>
      <c r="W53" s="6">
        <v>0</v>
      </c>
      <c r="X53" s="6">
        <v>0</v>
      </c>
      <c r="Y53" s="6">
        <v>143.88999999999999</v>
      </c>
      <c r="Z53" s="6">
        <v>27.56</v>
      </c>
      <c r="AA53" s="6">
        <v>1613.89</v>
      </c>
      <c r="AB53" s="6">
        <v>17</v>
      </c>
      <c r="AC53" s="6">
        <v>128.97999999999999</v>
      </c>
      <c r="AD53" s="6">
        <v>21.35</v>
      </c>
      <c r="AE53" s="6">
        <v>171.45</v>
      </c>
      <c r="AF53" s="35">
        <v>0.14949999999999999</v>
      </c>
      <c r="AG53" s="35">
        <v>0.15140000000000001</v>
      </c>
      <c r="AH53">
        <v>1</v>
      </c>
      <c r="AI53">
        <v>1</v>
      </c>
      <c r="AJ53">
        <v>4.0000000000000036E-2</v>
      </c>
      <c r="AK53" s="35">
        <v>0.16250000000000001</v>
      </c>
      <c r="AL53" s="35">
        <v>0.15129999999999999</v>
      </c>
    </row>
    <row r="54" spans="1:38">
      <c r="A54" t="s">
        <v>865</v>
      </c>
      <c r="B54" t="s">
        <v>866</v>
      </c>
      <c r="C54" t="s">
        <v>1088</v>
      </c>
      <c r="D54" s="6">
        <v>41.9</v>
      </c>
      <c r="E54" s="6">
        <v>1837.33</v>
      </c>
      <c r="F54" s="6">
        <v>469.44</v>
      </c>
      <c r="G54" s="6">
        <v>960.97</v>
      </c>
      <c r="H54" s="6">
        <v>1038.3900000000001</v>
      </c>
      <c r="I54" s="6">
        <v>2041.97</v>
      </c>
      <c r="J54" s="6">
        <v>6348.1</v>
      </c>
      <c r="K54" s="6">
        <v>232.61</v>
      </c>
      <c r="L54" s="6">
        <v>15.18</v>
      </c>
      <c r="M54" s="6">
        <v>7031.19</v>
      </c>
      <c r="N54" s="6">
        <v>85.06</v>
      </c>
      <c r="O54" s="6">
        <v>0</v>
      </c>
      <c r="P54" s="6">
        <v>148.30000000000001</v>
      </c>
      <c r="Q54" s="6">
        <v>60.35</v>
      </c>
      <c r="R54" s="6">
        <v>141.59</v>
      </c>
      <c r="S54">
        <v>1.0149999999999999</v>
      </c>
      <c r="T54">
        <v>1.0149999999999999</v>
      </c>
      <c r="U54">
        <v>0</v>
      </c>
      <c r="V54" s="6">
        <v>103</v>
      </c>
      <c r="W54" s="6">
        <v>8.56</v>
      </c>
      <c r="X54" s="6">
        <v>2.11</v>
      </c>
      <c r="Y54" s="6">
        <v>840.44</v>
      </c>
      <c r="Z54" s="6">
        <v>169.67</v>
      </c>
      <c r="AA54" s="6">
        <v>6990.98</v>
      </c>
      <c r="AB54" s="6">
        <v>17.5</v>
      </c>
      <c r="AC54" s="6">
        <v>130.38</v>
      </c>
      <c r="AD54" s="6">
        <v>21.58</v>
      </c>
      <c r="AE54" s="6">
        <v>1020.78</v>
      </c>
      <c r="AF54" s="35">
        <v>0.122</v>
      </c>
      <c r="AG54" s="35">
        <v>0.18110000000000001</v>
      </c>
      <c r="AH54">
        <v>1</v>
      </c>
      <c r="AI54">
        <v>1</v>
      </c>
      <c r="AJ54">
        <v>0</v>
      </c>
      <c r="AK54" s="35">
        <v>0.1231</v>
      </c>
      <c r="AL54" s="35">
        <v>0.17520000000000002</v>
      </c>
    </row>
    <row r="55" spans="1:38">
      <c r="A55" t="s">
        <v>1029</v>
      </c>
      <c r="B55" t="s">
        <v>1030</v>
      </c>
      <c r="C55" t="s">
        <v>1088</v>
      </c>
      <c r="D55" s="6">
        <v>0</v>
      </c>
      <c r="E55" s="6">
        <v>0</v>
      </c>
      <c r="F55" s="6">
        <v>0</v>
      </c>
      <c r="G55" s="6">
        <v>60.24</v>
      </c>
      <c r="H55" s="6">
        <v>113.91</v>
      </c>
      <c r="I55" s="6">
        <v>43.6</v>
      </c>
      <c r="J55" s="6">
        <v>217.75</v>
      </c>
      <c r="K55" s="6">
        <v>0</v>
      </c>
      <c r="L55" s="6">
        <v>0</v>
      </c>
      <c r="M55" s="6">
        <v>217.75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>
        <v>1.0149999999999999</v>
      </c>
      <c r="T55">
        <v>1.0149999999999999</v>
      </c>
      <c r="U55">
        <v>0</v>
      </c>
      <c r="V55" s="6">
        <v>0</v>
      </c>
      <c r="W55" s="6">
        <v>0</v>
      </c>
      <c r="X55" s="6">
        <v>0</v>
      </c>
      <c r="Y55" s="6">
        <v>42</v>
      </c>
      <c r="Z55" s="6">
        <v>0.56000000000000005</v>
      </c>
      <c r="AA55" s="6">
        <v>217.75</v>
      </c>
      <c r="AB55" s="6">
        <v>25.23</v>
      </c>
      <c r="AC55" s="6">
        <v>130.38</v>
      </c>
      <c r="AD55" s="6">
        <v>21.58</v>
      </c>
      <c r="AE55" s="6">
        <v>42.56</v>
      </c>
      <c r="AF55" s="35">
        <v>0.14399999999999999</v>
      </c>
      <c r="AG55" s="35">
        <v>0.12540000000000001</v>
      </c>
      <c r="AH55">
        <v>1</v>
      </c>
      <c r="AI55">
        <v>1</v>
      </c>
      <c r="AJ55">
        <v>0</v>
      </c>
      <c r="AK55" s="35">
        <v>0.14979999999999999</v>
      </c>
      <c r="AL55" s="35">
        <v>0.12350000000000005</v>
      </c>
    </row>
    <row r="56" spans="1:38">
      <c r="A56" t="s">
        <v>695</v>
      </c>
      <c r="B56" t="s">
        <v>696</v>
      </c>
      <c r="C56" t="s">
        <v>1088</v>
      </c>
      <c r="D56" s="6">
        <v>30</v>
      </c>
      <c r="E56" s="6">
        <v>980.65</v>
      </c>
      <c r="F56" s="6">
        <v>231.9</v>
      </c>
      <c r="G56" s="6">
        <v>475.14</v>
      </c>
      <c r="H56" s="6">
        <v>481.74</v>
      </c>
      <c r="I56" s="6">
        <v>882.95</v>
      </c>
      <c r="J56" s="6">
        <v>3052.38</v>
      </c>
      <c r="K56" s="6">
        <v>92.45</v>
      </c>
      <c r="L56" s="6">
        <v>9.5500000000000007</v>
      </c>
      <c r="M56" s="6">
        <v>3437.93</v>
      </c>
      <c r="N56" s="6">
        <v>0</v>
      </c>
      <c r="O56" s="6">
        <v>0</v>
      </c>
      <c r="P56" s="6">
        <v>46.76</v>
      </c>
      <c r="Q56" s="6">
        <v>46.77</v>
      </c>
      <c r="R56" s="6">
        <v>190.02</v>
      </c>
      <c r="S56">
        <v>1.0149999999999999</v>
      </c>
      <c r="T56">
        <v>1.0149999999999999</v>
      </c>
      <c r="U56">
        <v>2.5000000000000001E-2</v>
      </c>
      <c r="V56" s="6">
        <v>34.11</v>
      </c>
      <c r="W56" s="6">
        <v>1.89</v>
      </c>
      <c r="X56" s="6">
        <v>1.89</v>
      </c>
      <c r="Y56" s="6">
        <v>415.44</v>
      </c>
      <c r="Z56" s="6">
        <v>206.11</v>
      </c>
      <c r="AA56" s="6">
        <v>3468.02</v>
      </c>
      <c r="AB56" s="6">
        <v>17</v>
      </c>
      <c r="AC56" s="6">
        <v>125</v>
      </c>
      <c r="AD56" s="6">
        <v>20.69</v>
      </c>
      <c r="AE56" s="6">
        <v>625.33000000000004</v>
      </c>
      <c r="AF56" s="35">
        <v>0.1459</v>
      </c>
      <c r="AG56" s="35">
        <v>0.253</v>
      </c>
      <c r="AH56">
        <v>1</v>
      </c>
      <c r="AI56">
        <v>1</v>
      </c>
      <c r="AJ56">
        <v>4.0000000000000036E-2</v>
      </c>
      <c r="AK56" s="35">
        <v>0.14099999999999999</v>
      </c>
      <c r="AL56" s="35">
        <v>0.25690000000000002</v>
      </c>
    </row>
    <row r="57" spans="1:38">
      <c r="A57" t="s">
        <v>412</v>
      </c>
      <c r="B57" t="s">
        <v>413</v>
      </c>
      <c r="C57" t="s">
        <v>1088</v>
      </c>
      <c r="D57" s="6">
        <v>0</v>
      </c>
      <c r="E57" s="6">
        <v>57.6</v>
      </c>
      <c r="F57" s="6">
        <v>20</v>
      </c>
      <c r="G57" s="6">
        <v>41.4</v>
      </c>
      <c r="H57" s="6">
        <v>24.4</v>
      </c>
      <c r="I57" s="6">
        <v>61.09</v>
      </c>
      <c r="J57" s="6">
        <v>204.49</v>
      </c>
      <c r="K57" s="6">
        <v>8.49</v>
      </c>
      <c r="L57" s="6">
        <v>4.2</v>
      </c>
      <c r="M57" s="6">
        <v>357.06</v>
      </c>
      <c r="N57" s="6">
        <v>0</v>
      </c>
      <c r="O57" s="6">
        <v>0</v>
      </c>
      <c r="P57" s="6">
        <v>117.38</v>
      </c>
      <c r="Q57" s="6">
        <v>22.5</v>
      </c>
      <c r="R57" s="6">
        <v>0</v>
      </c>
      <c r="S57">
        <v>1</v>
      </c>
      <c r="T57">
        <v>1</v>
      </c>
      <c r="U57">
        <v>0</v>
      </c>
      <c r="V57" s="6">
        <v>0</v>
      </c>
      <c r="W57" s="6">
        <v>0</v>
      </c>
      <c r="X57" s="6">
        <v>0</v>
      </c>
      <c r="Y57" s="6">
        <v>26.22</v>
      </c>
      <c r="Z57" s="6">
        <v>10.220000000000001</v>
      </c>
      <c r="AA57" s="6">
        <v>357.06</v>
      </c>
      <c r="AB57" s="6">
        <v>17</v>
      </c>
      <c r="AC57" s="6">
        <v>121.89</v>
      </c>
      <c r="AD57" s="6">
        <v>20.170000000000002</v>
      </c>
      <c r="AE57" s="6">
        <v>36.44</v>
      </c>
      <c r="AF57" s="35">
        <v>0.21410000000000001</v>
      </c>
      <c r="AG57" s="35">
        <v>0.15290000000000001</v>
      </c>
      <c r="AH57">
        <v>1</v>
      </c>
      <c r="AI57">
        <v>1</v>
      </c>
      <c r="AJ57">
        <v>0</v>
      </c>
      <c r="AK57" s="35">
        <v>0.21110000000000001</v>
      </c>
      <c r="AL57" s="35">
        <v>0.19059999999999999</v>
      </c>
    </row>
    <row r="58" spans="1:38">
      <c r="A58" t="s">
        <v>755</v>
      </c>
      <c r="B58" t="s">
        <v>756</v>
      </c>
      <c r="C58" t="s">
        <v>1088</v>
      </c>
      <c r="D58" s="6">
        <v>0</v>
      </c>
      <c r="E58" s="6">
        <v>667.84</v>
      </c>
      <c r="F58" s="6">
        <v>149.1</v>
      </c>
      <c r="G58" s="6">
        <v>351.41</v>
      </c>
      <c r="H58" s="6">
        <v>383.11</v>
      </c>
      <c r="I58" s="6">
        <v>712.19</v>
      </c>
      <c r="J58" s="6">
        <v>2263.65</v>
      </c>
      <c r="K58" s="6">
        <v>51.91</v>
      </c>
      <c r="L58" s="6">
        <v>5.94</v>
      </c>
      <c r="M58" s="6">
        <v>2566.19</v>
      </c>
      <c r="N58" s="6">
        <v>0</v>
      </c>
      <c r="O58" s="6">
        <v>0</v>
      </c>
      <c r="P58" s="6">
        <v>104.59</v>
      </c>
      <c r="Q58" s="6">
        <v>47.33</v>
      </c>
      <c r="R58" s="6">
        <v>92.77</v>
      </c>
      <c r="S58">
        <v>1.06</v>
      </c>
      <c r="T58">
        <v>1.06</v>
      </c>
      <c r="U58">
        <v>0</v>
      </c>
      <c r="V58" s="6">
        <v>32.67</v>
      </c>
      <c r="W58" s="6">
        <v>0</v>
      </c>
      <c r="X58" s="6">
        <v>0</v>
      </c>
      <c r="Y58" s="6">
        <v>357.78</v>
      </c>
      <c r="Z58" s="6">
        <v>66.22</v>
      </c>
      <c r="AA58" s="6">
        <v>2566.19</v>
      </c>
      <c r="AB58" s="6">
        <v>17</v>
      </c>
      <c r="AC58" s="6">
        <v>126.93</v>
      </c>
      <c r="AD58" s="6">
        <v>21.01</v>
      </c>
      <c r="AE58" s="6">
        <v>424</v>
      </c>
      <c r="AF58" s="35">
        <v>0.1555</v>
      </c>
      <c r="AG58" s="35">
        <v>0.1555</v>
      </c>
      <c r="AH58">
        <v>1.06</v>
      </c>
      <c r="AI58">
        <v>1.06</v>
      </c>
      <c r="AJ58">
        <v>0</v>
      </c>
      <c r="AK58" s="35">
        <v>0.17710000000000001</v>
      </c>
      <c r="AL58" s="35">
        <v>0.15290000000000004</v>
      </c>
    </row>
    <row r="59" spans="1:38">
      <c r="A59" t="s">
        <v>359</v>
      </c>
      <c r="B59" t="s">
        <v>360</v>
      </c>
      <c r="C59" t="s">
        <v>1088</v>
      </c>
      <c r="D59" s="6">
        <v>0</v>
      </c>
      <c r="E59" s="6">
        <v>147.56</v>
      </c>
      <c r="F59" s="6">
        <v>38.4</v>
      </c>
      <c r="G59" s="6">
        <v>76.44</v>
      </c>
      <c r="H59" s="6">
        <v>90.01</v>
      </c>
      <c r="I59" s="6">
        <v>117.77</v>
      </c>
      <c r="J59" s="6">
        <v>470.18</v>
      </c>
      <c r="K59" s="6">
        <v>15.59</v>
      </c>
      <c r="L59" s="6">
        <v>1.42</v>
      </c>
      <c r="M59" s="6">
        <v>487.19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>
        <v>1</v>
      </c>
      <c r="T59">
        <v>1</v>
      </c>
      <c r="U59">
        <v>0</v>
      </c>
      <c r="V59" s="6">
        <v>3.89</v>
      </c>
      <c r="W59" s="6">
        <v>0</v>
      </c>
      <c r="X59" s="6">
        <v>0</v>
      </c>
      <c r="Y59" s="6">
        <v>61.11</v>
      </c>
      <c r="Z59" s="6">
        <v>17.559999999999999</v>
      </c>
      <c r="AA59" s="6">
        <v>487.18</v>
      </c>
      <c r="AB59" s="6">
        <v>17</v>
      </c>
      <c r="AC59" s="6">
        <v>143.97999999999999</v>
      </c>
      <c r="AD59" s="6">
        <v>23.83</v>
      </c>
      <c r="AE59" s="6">
        <v>78.67</v>
      </c>
      <c r="AF59" s="35">
        <v>0.2253</v>
      </c>
      <c r="AG59" s="35">
        <v>0.21240000000000001</v>
      </c>
      <c r="AH59">
        <v>1</v>
      </c>
      <c r="AI59">
        <v>1</v>
      </c>
      <c r="AJ59">
        <v>0</v>
      </c>
      <c r="AK59" s="35">
        <v>0.25900000000000001</v>
      </c>
      <c r="AL59" s="35">
        <v>0.17349999999999999</v>
      </c>
    </row>
    <row r="60" spans="1:38">
      <c r="A60" t="s">
        <v>711</v>
      </c>
      <c r="B60" t="s">
        <v>712</v>
      </c>
      <c r="C60" t="s">
        <v>1088</v>
      </c>
      <c r="D60" s="6">
        <v>17.25</v>
      </c>
      <c r="E60" s="6">
        <v>279.95</v>
      </c>
      <c r="F60" s="6">
        <v>63.3</v>
      </c>
      <c r="G60" s="6">
        <v>117.4</v>
      </c>
      <c r="H60" s="6">
        <v>141.6</v>
      </c>
      <c r="I60" s="6">
        <v>233.24</v>
      </c>
      <c r="J60" s="6">
        <v>835.49</v>
      </c>
      <c r="K60" s="6">
        <v>94.54</v>
      </c>
      <c r="L60" s="6">
        <v>14.37</v>
      </c>
      <c r="M60" s="6">
        <v>3584.74</v>
      </c>
      <c r="N60" s="6">
        <v>9.8000000000000007</v>
      </c>
      <c r="O60" s="6">
        <v>0</v>
      </c>
      <c r="P60" s="6">
        <v>576.33000000000004</v>
      </c>
      <c r="Q60" s="6">
        <v>412.39</v>
      </c>
      <c r="R60" s="6">
        <v>1641.82</v>
      </c>
      <c r="S60">
        <v>1</v>
      </c>
      <c r="T60">
        <v>1</v>
      </c>
      <c r="U60">
        <v>0</v>
      </c>
      <c r="V60" s="6">
        <v>6.44</v>
      </c>
      <c r="W60" s="6">
        <v>0.33</v>
      </c>
      <c r="X60" s="6">
        <v>0.67</v>
      </c>
      <c r="Y60" s="6">
        <v>579.44000000000005</v>
      </c>
      <c r="Z60" s="6">
        <v>61.22</v>
      </c>
      <c r="AA60" s="6">
        <v>3604.63</v>
      </c>
      <c r="AB60" s="6">
        <v>17</v>
      </c>
      <c r="AC60" s="6">
        <v>131.29</v>
      </c>
      <c r="AD60" s="6">
        <v>21.73</v>
      </c>
      <c r="AE60" s="6">
        <v>641.66</v>
      </c>
      <c r="AF60" s="35">
        <v>9.2799999999999994E-2</v>
      </c>
      <c r="AG60" s="35">
        <v>0.15290000000000001</v>
      </c>
      <c r="AH60">
        <v>1</v>
      </c>
      <c r="AI60">
        <v>1</v>
      </c>
      <c r="AJ60">
        <v>0</v>
      </c>
      <c r="AK60" s="35">
        <v>0.1016</v>
      </c>
      <c r="AL60" s="35">
        <v>0.14959999999999996</v>
      </c>
    </row>
    <row r="61" spans="1:38">
      <c r="A61" t="s">
        <v>920</v>
      </c>
      <c r="B61" t="s">
        <v>1008</v>
      </c>
      <c r="C61" t="s">
        <v>1088</v>
      </c>
      <c r="D61" s="6">
        <v>0</v>
      </c>
      <c r="E61" s="6">
        <v>37.1</v>
      </c>
      <c r="F61" s="6">
        <v>8.8000000000000007</v>
      </c>
      <c r="G61" s="6">
        <v>18.899999999999999</v>
      </c>
      <c r="H61" s="6">
        <v>16.600000000000001</v>
      </c>
      <c r="I61" s="6">
        <v>41.87</v>
      </c>
      <c r="J61" s="6">
        <v>123.27</v>
      </c>
      <c r="K61" s="6">
        <v>0.44</v>
      </c>
      <c r="L61" s="6">
        <v>1.1000000000000001</v>
      </c>
      <c r="M61" s="6">
        <v>124.81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>
        <v>1</v>
      </c>
      <c r="T61">
        <v>1</v>
      </c>
      <c r="U61">
        <v>0</v>
      </c>
      <c r="V61" s="6">
        <v>0</v>
      </c>
      <c r="W61" s="6">
        <v>0</v>
      </c>
      <c r="X61" s="6">
        <v>0</v>
      </c>
      <c r="Y61" s="6">
        <v>27.44</v>
      </c>
      <c r="Z61" s="6">
        <v>0</v>
      </c>
      <c r="AA61" s="6">
        <v>124.81</v>
      </c>
      <c r="AB61" s="6">
        <v>17</v>
      </c>
      <c r="AC61" s="6">
        <v>131.29</v>
      </c>
      <c r="AD61" s="6">
        <v>21.73</v>
      </c>
      <c r="AE61" s="6">
        <v>27.44</v>
      </c>
      <c r="AF61" s="35">
        <v>0</v>
      </c>
      <c r="AG61" s="35">
        <v>0.1424</v>
      </c>
      <c r="AH61">
        <v>1</v>
      </c>
      <c r="AI61">
        <v>1</v>
      </c>
      <c r="AJ61">
        <v>0</v>
      </c>
      <c r="AK61" s="35">
        <v>0.14979999999999999</v>
      </c>
      <c r="AL61" s="35">
        <v>0.10670000000000002</v>
      </c>
    </row>
    <row r="62" spans="1:38">
      <c r="A62" t="s">
        <v>841</v>
      </c>
      <c r="B62" t="s">
        <v>842</v>
      </c>
      <c r="C62" t="s">
        <v>1088</v>
      </c>
      <c r="D62" s="6">
        <v>149.85</v>
      </c>
      <c r="E62" s="6">
        <v>6104.62</v>
      </c>
      <c r="F62" s="6">
        <v>1603.85</v>
      </c>
      <c r="G62" s="6">
        <v>3229.7</v>
      </c>
      <c r="H62" s="6">
        <v>3035.5</v>
      </c>
      <c r="I62" s="6">
        <v>6070.35</v>
      </c>
      <c r="J62" s="6">
        <v>20044.02</v>
      </c>
      <c r="K62" s="6">
        <v>359.95</v>
      </c>
      <c r="L62" s="6">
        <v>6.13</v>
      </c>
      <c r="M62" s="6">
        <v>21269.56</v>
      </c>
      <c r="N62" s="6">
        <v>237.8</v>
      </c>
      <c r="O62" s="6">
        <v>0</v>
      </c>
      <c r="P62" s="6">
        <v>145.86000000000001</v>
      </c>
      <c r="Q62" s="6">
        <v>127.85</v>
      </c>
      <c r="R62" s="6">
        <v>347.95</v>
      </c>
      <c r="S62">
        <v>1.06</v>
      </c>
      <c r="T62">
        <v>1.06</v>
      </c>
      <c r="U62">
        <v>0</v>
      </c>
      <c r="V62" s="6">
        <v>286.89</v>
      </c>
      <c r="W62" s="6">
        <v>0.33</v>
      </c>
      <c r="X62" s="6">
        <v>12.56</v>
      </c>
      <c r="Y62" s="6">
        <v>2193.11</v>
      </c>
      <c r="Z62" s="6">
        <v>1113.1099999999999</v>
      </c>
      <c r="AA62" s="6">
        <v>21531.08</v>
      </c>
      <c r="AB62" s="6">
        <v>17</v>
      </c>
      <c r="AC62" s="6">
        <v>133.75</v>
      </c>
      <c r="AD62" s="6">
        <v>22.14</v>
      </c>
      <c r="AE62" s="6">
        <v>3342.34</v>
      </c>
      <c r="AF62" s="35">
        <v>0.15129999999999999</v>
      </c>
      <c r="AG62" s="35">
        <v>0.29170000000000001</v>
      </c>
      <c r="AH62">
        <v>1.06</v>
      </c>
      <c r="AI62">
        <v>1.06</v>
      </c>
      <c r="AJ62">
        <v>0</v>
      </c>
      <c r="AK62" s="35">
        <v>0.16650000000000001</v>
      </c>
      <c r="AL62" s="35">
        <v>0.27690000000000003</v>
      </c>
    </row>
    <row r="63" spans="1:38">
      <c r="A63" t="s">
        <v>504</v>
      </c>
      <c r="B63" t="s">
        <v>505</v>
      </c>
      <c r="C63" t="s">
        <v>1088</v>
      </c>
      <c r="D63" s="6">
        <v>72.400000000000006</v>
      </c>
      <c r="E63" s="6">
        <v>553.20000000000005</v>
      </c>
      <c r="F63" s="6">
        <v>133.30000000000001</v>
      </c>
      <c r="G63" s="6">
        <v>300.89999999999998</v>
      </c>
      <c r="H63" s="6">
        <v>313.35000000000002</v>
      </c>
      <c r="I63" s="6">
        <v>595.64</v>
      </c>
      <c r="J63" s="6">
        <v>1896.39</v>
      </c>
      <c r="K63" s="6">
        <v>72.900000000000006</v>
      </c>
      <c r="L63" s="6">
        <v>1.88</v>
      </c>
      <c r="M63" s="6">
        <v>1975.47</v>
      </c>
      <c r="N63" s="6">
        <v>4.3</v>
      </c>
      <c r="O63" s="6">
        <v>0</v>
      </c>
      <c r="P63" s="6">
        <v>0</v>
      </c>
      <c r="Q63" s="6">
        <v>0</v>
      </c>
      <c r="R63" s="6">
        <v>0</v>
      </c>
      <c r="S63">
        <v>1.06</v>
      </c>
      <c r="T63">
        <v>1.06</v>
      </c>
      <c r="U63">
        <v>0</v>
      </c>
      <c r="V63" s="6">
        <v>7</v>
      </c>
      <c r="W63" s="6">
        <v>8.44</v>
      </c>
      <c r="X63" s="6">
        <v>0</v>
      </c>
      <c r="Y63" s="6">
        <v>181.33</v>
      </c>
      <c r="Z63" s="6">
        <v>31.33</v>
      </c>
      <c r="AA63" s="6">
        <v>2070.0700000000002</v>
      </c>
      <c r="AB63" s="6">
        <v>17.579999999999998</v>
      </c>
      <c r="AC63" s="6">
        <v>137.27000000000001</v>
      </c>
      <c r="AD63" s="6">
        <v>22.72</v>
      </c>
      <c r="AE63" s="6">
        <v>220.99</v>
      </c>
      <c r="AF63" s="35">
        <v>0.14549999999999999</v>
      </c>
      <c r="AG63" s="35">
        <v>0.2261</v>
      </c>
      <c r="AH63">
        <v>1.06</v>
      </c>
      <c r="AI63">
        <v>1.06</v>
      </c>
      <c r="AJ63">
        <v>0</v>
      </c>
      <c r="AK63" s="35">
        <v>0.21079999999999999</v>
      </c>
      <c r="AL63" s="35">
        <v>0.16080000000000005</v>
      </c>
    </row>
    <row r="64" spans="1:38">
      <c r="A64" t="s">
        <v>536</v>
      </c>
      <c r="B64" t="s">
        <v>537</v>
      </c>
      <c r="C64" t="s">
        <v>1088</v>
      </c>
      <c r="D64" s="6">
        <v>16.899999999999999</v>
      </c>
      <c r="E64" s="6">
        <v>534.36</v>
      </c>
      <c r="F64" s="6">
        <v>117.3</v>
      </c>
      <c r="G64" s="6">
        <v>288.75</v>
      </c>
      <c r="H64" s="6">
        <v>279.95</v>
      </c>
      <c r="I64" s="6">
        <v>486.01</v>
      </c>
      <c r="J64" s="6">
        <v>1706.37</v>
      </c>
      <c r="K64" s="6">
        <v>31.73</v>
      </c>
      <c r="L64" s="6">
        <v>2</v>
      </c>
      <c r="M64" s="6">
        <v>1778.43</v>
      </c>
      <c r="N64" s="6">
        <v>1</v>
      </c>
      <c r="O64" s="6">
        <v>0</v>
      </c>
      <c r="P64" s="6">
        <v>7.31</v>
      </c>
      <c r="Q64" s="6">
        <v>16.309999999999999</v>
      </c>
      <c r="R64" s="6">
        <v>13.71</v>
      </c>
      <c r="S64">
        <v>1.06</v>
      </c>
      <c r="T64">
        <v>1.06</v>
      </c>
      <c r="U64">
        <v>0.04</v>
      </c>
      <c r="V64" s="6">
        <v>2.67</v>
      </c>
      <c r="W64" s="6">
        <v>4.67</v>
      </c>
      <c r="X64" s="6">
        <v>0.11</v>
      </c>
      <c r="Y64" s="6">
        <v>150.22</v>
      </c>
      <c r="Z64" s="6">
        <v>127.33</v>
      </c>
      <c r="AA64" s="6">
        <v>1827.47</v>
      </c>
      <c r="AB64" s="6">
        <v>17.04</v>
      </c>
      <c r="AC64" s="6">
        <v>126.29</v>
      </c>
      <c r="AD64" s="6">
        <v>20.9</v>
      </c>
      <c r="AE64" s="6">
        <v>275.23</v>
      </c>
      <c r="AF64" s="35">
        <v>0.17330000000000001</v>
      </c>
      <c r="AG64" s="35">
        <v>0.23669999999999999</v>
      </c>
      <c r="AH64">
        <v>1.06</v>
      </c>
      <c r="AI64">
        <v>1.06</v>
      </c>
      <c r="AJ64">
        <v>4.0000000000000036E-2</v>
      </c>
      <c r="AK64" s="35">
        <v>0.18410000000000001</v>
      </c>
      <c r="AL64" s="35">
        <v>0.2359</v>
      </c>
    </row>
    <row r="65" spans="1:38">
      <c r="A65" t="s">
        <v>857</v>
      </c>
      <c r="B65" t="s">
        <v>858</v>
      </c>
      <c r="C65" t="s">
        <v>1088</v>
      </c>
      <c r="D65" s="6">
        <v>54.9</v>
      </c>
      <c r="E65" s="6">
        <v>727.03</v>
      </c>
      <c r="F65" s="6">
        <v>177.05</v>
      </c>
      <c r="G65" s="6">
        <v>387.3</v>
      </c>
      <c r="H65" s="6">
        <v>412.02</v>
      </c>
      <c r="I65" s="6">
        <v>863.61</v>
      </c>
      <c r="J65" s="6">
        <v>2567.0100000000002</v>
      </c>
      <c r="K65" s="6">
        <v>82.98</v>
      </c>
      <c r="L65" s="6">
        <v>1.01</v>
      </c>
      <c r="M65" s="6">
        <v>2691.46</v>
      </c>
      <c r="N65" s="6">
        <v>9</v>
      </c>
      <c r="O65" s="6">
        <v>0</v>
      </c>
      <c r="P65" s="6">
        <v>15.29</v>
      </c>
      <c r="Q65" s="6">
        <v>14.47</v>
      </c>
      <c r="R65" s="6">
        <v>1.7</v>
      </c>
      <c r="S65">
        <v>1.06</v>
      </c>
      <c r="T65">
        <v>1.06</v>
      </c>
      <c r="U65">
        <v>0</v>
      </c>
      <c r="V65" s="6">
        <v>37.44</v>
      </c>
      <c r="W65" s="6">
        <v>4.5599999999999996</v>
      </c>
      <c r="X65" s="6">
        <v>4.67</v>
      </c>
      <c r="Y65" s="6">
        <v>326.77999999999997</v>
      </c>
      <c r="Z65" s="6">
        <v>129.33000000000001</v>
      </c>
      <c r="AA65" s="6">
        <v>2781.73</v>
      </c>
      <c r="AB65" s="6">
        <v>17.02</v>
      </c>
      <c r="AC65" s="6">
        <v>136</v>
      </c>
      <c r="AD65" s="6">
        <v>22.51</v>
      </c>
      <c r="AE65" s="6">
        <v>465.34</v>
      </c>
      <c r="AF65" s="35">
        <v>0.13569999999999999</v>
      </c>
      <c r="AG65" s="35">
        <v>0.2437</v>
      </c>
      <c r="AH65">
        <v>1.06</v>
      </c>
      <c r="AI65">
        <v>1.06</v>
      </c>
      <c r="AJ65">
        <v>0</v>
      </c>
      <c r="AK65" s="35">
        <v>0.17460000000000001</v>
      </c>
      <c r="AL65" s="35">
        <v>0.23609999999999998</v>
      </c>
    </row>
    <row r="66" spans="1:38">
      <c r="A66" t="s">
        <v>460</v>
      </c>
      <c r="B66" t="s">
        <v>461</v>
      </c>
      <c r="C66" t="s">
        <v>1088</v>
      </c>
      <c r="D66" s="6">
        <v>67.17</v>
      </c>
      <c r="E66" s="6">
        <v>5921.4</v>
      </c>
      <c r="F66" s="6">
        <v>1578.59</v>
      </c>
      <c r="G66" s="6">
        <v>3138.02</v>
      </c>
      <c r="H66" s="6">
        <v>3297.52</v>
      </c>
      <c r="I66" s="6">
        <v>7456.18</v>
      </c>
      <c r="J66" s="6">
        <v>21391.71</v>
      </c>
      <c r="K66" s="6">
        <v>336.3</v>
      </c>
      <c r="L66" s="6">
        <v>5.51</v>
      </c>
      <c r="M66" s="6">
        <v>22307.51</v>
      </c>
      <c r="N66" s="6">
        <v>122.7</v>
      </c>
      <c r="O66" s="6">
        <v>0</v>
      </c>
      <c r="P66" s="6">
        <v>106.61</v>
      </c>
      <c r="Q66" s="6">
        <v>95.49</v>
      </c>
      <c r="R66" s="6">
        <v>249.19</v>
      </c>
      <c r="S66">
        <v>1.06</v>
      </c>
      <c r="T66">
        <v>1.06</v>
      </c>
      <c r="U66">
        <v>0.04</v>
      </c>
      <c r="V66" s="6">
        <v>260.56</v>
      </c>
      <c r="W66" s="6">
        <v>8.56</v>
      </c>
      <c r="X66" s="6">
        <v>1.56</v>
      </c>
      <c r="Y66" s="6">
        <v>2489.2199999999998</v>
      </c>
      <c r="Z66" s="6">
        <v>734.22</v>
      </c>
      <c r="AA66" s="6">
        <v>21907.919999999998</v>
      </c>
      <c r="AB66" s="6">
        <v>17</v>
      </c>
      <c r="AC66" s="6">
        <v>133.85</v>
      </c>
      <c r="AD66" s="6">
        <v>22.15</v>
      </c>
      <c r="AE66" s="6">
        <v>3237.12</v>
      </c>
      <c r="AF66" s="35">
        <v>7.1599999999999997E-2</v>
      </c>
      <c r="AG66" s="35">
        <v>0.2238</v>
      </c>
      <c r="AH66">
        <v>1.06</v>
      </c>
      <c r="AI66">
        <v>1.06</v>
      </c>
      <c r="AJ66">
        <v>4.0000000000000036E-2</v>
      </c>
      <c r="AK66" s="35">
        <v>0.12239999999999999</v>
      </c>
      <c r="AL66" s="35">
        <v>0.21540000000000004</v>
      </c>
    </row>
    <row r="67" spans="1:38">
      <c r="A67" t="s">
        <v>357</v>
      </c>
      <c r="B67" t="s">
        <v>358</v>
      </c>
      <c r="C67" t="s">
        <v>1088</v>
      </c>
      <c r="D67" s="6">
        <v>15</v>
      </c>
      <c r="E67" s="6">
        <v>1796.03</v>
      </c>
      <c r="F67" s="6">
        <v>479.3</v>
      </c>
      <c r="G67" s="6">
        <v>1132.71</v>
      </c>
      <c r="H67" s="6">
        <v>1137.52</v>
      </c>
      <c r="I67" s="6">
        <v>2193.79</v>
      </c>
      <c r="J67" s="6">
        <v>6739.35</v>
      </c>
      <c r="K67" s="6">
        <v>163.34</v>
      </c>
      <c r="L67" s="6">
        <v>3.64</v>
      </c>
      <c r="M67" s="6">
        <v>7108.31</v>
      </c>
      <c r="N67" s="6">
        <v>4.5999999999999996</v>
      </c>
      <c r="O67" s="6">
        <v>0</v>
      </c>
      <c r="P67" s="6">
        <v>36.72</v>
      </c>
      <c r="Q67" s="6">
        <v>36.28</v>
      </c>
      <c r="R67" s="6">
        <v>124.38</v>
      </c>
      <c r="S67">
        <v>1.075</v>
      </c>
      <c r="T67">
        <v>1.075</v>
      </c>
      <c r="U67">
        <v>2.5000000000000001E-2</v>
      </c>
      <c r="V67" s="6">
        <v>60.78</v>
      </c>
      <c r="W67" s="6">
        <v>1.56</v>
      </c>
      <c r="X67" s="6">
        <v>2.33</v>
      </c>
      <c r="Y67" s="6">
        <v>654.66999999999996</v>
      </c>
      <c r="Z67" s="6">
        <v>221.33</v>
      </c>
      <c r="AA67" s="6">
        <v>7177.93</v>
      </c>
      <c r="AB67" s="6">
        <v>17.54</v>
      </c>
      <c r="AC67" s="6">
        <v>137.31</v>
      </c>
      <c r="AD67" s="6">
        <v>22.73</v>
      </c>
      <c r="AE67" s="6">
        <v>876.56</v>
      </c>
      <c r="AF67" s="35">
        <v>0.1447</v>
      </c>
      <c r="AG67" s="35">
        <v>0.20280000000000001</v>
      </c>
      <c r="AH67">
        <v>1.06</v>
      </c>
      <c r="AI67">
        <v>1.06</v>
      </c>
      <c r="AJ67">
        <v>4.0000000000000036E-2</v>
      </c>
      <c r="AK67" s="35">
        <v>0.1394</v>
      </c>
      <c r="AL67" s="35">
        <v>0.20230000000000004</v>
      </c>
    </row>
    <row r="68" spans="1:38">
      <c r="A68" t="s">
        <v>331</v>
      </c>
      <c r="B68" t="s">
        <v>332</v>
      </c>
      <c r="C68" t="s">
        <v>1088</v>
      </c>
      <c r="D68" s="6">
        <v>86.47</v>
      </c>
      <c r="E68" s="6">
        <v>3140.47</v>
      </c>
      <c r="F68" s="6">
        <v>770.61</v>
      </c>
      <c r="G68" s="6">
        <v>1533.4</v>
      </c>
      <c r="H68" s="6">
        <v>1638.4</v>
      </c>
      <c r="I68" s="6">
        <v>2989.86</v>
      </c>
      <c r="J68" s="6">
        <v>10072.74</v>
      </c>
      <c r="K68" s="6">
        <v>265.91000000000003</v>
      </c>
      <c r="L68" s="6">
        <v>8.35</v>
      </c>
      <c r="M68" s="6">
        <v>12296.24</v>
      </c>
      <c r="N68" s="6">
        <v>32.1</v>
      </c>
      <c r="O68" s="6">
        <v>0</v>
      </c>
      <c r="P68" s="6">
        <v>733.75</v>
      </c>
      <c r="Q68" s="6">
        <v>351.62</v>
      </c>
      <c r="R68" s="6">
        <v>831.77</v>
      </c>
      <c r="S68">
        <v>1.06</v>
      </c>
      <c r="T68">
        <v>1.06</v>
      </c>
      <c r="U68">
        <v>0.04</v>
      </c>
      <c r="V68" s="6">
        <v>102.44</v>
      </c>
      <c r="W68" s="6">
        <v>12</v>
      </c>
      <c r="X68" s="6">
        <v>2.56</v>
      </c>
      <c r="Y68" s="6">
        <v>1132.22</v>
      </c>
      <c r="Z68" s="6">
        <v>629.33000000000004</v>
      </c>
      <c r="AA68" s="6">
        <v>12522.26</v>
      </c>
      <c r="AB68" s="6">
        <v>17</v>
      </c>
      <c r="AC68" s="6">
        <v>134.19999999999999</v>
      </c>
      <c r="AD68" s="6">
        <v>22.21</v>
      </c>
      <c r="AE68" s="6">
        <v>1763.67</v>
      </c>
      <c r="AF68" s="35">
        <v>0.14960000000000001</v>
      </c>
      <c r="AG68" s="35">
        <v>0.22720000000000001</v>
      </c>
      <c r="AH68">
        <v>1.06</v>
      </c>
      <c r="AI68">
        <v>1.06</v>
      </c>
      <c r="AJ68">
        <v>4.0000000000000036E-2</v>
      </c>
      <c r="AK68" s="35">
        <v>0.14799999999999999</v>
      </c>
      <c r="AL68" s="35">
        <v>0.22189999999999999</v>
      </c>
    </row>
    <row r="69" spans="1:38">
      <c r="A69" t="s">
        <v>727</v>
      </c>
      <c r="B69" t="s">
        <v>728</v>
      </c>
      <c r="C69" t="s">
        <v>1088</v>
      </c>
      <c r="D69" s="6">
        <v>0</v>
      </c>
      <c r="E69" s="6">
        <v>1165.45</v>
      </c>
      <c r="F69" s="6">
        <v>296.98</v>
      </c>
      <c r="G69" s="6">
        <v>623.28</v>
      </c>
      <c r="H69" s="6">
        <v>636.08000000000004</v>
      </c>
      <c r="I69" s="6">
        <v>1088.3499999999999</v>
      </c>
      <c r="J69" s="6">
        <v>3810.14</v>
      </c>
      <c r="K69" s="6">
        <v>76.459999999999994</v>
      </c>
      <c r="L69" s="6">
        <v>0.91</v>
      </c>
      <c r="M69" s="6">
        <v>4040.25</v>
      </c>
      <c r="N69" s="6">
        <v>12.6</v>
      </c>
      <c r="O69" s="6">
        <v>0</v>
      </c>
      <c r="P69" s="6">
        <v>30.86</v>
      </c>
      <c r="Q69" s="6">
        <v>33.049999999999997</v>
      </c>
      <c r="R69" s="6">
        <v>76.23</v>
      </c>
      <c r="S69">
        <v>1.06</v>
      </c>
      <c r="T69">
        <v>1.06</v>
      </c>
      <c r="U69">
        <v>0</v>
      </c>
      <c r="V69" s="6">
        <v>53.11</v>
      </c>
      <c r="W69" s="6">
        <v>0</v>
      </c>
      <c r="X69" s="6">
        <v>0</v>
      </c>
      <c r="Y69" s="6">
        <v>367.33</v>
      </c>
      <c r="Z69" s="6">
        <v>103.78</v>
      </c>
      <c r="AA69" s="6">
        <v>4077.54</v>
      </c>
      <c r="AB69" s="6">
        <v>17</v>
      </c>
      <c r="AC69" s="6">
        <v>129.47</v>
      </c>
      <c r="AD69" s="6">
        <v>21.43</v>
      </c>
      <c r="AE69" s="6">
        <v>470.77</v>
      </c>
      <c r="AF69" s="35">
        <v>0.17130000000000001</v>
      </c>
      <c r="AG69" s="35">
        <v>0.19520000000000001</v>
      </c>
      <c r="AH69">
        <v>1.06</v>
      </c>
      <c r="AI69">
        <v>1.06</v>
      </c>
      <c r="AJ69">
        <v>0</v>
      </c>
      <c r="AK69" s="35">
        <v>0.20250000000000001</v>
      </c>
      <c r="AL69" s="35">
        <v>0.1794</v>
      </c>
    </row>
    <row r="70" spans="1:38">
      <c r="A70" t="s">
        <v>1089</v>
      </c>
      <c r="B70" t="s">
        <v>1090</v>
      </c>
      <c r="C70" t="s">
        <v>1088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25</v>
      </c>
      <c r="J70" s="6">
        <v>25</v>
      </c>
      <c r="K70" s="6">
        <v>0</v>
      </c>
      <c r="L70" s="6">
        <v>0</v>
      </c>
      <c r="M70" s="6">
        <v>25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>
        <v>1.06</v>
      </c>
      <c r="T70">
        <v>1.06</v>
      </c>
      <c r="U70">
        <v>0</v>
      </c>
      <c r="V70" s="6">
        <v>0</v>
      </c>
      <c r="W70" s="6">
        <v>0</v>
      </c>
      <c r="X70" s="6">
        <v>0</v>
      </c>
      <c r="Y70" s="6">
        <v>12.5</v>
      </c>
      <c r="Z70" s="6">
        <v>0</v>
      </c>
      <c r="AA70" s="6">
        <v>25</v>
      </c>
      <c r="AB70" s="6">
        <v>25.23</v>
      </c>
      <c r="AC70" s="6">
        <v>131.29</v>
      </c>
      <c r="AD70" s="6">
        <v>21.73</v>
      </c>
      <c r="AE70" s="6">
        <v>12.5</v>
      </c>
      <c r="AF70" s="35">
        <v>0.15129999999999999</v>
      </c>
      <c r="AG70" s="35">
        <v>0.29170000000000001</v>
      </c>
      <c r="AH70">
        <v>1.06</v>
      </c>
      <c r="AI70">
        <v>1.06</v>
      </c>
      <c r="AJ70">
        <v>0</v>
      </c>
      <c r="AK70" s="35">
        <v>0.14979999999999999</v>
      </c>
      <c r="AL70" s="35">
        <v>0.13</v>
      </c>
    </row>
    <row r="71" spans="1:38">
      <c r="A71" t="s">
        <v>791</v>
      </c>
      <c r="B71" t="s">
        <v>792</v>
      </c>
      <c r="C71" t="s">
        <v>1088</v>
      </c>
      <c r="D71" s="6">
        <v>7</v>
      </c>
      <c r="E71" s="6">
        <v>8.1</v>
      </c>
      <c r="F71" s="6">
        <v>2.9</v>
      </c>
      <c r="G71" s="6">
        <v>4.0999999999999996</v>
      </c>
      <c r="H71" s="6">
        <v>2.4</v>
      </c>
      <c r="I71" s="6">
        <v>0.05</v>
      </c>
      <c r="J71" s="6">
        <v>17.55</v>
      </c>
      <c r="K71" s="6">
        <v>0</v>
      </c>
      <c r="L71" s="6">
        <v>0</v>
      </c>
      <c r="M71" s="6">
        <v>744.43</v>
      </c>
      <c r="N71" s="6">
        <v>0</v>
      </c>
      <c r="O71" s="6">
        <v>0</v>
      </c>
      <c r="P71" s="6">
        <v>298.3</v>
      </c>
      <c r="Q71" s="6">
        <v>171.3</v>
      </c>
      <c r="R71" s="6">
        <v>257.27999999999997</v>
      </c>
      <c r="S71">
        <v>1</v>
      </c>
      <c r="T71">
        <v>1</v>
      </c>
      <c r="U71">
        <v>0</v>
      </c>
      <c r="V71" s="6">
        <v>0</v>
      </c>
      <c r="W71" s="6">
        <v>0</v>
      </c>
      <c r="X71" s="6">
        <v>0</v>
      </c>
      <c r="Y71" s="6">
        <v>55.33</v>
      </c>
      <c r="Z71" s="6">
        <v>63.22</v>
      </c>
      <c r="AA71" s="6">
        <v>751.42</v>
      </c>
      <c r="AB71" s="6">
        <v>25.23</v>
      </c>
      <c r="AC71" s="6">
        <v>116.33</v>
      </c>
      <c r="AD71" s="6">
        <v>19.25</v>
      </c>
      <c r="AE71" s="6">
        <v>118.55</v>
      </c>
      <c r="AF71" s="35">
        <v>6.59E-2</v>
      </c>
      <c r="AG71" s="35">
        <v>0</v>
      </c>
      <c r="AH71">
        <v>1</v>
      </c>
      <c r="AI71">
        <v>1</v>
      </c>
      <c r="AJ71">
        <v>0</v>
      </c>
      <c r="AK71" s="35">
        <v>6.2799999999999995E-2</v>
      </c>
      <c r="AL71" s="35">
        <v>0.32410000000000005</v>
      </c>
    </row>
    <row r="72" spans="1:38">
      <c r="A72" t="s">
        <v>558</v>
      </c>
      <c r="B72" t="s">
        <v>559</v>
      </c>
      <c r="C72" t="s">
        <v>1088</v>
      </c>
      <c r="D72" s="6">
        <v>87.7</v>
      </c>
      <c r="E72" s="6">
        <v>1831.63</v>
      </c>
      <c r="F72" s="6">
        <v>468.99</v>
      </c>
      <c r="G72" s="6">
        <v>922.4</v>
      </c>
      <c r="H72" s="6">
        <v>888.84</v>
      </c>
      <c r="I72" s="6">
        <v>1729.07</v>
      </c>
      <c r="J72" s="6">
        <v>5840.93</v>
      </c>
      <c r="K72" s="6">
        <v>115.95</v>
      </c>
      <c r="L72" s="6">
        <v>11.59</v>
      </c>
      <c r="M72" s="6">
        <v>6116.25</v>
      </c>
      <c r="N72" s="6">
        <v>39.06</v>
      </c>
      <c r="O72" s="6">
        <v>1.44</v>
      </c>
      <c r="P72" s="6">
        <v>4.5999999999999996</v>
      </c>
      <c r="Q72" s="6">
        <v>25.6</v>
      </c>
      <c r="R72" s="6">
        <v>77.08</v>
      </c>
      <c r="S72">
        <v>1</v>
      </c>
      <c r="T72">
        <v>1</v>
      </c>
      <c r="U72">
        <v>0</v>
      </c>
      <c r="V72" s="6">
        <v>102.11</v>
      </c>
      <c r="W72" s="6">
        <v>18.22</v>
      </c>
      <c r="X72" s="6">
        <v>3.22</v>
      </c>
      <c r="Y72" s="6">
        <v>687.33</v>
      </c>
      <c r="Z72" s="6">
        <v>414.44</v>
      </c>
      <c r="AA72" s="6">
        <v>6214.93</v>
      </c>
      <c r="AB72" s="6">
        <v>17</v>
      </c>
      <c r="AC72" s="6">
        <v>129.43</v>
      </c>
      <c r="AD72" s="6">
        <v>21.42</v>
      </c>
      <c r="AE72" s="6">
        <v>1122.8800000000001</v>
      </c>
      <c r="AF72" s="35">
        <v>0.153</v>
      </c>
      <c r="AG72" s="35">
        <v>0.25359999999999999</v>
      </c>
      <c r="AH72">
        <v>1</v>
      </c>
      <c r="AI72">
        <v>1</v>
      </c>
      <c r="AJ72">
        <v>0</v>
      </c>
      <c r="AK72" s="35">
        <v>0.15049999999999999</v>
      </c>
      <c r="AL72" s="35">
        <v>0.247</v>
      </c>
    </row>
    <row r="73" spans="1:38">
      <c r="A73" t="s">
        <v>366</v>
      </c>
      <c r="B73" t="s">
        <v>367</v>
      </c>
      <c r="C73" t="s">
        <v>1088</v>
      </c>
      <c r="D73" s="6">
        <v>0</v>
      </c>
      <c r="E73" s="6">
        <v>441.76</v>
      </c>
      <c r="F73" s="6">
        <v>109.82</v>
      </c>
      <c r="G73" s="6">
        <v>195.81</v>
      </c>
      <c r="H73" s="6">
        <v>218.78</v>
      </c>
      <c r="I73" s="6">
        <v>380.52</v>
      </c>
      <c r="J73" s="6">
        <v>1346.69</v>
      </c>
      <c r="K73" s="6">
        <v>28.43</v>
      </c>
      <c r="L73" s="6">
        <v>1.92</v>
      </c>
      <c r="M73" s="6">
        <v>1396.44</v>
      </c>
      <c r="N73" s="6">
        <v>11</v>
      </c>
      <c r="O73" s="6">
        <v>0.6</v>
      </c>
      <c r="P73" s="6">
        <v>0</v>
      </c>
      <c r="Q73" s="6">
        <v>1</v>
      </c>
      <c r="R73" s="6">
        <v>6.8</v>
      </c>
      <c r="S73">
        <v>1</v>
      </c>
      <c r="T73">
        <v>1</v>
      </c>
      <c r="U73">
        <v>0</v>
      </c>
      <c r="V73" s="6">
        <v>23.33</v>
      </c>
      <c r="W73" s="6">
        <v>0</v>
      </c>
      <c r="X73" s="6">
        <v>0</v>
      </c>
      <c r="Y73" s="6">
        <v>153.56</v>
      </c>
      <c r="Z73" s="6">
        <v>54</v>
      </c>
      <c r="AA73" s="6">
        <v>1400.39</v>
      </c>
      <c r="AB73" s="6">
        <v>17</v>
      </c>
      <c r="AC73" s="6">
        <v>132.22999999999999</v>
      </c>
      <c r="AD73" s="6">
        <v>21.89</v>
      </c>
      <c r="AE73" s="6">
        <v>207.56</v>
      </c>
      <c r="AF73" s="35">
        <v>0.1988</v>
      </c>
      <c r="AG73" s="35">
        <v>0.1953</v>
      </c>
      <c r="AH73">
        <v>1</v>
      </c>
      <c r="AI73">
        <v>1</v>
      </c>
      <c r="AJ73">
        <v>0</v>
      </c>
      <c r="AK73" s="35">
        <v>0.18909999999999999</v>
      </c>
      <c r="AL73" s="35">
        <v>0.1804</v>
      </c>
    </row>
    <row r="74" spans="1:38">
      <c r="A74" t="s">
        <v>889</v>
      </c>
      <c r="B74" t="s">
        <v>890</v>
      </c>
      <c r="C74" t="s">
        <v>1088</v>
      </c>
      <c r="D74" s="6">
        <v>0</v>
      </c>
      <c r="E74" s="6">
        <v>678.05</v>
      </c>
      <c r="F74" s="6">
        <v>168.53</v>
      </c>
      <c r="G74" s="6">
        <v>373.05</v>
      </c>
      <c r="H74" s="6">
        <v>352.22</v>
      </c>
      <c r="I74" s="6">
        <v>563.59</v>
      </c>
      <c r="J74" s="6">
        <v>2135.44</v>
      </c>
      <c r="K74" s="6">
        <v>56.35</v>
      </c>
      <c r="L74" s="6">
        <v>1.7</v>
      </c>
      <c r="M74" s="6">
        <v>2348.62</v>
      </c>
      <c r="N74" s="6">
        <v>15.22</v>
      </c>
      <c r="O74" s="6">
        <v>0</v>
      </c>
      <c r="P74" s="6">
        <v>31.41</v>
      </c>
      <c r="Q74" s="6">
        <v>19.75</v>
      </c>
      <c r="R74" s="6">
        <v>88.75</v>
      </c>
      <c r="S74">
        <v>1</v>
      </c>
      <c r="T74">
        <v>1</v>
      </c>
      <c r="U74">
        <v>0</v>
      </c>
      <c r="V74" s="6">
        <v>38.11</v>
      </c>
      <c r="W74" s="6">
        <v>0</v>
      </c>
      <c r="X74" s="6">
        <v>0</v>
      </c>
      <c r="Y74" s="6">
        <v>205.78</v>
      </c>
      <c r="Z74" s="6">
        <v>151.78</v>
      </c>
      <c r="AA74" s="6">
        <v>2383.67</v>
      </c>
      <c r="AB74" s="6">
        <v>17</v>
      </c>
      <c r="AC74" s="6">
        <v>134.22</v>
      </c>
      <c r="AD74" s="6">
        <v>22.22</v>
      </c>
      <c r="AE74" s="6">
        <v>355.23</v>
      </c>
      <c r="AF74" s="35">
        <v>0.128</v>
      </c>
      <c r="AG74" s="35">
        <v>0.25369999999999998</v>
      </c>
      <c r="AH74">
        <v>1</v>
      </c>
      <c r="AI74">
        <v>1</v>
      </c>
      <c r="AJ74">
        <v>0</v>
      </c>
      <c r="AK74" s="35">
        <v>0.15049999999999999</v>
      </c>
      <c r="AL74" s="35">
        <v>0.23580000000000001</v>
      </c>
    </row>
    <row r="75" spans="1:38">
      <c r="A75" t="s">
        <v>522</v>
      </c>
      <c r="B75" t="s">
        <v>523</v>
      </c>
      <c r="C75" t="s">
        <v>1088</v>
      </c>
      <c r="D75" s="6">
        <v>96.32</v>
      </c>
      <c r="E75" s="6">
        <v>1399.44</v>
      </c>
      <c r="F75" s="6">
        <v>376.72</v>
      </c>
      <c r="G75" s="6">
        <v>721.56</v>
      </c>
      <c r="H75" s="6">
        <v>710.28</v>
      </c>
      <c r="I75" s="6">
        <v>1322.89</v>
      </c>
      <c r="J75" s="6">
        <v>4530.8900000000003</v>
      </c>
      <c r="K75" s="6">
        <v>84.28</v>
      </c>
      <c r="L75" s="6">
        <v>7.66</v>
      </c>
      <c r="M75" s="6">
        <v>4906.3900000000003</v>
      </c>
      <c r="N75" s="6">
        <v>33.32</v>
      </c>
      <c r="O75" s="6">
        <v>1.38</v>
      </c>
      <c r="P75" s="6">
        <v>31.96</v>
      </c>
      <c r="Q75" s="6">
        <v>61.62</v>
      </c>
      <c r="R75" s="6">
        <v>155.28</v>
      </c>
      <c r="S75">
        <v>1</v>
      </c>
      <c r="T75">
        <v>1</v>
      </c>
      <c r="U75">
        <v>0</v>
      </c>
      <c r="V75" s="6">
        <v>62.33</v>
      </c>
      <c r="W75" s="6">
        <v>11.11</v>
      </c>
      <c r="X75" s="6">
        <v>4.5599999999999996</v>
      </c>
      <c r="Y75" s="6">
        <v>489.33</v>
      </c>
      <c r="Z75" s="6">
        <v>292.22000000000003</v>
      </c>
      <c r="AA75" s="6">
        <v>4986.78</v>
      </c>
      <c r="AB75" s="6">
        <v>17</v>
      </c>
      <c r="AC75" s="6">
        <v>131.74</v>
      </c>
      <c r="AD75" s="6">
        <v>21.81</v>
      </c>
      <c r="AE75" s="6">
        <v>797.22</v>
      </c>
      <c r="AF75" s="35">
        <v>0.1736</v>
      </c>
      <c r="AG75" s="35">
        <v>0.2797</v>
      </c>
      <c r="AH75">
        <v>1</v>
      </c>
      <c r="AI75">
        <v>1</v>
      </c>
      <c r="AJ75">
        <v>0</v>
      </c>
      <c r="AK75" s="35">
        <v>0.1646</v>
      </c>
      <c r="AL75" s="35">
        <v>0.25760000000000005</v>
      </c>
    </row>
    <row r="76" spans="1:38">
      <c r="A76" t="s">
        <v>351</v>
      </c>
      <c r="B76" t="s">
        <v>352</v>
      </c>
      <c r="C76" t="s">
        <v>1088</v>
      </c>
      <c r="D76" s="6">
        <v>29.1</v>
      </c>
      <c r="E76" s="6">
        <v>197</v>
      </c>
      <c r="F76" s="6">
        <v>48.1</v>
      </c>
      <c r="G76" s="6">
        <v>93.4</v>
      </c>
      <c r="H76" s="6">
        <v>118.9</v>
      </c>
      <c r="I76" s="6">
        <v>218.32</v>
      </c>
      <c r="J76" s="6">
        <v>675.72</v>
      </c>
      <c r="K76" s="6">
        <v>0</v>
      </c>
      <c r="L76" s="6">
        <v>0</v>
      </c>
      <c r="M76" s="6">
        <v>706.72</v>
      </c>
      <c r="N76" s="6">
        <v>0</v>
      </c>
      <c r="O76" s="6">
        <v>0</v>
      </c>
      <c r="P76" s="6">
        <v>0</v>
      </c>
      <c r="Q76" s="6">
        <v>0</v>
      </c>
      <c r="R76" s="6">
        <v>31</v>
      </c>
      <c r="S76">
        <v>1</v>
      </c>
      <c r="T76">
        <v>1</v>
      </c>
      <c r="U76">
        <v>0</v>
      </c>
      <c r="V76" s="6">
        <v>5.1100000000000003</v>
      </c>
      <c r="W76" s="6">
        <v>4.78</v>
      </c>
      <c r="X76" s="6">
        <v>0.22</v>
      </c>
      <c r="Y76" s="6">
        <v>59.33</v>
      </c>
      <c r="Z76" s="6">
        <v>16.670000000000002</v>
      </c>
      <c r="AA76" s="6">
        <v>735.82</v>
      </c>
      <c r="AB76" s="6">
        <v>17</v>
      </c>
      <c r="AC76" s="6">
        <v>126.3</v>
      </c>
      <c r="AD76" s="6">
        <v>20.9</v>
      </c>
      <c r="AE76" s="6">
        <v>81</v>
      </c>
      <c r="AF76" s="35">
        <v>0.1696</v>
      </c>
      <c r="AG76" s="35">
        <v>0.15790000000000001</v>
      </c>
      <c r="AH76">
        <v>1</v>
      </c>
      <c r="AI76">
        <v>1</v>
      </c>
      <c r="AJ76">
        <v>0</v>
      </c>
      <c r="AK76" s="35">
        <v>0.1817</v>
      </c>
      <c r="AL76" s="35">
        <v>0.1552</v>
      </c>
    </row>
    <row r="77" spans="1:38">
      <c r="A77" t="s">
        <v>438</v>
      </c>
      <c r="B77" t="s">
        <v>439</v>
      </c>
      <c r="C77" t="s">
        <v>1088</v>
      </c>
      <c r="D77" s="6">
        <v>63.13</v>
      </c>
      <c r="E77" s="6">
        <v>1631.89</v>
      </c>
      <c r="F77" s="6">
        <v>456.9</v>
      </c>
      <c r="G77" s="6">
        <v>845.97</v>
      </c>
      <c r="H77" s="6">
        <v>931.22</v>
      </c>
      <c r="I77" s="6">
        <v>1666.54</v>
      </c>
      <c r="J77" s="6">
        <v>5532.52</v>
      </c>
      <c r="K77" s="6">
        <v>167.56</v>
      </c>
      <c r="L77" s="6">
        <v>8.7100000000000009</v>
      </c>
      <c r="M77" s="6">
        <v>5847.92</v>
      </c>
      <c r="N77" s="6">
        <v>0</v>
      </c>
      <c r="O77" s="6">
        <v>0</v>
      </c>
      <c r="P77" s="6">
        <v>18.34</v>
      </c>
      <c r="Q77" s="6">
        <v>0.4</v>
      </c>
      <c r="R77" s="6">
        <v>120.39</v>
      </c>
      <c r="S77">
        <v>1</v>
      </c>
      <c r="T77">
        <v>1</v>
      </c>
      <c r="U77">
        <v>0</v>
      </c>
      <c r="V77" s="6">
        <v>73.56</v>
      </c>
      <c r="W77" s="6">
        <v>4.8899999999999997</v>
      </c>
      <c r="X77" s="6">
        <v>0</v>
      </c>
      <c r="Y77" s="6">
        <v>529</v>
      </c>
      <c r="Z77" s="6">
        <v>166.89</v>
      </c>
      <c r="AA77" s="6">
        <v>5969.82</v>
      </c>
      <c r="AB77" s="6">
        <v>17.399999999999999</v>
      </c>
      <c r="AC77" s="6">
        <v>129.16</v>
      </c>
      <c r="AD77" s="6">
        <v>21.38</v>
      </c>
      <c r="AE77" s="6">
        <v>700.78</v>
      </c>
      <c r="AF77" s="35">
        <v>0.1421</v>
      </c>
      <c r="AG77" s="35">
        <v>0.2165</v>
      </c>
      <c r="AH77">
        <v>1</v>
      </c>
      <c r="AI77">
        <v>1</v>
      </c>
      <c r="AJ77">
        <v>0</v>
      </c>
      <c r="AK77" s="35">
        <v>0.1368</v>
      </c>
      <c r="AL77" s="35">
        <v>0.20720000000000005</v>
      </c>
    </row>
    <row r="78" spans="1:38">
      <c r="A78" t="s">
        <v>520</v>
      </c>
      <c r="B78" t="s">
        <v>521</v>
      </c>
      <c r="C78" t="s">
        <v>1088</v>
      </c>
      <c r="D78" s="6">
        <v>0</v>
      </c>
      <c r="E78" s="6">
        <v>27</v>
      </c>
      <c r="F78" s="6">
        <v>7.8</v>
      </c>
      <c r="G78" s="6">
        <v>8.8000000000000007</v>
      </c>
      <c r="H78" s="6">
        <v>0</v>
      </c>
      <c r="I78" s="6">
        <v>0</v>
      </c>
      <c r="J78" s="6">
        <v>43.6</v>
      </c>
      <c r="K78" s="6">
        <v>0</v>
      </c>
      <c r="L78" s="6">
        <v>0</v>
      </c>
      <c r="M78" s="6">
        <v>43.6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>
        <v>1</v>
      </c>
      <c r="T78">
        <v>1</v>
      </c>
      <c r="U78">
        <v>0</v>
      </c>
      <c r="V78" s="6">
        <v>0</v>
      </c>
      <c r="W78" s="6">
        <v>0</v>
      </c>
      <c r="X78" s="6">
        <v>0</v>
      </c>
      <c r="Y78" s="6">
        <v>5.1100000000000003</v>
      </c>
      <c r="Z78" s="6">
        <v>0</v>
      </c>
      <c r="AA78" s="6">
        <v>43.6</v>
      </c>
      <c r="AB78" s="6">
        <v>17</v>
      </c>
      <c r="AC78" s="6">
        <v>149.66999999999999</v>
      </c>
      <c r="AD78" s="6">
        <v>24.77</v>
      </c>
      <c r="AE78" s="6">
        <v>5.1100000000000003</v>
      </c>
      <c r="AF78" s="35">
        <v>0.33129999999999998</v>
      </c>
      <c r="AG78" s="35">
        <v>0.08</v>
      </c>
      <c r="AH78">
        <v>1</v>
      </c>
      <c r="AI78">
        <v>1</v>
      </c>
      <c r="AJ78">
        <v>0</v>
      </c>
      <c r="AK78" s="35">
        <v>0.2989</v>
      </c>
      <c r="AL78" s="35">
        <v>7.999999999999996E-2</v>
      </c>
    </row>
    <row r="79" spans="1:38">
      <c r="A79" t="s">
        <v>416</v>
      </c>
      <c r="B79" t="s">
        <v>417</v>
      </c>
      <c r="C79" t="s">
        <v>1088</v>
      </c>
      <c r="D79" s="6">
        <v>0</v>
      </c>
      <c r="E79" s="6">
        <v>52.4</v>
      </c>
      <c r="F79" s="6">
        <v>12.5</v>
      </c>
      <c r="G79" s="6">
        <v>25.77</v>
      </c>
      <c r="H79" s="6">
        <v>25.9</v>
      </c>
      <c r="I79" s="6">
        <v>48.62</v>
      </c>
      <c r="J79" s="6">
        <v>165.19</v>
      </c>
      <c r="K79" s="6">
        <v>12.57</v>
      </c>
      <c r="L79" s="6">
        <v>0.97</v>
      </c>
      <c r="M79" s="6">
        <v>271.57</v>
      </c>
      <c r="N79" s="6">
        <v>57</v>
      </c>
      <c r="O79" s="6">
        <v>0</v>
      </c>
      <c r="P79" s="6">
        <v>2.73</v>
      </c>
      <c r="Q79" s="6">
        <v>3.3</v>
      </c>
      <c r="R79" s="6">
        <v>29.81</v>
      </c>
      <c r="S79">
        <v>1</v>
      </c>
      <c r="T79">
        <v>1</v>
      </c>
      <c r="U79">
        <v>0.02</v>
      </c>
      <c r="V79" s="6">
        <v>1.33</v>
      </c>
      <c r="W79" s="6">
        <v>0</v>
      </c>
      <c r="X79" s="6">
        <v>0</v>
      </c>
      <c r="Y79" s="6">
        <v>34.22</v>
      </c>
      <c r="Z79" s="6">
        <v>2.11</v>
      </c>
      <c r="AA79" s="6">
        <v>271.57</v>
      </c>
      <c r="AB79" s="6">
        <v>17</v>
      </c>
      <c r="AC79" s="6">
        <v>138.22</v>
      </c>
      <c r="AD79" s="6">
        <v>22.88</v>
      </c>
      <c r="AE79" s="6">
        <v>36.33</v>
      </c>
      <c r="AF79" s="35">
        <v>0.32990000000000003</v>
      </c>
      <c r="AG79" s="35">
        <v>0.14940000000000001</v>
      </c>
      <c r="AH79">
        <v>1</v>
      </c>
      <c r="AI79">
        <v>1</v>
      </c>
      <c r="AJ79">
        <v>1.0000000000000009E-2</v>
      </c>
      <c r="AK79" s="35">
        <v>0.34189999999999998</v>
      </c>
      <c r="AL79" s="35">
        <v>0.15059999999999996</v>
      </c>
    </row>
    <row r="80" spans="1:38">
      <c r="A80" t="s">
        <v>667</v>
      </c>
      <c r="B80" t="s">
        <v>668</v>
      </c>
      <c r="C80" t="s">
        <v>1088</v>
      </c>
      <c r="D80" s="6">
        <v>0</v>
      </c>
      <c r="E80" s="6">
        <v>17.8</v>
      </c>
      <c r="F80" s="6">
        <v>5.4</v>
      </c>
      <c r="G80" s="6">
        <v>5</v>
      </c>
      <c r="H80" s="6">
        <v>6</v>
      </c>
      <c r="I80" s="6">
        <v>0</v>
      </c>
      <c r="J80" s="6">
        <v>34.200000000000003</v>
      </c>
      <c r="K80" s="6">
        <v>0</v>
      </c>
      <c r="L80" s="6">
        <v>0</v>
      </c>
      <c r="M80" s="6">
        <v>34.200000000000003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>
        <v>1</v>
      </c>
      <c r="T80">
        <v>1</v>
      </c>
      <c r="U80">
        <v>0.02</v>
      </c>
      <c r="V80" s="6">
        <v>0</v>
      </c>
      <c r="W80" s="6">
        <v>0</v>
      </c>
      <c r="X80" s="6">
        <v>0</v>
      </c>
      <c r="Y80" s="6">
        <v>6.22</v>
      </c>
      <c r="Z80" s="6">
        <v>0</v>
      </c>
      <c r="AA80" s="6">
        <v>34.200000000000003</v>
      </c>
      <c r="AB80" s="6">
        <v>17</v>
      </c>
      <c r="AC80" s="6">
        <v>130.29</v>
      </c>
      <c r="AD80" s="6">
        <v>21.57</v>
      </c>
      <c r="AE80" s="6">
        <v>6.22</v>
      </c>
      <c r="AF80" s="35">
        <v>0.2266</v>
      </c>
      <c r="AG80" s="35">
        <v>0.1414</v>
      </c>
      <c r="AH80">
        <v>1</v>
      </c>
      <c r="AI80">
        <v>1</v>
      </c>
      <c r="AJ80">
        <v>1.0000000000000009E-2</v>
      </c>
      <c r="AK80" s="35">
        <v>0.24210000000000001</v>
      </c>
      <c r="AL80" s="35">
        <v>0.11329999999999996</v>
      </c>
    </row>
    <row r="81" spans="1:38">
      <c r="A81" t="s">
        <v>510</v>
      </c>
      <c r="B81" t="s">
        <v>511</v>
      </c>
      <c r="C81" t="s">
        <v>1088</v>
      </c>
      <c r="D81" s="6">
        <v>0</v>
      </c>
      <c r="E81" s="6">
        <v>55</v>
      </c>
      <c r="F81" s="6">
        <v>14.2</v>
      </c>
      <c r="G81" s="6">
        <v>28.5</v>
      </c>
      <c r="H81" s="6">
        <v>30</v>
      </c>
      <c r="I81" s="6">
        <v>46.33</v>
      </c>
      <c r="J81" s="6">
        <v>174.03</v>
      </c>
      <c r="K81" s="6">
        <v>9.69</v>
      </c>
      <c r="L81" s="6">
        <v>0.66</v>
      </c>
      <c r="M81" s="6">
        <v>184.38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>
        <v>1</v>
      </c>
      <c r="T81">
        <v>1</v>
      </c>
      <c r="U81">
        <v>0</v>
      </c>
      <c r="V81" s="6">
        <v>3.11</v>
      </c>
      <c r="W81" s="6">
        <v>0</v>
      </c>
      <c r="X81" s="6">
        <v>0</v>
      </c>
      <c r="Y81" s="6">
        <v>17.78</v>
      </c>
      <c r="Z81" s="6">
        <v>7.11</v>
      </c>
      <c r="AA81" s="6">
        <v>184.37</v>
      </c>
      <c r="AB81" s="6">
        <v>17</v>
      </c>
      <c r="AC81" s="6">
        <v>130.07</v>
      </c>
      <c r="AD81" s="6">
        <v>21.53</v>
      </c>
      <c r="AE81" s="6">
        <v>24.89</v>
      </c>
      <c r="AF81" s="35">
        <v>0.31990000000000002</v>
      </c>
      <c r="AG81" s="35">
        <v>0.17780000000000001</v>
      </c>
      <c r="AH81">
        <v>1</v>
      </c>
      <c r="AI81">
        <v>1</v>
      </c>
      <c r="AJ81">
        <v>0</v>
      </c>
      <c r="AK81" s="35">
        <v>0.26629999999999998</v>
      </c>
      <c r="AL81" s="35">
        <v>0.21899999999999997</v>
      </c>
    </row>
    <row r="82" spans="1:38">
      <c r="A82" t="s">
        <v>723</v>
      </c>
      <c r="B82" t="s">
        <v>724</v>
      </c>
      <c r="C82" t="s">
        <v>1088</v>
      </c>
      <c r="D82" s="6">
        <v>0</v>
      </c>
      <c r="E82" s="6">
        <v>95.73</v>
      </c>
      <c r="F82" s="6">
        <v>25.5</v>
      </c>
      <c r="G82" s="6">
        <v>52.11</v>
      </c>
      <c r="H82" s="6">
        <v>66.89</v>
      </c>
      <c r="I82" s="6">
        <v>83.28</v>
      </c>
      <c r="J82" s="6">
        <v>323.51</v>
      </c>
      <c r="K82" s="6">
        <v>14.51</v>
      </c>
      <c r="L82" s="6">
        <v>0.64</v>
      </c>
      <c r="M82" s="6">
        <v>428.57</v>
      </c>
      <c r="N82" s="6">
        <v>0</v>
      </c>
      <c r="O82" s="6">
        <v>0</v>
      </c>
      <c r="P82" s="6">
        <v>52.52</v>
      </c>
      <c r="Q82" s="6">
        <v>9.3000000000000007</v>
      </c>
      <c r="R82" s="6">
        <v>28.09</v>
      </c>
      <c r="S82">
        <v>1</v>
      </c>
      <c r="T82">
        <v>1</v>
      </c>
      <c r="U82">
        <v>0.02</v>
      </c>
      <c r="V82" s="6">
        <v>3.11</v>
      </c>
      <c r="W82" s="6">
        <v>0</v>
      </c>
      <c r="X82" s="6">
        <v>0</v>
      </c>
      <c r="Y82" s="6">
        <v>65.67</v>
      </c>
      <c r="Z82" s="6">
        <v>15.67</v>
      </c>
      <c r="AA82" s="6">
        <v>428.56</v>
      </c>
      <c r="AB82" s="6">
        <v>17</v>
      </c>
      <c r="AC82" s="6">
        <v>135.84</v>
      </c>
      <c r="AD82" s="6">
        <v>22.48</v>
      </c>
      <c r="AE82" s="6">
        <v>81.34</v>
      </c>
      <c r="AF82" s="35">
        <v>0.2772</v>
      </c>
      <c r="AG82" s="35">
        <v>0.16689999999999999</v>
      </c>
      <c r="AH82">
        <v>1</v>
      </c>
      <c r="AI82">
        <v>1</v>
      </c>
      <c r="AJ82">
        <v>1.0000000000000009E-2</v>
      </c>
      <c r="AK82" s="35">
        <v>0.26219999999999999</v>
      </c>
      <c r="AL82" s="35">
        <v>0.16239999999999999</v>
      </c>
    </row>
    <row r="83" spans="1:38">
      <c r="A83" t="s">
        <v>681</v>
      </c>
      <c r="B83" t="s">
        <v>682</v>
      </c>
      <c r="C83" t="s">
        <v>1088</v>
      </c>
      <c r="D83" s="6">
        <v>55.1</v>
      </c>
      <c r="E83" s="6">
        <v>5342.47</v>
      </c>
      <c r="F83" s="6">
        <v>1354.76</v>
      </c>
      <c r="G83" s="6">
        <v>2832.12</v>
      </c>
      <c r="H83" s="6">
        <v>2802.99</v>
      </c>
      <c r="I83" s="6">
        <v>5075.1000000000004</v>
      </c>
      <c r="J83" s="6">
        <v>17407.439999999999</v>
      </c>
      <c r="K83" s="6">
        <v>366.3</v>
      </c>
      <c r="L83" s="6">
        <v>36.130000000000003</v>
      </c>
      <c r="M83" s="6">
        <v>18111.990000000002</v>
      </c>
      <c r="N83" s="6">
        <v>45.35</v>
      </c>
      <c r="O83" s="6">
        <v>0</v>
      </c>
      <c r="P83" s="6">
        <v>25.75</v>
      </c>
      <c r="Q83" s="6">
        <v>32</v>
      </c>
      <c r="R83" s="6">
        <v>199.02</v>
      </c>
      <c r="S83">
        <v>1</v>
      </c>
      <c r="T83">
        <v>1</v>
      </c>
      <c r="U83">
        <v>0</v>
      </c>
      <c r="V83" s="6">
        <v>201.44</v>
      </c>
      <c r="W83" s="6">
        <v>0</v>
      </c>
      <c r="X83" s="6">
        <v>0</v>
      </c>
      <c r="Y83" s="6">
        <v>1479.44</v>
      </c>
      <c r="Z83" s="6">
        <v>920.89</v>
      </c>
      <c r="AA83" s="6">
        <v>18308.78</v>
      </c>
      <c r="AB83" s="6">
        <v>17.010000000000002</v>
      </c>
      <c r="AC83" s="6">
        <v>137.66</v>
      </c>
      <c r="AD83" s="6">
        <v>22.79</v>
      </c>
      <c r="AE83" s="6">
        <v>2413.7800000000002</v>
      </c>
      <c r="AF83" s="35">
        <v>0.1255</v>
      </c>
      <c r="AG83" s="35">
        <v>0.29609999999999997</v>
      </c>
      <c r="AH83">
        <v>1</v>
      </c>
      <c r="AI83">
        <v>1</v>
      </c>
      <c r="AJ83">
        <v>0</v>
      </c>
      <c r="AK83" s="35">
        <v>0.1268</v>
      </c>
      <c r="AL83" s="35">
        <v>0.27529999999999999</v>
      </c>
    </row>
    <row r="84" spans="1:38">
      <c r="A84" t="s">
        <v>629</v>
      </c>
      <c r="B84" t="s">
        <v>630</v>
      </c>
      <c r="C84" t="s">
        <v>1088</v>
      </c>
      <c r="D84" s="6">
        <v>14.5</v>
      </c>
      <c r="E84" s="6">
        <v>550.22</v>
      </c>
      <c r="F84" s="6">
        <v>142.4</v>
      </c>
      <c r="G84" s="6">
        <v>318.97000000000003</v>
      </c>
      <c r="H84" s="6">
        <v>314.41000000000003</v>
      </c>
      <c r="I84" s="6">
        <v>559.41999999999996</v>
      </c>
      <c r="J84" s="6">
        <v>1885.42</v>
      </c>
      <c r="K84" s="6">
        <v>40.880000000000003</v>
      </c>
      <c r="L84" s="6">
        <v>4.04</v>
      </c>
      <c r="M84" s="6">
        <v>1984.17</v>
      </c>
      <c r="N84" s="6">
        <v>5.5</v>
      </c>
      <c r="O84" s="6">
        <v>0</v>
      </c>
      <c r="P84" s="6">
        <v>7.16</v>
      </c>
      <c r="Q84" s="6">
        <v>5.57</v>
      </c>
      <c r="R84" s="6">
        <v>35.6</v>
      </c>
      <c r="S84">
        <v>1</v>
      </c>
      <c r="T84">
        <v>1</v>
      </c>
      <c r="U84">
        <v>0</v>
      </c>
      <c r="V84" s="6">
        <v>34.78</v>
      </c>
      <c r="W84" s="6">
        <v>0.33</v>
      </c>
      <c r="X84" s="6">
        <v>0</v>
      </c>
      <c r="Y84" s="6">
        <v>164.33</v>
      </c>
      <c r="Z84" s="6">
        <v>119.22</v>
      </c>
      <c r="AA84" s="6">
        <v>2013.19</v>
      </c>
      <c r="AB84" s="6">
        <v>18.670000000000002</v>
      </c>
      <c r="AC84" s="6">
        <v>138.6</v>
      </c>
      <c r="AD84" s="6">
        <v>22.94</v>
      </c>
      <c r="AE84" s="6">
        <v>283.88</v>
      </c>
      <c r="AF84" s="35">
        <v>0.14660000000000001</v>
      </c>
      <c r="AG84" s="35">
        <v>0.249</v>
      </c>
      <c r="AH84">
        <v>1</v>
      </c>
      <c r="AI84">
        <v>1</v>
      </c>
      <c r="AJ84">
        <v>0</v>
      </c>
      <c r="AK84" s="35">
        <v>0.14960000000000001</v>
      </c>
      <c r="AL84" s="35">
        <v>0.24629999999999996</v>
      </c>
    </row>
    <row r="85" spans="1:38">
      <c r="A85" t="s">
        <v>789</v>
      </c>
      <c r="B85" t="s">
        <v>790</v>
      </c>
      <c r="C85" t="s">
        <v>1088</v>
      </c>
      <c r="D85" s="6">
        <v>0</v>
      </c>
      <c r="E85" s="6">
        <v>7.4</v>
      </c>
      <c r="F85" s="6">
        <v>2</v>
      </c>
      <c r="G85" s="6">
        <v>1</v>
      </c>
      <c r="H85" s="6">
        <v>0</v>
      </c>
      <c r="I85" s="6">
        <v>0</v>
      </c>
      <c r="J85" s="6">
        <v>10.4</v>
      </c>
      <c r="K85" s="6">
        <v>0</v>
      </c>
      <c r="L85" s="6">
        <v>0</v>
      </c>
      <c r="M85" s="6">
        <v>10.4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>
        <v>1</v>
      </c>
      <c r="T85">
        <v>1</v>
      </c>
      <c r="U85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10.4</v>
      </c>
      <c r="AB85" s="6">
        <v>17</v>
      </c>
      <c r="AC85" s="6">
        <v>115.55</v>
      </c>
      <c r="AD85" s="6">
        <v>19.13</v>
      </c>
      <c r="AE85" s="6">
        <v>0</v>
      </c>
      <c r="AF85" s="35">
        <v>0.22370000000000001</v>
      </c>
      <c r="AG85" s="35">
        <v>0</v>
      </c>
      <c r="AH85">
        <v>1</v>
      </c>
      <c r="AI85">
        <v>1</v>
      </c>
      <c r="AJ85">
        <v>0</v>
      </c>
      <c r="AK85" s="35">
        <v>0.32119999999999999</v>
      </c>
      <c r="AL85" s="35">
        <v>0</v>
      </c>
    </row>
    <row r="86" spans="1:38">
      <c r="A86" s="8" t="s">
        <v>693</v>
      </c>
      <c r="B86" t="s">
        <v>694</v>
      </c>
      <c r="C86" t="s">
        <v>1088</v>
      </c>
      <c r="D86" s="6">
        <v>20.6</v>
      </c>
      <c r="E86" s="6">
        <v>110.5</v>
      </c>
      <c r="F86" s="6">
        <v>18.100000000000001</v>
      </c>
      <c r="G86" s="6">
        <v>55.8</v>
      </c>
      <c r="H86" s="6">
        <v>44.36</v>
      </c>
      <c r="I86" s="6">
        <v>85.47</v>
      </c>
      <c r="J86" s="6">
        <v>314.23</v>
      </c>
      <c r="K86" s="6">
        <v>3.82</v>
      </c>
      <c r="L86" s="6">
        <v>0.11</v>
      </c>
      <c r="M86" s="6">
        <v>318.16000000000003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>
        <v>1</v>
      </c>
      <c r="T86">
        <v>1</v>
      </c>
      <c r="U86">
        <v>0.02</v>
      </c>
      <c r="V86" s="6">
        <v>0.22</v>
      </c>
      <c r="W86" s="6">
        <v>3.33</v>
      </c>
      <c r="X86" s="6">
        <v>0</v>
      </c>
      <c r="Y86" s="6">
        <v>21.56</v>
      </c>
      <c r="Z86" s="6">
        <v>30.11</v>
      </c>
      <c r="AA86" s="6">
        <v>338.76</v>
      </c>
      <c r="AB86" s="6">
        <v>17.18</v>
      </c>
      <c r="AC86" s="6">
        <v>121.11</v>
      </c>
      <c r="AD86" s="6">
        <v>20.05</v>
      </c>
      <c r="AE86" s="6">
        <v>55</v>
      </c>
      <c r="AF86" s="35">
        <v>0.26469999999999999</v>
      </c>
      <c r="AG86" s="35">
        <v>0.2379</v>
      </c>
      <c r="AH86">
        <v>1</v>
      </c>
      <c r="AI86">
        <v>1</v>
      </c>
      <c r="AJ86">
        <v>1.0000000000000009E-2</v>
      </c>
      <c r="AK86" s="35">
        <v>0.25659999999999999</v>
      </c>
      <c r="AL86" s="35">
        <v>0.25160000000000005</v>
      </c>
    </row>
    <row r="87" spans="1:38">
      <c r="A87" t="s">
        <v>847</v>
      </c>
      <c r="B87" t="s">
        <v>848</v>
      </c>
      <c r="C87" t="s">
        <v>1088</v>
      </c>
      <c r="D87" s="6">
        <v>33.1</v>
      </c>
      <c r="E87" s="6">
        <v>621.20000000000005</v>
      </c>
      <c r="F87" s="6">
        <v>145.4</v>
      </c>
      <c r="G87" s="6">
        <v>361.39</v>
      </c>
      <c r="H87" s="6">
        <v>392.96</v>
      </c>
      <c r="I87" s="6">
        <v>715.54</v>
      </c>
      <c r="J87" s="6">
        <v>2236.4899999999998</v>
      </c>
      <c r="K87" s="6">
        <v>36.86</v>
      </c>
      <c r="L87" s="6">
        <v>2.2599999999999998</v>
      </c>
      <c r="M87" s="6">
        <v>2314.54</v>
      </c>
      <c r="N87" s="6">
        <v>1.6</v>
      </c>
      <c r="O87" s="6">
        <v>0</v>
      </c>
      <c r="P87" s="6">
        <v>0</v>
      </c>
      <c r="Q87" s="6">
        <v>0</v>
      </c>
      <c r="R87" s="6">
        <v>37.33</v>
      </c>
      <c r="S87">
        <v>1</v>
      </c>
      <c r="T87">
        <v>1</v>
      </c>
      <c r="U87">
        <v>0</v>
      </c>
      <c r="V87" s="6">
        <v>34.11</v>
      </c>
      <c r="W87" s="6">
        <v>1.33</v>
      </c>
      <c r="X87" s="6">
        <v>2.44</v>
      </c>
      <c r="Y87" s="6">
        <v>160.33000000000001</v>
      </c>
      <c r="Z87" s="6">
        <v>114.67</v>
      </c>
      <c r="AA87" s="6">
        <v>2373.1799999999998</v>
      </c>
      <c r="AB87" s="6">
        <v>17</v>
      </c>
      <c r="AC87" s="6">
        <v>150.62</v>
      </c>
      <c r="AD87" s="6">
        <v>24.93</v>
      </c>
      <c r="AE87" s="6">
        <v>278.77</v>
      </c>
      <c r="AF87" s="35">
        <v>0.14949999999999999</v>
      </c>
      <c r="AG87" s="35">
        <v>0.2697</v>
      </c>
      <c r="AH87">
        <v>1</v>
      </c>
      <c r="AI87">
        <v>1</v>
      </c>
      <c r="AJ87">
        <v>0</v>
      </c>
      <c r="AK87" s="35">
        <v>0.14180000000000001</v>
      </c>
      <c r="AL87" s="35">
        <v>0.24719999999999998</v>
      </c>
    </row>
    <row r="88" spans="1:38">
      <c r="A88" s="8" t="s">
        <v>713</v>
      </c>
      <c r="B88" t="s">
        <v>714</v>
      </c>
      <c r="C88" t="s">
        <v>1088</v>
      </c>
      <c r="D88" s="6">
        <v>48.4</v>
      </c>
      <c r="E88" s="6">
        <v>899.72</v>
      </c>
      <c r="F88" s="6">
        <v>220.97</v>
      </c>
      <c r="G88" s="6">
        <v>471.63</v>
      </c>
      <c r="H88" s="6">
        <v>519.67999999999995</v>
      </c>
      <c r="I88" s="6">
        <v>883.5</v>
      </c>
      <c r="J88" s="6">
        <v>2995.5</v>
      </c>
      <c r="K88" s="6">
        <v>41.87</v>
      </c>
      <c r="L88" s="6">
        <v>4.6500000000000004</v>
      </c>
      <c r="M88" s="6">
        <v>3164.95</v>
      </c>
      <c r="N88" s="6">
        <v>14.9</v>
      </c>
      <c r="O88" s="6">
        <v>0.3</v>
      </c>
      <c r="P88" s="6">
        <v>11.97</v>
      </c>
      <c r="Q88" s="6">
        <v>23.92</v>
      </c>
      <c r="R88" s="6">
        <v>71.84</v>
      </c>
      <c r="S88">
        <v>1</v>
      </c>
      <c r="T88">
        <v>1</v>
      </c>
      <c r="U88">
        <v>0</v>
      </c>
      <c r="V88" s="6">
        <v>30.78</v>
      </c>
      <c r="W88" s="6">
        <v>1.78</v>
      </c>
      <c r="X88" s="6">
        <v>2.2200000000000002</v>
      </c>
      <c r="Y88" s="6">
        <v>278.56</v>
      </c>
      <c r="Z88" s="6">
        <v>121.33</v>
      </c>
      <c r="AA88" s="6">
        <v>3221.6</v>
      </c>
      <c r="AB88" s="6">
        <v>17</v>
      </c>
      <c r="AC88" s="6">
        <v>137.72999999999999</v>
      </c>
      <c r="AD88" s="6">
        <v>22.8</v>
      </c>
      <c r="AE88" s="6">
        <v>403.89</v>
      </c>
      <c r="AF88" s="35">
        <v>0.1515</v>
      </c>
      <c r="AG88" s="35">
        <v>0.22020000000000001</v>
      </c>
      <c r="AH88">
        <v>1</v>
      </c>
      <c r="AI88">
        <v>1</v>
      </c>
      <c r="AJ88">
        <v>0</v>
      </c>
      <c r="AK88" s="35">
        <v>0.1643</v>
      </c>
      <c r="AL88" s="35">
        <v>0.22529999999999994</v>
      </c>
    </row>
    <row r="89" spans="1:38">
      <c r="A89" s="8" t="s">
        <v>855</v>
      </c>
      <c r="B89" t="s">
        <v>856</v>
      </c>
      <c r="C89" t="s">
        <v>1088</v>
      </c>
      <c r="D89" s="6">
        <v>0</v>
      </c>
      <c r="E89" s="6">
        <v>255.3</v>
      </c>
      <c r="F89" s="6">
        <v>62.7</v>
      </c>
      <c r="G89" s="6">
        <v>141.6</v>
      </c>
      <c r="H89" s="6">
        <v>154.02000000000001</v>
      </c>
      <c r="I89" s="6">
        <v>272.22000000000003</v>
      </c>
      <c r="J89" s="6">
        <v>885.84</v>
      </c>
      <c r="K89" s="6">
        <v>26.11</v>
      </c>
      <c r="L89" s="6">
        <v>1.51</v>
      </c>
      <c r="M89" s="6">
        <v>913.46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>
        <v>1</v>
      </c>
      <c r="T89">
        <v>1</v>
      </c>
      <c r="U89">
        <v>0</v>
      </c>
      <c r="V89" s="6">
        <v>10.56</v>
      </c>
      <c r="W89" s="6">
        <v>0</v>
      </c>
      <c r="X89" s="6">
        <v>0</v>
      </c>
      <c r="Y89" s="6">
        <v>46.33</v>
      </c>
      <c r="Z89" s="6">
        <v>80.56</v>
      </c>
      <c r="AA89" s="6">
        <v>917.57</v>
      </c>
      <c r="AB89" s="6">
        <v>17.760000000000002</v>
      </c>
      <c r="AC89" s="6">
        <v>134.5</v>
      </c>
      <c r="AD89" s="6">
        <v>22.26</v>
      </c>
      <c r="AE89" s="6">
        <v>126.89</v>
      </c>
      <c r="AF89" s="35">
        <v>0.16</v>
      </c>
      <c r="AG89" s="35">
        <v>0.31559999999999999</v>
      </c>
      <c r="AH89">
        <v>1</v>
      </c>
      <c r="AI89">
        <v>1</v>
      </c>
      <c r="AJ89">
        <v>0</v>
      </c>
      <c r="AK89" s="35">
        <v>0.1573</v>
      </c>
      <c r="AL89" s="35">
        <v>0.32650000000000001</v>
      </c>
    </row>
    <row r="90" spans="1:38">
      <c r="A90" t="s">
        <v>408</v>
      </c>
      <c r="B90" t="s">
        <v>409</v>
      </c>
      <c r="C90" t="s">
        <v>1088</v>
      </c>
      <c r="D90" s="6">
        <v>0</v>
      </c>
      <c r="E90" s="6">
        <v>41.5</v>
      </c>
      <c r="F90" s="6">
        <v>14.6</v>
      </c>
      <c r="G90" s="6">
        <v>29.7</v>
      </c>
      <c r="H90" s="6">
        <v>37.5</v>
      </c>
      <c r="I90" s="6">
        <v>75.05</v>
      </c>
      <c r="J90" s="6">
        <v>198.35</v>
      </c>
      <c r="K90" s="6">
        <v>3.02</v>
      </c>
      <c r="L90" s="6">
        <v>0.04</v>
      </c>
      <c r="M90" s="6">
        <v>201.41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>
        <v>1</v>
      </c>
      <c r="T90">
        <v>1</v>
      </c>
      <c r="U90">
        <v>0</v>
      </c>
      <c r="V90" s="6">
        <v>2.67</v>
      </c>
      <c r="W90" s="6">
        <v>0</v>
      </c>
      <c r="X90" s="6">
        <v>0</v>
      </c>
      <c r="Y90" s="6">
        <v>13.67</v>
      </c>
      <c r="Z90" s="6">
        <v>14.33</v>
      </c>
      <c r="AA90" s="6">
        <v>201.95</v>
      </c>
      <c r="AB90" s="6">
        <v>17</v>
      </c>
      <c r="AC90" s="6">
        <v>122.22</v>
      </c>
      <c r="AD90" s="6">
        <v>20.23</v>
      </c>
      <c r="AE90" s="6">
        <v>28</v>
      </c>
      <c r="AF90" s="35">
        <v>0.19689999999999999</v>
      </c>
      <c r="AG90" s="35">
        <v>0.26119999999999999</v>
      </c>
      <c r="AH90">
        <v>1</v>
      </c>
      <c r="AI90">
        <v>1</v>
      </c>
      <c r="AJ90">
        <v>0</v>
      </c>
      <c r="AK90" s="35">
        <v>0.20180000000000001</v>
      </c>
      <c r="AL90" s="35">
        <v>0.22289999999999999</v>
      </c>
    </row>
    <row r="91" spans="1:38">
      <c r="A91" t="s">
        <v>771</v>
      </c>
      <c r="B91" t="s">
        <v>772</v>
      </c>
      <c r="C91" t="s">
        <v>1088</v>
      </c>
      <c r="D91" s="6">
        <v>36.200000000000003</v>
      </c>
      <c r="E91" s="6">
        <v>148.82</v>
      </c>
      <c r="F91" s="6">
        <v>41.22</v>
      </c>
      <c r="G91" s="6">
        <v>77.510000000000005</v>
      </c>
      <c r="H91" s="6">
        <v>91.55</v>
      </c>
      <c r="I91" s="6">
        <v>107.92</v>
      </c>
      <c r="J91" s="6">
        <v>467.02</v>
      </c>
      <c r="K91" s="6">
        <v>13.68</v>
      </c>
      <c r="L91" s="6">
        <v>1.45</v>
      </c>
      <c r="M91" s="6">
        <v>500.55</v>
      </c>
      <c r="N91" s="6">
        <v>18.399999999999999</v>
      </c>
      <c r="O91" s="6">
        <v>0</v>
      </c>
      <c r="P91" s="6">
        <v>0</v>
      </c>
      <c r="Q91" s="6">
        <v>0</v>
      </c>
      <c r="R91" s="6">
        <v>0</v>
      </c>
      <c r="S91">
        <v>1</v>
      </c>
      <c r="T91">
        <v>1</v>
      </c>
      <c r="U91">
        <v>0</v>
      </c>
      <c r="V91" s="6">
        <v>1.89</v>
      </c>
      <c r="W91" s="6">
        <v>3</v>
      </c>
      <c r="X91" s="6">
        <v>1.22</v>
      </c>
      <c r="Y91" s="6">
        <v>59.78</v>
      </c>
      <c r="Z91" s="6">
        <v>38.11</v>
      </c>
      <c r="AA91" s="6">
        <v>537.82000000000005</v>
      </c>
      <c r="AB91" s="6">
        <v>17.440000000000001</v>
      </c>
      <c r="AC91" s="6">
        <v>129.94</v>
      </c>
      <c r="AD91" s="6">
        <v>21.51</v>
      </c>
      <c r="AE91" s="6">
        <v>102.11</v>
      </c>
      <c r="AF91" s="35">
        <v>0.2291</v>
      </c>
      <c r="AG91" s="35">
        <v>0.23630000000000001</v>
      </c>
      <c r="AH91">
        <v>1</v>
      </c>
      <c r="AI91">
        <v>1</v>
      </c>
      <c r="AJ91">
        <v>0</v>
      </c>
      <c r="AK91" s="35">
        <v>0.2243</v>
      </c>
      <c r="AL91" s="35">
        <v>0.25949999999999995</v>
      </c>
    </row>
    <row r="92" spans="1:38">
      <c r="A92" t="s">
        <v>741</v>
      </c>
      <c r="B92" t="s">
        <v>742</v>
      </c>
      <c r="C92" t="s">
        <v>1088</v>
      </c>
      <c r="D92" s="6">
        <v>33.799999999999997</v>
      </c>
      <c r="E92" s="6">
        <v>457.51</v>
      </c>
      <c r="F92" s="6">
        <v>109.8</v>
      </c>
      <c r="G92" s="6">
        <v>274.14999999999998</v>
      </c>
      <c r="H92" s="6">
        <v>279.16000000000003</v>
      </c>
      <c r="I92" s="6">
        <v>512.80999999999995</v>
      </c>
      <c r="J92" s="6">
        <v>1633.43</v>
      </c>
      <c r="K92" s="6">
        <v>32.35</v>
      </c>
      <c r="L92" s="6">
        <v>2.66</v>
      </c>
      <c r="M92" s="6">
        <v>1678.04</v>
      </c>
      <c r="N92" s="6">
        <v>9.6</v>
      </c>
      <c r="O92" s="6">
        <v>0</v>
      </c>
      <c r="P92" s="6">
        <v>0</v>
      </c>
      <c r="Q92" s="6">
        <v>0</v>
      </c>
      <c r="R92" s="6">
        <v>0</v>
      </c>
      <c r="S92">
        <v>1</v>
      </c>
      <c r="T92">
        <v>1</v>
      </c>
      <c r="U92">
        <v>0</v>
      </c>
      <c r="V92" s="6">
        <v>19.22</v>
      </c>
      <c r="W92" s="6">
        <v>1.78</v>
      </c>
      <c r="X92" s="6">
        <v>0.89</v>
      </c>
      <c r="Y92" s="6">
        <v>140.33000000000001</v>
      </c>
      <c r="Z92" s="6">
        <v>56</v>
      </c>
      <c r="AA92" s="6">
        <v>1727.06</v>
      </c>
      <c r="AB92" s="6">
        <v>17</v>
      </c>
      <c r="AC92" s="6">
        <v>133.72</v>
      </c>
      <c r="AD92" s="6">
        <v>22.13</v>
      </c>
      <c r="AE92" s="6">
        <v>199</v>
      </c>
      <c r="AF92" s="35">
        <v>0.15890000000000001</v>
      </c>
      <c r="AG92" s="35">
        <v>0.2079</v>
      </c>
      <c r="AH92">
        <v>1</v>
      </c>
      <c r="AI92">
        <v>1</v>
      </c>
      <c r="AJ92">
        <v>0</v>
      </c>
      <c r="AK92" s="35">
        <v>0.16189999999999999</v>
      </c>
      <c r="AL92" s="35">
        <v>0.20279999999999998</v>
      </c>
    </row>
    <row r="93" spans="1:38">
      <c r="A93" t="s">
        <v>600</v>
      </c>
      <c r="B93" t="s">
        <v>601</v>
      </c>
      <c r="C93" t="s">
        <v>1088</v>
      </c>
      <c r="D93" s="6">
        <v>14.6</v>
      </c>
      <c r="E93" s="6">
        <v>2511.02</v>
      </c>
      <c r="F93" s="6">
        <v>661.29</v>
      </c>
      <c r="G93" s="6">
        <v>1280.1300000000001</v>
      </c>
      <c r="H93" s="6">
        <v>1252.1500000000001</v>
      </c>
      <c r="I93" s="6">
        <v>2242.92</v>
      </c>
      <c r="J93" s="6">
        <v>7947.51</v>
      </c>
      <c r="K93" s="6">
        <v>217.74</v>
      </c>
      <c r="L93" s="6">
        <v>18.79</v>
      </c>
      <c r="M93" s="6">
        <v>8576.41</v>
      </c>
      <c r="N93" s="6">
        <v>66.55</v>
      </c>
      <c r="O93" s="6">
        <v>0</v>
      </c>
      <c r="P93" s="6">
        <v>8.8000000000000007</v>
      </c>
      <c r="Q93" s="6">
        <v>39.49</v>
      </c>
      <c r="R93" s="6">
        <v>277.52999999999997</v>
      </c>
      <c r="S93">
        <v>1.0149999999999999</v>
      </c>
      <c r="T93">
        <v>1.0149999999999999</v>
      </c>
      <c r="U93">
        <v>0</v>
      </c>
      <c r="V93" s="6">
        <v>143</v>
      </c>
      <c r="W93" s="6">
        <v>0</v>
      </c>
      <c r="X93" s="6">
        <v>0</v>
      </c>
      <c r="Y93" s="6">
        <v>757</v>
      </c>
      <c r="Z93" s="6">
        <v>541.78</v>
      </c>
      <c r="AA93" s="6">
        <v>8494.6</v>
      </c>
      <c r="AB93" s="6">
        <v>17</v>
      </c>
      <c r="AC93" s="6">
        <v>129.6</v>
      </c>
      <c r="AD93" s="6">
        <v>21.45</v>
      </c>
      <c r="AE93" s="6">
        <v>1298.78</v>
      </c>
      <c r="AF93" s="35">
        <v>0.1615</v>
      </c>
      <c r="AG93" s="35">
        <v>0.26090000000000002</v>
      </c>
      <c r="AH93">
        <v>1</v>
      </c>
      <c r="AI93">
        <v>1</v>
      </c>
      <c r="AJ93">
        <v>0</v>
      </c>
      <c r="AK93" s="35">
        <v>0.16200000000000001</v>
      </c>
      <c r="AL93" s="35">
        <v>0.25060000000000004</v>
      </c>
    </row>
    <row r="94" spans="1:38">
      <c r="A94" t="s">
        <v>454</v>
      </c>
      <c r="B94" t="s">
        <v>455</v>
      </c>
      <c r="C94" t="s">
        <v>1088</v>
      </c>
      <c r="D94" s="6">
        <v>0</v>
      </c>
      <c r="E94" s="6">
        <v>744.2</v>
      </c>
      <c r="F94" s="6">
        <v>208.8</v>
      </c>
      <c r="G94" s="6">
        <v>389.74</v>
      </c>
      <c r="H94" s="6">
        <v>447.84</v>
      </c>
      <c r="I94" s="6">
        <v>817.49</v>
      </c>
      <c r="J94" s="6">
        <v>2608.0700000000002</v>
      </c>
      <c r="K94" s="6">
        <v>49.67</v>
      </c>
      <c r="L94" s="6">
        <v>4.63</v>
      </c>
      <c r="M94" s="6">
        <v>2701.15</v>
      </c>
      <c r="N94" s="6">
        <v>32.6</v>
      </c>
      <c r="O94" s="6">
        <v>0</v>
      </c>
      <c r="P94" s="6">
        <v>0</v>
      </c>
      <c r="Q94" s="6">
        <v>0</v>
      </c>
      <c r="R94" s="6">
        <v>6.18</v>
      </c>
      <c r="S94">
        <v>1</v>
      </c>
      <c r="T94">
        <v>1</v>
      </c>
      <c r="U94">
        <v>0.04</v>
      </c>
      <c r="V94" s="6">
        <v>31.22</v>
      </c>
      <c r="W94" s="6">
        <v>0</v>
      </c>
      <c r="X94" s="6">
        <v>0</v>
      </c>
      <c r="Y94" s="6">
        <v>230.22</v>
      </c>
      <c r="Z94" s="6">
        <v>93.89</v>
      </c>
      <c r="AA94" s="6">
        <v>2723.2</v>
      </c>
      <c r="AB94" s="6">
        <v>17</v>
      </c>
      <c r="AC94" s="6">
        <v>126.45</v>
      </c>
      <c r="AD94" s="6">
        <v>20.93</v>
      </c>
      <c r="AE94" s="6">
        <v>324.11</v>
      </c>
      <c r="AF94" s="35">
        <v>0.1711</v>
      </c>
      <c r="AG94" s="35">
        <v>0.24590000000000001</v>
      </c>
      <c r="AH94">
        <v>1</v>
      </c>
      <c r="AI94">
        <v>1</v>
      </c>
      <c r="AJ94">
        <v>4.0000000000000036E-2</v>
      </c>
      <c r="AK94" s="35">
        <v>0.15110000000000001</v>
      </c>
      <c r="AL94" s="35">
        <v>0.23740000000000006</v>
      </c>
    </row>
    <row r="95" spans="1:38">
      <c r="A95" t="s">
        <v>881</v>
      </c>
      <c r="B95" t="s">
        <v>882</v>
      </c>
      <c r="C95" t="s">
        <v>1088</v>
      </c>
      <c r="D95" s="6">
        <v>4.9000000000000004</v>
      </c>
      <c r="E95" s="6">
        <v>31.4</v>
      </c>
      <c r="F95" s="6">
        <v>7.8</v>
      </c>
      <c r="G95" s="6">
        <v>17.399999999999999</v>
      </c>
      <c r="H95" s="6">
        <v>13.4</v>
      </c>
      <c r="I95" s="6">
        <v>38.380000000000003</v>
      </c>
      <c r="J95" s="6">
        <v>108.38</v>
      </c>
      <c r="K95" s="6">
        <v>3.24</v>
      </c>
      <c r="L95" s="6">
        <v>0.44</v>
      </c>
      <c r="M95" s="6">
        <v>112.06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>
        <v>1</v>
      </c>
      <c r="T95">
        <v>1</v>
      </c>
      <c r="U95">
        <v>0.02</v>
      </c>
      <c r="V95" s="6">
        <v>0</v>
      </c>
      <c r="W95" s="6">
        <v>0.22</v>
      </c>
      <c r="X95" s="6">
        <v>0</v>
      </c>
      <c r="Y95" s="6">
        <v>15.22</v>
      </c>
      <c r="Z95" s="6">
        <v>1.78</v>
      </c>
      <c r="AA95" s="6">
        <v>118.58</v>
      </c>
      <c r="AB95" s="6">
        <v>17</v>
      </c>
      <c r="AC95" s="6">
        <v>118.55</v>
      </c>
      <c r="AD95" s="6">
        <v>19.62</v>
      </c>
      <c r="AE95" s="6">
        <v>17.22</v>
      </c>
      <c r="AF95" s="35">
        <v>0.29139999999999999</v>
      </c>
      <c r="AG95" s="35">
        <v>0.16170000000000001</v>
      </c>
      <c r="AH95">
        <v>1</v>
      </c>
      <c r="AI95">
        <v>1</v>
      </c>
      <c r="AJ95">
        <v>1.0000000000000009E-2</v>
      </c>
      <c r="AK95" s="35">
        <v>0.2601</v>
      </c>
      <c r="AL95" s="35">
        <v>0.16559999999999997</v>
      </c>
    </row>
    <row r="96" spans="1:38">
      <c r="A96" t="s">
        <v>482</v>
      </c>
      <c r="B96" t="s">
        <v>483</v>
      </c>
      <c r="C96" t="s">
        <v>1088</v>
      </c>
      <c r="D96" s="6">
        <v>0</v>
      </c>
      <c r="E96" s="6">
        <v>191.48</v>
      </c>
      <c r="F96" s="6">
        <v>40.799999999999997</v>
      </c>
      <c r="G96" s="6">
        <v>95.62</v>
      </c>
      <c r="H96" s="6">
        <v>102.79</v>
      </c>
      <c r="I96" s="6">
        <v>217.34</v>
      </c>
      <c r="J96" s="6">
        <v>648.03</v>
      </c>
      <c r="K96" s="6">
        <v>11.93</v>
      </c>
      <c r="L96" s="6">
        <v>1.1200000000000001</v>
      </c>
      <c r="M96" s="6">
        <v>701.74</v>
      </c>
      <c r="N96" s="6">
        <v>0</v>
      </c>
      <c r="O96" s="6">
        <v>0</v>
      </c>
      <c r="P96" s="6">
        <v>0</v>
      </c>
      <c r="Q96" s="6">
        <v>0</v>
      </c>
      <c r="R96" s="6">
        <v>40.659999999999997</v>
      </c>
      <c r="S96">
        <v>1</v>
      </c>
      <c r="T96">
        <v>1</v>
      </c>
      <c r="U96">
        <v>0</v>
      </c>
      <c r="V96" s="6">
        <v>3.22</v>
      </c>
      <c r="W96" s="6">
        <v>0</v>
      </c>
      <c r="X96" s="6">
        <v>0</v>
      </c>
      <c r="Y96" s="6">
        <v>60.56</v>
      </c>
      <c r="Z96" s="6">
        <v>40.89</v>
      </c>
      <c r="AA96" s="6">
        <v>701.73</v>
      </c>
      <c r="AB96" s="6">
        <v>17</v>
      </c>
      <c r="AC96" s="6">
        <v>137.57</v>
      </c>
      <c r="AD96" s="6">
        <v>22.77</v>
      </c>
      <c r="AE96" s="6">
        <v>101.45</v>
      </c>
      <c r="AF96" s="35">
        <v>0.22620000000000001</v>
      </c>
      <c r="AG96" s="35">
        <v>0.21110000000000001</v>
      </c>
      <c r="AH96">
        <v>1</v>
      </c>
      <c r="AI96">
        <v>1</v>
      </c>
      <c r="AJ96">
        <v>0</v>
      </c>
      <c r="AK96" s="35">
        <v>0.2369</v>
      </c>
      <c r="AL96" s="35">
        <v>0.25049999999999994</v>
      </c>
    </row>
    <row r="97" spans="1:38">
      <c r="A97" t="s">
        <v>315</v>
      </c>
      <c r="B97" t="s">
        <v>316</v>
      </c>
      <c r="C97" t="s">
        <v>1088</v>
      </c>
      <c r="D97" s="6">
        <v>0</v>
      </c>
      <c r="E97" s="6">
        <v>810.49</v>
      </c>
      <c r="F97" s="6">
        <v>209.2</v>
      </c>
      <c r="G97" s="6">
        <v>463.8</v>
      </c>
      <c r="H97" s="6">
        <v>476.68</v>
      </c>
      <c r="I97" s="6">
        <v>935.49</v>
      </c>
      <c r="J97" s="6">
        <v>2895.66</v>
      </c>
      <c r="K97" s="6">
        <v>94.47</v>
      </c>
      <c r="L97" s="6">
        <v>9.8800000000000008</v>
      </c>
      <c r="M97" s="6">
        <v>3120.84</v>
      </c>
      <c r="N97" s="6">
        <v>44.77</v>
      </c>
      <c r="O97" s="6">
        <v>0</v>
      </c>
      <c r="P97" s="6">
        <v>12.48</v>
      </c>
      <c r="Q97" s="6">
        <v>24.3</v>
      </c>
      <c r="R97" s="6">
        <v>39.28</v>
      </c>
      <c r="S97">
        <v>1</v>
      </c>
      <c r="T97">
        <v>1</v>
      </c>
      <c r="U97">
        <v>0</v>
      </c>
      <c r="V97" s="6">
        <v>65.33</v>
      </c>
      <c r="W97" s="6">
        <v>0</v>
      </c>
      <c r="X97" s="6">
        <v>0</v>
      </c>
      <c r="Y97" s="6">
        <v>301.33</v>
      </c>
      <c r="Z97" s="6">
        <v>254.33</v>
      </c>
      <c r="AA97" s="6">
        <v>3107.85</v>
      </c>
      <c r="AB97" s="6">
        <v>17</v>
      </c>
      <c r="AC97" s="6">
        <v>132.78</v>
      </c>
      <c r="AD97" s="6">
        <v>21.98</v>
      </c>
      <c r="AE97" s="6">
        <v>555.66</v>
      </c>
      <c r="AF97" s="35">
        <v>0.1603</v>
      </c>
      <c r="AG97" s="35">
        <v>0.18490000000000001</v>
      </c>
      <c r="AH97">
        <v>1</v>
      </c>
      <c r="AI97">
        <v>1</v>
      </c>
      <c r="AJ97">
        <v>0</v>
      </c>
      <c r="AK97" s="35">
        <v>0.15</v>
      </c>
      <c r="AL97" s="35">
        <v>0.26870000000000005</v>
      </c>
    </row>
    <row r="98" spans="1:38">
      <c r="A98" t="s">
        <v>508</v>
      </c>
      <c r="B98" t="s">
        <v>509</v>
      </c>
      <c r="C98" t="s">
        <v>1088</v>
      </c>
      <c r="D98" s="6">
        <v>13.5</v>
      </c>
      <c r="E98" s="6">
        <v>427.1</v>
      </c>
      <c r="F98" s="6">
        <v>113.9</v>
      </c>
      <c r="G98" s="6">
        <v>241.02</v>
      </c>
      <c r="H98" s="6">
        <v>237.4</v>
      </c>
      <c r="I98" s="6">
        <v>405.37</v>
      </c>
      <c r="J98" s="6">
        <v>1424.79</v>
      </c>
      <c r="K98" s="6">
        <v>31.13</v>
      </c>
      <c r="L98" s="6">
        <v>1.91</v>
      </c>
      <c r="M98" s="6">
        <v>1575.41</v>
      </c>
      <c r="N98" s="6">
        <v>19.100000000000001</v>
      </c>
      <c r="O98" s="6">
        <v>0</v>
      </c>
      <c r="P98" s="6">
        <v>9.68</v>
      </c>
      <c r="Q98" s="6">
        <v>27.02</v>
      </c>
      <c r="R98" s="6">
        <v>61.78</v>
      </c>
      <c r="S98">
        <v>1</v>
      </c>
      <c r="T98">
        <v>1</v>
      </c>
      <c r="U98">
        <v>0</v>
      </c>
      <c r="V98" s="6">
        <v>14</v>
      </c>
      <c r="W98" s="6">
        <v>0.78</v>
      </c>
      <c r="X98" s="6">
        <v>0</v>
      </c>
      <c r="Y98" s="6">
        <v>198.67</v>
      </c>
      <c r="Z98" s="6">
        <v>74.78</v>
      </c>
      <c r="AA98" s="6">
        <v>1594.52</v>
      </c>
      <c r="AB98" s="6">
        <v>17</v>
      </c>
      <c r="AC98" s="6">
        <v>128.72</v>
      </c>
      <c r="AD98" s="6">
        <v>21.31</v>
      </c>
      <c r="AE98" s="6">
        <v>274.23</v>
      </c>
      <c r="AF98" s="35">
        <v>0.1817</v>
      </c>
      <c r="AG98" s="35">
        <v>0.2185</v>
      </c>
      <c r="AH98">
        <v>1</v>
      </c>
      <c r="AI98">
        <v>1</v>
      </c>
      <c r="AJ98">
        <v>0</v>
      </c>
      <c r="AK98" s="35">
        <v>0.19170000000000001</v>
      </c>
      <c r="AL98" s="35">
        <v>0.20040000000000002</v>
      </c>
    </row>
    <row r="99" spans="1:38">
      <c r="A99" t="s">
        <v>627</v>
      </c>
      <c r="B99" t="s">
        <v>628</v>
      </c>
      <c r="C99" t="s">
        <v>1088</v>
      </c>
      <c r="D99" s="6">
        <v>15.6</v>
      </c>
      <c r="E99" s="6">
        <v>183.8</v>
      </c>
      <c r="F99" s="6">
        <v>44.9</v>
      </c>
      <c r="G99" s="6">
        <v>108.3</v>
      </c>
      <c r="H99" s="6">
        <v>93.89</v>
      </c>
      <c r="I99" s="6">
        <v>171.07</v>
      </c>
      <c r="J99" s="6">
        <v>601.96</v>
      </c>
      <c r="K99" s="6">
        <v>15</v>
      </c>
      <c r="L99" s="6">
        <v>2.78</v>
      </c>
      <c r="M99" s="6">
        <v>630.64</v>
      </c>
      <c r="N99" s="6">
        <v>2.6</v>
      </c>
      <c r="O99" s="6">
        <v>0</v>
      </c>
      <c r="P99" s="6">
        <v>0</v>
      </c>
      <c r="Q99" s="6">
        <v>2.2000000000000002</v>
      </c>
      <c r="R99" s="6">
        <v>6.1</v>
      </c>
      <c r="S99">
        <v>1</v>
      </c>
      <c r="T99">
        <v>1</v>
      </c>
      <c r="U99">
        <v>0</v>
      </c>
      <c r="V99" s="6">
        <v>4</v>
      </c>
      <c r="W99" s="6">
        <v>0</v>
      </c>
      <c r="X99" s="6">
        <v>0</v>
      </c>
      <c r="Y99" s="6">
        <v>73.22</v>
      </c>
      <c r="Z99" s="6">
        <v>24.11</v>
      </c>
      <c r="AA99" s="6">
        <v>646.25</v>
      </c>
      <c r="AB99" s="6">
        <v>17</v>
      </c>
      <c r="AC99" s="6">
        <v>126.97</v>
      </c>
      <c r="AD99" s="6">
        <v>21.02</v>
      </c>
      <c r="AE99" s="6">
        <v>97.33</v>
      </c>
      <c r="AF99" s="35">
        <v>0.1971</v>
      </c>
      <c r="AG99" s="35">
        <v>0.22559999999999999</v>
      </c>
      <c r="AH99">
        <v>1</v>
      </c>
      <c r="AI99">
        <v>1</v>
      </c>
      <c r="AJ99">
        <v>0</v>
      </c>
      <c r="AK99" s="35">
        <v>0.23350000000000001</v>
      </c>
      <c r="AL99" s="35">
        <v>0.20499999999999996</v>
      </c>
    </row>
    <row r="100" spans="1:38">
      <c r="A100" t="s">
        <v>580</v>
      </c>
      <c r="B100" t="s">
        <v>581</v>
      </c>
      <c r="C100" t="s">
        <v>1088</v>
      </c>
      <c r="D100" s="6">
        <v>0</v>
      </c>
      <c r="E100" s="6">
        <v>142.1</v>
      </c>
      <c r="F100" s="6">
        <v>34.299999999999997</v>
      </c>
      <c r="G100" s="6">
        <v>78.3</v>
      </c>
      <c r="H100" s="6">
        <v>64.25</v>
      </c>
      <c r="I100" s="6">
        <v>0</v>
      </c>
      <c r="J100" s="6">
        <v>318.95</v>
      </c>
      <c r="K100" s="6">
        <v>0</v>
      </c>
      <c r="L100" s="6">
        <v>0</v>
      </c>
      <c r="M100" s="6">
        <v>318.95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>
        <v>1</v>
      </c>
      <c r="T100">
        <v>1</v>
      </c>
      <c r="U100">
        <v>0</v>
      </c>
      <c r="V100" s="6">
        <v>6</v>
      </c>
      <c r="W100" s="6">
        <v>0</v>
      </c>
      <c r="X100" s="6">
        <v>0</v>
      </c>
      <c r="Y100" s="6">
        <v>47.67</v>
      </c>
      <c r="Z100" s="6">
        <v>13.78</v>
      </c>
      <c r="AA100" s="6">
        <v>318.95</v>
      </c>
      <c r="AB100" s="6">
        <v>17</v>
      </c>
      <c r="AC100" s="6">
        <v>133.12</v>
      </c>
      <c r="AD100" s="6">
        <v>22.03</v>
      </c>
      <c r="AE100" s="6">
        <v>61.45</v>
      </c>
      <c r="AF100" s="35">
        <v>0.22869999999999999</v>
      </c>
      <c r="AG100" s="35">
        <v>0.1772</v>
      </c>
      <c r="AH100">
        <v>1</v>
      </c>
      <c r="AI100">
        <v>1</v>
      </c>
      <c r="AJ100">
        <v>0</v>
      </c>
      <c r="AK100" s="35">
        <v>0.18690000000000001</v>
      </c>
      <c r="AL100" s="35">
        <v>0.17600000000000005</v>
      </c>
    </row>
    <row r="101" spans="1:38">
      <c r="A101" t="s">
        <v>596</v>
      </c>
      <c r="B101" t="s">
        <v>597</v>
      </c>
      <c r="C101" t="s">
        <v>1088</v>
      </c>
      <c r="D101" s="6">
        <v>51.85</v>
      </c>
      <c r="E101" s="6">
        <v>393.63</v>
      </c>
      <c r="F101" s="6">
        <v>86.7</v>
      </c>
      <c r="G101" s="6">
        <v>204.84</v>
      </c>
      <c r="H101" s="6">
        <v>246.7</v>
      </c>
      <c r="I101" s="6">
        <v>384.98</v>
      </c>
      <c r="J101" s="6">
        <v>1316.85</v>
      </c>
      <c r="K101" s="6">
        <v>69.86</v>
      </c>
      <c r="L101" s="6">
        <v>5.81</v>
      </c>
      <c r="M101" s="6">
        <v>1407.02</v>
      </c>
      <c r="N101" s="6">
        <v>14.5</v>
      </c>
      <c r="O101" s="6">
        <v>0</v>
      </c>
      <c r="P101" s="6">
        <v>0</v>
      </c>
      <c r="Q101" s="6">
        <v>0</v>
      </c>
      <c r="R101" s="6">
        <v>0</v>
      </c>
      <c r="S101">
        <v>1</v>
      </c>
      <c r="T101">
        <v>1</v>
      </c>
      <c r="U101">
        <v>0.04</v>
      </c>
      <c r="V101" s="6">
        <v>14.56</v>
      </c>
      <c r="W101" s="6">
        <v>18.440000000000001</v>
      </c>
      <c r="X101" s="6">
        <v>0</v>
      </c>
      <c r="Y101" s="6">
        <v>146.88999999999999</v>
      </c>
      <c r="Z101" s="6">
        <v>66.44</v>
      </c>
      <c r="AA101" s="6">
        <v>1465.63</v>
      </c>
      <c r="AB101" s="6">
        <v>17</v>
      </c>
      <c r="AC101" s="6">
        <v>126.3</v>
      </c>
      <c r="AD101" s="6">
        <v>20.9</v>
      </c>
      <c r="AE101" s="6">
        <v>234.77</v>
      </c>
      <c r="AF101" s="35">
        <v>0.1234</v>
      </c>
      <c r="AG101" s="35">
        <v>0.23699999999999999</v>
      </c>
      <c r="AH101">
        <v>1</v>
      </c>
      <c r="AI101">
        <v>1</v>
      </c>
      <c r="AJ101">
        <v>4.0000000000000036E-2</v>
      </c>
      <c r="AK101" s="35">
        <v>0.1236</v>
      </c>
      <c r="AL101" s="35">
        <v>0.23409999999999997</v>
      </c>
    </row>
    <row r="102" spans="1:38">
      <c r="A102" t="s">
        <v>446</v>
      </c>
      <c r="B102" t="s">
        <v>447</v>
      </c>
      <c r="C102" t="s">
        <v>1088</v>
      </c>
      <c r="D102" s="6">
        <v>11.1</v>
      </c>
      <c r="E102" s="6">
        <v>455.36</v>
      </c>
      <c r="F102" s="6">
        <v>102.2</v>
      </c>
      <c r="G102" s="6">
        <v>210.69</v>
      </c>
      <c r="H102" s="6">
        <v>247.2</v>
      </c>
      <c r="I102" s="6">
        <v>442.4</v>
      </c>
      <c r="J102" s="6">
        <v>1457.85</v>
      </c>
      <c r="K102" s="6">
        <v>50.64</v>
      </c>
      <c r="L102" s="6">
        <v>5.65</v>
      </c>
      <c r="M102" s="6">
        <v>1667.09</v>
      </c>
      <c r="N102" s="6">
        <v>54.1</v>
      </c>
      <c r="O102" s="6">
        <v>0</v>
      </c>
      <c r="P102" s="6">
        <v>18.04</v>
      </c>
      <c r="Q102" s="6">
        <v>16.09</v>
      </c>
      <c r="R102" s="6">
        <v>64.72</v>
      </c>
      <c r="S102">
        <v>1</v>
      </c>
      <c r="T102">
        <v>1</v>
      </c>
      <c r="U102">
        <v>0.02</v>
      </c>
      <c r="V102" s="6">
        <v>19.89</v>
      </c>
      <c r="W102" s="6">
        <v>0.89</v>
      </c>
      <c r="X102" s="6">
        <v>0</v>
      </c>
      <c r="Y102" s="6">
        <v>135.88999999999999</v>
      </c>
      <c r="Z102" s="6">
        <v>105.67</v>
      </c>
      <c r="AA102" s="6">
        <v>1684.47</v>
      </c>
      <c r="AB102" s="6">
        <v>17</v>
      </c>
      <c r="AC102" s="6">
        <v>120.37</v>
      </c>
      <c r="AD102" s="6">
        <v>19.920000000000002</v>
      </c>
      <c r="AE102" s="6">
        <v>242.34</v>
      </c>
      <c r="AF102" s="35">
        <v>0.1366</v>
      </c>
      <c r="AG102" s="35">
        <v>0.27629999999999999</v>
      </c>
      <c r="AH102">
        <v>1</v>
      </c>
      <c r="AI102">
        <v>1</v>
      </c>
      <c r="AJ102">
        <v>1.0000000000000009E-2</v>
      </c>
      <c r="AK102" s="35">
        <v>0.15359999999999999</v>
      </c>
      <c r="AL102" s="35">
        <v>0.25609999999999999</v>
      </c>
    </row>
    <row r="103" spans="1:38">
      <c r="A103" t="s">
        <v>811</v>
      </c>
      <c r="B103" t="s">
        <v>812</v>
      </c>
      <c r="C103" t="s">
        <v>1088</v>
      </c>
      <c r="D103" s="6">
        <v>0</v>
      </c>
      <c r="E103" s="6">
        <v>57.2</v>
      </c>
      <c r="F103" s="6">
        <v>5.0999999999999996</v>
      </c>
      <c r="G103" s="6">
        <v>27.2</v>
      </c>
      <c r="H103" s="6">
        <v>30</v>
      </c>
      <c r="I103" s="6">
        <v>60.61</v>
      </c>
      <c r="J103" s="6">
        <v>180.11</v>
      </c>
      <c r="K103" s="6">
        <v>3.67</v>
      </c>
      <c r="L103" s="6">
        <v>0.11</v>
      </c>
      <c r="M103" s="6">
        <v>184.49</v>
      </c>
      <c r="N103" s="6">
        <v>0.6</v>
      </c>
      <c r="O103" s="6">
        <v>0</v>
      </c>
      <c r="P103" s="6">
        <v>0</v>
      </c>
      <c r="Q103" s="6">
        <v>0</v>
      </c>
      <c r="R103" s="6">
        <v>0</v>
      </c>
      <c r="S103">
        <v>1</v>
      </c>
      <c r="T103">
        <v>1</v>
      </c>
      <c r="U103">
        <v>0</v>
      </c>
      <c r="V103" s="6">
        <v>1.1100000000000001</v>
      </c>
      <c r="W103" s="6">
        <v>0</v>
      </c>
      <c r="X103" s="6">
        <v>0</v>
      </c>
      <c r="Y103" s="6">
        <v>36.11</v>
      </c>
      <c r="Z103" s="6">
        <v>1</v>
      </c>
      <c r="AA103" s="6">
        <v>184.49</v>
      </c>
      <c r="AB103" s="6">
        <v>17</v>
      </c>
      <c r="AC103" s="6">
        <v>134.25</v>
      </c>
      <c r="AD103" s="6">
        <v>22.22</v>
      </c>
      <c r="AE103" s="6">
        <v>37.11</v>
      </c>
      <c r="AF103" s="35">
        <v>0.46100000000000002</v>
      </c>
      <c r="AG103" s="35">
        <v>0.1089</v>
      </c>
      <c r="AH103">
        <v>1</v>
      </c>
      <c r="AI103">
        <v>1</v>
      </c>
      <c r="AJ103">
        <v>0</v>
      </c>
      <c r="AK103" s="35">
        <v>0.32740000000000002</v>
      </c>
      <c r="AL103" s="35">
        <v>0.11370000000000002</v>
      </c>
    </row>
    <row r="104" spans="1:38">
      <c r="A104" t="s">
        <v>406</v>
      </c>
      <c r="B104" t="s">
        <v>407</v>
      </c>
      <c r="C104" t="s">
        <v>1088</v>
      </c>
      <c r="D104" s="6">
        <v>12.38</v>
      </c>
      <c r="E104" s="6">
        <v>105.5</v>
      </c>
      <c r="F104" s="6">
        <v>26.8</v>
      </c>
      <c r="G104" s="6">
        <v>36.799999999999997</v>
      </c>
      <c r="H104" s="6">
        <v>0</v>
      </c>
      <c r="I104" s="6">
        <v>0</v>
      </c>
      <c r="J104" s="6">
        <v>169.1</v>
      </c>
      <c r="K104" s="6">
        <v>0</v>
      </c>
      <c r="L104" s="6">
        <v>0</v>
      </c>
      <c r="M104" s="6">
        <v>169.1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>
        <v>1</v>
      </c>
      <c r="T104">
        <v>1</v>
      </c>
      <c r="U104">
        <v>0</v>
      </c>
      <c r="V104" s="6">
        <v>0</v>
      </c>
      <c r="W104" s="6">
        <v>3.33</v>
      </c>
      <c r="X104" s="6">
        <v>0.22</v>
      </c>
      <c r="Y104" s="6">
        <v>11.78</v>
      </c>
      <c r="Z104" s="6">
        <v>6</v>
      </c>
      <c r="AA104" s="6">
        <v>181.48</v>
      </c>
      <c r="AB104" s="6">
        <v>17</v>
      </c>
      <c r="AC104" s="6">
        <v>127.13</v>
      </c>
      <c r="AD104" s="6">
        <v>21.04</v>
      </c>
      <c r="AE104" s="6">
        <v>21.33</v>
      </c>
      <c r="AF104" s="35">
        <v>0.27679999999999999</v>
      </c>
      <c r="AG104" s="35">
        <v>0.3</v>
      </c>
      <c r="AH104">
        <v>1</v>
      </c>
      <c r="AI104">
        <v>1</v>
      </c>
      <c r="AJ104">
        <v>0</v>
      </c>
      <c r="AK104" s="35">
        <v>0.25059999999999999</v>
      </c>
      <c r="AL104" s="35">
        <v>0.26880000000000004</v>
      </c>
    </row>
    <row r="105" spans="1:38">
      <c r="A105" t="s">
        <v>745</v>
      </c>
      <c r="B105" t="s">
        <v>746</v>
      </c>
      <c r="C105" t="s">
        <v>1088</v>
      </c>
      <c r="D105" s="6">
        <v>0</v>
      </c>
      <c r="E105" s="6">
        <v>37.700000000000003</v>
      </c>
      <c r="F105" s="6">
        <v>7</v>
      </c>
      <c r="G105" s="6">
        <v>13.4</v>
      </c>
      <c r="H105" s="6">
        <v>0</v>
      </c>
      <c r="I105" s="6">
        <v>0</v>
      </c>
      <c r="J105" s="6">
        <v>58.1</v>
      </c>
      <c r="K105" s="6">
        <v>0</v>
      </c>
      <c r="L105" s="6">
        <v>0</v>
      </c>
      <c r="M105" s="6">
        <v>58.1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>
        <v>1</v>
      </c>
      <c r="T105">
        <v>1</v>
      </c>
      <c r="U105">
        <v>0</v>
      </c>
      <c r="V105" s="6">
        <v>3.22</v>
      </c>
      <c r="W105" s="6">
        <v>0</v>
      </c>
      <c r="X105" s="6">
        <v>0</v>
      </c>
      <c r="Y105" s="6">
        <v>10</v>
      </c>
      <c r="Z105" s="6">
        <v>0</v>
      </c>
      <c r="AA105" s="6">
        <v>58.1</v>
      </c>
      <c r="AB105" s="6">
        <v>18.22</v>
      </c>
      <c r="AC105" s="6">
        <v>117.56</v>
      </c>
      <c r="AD105" s="6">
        <v>19.46</v>
      </c>
      <c r="AE105" s="6">
        <v>10</v>
      </c>
      <c r="AF105" s="35">
        <v>0.4022</v>
      </c>
      <c r="AG105" s="35">
        <v>8.5599999999999996E-2</v>
      </c>
      <c r="AH105">
        <v>1</v>
      </c>
      <c r="AI105">
        <v>1</v>
      </c>
      <c r="AJ105">
        <v>0</v>
      </c>
      <c r="AK105" s="35">
        <v>0.37119999999999997</v>
      </c>
      <c r="AL105" s="35">
        <v>8.9999999999999969E-2</v>
      </c>
    </row>
    <row r="106" spans="1:38">
      <c r="A106" t="s">
        <v>885</v>
      </c>
      <c r="B106" t="s">
        <v>886</v>
      </c>
      <c r="C106" t="s">
        <v>1088</v>
      </c>
      <c r="D106" s="6">
        <v>9.9</v>
      </c>
      <c r="E106" s="6">
        <v>44.2</v>
      </c>
      <c r="F106" s="6">
        <v>10.7</v>
      </c>
      <c r="G106" s="6">
        <v>34.1</v>
      </c>
      <c r="H106" s="6">
        <v>32.46</v>
      </c>
      <c r="I106" s="6">
        <v>44.34</v>
      </c>
      <c r="J106" s="6">
        <v>165.8</v>
      </c>
      <c r="K106" s="6">
        <v>2.63</v>
      </c>
      <c r="L106" s="6">
        <v>0.33</v>
      </c>
      <c r="M106" s="6">
        <v>168.76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>
        <v>1</v>
      </c>
      <c r="T106">
        <v>1</v>
      </c>
      <c r="U106">
        <v>0</v>
      </c>
      <c r="V106" s="6">
        <v>0</v>
      </c>
      <c r="W106" s="6">
        <v>0.67</v>
      </c>
      <c r="X106" s="6">
        <v>0</v>
      </c>
      <c r="Y106" s="6">
        <v>19.11</v>
      </c>
      <c r="Z106" s="6">
        <v>2.89</v>
      </c>
      <c r="AA106" s="6">
        <v>178.66</v>
      </c>
      <c r="AB106" s="6">
        <v>17</v>
      </c>
      <c r="AC106" s="6">
        <v>127.2</v>
      </c>
      <c r="AD106" s="6">
        <v>21.05</v>
      </c>
      <c r="AE106" s="6">
        <v>22.67</v>
      </c>
      <c r="AF106" s="35">
        <v>0.31309999999999999</v>
      </c>
      <c r="AG106" s="35">
        <v>0.1895</v>
      </c>
      <c r="AH106">
        <v>1</v>
      </c>
      <c r="AI106">
        <v>1</v>
      </c>
      <c r="AJ106">
        <v>0</v>
      </c>
      <c r="AK106" s="35">
        <v>0.26469999999999999</v>
      </c>
      <c r="AL106" s="35">
        <v>0.14139999999999997</v>
      </c>
    </row>
    <row r="107" spans="1:38">
      <c r="A107" t="s">
        <v>651</v>
      </c>
      <c r="B107" t="s">
        <v>652</v>
      </c>
      <c r="C107" t="s">
        <v>1088</v>
      </c>
      <c r="D107" s="6">
        <v>0</v>
      </c>
      <c r="E107" s="6">
        <v>166.9</v>
      </c>
      <c r="F107" s="6">
        <v>49.3</v>
      </c>
      <c r="G107" s="6">
        <v>96.65</v>
      </c>
      <c r="H107" s="6">
        <v>88.4</v>
      </c>
      <c r="I107" s="6">
        <v>148.16</v>
      </c>
      <c r="J107" s="6">
        <v>549.41</v>
      </c>
      <c r="K107" s="6">
        <v>17.07</v>
      </c>
      <c r="L107" s="6">
        <v>1.89</v>
      </c>
      <c r="M107" s="6">
        <v>582.77</v>
      </c>
      <c r="N107" s="6">
        <v>3.66</v>
      </c>
      <c r="O107" s="6">
        <v>0</v>
      </c>
      <c r="P107" s="6">
        <v>0</v>
      </c>
      <c r="Q107" s="6">
        <v>1.5</v>
      </c>
      <c r="R107" s="6">
        <v>9.24</v>
      </c>
      <c r="S107">
        <v>1</v>
      </c>
      <c r="T107">
        <v>1</v>
      </c>
      <c r="U107">
        <v>0</v>
      </c>
      <c r="V107" s="6">
        <v>4.4400000000000004</v>
      </c>
      <c r="W107" s="6">
        <v>0</v>
      </c>
      <c r="X107" s="6">
        <v>0</v>
      </c>
      <c r="Y107" s="6">
        <v>52.44</v>
      </c>
      <c r="Z107" s="6">
        <v>12.89</v>
      </c>
      <c r="AA107" s="6">
        <v>583.76</v>
      </c>
      <c r="AB107" s="6">
        <v>17</v>
      </c>
      <c r="AC107" s="6">
        <v>131.19</v>
      </c>
      <c r="AD107" s="6">
        <v>21.71</v>
      </c>
      <c r="AE107" s="6">
        <v>65.33</v>
      </c>
      <c r="AF107" s="35">
        <v>0.20619999999999999</v>
      </c>
      <c r="AG107" s="35">
        <v>0.13969999999999999</v>
      </c>
      <c r="AH107">
        <v>1</v>
      </c>
      <c r="AI107">
        <v>1</v>
      </c>
      <c r="AJ107">
        <v>0</v>
      </c>
      <c r="AK107" s="35">
        <v>0.24479999999999999</v>
      </c>
      <c r="AL107" s="35">
        <v>0.16159999999999997</v>
      </c>
    </row>
    <row r="108" spans="1:38">
      <c r="A108" t="s">
        <v>647</v>
      </c>
      <c r="B108" t="s">
        <v>648</v>
      </c>
      <c r="C108" t="s">
        <v>1088</v>
      </c>
      <c r="D108" s="6">
        <v>18.8</v>
      </c>
      <c r="E108" s="6">
        <v>93.7</v>
      </c>
      <c r="F108" s="6">
        <v>21.2</v>
      </c>
      <c r="G108" s="6">
        <v>47.7</v>
      </c>
      <c r="H108" s="6">
        <v>42.5</v>
      </c>
      <c r="I108" s="6">
        <v>69.48</v>
      </c>
      <c r="J108" s="6">
        <v>274.58</v>
      </c>
      <c r="K108" s="6">
        <v>4.8499999999999996</v>
      </c>
      <c r="L108" s="6">
        <v>1.98</v>
      </c>
      <c r="M108" s="6">
        <v>301.77999999999997</v>
      </c>
      <c r="N108" s="6">
        <v>0.1</v>
      </c>
      <c r="O108" s="6">
        <v>0</v>
      </c>
      <c r="P108" s="6">
        <v>0</v>
      </c>
      <c r="Q108" s="6">
        <v>2.2000000000000002</v>
      </c>
      <c r="R108" s="6">
        <v>18.07</v>
      </c>
      <c r="S108">
        <v>1</v>
      </c>
      <c r="T108">
        <v>1</v>
      </c>
      <c r="U108">
        <v>0</v>
      </c>
      <c r="V108" s="6">
        <v>6.89</v>
      </c>
      <c r="W108" s="6">
        <v>0</v>
      </c>
      <c r="X108" s="6">
        <v>0</v>
      </c>
      <c r="Y108" s="6">
        <v>44.44</v>
      </c>
      <c r="Z108" s="6">
        <v>16.559999999999999</v>
      </c>
      <c r="AA108" s="6">
        <v>320.02</v>
      </c>
      <c r="AB108" s="6">
        <v>17.54</v>
      </c>
      <c r="AC108" s="6">
        <v>129.78</v>
      </c>
      <c r="AD108" s="6">
        <v>21.48</v>
      </c>
      <c r="AE108" s="6">
        <v>61.12</v>
      </c>
      <c r="AF108" s="35">
        <v>0.2802</v>
      </c>
      <c r="AG108" s="35">
        <v>0.15310000000000001</v>
      </c>
      <c r="AH108">
        <v>1</v>
      </c>
      <c r="AI108">
        <v>1</v>
      </c>
      <c r="AJ108">
        <v>0</v>
      </c>
      <c r="AK108" s="35">
        <v>0.2429</v>
      </c>
      <c r="AL108" s="35">
        <v>0.18340000000000001</v>
      </c>
    </row>
    <row r="109" spans="1:38">
      <c r="A109" t="s">
        <v>643</v>
      </c>
      <c r="B109" t="s">
        <v>644</v>
      </c>
      <c r="C109" t="s">
        <v>1088</v>
      </c>
      <c r="D109" s="6">
        <v>30.7</v>
      </c>
      <c r="E109" s="6">
        <v>1715.56</v>
      </c>
      <c r="F109" s="6">
        <v>418.82</v>
      </c>
      <c r="G109" s="6">
        <v>757.16</v>
      </c>
      <c r="H109" s="6">
        <v>727.93</v>
      </c>
      <c r="I109" s="6">
        <v>1486.7</v>
      </c>
      <c r="J109" s="6">
        <v>5106.17</v>
      </c>
      <c r="K109" s="6">
        <v>90.11</v>
      </c>
      <c r="L109" s="6">
        <v>5.52</v>
      </c>
      <c r="M109" s="6">
        <v>5567.27</v>
      </c>
      <c r="N109" s="6">
        <v>17.3</v>
      </c>
      <c r="O109" s="6">
        <v>0</v>
      </c>
      <c r="P109" s="6">
        <v>147.91</v>
      </c>
      <c r="Q109" s="6">
        <v>66.19</v>
      </c>
      <c r="R109" s="6">
        <v>134.07</v>
      </c>
      <c r="S109">
        <v>1.1200000000000001</v>
      </c>
      <c r="T109">
        <v>1.1200000000000001</v>
      </c>
      <c r="U109">
        <v>0</v>
      </c>
      <c r="V109" s="6">
        <v>166.33</v>
      </c>
      <c r="W109" s="6">
        <v>1.44</v>
      </c>
      <c r="X109" s="6">
        <v>0.33</v>
      </c>
      <c r="Y109" s="6">
        <v>643.44000000000005</v>
      </c>
      <c r="Z109" s="6">
        <v>432.22</v>
      </c>
      <c r="AA109" s="6">
        <v>5595.98</v>
      </c>
      <c r="AB109" s="6">
        <v>17</v>
      </c>
      <c r="AC109" s="6">
        <v>132.66999999999999</v>
      </c>
      <c r="AD109" s="6">
        <v>21.96</v>
      </c>
      <c r="AE109" s="6">
        <v>1077.6500000000001</v>
      </c>
      <c r="AF109" s="35">
        <v>0.1089</v>
      </c>
      <c r="AG109" s="35">
        <v>0.28939999999999999</v>
      </c>
      <c r="AH109">
        <v>1.1200000000000001</v>
      </c>
      <c r="AI109">
        <v>1.1200000000000001</v>
      </c>
      <c r="AJ109">
        <v>0</v>
      </c>
      <c r="AK109" s="35">
        <v>0.1363</v>
      </c>
      <c r="AL109" s="35">
        <v>0.28480000000000005</v>
      </c>
    </row>
    <row r="110" spans="1:38">
      <c r="A110" t="s">
        <v>410</v>
      </c>
      <c r="B110" t="s">
        <v>411</v>
      </c>
      <c r="C110" t="s">
        <v>1088</v>
      </c>
      <c r="D110" s="6">
        <v>0</v>
      </c>
      <c r="E110" s="6">
        <v>306.39999999999998</v>
      </c>
      <c r="F110" s="6">
        <v>77.5</v>
      </c>
      <c r="G110" s="6">
        <v>157</v>
      </c>
      <c r="H110" s="6">
        <v>153.5</v>
      </c>
      <c r="I110" s="6">
        <v>242.36</v>
      </c>
      <c r="J110" s="6">
        <v>936.76</v>
      </c>
      <c r="K110" s="6">
        <v>19.22</v>
      </c>
      <c r="L110" s="6">
        <v>0.84</v>
      </c>
      <c r="M110" s="6">
        <v>1004.62</v>
      </c>
      <c r="N110" s="6">
        <v>47.8</v>
      </c>
      <c r="O110" s="6">
        <v>0</v>
      </c>
      <c r="P110" s="6">
        <v>0</v>
      </c>
      <c r="Q110" s="6">
        <v>0</v>
      </c>
      <c r="R110" s="6">
        <v>0</v>
      </c>
      <c r="S110">
        <v>1.1200000000000001</v>
      </c>
      <c r="T110">
        <v>1.1200000000000001</v>
      </c>
      <c r="U110">
        <v>0.02</v>
      </c>
      <c r="V110" s="6">
        <v>13.44</v>
      </c>
      <c r="W110" s="6">
        <v>0</v>
      </c>
      <c r="X110" s="6">
        <v>0</v>
      </c>
      <c r="Y110" s="6">
        <v>112.89</v>
      </c>
      <c r="Z110" s="6">
        <v>56.56</v>
      </c>
      <c r="AA110" s="6">
        <v>1006.61</v>
      </c>
      <c r="AB110" s="6">
        <v>17</v>
      </c>
      <c r="AC110" s="6">
        <v>125.5</v>
      </c>
      <c r="AD110" s="6">
        <v>20.77</v>
      </c>
      <c r="AE110" s="6">
        <v>169.22</v>
      </c>
      <c r="AF110" s="35">
        <v>0.23669999999999999</v>
      </c>
      <c r="AG110" s="35">
        <v>0.22620000000000001</v>
      </c>
      <c r="AH110">
        <v>1.1200000000000001</v>
      </c>
      <c r="AI110">
        <v>1.1200000000000001</v>
      </c>
      <c r="AJ110">
        <v>9.9999999999997868E-3</v>
      </c>
      <c r="AK110" s="35">
        <v>0.19839999999999999</v>
      </c>
      <c r="AL110" s="35">
        <v>0.22170000000000001</v>
      </c>
    </row>
    <row r="111" spans="1:38">
      <c r="A111" t="s">
        <v>777</v>
      </c>
      <c r="B111" t="s">
        <v>778</v>
      </c>
      <c r="C111" t="s">
        <v>1088</v>
      </c>
      <c r="D111" s="6">
        <v>15.4</v>
      </c>
      <c r="E111" s="6">
        <v>260.91000000000003</v>
      </c>
      <c r="F111" s="6">
        <v>78.97</v>
      </c>
      <c r="G111" s="6">
        <v>164.75</v>
      </c>
      <c r="H111" s="6">
        <v>178.48</v>
      </c>
      <c r="I111" s="6">
        <v>356.61</v>
      </c>
      <c r="J111" s="6">
        <v>1039.72</v>
      </c>
      <c r="K111" s="6">
        <v>31.17</v>
      </c>
      <c r="L111" s="6">
        <v>2.4700000000000002</v>
      </c>
      <c r="M111" s="6">
        <v>1139.4000000000001</v>
      </c>
      <c r="N111" s="6">
        <v>0</v>
      </c>
      <c r="O111" s="6">
        <v>0</v>
      </c>
      <c r="P111" s="6">
        <v>46.39</v>
      </c>
      <c r="Q111" s="6">
        <v>14.93</v>
      </c>
      <c r="R111" s="6">
        <v>4.72</v>
      </c>
      <c r="S111">
        <v>1.18</v>
      </c>
      <c r="T111">
        <v>1.18</v>
      </c>
      <c r="U111">
        <v>0.02</v>
      </c>
      <c r="V111" s="6">
        <v>9.44</v>
      </c>
      <c r="W111" s="6">
        <v>2</v>
      </c>
      <c r="X111" s="6">
        <v>1</v>
      </c>
      <c r="Y111" s="6">
        <v>113.22</v>
      </c>
      <c r="Z111" s="6">
        <v>64.89</v>
      </c>
      <c r="AA111" s="6">
        <v>1171.5999999999999</v>
      </c>
      <c r="AB111" s="6">
        <v>17.14</v>
      </c>
      <c r="AC111" s="6">
        <v>118.53</v>
      </c>
      <c r="AD111" s="6">
        <v>19.62</v>
      </c>
      <c r="AE111" s="6">
        <v>181.11</v>
      </c>
      <c r="AF111" s="35">
        <v>0.18290000000000001</v>
      </c>
      <c r="AG111" s="35">
        <v>0.2266</v>
      </c>
      <c r="AH111">
        <v>1.18</v>
      </c>
      <c r="AI111">
        <v>1.18</v>
      </c>
      <c r="AJ111">
        <v>1.0000000000000009E-2</v>
      </c>
      <c r="AK111" s="35">
        <v>0.17330000000000001</v>
      </c>
      <c r="AL111" s="35">
        <v>0.22599999999999998</v>
      </c>
    </row>
    <row r="112" spans="1:38">
      <c r="A112" t="s">
        <v>707</v>
      </c>
      <c r="B112" t="s">
        <v>708</v>
      </c>
      <c r="C112" t="s">
        <v>1088</v>
      </c>
      <c r="D112" s="6">
        <v>0</v>
      </c>
      <c r="E112" s="6">
        <v>21.7</v>
      </c>
      <c r="F112" s="6">
        <v>6.1</v>
      </c>
      <c r="G112" s="6">
        <v>5.7</v>
      </c>
      <c r="H112" s="6">
        <v>8.1</v>
      </c>
      <c r="I112" s="6">
        <v>0</v>
      </c>
      <c r="J112" s="6">
        <v>41.6</v>
      </c>
      <c r="K112" s="6">
        <v>0</v>
      </c>
      <c r="L112" s="6">
        <v>0</v>
      </c>
      <c r="M112" s="6">
        <v>41.6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>
        <v>1</v>
      </c>
      <c r="T112">
        <v>1</v>
      </c>
      <c r="U112">
        <v>0.04</v>
      </c>
      <c r="V112" s="6">
        <v>0.44</v>
      </c>
      <c r="W112" s="6">
        <v>0</v>
      </c>
      <c r="X112" s="6">
        <v>0</v>
      </c>
      <c r="Y112" s="6">
        <v>6.44</v>
      </c>
      <c r="Z112" s="6">
        <v>0</v>
      </c>
      <c r="AA112" s="6">
        <v>41.6</v>
      </c>
      <c r="AB112" s="6">
        <v>17</v>
      </c>
      <c r="AC112" s="6">
        <v>121.15</v>
      </c>
      <c r="AD112" s="6">
        <v>20.05</v>
      </c>
      <c r="AE112" s="6">
        <v>6.44</v>
      </c>
      <c r="AF112" s="35">
        <v>0.51160000000000005</v>
      </c>
      <c r="AG112" s="35">
        <v>0.11</v>
      </c>
      <c r="AH112">
        <v>1</v>
      </c>
      <c r="AI112">
        <v>1</v>
      </c>
      <c r="AJ112">
        <v>4.0000000000000036E-2</v>
      </c>
      <c r="AK112" s="35">
        <v>0.41639999999999999</v>
      </c>
      <c r="AL112" s="35">
        <v>9.2500000000000027E-2</v>
      </c>
    </row>
    <row r="113" spans="1:38">
      <c r="A113" t="s">
        <v>353</v>
      </c>
      <c r="B113" t="s">
        <v>354</v>
      </c>
      <c r="C113" t="s">
        <v>1088</v>
      </c>
      <c r="D113" s="6">
        <v>4.9000000000000004</v>
      </c>
      <c r="E113" s="6">
        <v>29.55</v>
      </c>
      <c r="F113" s="6">
        <v>5.0999999999999996</v>
      </c>
      <c r="G113" s="6">
        <v>19</v>
      </c>
      <c r="H113" s="6">
        <v>14</v>
      </c>
      <c r="I113" s="6">
        <v>0</v>
      </c>
      <c r="J113" s="6">
        <v>67.650000000000006</v>
      </c>
      <c r="K113" s="6">
        <v>0</v>
      </c>
      <c r="L113" s="6">
        <v>0</v>
      </c>
      <c r="M113" s="6">
        <v>68.55</v>
      </c>
      <c r="N113" s="6">
        <v>0</v>
      </c>
      <c r="O113" s="6">
        <v>0</v>
      </c>
      <c r="P113" s="6">
        <v>0</v>
      </c>
      <c r="Q113" s="6">
        <v>0.9</v>
      </c>
      <c r="R113" s="6">
        <v>0</v>
      </c>
      <c r="S113">
        <v>1</v>
      </c>
      <c r="T113">
        <v>1</v>
      </c>
      <c r="U113">
        <v>0</v>
      </c>
      <c r="V113" s="6">
        <v>2.78</v>
      </c>
      <c r="W113" s="6">
        <v>0</v>
      </c>
      <c r="X113" s="6">
        <v>0</v>
      </c>
      <c r="Y113" s="6">
        <v>7.33</v>
      </c>
      <c r="Z113" s="6">
        <v>1</v>
      </c>
      <c r="AA113" s="6">
        <v>73.45</v>
      </c>
      <c r="AB113" s="6">
        <v>17</v>
      </c>
      <c r="AC113" s="6">
        <v>151.81</v>
      </c>
      <c r="AD113" s="6">
        <v>25.13</v>
      </c>
      <c r="AE113" s="6">
        <v>8.33</v>
      </c>
      <c r="AF113" s="35">
        <v>0.3846</v>
      </c>
      <c r="AG113" s="35">
        <v>0.08</v>
      </c>
      <c r="AH113">
        <v>1</v>
      </c>
      <c r="AI113">
        <v>1</v>
      </c>
      <c r="AJ113">
        <v>0</v>
      </c>
      <c r="AK113" s="35">
        <v>0.37930000000000003</v>
      </c>
      <c r="AL113" s="35">
        <v>9.870000000000001E-2</v>
      </c>
    </row>
    <row r="114" spans="1:38">
      <c r="A114" t="s">
        <v>709</v>
      </c>
      <c r="B114" t="s">
        <v>710</v>
      </c>
      <c r="C114" t="s">
        <v>1088</v>
      </c>
      <c r="D114" s="6">
        <v>0</v>
      </c>
      <c r="E114" s="6">
        <v>38.119999999999997</v>
      </c>
      <c r="F114" s="6">
        <v>5.2</v>
      </c>
      <c r="G114" s="6">
        <v>31.7</v>
      </c>
      <c r="H114" s="6">
        <v>30.53</v>
      </c>
      <c r="I114" s="6">
        <v>70.5</v>
      </c>
      <c r="J114" s="6">
        <v>176.05</v>
      </c>
      <c r="K114" s="6">
        <v>5.59</v>
      </c>
      <c r="L114" s="6">
        <v>2.25</v>
      </c>
      <c r="M114" s="6">
        <v>630.75</v>
      </c>
      <c r="N114" s="6">
        <v>0</v>
      </c>
      <c r="O114" s="6">
        <v>0</v>
      </c>
      <c r="P114" s="6">
        <v>359.64</v>
      </c>
      <c r="Q114" s="6">
        <v>87.22</v>
      </c>
      <c r="R114" s="6">
        <v>0</v>
      </c>
      <c r="S114">
        <v>1.06</v>
      </c>
      <c r="T114">
        <v>1.06</v>
      </c>
      <c r="U114">
        <v>0</v>
      </c>
      <c r="V114" s="6">
        <v>1.78</v>
      </c>
      <c r="W114" s="6">
        <v>0</v>
      </c>
      <c r="X114" s="6">
        <v>0</v>
      </c>
      <c r="Y114" s="6">
        <v>72.56</v>
      </c>
      <c r="Z114" s="6">
        <v>0</v>
      </c>
      <c r="AA114" s="6">
        <v>637.65</v>
      </c>
      <c r="AB114" s="6">
        <v>17</v>
      </c>
      <c r="AC114" s="6">
        <v>122.31</v>
      </c>
      <c r="AD114" s="6">
        <v>20.239999999999998</v>
      </c>
      <c r="AE114" s="6">
        <v>72.56</v>
      </c>
      <c r="AF114" s="35">
        <v>0.19700000000000001</v>
      </c>
      <c r="AG114" s="35">
        <v>0.14249999999999999</v>
      </c>
      <c r="AH114">
        <v>1.06</v>
      </c>
      <c r="AI114">
        <v>1.06</v>
      </c>
      <c r="AJ114">
        <v>0</v>
      </c>
      <c r="AK114" s="35">
        <v>0.2011</v>
      </c>
      <c r="AL114" s="35">
        <v>0.10360000000000003</v>
      </c>
    </row>
    <row r="115" spans="1:38">
      <c r="A115" t="s">
        <v>382</v>
      </c>
      <c r="B115" t="s">
        <v>383</v>
      </c>
      <c r="C115" t="s">
        <v>1088</v>
      </c>
      <c r="D115" s="6">
        <v>28.1</v>
      </c>
      <c r="E115" s="6">
        <v>204.4</v>
      </c>
      <c r="F115" s="6">
        <v>57.6</v>
      </c>
      <c r="G115" s="6">
        <v>86</v>
      </c>
      <c r="H115" s="6">
        <v>106.3</v>
      </c>
      <c r="I115" s="6">
        <v>154.21</v>
      </c>
      <c r="J115" s="6">
        <v>608.51</v>
      </c>
      <c r="K115" s="6">
        <v>7.05</v>
      </c>
      <c r="L115" s="6">
        <v>0.65</v>
      </c>
      <c r="M115" s="6">
        <v>662.53</v>
      </c>
      <c r="N115" s="6">
        <v>0</v>
      </c>
      <c r="O115" s="6">
        <v>0</v>
      </c>
      <c r="P115" s="6">
        <v>6.3</v>
      </c>
      <c r="Q115" s="6">
        <v>4.8</v>
      </c>
      <c r="R115" s="6">
        <v>35.22</v>
      </c>
      <c r="S115">
        <v>1.1200000000000001</v>
      </c>
      <c r="T115">
        <v>1.1200000000000001</v>
      </c>
      <c r="U115">
        <v>0</v>
      </c>
      <c r="V115" s="6">
        <v>12.11</v>
      </c>
      <c r="W115" s="6">
        <v>2.2200000000000002</v>
      </c>
      <c r="X115" s="6">
        <v>0.44</v>
      </c>
      <c r="Y115" s="6">
        <v>76.78</v>
      </c>
      <c r="Z115" s="6">
        <v>32.33</v>
      </c>
      <c r="AA115" s="6">
        <v>697.45</v>
      </c>
      <c r="AB115" s="6">
        <v>17</v>
      </c>
      <c r="AC115" s="6">
        <v>126.16</v>
      </c>
      <c r="AD115" s="6">
        <v>20.88</v>
      </c>
      <c r="AE115" s="6">
        <v>111.77</v>
      </c>
      <c r="AF115" s="35">
        <v>0.22220000000000001</v>
      </c>
      <c r="AG115" s="35">
        <v>0.24529999999999999</v>
      </c>
      <c r="AH115">
        <v>1.1200000000000001</v>
      </c>
      <c r="AI115">
        <v>1.1200000000000001</v>
      </c>
      <c r="AJ115">
        <v>0</v>
      </c>
      <c r="AK115" s="35">
        <v>0.2384</v>
      </c>
      <c r="AL115" s="35">
        <v>0.26959999999999995</v>
      </c>
    </row>
    <row r="116" spans="1:38">
      <c r="A116" t="s">
        <v>697</v>
      </c>
      <c r="B116" t="s">
        <v>698</v>
      </c>
      <c r="C116" t="s">
        <v>1088</v>
      </c>
      <c r="D116" s="6">
        <v>28.7</v>
      </c>
      <c r="E116" s="6">
        <v>295.64</v>
      </c>
      <c r="F116" s="6">
        <v>76.8</v>
      </c>
      <c r="G116" s="6">
        <v>140.25</v>
      </c>
      <c r="H116" s="6">
        <v>154.19999999999999</v>
      </c>
      <c r="I116" s="6">
        <v>317.76</v>
      </c>
      <c r="J116" s="6">
        <v>984.65</v>
      </c>
      <c r="K116" s="6">
        <v>29.4</v>
      </c>
      <c r="L116" s="6">
        <v>2.97</v>
      </c>
      <c r="M116" s="6">
        <v>1154.02</v>
      </c>
      <c r="N116" s="6">
        <v>0</v>
      </c>
      <c r="O116" s="6">
        <v>0</v>
      </c>
      <c r="P116" s="6">
        <v>42.8</v>
      </c>
      <c r="Q116" s="6">
        <v>18.86</v>
      </c>
      <c r="R116" s="6">
        <v>75.34</v>
      </c>
      <c r="S116">
        <v>1.1200000000000001</v>
      </c>
      <c r="T116">
        <v>1.1200000000000001</v>
      </c>
      <c r="U116">
        <v>0</v>
      </c>
      <c r="V116" s="6">
        <v>9.44</v>
      </c>
      <c r="W116" s="6">
        <v>4.5599999999999996</v>
      </c>
      <c r="X116" s="6">
        <v>0</v>
      </c>
      <c r="Y116" s="6">
        <v>99</v>
      </c>
      <c r="Z116" s="6">
        <v>47.11</v>
      </c>
      <c r="AA116" s="6">
        <v>1190</v>
      </c>
      <c r="AB116" s="6">
        <v>17</v>
      </c>
      <c r="AC116" s="6">
        <v>125.06</v>
      </c>
      <c r="AD116" s="6">
        <v>20.7</v>
      </c>
      <c r="AE116" s="6">
        <v>150.66999999999999</v>
      </c>
      <c r="AF116" s="35">
        <v>0.2006</v>
      </c>
      <c r="AG116" s="35">
        <v>0.1946</v>
      </c>
      <c r="AH116">
        <v>1.1200000000000001</v>
      </c>
      <c r="AI116">
        <v>1.1200000000000001</v>
      </c>
      <c r="AJ116">
        <v>0</v>
      </c>
      <c r="AK116" s="35">
        <v>0.2009</v>
      </c>
      <c r="AL116" s="35">
        <v>0.20430000000000004</v>
      </c>
    </row>
    <row r="117" spans="1:38">
      <c r="A117" t="s">
        <v>747</v>
      </c>
      <c r="B117" s="40" t="s">
        <v>748</v>
      </c>
      <c r="C117" t="s">
        <v>1088</v>
      </c>
      <c r="D117" s="6">
        <v>0</v>
      </c>
      <c r="E117" s="6">
        <v>15326.34</v>
      </c>
      <c r="F117" s="6">
        <v>3954.77</v>
      </c>
      <c r="G117" s="6">
        <v>7476.36</v>
      </c>
      <c r="H117" s="6">
        <v>7009.56</v>
      </c>
      <c r="I117" s="6">
        <v>13900.43</v>
      </c>
      <c r="J117" s="6">
        <v>47667.46</v>
      </c>
      <c r="K117" s="6">
        <v>1001.42</v>
      </c>
      <c r="L117" s="6">
        <v>41.01</v>
      </c>
      <c r="M117" s="6">
        <v>49705.77</v>
      </c>
      <c r="N117" s="6">
        <v>76.239999999999995</v>
      </c>
      <c r="O117" s="6">
        <v>4.45</v>
      </c>
      <c r="P117" s="6">
        <v>171.57</v>
      </c>
      <c r="Q117" s="6">
        <v>88.12</v>
      </c>
      <c r="R117" s="6">
        <v>655.5</v>
      </c>
      <c r="S117">
        <v>1.18</v>
      </c>
      <c r="T117">
        <v>1.18</v>
      </c>
      <c r="U117">
        <v>0</v>
      </c>
      <c r="V117" s="6">
        <v>604.89</v>
      </c>
      <c r="W117" s="6">
        <v>0</v>
      </c>
      <c r="X117" s="6">
        <v>0</v>
      </c>
      <c r="Y117" s="6">
        <v>5552.22</v>
      </c>
      <c r="Z117" s="6">
        <v>2050.33</v>
      </c>
      <c r="AA117" s="6">
        <v>49792.1</v>
      </c>
      <c r="AB117" s="6">
        <v>17</v>
      </c>
      <c r="AC117" s="6">
        <v>134.88</v>
      </c>
      <c r="AD117" s="6">
        <v>22.32</v>
      </c>
      <c r="AE117" s="6">
        <v>7601.11</v>
      </c>
      <c r="AF117" s="35">
        <v>0.1487</v>
      </c>
      <c r="AG117" s="35">
        <v>0.23180000000000001</v>
      </c>
      <c r="AH117">
        <v>1.18</v>
      </c>
      <c r="AI117">
        <v>1.18</v>
      </c>
      <c r="AJ117">
        <v>0</v>
      </c>
      <c r="AK117" s="35">
        <v>0.15720000000000001</v>
      </c>
      <c r="AL117" s="35">
        <v>0.22740000000000005</v>
      </c>
    </row>
    <row r="118" spans="1:38">
      <c r="A118" t="s">
        <v>464</v>
      </c>
      <c r="B118" t="s">
        <v>465</v>
      </c>
      <c r="C118" t="s">
        <v>1088</v>
      </c>
      <c r="D118" s="6">
        <v>97.1</v>
      </c>
      <c r="E118" s="6">
        <v>6153.52</v>
      </c>
      <c r="F118" s="6">
        <v>1562.37</v>
      </c>
      <c r="G118" s="6">
        <v>3088.24</v>
      </c>
      <c r="H118" s="6">
        <v>3089.37</v>
      </c>
      <c r="I118" s="6">
        <v>5713.71</v>
      </c>
      <c r="J118" s="6">
        <v>19607.21</v>
      </c>
      <c r="K118" s="6">
        <v>594.11</v>
      </c>
      <c r="L118" s="6">
        <v>60.78</v>
      </c>
      <c r="M118" s="6">
        <v>20788.91</v>
      </c>
      <c r="N118" s="6">
        <v>141.31</v>
      </c>
      <c r="O118" s="6">
        <v>0</v>
      </c>
      <c r="P118" s="6">
        <v>120.22</v>
      </c>
      <c r="Q118" s="6">
        <v>78.739999999999995</v>
      </c>
      <c r="R118" s="6">
        <v>186.54</v>
      </c>
      <c r="S118">
        <v>1.1200000000000001</v>
      </c>
      <c r="T118">
        <v>1.1200000000000001</v>
      </c>
      <c r="U118">
        <v>0</v>
      </c>
      <c r="V118" s="6">
        <v>344.33</v>
      </c>
      <c r="W118" s="6">
        <v>0.78</v>
      </c>
      <c r="X118" s="6">
        <v>3.22</v>
      </c>
      <c r="Y118" s="6">
        <v>1478.67</v>
      </c>
      <c r="Z118" s="6">
        <v>1282</v>
      </c>
      <c r="AA118" s="6">
        <v>21034.67</v>
      </c>
      <c r="AB118" s="6">
        <v>17</v>
      </c>
      <c r="AC118" s="6">
        <v>134.6</v>
      </c>
      <c r="AD118" s="6">
        <v>22.28</v>
      </c>
      <c r="AE118" s="6">
        <v>2776.78</v>
      </c>
      <c r="AF118" s="35">
        <v>0.1444</v>
      </c>
      <c r="AG118" s="35">
        <v>0.29820000000000002</v>
      </c>
      <c r="AH118">
        <v>1.1200000000000001</v>
      </c>
      <c r="AI118">
        <v>1.1200000000000001</v>
      </c>
      <c r="AJ118">
        <v>0</v>
      </c>
      <c r="AK118" s="35">
        <v>0.1605</v>
      </c>
      <c r="AL118" s="35">
        <v>0.29710000000000003</v>
      </c>
    </row>
    <row r="119" spans="1:38">
      <c r="A119" t="s">
        <v>452</v>
      </c>
      <c r="B119" t="s">
        <v>453</v>
      </c>
      <c r="C119" t="s">
        <v>1088</v>
      </c>
      <c r="D119" s="6">
        <v>39.700000000000003</v>
      </c>
      <c r="E119" s="6">
        <v>1284.04</v>
      </c>
      <c r="F119" s="6">
        <v>355.57</v>
      </c>
      <c r="G119" s="6">
        <v>682.92</v>
      </c>
      <c r="H119" s="6">
        <v>642.30999999999995</v>
      </c>
      <c r="I119" s="6">
        <v>1203.49</v>
      </c>
      <c r="J119" s="6">
        <v>4168.33</v>
      </c>
      <c r="K119" s="6">
        <v>106.11</v>
      </c>
      <c r="L119" s="6">
        <v>13</v>
      </c>
      <c r="M119" s="6">
        <v>4310.74</v>
      </c>
      <c r="N119" s="6">
        <v>23.3</v>
      </c>
      <c r="O119" s="6">
        <v>0</v>
      </c>
      <c r="P119" s="6">
        <v>0</v>
      </c>
      <c r="Q119" s="6">
        <v>0</v>
      </c>
      <c r="R119" s="6">
        <v>0</v>
      </c>
      <c r="S119">
        <v>1.1200000000000001</v>
      </c>
      <c r="T119">
        <v>1.1200000000000001</v>
      </c>
      <c r="U119">
        <v>0.02</v>
      </c>
      <c r="V119" s="6">
        <v>94.11</v>
      </c>
      <c r="W119" s="6">
        <v>8</v>
      </c>
      <c r="X119" s="6">
        <v>2.11</v>
      </c>
      <c r="Y119" s="6">
        <v>382.89</v>
      </c>
      <c r="Z119" s="6">
        <v>286.44</v>
      </c>
      <c r="AA119" s="6">
        <v>4348.26</v>
      </c>
      <c r="AB119" s="6">
        <v>17</v>
      </c>
      <c r="AC119" s="6">
        <v>129.77000000000001</v>
      </c>
      <c r="AD119" s="6">
        <v>21.48</v>
      </c>
      <c r="AE119" s="6">
        <v>681.44</v>
      </c>
      <c r="AF119" s="35">
        <v>0.1532</v>
      </c>
      <c r="AG119" s="35">
        <v>0.25790000000000002</v>
      </c>
      <c r="AH119">
        <v>1.1200000000000001</v>
      </c>
      <c r="AI119">
        <v>1.1200000000000001</v>
      </c>
      <c r="AJ119">
        <v>9.9999999999997868E-3</v>
      </c>
      <c r="AK119" s="35">
        <v>0.1709</v>
      </c>
      <c r="AL119" s="35">
        <v>0.25290000000000001</v>
      </c>
    </row>
    <row r="120" spans="1:38">
      <c r="A120" t="s">
        <v>586</v>
      </c>
      <c r="B120" t="s">
        <v>587</v>
      </c>
      <c r="C120" t="s">
        <v>1088</v>
      </c>
      <c r="D120" s="6">
        <v>0</v>
      </c>
      <c r="E120" s="6">
        <v>1016.38</v>
      </c>
      <c r="F120" s="6">
        <v>254.22</v>
      </c>
      <c r="G120" s="6">
        <v>601.26</v>
      </c>
      <c r="H120" s="6">
        <v>614.04</v>
      </c>
      <c r="I120" s="6">
        <v>1374.06</v>
      </c>
      <c r="J120" s="6">
        <v>3859.96</v>
      </c>
      <c r="K120" s="6">
        <v>37.92</v>
      </c>
      <c r="L120" s="6">
        <v>4.6500000000000004</v>
      </c>
      <c r="M120" s="6">
        <v>3923.88</v>
      </c>
      <c r="N120" s="6">
        <v>0</v>
      </c>
      <c r="O120" s="6">
        <v>0</v>
      </c>
      <c r="P120" s="6">
        <v>0</v>
      </c>
      <c r="Q120" s="6">
        <v>0.08</v>
      </c>
      <c r="R120" s="6">
        <v>21.27</v>
      </c>
      <c r="S120">
        <v>1.18</v>
      </c>
      <c r="T120">
        <v>1.18</v>
      </c>
      <c r="U120">
        <v>0</v>
      </c>
      <c r="V120" s="6">
        <v>26.56</v>
      </c>
      <c r="W120" s="6">
        <v>0</v>
      </c>
      <c r="X120" s="6">
        <v>0</v>
      </c>
      <c r="Y120" s="6">
        <v>323.89</v>
      </c>
      <c r="Z120" s="6">
        <v>99</v>
      </c>
      <c r="AA120" s="6">
        <v>3935.28</v>
      </c>
      <c r="AB120" s="6">
        <v>17.059999999999999</v>
      </c>
      <c r="AC120" s="6">
        <v>135</v>
      </c>
      <c r="AD120" s="6">
        <v>22.34</v>
      </c>
      <c r="AE120" s="6">
        <v>422.89</v>
      </c>
      <c r="AF120" s="35">
        <v>0.15229999999999999</v>
      </c>
      <c r="AG120" s="35">
        <v>0.1933</v>
      </c>
      <c r="AH120">
        <v>1.18</v>
      </c>
      <c r="AI120">
        <v>1.18</v>
      </c>
      <c r="AJ120">
        <v>0</v>
      </c>
      <c r="AK120" s="35">
        <v>0.14269999999999999</v>
      </c>
      <c r="AL120" s="35">
        <v>0.19489999999999996</v>
      </c>
    </row>
    <row r="121" spans="1:38">
      <c r="A121" t="s">
        <v>502</v>
      </c>
      <c r="B121" t="s">
        <v>503</v>
      </c>
      <c r="C121" t="s">
        <v>1088</v>
      </c>
      <c r="D121" s="6">
        <v>46.9</v>
      </c>
      <c r="E121" s="6">
        <v>5110.78</v>
      </c>
      <c r="F121" s="6">
        <v>1252.7</v>
      </c>
      <c r="G121" s="6">
        <v>2458.0500000000002</v>
      </c>
      <c r="H121" s="6">
        <v>2262.48</v>
      </c>
      <c r="I121" s="6">
        <v>5309.46</v>
      </c>
      <c r="J121" s="6">
        <v>16393.47</v>
      </c>
      <c r="K121" s="6">
        <v>430.87</v>
      </c>
      <c r="L121" s="6">
        <v>40.79</v>
      </c>
      <c r="M121" s="6">
        <v>17488.650000000001</v>
      </c>
      <c r="N121" s="6">
        <v>190.54</v>
      </c>
      <c r="O121" s="6">
        <v>0</v>
      </c>
      <c r="P121" s="6">
        <v>116.68</v>
      </c>
      <c r="Q121" s="6">
        <v>61.3</v>
      </c>
      <c r="R121" s="6">
        <v>255</v>
      </c>
      <c r="S121">
        <v>1.18</v>
      </c>
      <c r="T121">
        <v>1.18</v>
      </c>
      <c r="U121">
        <v>0</v>
      </c>
      <c r="V121" s="6">
        <v>259.67</v>
      </c>
      <c r="W121" s="6">
        <v>0</v>
      </c>
      <c r="X121" s="6">
        <v>0</v>
      </c>
      <c r="Y121" s="6">
        <v>1901.56</v>
      </c>
      <c r="Z121" s="6">
        <v>695.89</v>
      </c>
      <c r="AA121" s="6">
        <v>17368.32</v>
      </c>
      <c r="AB121" s="6">
        <v>17</v>
      </c>
      <c r="AC121" s="6">
        <v>137.56</v>
      </c>
      <c r="AD121" s="6">
        <v>22.77</v>
      </c>
      <c r="AE121" s="6">
        <v>2604.34</v>
      </c>
      <c r="AF121" s="35">
        <v>0.12379999999999999</v>
      </c>
      <c r="AG121" s="35">
        <v>0.25559999999999999</v>
      </c>
      <c r="AH121">
        <v>1.18</v>
      </c>
      <c r="AI121">
        <v>1.18</v>
      </c>
      <c r="AJ121">
        <v>0</v>
      </c>
      <c r="AK121" s="35">
        <v>0.14069999999999999</v>
      </c>
      <c r="AL121" s="35">
        <v>0.24239999999999995</v>
      </c>
    </row>
    <row r="122" spans="1:38">
      <c r="A122" t="s">
        <v>843</v>
      </c>
      <c r="B122" t="s">
        <v>844</v>
      </c>
      <c r="C122" t="s">
        <v>1088</v>
      </c>
      <c r="D122" s="6">
        <v>0</v>
      </c>
      <c r="E122" s="6">
        <v>275.35000000000002</v>
      </c>
      <c r="F122" s="6">
        <v>94.67</v>
      </c>
      <c r="G122" s="6">
        <v>198.74</v>
      </c>
      <c r="H122" s="6">
        <v>233.53</v>
      </c>
      <c r="I122" s="6">
        <v>486.62</v>
      </c>
      <c r="J122" s="6">
        <v>1288.9100000000001</v>
      </c>
      <c r="K122" s="6">
        <v>21.74</v>
      </c>
      <c r="L122" s="6">
        <v>0.67</v>
      </c>
      <c r="M122" s="6">
        <v>1430.16</v>
      </c>
      <c r="N122" s="6">
        <v>0</v>
      </c>
      <c r="O122" s="6">
        <v>0</v>
      </c>
      <c r="P122" s="6">
        <v>51.19</v>
      </c>
      <c r="Q122" s="6">
        <v>15.35</v>
      </c>
      <c r="R122" s="6">
        <v>52.3</v>
      </c>
      <c r="S122">
        <v>1.1200000000000001</v>
      </c>
      <c r="T122">
        <v>1.1200000000000001</v>
      </c>
      <c r="U122">
        <v>0.04</v>
      </c>
      <c r="V122" s="6">
        <v>17.89</v>
      </c>
      <c r="W122" s="6">
        <v>0</v>
      </c>
      <c r="X122" s="6">
        <v>0</v>
      </c>
      <c r="Y122" s="6">
        <v>122.44</v>
      </c>
      <c r="Z122" s="6">
        <v>50.89</v>
      </c>
      <c r="AA122" s="6">
        <v>1430.99</v>
      </c>
      <c r="AB122" s="6">
        <v>17</v>
      </c>
      <c r="AC122" s="6">
        <v>128.38</v>
      </c>
      <c r="AD122" s="6">
        <v>21.25</v>
      </c>
      <c r="AE122" s="6">
        <v>173.33</v>
      </c>
      <c r="AF122" s="35">
        <v>0.21740000000000001</v>
      </c>
      <c r="AG122" s="35">
        <v>0.1971</v>
      </c>
      <c r="AH122">
        <v>1.1200000000000001</v>
      </c>
      <c r="AI122">
        <v>1.1200000000000001</v>
      </c>
      <c r="AJ122">
        <v>4.0000000000000036E-2</v>
      </c>
      <c r="AK122" s="35">
        <v>0.22850000000000001</v>
      </c>
      <c r="AL122" s="35">
        <v>0.2157</v>
      </c>
    </row>
    <row r="123" spans="1:38">
      <c r="A123" t="s">
        <v>721</v>
      </c>
      <c r="B123" t="s">
        <v>722</v>
      </c>
      <c r="C123" t="s">
        <v>1088</v>
      </c>
      <c r="D123" s="6">
        <v>0</v>
      </c>
      <c r="E123" s="6">
        <v>4275.16</v>
      </c>
      <c r="F123" s="6">
        <v>1171.58</v>
      </c>
      <c r="G123" s="6">
        <v>2147.7600000000002</v>
      </c>
      <c r="H123" s="6">
        <v>2101.81</v>
      </c>
      <c r="I123" s="6">
        <v>3921.71</v>
      </c>
      <c r="J123" s="6">
        <v>13618.02</v>
      </c>
      <c r="K123" s="6">
        <v>426.29</v>
      </c>
      <c r="L123" s="6">
        <v>62.39</v>
      </c>
      <c r="M123" s="6">
        <v>14340.12</v>
      </c>
      <c r="N123" s="6">
        <v>44.3</v>
      </c>
      <c r="O123" s="6">
        <v>0</v>
      </c>
      <c r="P123" s="6">
        <v>81.16</v>
      </c>
      <c r="Q123" s="6">
        <v>33.75</v>
      </c>
      <c r="R123" s="6">
        <v>74.209999999999994</v>
      </c>
      <c r="S123">
        <v>1.18</v>
      </c>
      <c r="T123">
        <v>1.18</v>
      </c>
      <c r="U123">
        <v>0</v>
      </c>
      <c r="V123" s="6">
        <v>281.22000000000003</v>
      </c>
      <c r="W123" s="6">
        <v>0</v>
      </c>
      <c r="X123" s="6">
        <v>0</v>
      </c>
      <c r="Y123" s="6">
        <v>1095.67</v>
      </c>
      <c r="Z123" s="6">
        <v>884.33</v>
      </c>
      <c r="AA123" s="6">
        <v>14455.73</v>
      </c>
      <c r="AB123" s="6">
        <v>17.14</v>
      </c>
      <c r="AC123" s="6">
        <v>137.43</v>
      </c>
      <c r="AD123" s="6">
        <v>22.75</v>
      </c>
      <c r="AE123" s="6">
        <v>1978</v>
      </c>
      <c r="AF123" s="35">
        <v>0.12909999999999999</v>
      </c>
      <c r="AG123" s="35">
        <v>0.28960000000000002</v>
      </c>
      <c r="AH123">
        <v>1.18</v>
      </c>
      <c r="AI123">
        <v>1.18</v>
      </c>
      <c r="AJ123">
        <v>0</v>
      </c>
      <c r="AK123" s="35">
        <v>0.13239999999999999</v>
      </c>
      <c r="AL123" s="35">
        <v>0.29559999999999997</v>
      </c>
    </row>
    <row r="124" spans="1:38">
      <c r="A124" t="s">
        <v>765</v>
      </c>
      <c r="B124" t="s">
        <v>766</v>
      </c>
      <c r="C124" t="s">
        <v>1088</v>
      </c>
      <c r="D124" s="6">
        <v>0</v>
      </c>
      <c r="E124" s="6">
        <v>9.6</v>
      </c>
      <c r="F124" s="6">
        <v>2.8</v>
      </c>
      <c r="G124" s="6">
        <v>11</v>
      </c>
      <c r="H124" s="6">
        <v>7.7</v>
      </c>
      <c r="I124" s="6">
        <v>11.81</v>
      </c>
      <c r="J124" s="6">
        <v>42.91</v>
      </c>
      <c r="K124" s="6">
        <v>0</v>
      </c>
      <c r="L124" s="6">
        <v>0</v>
      </c>
      <c r="M124" s="6">
        <v>42.91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>
        <v>1.18</v>
      </c>
      <c r="T124">
        <v>1.18</v>
      </c>
      <c r="U124">
        <v>0</v>
      </c>
      <c r="V124" s="6">
        <v>1</v>
      </c>
      <c r="W124" s="6">
        <v>0</v>
      </c>
      <c r="X124" s="6">
        <v>0</v>
      </c>
      <c r="Y124" s="6">
        <v>15.67</v>
      </c>
      <c r="Z124" s="6">
        <v>0</v>
      </c>
      <c r="AA124" s="6">
        <v>43.45</v>
      </c>
      <c r="AB124" s="6">
        <v>17</v>
      </c>
      <c r="AC124" s="6">
        <v>137.15</v>
      </c>
      <c r="AD124" s="6">
        <v>22.7</v>
      </c>
      <c r="AE124" s="6">
        <v>15.67</v>
      </c>
      <c r="AF124" s="35">
        <v>0.3382</v>
      </c>
      <c r="AG124" s="35">
        <v>0.11459999999999999</v>
      </c>
      <c r="AH124">
        <v>1.18</v>
      </c>
      <c r="AI124">
        <v>1.18</v>
      </c>
      <c r="AJ124">
        <v>0</v>
      </c>
      <c r="AK124" s="35">
        <v>0.26919999999999999</v>
      </c>
      <c r="AL124" s="35">
        <v>0.11329999999999996</v>
      </c>
    </row>
    <row r="125" spans="1:38">
      <c r="A125" t="s">
        <v>333</v>
      </c>
      <c r="B125" t="s">
        <v>334</v>
      </c>
      <c r="C125" t="s">
        <v>1088</v>
      </c>
      <c r="D125" s="6">
        <v>0</v>
      </c>
      <c r="E125" s="6">
        <v>5016.59</v>
      </c>
      <c r="F125" s="6">
        <v>1296.6300000000001</v>
      </c>
      <c r="G125" s="6">
        <v>2821.97</v>
      </c>
      <c r="H125" s="6">
        <v>2948.15</v>
      </c>
      <c r="I125" s="6">
        <v>6301.06</v>
      </c>
      <c r="J125" s="6">
        <v>18384.400000000001</v>
      </c>
      <c r="K125" s="6">
        <v>468.67</v>
      </c>
      <c r="L125" s="6">
        <v>72.989999999999995</v>
      </c>
      <c r="M125" s="6">
        <v>19126.14</v>
      </c>
      <c r="N125" s="6">
        <v>27.7</v>
      </c>
      <c r="O125" s="6">
        <v>0</v>
      </c>
      <c r="P125" s="6">
        <v>4.2</v>
      </c>
      <c r="Q125" s="6">
        <v>47.97</v>
      </c>
      <c r="R125" s="6">
        <v>120.21</v>
      </c>
      <c r="S125">
        <v>1.18</v>
      </c>
      <c r="T125">
        <v>1.18</v>
      </c>
      <c r="U125">
        <v>0</v>
      </c>
      <c r="V125" s="6">
        <v>200.11</v>
      </c>
      <c r="W125" s="6">
        <v>0</v>
      </c>
      <c r="X125" s="6">
        <v>0</v>
      </c>
      <c r="Y125" s="6">
        <v>1401.44</v>
      </c>
      <c r="Z125" s="6">
        <v>538</v>
      </c>
      <c r="AA125" s="6">
        <v>19314.009999999998</v>
      </c>
      <c r="AB125" s="6">
        <v>17.739999999999998</v>
      </c>
      <c r="AC125" s="6">
        <v>142.58000000000001</v>
      </c>
      <c r="AD125" s="6">
        <v>23.6</v>
      </c>
      <c r="AE125" s="6">
        <v>1938.44</v>
      </c>
      <c r="AF125" s="35">
        <v>0.1348</v>
      </c>
      <c r="AG125" s="35">
        <v>0.21579999999999999</v>
      </c>
      <c r="AH125">
        <v>1.18</v>
      </c>
      <c r="AI125">
        <v>1.18</v>
      </c>
      <c r="AJ125">
        <v>0</v>
      </c>
      <c r="AK125" s="35">
        <v>0.13059999999999999</v>
      </c>
      <c r="AL125" s="35">
        <v>0.21930000000000005</v>
      </c>
    </row>
    <row r="126" spans="1:38">
      <c r="A126" t="s">
        <v>833</v>
      </c>
      <c r="B126" t="s">
        <v>834</v>
      </c>
      <c r="C126" t="s">
        <v>1088</v>
      </c>
      <c r="D126" s="6">
        <v>0</v>
      </c>
      <c r="E126" s="6">
        <v>811.94</v>
      </c>
      <c r="F126" s="6">
        <v>212.83</v>
      </c>
      <c r="G126" s="6">
        <v>429.7</v>
      </c>
      <c r="H126" s="6">
        <v>408.95</v>
      </c>
      <c r="I126" s="6">
        <v>794.07</v>
      </c>
      <c r="J126" s="6">
        <v>2657.49</v>
      </c>
      <c r="K126" s="6">
        <v>83.46</v>
      </c>
      <c r="L126" s="6">
        <v>7.64</v>
      </c>
      <c r="M126" s="6">
        <v>2748.59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>
        <v>1.18</v>
      </c>
      <c r="T126">
        <v>1.18</v>
      </c>
      <c r="U126">
        <v>0</v>
      </c>
      <c r="V126" s="6">
        <v>31</v>
      </c>
      <c r="W126" s="6">
        <v>0</v>
      </c>
      <c r="X126" s="6">
        <v>0</v>
      </c>
      <c r="Y126" s="6">
        <v>208.22</v>
      </c>
      <c r="Z126" s="6">
        <v>141.56</v>
      </c>
      <c r="AA126" s="6">
        <v>2769.39</v>
      </c>
      <c r="AB126" s="6">
        <v>17.010000000000002</v>
      </c>
      <c r="AC126" s="6">
        <v>146.12</v>
      </c>
      <c r="AD126" s="6">
        <v>24.19</v>
      </c>
      <c r="AE126" s="6">
        <v>348.11</v>
      </c>
      <c r="AF126" s="35">
        <v>0.1646</v>
      </c>
      <c r="AG126" s="35">
        <v>0.28170000000000001</v>
      </c>
      <c r="AH126">
        <v>1.18</v>
      </c>
      <c r="AI126">
        <v>1.18</v>
      </c>
      <c r="AJ126">
        <v>0</v>
      </c>
      <c r="AK126" s="35">
        <v>0.16850000000000001</v>
      </c>
      <c r="AL126" s="35">
        <v>0.26539999999999997</v>
      </c>
    </row>
    <row r="127" spans="1:38">
      <c r="A127" t="s">
        <v>733</v>
      </c>
      <c r="B127" t="s">
        <v>734</v>
      </c>
      <c r="C127" t="s">
        <v>1088</v>
      </c>
      <c r="D127" s="6">
        <v>0</v>
      </c>
      <c r="E127" s="6">
        <v>889.14</v>
      </c>
      <c r="F127" s="6">
        <v>240.08</v>
      </c>
      <c r="G127" s="6">
        <v>417.73</v>
      </c>
      <c r="H127" s="6">
        <v>423.22</v>
      </c>
      <c r="I127" s="6">
        <v>829.31</v>
      </c>
      <c r="J127" s="6">
        <v>2799.48</v>
      </c>
      <c r="K127" s="6">
        <v>76.73</v>
      </c>
      <c r="L127" s="6">
        <v>14.27</v>
      </c>
      <c r="M127" s="6">
        <v>3039.65</v>
      </c>
      <c r="N127" s="6">
        <v>0</v>
      </c>
      <c r="O127" s="6">
        <v>0</v>
      </c>
      <c r="P127" s="6">
        <v>46.6</v>
      </c>
      <c r="Q127" s="6">
        <v>22.44</v>
      </c>
      <c r="R127" s="6">
        <v>80.13</v>
      </c>
      <c r="S127">
        <v>1.18</v>
      </c>
      <c r="T127">
        <v>1.18</v>
      </c>
      <c r="U127">
        <v>0</v>
      </c>
      <c r="V127" s="6">
        <v>23.89</v>
      </c>
      <c r="W127" s="6">
        <v>0</v>
      </c>
      <c r="X127" s="6">
        <v>0</v>
      </c>
      <c r="Y127" s="6">
        <v>241.78</v>
      </c>
      <c r="Z127" s="6">
        <v>76.44</v>
      </c>
      <c r="AA127" s="6">
        <v>3062.72</v>
      </c>
      <c r="AB127" s="6">
        <v>17</v>
      </c>
      <c r="AC127" s="6">
        <v>129.25</v>
      </c>
      <c r="AD127" s="6">
        <v>21.39</v>
      </c>
      <c r="AE127" s="6">
        <v>318.22000000000003</v>
      </c>
      <c r="AF127" s="35">
        <v>0.15579999999999999</v>
      </c>
      <c r="AG127" s="35">
        <v>0.2074</v>
      </c>
      <c r="AH127">
        <v>1.18</v>
      </c>
      <c r="AI127">
        <v>1.18</v>
      </c>
      <c r="AJ127">
        <v>0</v>
      </c>
      <c r="AK127" s="35">
        <v>0.159</v>
      </c>
      <c r="AL127" s="35">
        <v>0.20520000000000005</v>
      </c>
    </row>
    <row r="128" spans="1:38">
      <c r="A128" t="s">
        <v>327</v>
      </c>
      <c r="B128" t="s">
        <v>328</v>
      </c>
      <c r="C128" t="s">
        <v>1088</v>
      </c>
      <c r="D128" s="6">
        <v>134.72999999999999</v>
      </c>
      <c r="E128" s="6">
        <v>5091.96</v>
      </c>
      <c r="F128" s="6">
        <v>1328.97</v>
      </c>
      <c r="G128" s="6">
        <v>2583.19</v>
      </c>
      <c r="H128" s="6">
        <v>2427.0500000000002</v>
      </c>
      <c r="I128" s="6">
        <v>4944.38</v>
      </c>
      <c r="J128" s="6">
        <v>16375.55</v>
      </c>
      <c r="K128" s="6">
        <v>468.26</v>
      </c>
      <c r="L128" s="6">
        <v>49.53</v>
      </c>
      <c r="M128" s="6">
        <v>17294.53</v>
      </c>
      <c r="N128" s="6">
        <v>74.25</v>
      </c>
      <c r="O128" s="6">
        <v>12.74</v>
      </c>
      <c r="P128" s="6">
        <v>65.400000000000006</v>
      </c>
      <c r="Q128" s="6">
        <v>54.3</v>
      </c>
      <c r="R128" s="6">
        <v>194.5</v>
      </c>
      <c r="S128">
        <v>1.135</v>
      </c>
      <c r="T128">
        <v>1.135</v>
      </c>
      <c r="U128">
        <v>0</v>
      </c>
      <c r="V128" s="6">
        <v>273.11</v>
      </c>
      <c r="W128" s="6">
        <v>12.33</v>
      </c>
      <c r="X128" s="6">
        <v>1.33</v>
      </c>
      <c r="Y128" s="6">
        <v>1213</v>
      </c>
      <c r="Z128" s="6">
        <v>679.11</v>
      </c>
      <c r="AA128" s="6">
        <v>17449.96</v>
      </c>
      <c r="AB128" s="6">
        <v>17</v>
      </c>
      <c r="AC128" s="6">
        <v>132.28</v>
      </c>
      <c r="AD128" s="6">
        <v>21.89</v>
      </c>
      <c r="AE128" s="6">
        <v>1898.77</v>
      </c>
      <c r="AF128" s="35">
        <v>0.1242</v>
      </c>
      <c r="AG128" s="35">
        <v>0.26600000000000001</v>
      </c>
      <c r="AH128">
        <v>1.1200000000000001</v>
      </c>
      <c r="AI128">
        <v>1.1200000000000001</v>
      </c>
      <c r="AJ128">
        <v>0</v>
      </c>
      <c r="AK128" s="35">
        <v>0.1363</v>
      </c>
      <c r="AL128" s="35">
        <v>0.24790000000000001</v>
      </c>
    </row>
    <row r="129" spans="1:38">
      <c r="A129" t="s">
        <v>813</v>
      </c>
      <c r="B129" t="s">
        <v>814</v>
      </c>
      <c r="C129" t="s">
        <v>1088</v>
      </c>
      <c r="D129" s="6">
        <v>14.8</v>
      </c>
      <c r="E129" s="6">
        <v>2601.25</v>
      </c>
      <c r="F129" s="6">
        <v>727.83</v>
      </c>
      <c r="G129" s="6">
        <v>1362.58</v>
      </c>
      <c r="H129" s="6">
        <v>1402.56</v>
      </c>
      <c r="I129" s="6">
        <v>2509.39</v>
      </c>
      <c r="J129" s="6">
        <v>8603.61</v>
      </c>
      <c r="K129" s="6">
        <v>234.07</v>
      </c>
      <c r="L129" s="6">
        <v>32.57</v>
      </c>
      <c r="M129" s="6">
        <v>8925.6299999999992</v>
      </c>
      <c r="N129" s="6">
        <v>37.590000000000003</v>
      </c>
      <c r="O129" s="6">
        <v>17.79</v>
      </c>
      <c r="P129" s="6">
        <v>0</v>
      </c>
      <c r="Q129" s="6">
        <v>0</v>
      </c>
      <c r="R129" s="6">
        <v>0</v>
      </c>
      <c r="S129">
        <v>1.18</v>
      </c>
      <c r="T129">
        <v>1.18</v>
      </c>
      <c r="U129">
        <v>0.04</v>
      </c>
      <c r="V129" s="6">
        <v>116.89</v>
      </c>
      <c r="W129" s="6">
        <v>0.78</v>
      </c>
      <c r="X129" s="6">
        <v>0.33</v>
      </c>
      <c r="Y129" s="6">
        <v>608.78</v>
      </c>
      <c r="Z129" s="6">
        <v>481</v>
      </c>
      <c r="AA129" s="6">
        <v>8967.6299999999992</v>
      </c>
      <c r="AB129" s="6">
        <v>17</v>
      </c>
      <c r="AC129" s="6">
        <v>131.59</v>
      </c>
      <c r="AD129" s="6">
        <v>21.78</v>
      </c>
      <c r="AE129" s="6">
        <v>1089.8900000000001</v>
      </c>
      <c r="AF129" s="35">
        <v>0.14280000000000001</v>
      </c>
      <c r="AG129" s="35">
        <v>0.2324</v>
      </c>
      <c r="AH129">
        <v>1.18</v>
      </c>
      <c r="AI129">
        <v>1.18</v>
      </c>
      <c r="AJ129">
        <v>4.0000000000000036E-2</v>
      </c>
      <c r="AK129" s="35">
        <v>0.15160000000000001</v>
      </c>
      <c r="AL129" s="35">
        <v>0.23660000000000003</v>
      </c>
    </row>
    <row r="130" spans="1:38">
      <c r="A130" t="s">
        <v>769</v>
      </c>
      <c r="B130" t="s">
        <v>770</v>
      </c>
      <c r="C130" t="s">
        <v>1088</v>
      </c>
      <c r="D130" s="6">
        <v>6.6</v>
      </c>
      <c r="E130" s="6">
        <v>1979.41</v>
      </c>
      <c r="F130" s="6">
        <v>566.99</v>
      </c>
      <c r="G130" s="6">
        <v>1028.83</v>
      </c>
      <c r="H130" s="6">
        <v>1060.45</v>
      </c>
      <c r="I130" s="6">
        <v>1994.91</v>
      </c>
      <c r="J130" s="6">
        <v>6630.59</v>
      </c>
      <c r="K130" s="6">
        <v>182.09</v>
      </c>
      <c r="L130" s="6">
        <v>36.340000000000003</v>
      </c>
      <c r="M130" s="6">
        <v>7055.72</v>
      </c>
      <c r="N130" s="6">
        <v>0</v>
      </c>
      <c r="O130" s="6">
        <v>0</v>
      </c>
      <c r="P130" s="6">
        <v>96.24</v>
      </c>
      <c r="Q130" s="6">
        <v>25.4</v>
      </c>
      <c r="R130" s="6">
        <v>85.06</v>
      </c>
      <c r="S130">
        <v>1.18</v>
      </c>
      <c r="T130">
        <v>1.18</v>
      </c>
      <c r="U130">
        <v>0</v>
      </c>
      <c r="V130" s="6">
        <v>76.22</v>
      </c>
      <c r="W130" s="6">
        <v>0</v>
      </c>
      <c r="X130" s="6">
        <v>1.1100000000000001</v>
      </c>
      <c r="Y130" s="6">
        <v>479.22</v>
      </c>
      <c r="Z130" s="6">
        <v>257.44</v>
      </c>
      <c r="AA130" s="6">
        <v>7103.38</v>
      </c>
      <c r="AB130" s="6">
        <v>17</v>
      </c>
      <c r="AC130" s="6">
        <v>138.05000000000001</v>
      </c>
      <c r="AD130" s="6">
        <v>22.85</v>
      </c>
      <c r="AE130" s="6">
        <v>735.77</v>
      </c>
      <c r="AF130" s="35">
        <v>0.16789999999999999</v>
      </c>
      <c r="AG130" s="35">
        <v>0.21879999999999999</v>
      </c>
      <c r="AH130">
        <v>1.18</v>
      </c>
      <c r="AI130">
        <v>1.18</v>
      </c>
      <c r="AJ130">
        <v>0</v>
      </c>
      <c r="AK130" s="35">
        <v>0.16500000000000001</v>
      </c>
      <c r="AL130" s="35">
        <v>0.23170000000000002</v>
      </c>
    </row>
    <row r="131" spans="1:38">
      <c r="A131" t="s">
        <v>514</v>
      </c>
      <c r="B131" t="s">
        <v>515</v>
      </c>
      <c r="C131" t="s">
        <v>1088</v>
      </c>
      <c r="D131" s="6">
        <v>43</v>
      </c>
      <c r="E131" s="6">
        <v>5186.28</v>
      </c>
      <c r="F131" s="6">
        <v>1453.9</v>
      </c>
      <c r="G131" s="6">
        <v>2977.35</v>
      </c>
      <c r="H131" s="6">
        <v>3072.92</v>
      </c>
      <c r="I131" s="6">
        <v>5666.3</v>
      </c>
      <c r="J131" s="6">
        <v>18356.75</v>
      </c>
      <c r="K131" s="6">
        <v>558.07000000000005</v>
      </c>
      <c r="L131" s="6">
        <v>90.06</v>
      </c>
      <c r="M131" s="6">
        <v>19041.27</v>
      </c>
      <c r="N131" s="6">
        <v>10.86</v>
      </c>
      <c r="O131" s="6">
        <v>0</v>
      </c>
      <c r="P131" s="6">
        <v>0</v>
      </c>
      <c r="Q131" s="6">
        <v>0.36</v>
      </c>
      <c r="R131" s="6">
        <v>25.17</v>
      </c>
      <c r="S131">
        <v>1.18</v>
      </c>
      <c r="T131">
        <v>1.18</v>
      </c>
      <c r="U131">
        <v>0</v>
      </c>
      <c r="V131" s="6">
        <v>144.66999999999999</v>
      </c>
      <c r="W131" s="6">
        <v>8.67</v>
      </c>
      <c r="X131" s="6">
        <v>3.89</v>
      </c>
      <c r="Y131" s="6">
        <v>1306.67</v>
      </c>
      <c r="Z131" s="6">
        <v>550</v>
      </c>
      <c r="AA131" s="6">
        <v>19231.689999999999</v>
      </c>
      <c r="AB131" s="6">
        <v>17.36</v>
      </c>
      <c r="AC131" s="6">
        <v>139.5</v>
      </c>
      <c r="AD131" s="6">
        <v>23.09</v>
      </c>
      <c r="AE131" s="6">
        <v>1869.12</v>
      </c>
      <c r="AF131" s="35">
        <v>9.9299999999999999E-2</v>
      </c>
      <c r="AG131" s="35">
        <v>0.22869999999999999</v>
      </c>
      <c r="AH131">
        <v>1.18</v>
      </c>
      <c r="AI131">
        <v>1.18</v>
      </c>
      <c r="AJ131">
        <v>0</v>
      </c>
      <c r="AK131" s="35">
        <v>0.14499999999999999</v>
      </c>
      <c r="AL131" s="35">
        <v>0.23299999999999998</v>
      </c>
    </row>
    <row r="132" spans="1:38">
      <c r="A132" t="s">
        <v>761</v>
      </c>
      <c r="B132" t="s">
        <v>762</v>
      </c>
      <c r="C132" t="s">
        <v>1088</v>
      </c>
      <c r="D132" s="6">
        <v>0</v>
      </c>
      <c r="E132" s="6">
        <v>2575.0700000000002</v>
      </c>
      <c r="F132" s="6">
        <v>690.39</v>
      </c>
      <c r="G132" s="6">
        <v>1371.03</v>
      </c>
      <c r="H132" s="6">
        <v>1343.88</v>
      </c>
      <c r="I132" s="6">
        <v>2819.45</v>
      </c>
      <c r="J132" s="6">
        <v>8799.82</v>
      </c>
      <c r="K132" s="6">
        <v>204.13</v>
      </c>
      <c r="L132" s="6">
        <v>13.15</v>
      </c>
      <c r="M132" s="6">
        <v>9139</v>
      </c>
      <c r="N132" s="6">
        <v>0</v>
      </c>
      <c r="O132" s="6">
        <v>0</v>
      </c>
      <c r="P132" s="6">
        <v>103.11</v>
      </c>
      <c r="Q132" s="6">
        <v>18.79</v>
      </c>
      <c r="R132" s="6">
        <v>0</v>
      </c>
      <c r="S132">
        <v>1.18</v>
      </c>
      <c r="T132">
        <v>1.18</v>
      </c>
      <c r="U132">
        <v>0</v>
      </c>
      <c r="V132" s="6">
        <v>147</v>
      </c>
      <c r="W132" s="6">
        <v>0</v>
      </c>
      <c r="X132" s="6">
        <v>0</v>
      </c>
      <c r="Y132" s="6">
        <v>825.33</v>
      </c>
      <c r="Z132" s="6">
        <v>337.44</v>
      </c>
      <c r="AA132" s="6">
        <v>9207.74</v>
      </c>
      <c r="AB132" s="6">
        <v>17</v>
      </c>
      <c r="AC132" s="6">
        <v>136.27000000000001</v>
      </c>
      <c r="AD132" s="6">
        <v>22.56</v>
      </c>
      <c r="AE132" s="6">
        <v>1157.1099999999999</v>
      </c>
      <c r="AF132" s="35">
        <v>0.12839999999999999</v>
      </c>
      <c r="AG132" s="35">
        <v>0.23860000000000001</v>
      </c>
      <c r="AH132">
        <v>1.18</v>
      </c>
      <c r="AI132">
        <v>1.18</v>
      </c>
      <c r="AJ132">
        <v>0</v>
      </c>
      <c r="AK132" s="35">
        <v>0.12470000000000001</v>
      </c>
      <c r="AL132" s="35">
        <v>0.23470000000000002</v>
      </c>
    </row>
    <row r="133" spans="1:38">
      <c r="A133" t="s">
        <v>548</v>
      </c>
      <c r="B133" t="s">
        <v>549</v>
      </c>
      <c r="C133" t="s">
        <v>1088</v>
      </c>
      <c r="D133" s="6">
        <v>0</v>
      </c>
      <c r="E133" s="6">
        <v>8962.07</v>
      </c>
      <c r="F133" s="6">
        <v>2373.87</v>
      </c>
      <c r="G133" s="6">
        <v>4952.4399999999996</v>
      </c>
      <c r="H133" s="6">
        <v>4803.33</v>
      </c>
      <c r="I133" s="6">
        <v>8809.3799999999992</v>
      </c>
      <c r="J133" s="6">
        <v>29901.09</v>
      </c>
      <c r="K133" s="6">
        <v>549.36</v>
      </c>
      <c r="L133" s="6">
        <v>68.010000000000005</v>
      </c>
      <c r="M133" s="6">
        <v>30591.86</v>
      </c>
      <c r="N133" s="6">
        <v>0</v>
      </c>
      <c r="O133" s="6">
        <v>0</v>
      </c>
      <c r="P133" s="6">
        <v>34.840000000000003</v>
      </c>
      <c r="Q133" s="6">
        <v>21.64</v>
      </c>
      <c r="R133" s="6">
        <v>16.920000000000002</v>
      </c>
      <c r="S133">
        <v>1.18</v>
      </c>
      <c r="T133">
        <v>1.18</v>
      </c>
      <c r="U133">
        <v>0</v>
      </c>
      <c r="V133" s="6">
        <v>262.33</v>
      </c>
      <c r="W133" s="6">
        <v>0</v>
      </c>
      <c r="X133" s="6">
        <v>0</v>
      </c>
      <c r="Y133" s="6">
        <v>1789.89</v>
      </c>
      <c r="Z133" s="6">
        <v>830.67</v>
      </c>
      <c r="AA133" s="6">
        <v>30432.2</v>
      </c>
      <c r="AB133" s="6">
        <v>17</v>
      </c>
      <c r="AC133" s="6">
        <v>133.97</v>
      </c>
      <c r="AD133" s="6">
        <v>22.17</v>
      </c>
      <c r="AE133" s="6">
        <v>2620.11</v>
      </c>
      <c r="AF133" s="35">
        <v>0.1157</v>
      </c>
      <c r="AG133" s="35">
        <v>0.2258</v>
      </c>
      <c r="AH133">
        <v>1.18</v>
      </c>
      <c r="AI133">
        <v>1.18</v>
      </c>
      <c r="AJ133">
        <v>0</v>
      </c>
      <c r="AK133" s="35">
        <v>0.12089999999999999</v>
      </c>
      <c r="AL133" s="35">
        <v>0.22599999999999998</v>
      </c>
    </row>
    <row r="134" spans="1:38">
      <c r="A134" t="s">
        <v>526</v>
      </c>
      <c r="B134" t="s">
        <v>527</v>
      </c>
      <c r="C134" t="s">
        <v>1088</v>
      </c>
      <c r="D134" s="6">
        <v>0</v>
      </c>
      <c r="E134" s="6">
        <v>7558.78</v>
      </c>
      <c r="F134" s="6">
        <v>1931.2</v>
      </c>
      <c r="G134" s="6">
        <v>3902.51</v>
      </c>
      <c r="H134" s="6">
        <v>3830.67</v>
      </c>
      <c r="I134" s="6">
        <v>6498.54</v>
      </c>
      <c r="J134" s="6">
        <v>23721.7</v>
      </c>
      <c r="K134" s="6">
        <v>866.71</v>
      </c>
      <c r="L134" s="6">
        <v>95.03</v>
      </c>
      <c r="M134" s="6">
        <v>25309.97</v>
      </c>
      <c r="N134" s="6">
        <v>386.48</v>
      </c>
      <c r="O134" s="6">
        <v>22.43</v>
      </c>
      <c r="P134" s="6">
        <v>11.3</v>
      </c>
      <c r="Q134" s="6">
        <v>40.64</v>
      </c>
      <c r="R134" s="6">
        <v>165.68</v>
      </c>
      <c r="S134">
        <v>1.18</v>
      </c>
      <c r="T134">
        <v>1.18</v>
      </c>
      <c r="U134">
        <v>0</v>
      </c>
      <c r="V134" s="6">
        <v>373.89</v>
      </c>
      <c r="W134" s="6">
        <v>0</v>
      </c>
      <c r="X134" s="6">
        <v>0</v>
      </c>
      <c r="Y134" s="6">
        <v>1706.33</v>
      </c>
      <c r="Z134" s="6">
        <v>1412.78</v>
      </c>
      <c r="AA134" s="6">
        <v>25371.08</v>
      </c>
      <c r="AB134" s="6">
        <v>17</v>
      </c>
      <c r="AC134" s="6">
        <v>136.30000000000001</v>
      </c>
      <c r="AD134" s="6">
        <v>22.56</v>
      </c>
      <c r="AE134" s="6">
        <v>3100.55</v>
      </c>
      <c r="AF134" s="35">
        <v>0.14430000000000001</v>
      </c>
      <c r="AG134" s="35">
        <v>0.29880000000000001</v>
      </c>
      <c r="AH134">
        <v>1.18</v>
      </c>
      <c r="AI134">
        <v>1.18</v>
      </c>
      <c r="AJ134">
        <v>0</v>
      </c>
      <c r="AK134" s="35">
        <v>0.1487</v>
      </c>
      <c r="AL134" s="35">
        <v>0.30840000000000001</v>
      </c>
    </row>
    <row r="135" spans="1:38">
      <c r="A135" t="s">
        <v>641</v>
      </c>
      <c r="B135" t="s">
        <v>642</v>
      </c>
      <c r="C135" t="s">
        <v>1088</v>
      </c>
      <c r="D135" s="6">
        <v>0</v>
      </c>
      <c r="E135" s="6">
        <v>6375.9</v>
      </c>
      <c r="F135" s="6">
        <v>1748.88</v>
      </c>
      <c r="G135" s="6">
        <v>3408.55</v>
      </c>
      <c r="H135" s="6">
        <v>3446.54</v>
      </c>
      <c r="I135" s="6">
        <v>6526.92</v>
      </c>
      <c r="J135" s="6">
        <v>21506.79</v>
      </c>
      <c r="K135" s="6">
        <v>408.93</v>
      </c>
      <c r="L135" s="6">
        <v>27.39</v>
      </c>
      <c r="M135" s="6">
        <v>22390.560000000001</v>
      </c>
      <c r="N135" s="6">
        <v>12.6</v>
      </c>
      <c r="O135" s="6">
        <v>0</v>
      </c>
      <c r="P135" s="6">
        <v>208.74</v>
      </c>
      <c r="Q135" s="6">
        <v>76.87</v>
      </c>
      <c r="R135" s="6">
        <v>149.24</v>
      </c>
      <c r="S135">
        <v>1.18</v>
      </c>
      <c r="T135">
        <v>1.18</v>
      </c>
      <c r="U135">
        <v>0</v>
      </c>
      <c r="V135" s="6">
        <v>294.33</v>
      </c>
      <c r="W135" s="6">
        <v>0</v>
      </c>
      <c r="X135" s="6">
        <v>0</v>
      </c>
      <c r="Y135" s="6">
        <v>2078.7800000000002</v>
      </c>
      <c r="Z135" s="6">
        <v>740.33</v>
      </c>
      <c r="AA135" s="6">
        <v>22543.35</v>
      </c>
      <c r="AB135" s="6">
        <v>17.329999999999998</v>
      </c>
      <c r="AC135" s="6">
        <v>129.30000000000001</v>
      </c>
      <c r="AD135" s="6">
        <v>21.4</v>
      </c>
      <c r="AE135" s="6">
        <v>2814.33</v>
      </c>
      <c r="AF135" s="35">
        <v>0.12939999999999999</v>
      </c>
      <c r="AG135" s="35">
        <v>0.21529999999999999</v>
      </c>
      <c r="AH135">
        <v>1.18</v>
      </c>
      <c r="AI135">
        <v>1.18</v>
      </c>
      <c r="AJ135">
        <v>0</v>
      </c>
      <c r="AK135" s="35">
        <v>0.1206</v>
      </c>
      <c r="AL135" s="35">
        <v>0.20830000000000004</v>
      </c>
    </row>
    <row r="136" spans="1:38">
      <c r="A136" t="s">
        <v>911</v>
      </c>
      <c r="B136" t="s">
        <v>906</v>
      </c>
      <c r="C136" t="s">
        <v>1088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217.23</v>
      </c>
      <c r="J136" s="6">
        <v>217.23</v>
      </c>
      <c r="K136" s="6">
        <v>5.64</v>
      </c>
      <c r="L136" s="6">
        <v>7.0000000000000007E-2</v>
      </c>
      <c r="M136" s="6">
        <v>222.94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>
        <v>1.18</v>
      </c>
      <c r="T136">
        <v>1.18</v>
      </c>
      <c r="U136">
        <v>0</v>
      </c>
      <c r="V136" s="6">
        <v>0</v>
      </c>
      <c r="W136" s="6">
        <v>0</v>
      </c>
      <c r="X136" s="6">
        <v>0</v>
      </c>
      <c r="Y136" s="6">
        <v>55.33</v>
      </c>
      <c r="Z136" s="6">
        <v>0.11</v>
      </c>
      <c r="AA136" s="6">
        <v>222.94</v>
      </c>
      <c r="AB136" s="6">
        <v>25.23</v>
      </c>
      <c r="AC136" s="6">
        <v>134.88</v>
      </c>
      <c r="AD136" s="6">
        <v>22.32</v>
      </c>
      <c r="AE136" s="6">
        <v>55.44</v>
      </c>
      <c r="AF136" s="35">
        <v>0.29099999999999998</v>
      </c>
      <c r="AG136" s="35">
        <v>0.13</v>
      </c>
      <c r="AH136">
        <v>1.18</v>
      </c>
      <c r="AI136">
        <v>1.18</v>
      </c>
      <c r="AJ136">
        <v>0</v>
      </c>
      <c r="AK136" s="35">
        <v>0.3982</v>
      </c>
      <c r="AL136" s="35">
        <v>0.13</v>
      </c>
    </row>
    <row r="137" spans="1:38">
      <c r="A137" t="s">
        <v>899</v>
      </c>
      <c r="B137" t="s">
        <v>900</v>
      </c>
      <c r="C137" t="s">
        <v>1088</v>
      </c>
      <c r="D137" s="6">
        <v>0</v>
      </c>
      <c r="E137" s="6">
        <v>164.6</v>
      </c>
      <c r="F137" s="6">
        <v>37.6</v>
      </c>
      <c r="G137" s="6">
        <v>93.9</v>
      </c>
      <c r="H137" s="6">
        <v>83.7</v>
      </c>
      <c r="I137" s="6">
        <v>152.15</v>
      </c>
      <c r="J137" s="6">
        <v>531.95000000000005</v>
      </c>
      <c r="K137" s="6">
        <v>0.35</v>
      </c>
      <c r="L137" s="6">
        <v>0.18</v>
      </c>
      <c r="M137" s="6">
        <v>532.48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>
        <v>1.1499999999999999</v>
      </c>
      <c r="T137">
        <v>1.1499999999999999</v>
      </c>
      <c r="U137">
        <v>0</v>
      </c>
      <c r="V137" s="6">
        <v>0</v>
      </c>
      <c r="W137" s="6">
        <v>0</v>
      </c>
      <c r="X137" s="6">
        <v>0</v>
      </c>
      <c r="Y137" s="6">
        <v>119.22</v>
      </c>
      <c r="Z137" s="6">
        <v>13.22</v>
      </c>
      <c r="AA137" s="6">
        <v>534.64</v>
      </c>
      <c r="AB137" s="6">
        <v>17</v>
      </c>
      <c r="AC137" s="6">
        <v>134.6</v>
      </c>
      <c r="AD137" s="6">
        <v>22.28</v>
      </c>
      <c r="AE137" s="6">
        <v>132.44</v>
      </c>
      <c r="AF137" s="35">
        <v>3.2800000000000003E-2</v>
      </c>
      <c r="AG137" s="35">
        <v>0.1487</v>
      </c>
      <c r="AH137">
        <v>1.1200000000000001</v>
      </c>
      <c r="AI137">
        <v>1.1200000000000001</v>
      </c>
      <c r="AJ137">
        <v>0</v>
      </c>
      <c r="AK137" s="35">
        <v>0.14979999999999999</v>
      </c>
      <c r="AL137" s="35">
        <v>0.14759999999999995</v>
      </c>
    </row>
    <row r="138" spans="1:38">
      <c r="A138" t="s">
        <v>934</v>
      </c>
      <c r="B138" t="s">
        <v>1009</v>
      </c>
      <c r="C138" t="s">
        <v>1088</v>
      </c>
      <c r="D138" s="6">
        <v>0</v>
      </c>
      <c r="E138" s="6">
        <v>0</v>
      </c>
      <c r="F138" s="6">
        <v>0</v>
      </c>
      <c r="G138" s="6">
        <v>95.6</v>
      </c>
      <c r="H138" s="6">
        <v>166.3</v>
      </c>
      <c r="I138" s="6">
        <v>257.93</v>
      </c>
      <c r="J138" s="6">
        <v>519.83000000000004</v>
      </c>
      <c r="K138" s="6">
        <v>14.03</v>
      </c>
      <c r="L138" s="6">
        <v>0</v>
      </c>
      <c r="M138" s="6">
        <v>535.96</v>
      </c>
      <c r="N138" s="6">
        <v>0</v>
      </c>
      <c r="O138" s="6">
        <v>0</v>
      </c>
      <c r="P138" s="6">
        <v>0</v>
      </c>
      <c r="Q138" s="6">
        <v>0</v>
      </c>
      <c r="R138" s="6">
        <v>2.1</v>
      </c>
      <c r="S138">
        <v>1.18</v>
      </c>
      <c r="T138">
        <v>1.18</v>
      </c>
      <c r="U138">
        <v>0</v>
      </c>
      <c r="V138" s="6">
        <v>0</v>
      </c>
      <c r="W138" s="6">
        <v>0</v>
      </c>
      <c r="X138" s="6">
        <v>0</v>
      </c>
      <c r="Y138" s="6">
        <v>107</v>
      </c>
      <c r="Z138" s="6">
        <v>1.22</v>
      </c>
      <c r="AA138" s="6">
        <v>535.95000000000005</v>
      </c>
      <c r="AB138" s="6">
        <v>25.23</v>
      </c>
      <c r="AC138" s="6">
        <v>134.88</v>
      </c>
      <c r="AD138" s="6">
        <v>22.32</v>
      </c>
      <c r="AE138" s="6">
        <v>108.22</v>
      </c>
      <c r="AF138" s="35">
        <v>0.25729999999999997</v>
      </c>
      <c r="AG138" s="35">
        <v>0.13009999999999999</v>
      </c>
      <c r="AH138">
        <v>1.18</v>
      </c>
      <c r="AI138">
        <v>1.18</v>
      </c>
      <c r="AJ138">
        <v>0</v>
      </c>
      <c r="AK138" s="35">
        <v>0.3518</v>
      </c>
      <c r="AL138" s="35">
        <v>0.13149999999999995</v>
      </c>
    </row>
    <row r="139" spans="1:38">
      <c r="A139" t="s">
        <v>909</v>
      </c>
      <c r="B139" t="s">
        <v>904</v>
      </c>
      <c r="C139" t="s">
        <v>1088</v>
      </c>
      <c r="D139" s="6">
        <v>0</v>
      </c>
      <c r="E139" s="6">
        <v>0</v>
      </c>
      <c r="F139" s="6">
        <v>0</v>
      </c>
      <c r="G139" s="6">
        <v>170.9</v>
      </c>
      <c r="H139" s="6">
        <v>160.30000000000001</v>
      </c>
      <c r="I139" s="6">
        <v>0</v>
      </c>
      <c r="J139" s="6">
        <v>331.2</v>
      </c>
      <c r="K139" s="6">
        <v>0</v>
      </c>
      <c r="L139" s="6">
        <v>0</v>
      </c>
      <c r="M139" s="6">
        <v>331.2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>
        <v>1.18</v>
      </c>
      <c r="T139">
        <v>1.18</v>
      </c>
      <c r="U139">
        <v>0</v>
      </c>
      <c r="V139" s="6">
        <v>0</v>
      </c>
      <c r="W139" s="6">
        <v>0</v>
      </c>
      <c r="X139" s="6">
        <v>0</v>
      </c>
      <c r="Y139" s="6">
        <v>29.44</v>
      </c>
      <c r="Z139" s="6">
        <v>0</v>
      </c>
      <c r="AA139" s="6">
        <v>331.2</v>
      </c>
      <c r="AB139" s="6">
        <v>25.23</v>
      </c>
      <c r="AC139" s="6">
        <v>137.56</v>
      </c>
      <c r="AD139" s="6">
        <v>22.77</v>
      </c>
      <c r="AE139" s="6">
        <v>29.44</v>
      </c>
      <c r="AF139" s="35">
        <v>0.27739999999999998</v>
      </c>
      <c r="AG139" s="35">
        <v>0.1086</v>
      </c>
      <c r="AH139">
        <v>1.18</v>
      </c>
      <c r="AI139">
        <v>1.18</v>
      </c>
      <c r="AJ139">
        <v>0</v>
      </c>
      <c r="AK139" s="35">
        <v>0.1633</v>
      </c>
      <c r="AL139" s="35">
        <v>0.10670000000000002</v>
      </c>
    </row>
    <row r="140" spans="1:38">
      <c r="A140" t="s">
        <v>933</v>
      </c>
      <c r="B140" t="s">
        <v>1010</v>
      </c>
      <c r="C140" t="s">
        <v>1088</v>
      </c>
      <c r="D140" s="6">
        <v>0</v>
      </c>
      <c r="E140" s="6">
        <v>0</v>
      </c>
      <c r="F140" s="6">
        <v>0</v>
      </c>
      <c r="G140" s="6">
        <v>25.9</v>
      </c>
      <c r="H140" s="6">
        <v>54</v>
      </c>
      <c r="I140" s="6">
        <v>67.08</v>
      </c>
      <c r="J140" s="6">
        <v>146.97999999999999</v>
      </c>
      <c r="K140" s="6">
        <v>3.18</v>
      </c>
      <c r="L140" s="6">
        <v>0.63</v>
      </c>
      <c r="M140" s="6">
        <v>150.79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>
        <v>1.18</v>
      </c>
      <c r="T140">
        <v>1.18</v>
      </c>
      <c r="U140">
        <v>0</v>
      </c>
      <c r="V140" s="6">
        <v>0</v>
      </c>
      <c r="W140" s="6">
        <v>0</v>
      </c>
      <c r="X140" s="6">
        <v>0</v>
      </c>
      <c r="Y140" s="6">
        <v>31.22</v>
      </c>
      <c r="Z140" s="6">
        <v>1</v>
      </c>
      <c r="AA140" s="6">
        <v>150.78</v>
      </c>
      <c r="AB140" s="6">
        <v>25.23</v>
      </c>
      <c r="AC140" s="6">
        <v>134.88</v>
      </c>
      <c r="AD140" s="6">
        <v>22.32</v>
      </c>
      <c r="AE140" s="6">
        <v>32.22</v>
      </c>
      <c r="AF140" s="35">
        <v>0.55630000000000002</v>
      </c>
      <c r="AG140" s="35">
        <v>0.19139999999999999</v>
      </c>
      <c r="AH140">
        <v>1.18</v>
      </c>
      <c r="AI140">
        <v>1.18</v>
      </c>
      <c r="AJ140">
        <v>0</v>
      </c>
      <c r="AK140" s="35">
        <v>0.60409999999999997</v>
      </c>
      <c r="AL140" s="35">
        <v>0.12790000000000001</v>
      </c>
    </row>
    <row r="141" spans="1:38">
      <c r="A141" t="s">
        <v>997</v>
      </c>
      <c r="B141" t="s">
        <v>1011</v>
      </c>
      <c r="C141" t="s">
        <v>1088</v>
      </c>
      <c r="D141" s="6">
        <v>0</v>
      </c>
      <c r="E141" s="6">
        <v>341.7</v>
      </c>
      <c r="F141" s="6">
        <v>85.6</v>
      </c>
      <c r="G141" s="6">
        <v>54.8</v>
      </c>
      <c r="H141" s="6">
        <v>0</v>
      </c>
      <c r="I141" s="6">
        <v>0</v>
      </c>
      <c r="J141" s="6">
        <v>482.1</v>
      </c>
      <c r="K141" s="6">
        <v>0</v>
      </c>
      <c r="L141" s="6">
        <v>0</v>
      </c>
      <c r="M141" s="6">
        <v>482.1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>
        <v>1.18</v>
      </c>
      <c r="T141">
        <v>1.18</v>
      </c>
      <c r="U141">
        <v>0</v>
      </c>
      <c r="V141" s="6">
        <v>0</v>
      </c>
      <c r="W141" s="6">
        <v>0</v>
      </c>
      <c r="X141" s="6">
        <v>0</v>
      </c>
      <c r="Y141" s="6">
        <v>44.56</v>
      </c>
      <c r="Z141" s="6">
        <v>6.22</v>
      </c>
      <c r="AA141" s="6">
        <v>482.1</v>
      </c>
      <c r="AB141" s="6">
        <v>17</v>
      </c>
      <c r="AC141" s="6">
        <v>146.12</v>
      </c>
      <c r="AD141" s="6">
        <v>24.19</v>
      </c>
      <c r="AE141" s="6">
        <v>50.78</v>
      </c>
      <c r="AF141" s="35">
        <v>0.34110000000000001</v>
      </c>
      <c r="AG141" s="35">
        <v>0.10150000000000001</v>
      </c>
      <c r="AH141">
        <v>1.18</v>
      </c>
      <c r="AI141">
        <v>1.18</v>
      </c>
      <c r="AJ141">
        <v>0</v>
      </c>
      <c r="AK141" s="35">
        <v>0.3543</v>
      </c>
      <c r="AL141" s="35">
        <v>0.13149999999999995</v>
      </c>
    </row>
    <row r="142" spans="1:38">
      <c r="A142" t="s">
        <v>1012</v>
      </c>
      <c r="B142" t="s">
        <v>1013</v>
      </c>
      <c r="C142" t="s">
        <v>1088</v>
      </c>
      <c r="D142" s="6">
        <v>0</v>
      </c>
      <c r="E142" s="6">
        <v>284.2</v>
      </c>
      <c r="F142" s="6">
        <v>27.4</v>
      </c>
      <c r="G142" s="6">
        <v>0</v>
      </c>
      <c r="H142" s="6">
        <v>0</v>
      </c>
      <c r="I142" s="6">
        <v>0</v>
      </c>
      <c r="J142" s="6">
        <v>311.60000000000002</v>
      </c>
      <c r="K142" s="6">
        <v>0</v>
      </c>
      <c r="L142" s="6">
        <v>0</v>
      </c>
      <c r="M142" s="6">
        <v>311.60000000000002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>
        <v>1.18</v>
      </c>
      <c r="T142">
        <v>1.18</v>
      </c>
      <c r="U142">
        <v>0</v>
      </c>
      <c r="V142" s="6">
        <v>0</v>
      </c>
      <c r="W142" s="6">
        <v>0</v>
      </c>
      <c r="X142" s="6">
        <v>0</v>
      </c>
      <c r="Y142" s="6">
        <v>16.89</v>
      </c>
      <c r="Z142" s="6">
        <v>1</v>
      </c>
      <c r="AA142" s="6">
        <v>311.60000000000002</v>
      </c>
      <c r="AB142" s="6">
        <v>17</v>
      </c>
      <c r="AC142" s="6">
        <v>146.12</v>
      </c>
      <c r="AD142" s="6">
        <v>24.19</v>
      </c>
      <c r="AE142" s="6">
        <v>17.89</v>
      </c>
      <c r="AF142" s="35">
        <v>0.14399999999999999</v>
      </c>
      <c r="AG142" s="35">
        <v>0.08</v>
      </c>
      <c r="AH142">
        <v>1.18</v>
      </c>
      <c r="AI142">
        <v>1.18</v>
      </c>
      <c r="AJ142">
        <v>0</v>
      </c>
      <c r="AK142" s="35">
        <v>0.14979999999999999</v>
      </c>
      <c r="AL142" s="35">
        <v>9.9999999999999978E-2</v>
      </c>
    </row>
    <row r="143" spans="1:38">
      <c r="A143" t="s">
        <v>1014</v>
      </c>
      <c r="B143" t="s">
        <v>1031</v>
      </c>
      <c r="C143" t="s">
        <v>1088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149.88999999999999</v>
      </c>
      <c r="J143" s="6">
        <v>149.88999999999999</v>
      </c>
      <c r="K143" s="6">
        <v>13.05</v>
      </c>
      <c r="L143" s="6">
        <v>0.89</v>
      </c>
      <c r="M143" s="6">
        <v>163.83000000000001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>
        <v>1.18</v>
      </c>
      <c r="T143">
        <v>1.18</v>
      </c>
      <c r="U143">
        <v>0</v>
      </c>
      <c r="V143" s="6">
        <v>0</v>
      </c>
      <c r="W143" s="6">
        <v>0</v>
      </c>
      <c r="X143" s="6">
        <v>0</v>
      </c>
      <c r="Y143" s="6">
        <v>27.44</v>
      </c>
      <c r="Z143" s="6">
        <v>1.1100000000000001</v>
      </c>
      <c r="AA143" s="6">
        <v>164.91</v>
      </c>
      <c r="AB143" s="6">
        <v>25.23</v>
      </c>
      <c r="AC143" s="6">
        <v>137.56</v>
      </c>
      <c r="AD143" s="6">
        <v>22.77</v>
      </c>
      <c r="AE143" s="6">
        <v>28.55</v>
      </c>
      <c r="AF143" s="35">
        <v>0.14399999999999999</v>
      </c>
      <c r="AG143" s="35">
        <v>0.1852</v>
      </c>
      <c r="AH143">
        <v>1.18</v>
      </c>
      <c r="AI143">
        <v>1.18</v>
      </c>
      <c r="AJ143">
        <v>0</v>
      </c>
      <c r="AK143" s="35">
        <v>0.14979999999999999</v>
      </c>
      <c r="AL143" s="35">
        <v>0.13880000000000003</v>
      </c>
    </row>
    <row r="144" spans="1:38">
      <c r="A144" t="s">
        <v>1091</v>
      </c>
      <c r="B144" t="s">
        <v>1092</v>
      </c>
      <c r="C144" t="s">
        <v>1088</v>
      </c>
      <c r="D144" s="6">
        <v>0</v>
      </c>
      <c r="E144" s="6">
        <v>120</v>
      </c>
      <c r="F144" s="6">
        <v>0</v>
      </c>
      <c r="G144" s="6">
        <v>0</v>
      </c>
      <c r="H144" s="6">
        <v>0</v>
      </c>
      <c r="I144" s="6">
        <v>0</v>
      </c>
      <c r="J144" s="6">
        <v>120</v>
      </c>
      <c r="K144" s="6">
        <v>0</v>
      </c>
      <c r="L144" s="6">
        <v>0</v>
      </c>
      <c r="M144" s="6">
        <v>120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>
        <v>1.18</v>
      </c>
      <c r="T144">
        <v>1.18</v>
      </c>
      <c r="U144">
        <v>0</v>
      </c>
      <c r="V144" s="6">
        <v>0</v>
      </c>
      <c r="W144" s="6">
        <v>0</v>
      </c>
      <c r="X144" s="6">
        <v>0</v>
      </c>
      <c r="Y144" s="6">
        <v>12.88</v>
      </c>
      <c r="Z144" s="6">
        <v>0.88</v>
      </c>
      <c r="AA144" s="6">
        <v>124</v>
      </c>
      <c r="AB144" s="6">
        <v>17</v>
      </c>
      <c r="AC144" s="6">
        <v>128.38</v>
      </c>
      <c r="AD144" s="6">
        <v>21.25</v>
      </c>
      <c r="AE144" s="6">
        <v>13.89</v>
      </c>
      <c r="AF144" s="35">
        <v>0.12909999999999999</v>
      </c>
      <c r="AG144" s="35">
        <v>0.28960000000000002</v>
      </c>
      <c r="AH144">
        <v>1.18</v>
      </c>
      <c r="AI144">
        <v>1.18</v>
      </c>
      <c r="AJ144">
        <v>0</v>
      </c>
      <c r="AK144" s="35">
        <v>0.14979999999999999</v>
      </c>
      <c r="AL144" s="35">
        <v>7.999999999999996E-2</v>
      </c>
    </row>
    <row r="145" spans="1:38">
      <c r="A145" t="s">
        <v>347</v>
      </c>
      <c r="B145" t="s">
        <v>348</v>
      </c>
      <c r="C145" t="s">
        <v>1088</v>
      </c>
      <c r="D145" s="6">
        <v>0</v>
      </c>
      <c r="E145" s="6">
        <v>1374.3</v>
      </c>
      <c r="F145" s="6">
        <v>329.9</v>
      </c>
      <c r="G145" s="6">
        <v>605.76</v>
      </c>
      <c r="H145" s="6">
        <v>502.11</v>
      </c>
      <c r="I145" s="6">
        <v>1240.8900000000001</v>
      </c>
      <c r="J145" s="6">
        <v>4052.96</v>
      </c>
      <c r="K145" s="6">
        <v>60.21</v>
      </c>
      <c r="L145" s="6">
        <v>6.22</v>
      </c>
      <c r="M145" s="6">
        <v>4443.1400000000003</v>
      </c>
      <c r="N145" s="6">
        <v>0</v>
      </c>
      <c r="O145" s="6">
        <v>0</v>
      </c>
      <c r="P145" s="6">
        <v>55.56</v>
      </c>
      <c r="Q145" s="6">
        <v>28.65</v>
      </c>
      <c r="R145" s="6">
        <v>239.54</v>
      </c>
      <c r="S145">
        <v>1.18</v>
      </c>
      <c r="T145">
        <v>1.18</v>
      </c>
      <c r="U145">
        <v>0</v>
      </c>
      <c r="V145" s="6">
        <v>100.78</v>
      </c>
      <c r="W145" s="6">
        <v>0</v>
      </c>
      <c r="X145" s="6">
        <v>0</v>
      </c>
      <c r="Y145" s="6">
        <v>435.78</v>
      </c>
      <c r="Z145" s="6">
        <v>293.22000000000003</v>
      </c>
      <c r="AA145" s="6">
        <v>4281.8599999999997</v>
      </c>
      <c r="AB145" s="6">
        <v>17.829999999999998</v>
      </c>
      <c r="AC145" s="6">
        <v>124.87</v>
      </c>
      <c r="AD145" s="6">
        <v>20.67</v>
      </c>
      <c r="AE145" s="6">
        <v>729</v>
      </c>
      <c r="AF145" s="35">
        <v>0.1573</v>
      </c>
      <c r="AG145" s="35">
        <v>0.26850000000000002</v>
      </c>
      <c r="AH145">
        <v>1.18</v>
      </c>
      <c r="AI145">
        <v>1.18</v>
      </c>
      <c r="AJ145">
        <v>0</v>
      </c>
      <c r="AK145" s="35">
        <v>0.14369999999999999</v>
      </c>
      <c r="AL145" s="35">
        <v>0.27090000000000003</v>
      </c>
    </row>
    <row r="146" spans="1:38">
      <c r="A146" t="s">
        <v>329</v>
      </c>
      <c r="B146" t="s">
        <v>330</v>
      </c>
      <c r="C146" t="s">
        <v>1088</v>
      </c>
      <c r="D146" s="6">
        <v>0</v>
      </c>
      <c r="E146" s="6">
        <v>876.54</v>
      </c>
      <c r="F146" s="6">
        <v>248.23</v>
      </c>
      <c r="G146" s="6">
        <v>506.65</v>
      </c>
      <c r="H146" s="6">
        <v>553.5</v>
      </c>
      <c r="I146" s="6">
        <v>1164.96</v>
      </c>
      <c r="J146" s="6">
        <v>3349.88</v>
      </c>
      <c r="K146" s="6">
        <v>56.08</v>
      </c>
      <c r="L146" s="6">
        <v>3.02</v>
      </c>
      <c r="M146" s="6">
        <v>3465.35</v>
      </c>
      <c r="N146" s="6">
        <v>0</v>
      </c>
      <c r="O146" s="6">
        <v>0</v>
      </c>
      <c r="P146" s="6">
        <v>40.06</v>
      </c>
      <c r="Q146" s="6">
        <v>8</v>
      </c>
      <c r="R146" s="6">
        <v>8.31</v>
      </c>
      <c r="S146">
        <v>1.18</v>
      </c>
      <c r="T146">
        <v>1.18</v>
      </c>
      <c r="U146">
        <v>0.04</v>
      </c>
      <c r="V146" s="6">
        <v>33.78</v>
      </c>
      <c r="W146" s="6">
        <v>0</v>
      </c>
      <c r="X146" s="6">
        <v>0</v>
      </c>
      <c r="Y146" s="6">
        <v>331</v>
      </c>
      <c r="Z146" s="6">
        <v>98.89</v>
      </c>
      <c r="AA146" s="6">
        <v>3470.75</v>
      </c>
      <c r="AB146" s="6">
        <v>17</v>
      </c>
      <c r="AC146" s="6">
        <v>126.97</v>
      </c>
      <c r="AD146" s="6">
        <v>21.02</v>
      </c>
      <c r="AE146" s="6">
        <v>429.89</v>
      </c>
      <c r="AF146" s="35">
        <v>0.17050000000000001</v>
      </c>
      <c r="AG146" s="35">
        <v>0.20449999999999999</v>
      </c>
      <c r="AH146">
        <v>1.18</v>
      </c>
      <c r="AI146">
        <v>1.18</v>
      </c>
      <c r="AJ146">
        <v>4.0000000000000036E-2</v>
      </c>
      <c r="AK146" s="35">
        <v>0.1807</v>
      </c>
      <c r="AL146" s="35">
        <v>0.20350000000000001</v>
      </c>
    </row>
    <row r="147" spans="1:38">
      <c r="A147" t="s">
        <v>631</v>
      </c>
      <c r="B147" t="s">
        <v>632</v>
      </c>
      <c r="C147" t="s">
        <v>1088</v>
      </c>
      <c r="D147" s="6">
        <v>0</v>
      </c>
      <c r="E147" s="6">
        <v>1477.08</v>
      </c>
      <c r="F147" s="6">
        <v>384.3</v>
      </c>
      <c r="G147" s="6">
        <v>801.39</v>
      </c>
      <c r="H147" s="6">
        <v>808.46</v>
      </c>
      <c r="I147" s="6">
        <v>1537.49</v>
      </c>
      <c r="J147" s="6">
        <v>5008.72</v>
      </c>
      <c r="K147" s="6">
        <v>204.79</v>
      </c>
      <c r="L147" s="6">
        <v>9.27</v>
      </c>
      <c r="M147" s="6">
        <v>5288.83</v>
      </c>
      <c r="N147" s="6">
        <v>0</v>
      </c>
      <c r="O147" s="6">
        <v>0</v>
      </c>
      <c r="P147" s="6">
        <v>25.3</v>
      </c>
      <c r="Q147" s="6">
        <v>10.57</v>
      </c>
      <c r="R147" s="6">
        <v>30.18</v>
      </c>
      <c r="S147">
        <v>1.18</v>
      </c>
      <c r="T147">
        <v>1.18</v>
      </c>
      <c r="U147">
        <v>0.04</v>
      </c>
      <c r="V147" s="6">
        <v>74.67</v>
      </c>
      <c r="W147" s="6">
        <v>0</v>
      </c>
      <c r="X147" s="6">
        <v>0</v>
      </c>
      <c r="Y147" s="6">
        <v>463.22</v>
      </c>
      <c r="Z147" s="6">
        <v>206.78</v>
      </c>
      <c r="AA147" s="6">
        <v>5336.08</v>
      </c>
      <c r="AB147" s="6">
        <v>17.14</v>
      </c>
      <c r="AC147" s="6">
        <v>128.11000000000001</v>
      </c>
      <c r="AD147" s="6">
        <v>21.2</v>
      </c>
      <c r="AE147" s="6">
        <v>669</v>
      </c>
      <c r="AF147" s="35">
        <v>0.1842</v>
      </c>
      <c r="AG147" s="35">
        <v>0.20250000000000001</v>
      </c>
      <c r="AH147">
        <v>1.18</v>
      </c>
      <c r="AI147">
        <v>1.18</v>
      </c>
      <c r="AJ147">
        <v>4.0000000000000036E-2</v>
      </c>
      <c r="AK147" s="35">
        <v>0.20169999999999999</v>
      </c>
      <c r="AL147" s="35">
        <v>0.20020000000000004</v>
      </c>
    </row>
    <row r="148" spans="1:38">
      <c r="A148" t="s">
        <v>370</v>
      </c>
      <c r="B148" t="s">
        <v>371</v>
      </c>
      <c r="C148" t="s">
        <v>1088</v>
      </c>
      <c r="D148" s="6">
        <v>46.1</v>
      </c>
      <c r="E148" s="6">
        <v>3121.9</v>
      </c>
      <c r="F148" s="6">
        <v>844</v>
      </c>
      <c r="G148" s="6">
        <v>1627.02</v>
      </c>
      <c r="H148" s="6">
        <v>1521.92</v>
      </c>
      <c r="I148" s="6">
        <v>2838.95</v>
      </c>
      <c r="J148" s="6">
        <v>9953.7900000000009</v>
      </c>
      <c r="K148" s="6">
        <v>328.43</v>
      </c>
      <c r="L148" s="6">
        <v>17.48</v>
      </c>
      <c r="M148" s="6">
        <v>10813.88</v>
      </c>
      <c r="N148" s="6">
        <v>0</v>
      </c>
      <c r="O148" s="6">
        <v>0</v>
      </c>
      <c r="P148" s="6">
        <v>110.3</v>
      </c>
      <c r="Q148" s="6">
        <v>58.4</v>
      </c>
      <c r="R148" s="6">
        <v>345.48</v>
      </c>
      <c r="S148">
        <v>1.18</v>
      </c>
      <c r="T148">
        <v>1.18</v>
      </c>
      <c r="U148">
        <v>0.04</v>
      </c>
      <c r="V148" s="6">
        <v>154.22</v>
      </c>
      <c r="W148" s="6">
        <v>0</v>
      </c>
      <c r="X148" s="6">
        <v>0</v>
      </c>
      <c r="Y148" s="6">
        <v>1104</v>
      </c>
      <c r="Z148" s="6">
        <v>558.22</v>
      </c>
      <c r="AA148" s="6">
        <v>10827.1</v>
      </c>
      <c r="AB148" s="6">
        <v>17</v>
      </c>
      <c r="AC148" s="6">
        <v>126.3</v>
      </c>
      <c r="AD148" s="6">
        <v>20.9</v>
      </c>
      <c r="AE148" s="6">
        <v>1662.11</v>
      </c>
      <c r="AF148" s="35">
        <v>0.13589999999999999</v>
      </c>
      <c r="AG148" s="35">
        <v>0.27210000000000001</v>
      </c>
      <c r="AH148">
        <v>1.18</v>
      </c>
      <c r="AI148">
        <v>1.18</v>
      </c>
      <c r="AJ148">
        <v>4.0000000000000036E-2</v>
      </c>
      <c r="AK148" s="35">
        <v>0.14460000000000001</v>
      </c>
      <c r="AL148" s="35">
        <v>0.26370000000000005</v>
      </c>
    </row>
    <row r="149" spans="1:38">
      <c r="A149" t="s">
        <v>775</v>
      </c>
      <c r="B149" t="s">
        <v>776</v>
      </c>
      <c r="C149" t="s">
        <v>1088</v>
      </c>
      <c r="D149" s="6">
        <v>0</v>
      </c>
      <c r="E149" s="6">
        <v>2835.98</v>
      </c>
      <c r="F149" s="6">
        <v>690.68</v>
      </c>
      <c r="G149" s="6">
        <v>1397.31</v>
      </c>
      <c r="H149" s="6">
        <v>1350.52</v>
      </c>
      <c r="I149" s="6">
        <v>2143.77</v>
      </c>
      <c r="J149" s="6">
        <v>8418.26</v>
      </c>
      <c r="K149" s="6">
        <v>218.5</v>
      </c>
      <c r="L149" s="6">
        <v>15.02</v>
      </c>
      <c r="M149" s="6">
        <v>9159.2999999999993</v>
      </c>
      <c r="N149" s="6">
        <v>0</v>
      </c>
      <c r="O149" s="6">
        <v>0</v>
      </c>
      <c r="P149" s="6">
        <v>60.62</v>
      </c>
      <c r="Q149" s="6">
        <v>55.34</v>
      </c>
      <c r="R149" s="6">
        <v>391.56</v>
      </c>
      <c r="S149">
        <v>1.18</v>
      </c>
      <c r="T149">
        <v>1.18</v>
      </c>
      <c r="U149">
        <v>0</v>
      </c>
      <c r="V149" s="6">
        <v>138.11000000000001</v>
      </c>
      <c r="W149" s="6">
        <v>0</v>
      </c>
      <c r="X149" s="6">
        <v>0</v>
      </c>
      <c r="Y149" s="6">
        <v>871.11</v>
      </c>
      <c r="Z149" s="6">
        <v>603</v>
      </c>
      <c r="AA149" s="6">
        <v>9222.82</v>
      </c>
      <c r="AB149" s="6">
        <v>17</v>
      </c>
      <c r="AC149" s="6">
        <v>132.33000000000001</v>
      </c>
      <c r="AD149" s="6">
        <v>21.9</v>
      </c>
      <c r="AE149" s="6">
        <v>1473.11</v>
      </c>
      <c r="AF149" s="35">
        <v>0.14610000000000001</v>
      </c>
      <c r="AG149" s="35">
        <v>0.2868</v>
      </c>
      <c r="AH149">
        <v>1.18</v>
      </c>
      <c r="AI149">
        <v>1.18</v>
      </c>
      <c r="AJ149">
        <v>0</v>
      </c>
      <c r="AK149" s="35">
        <v>0.16969999999999999</v>
      </c>
      <c r="AL149" s="35">
        <v>0.28220000000000001</v>
      </c>
    </row>
    <row r="150" spans="1:38">
      <c r="A150" t="s">
        <v>1015</v>
      </c>
      <c r="B150" t="s">
        <v>1016</v>
      </c>
      <c r="C150" t="s">
        <v>1088</v>
      </c>
      <c r="D150" s="6">
        <v>0</v>
      </c>
      <c r="E150" s="6">
        <v>224.9</v>
      </c>
      <c r="F150" s="6">
        <v>57.4</v>
      </c>
      <c r="G150" s="6">
        <v>97.8</v>
      </c>
      <c r="H150" s="6">
        <v>100.92</v>
      </c>
      <c r="I150" s="6">
        <v>0</v>
      </c>
      <c r="J150" s="6">
        <v>481.02</v>
      </c>
      <c r="K150" s="6">
        <v>0</v>
      </c>
      <c r="L150" s="6">
        <v>0</v>
      </c>
      <c r="M150" s="6">
        <v>481.02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>
        <v>1.18</v>
      </c>
      <c r="T150">
        <v>1.18</v>
      </c>
      <c r="U150">
        <v>0</v>
      </c>
      <c r="V150" s="6">
        <v>0</v>
      </c>
      <c r="W150" s="6">
        <v>0</v>
      </c>
      <c r="X150" s="6">
        <v>0</v>
      </c>
      <c r="Y150" s="6">
        <v>62.33</v>
      </c>
      <c r="Z150" s="6">
        <v>1.33</v>
      </c>
      <c r="AA150" s="6">
        <v>481.02</v>
      </c>
      <c r="AB150" s="6">
        <v>17</v>
      </c>
      <c r="AC150" s="6">
        <v>132.78</v>
      </c>
      <c r="AD150" s="6">
        <v>21.98</v>
      </c>
      <c r="AE150" s="6">
        <v>63.66</v>
      </c>
      <c r="AF150" s="35">
        <v>0.14399999999999999</v>
      </c>
      <c r="AG150" s="35">
        <v>9.98E-2</v>
      </c>
      <c r="AH150">
        <v>1.18</v>
      </c>
      <c r="AI150">
        <v>1.18</v>
      </c>
      <c r="AJ150">
        <v>0</v>
      </c>
      <c r="AK150" s="35">
        <v>0.14979999999999999</v>
      </c>
      <c r="AL150" s="35">
        <v>0.10029999999999994</v>
      </c>
    </row>
    <row r="151" spans="1:38">
      <c r="A151" t="s">
        <v>901</v>
      </c>
      <c r="B151" t="s">
        <v>902</v>
      </c>
      <c r="C151" t="s">
        <v>1088</v>
      </c>
      <c r="D151" s="6">
        <v>0</v>
      </c>
      <c r="E151" s="6">
        <v>0</v>
      </c>
      <c r="F151" s="6">
        <v>0</v>
      </c>
      <c r="G151" s="6">
        <v>11.8</v>
      </c>
      <c r="H151" s="6">
        <v>16.399999999999999</v>
      </c>
      <c r="I151" s="6">
        <v>46.12</v>
      </c>
      <c r="J151" s="6">
        <v>74.319999999999993</v>
      </c>
      <c r="K151" s="6">
        <v>0.44</v>
      </c>
      <c r="L151" s="6">
        <v>0</v>
      </c>
      <c r="M151" s="6">
        <v>74.760000000000005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>
        <v>1.18</v>
      </c>
      <c r="T151">
        <v>1.18</v>
      </c>
      <c r="U151">
        <v>0</v>
      </c>
      <c r="V151" s="6">
        <v>0</v>
      </c>
      <c r="W151" s="6">
        <v>0</v>
      </c>
      <c r="X151" s="6">
        <v>0</v>
      </c>
      <c r="Y151" s="6">
        <v>19.11</v>
      </c>
      <c r="Z151" s="6">
        <v>0.33</v>
      </c>
      <c r="AA151" s="6">
        <v>74.760000000000005</v>
      </c>
      <c r="AB151" s="6">
        <v>25.23</v>
      </c>
      <c r="AC151" s="6">
        <v>124.87</v>
      </c>
      <c r="AD151" s="6">
        <v>20.67</v>
      </c>
      <c r="AE151" s="6">
        <v>19.440000000000001</v>
      </c>
      <c r="AF151" s="35">
        <v>9.3100000000000002E-2</v>
      </c>
      <c r="AG151" s="35">
        <v>0.1542</v>
      </c>
      <c r="AH151">
        <v>1.18</v>
      </c>
      <c r="AI151">
        <v>1.18</v>
      </c>
      <c r="AJ151">
        <v>0</v>
      </c>
      <c r="AK151" s="35">
        <v>0.14979999999999999</v>
      </c>
      <c r="AL151" s="35">
        <v>0.13900000000000001</v>
      </c>
    </row>
    <row r="152" spans="1:38">
      <c r="A152" t="s">
        <v>420</v>
      </c>
      <c r="B152" t="s">
        <v>421</v>
      </c>
      <c r="C152" t="s">
        <v>1088</v>
      </c>
      <c r="D152" s="6">
        <v>0</v>
      </c>
      <c r="E152" s="6">
        <v>32.4</v>
      </c>
      <c r="F152" s="6">
        <v>5</v>
      </c>
      <c r="G152" s="6">
        <v>7</v>
      </c>
      <c r="H152" s="6">
        <v>0</v>
      </c>
      <c r="I152" s="6">
        <v>0</v>
      </c>
      <c r="J152" s="6">
        <v>44.4</v>
      </c>
      <c r="K152" s="6">
        <v>0</v>
      </c>
      <c r="L152" s="6">
        <v>0</v>
      </c>
      <c r="M152" s="6">
        <v>44.4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>
        <v>1</v>
      </c>
      <c r="T152">
        <v>1</v>
      </c>
      <c r="U152">
        <v>0.04</v>
      </c>
      <c r="V152" s="6">
        <v>0</v>
      </c>
      <c r="W152" s="6">
        <v>0</v>
      </c>
      <c r="X152" s="6">
        <v>0</v>
      </c>
      <c r="Y152" s="6">
        <v>8.33</v>
      </c>
      <c r="Z152" s="6">
        <v>0</v>
      </c>
      <c r="AA152" s="6">
        <v>44.4</v>
      </c>
      <c r="AB152" s="6">
        <v>22.67</v>
      </c>
      <c r="AC152" s="6">
        <v>116.99</v>
      </c>
      <c r="AD152" s="6">
        <v>19.36</v>
      </c>
      <c r="AE152" s="6">
        <v>8.33</v>
      </c>
      <c r="AF152" s="35">
        <v>0.28799999999999998</v>
      </c>
      <c r="AG152" s="35">
        <v>0.08</v>
      </c>
      <c r="AH152">
        <v>1</v>
      </c>
      <c r="AI152">
        <v>1</v>
      </c>
      <c r="AJ152">
        <v>4.0000000000000036E-2</v>
      </c>
      <c r="AK152" s="35">
        <v>0.34279999999999999</v>
      </c>
      <c r="AL152" s="35">
        <v>7.999999999999996E-2</v>
      </c>
    </row>
    <row r="153" spans="1:38">
      <c r="A153" t="s">
        <v>440</v>
      </c>
      <c r="B153" t="s">
        <v>441</v>
      </c>
      <c r="C153" t="s">
        <v>1088</v>
      </c>
      <c r="D153" s="6">
        <v>0</v>
      </c>
      <c r="E153" s="6">
        <v>21.9</v>
      </c>
      <c r="F153" s="6">
        <v>6.1</v>
      </c>
      <c r="G153" s="6">
        <v>11.56</v>
      </c>
      <c r="H153" s="6">
        <v>15.3</v>
      </c>
      <c r="I153" s="6">
        <v>31.05</v>
      </c>
      <c r="J153" s="6">
        <v>85.91</v>
      </c>
      <c r="K153" s="6">
        <v>0</v>
      </c>
      <c r="L153" s="6">
        <v>0</v>
      </c>
      <c r="M153" s="6">
        <v>85.91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>
        <v>1.1200000000000001</v>
      </c>
      <c r="T153">
        <v>1.1200000000000001</v>
      </c>
      <c r="U153">
        <v>0</v>
      </c>
      <c r="V153" s="6">
        <v>0.44</v>
      </c>
      <c r="W153" s="6">
        <v>0</v>
      </c>
      <c r="X153" s="6">
        <v>0</v>
      </c>
      <c r="Y153" s="6">
        <v>12.11</v>
      </c>
      <c r="Z153" s="6">
        <v>2.89</v>
      </c>
      <c r="AA153" s="6">
        <v>85.91</v>
      </c>
      <c r="AB153" s="6">
        <v>17</v>
      </c>
      <c r="AC153" s="6">
        <v>128.11000000000001</v>
      </c>
      <c r="AD153" s="6">
        <v>21.2</v>
      </c>
      <c r="AE153" s="6">
        <v>15</v>
      </c>
      <c r="AF153" s="35">
        <v>0.4521</v>
      </c>
      <c r="AG153" s="35">
        <v>0.21199999999999999</v>
      </c>
      <c r="AH153">
        <v>1.1200000000000001</v>
      </c>
      <c r="AI153">
        <v>1.1200000000000001</v>
      </c>
      <c r="AJ153">
        <v>0</v>
      </c>
      <c r="AK153" s="35">
        <v>0.40179999999999999</v>
      </c>
      <c r="AL153" s="35">
        <v>0.16139999999999999</v>
      </c>
    </row>
    <row r="154" spans="1:38">
      <c r="A154" t="s">
        <v>819</v>
      </c>
      <c r="B154" t="s">
        <v>820</v>
      </c>
      <c r="C154" t="s">
        <v>1088</v>
      </c>
      <c r="D154" s="6">
        <v>16.7</v>
      </c>
      <c r="E154" s="6">
        <v>91.12</v>
      </c>
      <c r="F154" s="6">
        <v>22.8</v>
      </c>
      <c r="G154" s="6">
        <v>45.1</v>
      </c>
      <c r="H154" s="6">
        <v>36.6</v>
      </c>
      <c r="I154" s="6">
        <v>41.51</v>
      </c>
      <c r="J154" s="6">
        <v>237.13</v>
      </c>
      <c r="K154" s="6">
        <v>3.47</v>
      </c>
      <c r="L154" s="6">
        <v>0</v>
      </c>
      <c r="M154" s="6">
        <v>240.6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>
        <v>1.06</v>
      </c>
      <c r="T154">
        <v>1.06</v>
      </c>
      <c r="U154">
        <v>0</v>
      </c>
      <c r="V154" s="6">
        <v>1.67</v>
      </c>
      <c r="W154" s="6">
        <v>4</v>
      </c>
      <c r="X154" s="6">
        <v>0</v>
      </c>
      <c r="Y154" s="6">
        <v>34.22</v>
      </c>
      <c r="Z154" s="6">
        <v>2</v>
      </c>
      <c r="AA154" s="6">
        <v>257.3</v>
      </c>
      <c r="AB154" s="6">
        <v>17</v>
      </c>
      <c r="AC154" s="6">
        <v>123.93</v>
      </c>
      <c r="AD154" s="6">
        <v>20.51</v>
      </c>
      <c r="AE154" s="6">
        <v>40.22</v>
      </c>
      <c r="AF154" s="35">
        <v>0.28660000000000002</v>
      </c>
      <c r="AG154" s="35">
        <v>0.12720000000000001</v>
      </c>
      <c r="AH154">
        <v>1.06</v>
      </c>
      <c r="AI154">
        <v>1.06</v>
      </c>
      <c r="AJ154">
        <v>0</v>
      </c>
      <c r="AK154" s="35">
        <v>0.27260000000000001</v>
      </c>
      <c r="AL154" s="35">
        <v>9.8899999999999988E-2</v>
      </c>
    </row>
    <row r="155" spans="1:38">
      <c r="A155" t="s">
        <v>444</v>
      </c>
      <c r="B155" t="s">
        <v>445</v>
      </c>
      <c r="C155" t="s">
        <v>1088</v>
      </c>
      <c r="D155" s="6">
        <v>34.78</v>
      </c>
      <c r="E155" s="6">
        <v>950.04</v>
      </c>
      <c r="F155" s="6">
        <v>212.52</v>
      </c>
      <c r="G155" s="6">
        <v>491.48</v>
      </c>
      <c r="H155" s="6">
        <v>510.17</v>
      </c>
      <c r="I155" s="6">
        <v>819.5</v>
      </c>
      <c r="J155" s="6">
        <v>2983.71</v>
      </c>
      <c r="K155" s="6">
        <v>108.36</v>
      </c>
      <c r="L155" s="6">
        <v>0.21</v>
      </c>
      <c r="M155" s="6">
        <v>3230.27</v>
      </c>
      <c r="N155" s="6">
        <v>14.2</v>
      </c>
      <c r="O155" s="6">
        <v>0</v>
      </c>
      <c r="P155" s="6">
        <v>17.2</v>
      </c>
      <c r="Q155" s="6">
        <v>15.69</v>
      </c>
      <c r="R155" s="6">
        <v>90.9</v>
      </c>
      <c r="S155">
        <v>1</v>
      </c>
      <c r="T155">
        <v>1</v>
      </c>
      <c r="U155">
        <v>0</v>
      </c>
      <c r="V155" s="6">
        <v>38.33</v>
      </c>
      <c r="W155" s="6">
        <v>5.44</v>
      </c>
      <c r="X155" s="6">
        <v>2.33</v>
      </c>
      <c r="Y155" s="6">
        <v>300.33</v>
      </c>
      <c r="Z155" s="6">
        <v>132.66999999999999</v>
      </c>
      <c r="AA155" s="6">
        <v>3266.78</v>
      </c>
      <c r="AB155" s="6">
        <v>17</v>
      </c>
      <c r="AC155" s="6">
        <v>126.55</v>
      </c>
      <c r="AD155" s="6">
        <v>20.95</v>
      </c>
      <c r="AE155" s="6">
        <v>441.55</v>
      </c>
      <c r="AF155" s="35">
        <v>0.16039999999999999</v>
      </c>
      <c r="AG155" s="35">
        <v>0.24360000000000001</v>
      </c>
      <c r="AH155">
        <v>1</v>
      </c>
      <c r="AI155">
        <v>1</v>
      </c>
      <c r="AJ155">
        <v>0</v>
      </c>
      <c r="AK155" s="35">
        <v>0.15870000000000001</v>
      </c>
      <c r="AL155" s="35">
        <v>0.22750000000000004</v>
      </c>
    </row>
    <row r="156" spans="1:38">
      <c r="A156" t="s">
        <v>532</v>
      </c>
      <c r="B156" t="s">
        <v>533</v>
      </c>
      <c r="C156" t="s">
        <v>1088</v>
      </c>
      <c r="D156" s="6">
        <v>18</v>
      </c>
      <c r="E156" s="6">
        <v>160.9</v>
      </c>
      <c r="F156" s="6">
        <v>29.4</v>
      </c>
      <c r="G156" s="6">
        <v>90.23</v>
      </c>
      <c r="H156" s="6">
        <v>87.8</v>
      </c>
      <c r="I156" s="6">
        <v>165.12</v>
      </c>
      <c r="J156" s="6">
        <v>533.45000000000005</v>
      </c>
      <c r="K156" s="6">
        <v>11.22</v>
      </c>
      <c r="L156" s="6">
        <v>0</v>
      </c>
      <c r="M156" s="6">
        <v>550.07000000000005</v>
      </c>
      <c r="N156" s="6">
        <v>5.4</v>
      </c>
      <c r="O156" s="6">
        <v>0</v>
      </c>
      <c r="P156" s="6">
        <v>0</v>
      </c>
      <c r="Q156" s="6">
        <v>0</v>
      </c>
      <c r="R156" s="6">
        <v>0</v>
      </c>
      <c r="S156">
        <v>1</v>
      </c>
      <c r="T156">
        <v>1</v>
      </c>
      <c r="U156">
        <v>0</v>
      </c>
      <c r="V156" s="6">
        <v>1.44</v>
      </c>
      <c r="W156" s="6">
        <v>1.78</v>
      </c>
      <c r="X156" s="6">
        <v>0.22</v>
      </c>
      <c r="Y156" s="6">
        <v>54.67</v>
      </c>
      <c r="Z156" s="6">
        <v>18.559999999999999</v>
      </c>
      <c r="AA156" s="6">
        <v>568.05999999999995</v>
      </c>
      <c r="AB156" s="6">
        <v>18.28</v>
      </c>
      <c r="AC156" s="6">
        <v>126.7</v>
      </c>
      <c r="AD156" s="6">
        <v>20.97</v>
      </c>
      <c r="AE156" s="6">
        <v>74.45</v>
      </c>
      <c r="AF156" s="35">
        <v>0.26379999999999998</v>
      </c>
      <c r="AG156" s="35">
        <v>0.245</v>
      </c>
      <c r="AH156">
        <v>1</v>
      </c>
      <c r="AI156">
        <v>1</v>
      </c>
      <c r="AJ156">
        <v>0</v>
      </c>
      <c r="AK156" s="35">
        <v>0.3085</v>
      </c>
      <c r="AL156" s="35">
        <v>0.21870000000000001</v>
      </c>
    </row>
    <row r="157" spans="1:38">
      <c r="A157" t="s">
        <v>386</v>
      </c>
      <c r="B157" t="s">
        <v>387</v>
      </c>
      <c r="C157" t="s">
        <v>1088</v>
      </c>
      <c r="D157" s="6">
        <v>35.9</v>
      </c>
      <c r="E157" s="6">
        <v>269.58</v>
      </c>
      <c r="F157" s="6">
        <v>58.6</v>
      </c>
      <c r="G157" s="6">
        <v>125.4</v>
      </c>
      <c r="H157" s="6">
        <v>156.78</v>
      </c>
      <c r="I157" s="6">
        <v>256.67</v>
      </c>
      <c r="J157" s="6">
        <v>867.03</v>
      </c>
      <c r="K157" s="6">
        <v>18.78</v>
      </c>
      <c r="L157" s="6">
        <v>0</v>
      </c>
      <c r="M157" s="6">
        <v>904.82</v>
      </c>
      <c r="N157" s="6">
        <v>0</v>
      </c>
      <c r="O157" s="6">
        <v>0</v>
      </c>
      <c r="P157" s="6">
        <v>0</v>
      </c>
      <c r="Q157" s="6">
        <v>0</v>
      </c>
      <c r="R157" s="6">
        <v>19.010000000000002</v>
      </c>
      <c r="S157">
        <v>1.06</v>
      </c>
      <c r="T157">
        <v>1.06</v>
      </c>
      <c r="U157">
        <v>0</v>
      </c>
      <c r="V157" s="6">
        <v>16.11</v>
      </c>
      <c r="W157" s="6">
        <v>7.22</v>
      </c>
      <c r="X157" s="6">
        <v>1.78</v>
      </c>
      <c r="Y157" s="6">
        <v>93.78</v>
      </c>
      <c r="Z157" s="6">
        <v>30.22</v>
      </c>
      <c r="AA157" s="6">
        <v>940.71</v>
      </c>
      <c r="AB157" s="6">
        <v>18.28</v>
      </c>
      <c r="AC157" s="6">
        <v>131.69999999999999</v>
      </c>
      <c r="AD157" s="6">
        <v>21.8</v>
      </c>
      <c r="AE157" s="6">
        <v>133</v>
      </c>
      <c r="AF157" s="35">
        <v>0.20699999999999999</v>
      </c>
      <c r="AG157" s="35">
        <v>0.186</v>
      </c>
      <c r="AH157">
        <v>1.06</v>
      </c>
      <c r="AI157">
        <v>1.06</v>
      </c>
      <c r="AJ157">
        <v>0</v>
      </c>
      <c r="AK157" s="35">
        <v>0.20050000000000001</v>
      </c>
      <c r="AL157" s="35">
        <v>0.17500000000000004</v>
      </c>
    </row>
    <row r="158" spans="1:38">
      <c r="A158" t="s">
        <v>616</v>
      </c>
      <c r="B158" t="s">
        <v>617</v>
      </c>
      <c r="C158" t="s">
        <v>1088</v>
      </c>
      <c r="D158" s="6">
        <v>0</v>
      </c>
      <c r="E158" s="6">
        <v>214.21</v>
      </c>
      <c r="F158" s="6">
        <v>58.7</v>
      </c>
      <c r="G158" s="6">
        <v>117.1</v>
      </c>
      <c r="H158" s="6">
        <v>134.47999999999999</v>
      </c>
      <c r="I158" s="6">
        <v>246.24</v>
      </c>
      <c r="J158" s="6">
        <v>770.73</v>
      </c>
      <c r="K158" s="6">
        <v>26.98</v>
      </c>
      <c r="L158" s="6">
        <v>3.12</v>
      </c>
      <c r="M158" s="6">
        <v>807.03</v>
      </c>
      <c r="N158" s="6">
        <v>6.2</v>
      </c>
      <c r="O158" s="6">
        <v>0</v>
      </c>
      <c r="P158" s="6">
        <v>0</v>
      </c>
      <c r="Q158" s="6">
        <v>0</v>
      </c>
      <c r="R158" s="6">
        <v>0</v>
      </c>
      <c r="S158">
        <v>1</v>
      </c>
      <c r="T158">
        <v>1</v>
      </c>
      <c r="U158">
        <v>0</v>
      </c>
      <c r="V158" s="6">
        <v>10.220000000000001</v>
      </c>
      <c r="W158" s="6">
        <v>0</v>
      </c>
      <c r="X158" s="6">
        <v>0</v>
      </c>
      <c r="Y158" s="6">
        <v>60.11</v>
      </c>
      <c r="Z158" s="6">
        <v>30</v>
      </c>
      <c r="AA158" s="6">
        <v>809.29</v>
      </c>
      <c r="AB158" s="6">
        <v>17</v>
      </c>
      <c r="AC158" s="6">
        <v>122.27</v>
      </c>
      <c r="AD158" s="6">
        <v>20.239999999999998</v>
      </c>
      <c r="AE158" s="6">
        <v>85.11</v>
      </c>
      <c r="AF158" s="35">
        <v>0.1958</v>
      </c>
      <c r="AG158" s="35">
        <v>0.17899999999999999</v>
      </c>
      <c r="AH158">
        <v>1</v>
      </c>
      <c r="AI158">
        <v>1</v>
      </c>
      <c r="AJ158">
        <v>0</v>
      </c>
      <c r="AK158" s="35">
        <v>0.1895</v>
      </c>
      <c r="AL158" s="35">
        <v>0.18230000000000002</v>
      </c>
    </row>
    <row r="159" spans="1:38">
      <c r="A159" t="s">
        <v>456</v>
      </c>
      <c r="B159" t="s">
        <v>457</v>
      </c>
      <c r="C159" t="s">
        <v>1088</v>
      </c>
      <c r="D159" s="6">
        <v>3.5</v>
      </c>
      <c r="E159" s="6">
        <v>32.799999999999997</v>
      </c>
      <c r="F159" s="6">
        <v>6.1</v>
      </c>
      <c r="G159" s="6">
        <v>16.5</v>
      </c>
      <c r="H159" s="6">
        <v>0</v>
      </c>
      <c r="I159" s="6">
        <v>0</v>
      </c>
      <c r="J159" s="6">
        <v>55.4</v>
      </c>
      <c r="K159" s="6">
        <v>0</v>
      </c>
      <c r="L159" s="6">
        <v>0</v>
      </c>
      <c r="M159" s="6">
        <v>55.4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>
        <v>1</v>
      </c>
      <c r="T159">
        <v>1</v>
      </c>
      <c r="U159">
        <v>0</v>
      </c>
      <c r="V159" s="6">
        <v>0</v>
      </c>
      <c r="W159" s="6">
        <v>1</v>
      </c>
      <c r="X159" s="6">
        <v>0</v>
      </c>
      <c r="Y159" s="6">
        <v>4.22</v>
      </c>
      <c r="Z159" s="6">
        <v>0</v>
      </c>
      <c r="AA159" s="6">
        <v>58.9</v>
      </c>
      <c r="AB159" s="6">
        <v>17</v>
      </c>
      <c r="AC159" s="6">
        <v>118.46</v>
      </c>
      <c r="AD159" s="6">
        <v>19.61</v>
      </c>
      <c r="AE159" s="6">
        <v>5.22</v>
      </c>
      <c r="AF159" s="35">
        <v>0.51180000000000003</v>
      </c>
      <c r="AG159" s="35">
        <v>0.16250000000000001</v>
      </c>
      <c r="AH159">
        <v>1</v>
      </c>
      <c r="AI159">
        <v>1</v>
      </c>
      <c r="AJ159">
        <v>0</v>
      </c>
      <c r="AK159" s="35">
        <v>0.34670000000000001</v>
      </c>
      <c r="AL159" s="35">
        <v>7.999999999999996E-2</v>
      </c>
    </row>
    <row r="160" spans="1:38">
      <c r="A160" t="s">
        <v>602</v>
      </c>
      <c r="B160" t="s">
        <v>603</v>
      </c>
      <c r="C160" t="s">
        <v>1088</v>
      </c>
      <c r="D160" s="6">
        <v>0</v>
      </c>
      <c r="E160" s="6">
        <v>173.5</v>
      </c>
      <c r="F160" s="6">
        <v>53.8</v>
      </c>
      <c r="G160" s="6">
        <v>91.1</v>
      </c>
      <c r="H160" s="6">
        <v>91.04</v>
      </c>
      <c r="I160" s="6">
        <v>181.7</v>
      </c>
      <c r="J160" s="6">
        <v>591.14</v>
      </c>
      <c r="K160" s="6">
        <v>12.95</v>
      </c>
      <c r="L160" s="6">
        <v>1.2</v>
      </c>
      <c r="M160" s="6">
        <v>618.84</v>
      </c>
      <c r="N160" s="6">
        <v>0</v>
      </c>
      <c r="O160" s="6">
        <v>0</v>
      </c>
      <c r="P160" s="6">
        <v>0</v>
      </c>
      <c r="Q160" s="6">
        <v>0</v>
      </c>
      <c r="R160" s="6">
        <v>13.55</v>
      </c>
      <c r="S160">
        <v>1</v>
      </c>
      <c r="T160">
        <v>1</v>
      </c>
      <c r="U160">
        <v>0</v>
      </c>
      <c r="V160" s="6">
        <v>1</v>
      </c>
      <c r="W160" s="6">
        <v>0</v>
      </c>
      <c r="X160" s="6">
        <v>0</v>
      </c>
      <c r="Y160" s="6">
        <v>52.89</v>
      </c>
      <c r="Z160" s="6">
        <v>68</v>
      </c>
      <c r="AA160" s="6">
        <v>618.85</v>
      </c>
      <c r="AB160" s="6">
        <v>17</v>
      </c>
      <c r="AC160" s="6">
        <v>137.34</v>
      </c>
      <c r="AD160" s="6">
        <v>22.73</v>
      </c>
      <c r="AE160" s="6">
        <v>119.89</v>
      </c>
      <c r="AF160" s="35">
        <v>0.1779</v>
      </c>
      <c r="AG160" s="35">
        <v>0.30380000000000001</v>
      </c>
      <c r="AH160">
        <v>1</v>
      </c>
      <c r="AI160">
        <v>1</v>
      </c>
      <c r="AJ160">
        <v>0</v>
      </c>
      <c r="AK160" s="35">
        <v>0.16700000000000001</v>
      </c>
      <c r="AL160" s="35">
        <v>0.31069999999999998</v>
      </c>
    </row>
    <row r="161" spans="1:38">
      <c r="A161" t="s">
        <v>598</v>
      </c>
      <c r="B161" t="s">
        <v>599</v>
      </c>
      <c r="C161" t="s">
        <v>1088</v>
      </c>
      <c r="D161" s="6">
        <v>34.200000000000003</v>
      </c>
      <c r="E161" s="6">
        <v>123.1</v>
      </c>
      <c r="F161" s="6">
        <v>34.299999999999997</v>
      </c>
      <c r="G161" s="6">
        <v>59.3</v>
      </c>
      <c r="H161" s="6">
        <v>54.8</v>
      </c>
      <c r="I161" s="6">
        <v>107.5</v>
      </c>
      <c r="J161" s="6">
        <v>379</v>
      </c>
      <c r="K161" s="6">
        <v>8.59</v>
      </c>
      <c r="L161" s="6">
        <v>2.1800000000000002</v>
      </c>
      <c r="M161" s="6">
        <v>399.65</v>
      </c>
      <c r="N161" s="6">
        <v>0.6</v>
      </c>
      <c r="O161" s="6">
        <v>0</v>
      </c>
      <c r="P161" s="6">
        <v>0.1</v>
      </c>
      <c r="Q161" s="6">
        <v>1.23</v>
      </c>
      <c r="R161" s="6">
        <v>7.95</v>
      </c>
      <c r="S161">
        <v>1</v>
      </c>
      <c r="T161">
        <v>1</v>
      </c>
      <c r="U161">
        <v>0</v>
      </c>
      <c r="V161" s="6">
        <v>5.56</v>
      </c>
      <c r="W161" s="6">
        <v>3.56</v>
      </c>
      <c r="X161" s="6">
        <v>0</v>
      </c>
      <c r="Y161" s="6">
        <v>28.78</v>
      </c>
      <c r="Z161" s="6">
        <v>21.89</v>
      </c>
      <c r="AA161" s="6">
        <v>433.95</v>
      </c>
      <c r="AB161" s="6">
        <v>17</v>
      </c>
      <c r="AC161" s="6">
        <v>138.21</v>
      </c>
      <c r="AD161" s="6">
        <v>22.88</v>
      </c>
      <c r="AE161" s="6">
        <v>54.23</v>
      </c>
      <c r="AF161" s="35">
        <v>0.21790000000000001</v>
      </c>
      <c r="AG161" s="35">
        <v>0.32590000000000002</v>
      </c>
      <c r="AH161">
        <v>1</v>
      </c>
      <c r="AI161">
        <v>1</v>
      </c>
      <c r="AJ161">
        <v>0</v>
      </c>
      <c r="AK161" s="35">
        <v>0.26590000000000003</v>
      </c>
      <c r="AL161" s="35">
        <v>0.31479999999999997</v>
      </c>
    </row>
    <row r="162" spans="1:38">
      <c r="A162" t="s">
        <v>317</v>
      </c>
      <c r="B162" t="s">
        <v>318</v>
      </c>
      <c r="C162" t="s">
        <v>1088</v>
      </c>
      <c r="D162" s="6">
        <v>0</v>
      </c>
      <c r="E162" s="6">
        <v>162.49</v>
      </c>
      <c r="F162" s="6">
        <v>48.3</v>
      </c>
      <c r="G162" s="6">
        <v>83</v>
      </c>
      <c r="H162" s="6">
        <v>102.65</v>
      </c>
      <c r="I162" s="6">
        <v>203.23</v>
      </c>
      <c r="J162" s="6">
        <v>599.66999999999996</v>
      </c>
      <c r="K162" s="6">
        <v>20.5</v>
      </c>
      <c r="L162" s="6">
        <v>3.83</v>
      </c>
      <c r="M162" s="6">
        <v>625.5</v>
      </c>
      <c r="N162" s="6">
        <v>1.5</v>
      </c>
      <c r="O162" s="6">
        <v>0</v>
      </c>
      <c r="P162" s="6">
        <v>0</v>
      </c>
      <c r="Q162" s="6">
        <v>0</v>
      </c>
      <c r="R162" s="6">
        <v>0</v>
      </c>
      <c r="S162">
        <v>1</v>
      </c>
      <c r="T162">
        <v>1</v>
      </c>
      <c r="U162">
        <v>0.04</v>
      </c>
      <c r="V162" s="6">
        <v>7.78</v>
      </c>
      <c r="W162" s="6">
        <v>0</v>
      </c>
      <c r="X162" s="6">
        <v>0</v>
      </c>
      <c r="Y162" s="6">
        <v>48.56</v>
      </c>
      <c r="Z162" s="6">
        <v>19.670000000000002</v>
      </c>
      <c r="AA162" s="6">
        <v>627.74</v>
      </c>
      <c r="AB162" s="6">
        <v>17</v>
      </c>
      <c r="AC162" s="6">
        <v>136.36000000000001</v>
      </c>
      <c r="AD162" s="6">
        <v>22.57</v>
      </c>
      <c r="AE162" s="6">
        <v>69.12</v>
      </c>
      <c r="AF162" s="35">
        <v>0.19220000000000001</v>
      </c>
      <c r="AG162" s="35">
        <v>0.2155</v>
      </c>
      <c r="AH162">
        <v>1</v>
      </c>
      <c r="AI162">
        <v>1</v>
      </c>
      <c r="AJ162">
        <v>4.0000000000000036E-2</v>
      </c>
      <c r="AK162" s="35">
        <v>0.217</v>
      </c>
      <c r="AL162" s="35">
        <v>0.20389999999999997</v>
      </c>
    </row>
    <row r="163" spans="1:38">
      <c r="A163" t="s">
        <v>883</v>
      </c>
      <c r="B163" t="s">
        <v>884</v>
      </c>
      <c r="C163" t="s">
        <v>1088</v>
      </c>
      <c r="D163" s="6">
        <v>39.9</v>
      </c>
      <c r="E163" s="6">
        <v>240.3</v>
      </c>
      <c r="F163" s="6">
        <v>55.3</v>
      </c>
      <c r="G163" s="6">
        <v>113.52</v>
      </c>
      <c r="H163" s="6">
        <v>111.8</v>
      </c>
      <c r="I163" s="6">
        <v>180.58</v>
      </c>
      <c r="J163" s="6">
        <v>701.5</v>
      </c>
      <c r="K163" s="6">
        <v>21.2</v>
      </c>
      <c r="L163" s="6">
        <v>2.34</v>
      </c>
      <c r="M163" s="6">
        <v>763.04</v>
      </c>
      <c r="N163" s="6">
        <v>3.2</v>
      </c>
      <c r="O163" s="6">
        <v>0</v>
      </c>
      <c r="P163" s="6">
        <v>0.2</v>
      </c>
      <c r="Q163" s="6">
        <v>5.0999999999999996</v>
      </c>
      <c r="R163" s="6">
        <v>29.5</v>
      </c>
      <c r="S163">
        <v>1</v>
      </c>
      <c r="T163">
        <v>1</v>
      </c>
      <c r="U163">
        <v>0.02</v>
      </c>
      <c r="V163" s="6">
        <v>11.89</v>
      </c>
      <c r="W163" s="6">
        <v>4.22</v>
      </c>
      <c r="X163" s="6">
        <v>0.89</v>
      </c>
      <c r="Y163" s="6">
        <v>72.11</v>
      </c>
      <c r="Z163" s="6">
        <v>42.33</v>
      </c>
      <c r="AA163" s="6">
        <v>804.71</v>
      </c>
      <c r="AB163" s="6">
        <v>17</v>
      </c>
      <c r="AC163" s="6">
        <v>121.02</v>
      </c>
      <c r="AD163" s="6">
        <v>20.03</v>
      </c>
      <c r="AE163" s="6">
        <v>109.89</v>
      </c>
      <c r="AF163" s="35">
        <v>0.20169999999999999</v>
      </c>
      <c r="AG163" s="35">
        <v>0.20200000000000001</v>
      </c>
      <c r="AH163">
        <v>1</v>
      </c>
      <c r="AI163">
        <v>1</v>
      </c>
      <c r="AJ163">
        <v>1.0000000000000009E-2</v>
      </c>
      <c r="AK163" s="35">
        <v>0.1467</v>
      </c>
      <c r="AL163" s="35">
        <v>0.19120000000000004</v>
      </c>
    </row>
    <row r="164" spans="1:38">
      <c r="A164" t="s">
        <v>345</v>
      </c>
      <c r="B164" t="s">
        <v>346</v>
      </c>
      <c r="C164" t="s">
        <v>1088</v>
      </c>
      <c r="D164" s="6">
        <v>6</v>
      </c>
      <c r="E164" s="6">
        <v>35.21</v>
      </c>
      <c r="F164" s="6">
        <v>10.4</v>
      </c>
      <c r="G164" s="6">
        <v>12.34</v>
      </c>
      <c r="H164" s="6">
        <v>19.440000000000001</v>
      </c>
      <c r="I164" s="6">
        <v>0</v>
      </c>
      <c r="J164" s="6">
        <v>77.39</v>
      </c>
      <c r="K164" s="6">
        <v>9.0500000000000007</v>
      </c>
      <c r="L164" s="6">
        <v>0.12</v>
      </c>
      <c r="M164" s="6">
        <v>322.61</v>
      </c>
      <c r="N164" s="6">
        <v>0</v>
      </c>
      <c r="O164" s="6">
        <v>0</v>
      </c>
      <c r="P164" s="6">
        <v>20.6</v>
      </c>
      <c r="Q164" s="6">
        <v>35.25</v>
      </c>
      <c r="R164" s="6">
        <v>180.2</v>
      </c>
      <c r="S164">
        <v>1</v>
      </c>
      <c r="T164">
        <v>1</v>
      </c>
      <c r="U164">
        <v>0</v>
      </c>
      <c r="V164" s="6">
        <v>2.11</v>
      </c>
      <c r="W164" s="6">
        <v>1</v>
      </c>
      <c r="X164" s="6">
        <v>0</v>
      </c>
      <c r="Y164" s="6">
        <v>28.22</v>
      </c>
      <c r="Z164" s="6">
        <v>8.11</v>
      </c>
      <c r="AA164" s="6">
        <v>328.83</v>
      </c>
      <c r="AB164" s="6">
        <v>17</v>
      </c>
      <c r="AC164" s="6">
        <v>147.01</v>
      </c>
      <c r="AD164" s="6">
        <v>24.33</v>
      </c>
      <c r="AE164" s="6">
        <v>36</v>
      </c>
      <c r="AF164" s="35">
        <v>0.25519999999999998</v>
      </c>
      <c r="AG164" s="35">
        <v>0.28999999999999998</v>
      </c>
      <c r="AH164">
        <v>1</v>
      </c>
      <c r="AI164">
        <v>1</v>
      </c>
      <c r="AJ164">
        <v>0</v>
      </c>
      <c r="AK164" s="35">
        <v>0.2445</v>
      </c>
      <c r="AL164" s="35">
        <v>0.20450000000000002</v>
      </c>
    </row>
    <row r="165" spans="1:38">
      <c r="A165" t="s">
        <v>821</v>
      </c>
      <c r="B165" t="s">
        <v>822</v>
      </c>
      <c r="C165" t="s">
        <v>1088</v>
      </c>
      <c r="D165" s="6">
        <v>0</v>
      </c>
      <c r="E165" s="6">
        <v>272.2</v>
      </c>
      <c r="F165" s="6">
        <v>64.5</v>
      </c>
      <c r="G165" s="6">
        <v>113.39</v>
      </c>
      <c r="H165" s="6">
        <v>122.84</v>
      </c>
      <c r="I165" s="6">
        <v>197.08</v>
      </c>
      <c r="J165" s="6">
        <v>770.01</v>
      </c>
      <c r="K165" s="6">
        <v>30.65</v>
      </c>
      <c r="L165" s="6">
        <v>2.62</v>
      </c>
      <c r="M165" s="6">
        <v>849.81</v>
      </c>
      <c r="N165" s="6">
        <v>0</v>
      </c>
      <c r="O165" s="6">
        <v>0</v>
      </c>
      <c r="P165" s="6">
        <v>0.8</v>
      </c>
      <c r="Q165" s="6">
        <v>2.4500000000000002</v>
      </c>
      <c r="R165" s="6">
        <v>43.28</v>
      </c>
      <c r="S165">
        <v>1</v>
      </c>
      <c r="T165">
        <v>1</v>
      </c>
      <c r="U165">
        <v>0.02</v>
      </c>
      <c r="V165" s="6">
        <v>8.56</v>
      </c>
      <c r="W165" s="6">
        <v>0</v>
      </c>
      <c r="X165" s="6">
        <v>0</v>
      </c>
      <c r="Y165" s="6">
        <v>87.11</v>
      </c>
      <c r="Z165" s="6">
        <v>48.89</v>
      </c>
      <c r="AA165" s="6">
        <v>851.05</v>
      </c>
      <c r="AB165" s="6">
        <v>17.170000000000002</v>
      </c>
      <c r="AC165" s="6">
        <v>126</v>
      </c>
      <c r="AD165" s="6">
        <v>20.86</v>
      </c>
      <c r="AE165" s="6">
        <v>150.66999999999999</v>
      </c>
      <c r="AF165" s="35">
        <v>0.20699999999999999</v>
      </c>
      <c r="AG165" s="35">
        <v>0.31830000000000003</v>
      </c>
      <c r="AH165">
        <v>1</v>
      </c>
      <c r="AI165">
        <v>1</v>
      </c>
      <c r="AJ165">
        <v>1.0000000000000009E-2</v>
      </c>
      <c r="AK165" s="35">
        <v>0.18279999999999999</v>
      </c>
      <c r="AL165" s="35">
        <v>0.28620000000000001</v>
      </c>
    </row>
    <row r="166" spans="1:38">
      <c r="A166" t="s">
        <v>659</v>
      </c>
      <c r="B166" t="s">
        <v>660</v>
      </c>
      <c r="C166" t="s">
        <v>1088</v>
      </c>
      <c r="D166" s="6">
        <v>15.4</v>
      </c>
      <c r="E166" s="6">
        <v>225.29</v>
      </c>
      <c r="F166" s="6">
        <v>65.900000000000006</v>
      </c>
      <c r="G166" s="6">
        <v>124.8</v>
      </c>
      <c r="H166" s="6">
        <v>153.01</v>
      </c>
      <c r="I166" s="6">
        <v>237.06</v>
      </c>
      <c r="J166" s="6">
        <v>806.06</v>
      </c>
      <c r="K166" s="6">
        <v>20.63</v>
      </c>
      <c r="L166" s="6">
        <v>2.36</v>
      </c>
      <c r="M166" s="6">
        <v>830.99</v>
      </c>
      <c r="N166" s="6">
        <v>1.94</v>
      </c>
      <c r="O166" s="6">
        <v>0</v>
      </c>
      <c r="P166" s="6">
        <v>0</v>
      </c>
      <c r="Q166" s="6">
        <v>0</v>
      </c>
      <c r="R166" s="6">
        <v>0</v>
      </c>
      <c r="S166">
        <v>1</v>
      </c>
      <c r="T166">
        <v>1</v>
      </c>
      <c r="U166">
        <v>0</v>
      </c>
      <c r="V166" s="6">
        <v>11</v>
      </c>
      <c r="W166" s="6">
        <v>2.89</v>
      </c>
      <c r="X166" s="6">
        <v>0.22</v>
      </c>
      <c r="Y166" s="6">
        <v>91.11</v>
      </c>
      <c r="Z166" s="6">
        <v>60.11</v>
      </c>
      <c r="AA166" s="6">
        <v>847.51</v>
      </c>
      <c r="AB166" s="6">
        <v>17</v>
      </c>
      <c r="AC166" s="6">
        <v>129.18</v>
      </c>
      <c r="AD166" s="6">
        <v>21.38</v>
      </c>
      <c r="AE166" s="6">
        <v>154.33000000000001</v>
      </c>
      <c r="AF166" s="35">
        <v>0.18090000000000001</v>
      </c>
      <c r="AG166" s="35">
        <v>0.27189999999999998</v>
      </c>
      <c r="AH166">
        <v>1</v>
      </c>
      <c r="AI166">
        <v>1</v>
      </c>
      <c r="AJ166">
        <v>0</v>
      </c>
      <c r="AK166" s="35">
        <v>0.19389999999999999</v>
      </c>
      <c r="AL166" s="35">
        <v>0.25719999999999998</v>
      </c>
    </row>
    <row r="167" spans="1:38">
      <c r="A167" t="s">
        <v>687</v>
      </c>
      <c r="B167" t="s">
        <v>688</v>
      </c>
      <c r="C167" t="s">
        <v>1088</v>
      </c>
      <c r="D167" s="6">
        <v>17.600000000000001</v>
      </c>
      <c r="E167" s="6">
        <v>77</v>
      </c>
      <c r="F167" s="6">
        <v>24.2</v>
      </c>
      <c r="G167" s="6">
        <v>44.7</v>
      </c>
      <c r="H167" s="6">
        <v>32.200000000000003</v>
      </c>
      <c r="I167" s="6">
        <v>72.13</v>
      </c>
      <c r="J167" s="6">
        <v>250.23</v>
      </c>
      <c r="K167" s="6">
        <v>1.69</v>
      </c>
      <c r="L167" s="6">
        <v>0.48</v>
      </c>
      <c r="M167" s="6">
        <v>253.34</v>
      </c>
      <c r="N167" s="6">
        <v>0.94</v>
      </c>
      <c r="O167" s="6">
        <v>0</v>
      </c>
      <c r="P167" s="6">
        <v>0</v>
      </c>
      <c r="Q167" s="6">
        <v>0</v>
      </c>
      <c r="R167" s="6">
        <v>0</v>
      </c>
      <c r="S167">
        <v>1</v>
      </c>
      <c r="T167">
        <v>1</v>
      </c>
      <c r="U167">
        <v>0.04</v>
      </c>
      <c r="V167" s="6">
        <v>4.33</v>
      </c>
      <c r="W167" s="6">
        <v>2.44</v>
      </c>
      <c r="X167" s="6">
        <v>1</v>
      </c>
      <c r="Y167" s="6">
        <v>39.11</v>
      </c>
      <c r="Z167" s="6">
        <v>11.89</v>
      </c>
      <c r="AA167" s="6">
        <v>271.44</v>
      </c>
      <c r="AB167" s="6">
        <v>17</v>
      </c>
      <c r="AC167" s="6">
        <v>130.91999999999999</v>
      </c>
      <c r="AD167" s="6">
        <v>21.67</v>
      </c>
      <c r="AE167" s="6">
        <v>54.44</v>
      </c>
      <c r="AF167" s="35">
        <v>0.21149999999999999</v>
      </c>
      <c r="AG167" s="35">
        <v>0.21859999999999999</v>
      </c>
      <c r="AH167">
        <v>1</v>
      </c>
      <c r="AI167">
        <v>1</v>
      </c>
      <c r="AJ167">
        <v>4.0000000000000036E-2</v>
      </c>
      <c r="AK167" s="35">
        <v>0.21310000000000001</v>
      </c>
      <c r="AL167" s="35">
        <v>0.19240000000000002</v>
      </c>
    </row>
    <row r="168" spans="1:38">
      <c r="A168" t="s">
        <v>376</v>
      </c>
      <c r="B168" t="s">
        <v>377</v>
      </c>
      <c r="C168" t="s">
        <v>1088</v>
      </c>
      <c r="D168" s="6">
        <v>0</v>
      </c>
      <c r="E168" s="6">
        <v>808.11</v>
      </c>
      <c r="F168" s="6">
        <v>223.2</v>
      </c>
      <c r="G168" s="6">
        <v>469.25</v>
      </c>
      <c r="H168" s="6">
        <v>425.46</v>
      </c>
      <c r="I168" s="6">
        <v>867.91</v>
      </c>
      <c r="J168" s="6">
        <v>2793.93</v>
      </c>
      <c r="K168" s="6">
        <v>70.69</v>
      </c>
      <c r="L168" s="6">
        <v>10.96</v>
      </c>
      <c r="M168" s="6">
        <v>2927.46</v>
      </c>
      <c r="N168" s="6">
        <v>11.5</v>
      </c>
      <c r="O168" s="6">
        <v>0</v>
      </c>
      <c r="P168" s="6">
        <v>0</v>
      </c>
      <c r="Q168" s="6">
        <v>0</v>
      </c>
      <c r="R168" s="6">
        <v>40.380000000000003</v>
      </c>
      <c r="S168">
        <v>1</v>
      </c>
      <c r="T168">
        <v>1</v>
      </c>
      <c r="U168">
        <v>0.04</v>
      </c>
      <c r="V168" s="6">
        <v>28.44</v>
      </c>
      <c r="W168" s="6">
        <v>0</v>
      </c>
      <c r="X168" s="6">
        <v>0</v>
      </c>
      <c r="Y168" s="6">
        <v>246.78</v>
      </c>
      <c r="Z168" s="6">
        <v>153.22</v>
      </c>
      <c r="AA168" s="6">
        <v>2938.35</v>
      </c>
      <c r="AB168" s="6">
        <v>17.059999999999999</v>
      </c>
      <c r="AC168" s="6">
        <v>121.45</v>
      </c>
      <c r="AD168" s="6">
        <v>20.100000000000001</v>
      </c>
      <c r="AE168" s="6">
        <v>412.34</v>
      </c>
      <c r="AF168" s="35">
        <v>0.1585</v>
      </c>
      <c r="AG168" s="35">
        <v>0.2586</v>
      </c>
      <c r="AH168">
        <v>1</v>
      </c>
      <c r="AI168">
        <v>1</v>
      </c>
      <c r="AJ168">
        <v>4.0000000000000036E-2</v>
      </c>
      <c r="AK168" s="35">
        <v>0.15570000000000001</v>
      </c>
      <c r="AL168" s="35">
        <v>0.24960000000000004</v>
      </c>
    </row>
    <row r="169" spans="1:38">
      <c r="A169" t="s">
        <v>871</v>
      </c>
      <c r="B169" t="s">
        <v>872</v>
      </c>
      <c r="C169" t="s">
        <v>1088</v>
      </c>
      <c r="D169" s="6">
        <v>0</v>
      </c>
      <c r="E169" s="6">
        <v>108.4</v>
      </c>
      <c r="F169" s="6">
        <v>28.67</v>
      </c>
      <c r="G169" s="6">
        <v>58.19</v>
      </c>
      <c r="H169" s="6">
        <v>42.1</v>
      </c>
      <c r="I169" s="6">
        <v>76.72</v>
      </c>
      <c r="J169" s="6">
        <v>314.08</v>
      </c>
      <c r="K169" s="6">
        <v>2.87</v>
      </c>
      <c r="L169" s="6">
        <v>0.28999999999999998</v>
      </c>
      <c r="M169" s="6">
        <v>335.22</v>
      </c>
      <c r="N169" s="6">
        <v>0.4</v>
      </c>
      <c r="O169" s="6">
        <v>0</v>
      </c>
      <c r="P169" s="6">
        <v>0</v>
      </c>
      <c r="Q169" s="6">
        <v>1.1200000000000001</v>
      </c>
      <c r="R169" s="6">
        <v>16.46</v>
      </c>
      <c r="S169">
        <v>1</v>
      </c>
      <c r="T169">
        <v>1</v>
      </c>
      <c r="U169">
        <v>0</v>
      </c>
      <c r="V169" s="6">
        <v>0.89</v>
      </c>
      <c r="W169" s="6">
        <v>0</v>
      </c>
      <c r="X169" s="6">
        <v>0</v>
      </c>
      <c r="Y169" s="6">
        <v>40.56</v>
      </c>
      <c r="Z169" s="6">
        <v>16.440000000000001</v>
      </c>
      <c r="AA169" s="6">
        <v>335.22</v>
      </c>
      <c r="AB169" s="6">
        <v>17</v>
      </c>
      <c r="AC169" s="6">
        <v>123.14</v>
      </c>
      <c r="AD169" s="6">
        <v>20.38</v>
      </c>
      <c r="AE169" s="6">
        <v>57</v>
      </c>
      <c r="AF169" s="35">
        <v>0.21840000000000001</v>
      </c>
      <c r="AG169" s="35">
        <v>0.2213</v>
      </c>
      <c r="AH169">
        <v>1</v>
      </c>
      <c r="AI169">
        <v>1</v>
      </c>
      <c r="AJ169">
        <v>0</v>
      </c>
      <c r="AK169" s="35">
        <v>0.21679999999999999</v>
      </c>
      <c r="AL169" s="35">
        <v>0.21319999999999995</v>
      </c>
    </row>
    <row r="170" spans="1:38">
      <c r="A170" t="s">
        <v>374</v>
      </c>
      <c r="B170" t="s">
        <v>375</v>
      </c>
      <c r="C170" t="s">
        <v>1088</v>
      </c>
      <c r="D170" s="6">
        <v>0</v>
      </c>
      <c r="E170" s="6">
        <v>1046.01</v>
      </c>
      <c r="F170" s="6">
        <v>228.4</v>
      </c>
      <c r="G170" s="6">
        <v>509.44</v>
      </c>
      <c r="H170" s="6">
        <v>524.1</v>
      </c>
      <c r="I170" s="6">
        <v>859.93</v>
      </c>
      <c r="J170" s="6">
        <v>3167.88</v>
      </c>
      <c r="K170" s="6">
        <v>89.43</v>
      </c>
      <c r="L170" s="6">
        <v>10.62</v>
      </c>
      <c r="M170" s="6">
        <v>3334.56</v>
      </c>
      <c r="N170" s="6">
        <v>7.1</v>
      </c>
      <c r="O170" s="6">
        <v>0</v>
      </c>
      <c r="P170" s="6">
        <v>0</v>
      </c>
      <c r="Q170" s="6">
        <v>0</v>
      </c>
      <c r="R170" s="6">
        <v>59.53</v>
      </c>
      <c r="S170">
        <v>1</v>
      </c>
      <c r="T170">
        <v>1</v>
      </c>
      <c r="U170">
        <v>0</v>
      </c>
      <c r="V170" s="6">
        <v>48.44</v>
      </c>
      <c r="W170" s="6">
        <v>0</v>
      </c>
      <c r="X170" s="6">
        <v>0</v>
      </c>
      <c r="Y170" s="6">
        <v>302.22000000000003</v>
      </c>
      <c r="Z170" s="6">
        <v>230.44</v>
      </c>
      <c r="AA170" s="6">
        <v>3348.67</v>
      </c>
      <c r="AB170" s="6">
        <v>17</v>
      </c>
      <c r="AC170" s="6">
        <v>130.28</v>
      </c>
      <c r="AD170" s="6">
        <v>21.56</v>
      </c>
      <c r="AE170" s="6">
        <v>521.77</v>
      </c>
      <c r="AF170" s="35">
        <v>0.1386</v>
      </c>
      <c r="AG170" s="35">
        <v>0.28139999999999998</v>
      </c>
      <c r="AH170">
        <v>1</v>
      </c>
      <c r="AI170">
        <v>1</v>
      </c>
      <c r="AJ170">
        <v>0</v>
      </c>
      <c r="AK170" s="35">
        <v>0.1351</v>
      </c>
      <c r="AL170" s="35">
        <v>0.27070000000000005</v>
      </c>
    </row>
    <row r="171" spans="1:38">
      <c r="A171" t="s">
        <v>783</v>
      </c>
      <c r="B171" t="s">
        <v>784</v>
      </c>
      <c r="C171" t="s">
        <v>1088</v>
      </c>
      <c r="D171" s="6">
        <v>0</v>
      </c>
      <c r="E171" s="6">
        <v>26.9</v>
      </c>
      <c r="F171" s="6">
        <v>9</v>
      </c>
      <c r="G171" s="6">
        <v>0</v>
      </c>
      <c r="H171" s="6">
        <v>0</v>
      </c>
      <c r="I171" s="6">
        <v>24.64</v>
      </c>
      <c r="J171" s="6">
        <v>60.54</v>
      </c>
      <c r="K171" s="6">
        <v>0.76</v>
      </c>
      <c r="L171" s="6">
        <v>0</v>
      </c>
      <c r="M171" s="6">
        <v>61.3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>
        <v>1</v>
      </c>
      <c r="T171">
        <v>1</v>
      </c>
      <c r="U171">
        <v>0</v>
      </c>
      <c r="V171" s="6">
        <v>0.89</v>
      </c>
      <c r="W171" s="6">
        <v>0</v>
      </c>
      <c r="X171" s="6">
        <v>0</v>
      </c>
      <c r="Y171" s="6">
        <v>12</v>
      </c>
      <c r="Z171" s="6">
        <v>2.33</v>
      </c>
      <c r="AA171" s="6">
        <v>61.3</v>
      </c>
      <c r="AB171" s="6">
        <v>17</v>
      </c>
      <c r="AC171" s="6">
        <v>131.35</v>
      </c>
      <c r="AD171" s="6">
        <v>21.74</v>
      </c>
      <c r="AE171" s="6">
        <v>14.33</v>
      </c>
      <c r="AF171" s="35">
        <v>0.1943</v>
      </c>
      <c r="AG171" s="35">
        <v>0.122</v>
      </c>
      <c r="AH171">
        <v>1</v>
      </c>
      <c r="AI171">
        <v>1</v>
      </c>
      <c r="AJ171">
        <v>0</v>
      </c>
      <c r="AK171" s="35">
        <v>0.221</v>
      </c>
      <c r="AL171" s="35">
        <v>0.14849999999999997</v>
      </c>
    </row>
    <row r="172" spans="1:38">
      <c r="A172" t="s">
        <v>719</v>
      </c>
      <c r="B172" t="s">
        <v>720</v>
      </c>
      <c r="C172" t="s">
        <v>1088</v>
      </c>
      <c r="D172" s="6">
        <v>16.27</v>
      </c>
      <c r="E172" s="6">
        <v>171.12</v>
      </c>
      <c r="F172" s="6">
        <v>65.87</v>
      </c>
      <c r="G172" s="6">
        <v>105.16</v>
      </c>
      <c r="H172" s="6">
        <v>110.89</v>
      </c>
      <c r="I172" s="6">
        <v>180.51</v>
      </c>
      <c r="J172" s="6">
        <v>633.54999999999995</v>
      </c>
      <c r="K172" s="6">
        <v>17.38</v>
      </c>
      <c r="L172" s="6">
        <v>0.4</v>
      </c>
      <c r="M172" s="6">
        <v>712.09</v>
      </c>
      <c r="N172" s="6">
        <v>0</v>
      </c>
      <c r="O172" s="6">
        <v>0</v>
      </c>
      <c r="P172" s="6">
        <v>30.04</v>
      </c>
      <c r="Q172" s="6">
        <v>10.68</v>
      </c>
      <c r="R172" s="6">
        <v>20.04</v>
      </c>
      <c r="S172">
        <v>1</v>
      </c>
      <c r="T172">
        <v>1</v>
      </c>
      <c r="U172">
        <v>0</v>
      </c>
      <c r="V172" s="6">
        <v>1.89</v>
      </c>
      <c r="W172" s="6">
        <v>0.78</v>
      </c>
      <c r="X172" s="6">
        <v>0.11</v>
      </c>
      <c r="Y172" s="6">
        <v>44.89</v>
      </c>
      <c r="Z172" s="6">
        <v>37.22</v>
      </c>
      <c r="AA172" s="6">
        <v>729.17</v>
      </c>
      <c r="AB172" s="6">
        <v>17</v>
      </c>
      <c r="AC172" s="6">
        <v>132.58000000000001</v>
      </c>
      <c r="AD172" s="6">
        <v>21.94</v>
      </c>
      <c r="AE172" s="6">
        <v>83</v>
      </c>
      <c r="AF172" s="35">
        <v>0.26400000000000001</v>
      </c>
      <c r="AG172" s="35">
        <v>0.2601</v>
      </c>
      <c r="AH172">
        <v>1</v>
      </c>
      <c r="AI172">
        <v>1</v>
      </c>
      <c r="AJ172">
        <v>0</v>
      </c>
      <c r="AK172" s="35">
        <v>0.27910000000000001</v>
      </c>
      <c r="AL172" s="35">
        <v>0.2621</v>
      </c>
    </row>
    <row r="173" spans="1:38">
      <c r="A173" t="s">
        <v>319</v>
      </c>
      <c r="B173" t="s">
        <v>320</v>
      </c>
      <c r="C173" t="s">
        <v>1088</v>
      </c>
      <c r="D173" s="6">
        <v>0</v>
      </c>
      <c r="E173" s="6">
        <v>32.200000000000003</v>
      </c>
      <c r="F173" s="6">
        <v>8.6</v>
      </c>
      <c r="G173" s="6">
        <v>19.399999999999999</v>
      </c>
      <c r="H173" s="6">
        <v>18.2</v>
      </c>
      <c r="I173" s="6">
        <v>23.94</v>
      </c>
      <c r="J173" s="6">
        <v>102.34</v>
      </c>
      <c r="K173" s="6">
        <v>0</v>
      </c>
      <c r="L173" s="6">
        <v>0</v>
      </c>
      <c r="M173" s="6">
        <v>102.34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>
        <v>1</v>
      </c>
      <c r="T173">
        <v>1</v>
      </c>
      <c r="U173">
        <v>0.02</v>
      </c>
      <c r="V173" s="6">
        <v>0</v>
      </c>
      <c r="W173" s="6">
        <v>0</v>
      </c>
      <c r="X173" s="6">
        <v>0</v>
      </c>
      <c r="Y173" s="6">
        <v>12</v>
      </c>
      <c r="Z173" s="6">
        <v>1.22</v>
      </c>
      <c r="AA173" s="6">
        <v>102.34</v>
      </c>
      <c r="AB173" s="6">
        <v>17</v>
      </c>
      <c r="AC173" s="6">
        <v>133.02000000000001</v>
      </c>
      <c r="AD173" s="6">
        <v>22.02</v>
      </c>
      <c r="AE173" s="6">
        <v>13.22</v>
      </c>
      <c r="AF173" s="35">
        <v>0.3513</v>
      </c>
      <c r="AG173" s="35">
        <v>0.16</v>
      </c>
      <c r="AH173">
        <v>1</v>
      </c>
      <c r="AI173">
        <v>1</v>
      </c>
      <c r="AJ173">
        <v>1.0000000000000009E-2</v>
      </c>
      <c r="AK173" s="35">
        <v>0.20960000000000001</v>
      </c>
      <c r="AL173" s="35">
        <v>0.16059999999999997</v>
      </c>
    </row>
    <row r="174" spans="1:38">
      <c r="A174" t="s">
        <v>414</v>
      </c>
      <c r="B174" t="s">
        <v>415</v>
      </c>
      <c r="C174" t="s">
        <v>1088</v>
      </c>
      <c r="D174" s="6">
        <v>0</v>
      </c>
      <c r="E174" s="6">
        <v>24.8</v>
      </c>
      <c r="F174" s="6">
        <v>2.8</v>
      </c>
      <c r="G174" s="6">
        <v>14.2</v>
      </c>
      <c r="H174" s="6">
        <v>15</v>
      </c>
      <c r="I174" s="6">
        <v>28.45</v>
      </c>
      <c r="J174" s="6">
        <v>85.25</v>
      </c>
      <c r="K174" s="6">
        <v>0.33</v>
      </c>
      <c r="L174" s="6">
        <v>0.8</v>
      </c>
      <c r="M174" s="6">
        <v>86.38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>
        <v>1</v>
      </c>
      <c r="T174">
        <v>1</v>
      </c>
      <c r="U174">
        <v>0.02</v>
      </c>
      <c r="V174" s="6">
        <v>0.22</v>
      </c>
      <c r="W174" s="6">
        <v>0</v>
      </c>
      <c r="X174" s="6">
        <v>0</v>
      </c>
      <c r="Y174" s="6">
        <v>15</v>
      </c>
      <c r="Z174" s="6">
        <v>3.33</v>
      </c>
      <c r="AA174" s="6">
        <v>86.38</v>
      </c>
      <c r="AB174" s="6">
        <v>17</v>
      </c>
      <c r="AC174" s="6">
        <v>130.61000000000001</v>
      </c>
      <c r="AD174" s="6">
        <v>21.62</v>
      </c>
      <c r="AE174" s="6">
        <v>18.329999999999998</v>
      </c>
      <c r="AF174" s="35">
        <v>0.26800000000000002</v>
      </c>
      <c r="AG174" s="35">
        <v>0.156</v>
      </c>
      <c r="AH174">
        <v>1</v>
      </c>
      <c r="AI174">
        <v>1</v>
      </c>
      <c r="AJ174">
        <v>1.0000000000000009E-2</v>
      </c>
      <c r="AK174" s="35">
        <v>0.2482</v>
      </c>
      <c r="AL174" s="35">
        <v>0.14610000000000001</v>
      </c>
    </row>
    <row r="175" spans="1:38">
      <c r="A175" t="s">
        <v>653</v>
      </c>
      <c r="B175" t="s">
        <v>654</v>
      </c>
      <c r="C175" t="s">
        <v>1088</v>
      </c>
      <c r="D175" s="6">
        <v>0</v>
      </c>
      <c r="E175" s="6">
        <v>56.3</v>
      </c>
      <c r="F175" s="6">
        <v>20.9</v>
      </c>
      <c r="G175" s="6">
        <v>33.5</v>
      </c>
      <c r="H175" s="6">
        <v>34.630000000000003</v>
      </c>
      <c r="I175" s="6">
        <v>63.23</v>
      </c>
      <c r="J175" s="6">
        <v>208.56</v>
      </c>
      <c r="K175" s="6">
        <v>3.58</v>
      </c>
      <c r="L175" s="6">
        <v>0</v>
      </c>
      <c r="M175" s="6">
        <v>212.14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>
        <v>1.0149999999999999</v>
      </c>
      <c r="T175">
        <v>1.0149999999999999</v>
      </c>
      <c r="U175">
        <v>0.04</v>
      </c>
      <c r="V175" s="6">
        <v>1.78</v>
      </c>
      <c r="W175" s="6">
        <v>0</v>
      </c>
      <c r="X175" s="6">
        <v>0</v>
      </c>
      <c r="Y175" s="6">
        <v>23.33</v>
      </c>
      <c r="Z175" s="6">
        <v>10.67</v>
      </c>
      <c r="AA175" s="6">
        <v>212.14</v>
      </c>
      <c r="AB175" s="6">
        <v>17</v>
      </c>
      <c r="AC175" s="6">
        <v>123.32</v>
      </c>
      <c r="AD175" s="6">
        <v>20.41</v>
      </c>
      <c r="AE175" s="6">
        <v>34</v>
      </c>
      <c r="AF175" s="35">
        <v>0.22850000000000001</v>
      </c>
      <c r="AG175" s="35">
        <v>0.2437</v>
      </c>
      <c r="AH175">
        <v>1</v>
      </c>
      <c r="AI175">
        <v>1</v>
      </c>
      <c r="AJ175">
        <v>4.0000000000000036E-2</v>
      </c>
      <c r="AK175" s="35">
        <v>0.22009999999999999</v>
      </c>
      <c r="AL175" s="35">
        <v>0.24739999999999995</v>
      </c>
    </row>
    <row r="176" spans="1:38">
      <c r="A176" t="s">
        <v>877</v>
      </c>
      <c r="B176" t="s">
        <v>878</v>
      </c>
      <c r="C176" t="s">
        <v>1088</v>
      </c>
      <c r="D176" s="6">
        <v>14.9</v>
      </c>
      <c r="E176" s="6">
        <v>53.66</v>
      </c>
      <c r="F176" s="6">
        <v>12.3</v>
      </c>
      <c r="G176" s="6">
        <v>27.42</v>
      </c>
      <c r="H176" s="6">
        <v>32.4</v>
      </c>
      <c r="I176" s="6">
        <v>82.4</v>
      </c>
      <c r="J176" s="6">
        <v>208.18</v>
      </c>
      <c r="K176" s="6">
        <v>2.57</v>
      </c>
      <c r="L176" s="6">
        <v>0</v>
      </c>
      <c r="M176" s="6">
        <v>210.75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>
        <v>1</v>
      </c>
      <c r="T176">
        <v>1</v>
      </c>
      <c r="U176">
        <v>0</v>
      </c>
      <c r="V176" s="6">
        <v>0</v>
      </c>
      <c r="W176" s="6">
        <v>0</v>
      </c>
      <c r="X176" s="6">
        <v>0</v>
      </c>
      <c r="Y176" s="6">
        <v>33.78</v>
      </c>
      <c r="Z176" s="6">
        <v>8.11</v>
      </c>
      <c r="AA176" s="6">
        <v>225.65</v>
      </c>
      <c r="AB176" s="6">
        <v>19.8</v>
      </c>
      <c r="AC176" s="6">
        <v>127.49</v>
      </c>
      <c r="AD176" s="6">
        <v>21.1</v>
      </c>
      <c r="AE176" s="6">
        <v>41.89</v>
      </c>
      <c r="AF176" s="35">
        <v>0.25790000000000002</v>
      </c>
      <c r="AG176" s="35">
        <v>0.16850000000000001</v>
      </c>
      <c r="AH176">
        <v>1</v>
      </c>
      <c r="AI176">
        <v>1</v>
      </c>
      <c r="AJ176">
        <v>0</v>
      </c>
      <c r="AK176" s="35">
        <v>0.27300000000000002</v>
      </c>
      <c r="AL176" s="35">
        <v>0.16490000000000005</v>
      </c>
    </row>
    <row r="177" spans="1:38">
      <c r="A177" t="s">
        <v>498</v>
      </c>
      <c r="B177" t="s">
        <v>499</v>
      </c>
      <c r="C177" t="s">
        <v>1088</v>
      </c>
      <c r="D177" s="6">
        <v>0</v>
      </c>
      <c r="E177" s="6">
        <v>40.6</v>
      </c>
      <c r="F177" s="6">
        <v>6.9</v>
      </c>
      <c r="G177" s="6">
        <v>20.2</v>
      </c>
      <c r="H177" s="6">
        <v>19.059999999999999</v>
      </c>
      <c r="I177" s="6">
        <v>22.36</v>
      </c>
      <c r="J177" s="6">
        <v>109.12</v>
      </c>
      <c r="K177" s="6">
        <v>0.47</v>
      </c>
      <c r="L177" s="6">
        <v>0</v>
      </c>
      <c r="M177" s="6">
        <v>109.59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>
        <v>1</v>
      </c>
      <c r="T177">
        <v>1</v>
      </c>
      <c r="U177">
        <v>0.04</v>
      </c>
      <c r="V177" s="6">
        <v>2.78</v>
      </c>
      <c r="W177" s="6">
        <v>0</v>
      </c>
      <c r="X177" s="6">
        <v>0</v>
      </c>
      <c r="Y177" s="6">
        <v>32</v>
      </c>
      <c r="Z177" s="6">
        <v>0.22</v>
      </c>
      <c r="AA177" s="6">
        <v>109.59</v>
      </c>
      <c r="AB177" s="6">
        <v>17</v>
      </c>
      <c r="AC177" s="6">
        <v>119.58</v>
      </c>
      <c r="AD177" s="6">
        <v>19.79</v>
      </c>
      <c r="AE177" s="6">
        <v>32.22</v>
      </c>
      <c r="AF177" s="35">
        <v>0.18129999999999999</v>
      </c>
      <c r="AG177" s="35">
        <v>0.1138</v>
      </c>
      <c r="AH177">
        <v>1</v>
      </c>
      <c r="AI177">
        <v>1</v>
      </c>
      <c r="AJ177">
        <v>4.0000000000000036E-2</v>
      </c>
      <c r="AK177" s="35">
        <v>0.2006</v>
      </c>
      <c r="AL177" s="35">
        <v>0.11119999999999997</v>
      </c>
    </row>
    <row r="178" spans="1:38">
      <c r="A178" t="s">
        <v>424</v>
      </c>
      <c r="B178" t="s">
        <v>425</v>
      </c>
      <c r="C178" t="s">
        <v>1088</v>
      </c>
      <c r="D178" s="6">
        <v>15</v>
      </c>
      <c r="E178" s="6">
        <v>202.05</v>
      </c>
      <c r="F178" s="6">
        <v>51.8</v>
      </c>
      <c r="G178" s="6">
        <v>90.78</v>
      </c>
      <c r="H178" s="6">
        <v>86</v>
      </c>
      <c r="I178" s="6">
        <v>166.15</v>
      </c>
      <c r="J178" s="6">
        <v>596.78</v>
      </c>
      <c r="K178" s="6">
        <v>4.1100000000000003</v>
      </c>
      <c r="L178" s="6">
        <v>0</v>
      </c>
      <c r="M178" s="6">
        <v>623.16999999999996</v>
      </c>
      <c r="N178" s="6">
        <v>0</v>
      </c>
      <c r="O178" s="6">
        <v>0</v>
      </c>
      <c r="P178" s="6">
        <v>0.8</v>
      </c>
      <c r="Q178" s="6">
        <v>0</v>
      </c>
      <c r="R178" s="6">
        <v>21.48</v>
      </c>
      <c r="S178">
        <v>1</v>
      </c>
      <c r="T178">
        <v>1</v>
      </c>
      <c r="U178">
        <v>0</v>
      </c>
      <c r="V178" s="6">
        <v>3.89</v>
      </c>
      <c r="W178" s="6">
        <v>0</v>
      </c>
      <c r="X178" s="6">
        <v>0</v>
      </c>
      <c r="Y178" s="6">
        <v>65.11</v>
      </c>
      <c r="Z178" s="6">
        <v>17</v>
      </c>
      <c r="AA178" s="6">
        <v>638.17999999999995</v>
      </c>
      <c r="AB178" s="6">
        <v>17</v>
      </c>
      <c r="AC178" s="6">
        <v>128.35</v>
      </c>
      <c r="AD178" s="6">
        <v>21.24</v>
      </c>
      <c r="AE178" s="6">
        <v>82.11</v>
      </c>
      <c r="AF178" s="35">
        <v>0.20369999999999999</v>
      </c>
      <c r="AG178" s="35">
        <v>0.17119999999999999</v>
      </c>
      <c r="AH178">
        <v>1</v>
      </c>
      <c r="AI178">
        <v>1</v>
      </c>
      <c r="AJ178">
        <v>0</v>
      </c>
      <c r="AK178" s="35">
        <v>0.20610000000000001</v>
      </c>
      <c r="AL178" s="35">
        <v>0.1583</v>
      </c>
    </row>
    <row r="179" spans="1:38">
      <c r="A179" t="s">
        <v>779</v>
      </c>
      <c r="B179" t="s">
        <v>780</v>
      </c>
      <c r="C179" t="s">
        <v>1088</v>
      </c>
      <c r="D179" s="6">
        <v>0</v>
      </c>
      <c r="E179" s="6">
        <v>113.8</v>
      </c>
      <c r="F179" s="6">
        <v>19.600000000000001</v>
      </c>
      <c r="G179" s="6">
        <v>51.2</v>
      </c>
      <c r="H179" s="6">
        <v>28.8</v>
      </c>
      <c r="I179" s="6">
        <v>0</v>
      </c>
      <c r="J179" s="6">
        <v>213.4</v>
      </c>
      <c r="K179" s="6">
        <v>0</v>
      </c>
      <c r="L179" s="6">
        <v>0</v>
      </c>
      <c r="M179" s="6">
        <v>213.4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>
        <v>1</v>
      </c>
      <c r="T179">
        <v>1</v>
      </c>
      <c r="U179">
        <v>0</v>
      </c>
      <c r="V179" s="6">
        <v>7.67</v>
      </c>
      <c r="W179" s="6">
        <v>0</v>
      </c>
      <c r="X179" s="6">
        <v>0</v>
      </c>
      <c r="Y179" s="6">
        <v>26.56</v>
      </c>
      <c r="Z179" s="6">
        <v>7.33</v>
      </c>
      <c r="AA179" s="6">
        <v>213.4</v>
      </c>
      <c r="AB179" s="6">
        <v>17</v>
      </c>
      <c r="AC179" s="6">
        <v>145.79</v>
      </c>
      <c r="AD179" s="6">
        <v>24.13</v>
      </c>
      <c r="AE179" s="6">
        <v>32.89</v>
      </c>
      <c r="AF179" s="35">
        <v>0.34100000000000003</v>
      </c>
      <c r="AG179" s="35">
        <v>0.1454</v>
      </c>
      <c r="AH179">
        <v>1</v>
      </c>
      <c r="AI179">
        <v>1</v>
      </c>
      <c r="AJ179">
        <v>0</v>
      </c>
      <c r="AK179" s="35">
        <v>0.27429999999999999</v>
      </c>
      <c r="AL179" s="35">
        <v>0.16090000000000004</v>
      </c>
    </row>
    <row r="180" spans="1:38">
      <c r="A180" t="s">
        <v>490</v>
      </c>
      <c r="B180" t="s">
        <v>491</v>
      </c>
      <c r="C180" t="s">
        <v>1088</v>
      </c>
      <c r="D180" s="6">
        <v>13.95</v>
      </c>
      <c r="E180" s="6">
        <v>90.49</v>
      </c>
      <c r="F180" s="6">
        <v>20</v>
      </c>
      <c r="G180" s="6">
        <v>52.56</v>
      </c>
      <c r="H180" s="6">
        <v>56.2</v>
      </c>
      <c r="I180" s="6">
        <v>0</v>
      </c>
      <c r="J180" s="6">
        <v>219.25</v>
      </c>
      <c r="K180" s="6">
        <v>0</v>
      </c>
      <c r="L180" s="6">
        <v>0</v>
      </c>
      <c r="M180" s="6">
        <v>219.25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>
        <v>1.06</v>
      </c>
      <c r="T180">
        <v>1.06</v>
      </c>
      <c r="U180">
        <v>0</v>
      </c>
      <c r="V180" s="6">
        <v>0.78</v>
      </c>
      <c r="W180" s="6">
        <v>2.44</v>
      </c>
      <c r="X180" s="6">
        <v>0</v>
      </c>
      <c r="Y180" s="6">
        <v>31.44</v>
      </c>
      <c r="Z180" s="6">
        <v>1.33</v>
      </c>
      <c r="AA180" s="6">
        <v>234.2</v>
      </c>
      <c r="AB180" s="6">
        <v>17</v>
      </c>
      <c r="AC180" s="6">
        <v>124.16</v>
      </c>
      <c r="AD180" s="6">
        <v>20.55</v>
      </c>
      <c r="AE180" s="6">
        <v>34.21</v>
      </c>
      <c r="AF180" s="35">
        <v>0.24579999999999999</v>
      </c>
      <c r="AG180" s="35">
        <v>9.7699999999999995E-2</v>
      </c>
      <c r="AH180">
        <v>1.06</v>
      </c>
      <c r="AI180">
        <v>1.06</v>
      </c>
      <c r="AJ180">
        <v>0</v>
      </c>
      <c r="AK180" s="35">
        <v>0.24709999999999999</v>
      </c>
      <c r="AL180" s="35">
        <v>9.7999999999999976E-2</v>
      </c>
    </row>
    <row r="181" spans="1:38">
      <c r="A181" t="s">
        <v>759</v>
      </c>
      <c r="B181" t="s">
        <v>760</v>
      </c>
      <c r="C181" t="s">
        <v>1088</v>
      </c>
      <c r="D181" s="6">
        <v>0</v>
      </c>
      <c r="E181" s="6">
        <v>1177.8800000000001</v>
      </c>
      <c r="F181" s="6">
        <v>303.60000000000002</v>
      </c>
      <c r="G181" s="6">
        <v>595.66999999999996</v>
      </c>
      <c r="H181" s="6">
        <v>546.86</v>
      </c>
      <c r="I181" s="6">
        <v>1430.4</v>
      </c>
      <c r="J181" s="6">
        <v>4054.41</v>
      </c>
      <c r="K181" s="6">
        <v>124.04</v>
      </c>
      <c r="L181" s="6">
        <v>8.74</v>
      </c>
      <c r="M181" s="6">
        <v>4407.68</v>
      </c>
      <c r="N181" s="6">
        <v>98.1</v>
      </c>
      <c r="O181" s="6">
        <v>0</v>
      </c>
      <c r="P181" s="6">
        <v>0</v>
      </c>
      <c r="Q181" s="6">
        <v>21.02</v>
      </c>
      <c r="R181" s="6">
        <v>101.37</v>
      </c>
      <c r="S181">
        <v>1</v>
      </c>
      <c r="T181">
        <v>1</v>
      </c>
      <c r="U181">
        <v>0</v>
      </c>
      <c r="V181" s="6">
        <v>112.33</v>
      </c>
      <c r="W181" s="6">
        <v>0</v>
      </c>
      <c r="X181" s="6">
        <v>0</v>
      </c>
      <c r="Y181" s="6">
        <v>488</v>
      </c>
      <c r="Z181" s="6">
        <v>130</v>
      </c>
      <c r="AA181" s="6">
        <v>4425.8500000000004</v>
      </c>
      <c r="AB181" s="6">
        <v>17</v>
      </c>
      <c r="AC181" s="6">
        <v>128.69</v>
      </c>
      <c r="AD181" s="6">
        <v>21.3</v>
      </c>
      <c r="AE181" s="6">
        <v>619</v>
      </c>
      <c r="AF181" s="35">
        <v>0.15140000000000001</v>
      </c>
      <c r="AG181" s="35">
        <v>0.18990000000000001</v>
      </c>
      <c r="AH181">
        <v>1</v>
      </c>
      <c r="AI181">
        <v>1</v>
      </c>
      <c r="AJ181">
        <v>0</v>
      </c>
      <c r="AK181" s="35">
        <v>0.14119999999999999</v>
      </c>
      <c r="AL181" s="35">
        <v>0.18730000000000002</v>
      </c>
    </row>
    <row r="182" spans="1:38">
      <c r="A182" t="s">
        <v>574</v>
      </c>
      <c r="B182" t="s">
        <v>575</v>
      </c>
      <c r="C182" t="s">
        <v>1088</v>
      </c>
      <c r="D182" s="6">
        <v>0</v>
      </c>
      <c r="E182" s="6">
        <v>51</v>
      </c>
      <c r="F182" s="6">
        <v>18.55</v>
      </c>
      <c r="G182" s="6">
        <v>31.2</v>
      </c>
      <c r="H182" s="6">
        <v>31.2</v>
      </c>
      <c r="I182" s="6">
        <v>39.270000000000003</v>
      </c>
      <c r="J182" s="6">
        <v>171.22</v>
      </c>
      <c r="K182" s="6">
        <v>2.42</v>
      </c>
      <c r="L182" s="6">
        <v>0.36</v>
      </c>
      <c r="M182" s="6">
        <v>876.1</v>
      </c>
      <c r="N182" s="6">
        <v>3.1</v>
      </c>
      <c r="O182" s="6">
        <v>0</v>
      </c>
      <c r="P182" s="6">
        <v>487.7</v>
      </c>
      <c r="Q182" s="6">
        <v>211.3</v>
      </c>
      <c r="R182" s="6">
        <v>0</v>
      </c>
      <c r="S182">
        <v>1</v>
      </c>
      <c r="T182">
        <v>1</v>
      </c>
      <c r="U182">
        <v>0</v>
      </c>
      <c r="V182" s="6">
        <v>2.11</v>
      </c>
      <c r="W182" s="6">
        <v>0</v>
      </c>
      <c r="X182" s="6">
        <v>0</v>
      </c>
      <c r="Y182" s="6">
        <v>118.56</v>
      </c>
      <c r="Z182" s="6">
        <v>34.44</v>
      </c>
      <c r="AA182" s="6">
        <v>876.1</v>
      </c>
      <c r="AB182" s="6">
        <v>17</v>
      </c>
      <c r="AC182" s="6">
        <v>116.17</v>
      </c>
      <c r="AD182" s="6">
        <v>19.23</v>
      </c>
      <c r="AE182" s="6">
        <v>150</v>
      </c>
      <c r="AF182" s="35">
        <v>5.7500000000000002E-2</v>
      </c>
      <c r="AG182" s="35">
        <v>0.20180000000000001</v>
      </c>
      <c r="AH182">
        <v>1</v>
      </c>
      <c r="AI182">
        <v>1</v>
      </c>
      <c r="AJ182">
        <v>0</v>
      </c>
      <c r="AK182" s="35">
        <v>7.7200000000000005E-2</v>
      </c>
      <c r="AL182" s="35">
        <v>0.19820000000000004</v>
      </c>
    </row>
    <row r="183" spans="1:38">
      <c r="A183" t="s">
        <v>691</v>
      </c>
      <c r="B183" t="s">
        <v>692</v>
      </c>
      <c r="C183" t="s">
        <v>1088</v>
      </c>
      <c r="D183" s="6">
        <v>0</v>
      </c>
      <c r="E183" s="6">
        <v>318.07</v>
      </c>
      <c r="F183" s="6">
        <v>83.7</v>
      </c>
      <c r="G183" s="6">
        <v>169.37</v>
      </c>
      <c r="H183" s="6">
        <v>165.7</v>
      </c>
      <c r="I183" s="6">
        <v>0</v>
      </c>
      <c r="J183" s="6">
        <v>736.84</v>
      </c>
      <c r="K183" s="6">
        <v>0</v>
      </c>
      <c r="L183" s="6">
        <v>0</v>
      </c>
      <c r="M183" s="6">
        <v>736.84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>
        <v>1.06</v>
      </c>
      <c r="T183">
        <v>1.06</v>
      </c>
      <c r="U183">
        <v>0</v>
      </c>
      <c r="V183" s="6">
        <v>17.22</v>
      </c>
      <c r="W183" s="6">
        <v>0</v>
      </c>
      <c r="X183" s="6">
        <v>0</v>
      </c>
      <c r="Y183" s="6">
        <v>95.67</v>
      </c>
      <c r="Z183" s="6">
        <v>24.22</v>
      </c>
      <c r="AA183" s="6">
        <v>736.83</v>
      </c>
      <c r="AB183" s="6">
        <v>17</v>
      </c>
      <c r="AC183" s="6">
        <v>128.77000000000001</v>
      </c>
      <c r="AD183" s="6">
        <v>21.31</v>
      </c>
      <c r="AE183" s="6">
        <v>119.89</v>
      </c>
      <c r="AF183" s="35">
        <v>0.2031</v>
      </c>
      <c r="AG183" s="35">
        <v>0.1794</v>
      </c>
      <c r="AH183">
        <v>1.06</v>
      </c>
      <c r="AI183">
        <v>1.06</v>
      </c>
      <c r="AJ183">
        <v>0</v>
      </c>
      <c r="AK183" s="35">
        <v>0.185</v>
      </c>
      <c r="AL183" s="35">
        <v>0.20989999999999998</v>
      </c>
    </row>
    <row r="184" spans="1:38">
      <c r="A184" t="s">
        <v>633</v>
      </c>
      <c r="B184" t="s">
        <v>634</v>
      </c>
      <c r="C184" t="s">
        <v>1088</v>
      </c>
      <c r="D184" s="6">
        <v>31.25</v>
      </c>
      <c r="E184" s="6">
        <v>645.79999999999995</v>
      </c>
      <c r="F184" s="6">
        <v>154.6</v>
      </c>
      <c r="G184" s="6">
        <v>338.34</v>
      </c>
      <c r="H184" s="6">
        <v>295.16000000000003</v>
      </c>
      <c r="I184" s="6">
        <v>624.24</v>
      </c>
      <c r="J184" s="6">
        <v>2058.14</v>
      </c>
      <c r="K184" s="6">
        <v>58</v>
      </c>
      <c r="L184" s="6">
        <v>2.02</v>
      </c>
      <c r="M184" s="6">
        <v>2265.7600000000002</v>
      </c>
      <c r="N184" s="6">
        <v>0</v>
      </c>
      <c r="O184" s="6">
        <v>0</v>
      </c>
      <c r="P184" s="6">
        <v>4.0999999999999996</v>
      </c>
      <c r="Q184" s="6">
        <v>9.4</v>
      </c>
      <c r="R184" s="6">
        <v>134.1</v>
      </c>
      <c r="S184">
        <v>1.1200000000000001</v>
      </c>
      <c r="T184">
        <v>1.1200000000000001</v>
      </c>
      <c r="U184">
        <v>0</v>
      </c>
      <c r="V184" s="6">
        <v>29.67</v>
      </c>
      <c r="W184" s="6">
        <v>5.1100000000000003</v>
      </c>
      <c r="X184" s="6">
        <v>1</v>
      </c>
      <c r="Y184" s="6">
        <v>256.33</v>
      </c>
      <c r="Z184" s="6">
        <v>70.67</v>
      </c>
      <c r="AA184" s="6">
        <v>2322.42</v>
      </c>
      <c r="AB184" s="6">
        <v>17</v>
      </c>
      <c r="AC184" s="6">
        <v>130.61000000000001</v>
      </c>
      <c r="AD184" s="6">
        <v>21.62</v>
      </c>
      <c r="AE184" s="6">
        <v>331.22</v>
      </c>
      <c r="AF184" s="35">
        <v>0.16320000000000001</v>
      </c>
      <c r="AG184" s="35">
        <v>0.18029999999999999</v>
      </c>
      <c r="AH184">
        <v>1.1200000000000001</v>
      </c>
      <c r="AI184">
        <v>1.1200000000000001</v>
      </c>
      <c r="AJ184">
        <v>0</v>
      </c>
      <c r="AK184" s="35">
        <v>0.1764</v>
      </c>
      <c r="AL184" s="35">
        <v>0.18140000000000001</v>
      </c>
    </row>
    <row r="185" spans="1:38">
      <c r="A185" t="s">
        <v>506</v>
      </c>
      <c r="B185" t="s">
        <v>507</v>
      </c>
      <c r="C185" t="s">
        <v>1088</v>
      </c>
      <c r="D185" s="6">
        <v>12.6</v>
      </c>
      <c r="E185" s="6">
        <v>153.80000000000001</v>
      </c>
      <c r="F185" s="6">
        <v>38.1</v>
      </c>
      <c r="G185" s="6">
        <v>57.55</v>
      </c>
      <c r="H185" s="6">
        <v>59.73</v>
      </c>
      <c r="I185" s="6">
        <v>0</v>
      </c>
      <c r="J185" s="6">
        <v>309.18</v>
      </c>
      <c r="K185" s="6">
        <v>0</v>
      </c>
      <c r="L185" s="6">
        <v>0</v>
      </c>
      <c r="M185" s="6">
        <v>309.18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>
        <v>1</v>
      </c>
      <c r="T185">
        <v>1</v>
      </c>
      <c r="U185">
        <v>0</v>
      </c>
      <c r="V185" s="6">
        <v>6.67</v>
      </c>
      <c r="W185" s="6">
        <v>1</v>
      </c>
      <c r="X185" s="6">
        <v>0</v>
      </c>
      <c r="Y185" s="6">
        <v>46.44</v>
      </c>
      <c r="Z185" s="6">
        <v>6.44</v>
      </c>
      <c r="AA185" s="6">
        <v>321.79000000000002</v>
      </c>
      <c r="AB185" s="6">
        <v>17</v>
      </c>
      <c r="AC185" s="6">
        <v>123.89</v>
      </c>
      <c r="AD185" s="6">
        <v>20.51</v>
      </c>
      <c r="AE185" s="6">
        <v>53.88</v>
      </c>
      <c r="AF185" s="35">
        <v>0.25269999999999998</v>
      </c>
      <c r="AG185" s="35">
        <v>0.1232</v>
      </c>
      <c r="AH185">
        <v>1</v>
      </c>
      <c r="AI185">
        <v>1</v>
      </c>
      <c r="AJ185">
        <v>0</v>
      </c>
      <c r="AK185" s="35">
        <v>0.22639999999999999</v>
      </c>
      <c r="AL185" s="35">
        <v>0.13729999999999998</v>
      </c>
    </row>
    <row r="186" spans="1:38">
      <c r="A186" t="s">
        <v>620</v>
      </c>
      <c r="B186" t="s">
        <v>1032</v>
      </c>
      <c r="C186" t="s">
        <v>1088</v>
      </c>
      <c r="D186" s="6">
        <v>7.2</v>
      </c>
      <c r="E186" s="6">
        <v>59.4</v>
      </c>
      <c r="F186" s="6">
        <v>13.3</v>
      </c>
      <c r="G186" s="6">
        <v>20.3</v>
      </c>
      <c r="H186" s="6">
        <v>17.7</v>
      </c>
      <c r="I186" s="6">
        <v>7.7</v>
      </c>
      <c r="J186" s="6">
        <v>118.4</v>
      </c>
      <c r="K186" s="6">
        <v>0</v>
      </c>
      <c r="L186" s="6">
        <v>0</v>
      </c>
      <c r="M186" s="6">
        <v>118.4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>
        <v>1</v>
      </c>
      <c r="T186">
        <v>1</v>
      </c>
      <c r="U186">
        <v>0</v>
      </c>
      <c r="V186" s="6">
        <v>7.44</v>
      </c>
      <c r="W186" s="6">
        <v>0</v>
      </c>
      <c r="X186" s="6">
        <v>0</v>
      </c>
      <c r="Y186" s="6">
        <v>17.440000000000001</v>
      </c>
      <c r="Z186" s="6">
        <v>1.56</v>
      </c>
      <c r="AA186" s="6">
        <v>125.6</v>
      </c>
      <c r="AB186" s="6">
        <v>17</v>
      </c>
      <c r="AC186" s="6">
        <v>116.4</v>
      </c>
      <c r="AD186" s="6">
        <v>19.27</v>
      </c>
      <c r="AE186" s="6">
        <v>19</v>
      </c>
      <c r="AF186" s="35">
        <v>0.22589999999999999</v>
      </c>
      <c r="AG186" s="35">
        <v>0.1094</v>
      </c>
      <c r="AH186">
        <v>1</v>
      </c>
      <c r="AI186">
        <v>1</v>
      </c>
      <c r="AJ186">
        <v>0</v>
      </c>
      <c r="AK186" s="35">
        <v>0.27229999999999999</v>
      </c>
      <c r="AL186" s="35">
        <v>0.15469999999999995</v>
      </c>
    </row>
    <row r="187" spans="1:38">
      <c r="A187" t="s">
        <v>657</v>
      </c>
      <c r="B187" t="s">
        <v>658</v>
      </c>
      <c r="C187" t="s">
        <v>1088</v>
      </c>
      <c r="D187" s="6">
        <v>0</v>
      </c>
      <c r="E187" s="6">
        <v>472.26</v>
      </c>
      <c r="F187" s="6">
        <v>98.8</v>
      </c>
      <c r="G187" s="6">
        <v>222.53</v>
      </c>
      <c r="H187" s="6">
        <v>220.44</v>
      </c>
      <c r="I187" s="6">
        <v>404.46</v>
      </c>
      <c r="J187" s="6">
        <v>1418.49</v>
      </c>
      <c r="K187" s="6">
        <v>146.30000000000001</v>
      </c>
      <c r="L187" s="6">
        <v>16.04</v>
      </c>
      <c r="M187" s="6">
        <v>5855.37</v>
      </c>
      <c r="N187" s="6">
        <v>0</v>
      </c>
      <c r="O187" s="6">
        <v>0</v>
      </c>
      <c r="P187" s="6">
        <v>1691.8</v>
      </c>
      <c r="Q187" s="6">
        <v>1018.27</v>
      </c>
      <c r="R187" s="6">
        <v>1564.47</v>
      </c>
      <c r="S187">
        <v>1</v>
      </c>
      <c r="T187">
        <v>1</v>
      </c>
      <c r="U187">
        <v>0</v>
      </c>
      <c r="V187" s="6">
        <v>36.89</v>
      </c>
      <c r="W187" s="6">
        <v>0</v>
      </c>
      <c r="X187" s="6">
        <v>0</v>
      </c>
      <c r="Y187" s="6">
        <v>754.11</v>
      </c>
      <c r="Z187" s="6">
        <v>161.88999999999999</v>
      </c>
      <c r="AA187" s="6">
        <v>5822.51</v>
      </c>
      <c r="AB187" s="6">
        <v>17</v>
      </c>
      <c r="AC187" s="6">
        <v>128.80000000000001</v>
      </c>
      <c r="AD187" s="6">
        <v>21.32</v>
      </c>
      <c r="AE187" s="6">
        <v>916</v>
      </c>
      <c r="AF187" s="35">
        <v>8.9099999999999999E-2</v>
      </c>
      <c r="AG187" s="35">
        <v>0.18490000000000001</v>
      </c>
      <c r="AH187">
        <v>1</v>
      </c>
      <c r="AI187">
        <v>1</v>
      </c>
      <c r="AJ187">
        <v>0</v>
      </c>
      <c r="AK187" s="35">
        <v>0.1178</v>
      </c>
      <c r="AL187" s="35">
        <v>0.1875</v>
      </c>
    </row>
    <row r="188" spans="1:38">
      <c r="A188" t="s">
        <v>655</v>
      </c>
      <c r="B188" t="s">
        <v>656</v>
      </c>
      <c r="C188" t="s">
        <v>1088</v>
      </c>
      <c r="D188" s="6">
        <v>0</v>
      </c>
      <c r="E188" s="6">
        <v>261.60000000000002</v>
      </c>
      <c r="F188" s="6">
        <v>62.9</v>
      </c>
      <c r="G188" s="6">
        <v>169.86</v>
      </c>
      <c r="H188" s="6">
        <v>162.97999999999999</v>
      </c>
      <c r="I188" s="6">
        <v>282.75</v>
      </c>
      <c r="J188" s="6">
        <v>940.09</v>
      </c>
      <c r="K188" s="6">
        <v>12.07</v>
      </c>
      <c r="L188" s="6">
        <v>1.02</v>
      </c>
      <c r="M188" s="6">
        <v>1051.31</v>
      </c>
      <c r="N188" s="6">
        <v>0</v>
      </c>
      <c r="O188" s="6">
        <v>0</v>
      </c>
      <c r="P188" s="6">
        <v>2.2000000000000002</v>
      </c>
      <c r="Q188" s="6">
        <v>6.27</v>
      </c>
      <c r="R188" s="6">
        <v>89.66</v>
      </c>
      <c r="S188">
        <v>1</v>
      </c>
      <c r="T188">
        <v>1</v>
      </c>
      <c r="U188">
        <v>0.02</v>
      </c>
      <c r="V188" s="6">
        <v>12.22</v>
      </c>
      <c r="W188" s="6">
        <v>0</v>
      </c>
      <c r="X188" s="6">
        <v>0</v>
      </c>
      <c r="Y188" s="6">
        <v>127.33</v>
      </c>
      <c r="Z188" s="6">
        <v>27.89</v>
      </c>
      <c r="AA188" s="6">
        <v>1051.31</v>
      </c>
      <c r="AB188" s="6">
        <v>17</v>
      </c>
      <c r="AC188" s="6">
        <v>130.31</v>
      </c>
      <c r="AD188" s="6">
        <v>21.57</v>
      </c>
      <c r="AE188" s="6">
        <v>155.22</v>
      </c>
      <c r="AF188" s="35">
        <v>0.18859999999999999</v>
      </c>
      <c r="AG188" s="35">
        <v>0.17949999999999999</v>
      </c>
      <c r="AH188">
        <v>1</v>
      </c>
      <c r="AI188">
        <v>1</v>
      </c>
      <c r="AJ188">
        <v>1.0000000000000009E-2</v>
      </c>
      <c r="AK188" s="35">
        <v>0.18240000000000001</v>
      </c>
      <c r="AL188" s="35">
        <v>0.15990000000000004</v>
      </c>
    </row>
    <row r="189" spans="1:38">
      <c r="A189" t="s">
        <v>349</v>
      </c>
      <c r="B189" t="s">
        <v>350</v>
      </c>
      <c r="C189" t="s">
        <v>1088</v>
      </c>
      <c r="D189" s="6">
        <v>45.6</v>
      </c>
      <c r="E189" s="6">
        <v>246.9</v>
      </c>
      <c r="F189" s="6">
        <v>60.4</v>
      </c>
      <c r="G189" s="6">
        <v>144.69999999999999</v>
      </c>
      <c r="H189" s="6">
        <v>162.6</v>
      </c>
      <c r="I189" s="6">
        <v>293.85000000000002</v>
      </c>
      <c r="J189" s="6">
        <v>908.45</v>
      </c>
      <c r="K189" s="6">
        <v>35.47</v>
      </c>
      <c r="L189" s="6">
        <v>2.85</v>
      </c>
      <c r="M189" s="6">
        <v>963.82</v>
      </c>
      <c r="N189" s="6">
        <v>0</v>
      </c>
      <c r="O189" s="6">
        <v>0</v>
      </c>
      <c r="P189" s="6">
        <v>0</v>
      </c>
      <c r="Q189" s="6">
        <v>0</v>
      </c>
      <c r="R189" s="6">
        <v>17.05</v>
      </c>
      <c r="S189">
        <v>1</v>
      </c>
      <c r="T189">
        <v>1</v>
      </c>
      <c r="U189">
        <v>0</v>
      </c>
      <c r="V189" s="6">
        <v>7.11</v>
      </c>
      <c r="W189" s="6">
        <v>3.33</v>
      </c>
      <c r="X189" s="6">
        <v>3.44</v>
      </c>
      <c r="Y189" s="6">
        <v>70.11</v>
      </c>
      <c r="Z189" s="6">
        <v>35.89</v>
      </c>
      <c r="AA189" s="6">
        <v>1009.42</v>
      </c>
      <c r="AB189" s="6">
        <v>17</v>
      </c>
      <c r="AC189" s="6">
        <v>131.13</v>
      </c>
      <c r="AD189" s="6">
        <v>21.7</v>
      </c>
      <c r="AE189" s="6">
        <v>112.77</v>
      </c>
      <c r="AF189" s="35">
        <v>0.15479999999999999</v>
      </c>
      <c r="AG189" s="35">
        <v>0.21299999999999999</v>
      </c>
      <c r="AH189">
        <v>1</v>
      </c>
      <c r="AI189">
        <v>1</v>
      </c>
      <c r="AJ189">
        <v>0</v>
      </c>
      <c r="AK189" s="35">
        <v>0.20430000000000001</v>
      </c>
      <c r="AL189" s="35">
        <v>0.21379999999999999</v>
      </c>
    </row>
    <row r="190" spans="1:38">
      <c r="A190" t="s">
        <v>683</v>
      </c>
      <c r="B190" t="s">
        <v>684</v>
      </c>
      <c r="C190" t="s">
        <v>1088</v>
      </c>
      <c r="D190" s="6">
        <v>12</v>
      </c>
      <c r="E190" s="6">
        <v>68.3</v>
      </c>
      <c r="F190" s="6">
        <v>17.5</v>
      </c>
      <c r="G190" s="6">
        <v>23.7</v>
      </c>
      <c r="H190" s="6">
        <v>38.1</v>
      </c>
      <c r="I190" s="6">
        <v>61.99</v>
      </c>
      <c r="J190" s="6">
        <v>209.59</v>
      </c>
      <c r="K190" s="6">
        <v>9.99</v>
      </c>
      <c r="L190" s="6">
        <v>1.35</v>
      </c>
      <c r="M190" s="6">
        <v>221.93</v>
      </c>
      <c r="N190" s="6">
        <v>0</v>
      </c>
      <c r="O190" s="6">
        <v>0</v>
      </c>
      <c r="P190" s="6">
        <v>0.6</v>
      </c>
      <c r="Q190" s="6">
        <v>0</v>
      </c>
      <c r="R190" s="6">
        <v>0.4</v>
      </c>
      <c r="S190">
        <v>1</v>
      </c>
      <c r="T190">
        <v>1</v>
      </c>
      <c r="U190">
        <v>0.02</v>
      </c>
      <c r="V190" s="6">
        <v>0</v>
      </c>
      <c r="W190" s="6">
        <v>0.89</v>
      </c>
      <c r="X190" s="6">
        <v>0.89</v>
      </c>
      <c r="Y190" s="6">
        <v>20.440000000000001</v>
      </c>
      <c r="Z190" s="6">
        <v>15.11</v>
      </c>
      <c r="AA190" s="6">
        <v>233.92</v>
      </c>
      <c r="AB190" s="6">
        <v>17</v>
      </c>
      <c r="AC190" s="6">
        <v>125.25</v>
      </c>
      <c r="AD190" s="6">
        <v>20.73</v>
      </c>
      <c r="AE190" s="6">
        <v>37.33</v>
      </c>
      <c r="AF190" s="35">
        <v>0.29799999999999999</v>
      </c>
      <c r="AG190" s="35">
        <v>0.2039</v>
      </c>
      <c r="AH190">
        <v>1</v>
      </c>
      <c r="AI190">
        <v>1</v>
      </c>
      <c r="AJ190">
        <v>1.0000000000000009E-2</v>
      </c>
      <c r="AK190" s="35">
        <v>0.30299999999999999</v>
      </c>
      <c r="AL190" s="35">
        <v>0.25439999999999996</v>
      </c>
    </row>
    <row r="191" spans="1:38">
      <c r="A191" t="s">
        <v>823</v>
      </c>
      <c r="B191" t="s">
        <v>824</v>
      </c>
      <c r="C191" t="s">
        <v>1088</v>
      </c>
      <c r="D191" s="6">
        <v>0</v>
      </c>
      <c r="E191" s="6">
        <v>286.81</v>
      </c>
      <c r="F191" s="6">
        <v>80.7</v>
      </c>
      <c r="G191" s="6">
        <v>151.5</v>
      </c>
      <c r="H191" s="6">
        <v>145.19</v>
      </c>
      <c r="I191" s="6">
        <v>301.47000000000003</v>
      </c>
      <c r="J191" s="6">
        <v>965.67</v>
      </c>
      <c r="K191" s="6">
        <v>27.74</v>
      </c>
      <c r="L191" s="6">
        <v>2.65</v>
      </c>
      <c r="M191" s="6">
        <v>1096.45</v>
      </c>
      <c r="N191" s="6">
        <v>0</v>
      </c>
      <c r="O191" s="6">
        <v>0</v>
      </c>
      <c r="P191" s="6">
        <v>38.549999999999997</v>
      </c>
      <c r="Q191" s="6">
        <v>18.350000000000001</v>
      </c>
      <c r="R191" s="6">
        <v>43.49</v>
      </c>
      <c r="S191">
        <v>1</v>
      </c>
      <c r="T191">
        <v>1</v>
      </c>
      <c r="U191">
        <v>0</v>
      </c>
      <c r="V191" s="6">
        <v>8.7799999999999994</v>
      </c>
      <c r="W191" s="6">
        <v>0</v>
      </c>
      <c r="X191" s="6">
        <v>0</v>
      </c>
      <c r="Y191" s="6">
        <v>102.11</v>
      </c>
      <c r="Z191" s="6">
        <v>27.78</v>
      </c>
      <c r="AA191" s="6">
        <v>1096.46</v>
      </c>
      <c r="AB191" s="6">
        <v>17.36</v>
      </c>
      <c r="AC191" s="6">
        <v>125.84</v>
      </c>
      <c r="AD191" s="6">
        <v>20.83</v>
      </c>
      <c r="AE191" s="6">
        <v>129.88999999999999</v>
      </c>
      <c r="AF191" s="35">
        <v>0.1933</v>
      </c>
      <c r="AG191" s="35">
        <v>0.19939999999999999</v>
      </c>
      <c r="AH191">
        <v>1</v>
      </c>
      <c r="AI191">
        <v>1</v>
      </c>
      <c r="AJ191">
        <v>0</v>
      </c>
      <c r="AK191" s="35">
        <v>0.17960000000000001</v>
      </c>
      <c r="AL191" s="35">
        <v>0.15500000000000003</v>
      </c>
    </row>
    <row r="192" spans="1:38">
      <c r="A192" t="s">
        <v>671</v>
      </c>
      <c r="B192" t="s">
        <v>672</v>
      </c>
      <c r="C192" t="s">
        <v>1088</v>
      </c>
      <c r="D192" s="6">
        <v>0</v>
      </c>
      <c r="E192" s="6">
        <v>137.97</v>
      </c>
      <c r="F192" s="6">
        <v>36.1</v>
      </c>
      <c r="G192" s="6">
        <v>74.319999999999993</v>
      </c>
      <c r="H192" s="6">
        <v>83.02</v>
      </c>
      <c r="I192" s="6">
        <v>111.75</v>
      </c>
      <c r="J192" s="6">
        <v>443.16</v>
      </c>
      <c r="K192" s="6">
        <v>13.42</v>
      </c>
      <c r="L192" s="6">
        <v>0</v>
      </c>
      <c r="M192" s="6">
        <v>477.93</v>
      </c>
      <c r="N192" s="6">
        <v>0</v>
      </c>
      <c r="O192" s="6">
        <v>0</v>
      </c>
      <c r="P192" s="6">
        <v>2.6</v>
      </c>
      <c r="Q192" s="6">
        <v>0.62</v>
      </c>
      <c r="R192" s="6">
        <v>18.13</v>
      </c>
      <c r="S192">
        <v>1</v>
      </c>
      <c r="T192">
        <v>1</v>
      </c>
      <c r="U192">
        <v>0</v>
      </c>
      <c r="V192" s="6">
        <v>14.89</v>
      </c>
      <c r="W192" s="6">
        <v>0</v>
      </c>
      <c r="X192" s="6">
        <v>0</v>
      </c>
      <c r="Y192" s="6">
        <v>43.44</v>
      </c>
      <c r="Z192" s="6">
        <v>12.44</v>
      </c>
      <c r="AA192" s="6">
        <v>477.92</v>
      </c>
      <c r="AB192" s="6">
        <v>17</v>
      </c>
      <c r="AC192" s="6">
        <v>124.3</v>
      </c>
      <c r="AD192" s="6">
        <v>20.57</v>
      </c>
      <c r="AE192" s="6">
        <v>55.88</v>
      </c>
      <c r="AF192" s="35">
        <v>0.25059999999999999</v>
      </c>
      <c r="AG192" s="35">
        <v>0.19020000000000001</v>
      </c>
      <c r="AH192">
        <v>1</v>
      </c>
      <c r="AI192">
        <v>1</v>
      </c>
      <c r="AJ192">
        <v>0</v>
      </c>
      <c r="AK192" s="35">
        <v>0.32400000000000001</v>
      </c>
      <c r="AL192" s="35">
        <v>0.20669999999999999</v>
      </c>
    </row>
    <row r="193" spans="1:38">
      <c r="A193" t="s">
        <v>1093</v>
      </c>
      <c r="B193" t="s">
        <v>1094</v>
      </c>
      <c r="C193" t="s">
        <v>1088</v>
      </c>
      <c r="D193" s="6">
        <v>0</v>
      </c>
      <c r="E193" s="6">
        <v>72</v>
      </c>
      <c r="F193" s="6">
        <v>17</v>
      </c>
      <c r="G193" s="6">
        <v>38</v>
      </c>
      <c r="H193" s="6">
        <v>30</v>
      </c>
      <c r="I193" s="6">
        <v>11</v>
      </c>
      <c r="J193" s="6">
        <v>168</v>
      </c>
      <c r="K193" s="6">
        <v>0</v>
      </c>
      <c r="L193" s="6">
        <v>0</v>
      </c>
      <c r="M193" s="6">
        <v>168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>
        <v>1</v>
      </c>
      <c r="T193">
        <v>1</v>
      </c>
      <c r="U193">
        <v>0</v>
      </c>
      <c r="V193" s="6">
        <v>0</v>
      </c>
      <c r="W193" s="6">
        <v>0</v>
      </c>
      <c r="X193" s="6">
        <v>0</v>
      </c>
      <c r="Y193" s="6">
        <v>11</v>
      </c>
      <c r="Z193" s="6">
        <v>0</v>
      </c>
      <c r="AA193" s="6">
        <v>168</v>
      </c>
      <c r="AB193" s="6">
        <v>17</v>
      </c>
      <c r="AC193" s="6">
        <v>128.80000000000001</v>
      </c>
      <c r="AD193" s="6">
        <v>21.32</v>
      </c>
      <c r="AE193" s="6">
        <v>11</v>
      </c>
      <c r="AF193" s="35">
        <v>8.9099999999999999E-2</v>
      </c>
      <c r="AG193" s="35">
        <v>0.18490000000000001</v>
      </c>
      <c r="AH193">
        <v>1</v>
      </c>
      <c r="AI193">
        <v>1</v>
      </c>
      <c r="AJ193">
        <v>0</v>
      </c>
      <c r="AK193" s="35">
        <v>0.14979999999999999</v>
      </c>
      <c r="AL193" s="35">
        <v>0.14849999999999997</v>
      </c>
    </row>
    <row r="194" spans="1:38">
      <c r="A194" t="s">
        <v>773</v>
      </c>
      <c r="B194" t="s">
        <v>774</v>
      </c>
      <c r="C194" t="s">
        <v>1088</v>
      </c>
      <c r="D194" s="6">
        <v>5.0999999999999996</v>
      </c>
      <c r="E194" s="6">
        <v>158.13</v>
      </c>
      <c r="F194" s="6">
        <v>33.9</v>
      </c>
      <c r="G194" s="6">
        <v>85.86</v>
      </c>
      <c r="H194" s="6">
        <v>74.88</v>
      </c>
      <c r="I194" s="6">
        <v>159.99</v>
      </c>
      <c r="J194" s="6">
        <v>512.76</v>
      </c>
      <c r="K194" s="6">
        <v>13.45</v>
      </c>
      <c r="L194" s="6">
        <v>0.27</v>
      </c>
      <c r="M194" s="6">
        <v>534.12</v>
      </c>
      <c r="N194" s="6">
        <v>0.3</v>
      </c>
      <c r="O194" s="6">
        <v>0</v>
      </c>
      <c r="P194" s="6">
        <v>5.07</v>
      </c>
      <c r="Q194" s="6">
        <v>2.27</v>
      </c>
      <c r="R194" s="6">
        <v>0</v>
      </c>
      <c r="S194">
        <v>1</v>
      </c>
      <c r="T194">
        <v>1</v>
      </c>
      <c r="U194">
        <v>0</v>
      </c>
      <c r="V194" s="6">
        <v>5.67</v>
      </c>
      <c r="W194" s="6">
        <v>0</v>
      </c>
      <c r="X194" s="6">
        <v>0</v>
      </c>
      <c r="Y194" s="6">
        <v>27.78</v>
      </c>
      <c r="Z194" s="6">
        <v>60.33</v>
      </c>
      <c r="AA194" s="6">
        <v>539.75</v>
      </c>
      <c r="AB194" s="6">
        <v>17.03</v>
      </c>
      <c r="AC194" s="6">
        <v>120.67</v>
      </c>
      <c r="AD194" s="6">
        <v>19.97</v>
      </c>
      <c r="AE194" s="6">
        <v>88.11</v>
      </c>
      <c r="AF194" s="35">
        <v>0.1547</v>
      </c>
      <c r="AG194" s="35">
        <v>0.26889999999999997</v>
      </c>
      <c r="AH194">
        <v>1</v>
      </c>
      <c r="AI194">
        <v>1</v>
      </c>
      <c r="AJ194">
        <v>0</v>
      </c>
      <c r="AK194" s="35">
        <v>0.18970000000000001</v>
      </c>
      <c r="AL194" s="35">
        <v>0.29900000000000004</v>
      </c>
    </row>
    <row r="195" spans="1:38">
      <c r="A195" t="s">
        <v>717</v>
      </c>
      <c r="B195" t="s">
        <v>718</v>
      </c>
      <c r="C195" t="s">
        <v>1088</v>
      </c>
      <c r="D195" s="6">
        <v>18.5</v>
      </c>
      <c r="E195" s="6">
        <v>127.5</v>
      </c>
      <c r="F195" s="6">
        <v>22.8</v>
      </c>
      <c r="G195" s="6">
        <v>73.2</v>
      </c>
      <c r="H195" s="6">
        <v>82.5</v>
      </c>
      <c r="I195" s="6">
        <v>157</v>
      </c>
      <c r="J195" s="6">
        <v>463</v>
      </c>
      <c r="K195" s="6">
        <v>8.0399999999999991</v>
      </c>
      <c r="L195" s="6">
        <v>0</v>
      </c>
      <c r="M195" s="6">
        <v>480.84</v>
      </c>
      <c r="N195" s="6">
        <v>4.7</v>
      </c>
      <c r="O195" s="6">
        <v>0</v>
      </c>
      <c r="P195" s="6">
        <v>0</v>
      </c>
      <c r="Q195" s="6">
        <v>0.8</v>
      </c>
      <c r="R195" s="6">
        <v>4.3</v>
      </c>
      <c r="S195">
        <v>1</v>
      </c>
      <c r="T195">
        <v>1</v>
      </c>
      <c r="U195">
        <v>0</v>
      </c>
      <c r="V195" s="6">
        <v>1</v>
      </c>
      <c r="W195" s="6">
        <v>1.44</v>
      </c>
      <c r="X195" s="6">
        <v>0</v>
      </c>
      <c r="Y195" s="6">
        <v>54.78</v>
      </c>
      <c r="Z195" s="6">
        <v>17.440000000000001</v>
      </c>
      <c r="AA195" s="6">
        <v>499.33</v>
      </c>
      <c r="AB195" s="6">
        <v>17</v>
      </c>
      <c r="AC195" s="6">
        <v>125.57</v>
      </c>
      <c r="AD195" s="6">
        <v>20.78</v>
      </c>
      <c r="AE195" s="6">
        <v>73.66</v>
      </c>
      <c r="AF195" s="35">
        <v>0.2044</v>
      </c>
      <c r="AG195" s="35">
        <v>0.20449999999999999</v>
      </c>
      <c r="AH195">
        <v>1</v>
      </c>
      <c r="AI195">
        <v>1</v>
      </c>
      <c r="AJ195">
        <v>0</v>
      </c>
      <c r="AK195" s="35">
        <v>0.19589999999999999</v>
      </c>
      <c r="AL195" s="35">
        <v>0.20669999999999999</v>
      </c>
    </row>
    <row r="196" spans="1:38">
      <c r="A196" t="s">
        <v>879</v>
      </c>
      <c r="B196" t="s">
        <v>880</v>
      </c>
      <c r="C196" t="s">
        <v>1088</v>
      </c>
      <c r="D196" s="6">
        <v>0</v>
      </c>
      <c r="E196" s="6">
        <v>103</v>
      </c>
      <c r="F196" s="6">
        <v>19.7</v>
      </c>
      <c r="G196" s="6">
        <v>57.7</v>
      </c>
      <c r="H196" s="6">
        <v>50.3</v>
      </c>
      <c r="I196" s="6">
        <v>89.98</v>
      </c>
      <c r="J196" s="6">
        <v>320.68</v>
      </c>
      <c r="K196" s="6">
        <v>16.57</v>
      </c>
      <c r="L196" s="6">
        <v>1.1299999999999999</v>
      </c>
      <c r="M196" s="6">
        <v>338.38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>
        <v>1</v>
      </c>
      <c r="T196">
        <v>1</v>
      </c>
      <c r="U196">
        <v>0</v>
      </c>
      <c r="V196" s="6">
        <v>5.33</v>
      </c>
      <c r="W196" s="6">
        <v>0</v>
      </c>
      <c r="X196" s="6">
        <v>0</v>
      </c>
      <c r="Y196" s="6">
        <v>34.56</v>
      </c>
      <c r="Z196" s="6">
        <v>16.11</v>
      </c>
      <c r="AA196" s="6">
        <v>338.38</v>
      </c>
      <c r="AB196" s="6">
        <v>17</v>
      </c>
      <c r="AC196" s="6">
        <v>120.01</v>
      </c>
      <c r="AD196" s="6">
        <v>19.86</v>
      </c>
      <c r="AE196" s="6">
        <v>50.67</v>
      </c>
      <c r="AF196" s="35">
        <v>0.1905</v>
      </c>
      <c r="AG196" s="35">
        <v>0.23530000000000001</v>
      </c>
      <c r="AH196">
        <v>1</v>
      </c>
      <c r="AI196">
        <v>1</v>
      </c>
      <c r="AJ196">
        <v>0</v>
      </c>
      <c r="AK196" s="35">
        <v>0.17119999999999999</v>
      </c>
      <c r="AL196" s="35">
        <v>0.18310000000000004</v>
      </c>
    </row>
    <row r="197" spans="1:38">
      <c r="A197" t="s">
        <v>635</v>
      </c>
      <c r="B197" t="s">
        <v>636</v>
      </c>
      <c r="C197" t="s">
        <v>1088</v>
      </c>
      <c r="D197" s="6">
        <v>1</v>
      </c>
      <c r="E197" s="6">
        <v>15.3</v>
      </c>
      <c r="F197" s="6">
        <v>5</v>
      </c>
      <c r="G197" s="6">
        <v>11.6</v>
      </c>
      <c r="H197" s="6">
        <v>7.39</v>
      </c>
      <c r="I197" s="6">
        <v>13.45</v>
      </c>
      <c r="J197" s="6">
        <v>52.74</v>
      </c>
      <c r="K197" s="6">
        <v>3.35</v>
      </c>
      <c r="L197" s="6">
        <v>0.93</v>
      </c>
      <c r="M197" s="6">
        <v>57.02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>
        <v>1</v>
      </c>
      <c r="T197">
        <v>1</v>
      </c>
      <c r="U197">
        <v>0</v>
      </c>
      <c r="V197" s="6">
        <v>0</v>
      </c>
      <c r="W197" s="6">
        <v>0</v>
      </c>
      <c r="X197" s="6">
        <v>0</v>
      </c>
      <c r="Y197" s="6">
        <v>6.78</v>
      </c>
      <c r="Z197" s="6">
        <v>0</v>
      </c>
      <c r="AA197" s="6">
        <v>58.03</v>
      </c>
      <c r="AB197" s="6">
        <v>17</v>
      </c>
      <c r="AC197" s="6">
        <v>119.74</v>
      </c>
      <c r="AD197" s="6">
        <v>19.82</v>
      </c>
      <c r="AE197" s="6">
        <v>6.78</v>
      </c>
      <c r="AF197" s="35">
        <v>0.30719999999999997</v>
      </c>
      <c r="AG197" s="35">
        <v>9.8699999999999996E-2</v>
      </c>
      <c r="AH197">
        <v>1</v>
      </c>
      <c r="AI197">
        <v>1</v>
      </c>
      <c r="AJ197">
        <v>0</v>
      </c>
      <c r="AK197" s="35">
        <v>0.26850000000000002</v>
      </c>
      <c r="AL197" s="35">
        <v>8.8300000000000045E-2</v>
      </c>
    </row>
    <row r="198" spans="1:38">
      <c r="A198" t="s">
        <v>621</v>
      </c>
      <c r="B198" t="s">
        <v>622</v>
      </c>
      <c r="C198" t="s">
        <v>1088</v>
      </c>
      <c r="D198" s="6">
        <v>0</v>
      </c>
      <c r="E198" s="6">
        <v>291.99</v>
      </c>
      <c r="F198" s="6">
        <v>72.900000000000006</v>
      </c>
      <c r="G198" s="6">
        <v>145.12</v>
      </c>
      <c r="H198" s="6">
        <v>148.82</v>
      </c>
      <c r="I198" s="6">
        <v>279.67</v>
      </c>
      <c r="J198" s="6">
        <v>938.5</v>
      </c>
      <c r="K198" s="6">
        <v>17.59</v>
      </c>
      <c r="L198" s="6">
        <v>0.8</v>
      </c>
      <c r="M198" s="6">
        <v>1143.56</v>
      </c>
      <c r="N198" s="6">
        <v>0.9</v>
      </c>
      <c r="O198" s="6">
        <v>0</v>
      </c>
      <c r="P198" s="6">
        <v>66.48</v>
      </c>
      <c r="Q198" s="6">
        <v>26.94</v>
      </c>
      <c r="R198" s="6">
        <v>92.35</v>
      </c>
      <c r="S198">
        <v>1</v>
      </c>
      <c r="T198">
        <v>1</v>
      </c>
      <c r="U198">
        <v>0</v>
      </c>
      <c r="V198" s="6">
        <v>16.670000000000002</v>
      </c>
      <c r="W198" s="6">
        <v>0</v>
      </c>
      <c r="X198" s="6">
        <v>0</v>
      </c>
      <c r="Y198" s="6">
        <v>91.56</v>
      </c>
      <c r="Z198" s="6">
        <v>87</v>
      </c>
      <c r="AA198" s="6">
        <v>1143.56</v>
      </c>
      <c r="AB198" s="6">
        <v>17</v>
      </c>
      <c r="AC198" s="6">
        <v>122.32</v>
      </c>
      <c r="AD198" s="6">
        <v>20.25</v>
      </c>
      <c r="AE198" s="6">
        <v>178.56</v>
      </c>
      <c r="AF198" s="35">
        <v>0.14410000000000001</v>
      </c>
      <c r="AG198" s="35">
        <v>0.26640000000000003</v>
      </c>
      <c r="AH198">
        <v>1</v>
      </c>
      <c r="AI198">
        <v>1</v>
      </c>
      <c r="AJ198">
        <v>0</v>
      </c>
      <c r="AK198" s="35">
        <v>0.1782</v>
      </c>
      <c r="AL198" s="35">
        <v>0.24209999999999998</v>
      </c>
    </row>
    <row r="199" spans="1:38">
      <c r="A199" t="s">
        <v>418</v>
      </c>
      <c r="B199" t="s">
        <v>419</v>
      </c>
      <c r="C199" t="s">
        <v>1088</v>
      </c>
      <c r="D199" s="6">
        <v>4</v>
      </c>
      <c r="E199" s="6">
        <v>69.31</v>
      </c>
      <c r="F199" s="6">
        <v>23.26</v>
      </c>
      <c r="G199" s="6">
        <v>42.28</v>
      </c>
      <c r="H199" s="6">
        <v>37.25</v>
      </c>
      <c r="I199" s="6">
        <v>72.45</v>
      </c>
      <c r="J199" s="6">
        <v>244.55</v>
      </c>
      <c r="K199" s="6">
        <v>3.3</v>
      </c>
      <c r="L199" s="6">
        <v>0.04</v>
      </c>
      <c r="M199" s="6">
        <v>359.99</v>
      </c>
      <c r="N199" s="6">
        <v>0</v>
      </c>
      <c r="O199" s="6">
        <v>0</v>
      </c>
      <c r="P199" s="6">
        <v>80.349999999999994</v>
      </c>
      <c r="Q199" s="6">
        <v>11.67</v>
      </c>
      <c r="R199" s="6">
        <v>20.079999999999998</v>
      </c>
      <c r="S199">
        <v>1</v>
      </c>
      <c r="T199">
        <v>1</v>
      </c>
      <c r="U199">
        <v>0</v>
      </c>
      <c r="V199" s="6">
        <v>4.8899999999999997</v>
      </c>
      <c r="W199" s="6">
        <v>0.67</v>
      </c>
      <c r="X199" s="6">
        <v>0.67</v>
      </c>
      <c r="Y199" s="6">
        <v>36.78</v>
      </c>
      <c r="Z199" s="6">
        <v>8.7799999999999994</v>
      </c>
      <c r="AA199" s="6">
        <v>363.98</v>
      </c>
      <c r="AB199" s="6">
        <v>17</v>
      </c>
      <c r="AC199" s="6">
        <v>123.03</v>
      </c>
      <c r="AD199" s="6">
        <v>20.36</v>
      </c>
      <c r="AE199" s="6">
        <v>46.9</v>
      </c>
      <c r="AF199" s="35">
        <v>0.22789999999999999</v>
      </c>
      <c r="AG199" s="35">
        <v>0.23630000000000001</v>
      </c>
      <c r="AH199">
        <v>1</v>
      </c>
      <c r="AI199">
        <v>1</v>
      </c>
      <c r="AJ199">
        <v>0</v>
      </c>
      <c r="AK199" s="35">
        <v>0.28389999999999999</v>
      </c>
      <c r="AL199" s="35">
        <v>0.19510000000000005</v>
      </c>
    </row>
    <row r="200" spans="1:38">
      <c r="A200" t="s">
        <v>753</v>
      </c>
      <c r="B200" t="s">
        <v>754</v>
      </c>
      <c r="C200" t="s">
        <v>1088</v>
      </c>
      <c r="D200" s="6">
        <v>14.53</v>
      </c>
      <c r="E200" s="6">
        <v>71.430000000000007</v>
      </c>
      <c r="F200" s="6">
        <v>17.600000000000001</v>
      </c>
      <c r="G200" s="6">
        <v>37.1</v>
      </c>
      <c r="H200" s="6">
        <v>40.700000000000003</v>
      </c>
      <c r="I200" s="6">
        <v>71.680000000000007</v>
      </c>
      <c r="J200" s="6">
        <v>238.51</v>
      </c>
      <c r="K200" s="6">
        <v>2.1800000000000002</v>
      </c>
      <c r="L200" s="6">
        <v>0.51</v>
      </c>
      <c r="M200" s="6">
        <v>241.2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>
        <v>1</v>
      </c>
      <c r="T200">
        <v>1</v>
      </c>
      <c r="U200">
        <v>0</v>
      </c>
      <c r="V200" s="6">
        <v>3.22</v>
      </c>
      <c r="W200" s="6">
        <v>0.11</v>
      </c>
      <c r="X200" s="6">
        <v>0.67</v>
      </c>
      <c r="Y200" s="6">
        <v>34.22</v>
      </c>
      <c r="Z200" s="6">
        <v>12.78</v>
      </c>
      <c r="AA200" s="6">
        <v>255.72</v>
      </c>
      <c r="AB200" s="6">
        <v>17</v>
      </c>
      <c r="AC200" s="6">
        <v>119.81</v>
      </c>
      <c r="AD200" s="6">
        <v>19.829999999999998</v>
      </c>
      <c r="AE200" s="6">
        <v>47.78</v>
      </c>
      <c r="AF200" s="35">
        <v>0.29220000000000002</v>
      </c>
      <c r="AG200" s="35">
        <v>0.2409</v>
      </c>
      <c r="AH200">
        <v>1</v>
      </c>
      <c r="AI200">
        <v>1</v>
      </c>
      <c r="AJ200">
        <v>0</v>
      </c>
      <c r="AK200" s="35">
        <v>0.27460000000000001</v>
      </c>
      <c r="AL200" s="35">
        <v>0.18200000000000005</v>
      </c>
    </row>
    <row r="201" spans="1:38">
      <c r="A201" t="s">
        <v>795</v>
      </c>
      <c r="B201" t="s">
        <v>796</v>
      </c>
      <c r="C201" t="s">
        <v>1088</v>
      </c>
      <c r="D201" s="6">
        <v>0</v>
      </c>
      <c r="E201" s="6">
        <v>838.32</v>
      </c>
      <c r="F201" s="6">
        <v>217.72</v>
      </c>
      <c r="G201" s="6">
        <v>486.26</v>
      </c>
      <c r="H201" s="6">
        <v>485.89</v>
      </c>
      <c r="I201" s="6">
        <v>769.42</v>
      </c>
      <c r="J201" s="6">
        <v>2797.61</v>
      </c>
      <c r="K201" s="6">
        <v>183.69</v>
      </c>
      <c r="L201" s="6">
        <v>10.93</v>
      </c>
      <c r="M201" s="6">
        <v>2994.83</v>
      </c>
      <c r="N201" s="6">
        <v>2.6</v>
      </c>
      <c r="O201" s="6">
        <v>0</v>
      </c>
      <c r="P201" s="6">
        <v>0</v>
      </c>
      <c r="Q201" s="6">
        <v>0</v>
      </c>
      <c r="R201" s="6">
        <v>0</v>
      </c>
      <c r="S201">
        <v>1.06</v>
      </c>
      <c r="T201">
        <v>1.06</v>
      </c>
      <c r="U201">
        <v>0</v>
      </c>
      <c r="V201" s="6">
        <v>47.33</v>
      </c>
      <c r="W201" s="6">
        <v>0</v>
      </c>
      <c r="X201" s="6">
        <v>0</v>
      </c>
      <c r="Y201" s="6">
        <v>289.89</v>
      </c>
      <c r="Z201" s="6">
        <v>108.78</v>
      </c>
      <c r="AA201" s="6">
        <v>3013.19</v>
      </c>
      <c r="AB201" s="6">
        <v>17.21</v>
      </c>
      <c r="AC201" s="6">
        <v>125.97</v>
      </c>
      <c r="AD201" s="6">
        <v>20.85</v>
      </c>
      <c r="AE201" s="6">
        <v>398.67</v>
      </c>
      <c r="AF201" s="35">
        <v>0.16170000000000001</v>
      </c>
      <c r="AG201" s="35">
        <v>0.23139999999999999</v>
      </c>
      <c r="AH201">
        <v>1.06</v>
      </c>
      <c r="AI201">
        <v>1.06</v>
      </c>
      <c r="AJ201">
        <v>0</v>
      </c>
      <c r="AK201" s="35">
        <v>0.18190000000000001</v>
      </c>
      <c r="AL201" s="35">
        <v>0.2147</v>
      </c>
    </row>
    <row r="202" spans="1:38">
      <c r="A202" t="s">
        <v>705</v>
      </c>
      <c r="B202" t="s">
        <v>706</v>
      </c>
      <c r="C202" t="s">
        <v>1088</v>
      </c>
      <c r="D202" s="6">
        <v>183.14</v>
      </c>
      <c r="E202" s="6">
        <v>6529.18</v>
      </c>
      <c r="F202" s="6">
        <v>1816.18</v>
      </c>
      <c r="G202" s="6">
        <v>3366.63</v>
      </c>
      <c r="H202" s="6">
        <v>3488.16</v>
      </c>
      <c r="I202" s="6">
        <v>6254.28</v>
      </c>
      <c r="J202" s="6">
        <v>21454.43</v>
      </c>
      <c r="K202" s="6">
        <v>681.89</v>
      </c>
      <c r="L202" s="6">
        <v>45.76</v>
      </c>
      <c r="M202" s="6">
        <v>22599.439999999999</v>
      </c>
      <c r="N202" s="6">
        <v>100</v>
      </c>
      <c r="O202" s="6">
        <v>0</v>
      </c>
      <c r="P202" s="6">
        <v>113.91</v>
      </c>
      <c r="Q202" s="6">
        <v>46.07</v>
      </c>
      <c r="R202" s="6">
        <v>157.38</v>
      </c>
      <c r="S202">
        <v>1.1200000000000001</v>
      </c>
      <c r="T202">
        <v>1.1200000000000001</v>
      </c>
      <c r="U202">
        <v>0</v>
      </c>
      <c r="V202" s="6">
        <v>350.33</v>
      </c>
      <c r="W202" s="6">
        <v>3.67</v>
      </c>
      <c r="X202" s="6">
        <v>15.89</v>
      </c>
      <c r="Y202" s="6">
        <v>1519.78</v>
      </c>
      <c r="Z202" s="6">
        <v>1228</v>
      </c>
      <c r="AA202" s="6">
        <v>22844.52</v>
      </c>
      <c r="AB202" s="6">
        <v>17</v>
      </c>
      <c r="AC202" s="6">
        <v>132.25</v>
      </c>
      <c r="AD202" s="6">
        <v>21.89</v>
      </c>
      <c r="AE202" s="6">
        <v>2781.45</v>
      </c>
      <c r="AF202" s="35">
        <v>0.12379999999999999</v>
      </c>
      <c r="AG202" s="35">
        <v>0.30649999999999999</v>
      </c>
      <c r="AH202">
        <v>1.1200000000000001</v>
      </c>
      <c r="AI202">
        <v>1.1200000000000001</v>
      </c>
      <c r="AJ202">
        <v>0</v>
      </c>
      <c r="AK202" s="35">
        <v>0.1477</v>
      </c>
      <c r="AL202" s="35">
        <v>0.30400000000000005</v>
      </c>
    </row>
    <row r="203" spans="1:38">
      <c r="A203" t="s">
        <v>809</v>
      </c>
      <c r="B203" t="s">
        <v>810</v>
      </c>
      <c r="C203" t="s">
        <v>1088</v>
      </c>
      <c r="D203" s="6">
        <v>225</v>
      </c>
      <c r="E203" s="6">
        <v>7997.58</v>
      </c>
      <c r="F203" s="6">
        <v>2036.55</v>
      </c>
      <c r="G203" s="6">
        <v>3939.1</v>
      </c>
      <c r="H203" s="6">
        <v>3765.71</v>
      </c>
      <c r="I203" s="6">
        <v>7294.54</v>
      </c>
      <c r="J203" s="6">
        <v>25033.48</v>
      </c>
      <c r="K203" s="6">
        <v>396.41</v>
      </c>
      <c r="L203" s="6">
        <v>14.96</v>
      </c>
      <c r="M203" s="6">
        <v>26794.05</v>
      </c>
      <c r="N203" s="6">
        <v>311.01</v>
      </c>
      <c r="O203" s="6">
        <v>8.0399999999999991</v>
      </c>
      <c r="P203" s="6">
        <v>232.13</v>
      </c>
      <c r="Q203" s="6">
        <v>181.63</v>
      </c>
      <c r="R203" s="6">
        <v>616.39</v>
      </c>
      <c r="S203">
        <v>1.1200000000000001</v>
      </c>
      <c r="T203">
        <v>1.1200000000000001</v>
      </c>
      <c r="U203">
        <v>0</v>
      </c>
      <c r="V203" s="6">
        <v>387.89</v>
      </c>
      <c r="W203" s="6">
        <v>16</v>
      </c>
      <c r="X203" s="6">
        <v>3.11</v>
      </c>
      <c r="Y203" s="6">
        <v>2586</v>
      </c>
      <c r="Z203" s="6">
        <v>1516.78</v>
      </c>
      <c r="AA203" s="6">
        <v>27268.3</v>
      </c>
      <c r="AB203" s="6">
        <v>17</v>
      </c>
      <c r="AC203" s="6">
        <v>130.47</v>
      </c>
      <c r="AD203" s="6">
        <v>21.6</v>
      </c>
      <c r="AE203" s="6">
        <v>4160.7700000000004</v>
      </c>
      <c r="AF203" s="35">
        <v>0.13100000000000001</v>
      </c>
      <c r="AG203" s="35">
        <v>0.28100000000000003</v>
      </c>
      <c r="AH203">
        <v>1.1200000000000001</v>
      </c>
      <c r="AI203">
        <v>1.1200000000000001</v>
      </c>
      <c r="AJ203">
        <v>0</v>
      </c>
      <c r="AK203" s="35">
        <v>0.1401</v>
      </c>
      <c r="AL203" s="35">
        <v>0.27759999999999996</v>
      </c>
    </row>
    <row r="204" spans="1:38">
      <c r="A204" t="s">
        <v>361</v>
      </c>
      <c r="B204" t="s">
        <v>362</v>
      </c>
      <c r="C204" t="s">
        <v>1088</v>
      </c>
      <c r="D204" s="6">
        <v>0</v>
      </c>
      <c r="E204" s="6">
        <v>72</v>
      </c>
      <c r="F204" s="6">
        <v>16</v>
      </c>
      <c r="G204" s="6">
        <v>44.04</v>
      </c>
      <c r="H204" s="6">
        <v>43</v>
      </c>
      <c r="I204" s="6">
        <v>0</v>
      </c>
      <c r="J204" s="6">
        <v>175.04</v>
      </c>
      <c r="K204" s="6">
        <v>0</v>
      </c>
      <c r="L204" s="6">
        <v>0</v>
      </c>
      <c r="M204" s="6">
        <v>175.04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>
        <v>1.06</v>
      </c>
      <c r="T204">
        <v>1.06</v>
      </c>
      <c r="U204">
        <v>0.02</v>
      </c>
      <c r="V204" s="6">
        <v>3</v>
      </c>
      <c r="W204" s="6">
        <v>0</v>
      </c>
      <c r="X204" s="6">
        <v>0</v>
      </c>
      <c r="Y204" s="6">
        <v>24.67</v>
      </c>
      <c r="Z204" s="6">
        <v>6</v>
      </c>
      <c r="AA204" s="6">
        <v>177.65</v>
      </c>
      <c r="AB204" s="6">
        <v>17</v>
      </c>
      <c r="AC204" s="6">
        <v>120.93</v>
      </c>
      <c r="AD204" s="6">
        <v>20.02</v>
      </c>
      <c r="AE204" s="6">
        <v>27.67</v>
      </c>
      <c r="AF204" s="35">
        <v>0.40329999999999999</v>
      </c>
      <c r="AG204" s="35">
        <v>0.1089</v>
      </c>
      <c r="AH204">
        <v>1.06</v>
      </c>
      <c r="AI204">
        <v>1.06</v>
      </c>
      <c r="AJ204">
        <v>1.0000000000000009E-2</v>
      </c>
      <c r="AK204" s="35">
        <v>0.2399</v>
      </c>
      <c r="AL204" s="35">
        <v>0.12250000000000005</v>
      </c>
    </row>
    <row r="205" spans="1:38">
      <c r="A205" t="s">
        <v>837</v>
      </c>
      <c r="B205" t="s">
        <v>838</v>
      </c>
      <c r="C205" t="s">
        <v>1088</v>
      </c>
      <c r="D205" s="6">
        <v>0</v>
      </c>
      <c r="E205" s="6">
        <v>1548.74</v>
      </c>
      <c r="F205" s="6">
        <v>432.83</v>
      </c>
      <c r="G205" s="6">
        <v>867.5</v>
      </c>
      <c r="H205" s="6">
        <v>876.37</v>
      </c>
      <c r="I205" s="6">
        <v>1507.53</v>
      </c>
      <c r="J205" s="6">
        <v>5232.97</v>
      </c>
      <c r="K205" s="6">
        <v>228.81</v>
      </c>
      <c r="L205" s="6">
        <v>12.1</v>
      </c>
      <c r="M205" s="6">
        <v>5492.08</v>
      </c>
      <c r="N205" s="6">
        <v>0</v>
      </c>
      <c r="O205" s="6">
        <v>0</v>
      </c>
      <c r="P205" s="6">
        <v>0</v>
      </c>
      <c r="Q205" s="6">
        <v>0</v>
      </c>
      <c r="R205" s="6">
        <v>18.2</v>
      </c>
      <c r="S205">
        <v>1.06</v>
      </c>
      <c r="T205">
        <v>1.06</v>
      </c>
      <c r="U205">
        <v>0.04</v>
      </c>
      <c r="V205" s="6">
        <v>62</v>
      </c>
      <c r="W205" s="6">
        <v>0</v>
      </c>
      <c r="X205" s="6">
        <v>0</v>
      </c>
      <c r="Y205" s="6">
        <v>266.77999999999997</v>
      </c>
      <c r="Z205" s="6">
        <v>242.22</v>
      </c>
      <c r="AA205" s="6">
        <v>5526.54</v>
      </c>
      <c r="AB205" s="6">
        <v>17.649999999999999</v>
      </c>
      <c r="AC205" s="6">
        <v>129.65</v>
      </c>
      <c r="AD205" s="6">
        <v>21.46</v>
      </c>
      <c r="AE205" s="6">
        <v>509</v>
      </c>
      <c r="AF205" s="35">
        <v>0.15040000000000001</v>
      </c>
      <c r="AG205" s="35">
        <v>0.32569999999999999</v>
      </c>
      <c r="AH205">
        <v>1.06</v>
      </c>
      <c r="AI205">
        <v>1.06</v>
      </c>
      <c r="AJ205">
        <v>4.0000000000000036E-2</v>
      </c>
      <c r="AK205" s="35">
        <v>0.15079999999999999</v>
      </c>
      <c r="AL205" s="35">
        <v>0.3145</v>
      </c>
    </row>
    <row r="206" spans="1:38">
      <c r="A206" t="s">
        <v>805</v>
      </c>
      <c r="B206" t="s">
        <v>806</v>
      </c>
      <c r="C206" t="s">
        <v>1088</v>
      </c>
      <c r="D206" s="6">
        <v>0</v>
      </c>
      <c r="E206" s="6">
        <v>2900.86</v>
      </c>
      <c r="F206" s="6">
        <v>776.02</v>
      </c>
      <c r="G206" s="6">
        <v>1574.11</v>
      </c>
      <c r="H206" s="6">
        <v>1517.23</v>
      </c>
      <c r="I206" s="6">
        <v>3032.53</v>
      </c>
      <c r="J206" s="6">
        <v>9800.75</v>
      </c>
      <c r="K206" s="6">
        <v>361.16</v>
      </c>
      <c r="L206" s="6">
        <v>27.58</v>
      </c>
      <c r="M206" s="6">
        <v>10297.09</v>
      </c>
      <c r="N206" s="6">
        <v>15.7</v>
      </c>
      <c r="O206" s="6">
        <v>0</v>
      </c>
      <c r="P206" s="6">
        <v>0</v>
      </c>
      <c r="Q206" s="6">
        <v>0</v>
      </c>
      <c r="R206" s="6">
        <v>91.9</v>
      </c>
      <c r="S206">
        <v>1.1200000000000001</v>
      </c>
      <c r="T206">
        <v>1.1200000000000001</v>
      </c>
      <c r="U206">
        <v>0</v>
      </c>
      <c r="V206" s="6">
        <v>182.44</v>
      </c>
      <c r="W206" s="6">
        <v>0</v>
      </c>
      <c r="X206" s="6">
        <v>0</v>
      </c>
      <c r="Y206" s="6">
        <v>787.89</v>
      </c>
      <c r="Z206" s="6">
        <v>516.55999999999995</v>
      </c>
      <c r="AA206" s="6">
        <v>10393.09</v>
      </c>
      <c r="AB206" s="6">
        <v>17</v>
      </c>
      <c r="AC206" s="6">
        <v>135.26</v>
      </c>
      <c r="AD206" s="6">
        <v>22.39</v>
      </c>
      <c r="AE206" s="6">
        <v>1302.45</v>
      </c>
      <c r="AF206" s="35">
        <v>0.14219999999999999</v>
      </c>
      <c r="AG206" s="35">
        <v>0.26200000000000001</v>
      </c>
      <c r="AH206">
        <v>1.1200000000000001</v>
      </c>
      <c r="AI206">
        <v>1.1200000000000001</v>
      </c>
      <c r="AJ206">
        <v>0</v>
      </c>
      <c r="AK206" s="35">
        <v>0.14299999999999999</v>
      </c>
      <c r="AL206" s="35">
        <v>0.27470000000000006</v>
      </c>
    </row>
    <row r="207" spans="1:38">
      <c r="A207" t="s">
        <v>430</v>
      </c>
      <c r="B207" t="s">
        <v>431</v>
      </c>
      <c r="C207" t="s">
        <v>1088</v>
      </c>
      <c r="D207" s="6">
        <v>0</v>
      </c>
      <c r="E207" s="6">
        <v>573.51</v>
      </c>
      <c r="F207" s="6">
        <v>158.19999999999999</v>
      </c>
      <c r="G207" s="6">
        <v>320.51</v>
      </c>
      <c r="H207" s="6">
        <v>349.37</v>
      </c>
      <c r="I207" s="6">
        <v>0</v>
      </c>
      <c r="J207" s="6">
        <v>1401.59</v>
      </c>
      <c r="K207" s="6">
        <v>0</v>
      </c>
      <c r="L207" s="6">
        <v>0</v>
      </c>
      <c r="M207" s="6">
        <v>1401.59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>
        <v>1.1200000000000001</v>
      </c>
      <c r="T207">
        <v>1.1200000000000001</v>
      </c>
      <c r="U207">
        <v>0.04</v>
      </c>
      <c r="V207" s="6">
        <v>25.11</v>
      </c>
      <c r="W207" s="6">
        <v>0</v>
      </c>
      <c r="X207" s="6">
        <v>0</v>
      </c>
      <c r="Y207" s="6">
        <v>79.78</v>
      </c>
      <c r="Z207" s="6">
        <v>79.67</v>
      </c>
      <c r="AA207" s="6">
        <v>1401.59</v>
      </c>
      <c r="AB207" s="6">
        <v>17</v>
      </c>
      <c r="AC207" s="6">
        <v>126.45</v>
      </c>
      <c r="AD207" s="6">
        <v>20.93</v>
      </c>
      <c r="AE207" s="6">
        <v>159.44999999999999</v>
      </c>
      <c r="AF207" s="35">
        <v>0.1646</v>
      </c>
      <c r="AG207" s="35">
        <v>0.34050000000000002</v>
      </c>
      <c r="AH207">
        <v>1.1200000000000001</v>
      </c>
      <c r="AI207">
        <v>1.1200000000000001</v>
      </c>
      <c r="AJ207">
        <v>4.0000000000000036E-2</v>
      </c>
      <c r="AK207" s="35">
        <v>0.18729999999999999</v>
      </c>
      <c r="AL207" s="35">
        <v>0.30800000000000005</v>
      </c>
    </row>
    <row r="208" spans="1:38">
      <c r="A208" t="s">
        <v>673</v>
      </c>
      <c r="B208" t="s">
        <v>674</v>
      </c>
      <c r="C208" t="s">
        <v>1088</v>
      </c>
      <c r="D208" s="6">
        <v>0</v>
      </c>
      <c r="E208" s="6">
        <v>824.85</v>
      </c>
      <c r="F208" s="6">
        <v>231.92</v>
      </c>
      <c r="G208" s="6">
        <v>406.47</v>
      </c>
      <c r="H208" s="6">
        <v>422.76</v>
      </c>
      <c r="I208" s="6">
        <v>820.51</v>
      </c>
      <c r="J208" s="6">
        <v>2706.51</v>
      </c>
      <c r="K208" s="6">
        <v>35.200000000000003</v>
      </c>
      <c r="L208" s="6">
        <v>3.39</v>
      </c>
      <c r="M208" s="6">
        <v>2770.2</v>
      </c>
      <c r="N208" s="6">
        <v>14.4</v>
      </c>
      <c r="O208" s="6">
        <v>0</v>
      </c>
      <c r="P208" s="6">
        <v>0</v>
      </c>
      <c r="Q208" s="6">
        <v>0.4</v>
      </c>
      <c r="R208" s="6">
        <v>10.3</v>
      </c>
      <c r="S208">
        <v>1.06</v>
      </c>
      <c r="T208">
        <v>1.06</v>
      </c>
      <c r="U208">
        <v>0</v>
      </c>
      <c r="V208" s="6">
        <v>61.33</v>
      </c>
      <c r="W208" s="6">
        <v>0</v>
      </c>
      <c r="X208" s="6">
        <v>0</v>
      </c>
      <c r="Y208" s="6">
        <v>250</v>
      </c>
      <c r="Z208" s="6">
        <v>154</v>
      </c>
      <c r="AA208" s="6">
        <v>2788.3</v>
      </c>
      <c r="AB208" s="6">
        <v>17.670000000000002</v>
      </c>
      <c r="AC208" s="6">
        <v>131.29</v>
      </c>
      <c r="AD208" s="6">
        <v>21.73</v>
      </c>
      <c r="AE208" s="6">
        <v>404</v>
      </c>
      <c r="AF208" s="35">
        <v>0.18260000000000001</v>
      </c>
      <c r="AG208" s="35">
        <v>0.26069999999999999</v>
      </c>
      <c r="AH208">
        <v>1.06</v>
      </c>
      <c r="AI208">
        <v>1.06</v>
      </c>
      <c r="AJ208">
        <v>0</v>
      </c>
      <c r="AK208" s="35">
        <v>0.19</v>
      </c>
      <c r="AL208" s="35">
        <v>0.26049999999999995</v>
      </c>
    </row>
    <row r="209" spans="1:38">
      <c r="A209" t="s">
        <v>388</v>
      </c>
      <c r="B209" t="s">
        <v>389</v>
      </c>
      <c r="C209" t="s">
        <v>1088</v>
      </c>
      <c r="D209" s="6">
        <v>0</v>
      </c>
      <c r="E209" s="6">
        <v>4258.84</v>
      </c>
      <c r="F209" s="6">
        <v>1009.94</v>
      </c>
      <c r="G209" s="6">
        <v>1750.15</v>
      </c>
      <c r="H209" s="6">
        <v>1576.39</v>
      </c>
      <c r="I209" s="6">
        <v>2454.19</v>
      </c>
      <c r="J209" s="6">
        <v>11049.51</v>
      </c>
      <c r="K209" s="6">
        <v>160.57</v>
      </c>
      <c r="L209" s="6">
        <v>11.67</v>
      </c>
      <c r="M209" s="6">
        <v>11715.3</v>
      </c>
      <c r="N209" s="6">
        <v>271.8</v>
      </c>
      <c r="O209" s="6">
        <v>0</v>
      </c>
      <c r="P209" s="6">
        <v>55.85</v>
      </c>
      <c r="Q209" s="6">
        <v>43</v>
      </c>
      <c r="R209" s="6">
        <v>122.9</v>
      </c>
      <c r="S209">
        <v>1.06</v>
      </c>
      <c r="T209">
        <v>1.06</v>
      </c>
      <c r="U209">
        <v>0</v>
      </c>
      <c r="V209" s="6">
        <v>244.78</v>
      </c>
      <c r="W209" s="6">
        <v>0</v>
      </c>
      <c r="X209" s="6">
        <v>0</v>
      </c>
      <c r="Y209" s="6">
        <v>1070.44</v>
      </c>
      <c r="Z209" s="6">
        <v>836.89</v>
      </c>
      <c r="AA209" s="6">
        <v>11795.58</v>
      </c>
      <c r="AB209" s="6">
        <v>17.52</v>
      </c>
      <c r="AC209" s="6">
        <v>137.02000000000001</v>
      </c>
      <c r="AD209" s="6">
        <v>22.68</v>
      </c>
      <c r="AE209" s="6">
        <v>1905.66</v>
      </c>
      <c r="AF209" s="35">
        <v>0.161</v>
      </c>
      <c r="AG209" s="35">
        <v>0.34210000000000002</v>
      </c>
      <c r="AH209">
        <v>1.06</v>
      </c>
      <c r="AI209">
        <v>1.06</v>
      </c>
      <c r="AJ209">
        <v>0</v>
      </c>
      <c r="AK209" s="35">
        <v>0.16339999999999999</v>
      </c>
      <c r="AL209" s="35">
        <v>0.33999999999999997</v>
      </c>
    </row>
    <row r="210" spans="1:38">
      <c r="A210" t="s">
        <v>689</v>
      </c>
      <c r="B210" t="s">
        <v>690</v>
      </c>
      <c r="C210" t="s">
        <v>1088</v>
      </c>
      <c r="D210" s="6">
        <v>89</v>
      </c>
      <c r="E210" s="6">
        <v>2458.14</v>
      </c>
      <c r="F210" s="6">
        <v>720.56</v>
      </c>
      <c r="G210" s="6">
        <v>1354.02</v>
      </c>
      <c r="H210" s="6">
        <v>1338.32</v>
      </c>
      <c r="I210" s="6">
        <v>2464.04</v>
      </c>
      <c r="J210" s="6">
        <v>8335.08</v>
      </c>
      <c r="K210" s="6">
        <v>339.2</v>
      </c>
      <c r="L210" s="6">
        <v>17.63</v>
      </c>
      <c r="M210" s="6">
        <v>8720.2099999999991</v>
      </c>
      <c r="N210" s="6">
        <v>25.33</v>
      </c>
      <c r="O210" s="6">
        <v>2.97</v>
      </c>
      <c r="P210" s="6">
        <v>0</v>
      </c>
      <c r="Q210" s="6">
        <v>0</v>
      </c>
      <c r="R210" s="6">
        <v>0</v>
      </c>
      <c r="S210">
        <v>1.1200000000000001</v>
      </c>
      <c r="T210">
        <v>1.1200000000000001</v>
      </c>
      <c r="U210">
        <v>0.02</v>
      </c>
      <c r="V210" s="6">
        <v>110</v>
      </c>
      <c r="W210" s="6">
        <v>1</v>
      </c>
      <c r="X210" s="6">
        <v>8.11</v>
      </c>
      <c r="Y210" s="6">
        <v>838.78</v>
      </c>
      <c r="Z210" s="6">
        <v>363</v>
      </c>
      <c r="AA210" s="6">
        <v>8882.43</v>
      </c>
      <c r="AB210" s="6">
        <v>17</v>
      </c>
      <c r="AC210" s="6">
        <v>126.61</v>
      </c>
      <c r="AD210" s="6">
        <v>20.96</v>
      </c>
      <c r="AE210" s="6">
        <v>1210.8900000000001</v>
      </c>
      <c r="AF210" s="35">
        <v>0.1545</v>
      </c>
      <c r="AG210" s="35">
        <v>0.22309999999999999</v>
      </c>
      <c r="AH210">
        <v>1.1200000000000001</v>
      </c>
      <c r="AI210">
        <v>1.1200000000000001</v>
      </c>
      <c r="AJ210">
        <v>9.9999999999997868E-3</v>
      </c>
      <c r="AK210" s="35">
        <v>0.14940000000000001</v>
      </c>
      <c r="AL210" s="35">
        <v>0.21950000000000003</v>
      </c>
    </row>
    <row r="211" spans="1:38">
      <c r="A211" t="s">
        <v>472</v>
      </c>
      <c r="B211" t="s">
        <v>473</v>
      </c>
      <c r="C211" t="s">
        <v>1088</v>
      </c>
      <c r="D211" s="6">
        <v>0</v>
      </c>
      <c r="E211" s="6">
        <v>2148.8000000000002</v>
      </c>
      <c r="F211" s="6">
        <v>528.29999999999995</v>
      </c>
      <c r="G211" s="6">
        <v>1126.5999999999999</v>
      </c>
      <c r="H211" s="6">
        <v>1056.8</v>
      </c>
      <c r="I211" s="6">
        <v>2055.64</v>
      </c>
      <c r="J211" s="6">
        <v>6916.14</v>
      </c>
      <c r="K211" s="6">
        <v>122.18</v>
      </c>
      <c r="L211" s="6">
        <v>12.44</v>
      </c>
      <c r="M211" s="6">
        <v>7050.76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>
        <v>1.06</v>
      </c>
      <c r="T211">
        <v>1.06</v>
      </c>
      <c r="U211">
        <v>0</v>
      </c>
      <c r="V211" s="6">
        <v>128.78</v>
      </c>
      <c r="W211" s="6">
        <v>0</v>
      </c>
      <c r="X211" s="6">
        <v>0</v>
      </c>
      <c r="Y211" s="6">
        <v>500.44</v>
      </c>
      <c r="Z211" s="6">
        <v>529.44000000000005</v>
      </c>
      <c r="AA211" s="6">
        <v>7172.54</v>
      </c>
      <c r="AB211" s="6">
        <v>17.63</v>
      </c>
      <c r="AC211" s="6">
        <v>137.75</v>
      </c>
      <c r="AD211" s="6">
        <v>22.8</v>
      </c>
      <c r="AE211" s="6">
        <v>1019.11</v>
      </c>
      <c r="AF211" s="35">
        <v>0.14860000000000001</v>
      </c>
      <c r="AG211" s="35">
        <v>0.30259999999999998</v>
      </c>
      <c r="AH211">
        <v>1.06</v>
      </c>
      <c r="AI211">
        <v>1.06</v>
      </c>
      <c r="AJ211">
        <v>0</v>
      </c>
      <c r="AK211" s="35">
        <v>0.1202</v>
      </c>
      <c r="AL211" s="35">
        <v>0.31130000000000002</v>
      </c>
    </row>
    <row r="212" spans="1:38">
      <c r="A212" t="s">
        <v>339</v>
      </c>
      <c r="B212" t="s">
        <v>340</v>
      </c>
      <c r="C212" t="s">
        <v>1088</v>
      </c>
      <c r="D212" s="6">
        <v>95.2</v>
      </c>
      <c r="E212" s="6">
        <v>6038.55</v>
      </c>
      <c r="F212" s="6">
        <v>1589.82</v>
      </c>
      <c r="G212" s="6">
        <v>3054.69</v>
      </c>
      <c r="H212" s="6">
        <v>2935.38</v>
      </c>
      <c r="I212" s="6">
        <v>5227.12</v>
      </c>
      <c r="J212" s="6">
        <v>18845.560000000001</v>
      </c>
      <c r="K212" s="6">
        <v>432.79</v>
      </c>
      <c r="L212" s="6">
        <v>30.5</v>
      </c>
      <c r="M212" s="6">
        <v>20580.05</v>
      </c>
      <c r="N212" s="6">
        <v>399.9</v>
      </c>
      <c r="O212" s="6">
        <v>0</v>
      </c>
      <c r="P212" s="6">
        <v>161.11000000000001</v>
      </c>
      <c r="Q212" s="6">
        <v>176.04</v>
      </c>
      <c r="R212" s="6">
        <v>534.15</v>
      </c>
      <c r="S212">
        <v>1.06</v>
      </c>
      <c r="T212">
        <v>1.06</v>
      </c>
      <c r="U212">
        <v>0</v>
      </c>
      <c r="V212" s="6">
        <v>297.33</v>
      </c>
      <c r="W212" s="6">
        <v>6.78</v>
      </c>
      <c r="X212" s="6">
        <v>3.67</v>
      </c>
      <c r="Y212" s="6">
        <v>1571.11</v>
      </c>
      <c r="Z212" s="6">
        <v>1233.1099999999999</v>
      </c>
      <c r="AA212" s="6">
        <v>20617.13</v>
      </c>
      <c r="AB212" s="6">
        <v>17</v>
      </c>
      <c r="AC212" s="6">
        <v>132.9</v>
      </c>
      <c r="AD212" s="6">
        <v>22</v>
      </c>
      <c r="AE212" s="6">
        <v>2799.34</v>
      </c>
      <c r="AF212" s="35">
        <v>0.13819999999999999</v>
      </c>
      <c r="AG212" s="35">
        <v>0.31209999999999999</v>
      </c>
      <c r="AH212">
        <v>1.06</v>
      </c>
      <c r="AI212">
        <v>1.06</v>
      </c>
      <c r="AJ212">
        <v>0</v>
      </c>
      <c r="AK212" s="35">
        <v>0.15029999999999999</v>
      </c>
      <c r="AL212" s="35">
        <v>0.31689999999999996</v>
      </c>
    </row>
    <row r="213" spans="1:38">
      <c r="A213" t="s">
        <v>442</v>
      </c>
      <c r="B213" t="s">
        <v>443</v>
      </c>
      <c r="C213" t="s">
        <v>1088</v>
      </c>
      <c r="D213" s="6">
        <v>16.5</v>
      </c>
      <c r="E213" s="6">
        <v>567.29999999999995</v>
      </c>
      <c r="F213" s="6">
        <v>142.82</v>
      </c>
      <c r="G213" s="6">
        <v>299.5</v>
      </c>
      <c r="H213" s="6">
        <v>297.11</v>
      </c>
      <c r="I213" s="6">
        <v>519.42999999999995</v>
      </c>
      <c r="J213" s="6">
        <v>1826.16</v>
      </c>
      <c r="K213" s="6">
        <v>47.91</v>
      </c>
      <c r="L213" s="6">
        <v>4.4400000000000004</v>
      </c>
      <c r="M213" s="6">
        <v>1936.59</v>
      </c>
      <c r="N213" s="6">
        <v>26.9</v>
      </c>
      <c r="O213" s="6">
        <v>0</v>
      </c>
      <c r="P213" s="6">
        <v>1.58</v>
      </c>
      <c r="Q213" s="6">
        <v>6.45</v>
      </c>
      <c r="R213" s="6">
        <v>23.15</v>
      </c>
      <c r="S213">
        <v>1</v>
      </c>
      <c r="T213">
        <v>1</v>
      </c>
      <c r="U213">
        <v>0</v>
      </c>
      <c r="V213" s="6">
        <v>23</v>
      </c>
      <c r="W213" s="6">
        <v>2.11</v>
      </c>
      <c r="X213" s="6">
        <v>0</v>
      </c>
      <c r="Y213" s="6">
        <v>138.78</v>
      </c>
      <c r="Z213" s="6">
        <v>89.22</v>
      </c>
      <c r="AA213" s="6">
        <v>1978.96</v>
      </c>
      <c r="AB213" s="6">
        <v>17</v>
      </c>
      <c r="AC213" s="6">
        <v>128.25</v>
      </c>
      <c r="AD213" s="6">
        <v>21.23</v>
      </c>
      <c r="AE213" s="6">
        <v>230.11</v>
      </c>
      <c r="AF213" s="35">
        <v>0.19139999999999999</v>
      </c>
      <c r="AG213" s="35">
        <v>0.23530000000000001</v>
      </c>
      <c r="AH213">
        <v>1</v>
      </c>
      <c r="AI213">
        <v>1</v>
      </c>
      <c r="AJ213">
        <v>0</v>
      </c>
      <c r="AK213" s="35">
        <v>0.19009999999999999</v>
      </c>
      <c r="AL213" s="35">
        <v>0.26800000000000002</v>
      </c>
    </row>
    <row r="214" spans="1:38">
      <c r="A214" t="s">
        <v>873</v>
      </c>
      <c r="B214" t="s">
        <v>874</v>
      </c>
      <c r="C214" t="s">
        <v>1088</v>
      </c>
      <c r="D214" s="6">
        <v>0</v>
      </c>
      <c r="E214" s="6">
        <v>1310.86</v>
      </c>
      <c r="F214" s="6">
        <v>326.07</v>
      </c>
      <c r="G214" s="6">
        <v>667.19</v>
      </c>
      <c r="H214" s="6">
        <v>625.92999999999995</v>
      </c>
      <c r="I214" s="6">
        <v>1193.6600000000001</v>
      </c>
      <c r="J214" s="6">
        <v>4123.71</v>
      </c>
      <c r="K214" s="6">
        <v>112.07</v>
      </c>
      <c r="L214" s="6">
        <v>9.3699999999999992</v>
      </c>
      <c r="M214" s="6">
        <v>4298.04</v>
      </c>
      <c r="N214" s="6">
        <v>31.5</v>
      </c>
      <c r="O214" s="6">
        <v>0</v>
      </c>
      <c r="P214" s="6">
        <v>0.7</v>
      </c>
      <c r="Q214" s="6">
        <v>5.81</v>
      </c>
      <c r="R214" s="6">
        <v>14.88</v>
      </c>
      <c r="S214">
        <v>1.06</v>
      </c>
      <c r="T214">
        <v>1.06</v>
      </c>
      <c r="U214">
        <v>0</v>
      </c>
      <c r="V214" s="6">
        <v>56.89</v>
      </c>
      <c r="W214" s="6">
        <v>0</v>
      </c>
      <c r="X214" s="6">
        <v>0</v>
      </c>
      <c r="Y214" s="6">
        <v>372.22</v>
      </c>
      <c r="Z214" s="6">
        <v>202.33</v>
      </c>
      <c r="AA214" s="6">
        <v>4321.68</v>
      </c>
      <c r="AB214" s="6">
        <v>17</v>
      </c>
      <c r="AC214" s="6">
        <v>128.07</v>
      </c>
      <c r="AD214" s="6">
        <v>21.2</v>
      </c>
      <c r="AE214" s="6">
        <v>574.54999999999995</v>
      </c>
      <c r="AF214" s="35">
        <v>0.1502</v>
      </c>
      <c r="AG214" s="35">
        <v>0.25130000000000002</v>
      </c>
      <c r="AH214">
        <v>1.06</v>
      </c>
      <c r="AI214">
        <v>1.06</v>
      </c>
      <c r="AJ214">
        <v>0</v>
      </c>
      <c r="AK214" s="35">
        <v>0.15890000000000001</v>
      </c>
      <c r="AL214" s="35">
        <v>0.24839999999999995</v>
      </c>
    </row>
    <row r="215" spans="1:38">
      <c r="A215" t="s">
        <v>468</v>
      </c>
      <c r="B215" t="s">
        <v>469</v>
      </c>
      <c r="C215" t="s">
        <v>1088</v>
      </c>
      <c r="D215" s="6">
        <v>0</v>
      </c>
      <c r="E215" s="6">
        <v>1134.68</v>
      </c>
      <c r="F215" s="6">
        <v>314.25</v>
      </c>
      <c r="G215" s="6">
        <v>600.08000000000004</v>
      </c>
      <c r="H215" s="6">
        <v>635.37</v>
      </c>
      <c r="I215" s="6">
        <v>1073.72</v>
      </c>
      <c r="J215" s="6">
        <v>3758.1</v>
      </c>
      <c r="K215" s="6">
        <v>78.94</v>
      </c>
      <c r="L215" s="6">
        <v>8.25</v>
      </c>
      <c r="M215" s="6">
        <v>3873.29</v>
      </c>
      <c r="N215" s="6">
        <v>18.8</v>
      </c>
      <c r="O215" s="6">
        <v>0</v>
      </c>
      <c r="P215" s="6">
        <v>0</v>
      </c>
      <c r="Q215" s="6">
        <v>0</v>
      </c>
      <c r="R215" s="6">
        <v>9.1999999999999993</v>
      </c>
      <c r="S215">
        <v>1.1200000000000001</v>
      </c>
      <c r="T215">
        <v>1.1200000000000001</v>
      </c>
      <c r="U215">
        <v>0</v>
      </c>
      <c r="V215" s="6">
        <v>48.22</v>
      </c>
      <c r="W215" s="6">
        <v>0</v>
      </c>
      <c r="X215" s="6">
        <v>0</v>
      </c>
      <c r="Y215" s="6">
        <v>192</v>
      </c>
      <c r="Z215" s="6">
        <v>232.22</v>
      </c>
      <c r="AA215" s="6">
        <v>3893.2</v>
      </c>
      <c r="AB215" s="6">
        <v>18.07</v>
      </c>
      <c r="AC215" s="6">
        <v>131.26</v>
      </c>
      <c r="AD215" s="6">
        <v>21.73</v>
      </c>
      <c r="AE215" s="6">
        <v>421.22</v>
      </c>
      <c r="AF215" s="35">
        <v>0.1497</v>
      </c>
      <c r="AG215" s="35">
        <v>0.3014</v>
      </c>
      <c r="AH215">
        <v>1.1200000000000001</v>
      </c>
      <c r="AI215">
        <v>1.1200000000000001</v>
      </c>
      <c r="AJ215">
        <v>0</v>
      </c>
      <c r="AK215" s="35">
        <v>0.14499999999999999</v>
      </c>
      <c r="AL215" s="35">
        <v>0.31140000000000001</v>
      </c>
    </row>
    <row r="216" spans="1:38">
      <c r="A216" t="s">
        <v>995</v>
      </c>
      <c r="B216" t="s">
        <v>996</v>
      </c>
      <c r="C216" t="s">
        <v>1088</v>
      </c>
      <c r="D216" s="6">
        <v>9.1999999999999993</v>
      </c>
      <c r="E216" s="6">
        <v>203.3</v>
      </c>
      <c r="F216" s="6">
        <v>50.9</v>
      </c>
      <c r="G216" s="6">
        <v>89</v>
      </c>
      <c r="H216" s="6">
        <v>94.77</v>
      </c>
      <c r="I216" s="6">
        <v>195.7</v>
      </c>
      <c r="J216" s="6">
        <v>633.66999999999996</v>
      </c>
      <c r="K216" s="6">
        <v>1.78</v>
      </c>
      <c r="L216" s="6">
        <v>0</v>
      </c>
      <c r="M216" s="6">
        <v>635.45000000000005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>
        <v>1.1200000000000001</v>
      </c>
      <c r="T216">
        <v>1.1200000000000001</v>
      </c>
      <c r="U216">
        <v>0</v>
      </c>
      <c r="V216" s="6">
        <v>0</v>
      </c>
      <c r="W216" s="6">
        <v>1.67</v>
      </c>
      <c r="X216" s="6">
        <v>0</v>
      </c>
      <c r="Y216" s="6">
        <v>137.88999999999999</v>
      </c>
      <c r="Z216" s="6">
        <v>0</v>
      </c>
      <c r="AA216" s="6">
        <v>644.65</v>
      </c>
      <c r="AB216" s="6">
        <v>17.600000000000001</v>
      </c>
      <c r="AC216" s="6">
        <v>132.25</v>
      </c>
      <c r="AD216" s="6">
        <v>21.89</v>
      </c>
      <c r="AE216" s="6">
        <v>139.56</v>
      </c>
      <c r="AF216" s="35">
        <v>0.14399999999999999</v>
      </c>
      <c r="AG216" s="35">
        <v>0.1275</v>
      </c>
      <c r="AH216">
        <v>1.1200000000000001</v>
      </c>
      <c r="AI216">
        <v>1.1200000000000001</v>
      </c>
      <c r="AJ216">
        <v>0</v>
      </c>
      <c r="AK216" s="35">
        <v>0.14979999999999999</v>
      </c>
      <c r="AL216" s="35">
        <v>0.14859999999999995</v>
      </c>
    </row>
    <row r="217" spans="1:38">
      <c r="A217" t="s">
        <v>1033</v>
      </c>
      <c r="B217" t="s">
        <v>1034</v>
      </c>
      <c r="C217" t="s">
        <v>1088</v>
      </c>
      <c r="D217" s="6">
        <v>0</v>
      </c>
      <c r="E217" s="6">
        <v>250.6</v>
      </c>
      <c r="F217" s="6">
        <v>0</v>
      </c>
      <c r="G217" s="6">
        <v>0</v>
      </c>
      <c r="H217" s="6">
        <v>0</v>
      </c>
      <c r="I217" s="6">
        <v>0</v>
      </c>
      <c r="J217" s="6">
        <v>250.6</v>
      </c>
      <c r="K217" s="6">
        <v>0</v>
      </c>
      <c r="L217" s="6">
        <v>0</v>
      </c>
      <c r="M217" s="6">
        <v>250.6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>
        <v>1.1200000000000001</v>
      </c>
      <c r="T217">
        <v>1.1200000000000001</v>
      </c>
      <c r="U217">
        <v>0</v>
      </c>
      <c r="V217" s="6">
        <v>0</v>
      </c>
      <c r="W217" s="6">
        <v>0</v>
      </c>
      <c r="X217" s="6">
        <v>0</v>
      </c>
      <c r="Y217" s="6">
        <v>30.56</v>
      </c>
      <c r="Z217" s="6">
        <v>6.44</v>
      </c>
      <c r="AA217" s="6">
        <v>250.6</v>
      </c>
      <c r="AB217" s="6">
        <v>17</v>
      </c>
      <c r="AC217" s="6">
        <v>130.47</v>
      </c>
      <c r="AD217" s="6">
        <v>21.6</v>
      </c>
      <c r="AE217" s="6">
        <v>37</v>
      </c>
      <c r="AF217" s="35">
        <v>0.14399999999999999</v>
      </c>
      <c r="AG217" s="35">
        <v>0.08</v>
      </c>
      <c r="AH217">
        <v>1.1200000000000001</v>
      </c>
      <c r="AI217">
        <v>1.1200000000000001</v>
      </c>
      <c r="AJ217">
        <v>0</v>
      </c>
      <c r="AK217" s="35">
        <v>0.14979999999999999</v>
      </c>
      <c r="AL217" s="35">
        <v>0.15000000000000002</v>
      </c>
    </row>
    <row r="218" spans="1:38">
      <c r="A218" t="s">
        <v>910</v>
      </c>
      <c r="B218" t="s">
        <v>905</v>
      </c>
      <c r="C218" t="s">
        <v>1088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153.19999999999999</v>
      </c>
      <c r="J218" s="6">
        <v>153.19999999999999</v>
      </c>
      <c r="K218" s="6">
        <v>0</v>
      </c>
      <c r="L218" s="6">
        <v>0</v>
      </c>
      <c r="M218" s="6">
        <v>153.19999999999999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>
        <v>1.1200000000000001</v>
      </c>
      <c r="T218">
        <v>1.1200000000000001</v>
      </c>
      <c r="U218">
        <v>0</v>
      </c>
      <c r="V218" s="6">
        <v>0</v>
      </c>
      <c r="W218" s="6">
        <v>0</v>
      </c>
      <c r="X218" s="6">
        <v>0</v>
      </c>
      <c r="Y218" s="6">
        <v>22.44</v>
      </c>
      <c r="Z218" s="6">
        <v>0.89</v>
      </c>
      <c r="AA218" s="6">
        <v>153.19999999999999</v>
      </c>
      <c r="AB218" s="6">
        <v>25.23</v>
      </c>
      <c r="AC218" s="6">
        <v>130.47</v>
      </c>
      <c r="AD218" s="6">
        <v>21.6</v>
      </c>
      <c r="AE218" s="6">
        <v>23.33</v>
      </c>
      <c r="AF218" s="35">
        <v>0.36749999999999999</v>
      </c>
      <c r="AG218" s="35">
        <v>0.15190000000000001</v>
      </c>
      <c r="AH218">
        <v>1.1200000000000001</v>
      </c>
      <c r="AI218">
        <v>1.1200000000000001</v>
      </c>
      <c r="AJ218">
        <v>0</v>
      </c>
      <c r="AK218" s="35">
        <v>0.3523</v>
      </c>
      <c r="AL218" s="35">
        <v>0.13</v>
      </c>
    </row>
    <row r="219" spans="1:38">
      <c r="A219" t="s">
        <v>757</v>
      </c>
      <c r="B219" t="s">
        <v>758</v>
      </c>
      <c r="C219" t="s">
        <v>1088</v>
      </c>
      <c r="D219" s="6">
        <v>0.97</v>
      </c>
      <c r="E219" s="6">
        <v>4</v>
      </c>
      <c r="F219" s="6">
        <v>0</v>
      </c>
      <c r="G219" s="6">
        <v>1</v>
      </c>
      <c r="H219" s="6">
        <v>4</v>
      </c>
      <c r="I219" s="6">
        <v>0</v>
      </c>
      <c r="J219" s="6">
        <v>9</v>
      </c>
      <c r="K219" s="6">
        <v>0</v>
      </c>
      <c r="L219" s="6">
        <v>0</v>
      </c>
      <c r="M219" s="6">
        <v>9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>
        <v>1.18</v>
      </c>
      <c r="T219">
        <v>1.18</v>
      </c>
      <c r="U219">
        <v>0</v>
      </c>
      <c r="V219" s="6">
        <v>0</v>
      </c>
      <c r="W219" s="6">
        <v>0</v>
      </c>
      <c r="X219" s="6">
        <v>0</v>
      </c>
      <c r="Y219" s="6">
        <v>1</v>
      </c>
      <c r="Z219" s="6">
        <v>0</v>
      </c>
      <c r="AA219" s="6">
        <v>9.9700000000000006</v>
      </c>
      <c r="AB219" s="6">
        <v>17</v>
      </c>
      <c r="AC219" s="6">
        <v>118.09</v>
      </c>
      <c r="AD219" s="6">
        <v>19.55</v>
      </c>
      <c r="AE219" s="6">
        <v>1</v>
      </c>
      <c r="AF219" s="35">
        <v>0.5403</v>
      </c>
      <c r="AG219" s="35">
        <v>0</v>
      </c>
      <c r="AH219">
        <v>1.18</v>
      </c>
      <c r="AI219">
        <v>1.18</v>
      </c>
      <c r="AJ219">
        <v>0</v>
      </c>
      <c r="AK219" s="35">
        <v>0.56299999999999994</v>
      </c>
      <c r="AL219" s="35">
        <v>7.999999999999996E-2</v>
      </c>
    </row>
    <row r="220" spans="1:38">
      <c r="A220" t="s">
        <v>663</v>
      </c>
      <c r="B220" t="s">
        <v>664</v>
      </c>
      <c r="C220" t="s">
        <v>1088</v>
      </c>
      <c r="D220" s="6">
        <v>1.2</v>
      </c>
      <c r="E220" s="6">
        <v>115.93</v>
      </c>
      <c r="F220" s="6">
        <v>24.45</v>
      </c>
      <c r="G220" s="6">
        <v>55.73</v>
      </c>
      <c r="H220" s="6">
        <v>69.89</v>
      </c>
      <c r="I220" s="6">
        <v>159.9</v>
      </c>
      <c r="J220" s="6">
        <v>425.9</v>
      </c>
      <c r="K220" s="6">
        <v>0.96</v>
      </c>
      <c r="L220" s="6">
        <v>0</v>
      </c>
      <c r="M220" s="6">
        <v>754.5</v>
      </c>
      <c r="N220" s="6">
        <v>0</v>
      </c>
      <c r="O220" s="6">
        <v>0</v>
      </c>
      <c r="P220" s="6">
        <v>214.03</v>
      </c>
      <c r="Q220" s="6">
        <v>50.25</v>
      </c>
      <c r="R220" s="6">
        <v>63.36</v>
      </c>
      <c r="S220">
        <v>1.1200000000000001</v>
      </c>
      <c r="T220">
        <v>1.1200000000000001</v>
      </c>
      <c r="U220">
        <v>0</v>
      </c>
      <c r="V220" s="6">
        <v>8.33</v>
      </c>
      <c r="W220" s="6">
        <v>0</v>
      </c>
      <c r="X220" s="6">
        <v>0</v>
      </c>
      <c r="Y220" s="6">
        <v>109</v>
      </c>
      <c r="Z220" s="6">
        <v>5.44</v>
      </c>
      <c r="AA220" s="6">
        <v>755.74</v>
      </c>
      <c r="AB220" s="6">
        <v>17</v>
      </c>
      <c r="AC220" s="6">
        <v>130.61000000000001</v>
      </c>
      <c r="AD220" s="6">
        <v>21.62</v>
      </c>
      <c r="AE220" s="6">
        <v>114.44</v>
      </c>
      <c r="AF220" s="35">
        <v>0.26690000000000003</v>
      </c>
      <c r="AG220" s="35">
        <v>0.1384</v>
      </c>
      <c r="AH220">
        <v>1.1200000000000001</v>
      </c>
      <c r="AI220">
        <v>1.1200000000000001</v>
      </c>
      <c r="AJ220">
        <v>0</v>
      </c>
      <c r="AK220" s="35">
        <v>0.2611</v>
      </c>
      <c r="AL220" s="35">
        <v>0.12270000000000003</v>
      </c>
    </row>
    <row r="221" spans="1:38">
      <c r="A221" t="s">
        <v>562</v>
      </c>
      <c r="B221" t="s">
        <v>563</v>
      </c>
      <c r="C221" t="s">
        <v>1088</v>
      </c>
      <c r="D221" s="6">
        <v>0</v>
      </c>
      <c r="E221" s="6">
        <v>47.14</v>
      </c>
      <c r="F221" s="6">
        <v>17.8</v>
      </c>
      <c r="G221" s="6">
        <v>34.93</v>
      </c>
      <c r="H221" s="6">
        <v>35.229999999999997</v>
      </c>
      <c r="I221" s="6">
        <v>70.680000000000007</v>
      </c>
      <c r="J221" s="6">
        <v>205.78</v>
      </c>
      <c r="K221" s="6">
        <v>2.2599999999999998</v>
      </c>
      <c r="L221" s="6">
        <v>0.54</v>
      </c>
      <c r="M221" s="6">
        <v>219.49</v>
      </c>
      <c r="N221" s="6">
        <v>0</v>
      </c>
      <c r="O221" s="6">
        <v>0</v>
      </c>
      <c r="P221" s="6">
        <v>2.6</v>
      </c>
      <c r="Q221" s="6">
        <v>3.67</v>
      </c>
      <c r="R221" s="6">
        <v>4.6399999999999997</v>
      </c>
      <c r="S221">
        <v>1.1200000000000001</v>
      </c>
      <c r="T221">
        <v>1.1200000000000001</v>
      </c>
      <c r="U221">
        <v>0</v>
      </c>
      <c r="V221" s="6">
        <v>2.2200000000000002</v>
      </c>
      <c r="W221" s="6">
        <v>0</v>
      </c>
      <c r="X221" s="6">
        <v>0</v>
      </c>
      <c r="Y221" s="6">
        <v>36.56</v>
      </c>
      <c r="Z221" s="6">
        <v>8</v>
      </c>
      <c r="AA221" s="6">
        <v>219.49</v>
      </c>
      <c r="AB221" s="6">
        <v>17</v>
      </c>
      <c r="AC221" s="6">
        <v>120.57</v>
      </c>
      <c r="AD221" s="6">
        <v>19.96</v>
      </c>
      <c r="AE221" s="6">
        <v>44.56</v>
      </c>
      <c r="AF221" s="35">
        <v>0.2641</v>
      </c>
      <c r="AG221" s="35">
        <v>0.1575</v>
      </c>
      <c r="AH221">
        <v>1.1200000000000001</v>
      </c>
      <c r="AI221">
        <v>1.1200000000000001</v>
      </c>
      <c r="AJ221">
        <v>0</v>
      </c>
      <c r="AK221" s="35">
        <v>0.24479999999999999</v>
      </c>
      <c r="AL221" s="35">
        <v>0.18320000000000003</v>
      </c>
    </row>
    <row r="222" spans="1:38">
      <c r="A222" t="s">
        <v>743</v>
      </c>
      <c r="B222" t="s">
        <v>744</v>
      </c>
      <c r="C222" t="s">
        <v>1088</v>
      </c>
      <c r="D222" s="6">
        <v>0</v>
      </c>
      <c r="E222" s="6">
        <v>199.18</v>
      </c>
      <c r="F222" s="6">
        <v>57.52</v>
      </c>
      <c r="G222" s="6">
        <v>108.69</v>
      </c>
      <c r="H222" s="6">
        <v>123.11</v>
      </c>
      <c r="I222" s="6">
        <v>251.07</v>
      </c>
      <c r="J222" s="6">
        <v>739.57</v>
      </c>
      <c r="K222" s="6">
        <v>7.2</v>
      </c>
      <c r="L222" s="6">
        <v>0.11</v>
      </c>
      <c r="M222" s="6">
        <v>783.32</v>
      </c>
      <c r="N222" s="6">
        <v>4.2</v>
      </c>
      <c r="O222" s="6">
        <v>0</v>
      </c>
      <c r="P222" s="6">
        <v>11.35</v>
      </c>
      <c r="Q222" s="6">
        <v>3.6</v>
      </c>
      <c r="R222" s="6">
        <v>17.29</v>
      </c>
      <c r="S222">
        <v>1.1200000000000001</v>
      </c>
      <c r="T222">
        <v>1.1200000000000001</v>
      </c>
      <c r="U222">
        <v>0</v>
      </c>
      <c r="V222" s="6">
        <v>8.89</v>
      </c>
      <c r="W222" s="6">
        <v>0</v>
      </c>
      <c r="X222" s="6">
        <v>0</v>
      </c>
      <c r="Y222" s="6">
        <v>112.44</v>
      </c>
      <c r="Z222" s="6">
        <v>24.11</v>
      </c>
      <c r="AA222" s="6">
        <v>783.3</v>
      </c>
      <c r="AB222" s="6">
        <v>17</v>
      </c>
      <c r="AC222" s="6">
        <v>130.15</v>
      </c>
      <c r="AD222" s="6">
        <v>21.54</v>
      </c>
      <c r="AE222" s="6">
        <v>136.55000000000001</v>
      </c>
      <c r="AF222" s="35">
        <v>0.20860000000000001</v>
      </c>
      <c r="AG222" s="35">
        <v>0.14849999999999999</v>
      </c>
      <c r="AH222">
        <v>1.1200000000000001</v>
      </c>
      <c r="AI222">
        <v>1.1200000000000001</v>
      </c>
      <c r="AJ222">
        <v>0</v>
      </c>
      <c r="AK222" s="35">
        <v>0.20369999999999999</v>
      </c>
      <c r="AL222" s="35">
        <v>0.15529999999999999</v>
      </c>
    </row>
    <row r="223" spans="1:38">
      <c r="A223" t="s">
        <v>402</v>
      </c>
      <c r="B223" t="s">
        <v>403</v>
      </c>
      <c r="C223" t="s">
        <v>1088</v>
      </c>
      <c r="D223" s="6">
        <v>27.6</v>
      </c>
      <c r="E223" s="6">
        <v>170.38</v>
      </c>
      <c r="F223" s="6">
        <v>36.700000000000003</v>
      </c>
      <c r="G223" s="6">
        <v>78.400000000000006</v>
      </c>
      <c r="H223" s="6">
        <v>78.8</v>
      </c>
      <c r="I223" s="6">
        <v>118.66</v>
      </c>
      <c r="J223" s="6">
        <v>482.94</v>
      </c>
      <c r="K223" s="6">
        <v>13.33</v>
      </c>
      <c r="L223" s="6">
        <v>1.73</v>
      </c>
      <c r="M223" s="6">
        <v>502.2</v>
      </c>
      <c r="N223" s="6">
        <v>4.2</v>
      </c>
      <c r="O223" s="6">
        <v>0</v>
      </c>
      <c r="P223" s="6">
        <v>0</v>
      </c>
      <c r="Q223" s="6">
        <v>0</v>
      </c>
      <c r="R223" s="6">
        <v>0</v>
      </c>
      <c r="S223">
        <v>1.0900000000000001</v>
      </c>
      <c r="T223">
        <v>1.0900000000000001</v>
      </c>
      <c r="U223">
        <v>0</v>
      </c>
      <c r="V223" s="6">
        <v>1.89</v>
      </c>
      <c r="W223" s="6">
        <v>2.67</v>
      </c>
      <c r="X223" s="6">
        <v>1</v>
      </c>
      <c r="Y223" s="6">
        <v>89.67</v>
      </c>
      <c r="Z223" s="6">
        <v>20.56</v>
      </c>
      <c r="AA223" s="6">
        <v>531.09</v>
      </c>
      <c r="AB223" s="6">
        <v>17</v>
      </c>
      <c r="AC223" s="6">
        <v>120.39</v>
      </c>
      <c r="AD223" s="6">
        <v>19.93</v>
      </c>
      <c r="AE223" s="6">
        <v>113.9</v>
      </c>
      <c r="AF223" s="35">
        <v>0.23150000000000001</v>
      </c>
      <c r="AG223" s="35">
        <v>0.22689999999999999</v>
      </c>
      <c r="AH223">
        <v>1.06</v>
      </c>
      <c r="AI223">
        <v>1.06</v>
      </c>
      <c r="AJ223">
        <v>0</v>
      </c>
      <c r="AK223" s="35">
        <v>0.2306</v>
      </c>
      <c r="AL223" s="35">
        <v>0.17449999999999999</v>
      </c>
    </row>
    <row r="224" spans="1:38">
      <c r="A224" t="s">
        <v>355</v>
      </c>
      <c r="B224" t="s">
        <v>356</v>
      </c>
      <c r="C224" t="s">
        <v>1088</v>
      </c>
      <c r="D224" s="6">
        <v>7.6</v>
      </c>
      <c r="E224" s="6">
        <v>918.44</v>
      </c>
      <c r="F224" s="6">
        <v>246.84</v>
      </c>
      <c r="G224" s="6">
        <v>504.3</v>
      </c>
      <c r="H224" s="6">
        <v>497.3</v>
      </c>
      <c r="I224" s="6">
        <v>998.65</v>
      </c>
      <c r="J224" s="6">
        <v>3165.53</v>
      </c>
      <c r="K224" s="6">
        <v>55.96</v>
      </c>
      <c r="L224" s="6">
        <v>4.9000000000000004</v>
      </c>
      <c r="M224" s="6">
        <v>3258.6</v>
      </c>
      <c r="N224" s="6">
        <v>11.8</v>
      </c>
      <c r="O224" s="6">
        <v>0.5</v>
      </c>
      <c r="P224" s="6">
        <v>0</v>
      </c>
      <c r="Q224" s="6">
        <v>0</v>
      </c>
      <c r="R224" s="6">
        <v>19.91</v>
      </c>
      <c r="S224">
        <v>1.135</v>
      </c>
      <c r="T224">
        <v>1.135</v>
      </c>
      <c r="U224">
        <v>0</v>
      </c>
      <c r="V224" s="6">
        <v>46.89</v>
      </c>
      <c r="W224" s="6">
        <v>0</v>
      </c>
      <c r="X224" s="6">
        <v>0</v>
      </c>
      <c r="Y224" s="6">
        <v>397.22</v>
      </c>
      <c r="Z224" s="6">
        <v>133</v>
      </c>
      <c r="AA224" s="6">
        <v>3307.13</v>
      </c>
      <c r="AB224" s="6">
        <v>17.86</v>
      </c>
      <c r="AC224" s="6">
        <v>126.91</v>
      </c>
      <c r="AD224" s="6">
        <v>21.01</v>
      </c>
      <c r="AE224" s="6">
        <v>530.22</v>
      </c>
      <c r="AF224" s="35">
        <v>0.1401</v>
      </c>
      <c r="AG224" s="35">
        <v>0.2127</v>
      </c>
      <c r="AH224">
        <v>1.1200000000000001</v>
      </c>
      <c r="AI224">
        <v>1.1200000000000001</v>
      </c>
      <c r="AJ224">
        <v>0</v>
      </c>
      <c r="AK224" s="35">
        <v>0.12570000000000001</v>
      </c>
      <c r="AL224" s="35">
        <v>0.21199999999999997</v>
      </c>
    </row>
    <row r="225" spans="1:38">
      <c r="A225" t="s">
        <v>749</v>
      </c>
      <c r="B225" t="s">
        <v>750</v>
      </c>
      <c r="C225" t="s">
        <v>1088</v>
      </c>
      <c r="D225" s="6">
        <v>54.85</v>
      </c>
      <c r="E225" s="6">
        <v>1283.02</v>
      </c>
      <c r="F225" s="6">
        <v>354.33</v>
      </c>
      <c r="G225" s="6">
        <v>634.33000000000004</v>
      </c>
      <c r="H225" s="6">
        <v>669.89</v>
      </c>
      <c r="I225" s="6">
        <v>1182.24</v>
      </c>
      <c r="J225" s="6">
        <v>4123.8100000000004</v>
      </c>
      <c r="K225" s="6">
        <v>87.97</v>
      </c>
      <c r="L225" s="6">
        <v>9.86</v>
      </c>
      <c r="M225" s="6">
        <v>4252.8599999999997</v>
      </c>
      <c r="N225" s="6">
        <v>22.6</v>
      </c>
      <c r="O225" s="6">
        <v>1.49</v>
      </c>
      <c r="P225" s="6">
        <v>0</v>
      </c>
      <c r="Q225" s="6">
        <v>0</v>
      </c>
      <c r="R225" s="6">
        <v>7.13</v>
      </c>
      <c r="S225">
        <v>1.1200000000000001</v>
      </c>
      <c r="T225">
        <v>1.1200000000000001</v>
      </c>
      <c r="U225">
        <v>0</v>
      </c>
      <c r="V225" s="6">
        <v>81</v>
      </c>
      <c r="W225" s="6">
        <v>8</v>
      </c>
      <c r="X225" s="6">
        <v>0.56000000000000005</v>
      </c>
      <c r="Y225" s="6">
        <v>540.44000000000005</v>
      </c>
      <c r="Z225" s="6">
        <v>200.89</v>
      </c>
      <c r="AA225" s="6">
        <v>4377.5</v>
      </c>
      <c r="AB225" s="6">
        <v>17</v>
      </c>
      <c r="AC225" s="6">
        <v>129.24</v>
      </c>
      <c r="AD225" s="6">
        <v>21.39</v>
      </c>
      <c r="AE225" s="6">
        <v>749.89</v>
      </c>
      <c r="AF225" s="35">
        <v>0.1376</v>
      </c>
      <c r="AG225" s="35">
        <v>0.2429</v>
      </c>
      <c r="AH225">
        <v>1.1200000000000001</v>
      </c>
      <c r="AI225">
        <v>1.1200000000000001</v>
      </c>
      <c r="AJ225">
        <v>0</v>
      </c>
      <c r="AK225" s="35">
        <v>0.13719999999999999</v>
      </c>
      <c r="AL225" s="35">
        <v>0.23140000000000005</v>
      </c>
    </row>
    <row r="226" spans="1:38">
      <c r="A226" t="s">
        <v>321</v>
      </c>
      <c r="B226" t="s">
        <v>322</v>
      </c>
      <c r="C226" t="s">
        <v>1088</v>
      </c>
      <c r="D226" s="6">
        <v>0</v>
      </c>
      <c r="E226" s="6">
        <v>764.91</v>
      </c>
      <c r="F226" s="6">
        <v>199.16</v>
      </c>
      <c r="G226" s="6">
        <v>409.81</v>
      </c>
      <c r="H226" s="6">
        <v>389.35</v>
      </c>
      <c r="I226" s="6">
        <v>675.34</v>
      </c>
      <c r="J226" s="6">
        <v>2438.5700000000002</v>
      </c>
      <c r="K226" s="6">
        <v>43.56</v>
      </c>
      <c r="L226" s="6">
        <v>2.79</v>
      </c>
      <c r="M226" s="6">
        <v>2540.87</v>
      </c>
      <c r="N226" s="6">
        <v>2.04</v>
      </c>
      <c r="O226" s="6">
        <v>0.26</v>
      </c>
      <c r="P226" s="6">
        <v>0</v>
      </c>
      <c r="Q226" s="6">
        <v>0</v>
      </c>
      <c r="R226" s="6">
        <v>53.65</v>
      </c>
      <c r="S226">
        <v>1.1200000000000001</v>
      </c>
      <c r="T226">
        <v>1.1200000000000001</v>
      </c>
      <c r="U226">
        <v>0.04</v>
      </c>
      <c r="V226" s="6">
        <v>41.44</v>
      </c>
      <c r="W226" s="6">
        <v>0</v>
      </c>
      <c r="X226" s="6">
        <v>0</v>
      </c>
      <c r="Y226" s="6">
        <v>262.56</v>
      </c>
      <c r="Z226" s="6">
        <v>100.89</v>
      </c>
      <c r="AA226" s="6">
        <v>2569.7199999999998</v>
      </c>
      <c r="AB226" s="6">
        <v>17</v>
      </c>
      <c r="AC226" s="6">
        <v>123.93</v>
      </c>
      <c r="AD226" s="6">
        <v>20.51</v>
      </c>
      <c r="AE226" s="6">
        <v>363.45</v>
      </c>
      <c r="AF226" s="35">
        <v>0.19400000000000001</v>
      </c>
      <c r="AG226" s="35">
        <v>0.2412</v>
      </c>
      <c r="AH226">
        <v>1.1200000000000001</v>
      </c>
      <c r="AI226">
        <v>1.1200000000000001</v>
      </c>
      <c r="AJ226">
        <v>4.0000000000000036E-2</v>
      </c>
      <c r="AK226" s="35">
        <v>0.192</v>
      </c>
      <c r="AL226" s="35">
        <v>0.20030000000000003</v>
      </c>
    </row>
    <row r="227" spans="1:38">
      <c r="A227" t="s">
        <v>538</v>
      </c>
      <c r="B227" t="s">
        <v>539</v>
      </c>
      <c r="C227" t="s">
        <v>1088</v>
      </c>
      <c r="D227" s="6">
        <v>0</v>
      </c>
      <c r="E227" s="6">
        <v>122.5</v>
      </c>
      <c r="F227" s="6">
        <v>39</v>
      </c>
      <c r="G227" s="6">
        <v>87.99</v>
      </c>
      <c r="H227" s="6">
        <v>87.4</v>
      </c>
      <c r="I227" s="6">
        <v>155.38</v>
      </c>
      <c r="J227" s="6">
        <v>492.27</v>
      </c>
      <c r="K227" s="6">
        <v>9.0399999999999991</v>
      </c>
      <c r="L227" s="6">
        <v>0.33</v>
      </c>
      <c r="M227" s="6">
        <v>502.44</v>
      </c>
      <c r="N227" s="6">
        <v>0.8</v>
      </c>
      <c r="O227" s="6">
        <v>0</v>
      </c>
      <c r="P227" s="6">
        <v>0</v>
      </c>
      <c r="Q227" s="6">
        <v>0</v>
      </c>
      <c r="R227" s="6">
        <v>0</v>
      </c>
      <c r="S227">
        <v>1.1200000000000001</v>
      </c>
      <c r="T227">
        <v>1.1200000000000001</v>
      </c>
      <c r="U227">
        <v>0.02</v>
      </c>
      <c r="V227" s="6">
        <v>4.5599999999999996</v>
      </c>
      <c r="W227" s="6">
        <v>0</v>
      </c>
      <c r="X227" s="6">
        <v>0</v>
      </c>
      <c r="Y227" s="6">
        <v>59.11</v>
      </c>
      <c r="Z227" s="6">
        <v>22.78</v>
      </c>
      <c r="AA227" s="6">
        <v>513.73</v>
      </c>
      <c r="AB227" s="6">
        <v>17</v>
      </c>
      <c r="AC227" s="6">
        <v>133.51</v>
      </c>
      <c r="AD227" s="6">
        <v>22.1</v>
      </c>
      <c r="AE227" s="6">
        <v>81.89</v>
      </c>
      <c r="AF227" s="35">
        <v>0.2016</v>
      </c>
      <c r="AG227" s="35">
        <v>0.2006</v>
      </c>
      <c r="AH227">
        <v>1.1200000000000001</v>
      </c>
      <c r="AI227">
        <v>1.1200000000000001</v>
      </c>
      <c r="AJ227">
        <v>9.9999999999997868E-3</v>
      </c>
      <c r="AK227" s="35">
        <v>0.23380000000000001</v>
      </c>
      <c r="AL227" s="35">
        <v>0.22489999999999999</v>
      </c>
    </row>
    <row r="228" spans="1:38">
      <c r="A228" t="s">
        <v>404</v>
      </c>
      <c r="B228" t="s">
        <v>405</v>
      </c>
      <c r="C228" t="s">
        <v>1088</v>
      </c>
      <c r="D228" s="6">
        <v>0</v>
      </c>
      <c r="E228" s="6">
        <v>194</v>
      </c>
      <c r="F228" s="6">
        <v>52.5</v>
      </c>
      <c r="G228" s="6">
        <v>95</v>
      </c>
      <c r="H228" s="6">
        <v>75.55</v>
      </c>
      <c r="I228" s="6">
        <v>0</v>
      </c>
      <c r="J228" s="6">
        <v>417.05</v>
      </c>
      <c r="K228" s="6">
        <v>0</v>
      </c>
      <c r="L228" s="6">
        <v>0</v>
      </c>
      <c r="M228" s="6">
        <v>420.2</v>
      </c>
      <c r="N228" s="6">
        <v>0</v>
      </c>
      <c r="O228" s="6">
        <v>0</v>
      </c>
      <c r="P228" s="6">
        <v>1.1000000000000001</v>
      </c>
      <c r="Q228" s="6">
        <v>2.0499999999999998</v>
      </c>
      <c r="R228" s="6">
        <v>0</v>
      </c>
      <c r="S228">
        <v>1.1200000000000001</v>
      </c>
      <c r="T228">
        <v>1.1200000000000001</v>
      </c>
      <c r="U228">
        <v>0.04</v>
      </c>
      <c r="V228" s="6">
        <v>6.44</v>
      </c>
      <c r="W228" s="6">
        <v>0</v>
      </c>
      <c r="X228" s="6">
        <v>0</v>
      </c>
      <c r="Y228" s="6">
        <v>36.78</v>
      </c>
      <c r="Z228" s="6">
        <v>1.78</v>
      </c>
      <c r="AA228" s="6">
        <v>420.2</v>
      </c>
      <c r="AB228" s="6">
        <v>17.21</v>
      </c>
      <c r="AC228" s="6">
        <v>127.25</v>
      </c>
      <c r="AD228" s="6">
        <v>21.06</v>
      </c>
      <c r="AE228" s="6">
        <v>38.56</v>
      </c>
      <c r="AF228" s="35">
        <v>0.18820000000000001</v>
      </c>
      <c r="AG228" s="35">
        <v>0.18970000000000001</v>
      </c>
      <c r="AH228">
        <v>1.1200000000000001</v>
      </c>
      <c r="AI228">
        <v>1.1200000000000001</v>
      </c>
      <c r="AJ228">
        <v>4.0000000000000036E-2</v>
      </c>
      <c r="AK228" s="35">
        <v>0.18310000000000001</v>
      </c>
      <c r="AL228" s="35">
        <v>0.12709999999999999</v>
      </c>
    </row>
    <row r="229" spans="1:38">
      <c r="A229" t="s">
        <v>610</v>
      </c>
      <c r="B229" t="s">
        <v>611</v>
      </c>
      <c r="C229" t="s">
        <v>1088</v>
      </c>
      <c r="D229" s="6">
        <v>105.9</v>
      </c>
      <c r="E229" s="6">
        <v>1706.75</v>
      </c>
      <c r="F229" s="6">
        <v>448.36</v>
      </c>
      <c r="G229" s="6">
        <v>839.19</v>
      </c>
      <c r="H229" s="6">
        <v>859.98</v>
      </c>
      <c r="I229" s="6">
        <v>2088.2600000000002</v>
      </c>
      <c r="J229" s="6">
        <v>5942.54</v>
      </c>
      <c r="K229" s="6">
        <v>116.36</v>
      </c>
      <c r="L229" s="6">
        <v>8.91</v>
      </c>
      <c r="M229" s="6">
        <v>6502.13</v>
      </c>
      <c r="N229" s="6">
        <v>51.68</v>
      </c>
      <c r="O229" s="6">
        <v>0.72</v>
      </c>
      <c r="P229" s="6">
        <v>137.97999999999999</v>
      </c>
      <c r="Q229" s="6">
        <v>55.7</v>
      </c>
      <c r="R229" s="6">
        <v>188.24</v>
      </c>
      <c r="S229">
        <v>1.1200000000000001</v>
      </c>
      <c r="T229">
        <v>1.1200000000000001</v>
      </c>
      <c r="U229">
        <v>0</v>
      </c>
      <c r="V229" s="6">
        <v>147.11000000000001</v>
      </c>
      <c r="W229" s="6">
        <v>14</v>
      </c>
      <c r="X229" s="6">
        <v>0.44</v>
      </c>
      <c r="Y229" s="6">
        <v>551.78</v>
      </c>
      <c r="Z229" s="6">
        <v>361.67</v>
      </c>
      <c r="AA229" s="6">
        <v>6404.8</v>
      </c>
      <c r="AB229" s="6">
        <v>17</v>
      </c>
      <c r="AC229" s="6">
        <v>128.11000000000001</v>
      </c>
      <c r="AD229" s="6">
        <v>21.2</v>
      </c>
      <c r="AE229" s="6">
        <v>926.89</v>
      </c>
      <c r="AF229" s="35">
        <v>0.10639999999999999</v>
      </c>
      <c r="AG229" s="35">
        <v>0.2923</v>
      </c>
      <c r="AH229">
        <v>1.1200000000000001</v>
      </c>
      <c r="AI229">
        <v>1.1200000000000001</v>
      </c>
      <c r="AJ229">
        <v>0</v>
      </c>
      <c r="AK229" s="35">
        <v>0.1242</v>
      </c>
      <c r="AL229" s="35">
        <v>0.26129999999999998</v>
      </c>
    </row>
    <row r="230" spans="1:38">
      <c r="A230" t="s">
        <v>458</v>
      </c>
      <c r="B230" t="s">
        <v>459</v>
      </c>
      <c r="C230" t="s">
        <v>1088</v>
      </c>
      <c r="D230" s="6">
        <v>47.12</v>
      </c>
      <c r="E230" s="6">
        <v>6328.81</v>
      </c>
      <c r="F230" s="6">
        <v>1583.04</v>
      </c>
      <c r="G230" s="6">
        <v>3176.62</v>
      </c>
      <c r="H230" s="6">
        <v>2883.8</v>
      </c>
      <c r="I230" s="6">
        <v>4926.29</v>
      </c>
      <c r="J230" s="6">
        <v>18898.560000000001</v>
      </c>
      <c r="K230" s="6">
        <v>331.1</v>
      </c>
      <c r="L230" s="6">
        <v>25.93</v>
      </c>
      <c r="M230" s="6">
        <v>19723.27</v>
      </c>
      <c r="N230" s="6">
        <v>164.1</v>
      </c>
      <c r="O230" s="6">
        <v>5.45</v>
      </c>
      <c r="P230" s="6">
        <v>68.2</v>
      </c>
      <c r="Q230" s="6">
        <v>22.05</v>
      </c>
      <c r="R230" s="6">
        <v>207.88</v>
      </c>
      <c r="S230">
        <v>1.18</v>
      </c>
      <c r="T230">
        <v>1.18</v>
      </c>
      <c r="U230">
        <v>0</v>
      </c>
      <c r="V230" s="6">
        <v>243.89</v>
      </c>
      <c r="W230" s="6">
        <v>2.2200000000000002</v>
      </c>
      <c r="X230" s="6">
        <v>4.33</v>
      </c>
      <c r="Y230" s="6">
        <v>1454.67</v>
      </c>
      <c r="Z230" s="6">
        <v>1114.67</v>
      </c>
      <c r="AA230" s="6">
        <v>19889.580000000002</v>
      </c>
      <c r="AB230" s="6">
        <v>17.149999999999999</v>
      </c>
      <c r="AC230" s="6">
        <v>131.58000000000001</v>
      </c>
      <c r="AD230" s="6">
        <v>21.78</v>
      </c>
      <c r="AE230" s="6">
        <v>2571</v>
      </c>
      <c r="AF230" s="35">
        <v>0.1187</v>
      </c>
      <c r="AG230" s="35">
        <v>0.309</v>
      </c>
      <c r="AH230">
        <v>1.18</v>
      </c>
      <c r="AI230">
        <v>1.18</v>
      </c>
      <c r="AJ230">
        <v>0</v>
      </c>
      <c r="AK230" s="35">
        <v>0.12520000000000001</v>
      </c>
      <c r="AL230" s="35">
        <v>0.29820000000000002</v>
      </c>
    </row>
    <row r="231" spans="1:38">
      <c r="A231" t="s">
        <v>546</v>
      </c>
      <c r="B231" t="s">
        <v>547</v>
      </c>
      <c r="C231" t="s">
        <v>1088</v>
      </c>
      <c r="D231" s="6">
        <v>0</v>
      </c>
      <c r="E231" s="6">
        <v>2927.07</v>
      </c>
      <c r="F231" s="6">
        <v>690.72</v>
      </c>
      <c r="G231" s="6">
        <v>1505.09</v>
      </c>
      <c r="H231" s="6">
        <v>1448.88</v>
      </c>
      <c r="I231" s="6">
        <v>2535.16</v>
      </c>
      <c r="J231" s="6">
        <v>9106.92</v>
      </c>
      <c r="K231" s="6">
        <v>188.37</v>
      </c>
      <c r="L231" s="6">
        <v>13.79</v>
      </c>
      <c r="M231" s="6">
        <v>9424.6200000000008</v>
      </c>
      <c r="N231" s="6">
        <v>22.37</v>
      </c>
      <c r="O231" s="6">
        <v>6.47</v>
      </c>
      <c r="P231" s="6">
        <v>22.44</v>
      </c>
      <c r="Q231" s="6">
        <v>17.41</v>
      </c>
      <c r="R231" s="6">
        <v>46.85</v>
      </c>
      <c r="S231">
        <v>1.18</v>
      </c>
      <c r="T231">
        <v>1.18</v>
      </c>
      <c r="U231">
        <v>0</v>
      </c>
      <c r="V231" s="6">
        <v>199.89</v>
      </c>
      <c r="W231" s="6">
        <v>0</v>
      </c>
      <c r="X231" s="6">
        <v>0</v>
      </c>
      <c r="Y231" s="6">
        <v>855.67</v>
      </c>
      <c r="Z231" s="6">
        <v>567.33000000000004</v>
      </c>
      <c r="AA231" s="6">
        <v>9494.01</v>
      </c>
      <c r="AB231" s="6">
        <v>17</v>
      </c>
      <c r="AC231" s="6">
        <v>139.66999999999999</v>
      </c>
      <c r="AD231" s="6">
        <v>23.12</v>
      </c>
      <c r="AE231" s="6">
        <v>1427</v>
      </c>
      <c r="AF231" s="35">
        <v>0.13489999999999999</v>
      </c>
      <c r="AG231" s="35">
        <v>0.28499999999999998</v>
      </c>
      <c r="AH231">
        <v>1.18</v>
      </c>
      <c r="AI231">
        <v>1.18</v>
      </c>
      <c r="AJ231">
        <v>0</v>
      </c>
      <c r="AK231" s="35">
        <v>0.1361</v>
      </c>
      <c r="AL231" s="35">
        <v>0.26559999999999995</v>
      </c>
    </row>
    <row r="232" spans="1:38">
      <c r="A232" t="s">
        <v>612</v>
      </c>
      <c r="B232" t="s">
        <v>613</v>
      </c>
      <c r="C232" t="s">
        <v>1088</v>
      </c>
      <c r="D232" s="6">
        <v>0</v>
      </c>
      <c r="E232" s="6">
        <v>4462.2700000000004</v>
      </c>
      <c r="F232" s="6">
        <v>1188.83</v>
      </c>
      <c r="G232" s="6">
        <v>2243.4899999999998</v>
      </c>
      <c r="H232" s="6">
        <v>2227.4</v>
      </c>
      <c r="I232" s="6">
        <v>4606.62</v>
      </c>
      <c r="J232" s="6">
        <v>14728.61</v>
      </c>
      <c r="K232" s="6">
        <v>319.64</v>
      </c>
      <c r="L232" s="6">
        <v>40.119999999999997</v>
      </c>
      <c r="M232" s="6">
        <v>15221.17</v>
      </c>
      <c r="N232" s="6">
        <v>72.599999999999994</v>
      </c>
      <c r="O232" s="6">
        <v>0</v>
      </c>
      <c r="P232" s="6">
        <v>0</v>
      </c>
      <c r="Q232" s="6">
        <v>0</v>
      </c>
      <c r="R232" s="6">
        <v>60.2</v>
      </c>
      <c r="S232">
        <v>1.18</v>
      </c>
      <c r="T232">
        <v>1.18</v>
      </c>
      <c r="U232">
        <v>0</v>
      </c>
      <c r="V232" s="6">
        <v>225.56</v>
      </c>
      <c r="W232" s="6">
        <v>0</v>
      </c>
      <c r="X232" s="6">
        <v>0</v>
      </c>
      <c r="Y232" s="6">
        <v>1285.67</v>
      </c>
      <c r="Z232" s="6">
        <v>808.56</v>
      </c>
      <c r="AA232" s="6">
        <v>14806.97</v>
      </c>
      <c r="AB232" s="6">
        <v>17.22</v>
      </c>
      <c r="AC232" s="6">
        <v>134.11000000000001</v>
      </c>
      <c r="AD232" s="6">
        <v>22.2</v>
      </c>
      <c r="AE232" s="6">
        <v>2088.7800000000002</v>
      </c>
      <c r="AF232" s="35">
        <v>0.12859999999999999</v>
      </c>
      <c r="AG232" s="35">
        <v>0.26579999999999998</v>
      </c>
      <c r="AH232">
        <v>1.18</v>
      </c>
      <c r="AI232">
        <v>1.18</v>
      </c>
      <c r="AJ232">
        <v>0</v>
      </c>
      <c r="AK232" s="35">
        <v>0.1191</v>
      </c>
      <c r="AL232" s="35">
        <v>0.28149999999999997</v>
      </c>
    </row>
    <row r="233" spans="1:38">
      <c r="A233" t="s">
        <v>309</v>
      </c>
      <c r="B233" t="s">
        <v>310</v>
      </c>
      <c r="C233" t="s">
        <v>1088</v>
      </c>
      <c r="D233" s="6">
        <v>0</v>
      </c>
      <c r="E233" s="6">
        <v>5906.87</v>
      </c>
      <c r="F233" s="6">
        <v>1494.54</v>
      </c>
      <c r="G233" s="6">
        <v>2941.11</v>
      </c>
      <c r="H233" s="6">
        <v>2814.74</v>
      </c>
      <c r="I233" s="6">
        <v>5302.22</v>
      </c>
      <c r="J233" s="6">
        <v>18459.48</v>
      </c>
      <c r="K233" s="6">
        <v>435.98</v>
      </c>
      <c r="L233" s="6">
        <v>67.3</v>
      </c>
      <c r="M233" s="6">
        <v>20058.5</v>
      </c>
      <c r="N233" s="6">
        <v>184.34</v>
      </c>
      <c r="O233" s="6">
        <v>0</v>
      </c>
      <c r="P233" s="6">
        <v>248.15</v>
      </c>
      <c r="Q233" s="6">
        <v>155.58000000000001</v>
      </c>
      <c r="R233" s="6">
        <v>507.67</v>
      </c>
      <c r="S233">
        <v>1.18</v>
      </c>
      <c r="T233">
        <v>1.18</v>
      </c>
      <c r="U233">
        <v>0</v>
      </c>
      <c r="V233" s="6">
        <v>338</v>
      </c>
      <c r="W233" s="6">
        <v>0</v>
      </c>
      <c r="X233" s="6">
        <v>0</v>
      </c>
      <c r="Y233" s="6">
        <v>1684.89</v>
      </c>
      <c r="Z233" s="6">
        <v>1298.1099999999999</v>
      </c>
      <c r="AA233" s="6">
        <v>20086.47</v>
      </c>
      <c r="AB233" s="6">
        <v>17.04</v>
      </c>
      <c r="AC233" s="6">
        <v>132.5</v>
      </c>
      <c r="AD233" s="6">
        <v>21.93</v>
      </c>
      <c r="AE233" s="6">
        <v>3020.22</v>
      </c>
      <c r="AF233" s="35">
        <v>0.1258</v>
      </c>
      <c r="AG233" s="35">
        <v>0.30280000000000001</v>
      </c>
      <c r="AH233">
        <v>1.18</v>
      </c>
      <c r="AI233">
        <v>1.18</v>
      </c>
      <c r="AJ233">
        <v>0</v>
      </c>
      <c r="AK233" s="35">
        <v>0.12989999999999999</v>
      </c>
      <c r="AL233" s="35">
        <v>0.29459999999999997</v>
      </c>
    </row>
    <row r="234" spans="1:38">
      <c r="A234" t="s">
        <v>323</v>
      </c>
      <c r="B234" t="s">
        <v>324</v>
      </c>
      <c r="C234" t="s">
        <v>1088</v>
      </c>
      <c r="D234" s="6">
        <v>0</v>
      </c>
      <c r="E234" s="6">
        <v>1478.93</v>
      </c>
      <c r="F234" s="6">
        <v>427.92</v>
      </c>
      <c r="G234" s="6">
        <v>809.77</v>
      </c>
      <c r="H234" s="6">
        <v>801.83</v>
      </c>
      <c r="I234" s="6">
        <v>1609.8</v>
      </c>
      <c r="J234" s="6">
        <v>5128.25</v>
      </c>
      <c r="K234" s="6">
        <v>39.92</v>
      </c>
      <c r="L234" s="6">
        <v>5.53</v>
      </c>
      <c r="M234" s="6">
        <v>5468.74</v>
      </c>
      <c r="N234" s="6">
        <v>61.8</v>
      </c>
      <c r="O234" s="6">
        <v>0</v>
      </c>
      <c r="P234" s="6">
        <v>106.4</v>
      </c>
      <c r="Q234" s="6">
        <v>55.12</v>
      </c>
      <c r="R234" s="6">
        <v>71.72</v>
      </c>
      <c r="S234">
        <v>1.135</v>
      </c>
      <c r="T234">
        <v>1.135</v>
      </c>
      <c r="U234">
        <v>2.5000000000000001E-2</v>
      </c>
      <c r="V234" s="6">
        <v>79.22</v>
      </c>
      <c r="W234" s="6">
        <v>0</v>
      </c>
      <c r="X234" s="6">
        <v>0</v>
      </c>
      <c r="Y234" s="6">
        <v>555.11</v>
      </c>
      <c r="Z234" s="6">
        <v>307.77999999999997</v>
      </c>
      <c r="AA234" s="6">
        <v>5514.59</v>
      </c>
      <c r="AB234" s="6">
        <v>17</v>
      </c>
      <c r="AC234" s="6">
        <v>130.74</v>
      </c>
      <c r="AD234" s="6">
        <v>21.64</v>
      </c>
      <c r="AE234" s="6">
        <v>860.89</v>
      </c>
      <c r="AF234" s="35">
        <v>0.1087</v>
      </c>
      <c r="AG234" s="35">
        <v>0.24149999999999999</v>
      </c>
      <c r="AH234">
        <v>1.1200000000000001</v>
      </c>
      <c r="AI234">
        <v>1.1200000000000001</v>
      </c>
      <c r="AJ234">
        <v>4.0000000000000036E-2</v>
      </c>
      <c r="AK234" s="35">
        <v>0.1212</v>
      </c>
      <c r="AL234" s="35">
        <v>0.23260000000000003</v>
      </c>
    </row>
    <row r="235" spans="1:38">
      <c r="A235" t="s">
        <v>578</v>
      </c>
      <c r="B235" t="s">
        <v>579</v>
      </c>
      <c r="C235" t="s">
        <v>1088</v>
      </c>
      <c r="D235" s="6">
        <v>0</v>
      </c>
      <c r="E235" s="6">
        <v>2919.67</v>
      </c>
      <c r="F235" s="6">
        <v>703.61</v>
      </c>
      <c r="G235" s="6">
        <v>1458.32</v>
      </c>
      <c r="H235" s="6">
        <v>1392.99</v>
      </c>
      <c r="I235" s="6">
        <v>2593.39</v>
      </c>
      <c r="J235" s="6">
        <v>9067.98</v>
      </c>
      <c r="K235" s="6">
        <v>155.66</v>
      </c>
      <c r="L235" s="6">
        <v>14.1</v>
      </c>
      <c r="M235" s="6">
        <v>9438.49</v>
      </c>
      <c r="N235" s="6">
        <v>168.62</v>
      </c>
      <c r="O235" s="6">
        <v>5.21</v>
      </c>
      <c r="P235" s="6">
        <v>8.8699999999999992</v>
      </c>
      <c r="Q235" s="6">
        <v>12.83</v>
      </c>
      <c r="R235" s="6">
        <v>5.22</v>
      </c>
      <c r="S235">
        <v>1.18</v>
      </c>
      <c r="T235">
        <v>1.18</v>
      </c>
      <c r="U235">
        <v>0</v>
      </c>
      <c r="V235" s="6">
        <v>160</v>
      </c>
      <c r="W235" s="6">
        <v>0</v>
      </c>
      <c r="X235" s="6">
        <v>0</v>
      </c>
      <c r="Y235" s="6">
        <v>766.67</v>
      </c>
      <c r="Z235" s="6">
        <v>775.67</v>
      </c>
      <c r="AA235" s="6">
        <v>9454.4</v>
      </c>
      <c r="AB235" s="6">
        <v>17.71</v>
      </c>
      <c r="AC235" s="6">
        <v>131.69999999999999</v>
      </c>
      <c r="AD235" s="6">
        <v>21.8</v>
      </c>
      <c r="AE235" s="6">
        <v>1542.34</v>
      </c>
      <c r="AF235" s="35">
        <v>0.1419</v>
      </c>
      <c r="AG235" s="35">
        <v>0.30230000000000001</v>
      </c>
      <c r="AH235">
        <v>1.18</v>
      </c>
      <c r="AI235">
        <v>1.18</v>
      </c>
      <c r="AJ235">
        <v>0</v>
      </c>
      <c r="AK235" s="35">
        <v>0.12909999999999999</v>
      </c>
      <c r="AL235" s="35">
        <v>0.30269999999999997</v>
      </c>
    </row>
    <row r="236" spans="1:38">
      <c r="A236" t="s">
        <v>512</v>
      </c>
      <c r="B236" t="s">
        <v>513</v>
      </c>
      <c r="C236" t="s">
        <v>1088</v>
      </c>
      <c r="D236" s="6">
        <v>0</v>
      </c>
      <c r="E236" s="6">
        <v>11.6</v>
      </c>
      <c r="F236" s="6">
        <v>2.7</v>
      </c>
      <c r="G236" s="6">
        <v>4.88</v>
      </c>
      <c r="H236" s="6">
        <v>4.8</v>
      </c>
      <c r="I236" s="6">
        <v>0</v>
      </c>
      <c r="J236" s="6">
        <v>23.98</v>
      </c>
      <c r="K236" s="6">
        <v>0</v>
      </c>
      <c r="L236" s="6">
        <v>0</v>
      </c>
      <c r="M236" s="6">
        <v>23.98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>
        <v>1.18</v>
      </c>
      <c r="T236">
        <v>1.18</v>
      </c>
      <c r="U236">
        <v>0</v>
      </c>
      <c r="V236" s="6">
        <v>0</v>
      </c>
      <c r="W236" s="6">
        <v>0</v>
      </c>
      <c r="X236" s="6">
        <v>0</v>
      </c>
      <c r="Y236" s="6">
        <v>5.67</v>
      </c>
      <c r="Z236" s="6">
        <v>1</v>
      </c>
      <c r="AA236" s="6">
        <v>23.98</v>
      </c>
      <c r="AB236" s="6">
        <v>17</v>
      </c>
      <c r="AC236" s="6">
        <v>148.63</v>
      </c>
      <c r="AD236" s="6">
        <v>24.6</v>
      </c>
      <c r="AE236" s="6">
        <v>6.67</v>
      </c>
      <c r="AF236" s="35">
        <v>0.44629999999999997</v>
      </c>
      <c r="AG236" s="35">
        <v>9.2499999999999999E-2</v>
      </c>
      <c r="AH236">
        <v>1.18</v>
      </c>
      <c r="AI236">
        <v>1.18</v>
      </c>
      <c r="AJ236">
        <v>0</v>
      </c>
      <c r="AK236" s="35">
        <v>0.41289999999999999</v>
      </c>
      <c r="AL236" s="35">
        <v>7.999999999999996E-2</v>
      </c>
    </row>
    <row r="237" spans="1:38">
      <c r="A237" t="s">
        <v>594</v>
      </c>
      <c r="B237" t="s">
        <v>595</v>
      </c>
      <c r="C237" t="s">
        <v>1088</v>
      </c>
      <c r="D237" s="6">
        <v>34.6</v>
      </c>
      <c r="E237" s="6">
        <v>1378.55</v>
      </c>
      <c r="F237" s="6">
        <v>368.19</v>
      </c>
      <c r="G237" s="6">
        <v>717.02</v>
      </c>
      <c r="H237" s="6">
        <v>685.48</v>
      </c>
      <c r="I237" s="6">
        <v>1329.97</v>
      </c>
      <c r="J237" s="6">
        <v>4479.21</v>
      </c>
      <c r="K237" s="6">
        <v>121.61</v>
      </c>
      <c r="L237" s="6">
        <v>12.2</v>
      </c>
      <c r="M237" s="6">
        <v>5445.87</v>
      </c>
      <c r="N237" s="6">
        <v>0</v>
      </c>
      <c r="O237" s="6">
        <v>0</v>
      </c>
      <c r="P237" s="6">
        <v>409.89</v>
      </c>
      <c r="Q237" s="6">
        <v>149.01</v>
      </c>
      <c r="R237" s="6">
        <v>273.95</v>
      </c>
      <c r="S237">
        <v>1.18</v>
      </c>
      <c r="T237">
        <v>1.18</v>
      </c>
      <c r="U237">
        <v>0</v>
      </c>
      <c r="V237" s="6">
        <v>68.44</v>
      </c>
      <c r="W237" s="6">
        <v>5.67</v>
      </c>
      <c r="X237" s="6">
        <v>1.89</v>
      </c>
      <c r="Y237" s="6">
        <v>600.22</v>
      </c>
      <c r="Z237" s="6">
        <v>154.33000000000001</v>
      </c>
      <c r="AA237" s="6">
        <v>5540.54</v>
      </c>
      <c r="AB237" s="6">
        <v>17</v>
      </c>
      <c r="AC237" s="6">
        <v>132.16999999999999</v>
      </c>
      <c r="AD237" s="6">
        <v>21.88</v>
      </c>
      <c r="AE237" s="6">
        <v>759.11</v>
      </c>
      <c r="AF237" s="35">
        <v>0.1762</v>
      </c>
      <c r="AG237" s="35">
        <v>0.20150000000000001</v>
      </c>
      <c r="AH237">
        <v>1.18</v>
      </c>
      <c r="AI237">
        <v>1.18</v>
      </c>
      <c r="AJ237">
        <v>0</v>
      </c>
      <c r="AK237" s="35">
        <v>0.1681</v>
      </c>
      <c r="AL237" s="35">
        <v>0.20509999999999995</v>
      </c>
    </row>
    <row r="238" spans="1:38">
      <c r="A238" t="s">
        <v>767</v>
      </c>
      <c r="B238" t="s">
        <v>768</v>
      </c>
      <c r="C238" t="s">
        <v>1088</v>
      </c>
      <c r="D238" s="6">
        <v>32.200000000000003</v>
      </c>
      <c r="E238" s="6">
        <v>2670.13</v>
      </c>
      <c r="F238" s="6">
        <v>669.35</v>
      </c>
      <c r="G238" s="6">
        <v>1325.7</v>
      </c>
      <c r="H238" s="6">
        <v>1350.73</v>
      </c>
      <c r="I238" s="6">
        <v>2863.64</v>
      </c>
      <c r="J238" s="6">
        <v>8879.5499999999993</v>
      </c>
      <c r="K238" s="6">
        <v>188.64</v>
      </c>
      <c r="L238" s="6">
        <v>21.64</v>
      </c>
      <c r="M238" s="6">
        <v>9383.2800000000007</v>
      </c>
      <c r="N238" s="6">
        <v>5.01</v>
      </c>
      <c r="O238" s="6">
        <v>1.44</v>
      </c>
      <c r="P238" s="6">
        <v>55.4</v>
      </c>
      <c r="Q238" s="6">
        <v>16.78</v>
      </c>
      <c r="R238" s="6">
        <v>214.82</v>
      </c>
      <c r="S238">
        <v>1.18</v>
      </c>
      <c r="T238">
        <v>1.18</v>
      </c>
      <c r="U238">
        <v>0.04</v>
      </c>
      <c r="V238" s="6">
        <v>125.22</v>
      </c>
      <c r="W238" s="6">
        <v>4.22</v>
      </c>
      <c r="X238" s="6">
        <v>1.33</v>
      </c>
      <c r="Y238" s="6">
        <v>794.33</v>
      </c>
      <c r="Z238" s="6">
        <v>421.56</v>
      </c>
      <c r="AA238" s="6">
        <v>9488.32</v>
      </c>
      <c r="AB238" s="6">
        <v>17</v>
      </c>
      <c r="AC238" s="6">
        <v>128.47</v>
      </c>
      <c r="AD238" s="6">
        <v>21.26</v>
      </c>
      <c r="AE238" s="6">
        <v>1220.44</v>
      </c>
      <c r="AF238" s="35">
        <v>0.15640000000000001</v>
      </c>
      <c r="AG238" s="35">
        <v>0.2361</v>
      </c>
      <c r="AH238">
        <v>1.18</v>
      </c>
      <c r="AI238">
        <v>1.18</v>
      </c>
      <c r="AJ238">
        <v>4.0000000000000036E-2</v>
      </c>
      <c r="AK238" s="35">
        <v>0.1671</v>
      </c>
      <c r="AL238" s="35">
        <v>0.23119999999999996</v>
      </c>
    </row>
    <row r="239" spans="1:38">
      <c r="A239" t="s">
        <v>550</v>
      </c>
      <c r="B239" t="s">
        <v>551</v>
      </c>
      <c r="C239" t="s">
        <v>1088</v>
      </c>
      <c r="D239" s="6">
        <v>8.1999999999999993</v>
      </c>
      <c r="E239" s="6">
        <v>747.2</v>
      </c>
      <c r="F239" s="6">
        <v>203.45</v>
      </c>
      <c r="G239" s="6">
        <v>420.7</v>
      </c>
      <c r="H239" s="6">
        <v>412.81</v>
      </c>
      <c r="I239" s="6">
        <v>705.39</v>
      </c>
      <c r="J239" s="6">
        <v>2489.5500000000002</v>
      </c>
      <c r="K239" s="6">
        <v>30.4</v>
      </c>
      <c r="L239" s="6">
        <v>4.37</v>
      </c>
      <c r="M239" s="6">
        <v>2570.9299999999998</v>
      </c>
      <c r="N239" s="6">
        <v>3.2</v>
      </c>
      <c r="O239" s="6">
        <v>1.38</v>
      </c>
      <c r="P239" s="6">
        <v>4.88</v>
      </c>
      <c r="Q239" s="6">
        <v>13.43</v>
      </c>
      <c r="R239" s="6">
        <v>23.72</v>
      </c>
      <c r="S239">
        <v>1.135</v>
      </c>
      <c r="T239">
        <v>1.135</v>
      </c>
      <c r="U239">
        <v>0</v>
      </c>
      <c r="V239" s="6">
        <v>36.89</v>
      </c>
      <c r="W239" s="6">
        <v>2.11</v>
      </c>
      <c r="X239" s="6">
        <v>0.44</v>
      </c>
      <c r="Y239" s="6">
        <v>275.67</v>
      </c>
      <c r="Z239" s="6">
        <v>177.11</v>
      </c>
      <c r="AA239" s="6">
        <v>2593.62</v>
      </c>
      <c r="AB239" s="6">
        <v>17</v>
      </c>
      <c r="AC239" s="6">
        <v>133.52000000000001</v>
      </c>
      <c r="AD239" s="6">
        <v>22.1</v>
      </c>
      <c r="AE239" s="6">
        <v>455.33</v>
      </c>
      <c r="AF239" s="35">
        <v>0.1772</v>
      </c>
      <c r="AG239" s="35">
        <v>0.27479999999999999</v>
      </c>
      <c r="AH239">
        <v>1.1200000000000001</v>
      </c>
      <c r="AI239">
        <v>1.1200000000000001</v>
      </c>
      <c r="AJ239">
        <v>0</v>
      </c>
      <c r="AK239" s="35">
        <v>0.16900000000000001</v>
      </c>
      <c r="AL239" s="35">
        <v>0.27290000000000003</v>
      </c>
    </row>
    <row r="240" spans="1:38">
      <c r="A240" t="s">
        <v>801</v>
      </c>
      <c r="B240" t="s">
        <v>802</v>
      </c>
      <c r="C240" t="s">
        <v>1088</v>
      </c>
      <c r="D240" s="6">
        <v>17</v>
      </c>
      <c r="E240" s="6">
        <v>632.36</v>
      </c>
      <c r="F240" s="6">
        <v>173.9</v>
      </c>
      <c r="G240" s="6">
        <v>300.77999999999997</v>
      </c>
      <c r="H240" s="6">
        <v>276.45999999999998</v>
      </c>
      <c r="I240" s="6">
        <v>535.37</v>
      </c>
      <c r="J240" s="6">
        <v>1918.87</v>
      </c>
      <c r="K240" s="6">
        <v>30.22</v>
      </c>
      <c r="L240" s="6">
        <v>1.19</v>
      </c>
      <c r="M240" s="6">
        <v>2027.5</v>
      </c>
      <c r="N240" s="6">
        <v>10.3</v>
      </c>
      <c r="O240" s="6">
        <v>0</v>
      </c>
      <c r="P240" s="6">
        <v>11.04</v>
      </c>
      <c r="Q240" s="6">
        <v>2.4300000000000002</v>
      </c>
      <c r="R240" s="6">
        <v>53.45</v>
      </c>
      <c r="S240">
        <v>1.18</v>
      </c>
      <c r="T240">
        <v>1.18</v>
      </c>
      <c r="U240">
        <v>0</v>
      </c>
      <c r="V240" s="6">
        <v>35</v>
      </c>
      <c r="W240" s="6">
        <v>2</v>
      </c>
      <c r="X240" s="6">
        <v>0</v>
      </c>
      <c r="Y240" s="6">
        <v>153.56</v>
      </c>
      <c r="Z240" s="6">
        <v>159.56</v>
      </c>
      <c r="AA240" s="6">
        <v>2062.89</v>
      </c>
      <c r="AB240" s="6">
        <v>17</v>
      </c>
      <c r="AC240" s="6">
        <v>127.03</v>
      </c>
      <c r="AD240" s="6">
        <v>21.03</v>
      </c>
      <c r="AE240" s="6">
        <v>315.12</v>
      </c>
      <c r="AF240" s="35">
        <v>0.1598</v>
      </c>
      <c r="AG240" s="35">
        <v>0.29859999999999998</v>
      </c>
      <c r="AH240">
        <v>1.18</v>
      </c>
      <c r="AI240">
        <v>1.18</v>
      </c>
      <c r="AJ240">
        <v>0</v>
      </c>
      <c r="AK240" s="35">
        <v>0.16839999999999999</v>
      </c>
      <c r="AL240" s="35">
        <v>0.30230000000000001</v>
      </c>
    </row>
    <row r="241" spans="1:38">
      <c r="A241" t="s">
        <v>422</v>
      </c>
      <c r="B241" t="s">
        <v>423</v>
      </c>
      <c r="C241" t="s">
        <v>1088</v>
      </c>
      <c r="D241" s="6">
        <v>14.44</v>
      </c>
      <c r="E241" s="6">
        <v>145.74</v>
      </c>
      <c r="F241" s="6">
        <v>38.799999999999997</v>
      </c>
      <c r="G241" s="6">
        <v>64.8</v>
      </c>
      <c r="H241" s="6">
        <v>71.900000000000006</v>
      </c>
      <c r="I241" s="6">
        <v>100.61</v>
      </c>
      <c r="J241" s="6">
        <v>421.85</v>
      </c>
      <c r="K241" s="6">
        <v>0.22</v>
      </c>
      <c r="L241" s="6">
        <v>0</v>
      </c>
      <c r="M241" s="6">
        <v>423.51</v>
      </c>
      <c r="N241" s="6">
        <v>0.83</v>
      </c>
      <c r="O241" s="6">
        <v>0.61</v>
      </c>
      <c r="P241" s="6">
        <v>0</v>
      </c>
      <c r="Q241" s="6">
        <v>0</v>
      </c>
      <c r="R241" s="6">
        <v>0</v>
      </c>
      <c r="S241">
        <v>1.1200000000000001</v>
      </c>
      <c r="T241">
        <v>1.1200000000000001</v>
      </c>
      <c r="U241">
        <v>0</v>
      </c>
      <c r="V241" s="6">
        <v>3.11</v>
      </c>
      <c r="W241" s="6">
        <v>1.33</v>
      </c>
      <c r="X241" s="6">
        <v>0</v>
      </c>
      <c r="Y241" s="6">
        <v>63.33</v>
      </c>
      <c r="Z241" s="6">
        <v>17.559999999999999</v>
      </c>
      <c r="AA241" s="6">
        <v>442.95</v>
      </c>
      <c r="AB241" s="6">
        <v>17</v>
      </c>
      <c r="AC241" s="6">
        <v>127.29</v>
      </c>
      <c r="AD241" s="6">
        <v>21.07</v>
      </c>
      <c r="AE241" s="6">
        <v>82.22</v>
      </c>
      <c r="AF241" s="35">
        <v>0.24379999999999999</v>
      </c>
      <c r="AG241" s="35">
        <v>0.14810000000000001</v>
      </c>
      <c r="AH241">
        <v>1.1200000000000001</v>
      </c>
      <c r="AI241">
        <v>1.1200000000000001</v>
      </c>
      <c r="AJ241">
        <v>0</v>
      </c>
      <c r="AK241" s="35">
        <v>0.20880000000000001</v>
      </c>
      <c r="AL241" s="35">
        <v>0.16359999999999997</v>
      </c>
    </row>
    <row r="242" spans="1:38">
      <c r="A242" t="s">
        <v>488</v>
      </c>
      <c r="B242" t="s">
        <v>489</v>
      </c>
      <c r="C242" t="s">
        <v>1088</v>
      </c>
      <c r="D242" s="6">
        <v>0</v>
      </c>
      <c r="E242" s="6">
        <v>647.65</v>
      </c>
      <c r="F242" s="6">
        <v>167.7</v>
      </c>
      <c r="G242" s="6">
        <v>296.76</v>
      </c>
      <c r="H242" s="6">
        <v>333.38</v>
      </c>
      <c r="I242" s="6">
        <v>531.61</v>
      </c>
      <c r="J242" s="6">
        <v>1977.1</v>
      </c>
      <c r="K242" s="6">
        <v>16.3</v>
      </c>
      <c r="L242" s="6">
        <v>2.0299999999999998</v>
      </c>
      <c r="M242" s="6">
        <v>2249.34</v>
      </c>
      <c r="N242" s="6">
        <v>47.5</v>
      </c>
      <c r="O242" s="6">
        <v>0</v>
      </c>
      <c r="P242" s="6">
        <v>0</v>
      </c>
      <c r="Q242" s="6">
        <v>0</v>
      </c>
      <c r="R242" s="6">
        <v>206.41</v>
      </c>
      <c r="S242">
        <v>1.1200000000000001</v>
      </c>
      <c r="T242">
        <v>1.1200000000000001</v>
      </c>
      <c r="U242">
        <v>0</v>
      </c>
      <c r="V242" s="6">
        <v>54.89</v>
      </c>
      <c r="W242" s="6">
        <v>0</v>
      </c>
      <c r="X242" s="6">
        <v>0</v>
      </c>
      <c r="Y242" s="6">
        <v>250.56</v>
      </c>
      <c r="Z242" s="6">
        <v>179.33</v>
      </c>
      <c r="AA242" s="6">
        <v>2266.5300000000002</v>
      </c>
      <c r="AB242" s="6">
        <v>17.09</v>
      </c>
      <c r="AC242" s="6">
        <v>135.66</v>
      </c>
      <c r="AD242" s="6">
        <v>22.45</v>
      </c>
      <c r="AE242" s="6">
        <v>423.45</v>
      </c>
      <c r="AF242" s="35">
        <v>0.1646</v>
      </c>
      <c r="AG242" s="35">
        <v>0.26579999999999998</v>
      </c>
      <c r="AH242">
        <v>1.1200000000000001</v>
      </c>
      <c r="AI242">
        <v>1.1200000000000001</v>
      </c>
      <c r="AJ242">
        <v>0</v>
      </c>
      <c r="AK242" s="35">
        <v>0.15770000000000001</v>
      </c>
      <c r="AL242" s="35">
        <v>0.27300000000000002</v>
      </c>
    </row>
    <row r="243" spans="1:38">
      <c r="A243" t="s">
        <v>787</v>
      </c>
      <c r="B243" t="s">
        <v>788</v>
      </c>
      <c r="C243" t="s">
        <v>1088</v>
      </c>
      <c r="D243" s="6">
        <v>34.299999999999997</v>
      </c>
      <c r="E243" s="6">
        <v>1348.57</v>
      </c>
      <c r="F243" s="6">
        <v>345.05</v>
      </c>
      <c r="G243" s="6">
        <v>700.92</v>
      </c>
      <c r="H243" s="6">
        <v>670.54</v>
      </c>
      <c r="I243" s="6">
        <v>1322.75</v>
      </c>
      <c r="J243" s="6">
        <v>4387.83</v>
      </c>
      <c r="K243" s="6">
        <v>62.39</v>
      </c>
      <c r="L243" s="6">
        <v>7.68</v>
      </c>
      <c r="M243" s="6">
        <v>4703.25</v>
      </c>
      <c r="N243" s="6">
        <v>8.51</v>
      </c>
      <c r="O243" s="6">
        <v>1.82</v>
      </c>
      <c r="P243" s="6">
        <v>141.72</v>
      </c>
      <c r="Q243" s="6">
        <v>44.71</v>
      </c>
      <c r="R243" s="6">
        <v>48.59</v>
      </c>
      <c r="S243">
        <v>1.135</v>
      </c>
      <c r="T243">
        <v>1.135</v>
      </c>
      <c r="U243">
        <v>0.04</v>
      </c>
      <c r="V243" s="6">
        <v>71</v>
      </c>
      <c r="W243" s="6">
        <v>11.44</v>
      </c>
      <c r="X243" s="6">
        <v>0.33</v>
      </c>
      <c r="Y243" s="6">
        <v>478.89</v>
      </c>
      <c r="Z243" s="6">
        <v>225.56</v>
      </c>
      <c r="AA243" s="6">
        <v>4739.74</v>
      </c>
      <c r="AB243" s="6">
        <v>17</v>
      </c>
      <c r="AC243" s="6">
        <v>131.01</v>
      </c>
      <c r="AD243" s="6">
        <v>21.68</v>
      </c>
      <c r="AE243" s="6">
        <v>716.22</v>
      </c>
      <c r="AF243" s="35">
        <v>0.1447</v>
      </c>
      <c r="AG243" s="35">
        <v>0.26500000000000001</v>
      </c>
      <c r="AH243">
        <v>1.1200000000000001</v>
      </c>
      <c r="AI243">
        <v>1.1200000000000001</v>
      </c>
      <c r="AJ243">
        <v>4.0000000000000036E-2</v>
      </c>
      <c r="AK243" s="35">
        <v>0.14249999999999999</v>
      </c>
      <c r="AL243" s="35">
        <v>0.2298</v>
      </c>
    </row>
    <row r="244" spans="1:38">
      <c r="A244" t="s">
        <v>781</v>
      </c>
      <c r="B244" t="s">
        <v>782</v>
      </c>
      <c r="C244" t="s">
        <v>1088</v>
      </c>
      <c r="D244" s="6">
        <v>28.3</v>
      </c>
      <c r="E244" s="6">
        <v>8371.39</v>
      </c>
      <c r="F244" s="6">
        <v>2153.64</v>
      </c>
      <c r="G244" s="6">
        <v>4301.01</v>
      </c>
      <c r="H244" s="6">
        <v>3980.03</v>
      </c>
      <c r="I244" s="6">
        <v>7473.49</v>
      </c>
      <c r="J244" s="6">
        <v>26279.56</v>
      </c>
      <c r="K244" s="6">
        <v>398.59</v>
      </c>
      <c r="L244" s="6">
        <v>21.1</v>
      </c>
      <c r="M244" s="6">
        <v>28559.41</v>
      </c>
      <c r="N244" s="6">
        <v>168.74</v>
      </c>
      <c r="O244" s="6">
        <v>0</v>
      </c>
      <c r="P244" s="6">
        <v>498.78</v>
      </c>
      <c r="Q244" s="6">
        <v>184.49</v>
      </c>
      <c r="R244" s="6">
        <v>1008.15</v>
      </c>
      <c r="S244">
        <v>1.0149999999999999</v>
      </c>
      <c r="T244">
        <v>1.0149999999999999</v>
      </c>
      <c r="U244">
        <v>0</v>
      </c>
      <c r="V244" s="6">
        <v>397.56</v>
      </c>
      <c r="W244" s="6">
        <v>0.44</v>
      </c>
      <c r="X244" s="6">
        <v>0</v>
      </c>
      <c r="Y244" s="6">
        <v>3343</v>
      </c>
      <c r="Z244" s="6">
        <v>1508.78</v>
      </c>
      <c r="AA244" s="6">
        <v>28328.11</v>
      </c>
      <c r="AB244" s="6">
        <v>17</v>
      </c>
      <c r="AC244" s="6">
        <v>127.35</v>
      </c>
      <c r="AD244" s="6">
        <v>21.08</v>
      </c>
      <c r="AE244" s="6">
        <v>4852.22</v>
      </c>
      <c r="AF244" s="35">
        <v>0.1147</v>
      </c>
      <c r="AG244" s="35">
        <v>0.2417</v>
      </c>
      <c r="AH244">
        <v>1</v>
      </c>
      <c r="AI244">
        <v>1</v>
      </c>
      <c r="AJ244">
        <v>0</v>
      </c>
      <c r="AK244" s="35">
        <v>0.13569999999999999</v>
      </c>
      <c r="AL244" s="35">
        <v>0.2429</v>
      </c>
    </row>
    <row r="245" spans="1:38">
      <c r="A245" t="s">
        <v>665</v>
      </c>
      <c r="B245" t="s">
        <v>666</v>
      </c>
      <c r="C245" t="s">
        <v>1088</v>
      </c>
      <c r="D245" s="6">
        <v>0</v>
      </c>
      <c r="E245" s="6">
        <v>45.5</v>
      </c>
      <c r="F245" s="6">
        <v>10.3</v>
      </c>
      <c r="G245" s="6">
        <v>14.8</v>
      </c>
      <c r="H245" s="6">
        <v>2</v>
      </c>
      <c r="I245" s="6">
        <v>0</v>
      </c>
      <c r="J245" s="6">
        <v>72.599999999999994</v>
      </c>
      <c r="K245" s="6">
        <v>0</v>
      </c>
      <c r="L245" s="6">
        <v>0</v>
      </c>
      <c r="M245" s="6">
        <v>72.599999999999994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>
        <v>1</v>
      </c>
      <c r="T245">
        <v>1</v>
      </c>
      <c r="U245">
        <v>0</v>
      </c>
      <c r="V245" s="6">
        <v>0</v>
      </c>
      <c r="W245" s="6">
        <v>0</v>
      </c>
      <c r="X245" s="6">
        <v>0</v>
      </c>
      <c r="Y245" s="6">
        <v>4.22</v>
      </c>
      <c r="Z245" s="6">
        <v>1.33</v>
      </c>
      <c r="AA245" s="6">
        <v>72.599999999999994</v>
      </c>
      <c r="AB245" s="6">
        <v>17</v>
      </c>
      <c r="AC245" s="6">
        <v>117.81</v>
      </c>
      <c r="AD245" s="6">
        <v>19.5</v>
      </c>
      <c r="AE245" s="6">
        <v>5.55</v>
      </c>
      <c r="AF245" s="35">
        <v>0.22570000000000001</v>
      </c>
      <c r="AG245" s="35">
        <v>0.15</v>
      </c>
      <c r="AH245">
        <v>1</v>
      </c>
      <c r="AI245">
        <v>1</v>
      </c>
      <c r="AJ245">
        <v>0</v>
      </c>
      <c r="AK245" s="35">
        <v>0.2918</v>
      </c>
      <c r="AL245" s="35">
        <v>0.11499999999999999</v>
      </c>
    </row>
    <row r="246" spans="1:38">
      <c r="A246" t="s">
        <v>492</v>
      </c>
      <c r="B246" t="s">
        <v>493</v>
      </c>
      <c r="C246" t="s">
        <v>1088</v>
      </c>
      <c r="D246" s="6">
        <v>0</v>
      </c>
      <c r="E246" s="6">
        <v>24.9</v>
      </c>
      <c r="F246" s="6">
        <v>3.6</v>
      </c>
      <c r="G246" s="6">
        <v>9.1</v>
      </c>
      <c r="H246" s="6">
        <v>0</v>
      </c>
      <c r="I246" s="6">
        <v>0</v>
      </c>
      <c r="J246" s="6">
        <v>37.6</v>
      </c>
      <c r="K246" s="6">
        <v>0</v>
      </c>
      <c r="L246" s="6">
        <v>0</v>
      </c>
      <c r="M246" s="6">
        <v>37.6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>
        <v>1</v>
      </c>
      <c r="T246">
        <v>1</v>
      </c>
      <c r="U246">
        <v>0</v>
      </c>
      <c r="V246" s="6">
        <v>0</v>
      </c>
      <c r="W246" s="6">
        <v>0</v>
      </c>
      <c r="X246" s="6">
        <v>0</v>
      </c>
      <c r="Y246" s="6">
        <v>7.11</v>
      </c>
      <c r="Z246" s="6">
        <v>1</v>
      </c>
      <c r="AA246" s="6">
        <v>37.6</v>
      </c>
      <c r="AB246" s="6">
        <v>17</v>
      </c>
      <c r="AC246" s="6">
        <v>122.65</v>
      </c>
      <c r="AD246" s="6">
        <v>20.3</v>
      </c>
      <c r="AE246" s="6">
        <v>8.11</v>
      </c>
      <c r="AF246" s="35">
        <v>0.2009</v>
      </c>
      <c r="AG246" s="35">
        <v>0.08</v>
      </c>
      <c r="AH246">
        <v>1</v>
      </c>
      <c r="AI246">
        <v>1</v>
      </c>
      <c r="AJ246">
        <v>0</v>
      </c>
      <c r="AK246" s="35">
        <v>0.32219999999999999</v>
      </c>
      <c r="AL246" s="35">
        <v>8.7099999999999955E-2</v>
      </c>
    </row>
    <row r="247" spans="1:38">
      <c r="A247" t="s">
        <v>623</v>
      </c>
      <c r="B247" t="s">
        <v>624</v>
      </c>
      <c r="C247" t="s">
        <v>1088</v>
      </c>
      <c r="D247" s="6">
        <v>0</v>
      </c>
      <c r="E247" s="6">
        <v>378.41</v>
      </c>
      <c r="F247" s="6">
        <v>94.9</v>
      </c>
      <c r="G247" s="6">
        <v>198.82</v>
      </c>
      <c r="H247" s="6">
        <v>193.9</v>
      </c>
      <c r="I247" s="6">
        <v>439.73</v>
      </c>
      <c r="J247" s="6">
        <v>1305.76</v>
      </c>
      <c r="K247" s="6">
        <v>52.22</v>
      </c>
      <c r="L247" s="6">
        <v>2.75</v>
      </c>
      <c r="M247" s="6">
        <v>1409.32</v>
      </c>
      <c r="N247" s="6">
        <v>2.37</v>
      </c>
      <c r="O247" s="6">
        <v>0</v>
      </c>
      <c r="P247" s="6">
        <v>29.9</v>
      </c>
      <c r="Q247" s="6">
        <v>6.09</v>
      </c>
      <c r="R247" s="6">
        <v>10.23</v>
      </c>
      <c r="S247">
        <v>1</v>
      </c>
      <c r="T247">
        <v>1</v>
      </c>
      <c r="U247">
        <v>0.04</v>
      </c>
      <c r="V247" s="6">
        <v>12.11</v>
      </c>
      <c r="W247" s="6">
        <v>0</v>
      </c>
      <c r="X247" s="6">
        <v>0</v>
      </c>
      <c r="Y247" s="6">
        <v>137</v>
      </c>
      <c r="Z247" s="6">
        <v>54.33</v>
      </c>
      <c r="AA247" s="6">
        <v>1419.61</v>
      </c>
      <c r="AB247" s="6">
        <v>17</v>
      </c>
      <c r="AC247" s="6">
        <v>125.93</v>
      </c>
      <c r="AD247" s="6">
        <v>20.84</v>
      </c>
      <c r="AE247" s="6">
        <v>191.33</v>
      </c>
      <c r="AF247" s="35">
        <v>0.14280000000000001</v>
      </c>
      <c r="AG247" s="35">
        <v>0.2311</v>
      </c>
      <c r="AH247">
        <v>1</v>
      </c>
      <c r="AI247">
        <v>1</v>
      </c>
      <c r="AJ247">
        <v>4.0000000000000036E-2</v>
      </c>
      <c r="AK247" s="35">
        <v>0.19700000000000001</v>
      </c>
      <c r="AL247" s="35">
        <v>0.20589999999999997</v>
      </c>
    </row>
    <row r="248" spans="1:38">
      <c r="A248" t="s">
        <v>584</v>
      </c>
      <c r="B248" t="s">
        <v>585</v>
      </c>
      <c r="C248" t="s">
        <v>1088</v>
      </c>
      <c r="D248" s="6">
        <v>16.2</v>
      </c>
      <c r="E248" s="6">
        <v>569.34</v>
      </c>
      <c r="F248" s="6">
        <v>130.30000000000001</v>
      </c>
      <c r="G248" s="6">
        <v>264.57</v>
      </c>
      <c r="H248" s="6">
        <v>227.18</v>
      </c>
      <c r="I248" s="6">
        <v>435.87</v>
      </c>
      <c r="J248" s="6">
        <v>1627.26</v>
      </c>
      <c r="K248" s="6">
        <v>37.85</v>
      </c>
      <c r="L248" s="6">
        <v>1.0900000000000001</v>
      </c>
      <c r="M248" s="6">
        <v>1710.27</v>
      </c>
      <c r="N248" s="6">
        <v>2.2999999999999998</v>
      </c>
      <c r="O248" s="6">
        <v>0</v>
      </c>
      <c r="P248" s="6">
        <v>9.35</v>
      </c>
      <c r="Q248" s="6">
        <v>12.12</v>
      </c>
      <c r="R248" s="6">
        <v>20.3</v>
      </c>
      <c r="S248">
        <v>1</v>
      </c>
      <c r="T248">
        <v>1</v>
      </c>
      <c r="U248">
        <v>0</v>
      </c>
      <c r="V248" s="6">
        <v>31.33</v>
      </c>
      <c r="W248" s="6">
        <v>0.89</v>
      </c>
      <c r="X248" s="6">
        <v>0</v>
      </c>
      <c r="Y248" s="6">
        <v>173.89</v>
      </c>
      <c r="Z248" s="6">
        <v>36.33</v>
      </c>
      <c r="AA248" s="6">
        <v>1738.87</v>
      </c>
      <c r="AB248" s="6">
        <v>17</v>
      </c>
      <c r="AC248" s="6">
        <v>134.11000000000001</v>
      </c>
      <c r="AD248" s="6">
        <v>22.2</v>
      </c>
      <c r="AE248" s="6">
        <v>211.11</v>
      </c>
      <c r="AF248" s="35">
        <v>0.1762</v>
      </c>
      <c r="AG248" s="35">
        <v>0.18149999999999999</v>
      </c>
      <c r="AH248">
        <v>1</v>
      </c>
      <c r="AI248">
        <v>1</v>
      </c>
      <c r="AJ248">
        <v>0</v>
      </c>
      <c r="AK248" s="35">
        <v>0.1875</v>
      </c>
      <c r="AL248" s="35">
        <v>0.1764</v>
      </c>
    </row>
    <row r="249" spans="1:38">
      <c r="A249" t="s">
        <v>582</v>
      </c>
      <c r="B249" t="s">
        <v>583</v>
      </c>
      <c r="C249" t="s">
        <v>1088</v>
      </c>
      <c r="D249" s="6">
        <v>130.30000000000001</v>
      </c>
      <c r="E249" s="6">
        <v>2571.66</v>
      </c>
      <c r="F249" s="6">
        <v>667.9</v>
      </c>
      <c r="G249" s="6">
        <v>1493.21</v>
      </c>
      <c r="H249" s="6">
        <v>1509.43</v>
      </c>
      <c r="I249" s="6">
        <v>2811.28</v>
      </c>
      <c r="J249" s="6">
        <v>9053.48</v>
      </c>
      <c r="K249" s="6">
        <v>326.10000000000002</v>
      </c>
      <c r="L249" s="6">
        <v>21.47</v>
      </c>
      <c r="M249" s="6">
        <v>10122.19</v>
      </c>
      <c r="N249" s="6">
        <v>16.53</v>
      </c>
      <c r="O249" s="6">
        <v>0</v>
      </c>
      <c r="P249" s="6">
        <v>296.37</v>
      </c>
      <c r="Q249" s="6">
        <v>117.58</v>
      </c>
      <c r="R249" s="6">
        <v>290.66000000000003</v>
      </c>
      <c r="S249">
        <v>1.0149999999999999</v>
      </c>
      <c r="T249">
        <v>1.0149999999999999</v>
      </c>
      <c r="U249">
        <v>2.5000000000000001E-2</v>
      </c>
      <c r="V249" s="6">
        <v>114.11</v>
      </c>
      <c r="W249" s="6">
        <v>15.44</v>
      </c>
      <c r="X249" s="6">
        <v>0</v>
      </c>
      <c r="Y249" s="6">
        <v>913.44</v>
      </c>
      <c r="Z249" s="6">
        <v>696.78</v>
      </c>
      <c r="AA249" s="6">
        <v>10339.11</v>
      </c>
      <c r="AB249" s="6">
        <v>17</v>
      </c>
      <c r="AC249" s="6">
        <v>126.86</v>
      </c>
      <c r="AD249" s="6">
        <v>21</v>
      </c>
      <c r="AE249" s="6">
        <v>1625.66</v>
      </c>
      <c r="AF249" s="35">
        <v>0.1285</v>
      </c>
      <c r="AG249" s="35">
        <v>0.30659999999999998</v>
      </c>
      <c r="AH249">
        <v>1</v>
      </c>
      <c r="AI249">
        <v>1</v>
      </c>
      <c r="AJ249">
        <v>4.0000000000000036E-2</v>
      </c>
      <c r="AK249" s="35">
        <v>0.16719999999999999</v>
      </c>
      <c r="AL249" s="35">
        <v>0.2863</v>
      </c>
    </row>
    <row r="250" spans="1:38">
      <c r="A250" t="s">
        <v>372</v>
      </c>
      <c r="B250" t="s">
        <v>373</v>
      </c>
      <c r="C250" t="s">
        <v>1088</v>
      </c>
      <c r="D250" s="6">
        <v>0</v>
      </c>
      <c r="E250" s="6">
        <v>4041.8</v>
      </c>
      <c r="F250" s="6">
        <v>1107.29</v>
      </c>
      <c r="G250" s="6">
        <v>2135.65</v>
      </c>
      <c r="H250" s="6">
        <v>2167.73</v>
      </c>
      <c r="I250" s="6">
        <v>4044.49</v>
      </c>
      <c r="J250" s="6">
        <v>13496.96</v>
      </c>
      <c r="K250" s="6">
        <v>264.56</v>
      </c>
      <c r="L250" s="6">
        <v>14.86</v>
      </c>
      <c r="M250" s="6">
        <v>14170.87</v>
      </c>
      <c r="N250" s="6">
        <v>107.67</v>
      </c>
      <c r="O250" s="6">
        <v>0</v>
      </c>
      <c r="P250" s="6">
        <v>107.6</v>
      </c>
      <c r="Q250" s="6">
        <v>70.040000000000006</v>
      </c>
      <c r="R250" s="6">
        <v>109.18</v>
      </c>
      <c r="S250">
        <v>1</v>
      </c>
      <c r="T250">
        <v>1</v>
      </c>
      <c r="U250">
        <v>0.04</v>
      </c>
      <c r="V250" s="6">
        <v>230.44</v>
      </c>
      <c r="W250" s="6">
        <v>0</v>
      </c>
      <c r="X250" s="6">
        <v>0</v>
      </c>
      <c r="Y250" s="6">
        <v>1034.67</v>
      </c>
      <c r="Z250" s="6">
        <v>1143.56</v>
      </c>
      <c r="AA250" s="6">
        <v>14385.88</v>
      </c>
      <c r="AB250" s="6">
        <v>17</v>
      </c>
      <c r="AC250" s="6">
        <v>131.02000000000001</v>
      </c>
      <c r="AD250" s="6">
        <v>21.69</v>
      </c>
      <c r="AE250" s="6">
        <v>2166.5500000000002</v>
      </c>
      <c r="AF250" s="35">
        <v>0.13370000000000001</v>
      </c>
      <c r="AG250" s="35">
        <v>0.35780000000000001</v>
      </c>
      <c r="AH250">
        <v>1</v>
      </c>
      <c r="AI250">
        <v>1</v>
      </c>
      <c r="AJ250">
        <v>4.0000000000000036E-2</v>
      </c>
      <c r="AK250" s="35">
        <v>0.12970000000000001</v>
      </c>
      <c r="AL250" s="35">
        <v>0.34909999999999997</v>
      </c>
    </row>
    <row r="251" spans="1:38">
      <c r="A251" t="s">
        <v>474</v>
      </c>
      <c r="B251" t="s">
        <v>475</v>
      </c>
      <c r="C251" t="s">
        <v>1088</v>
      </c>
      <c r="D251" s="6">
        <v>27.3</v>
      </c>
      <c r="E251" s="6">
        <v>223.42</v>
      </c>
      <c r="F251" s="6">
        <v>54.32</v>
      </c>
      <c r="G251" s="6">
        <v>131.35</v>
      </c>
      <c r="H251" s="6">
        <v>135.09</v>
      </c>
      <c r="I251" s="6">
        <v>273.42</v>
      </c>
      <c r="J251" s="6">
        <v>817.6</v>
      </c>
      <c r="K251" s="6">
        <v>19.41</v>
      </c>
      <c r="L251" s="6">
        <v>0.82</v>
      </c>
      <c r="M251" s="6">
        <v>841.73</v>
      </c>
      <c r="N251" s="6">
        <v>0</v>
      </c>
      <c r="O251" s="6">
        <v>0</v>
      </c>
      <c r="P251" s="6">
        <v>0</v>
      </c>
      <c r="Q251" s="6">
        <v>0</v>
      </c>
      <c r="R251" s="6">
        <v>3.9</v>
      </c>
      <c r="S251">
        <v>1</v>
      </c>
      <c r="T251">
        <v>1</v>
      </c>
      <c r="U251">
        <v>0.04</v>
      </c>
      <c r="V251" s="6">
        <v>5.56</v>
      </c>
      <c r="W251" s="6">
        <v>2.44</v>
      </c>
      <c r="X251" s="6">
        <v>0.11</v>
      </c>
      <c r="Y251" s="6">
        <v>77.78</v>
      </c>
      <c r="Z251" s="6">
        <v>26.56</v>
      </c>
      <c r="AA251" s="6">
        <v>874.87</v>
      </c>
      <c r="AB251" s="6">
        <v>17</v>
      </c>
      <c r="AC251" s="6">
        <v>127.78</v>
      </c>
      <c r="AD251" s="6">
        <v>21.15</v>
      </c>
      <c r="AE251" s="6">
        <v>106.89</v>
      </c>
      <c r="AF251" s="35">
        <v>0.17019999999999999</v>
      </c>
      <c r="AG251" s="35">
        <v>0.22</v>
      </c>
      <c r="AH251">
        <v>1</v>
      </c>
      <c r="AI251">
        <v>1</v>
      </c>
      <c r="AJ251">
        <v>4.0000000000000036E-2</v>
      </c>
      <c r="AK251" s="35">
        <v>0.222</v>
      </c>
      <c r="AL251" s="35">
        <v>0.20020000000000004</v>
      </c>
    </row>
    <row r="252" spans="1:38">
      <c r="A252" t="s">
        <v>378</v>
      </c>
      <c r="B252" t="s">
        <v>379</v>
      </c>
      <c r="C252" t="s">
        <v>1088</v>
      </c>
      <c r="D252" s="6">
        <v>0</v>
      </c>
      <c r="E252" s="6">
        <v>1623.69</v>
      </c>
      <c r="F252" s="6">
        <v>390.63</v>
      </c>
      <c r="G252" s="6">
        <v>815.92</v>
      </c>
      <c r="H252" s="6">
        <v>831.34</v>
      </c>
      <c r="I252" s="6">
        <v>1271.25</v>
      </c>
      <c r="J252" s="6">
        <v>4932.83</v>
      </c>
      <c r="K252" s="6">
        <v>168.77</v>
      </c>
      <c r="L252" s="6">
        <v>6.33</v>
      </c>
      <c r="M252" s="6">
        <v>5395.34</v>
      </c>
      <c r="N252" s="6">
        <v>15</v>
      </c>
      <c r="O252" s="6">
        <v>0</v>
      </c>
      <c r="P252" s="6">
        <v>94.56</v>
      </c>
      <c r="Q252" s="6">
        <v>36.090000000000003</v>
      </c>
      <c r="R252" s="6">
        <v>141.76</v>
      </c>
      <c r="S252">
        <v>1</v>
      </c>
      <c r="T252">
        <v>1</v>
      </c>
      <c r="U252">
        <v>0</v>
      </c>
      <c r="V252" s="6">
        <v>102.22</v>
      </c>
      <c r="W252" s="6">
        <v>0</v>
      </c>
      <c r="X252" s="6">
        <v>0</v>
      </c>
      <c r="Y252" s="6">
        <v>641.33000000000004</v>
      </c>
      <c r="Z252" s="6">
        <v>184.67</v>
      </c>
      <c r="AA252" s="6">
        <v>5415.66</v>
      </c>
      <c r="AB252" s="6">
        <v>17.04</v>
      </c>
      <c r="AC252" s="6">
        <v>123.05</v>
      </c>
      <c r="AD252" s="6">
        <v>20.37</v>
      </c>
      <c r="AE252" s="6">
        <v>826</v>
      </c>
      <c r="AF252" s="35">
        <v>0.14180000000000001</v>
      </c>
      <c r="AG252" s="35">
        <v>0.2051</v>
      </c>
      <c r="AH252">
        <v>1</v>
      </c>
      <c r="AI252">
        <v>1</v>
      </c>
      <c r="AJ252">
        <v>0</v>
      </c>
      <c r="AK252" s="35">
        <v>0.1615</v>
      </c>
      <c r="AL252" s="35">
        <v>0.20579999999999998</v>
      </c>
    </row>
    <row r="253" spans="1:38">
      <c r="A253" t="s">
        <v>434</v>
      </c>
      <c r="B253" t="s">
        <v>435</v>
      </c>
      <c r="C253" t="s">
        <v>1088</v>
      </c>
      <c r="D253" s="6">
        <v>0</v>
      </c>
      <c r="E253" s="6">
        <v>1008.65</v>
      </c>
      <c r="F253" s="6">
        <v>251.88</v>
      </c>
      <c r="G253" s="6">
        <v>519.83000000000004</v>
      </c>
      <c r="H253" s="6">
        <v>489.67</v>
      </c>
      <c r="I253" s="6">
        <v>848.92</v>
      </c>
      <c r="J253" s="6">
        <v>3118.95</v>
      </c>
      <c r="K253" s="6">
        <v>54.11</v>
      </c>
      <c r="L253" s="6">
        <v>9.86</v>
      </c>
      <c r="M253" s="6">
        <v>3428.63</v>
      </c>
      <c r="N253" s="6">
        <v>13.8</v>
      </c>
      <c r="O253" s="6">
        <v>0</v>
      </c>
      <c r="P253" s="6">
        <v>81.16</v>
      </c>
      <c r="Q253" s="6">
        <v>46.69</v>
      </c>
      <c r="R253" s="6">
        <v>104.06</v>
      </c>
      <c r="S253">
        <v>1</v>
      </c>
      <c r="T253">
        <v>1</v>
      </c>
      <c r="U253">
        <v>0.04</v>
      </c>
      <c r="V253" s="6">
        <v>66.89</v>
      </c>
      <c r="W253" s="6">
        <v>0</v>
      </c>
      <c r="X253" s="6">
        <v>0</v>
      </c>
      <c r="Y253" s="6">
        <v>293.22000000000003</v>
      </c>
      <c r="Z253" s="6">
        <v>275.22000000000003</v>
      </c>
      <c r="AA253" s="6">
        <v>3502.61</v>
      </c>
      <c r="AB253" s="6">
        <v>17</v>
      </c>
      <c r="AC253" s="6">
        <v>123.99</v>
      </c>
      <c r="AD253" s="6">
        <v>20.52</v>
      </c>
      <c r="AE253" s="6">
        <v>566.22</v>
      </c>
      <c r="AF253" s="35">
        <v>0.16980000000000001</v>
      </c>
      <c r="AG253" s="35">
        <v>0.29570000000000002</v>
      </c>
      <c r="AH253">
        <v>1</v>
      </c>
      <c r="AI253">
        <v>1</v>
      </c>
      <c r="AJ253">
        <v>4.0000000000000036E-2</v>
      </c>
      <c r="AK253" s="35">
        <v>0.18809999999999999</v>
      </c>
      <c r="AL253" s="35">
        <v>0.31379999999999997</v>
      </c>
    </row>
    <row r="254" spans="1:38">
      <c r="A254" t="s">
        <v>554</v>
      </c>
      <c r="B254" t="s">
        <v>555</v>
      </c>
      <c r="C254" t="s">
        <v>1088</v>
      </c>
      <c r="D254" s="6">
        <v>0</v>
      </c>
      <c r="E254" s="6">
        <v>186.88</v>
      </c>
      <c r="F254" s="6">
        <v>46.4</v>
      </c>
      <c r="G254" s="6">
        <v>98.4</v>
      </c>
      <c r="H254" s="6">
        <v>86.18</v>
      </c>
      <c r="I254" s="6">
        <v>144.71</v>
      </c>
      <c r="J254" s="6">
        <v>562.57000000000005</v>
      </c>
      <c r="K254" s="6">
        <v>22.47</v>
      </c>
      <c r="L254" s="6">
        <v>0.82</v>
      </c>
      <c r="M254" s="6">
        <v>592.96</v>
      </c>
      <c r="N254" s="6">
        <v>0</v>
      </c>
      <c r="O254" s="6">
        <v>0</v>
      </c>
      <c r="P254" s="6">
        <v>0</v>
      </c>
      <c r="Q254" s="6">
        <v>0</v>
      </c>
      <c r="R254" s="6">
        <v>7.1</v>
      </c>
      <c r="S254">
        <v>1</v>
      </c>
      <c r="T254">
        <v>1</v>
      </c>
      <c r="U254">
        <v>0</v>
      </c>
      <c r="V254" s="6">
        <v>1</v>
      </c>
      <c r="W254" s="6">
        <v>0</v>
      </c>
      <c r="X254" s="6">
        <v>0</v>
      </c>
      <c r="Y254" s="6">
        <v>31</v>
      </c>
      <c r="Z254" s="6">
        <v>33.22</v>
      </c>
      <c r="AA254" s="6">
        <v>594.04</v>
      </c>
      <c r="AB254" s="6">
        <v>17</v>
      </c>
      <c r="AC254" s="6">
        <v>129.26</v>
      </c>
      <c r="AD254" s="6">
        <v>21.39</v>
      </c>
      <c r="AE254" s="6">
        <v>64.22</v>
      </c>
      <c r="AF254" s="35">
        <v>0.20730000000000001</v>
      </c>
      <c r="AG254" s="35">
        <v>0.24629999999999999</v>
      </c>
      <c r="AH254">
        <v>1</v>
      </c>
      <c r="AI254">
        <v>1</v>
      </c>
      <c r="AJ254">
        <v>0</v>
      </c>
      <c r="AK254" s="35">
        <v>0.21360000000000001</v>
      </c>
      <c r="AL254" s="35">
        <v>0.27629999999999999</v>
      </c>
    </row>
    <row r="255" spans="1:38">
      <c r="A255" t="s">
        <v>867</v>
      </c>
      <c r="B255" t="s">
        <v>868</v>
      </c>
      <c r="C255" t="s">
        <v>1088</v>
      </c>
      <c r="D255" s="6">
        <v>0</v>
      </c>
      <c r="E255" s="6">
        <v>816.11</v>
      </c>
      <c r="F255" s="6">
        <v>208</v>
      </c>
      <c r="G255" s="6">
        <v>398.98</v>
      </c>
      <c r="H255" s="6">
        <v>356.32</v>
      </c>
      <c r="I255" s="6">
        <v>762.92</v>
      </c>
      <c r="J255" s="6">
        <v>2542.33</v>
      </c>
      <c r="K255" s="6">
        <v>46.45</v>
      </c>
      <c r="L255" s="6">
        <v>2.93</v>
      </c>
      <c r="M255" s="6">
        <v>3363.39</v>
      </c>
      <c r="N255" s="6">
        <v>2.8</v>
      </c>
      <c r="O255" s="6">
        <v>0</v>
      </c>
      <c r="P255" s="6">
        <v>114.64</v>
      </c>
      <c r="Q255" s="6">
        <v>119.38</v>
      </c>
      <c r="R255" s="6">
        <v>534.86</v>
      </c>
      <c r="S255">
        <v>1</v>
      </c>
      <c r="T255">
        <v>1</v>
      </c>
      <c r="U255">
        <v>0</v>
      </c>
      <c r="V255" s="6">
        <v>50.89</v>
      </c>
      <c r="W255" s="6">
        <v>0</v>
      </c>
      <c r="X255" s="6">
        <v>0</v>
      </c>
      <c r="Y255" s="6">
        <v>372.22</v>
      </c>
      <c r="Z255" s="6">
        <v>79.22</v>
      </c>
      <c r="AA255" s="6">
        <v>3163.81</v>
      </c>
      <c r="AB255" s="6">
        <v>17</v>
      </c>
      <c r="AC255" s="6">
        <v>128.63999999999999</v>
      </c>
      <c r="AD255" s="6">
        <v>21.29</v>
      </c>
      <c r="AE255" s="6">
        <v>465.33</v>
      </c>
      <c r="AF255" s="35">
        <v>0.1444</v>
      </c>
      <c r="AG255" s="35">
        <v>0.19670000000000001</v>
      </c>
      <c r="AH255">
        <v>1</v>
      </c>
      <c r="AI255">
        <v>1</v>
      </c>
      <c r="AJ255">
        <v>0</v>
      </c>
      <c r="AK255" s="35">
        <v>0.1925</v>
      </c>
      <c r="AL255" s="35">
        <v>0.20189999999999997</v>
      </c>
    </row>
    <row r="256" spans="1:38">
      <c r="A256" t="s">
        <v>428</v>
      </c>
      <c r="B256" t="s">
        <v>429</v>
      </c>
      <c r="C256" t="s">
        <v>1088</v>
      </c>
      <c r="D256" s="6">
        <v>0</v>
      </c>
      <c r="E256" s="6">
        <v>581.35</v>
      </c>
      <c r="F256" s="6">
        <v>158</v>
      </c>
      <c r="G256" s="6">
        <v>317.60000000000002</v>
      </c>
      <c r="H256" s="6">
        <v>326.58999999999997</v>
      </c>
      <c r="I256" s="6">
        <v>530.26</v>
      </c>
      <c r="J256" s="6">
        <v>1913.8</v>
      </c>
      <c r="K256" s="6">
        <v>81.239999999999995</v>
      </c>
      <c r="L256" s="6">
        <v>14.41</v>
      </c>
      <c r="M256" s="6">
        <v>2637.24</v>
      </c>
      <c r="N256" s="6">
        <v>3.1</v>
      </c>
      <c r="O256" s="6">
        <v>0</v>
      </c>
      <c r="P256" s="6">
        <v>302.05</v>
      </c>
      <c r="Q256" s="6">
        <v>96.78</v>
      </c>
      <c r="R256" s="6">
        <v>225.86</v>
      </c>
      <c r="S256">
        <v>1</v>
      </c>
      <c r="T256">
        <v>1</v>
      </c>
      <c r="U256">
        <v>0</v>
      </c>
      <c r="V256" s="6">
        <v>41.44</v>
      </c>
      <c r="W256" s="6">
        <v>0</v>
      </c>
      <c r="X256" s="6">
        <v>0</v>
      </c>
      <c r="Y256" s="6">
        <v>185.78</v>
      </c>
      <c r="Z256" s="6">
        <v>137.56</v>
      </c>
      <c r="AA256" s="6">
        <v>2659.92</v>
      </c>
      <c r="AB256" s="6">
        <v>17</v>
      </c>
      <c r="AC256" s="6">
        <v>124.73</v>
      </c>
      <c r="AD256" s="6">
        <v>20.64</v>
      </c>
      <c r="AE256" s="6">
        <v>323.33999999999997</v>
      </c>
      <c r="AF256" s="35">
        <v>0.1837</v>
      </c>
      <c r="AG256" s="35">
        <v>0.22409999999999999</v>
      </c>
      <c r="AH256">
        <v>1</v>
      </c>
      <c r="AI256">
        <v>1</v>
      </c>
      <c r="AJ256">
        <v>0</v>
      </c>
      <c r="AK256" s="35">
        <v>0.16569999999999999</v>
      </c>
      <c r="AL256" s="35">
        <v>0.23829999999999996</v>
      </c>
    </row>
    <row r="257" spans="1:38">
      <c r="A257" t="s">
        <v>731</v>
      </c>
      <c r="B257" t="s">
        <v>732</v>
      </c>
      <c r="C257" t="s">
        <v>1088</v>
      </c>
      <c r="D257" s="6">
        <v>0</v>
      </c>
      <c r="E257" s="6">
        <v>424.8</v>
      </c>
      <c r="F257" s="6">
        <v>100.2</v>
      </c>
      <c r="G257" s="6">
        <v>207.07</v>
      </c>
      <c r="H257" s="6">
        <v>224.27</v>
      </c>
      <c r="I257" s="6">
        <v>368.92</v>
      </c>
      <c r="J257" s="6">
        <v>1325.26</v>
      </c>
      <c r="K257" s="6">
        <v>24.01</v>
      </c>
      <c r="L257" s="6">
        <v>3.53</v>
      </c>
      <c r="M257" s="6">
        <v>1502.82</v>
      </c>
      <c r="N257" s="6">
        <v>3</v>
      </c>
      <c r="O257" s="6">
        <v>0</v>
      </c>
      <c r="P257" s="6">
        <v>50.84</v>
      </c>
      <c r="Q257" s="6">
        <v>17.04</v>
      </c>
      <c r="R257" s="6">
        <v>79.14</v>
      </c>
      <c r="S257">
        <v>1</v>
      </c>
      <c r="T257">
        <v>1</v>
      </c>
      <c r="U257">
        <v>0</v>
      </c>
      <c r="V257" s="6">
        <v>11.78</v>
      </c>
      <c r="W257" s="6">
        <v>0</v>
      </c>
      <c r="X257" s="6">
        <v>0</v>
      </c>
      <c r="Y257" s="6">
        <v>119.56</v>
      </c>
      <c r="Z257" s="6">
        <v>85.33</v>
      </c>
      <c r="AA257" s="6">
        <v>1508.91</v>
      </c>
      <c r="AB257" s="6">
        <v>17.010000000000002</v>
      </c>
      <c r="AC257" s="6">
        <v>130.94</v>
      </c>
      <c r="AD257" s="6">
        <v>21.67</v>
      </c>
      <c r="AE257" s="6">
        <v>204.89</v>
      </c>
      <c r="AF257" s="35">
        <v>0.21479999999999999</v>
      </c>
      <c r="AG257" s="35">
        <v>0.2671</v>
      </c>
      <c r="AH257">
        <v>1</v>
      </c>
      <c r="AI257">
        <v>1</v>
      </c>
      <c r="AJ257">
        <v>0</v>
      </c>
      <c r="AK257" s="35">
        <v>0.222</v>
      </c>
      <c r="AL257" s="35">
        <v>0.2944</v>
      </c>
    </row>
    <row r="258" spans="1:38">
      <c r="A258" t="s">
        <v>912</v>
      </c>
      <c r="B258" t="s">
        <v>907</v>
      </c>
      <c r="C258" t="s">
        <v>1088</v>
      </c>
      <c r="D258" s="6">
        <v>0</v>
      </c>
      <c r="E258" s="6">
        <v>348.37</v>
      </c>
      <c r="F258" s="6">
        <v>92.7</v>
      </c>
      <c r="G258" s="6">
        <v>139.4</v>
      </c>
      <c r="H258" s="6">
        <v>126.4</v>
      </c>
      <c r="I258" s="6">
        <v>50.5</v>
      </c>
      <c r="J258" s="6">
        <v>757.37</v>
      </c>
      <c r="K258" s="6">
        <v>3.41</v>
      </c>
      <c r="L258" s="6">
        <v>0.39</v>
      </c>
      <c r="M258" s="6">
        <v>761.17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>
        <v>1.0149999999999999</v>
      </c>
      <c r="T258">
        <v>1.0149999999999999</v>
      </c>
      <c r="U258">
        <v>0</v>
      </c>
      <c r="V258" s="6">
        <v>0</v>
      </c>
      <c r="W258" s="6">
        <v>0</v>
      </c>
      <c r="X258" s="6">
        <v>0</v>
      </c>
      <c r="Y258" s="6">
        <v>93.78</v>
      </c>
      <c r="Z258" s="6">
        <v>2.89</v>
      </c>
      <c r="AA258" s="6">
        <v>762.68</v>
      </c>
      <c r="AB258" s="6">
        <v>17</v>
      </c>
      <c r="AC258" s="6">
        <v>127.35</v>
      </c>
      <c r="AD258" s="6">
        <v>21.08</v>
      </c>
      <c r="AE258" s="6">
        <v>96.67</v>
      </c>
      <c r="AF258" s="35">
        <v>0.42970000000000003</v>
      </c>
      <c r="AG258" s="35">
        <v>0.1027</v>
      </c>
      <c r="AH258">
        <v>1</v>
      </c>
      <c r="AI258">
        <v>1</v>
      </c>
      <c r="AJ258">
        <v>0</v>
      </c>
      <c r="AK258" s="35">
        <v>0.34129999999999999</v>
      </c>
      <c r="AL258" s="35">
        <v>9.5300000000000051E-2</v>
      </c>
    </row>
    <row r="259" spans="1:38">
      <c r="A259" t="s">
        <v>1017</v>
      </c>
      <c r="B259" t="s">
        <v>1018</v>
      </c>
      <c r="C259" t="s">
        <v>1088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26.49</v>
      </c>
      <c r="J259" s="6">
        <v>26.49</v>
      </c>
      <c r="K259" s="6">
        <v>0</v>
      </c>
      <c r="L259" s="6">
        <v>0</v>
      </c>
      <c r="M259" s="6">
        <v>27.69</v>
      </c>
      <c r="N259" s="6">
        <v>1.2</v>
      </c>
      <c r="O259" s="6">
        <v>0</v>
      </c>
      <c r="P259" s="6">
        <v>0</v>
      </c>
      <c r="Q259" s="6">
        <v>0</v>
      </c>
      <c r="R259" s="6">
        <v>0</v>
      </c>
      <c r="S259">
        <v>1.0149999999999999</v>
      </c>
      <c r="T259">
        <v>1.0149999999999999</v>
      </c>
      <c r="U259">
        <v>0</v>
      </c>
      <c r="V259" s="6">
        <v>0</v>
      </c>
      <c r="W259" s="6">
        <v>0</v>
      </c>
      <c r="X259" s="6">
        <v>0</v>
      </c>
      <c r="Y259" s="6">
        <v>1.78</v>
      </c>
      <c r="Z259" s="6">
        <v>0</v>
      </c>
      <c r="AA259" s="6">
        <v>27.69</v>
      </c>
      <c r="AB259" s="6">
        <v>25.23</v>
      </c>
      <c r="AC259" s="6">
        <v>127.35</v>
      </c>
      <c r="AD259" s="6">
        <v>21.08</v>
      </c>
      <c r="AE259" s="6">
        <v>1.78</v>
      </c>
      <c r="AF259" s="35">
        <v>0.14399999999999999</v>
      </c>
      <c r="AG259" s="35">
        <v>0.13</v>
      </c>
      <c r="AH259">
        <v>1</v>
      </c>
      <c r="AI259">
        <v>1</v>
      </c>
      <c r="AJ259">
        <v>0</v>
      </c>
      <c r="AK259" s="35">
        <v>0.14979999999999999</v>
      </c>
      <c r="AL259" s="35">
        <v>0.13</v>
      </c>
    </row>
    <row r="260" spans="1:38">
      <c r="A260" t="s">
        <v>908</v>
      </c>
      <c r="B260" t="s">
        <v>903</v>
      </c>
      <c r="C260" t="s">
        <v>1088</v>
      </c>
      <c r="D260" s="6">
        <v>0</v>
      </c>
      <c r="E260" s="6">
        <v>0</v>
      </c>
      <c r="F260" s="6">
        <v>0</v>
      </c>
      <c r="G260" s="6">
        <v>43.5</v>
      </c>
      <c r="H260" s="6">
        <v>128.1</v>
      </c>
      <c r="I260" s="6">
        <v>240.72</v>
      </c>
      <c r="J260" s="6">
        <v>412.32</v>
      </c>
      <c r="K260" s="6">
        <v>12.27</v>
      </c>
      <c r="L260" s="6">
        <v>0.88</v>
      </c>
      <c r="M260" s="6">
        <v>426.85</v>
      </c>
      <c r="N260" s="6">
        <v>0.6</v>
      </c>
      <c r="O260" s="6">
        <v>0</v>
      </c>
      <c r="P260" s="6">
        <v>0</v>
      </c>
      <c r="Q260" s="6">
        <v>0</v>
      </c>
      <c r="R260" s="6">
        <v>0.78</v>
      </c>
      <c r="S260">
        <v>1.0149999999999999</v>
      </c>
      <c r="T260">
        <v>1.0149999999999999</v>
      </c>
      <c r="U260">
        <v>0</v>
      </c>
      <c r="V260" s="6">
        <v>0</v>
      </c>
      <c r="W260" s="6">
        <v>0</v>
      </c>
      <c r="X260" s="6">
        <v>0</v>
      </c>
      <c r="Y260" s="6">
        <v>97.78</v>
      </c>
      <c r="Z260" s="6">
        <v>0</v>
      </c>
      <c r="AA260" s="6">
        <v>428.2</v>
      </c>
      <c r="AB260" s="6">
        <v>25.23</v>
      </c>
      <c r="AC260" s="6">
        <v>127.35</v>
      </c>
      <c r="AD260" s="6">
        <v>21.08</v>
      </c>
      <c r="AE260" s="6">
        <v>97.78</v>
      </c>
      <c r="AF260" s="35">
        <v>1</v>
      </c>
      <c r="AG260" s="35">
        <v>0.12620000000000001</v>
      </c>
      <c r="AH260">
        <v>1</v>
      </c>
      <c r="AI260">
        <v>1</v>
      </c>
      <c r="AJ260">
        <v>0</v>
      </c>
      <c r="AK260" s="35">
        <v>0.31690000000000002</v>
      </c>
      <c r="AL260" s="35">
        <v>0.12429999999999997</v>
      </c>
    </row>
    <row r="261" spans="1:38">
      <c r="A261" t="s">
        <v>661</v>
      </c>
      <c r="B261" t="s">
        <v>662</v>
      </c>
      <c r="C261" t="s">
        <v>1088</v>
      </c>
      <c r="D261" s="6">
        <v>0</v>
      </c>
      <c r="E261" s="6">
        <v>20.5</v>
      </c>
      <c r="F261" s="6">
        <v>2.5</v>
      </c>
      <c r="G261" s="6">
        <v>6.5</v>
      </c>
      <c r="H261" s="6">
        <v>10</v>
      </c>
      <c r="I261" s="6">
        <v>0</v>
      </c>
      <c r="J261" s="6">
        <v>39.5</v>
      </c>
      <c r="K261" s="6">
        <v>0</v>
      </c>
      <c r="L261" s="6">
        <v>0</v>
      </c>
      <c r="M261" s="6">
        <v>39.5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>
        <v>1</v>
      </c>
      <c r="T261">
        <v>1</v>
      </c>
      <c r="U261">
        <v>0.02</v>
      </c>
      <c r="V261" s="6">
        <v>0</v>
      </c>
      <c r="W261" s="6">
        <v>0</v>
      </c>
      <c r="X261" s="6">
        <v>0</v>
      </c>
      <c r="Y261" s="6">
        <v>3.78</v>
      </c>
      <c r="Z261" s="6">
        <v>1.89</v>
      </c>
      <c r="AA261" s="6">
        <v>39.5</v>
      </c>
      <c r="AB261" s="6">
        <v>17</v>
      </c>
      <c r="AC261" s="6">
        <v>120.74</v>
      </c>
      <c r="AD261" s="6">
        <v>19.98</v>
      </c>
      <c r="AE261" s="6">
        <v>5.67</v>
      </c>
      <c r="AF261" s="35">
        <v>0.27239999999999998</v>
      </c>
      <c r="AG261" s="35">
        <v>9.2499999999999999E-2</v>
      </c>
      <c r="AH261">
        <v>1</v>
      </c>
      <c r="AI261">
        <v>1</v>
      </c>
      <c r="AJ261">
        <v>1.0000000000000009E-2</v>
      </c>
      <c r="AK261" s="35">
        <v>0.2223</v>
      </c>
      <c r="AL261" s="35">
        <v>0.17330000000000001</v>
      </c>
    </row>
    <row r="262" spans="1:38">
      <c r="A262" t="s">
        <v>380</v>
      </c>
      <c r="B262" t="s">
        <v>381</v>
      </c>
      <c r="C262" t="s">
        <v>1088</v>
      </c>
      <c r="D262" s="6">
        <v>14.4</v>
      </c>
      <c r="E262" s="6">
        <v>180.9</v>
      </c>
      <c r="F262" s="6">
        <v>56.95</v>
      </c>
      <c r="G262" s="6">
        <v>95.21</v>
      </c>
      <c r="H262" s="6">
        <v>112.4</v>
      </c>
      <c r="I262" s="6">
        <v>206.95</v>
      </c>
      <c r="J262" s="6">
        <v>652.41</v>
      </c>
      <c r="K262" s="6">
        <v>19.600000000000001</v>
      </c>
      <c r="L262" s="6">
        <v>4.13</v>
      </c>
      <c r="M262" s="6">
        <v>817.08</v>
      </c>
      <c r="N262" s="6">
        <v>22.7</v>
      </c>
      <c r="O262" s="6">
        <v>0</v>
      </c>
      <c r="P262" s="6">
        <v>37.799999999999997</v>
      </c>
      <c r="Q262" s="6">
        <v>24.8</v>
      </c>
      <c r="R262" s="6">
        <v>55.64</v>
      </c>
      <c r="S262">
        <v>1</v>
      </c>
      <c r="T262">
        <v>1</v>
      </c>
      <c r="U262">
        <v>0</v>
      </c>
      <c r="V262" s="6">
        <v>0.33</v>
      </c>
      <c r="W262" s="6">
        <v>0.67</v>
      </c>
      <c r="X262" s="6">
        <v>1.22</v>
      </c>
      <c r="Y262" s="6">
        <v>81.56</v>
      </c>
      <c r="Z262" s="6">
        <v>47.11</v>
      </c>
      <c r="AA262" s="6">
        <v>832.4</v>
      </c>
      <c r="AB262" s="6">
        <v>17</v>
      </c>
      <c r="AC262" s="6">
        <v>123.44</v>
      </c>
      <c r="AD262" s="6">
        <v>20.43</v>
      </c>
      <c r="AE262" s="6">
        <v>129.78</v>
      </c>
      <c r="AF262" s="35">
        <v>0.15110000000000001</v>
      </c>
      <c r="AG262" s="35">
        <v>0.22800000000000001</v>
      </c>
      <c r="AH262">
        <v>1</v>
      </c>
      <c r="AI262">
        <v>1</v>
      </c>
      <c r="AJ262">
        <v>0</v>
      </c>
      <c r="AK262" s="35">
        <v>0.16569999999999999</v>
      </c>
      <c r="AL262" s="35">
        <v>0.2671</v>
      </c>
    </row>
    <row r="263" spans="1:38">
      <c r="A263" t="s">
        <v>863</v>
      </c>
      <c r="B263" t="s">
        <v>864</v>
      </c>
      <c r="C263" t="s">
        <v>1088</v>
      </c>
      <c r="D263" s="6">
        <v>0</v>
      </c>
      <c r="E263" s="6">
        <v>100.1</v>
      </c>
      <c r="F263" s="6">
        <v>22.4</v>
      </c>
      <c r="G263" s="6">
        <v>55</v>
      </c>
      <c r="H263" s="6">
        <v>60.14</v>
      </c>
      <c r="I263" s="6">
        <v>84.37</v>
      </c>
      <c r="J263" s="6">
        <v>322.01</v>
      </c>
      <c r="K263" s="6">
        <v>8.41</v>
      </c>
      <c r="L263" s="6">
        <v>0.34</v>
      </c>
      <c r="M263" s="6">
        <v>412.16</v>
      </c>
      <c r="N263" s="6">
        <v>81.400000000000006</v>
      </c>
      <c r="O263" s="6">
        <v>0</v>
      </c>
      <c r="P263" s="6">
        <v>0</v>
      </c>
      <c r="Q263" s="6">
        <v>0</v>
      </c>
      <c r="R263" s="6">
        <v>0</v>
      </c>
      <c r="S263">
        <v>1</v>
      </c>
      <c r="T263">
        <v>1</v>
      </c>
      <c r="U263">
        <v>0</v>
      </c>
      <c r="V263" s="6">
        <v>5.33</v>
      </c>
      <c r="W263" s="6">
        <v>0</v>
      </c>
      <c r="X263" s="6">
        <v>0</v>
      </c>
      <c r="Y263" s="6">
        <v>58.33</v>
      </c>
      <c r="Z263" s="6">
        <v>8.33</v>
      </c>
      <c r="AA263" s="6">
        <v>412.16</v>
      </c>
      <c r="AB263" s="6">
        <v>17</v>
      </c>
      <c r="AC263" s="6">
        <v>132.97</v>
      </c>
      <c r="AD263" s="6">
        <v>22.01</v>
      </c>
      <c r="AE263" s="6">
        <v>66.66</v>
      </c>
      <c r="AF263" s="35">
        <v>0.41049999999999998</v>
      </c>
      <c r="AG263" s="35">
        <v>0.13170000000000001</v>
      </c>
      <c r="AH263">
        <v>1</v>
      </c>
      <c r="AI263">
        <v>1</v>
      </c>
      <c r="AJ263">
        <v>0</v>
      </c>
      <c r="AK263" s="35">
        <v>0.34229999999999999</v>
      </c>
      <c r="AL263" s="35">
        <v>0.15100000000000002</v>
      </c>
    </row>
    <row r="264" spans="1:38">
      <c r="A264" t="s">
        <v>839</v>
      </c>
      <c r="B264" t="s">
        <v>840</v>
      </c>
      <c r="C264" t="s">
        <v>1088</v>
      </c>
      <c r="D264" s="6">
        <v>13</v>
      </c>
      <c r="E264" s="6">
        <v>82.19</v>
      </c>
      <c r="F264" s="6">
        <v>17.3</v>
      </c>
      <c r="G264" s="6">
        <v>33.299999999999997</v>
      </c>
      <c r="H264" s="6">
        <v>27.9</v>
      </c>
      <c r="I264" s="6">
        <v>26.12</v>
      </c>
      <c r="J264" s="6">
        <v>186.81</v>
      </c>
      <c r="K264" s="6">
        <v>0.17</v>
      </c>
      <c r="L264" s="6">
        <v>0</v>
      </c>
      <c r="M264" s="6">
        <v>994.7</v>
      </c>
      <c r="N264" s="6">
        <v>0</v>
      </c>
      <c r="O264" s="6">
        <v>0</v>
      </c>
      <c r="P264" s="6">
        <v>583.16</v>
      </c>
      <c r="Q264" s="6">
        <v>224.56</v>
      </c>
      <c r="R264" s="6">
        <v>0</v>
      </c>
      <c r="S264">
        <v>1</v>
      </c>
      <c r="T264">
        <v>1</v>
      </c>
      <c r="U264">
        <v>0</v>
      </c>
      <c r="V264" s="6">
        <v>9.67</v>
      </c>
      <c r="W264" s="6">
        <v>0</v>
      </c>
      <c r="X264" s="6">
        <v>0</v>
      </c>
      <c r="Y264" s="6">
        <v>90.78</v>
      </c>
      <c r="Z264" s="6">
        <v>6.11</v>
      </c>
      <c r="AA264" s="6">
        <v>1004.7</v>
      </c>
      <c r="AB264" s="6">
        <v>17</v>
      </c>
      <c r="AC264" s="6">
        <v>144.37</v>
      </c>
      <c r="AD264" s="6">
        <v>23.9</v>
      </c>
      <c r="AE264" s="6">
        <v>97.67</v>
      </c>
      <c r="AF264" s="35">
        <v>0.20730000000000001</v>
      </c>
      <c r="AG264" s="35">
        <v>0.14219999999999999</v>
      </c>
      <c r="AH264">
        <v>1</v>
      </c>
      <c r="AI264">
        <v>1</v>
      </c>
      <c r="AJ264">
        <v>0</v>
      </c>
      <c r="AK264" s="35">
        <v>0.22739999999999999</v>
      </c>
      <c r="AL264" s="35">
        <v>0.11280000000000001</v>
      </c>
    </row>
    <row r="265" spans="1:38">
      <c r="A265" t="s">
        <v>400</v>
      </c>
      <c r="B265" t="s">
        <v>401</v>
      </c>
      <c r="C265" t="s">
        <v>1088</v>
      </c>
      <c r="D265" s="6">
        <v>55.7</v>
      </c>
      <c r="E265" s="6">
        <v>454.2</v>
      </c>
      <c r="F265" s="6">
        <v>103.52</v>
      </c>
      <c r="G265" s="6">
        <v>257.31</v>
      </c>
      <c r="H265" s="6">
        <v>256.42</v>
      </c>
      <c r="I265" s="6">
        <v>478.07</v>
      </c>
      <c r="J265" s="6">
        <v>1549.52</v>
      </c>
      <c r="K265" s="6">
        <v>37.86</v>
      </c>
      <c r="L265" s="6">
        <v>3.43</v>
      </c>
      <c r="M265" s="6">
        <v>1635.56</v>
      </c>
      <c r="N265" s="6">
        <v>10</v>
      </c>
      <c r="O265" s="6">
        <v>0</v>
      </c>
      <c r="P265" s="6">
        <v>6.17</v>
      </c>
      <c r="Q265" s="6">
        <v>9.6199999999999992</v>
      </c>
      <c r="R265" s="6">
        <v>18.96</v>
      </c>
      <c r="S265">
        <v>1</v>
      </c>
      <c r="T265">
        <v>1</v>
      </c>
      <c r="U265">
        <v>0.04</v>
      </c>
      <c r="V265" s="6">
        <v>31.89</v>
      </c>
      <c r="W265" s="6">
        <v>4.5599999999999996</v>
      </c>
      <c r="X265" s="6">
        <v>3.78</v>
      </c>
      <c r="Y265" s="6">
        <v>189.33</v>
      </c>
      <c r="Z265" s="6">
        <v>93.33</v>
      </c>
      <c r="AA265" s="6">
        <v>1691.4</v>
      </c>
      <c r="AB265" s="6">
        <v>17</v>
      </c>
      <c r="AC265" s="6">
        <v>124.22</v>
      </c>
      <c r="AD265" s="6">
        <v>20.56</v>
      </c>
      <c r="AE265" s="6">
        <v>291</v>
      </c>
      <c r="AF265" s="35">
        <v>0.19059999999999999</v>
      </c>
      <c r="AG265" s="35">
        <v>0.24690000000000001</v>
      </c>
      <c r="AH265">
        <v>1</v>
      </c>
      <c r="AI265">
        <v>1</v>
      </c>
      <c r="AJ265">
        <v>4.0000000000000036E-2</v>
      </c>
      <c r="AK265" s="35">
        <v>0.1409</v>
      </c>
      <c r="AL265" s="35">
        <v>0.21999999999999997</v>
      </c>
    </row>
    <row r="266" spans="1:38">
      <c r="A266" t="s">
        <v>560</v>
      </c>
      <c r="B266" t="s">
        <v>561</v>
      </c>
      <c r="C266" t="s">
        <v>1088</v>
      </c>
      <c r="D266" s="6">
        <v>0</v>
      </c>
      <c r="E266" s="6">
        <v>51.9</v>
      </c>
      <c r="F266" s="6">
        <v>19.3</v>
      </c>
      <c r="G266" s="6">
        <v>28</v>
      </c>
      <c r="H266" s="6">
        <v>0</v>
      </c>
      <c r="I266" s="6">
        <v>0</v>
      </c>
      <c r="J266" s="6">
        <v>99.2</v>
      </c>
      <c r="K266" s="6">
        <v>0</v>
      </c>
      <c r="L266" s="6">
        <v>0</v>
      </c>
      <c r="M266" s="6">
        <v>246.01</v>
      </c>
      <c r="N266" s="6">
        <v>0</v>
      </c>
      <c r="O266" s="6">
        <v>0</v>
      </c>
      <c r="P266" s="6">
        <v>121.57</v>
      </c>
      <c r="Q266" s="6">
        <v>25.24</v>
      </c>
      <c r="R266" s="6">
        <v>0</v>
      </c>
      <c r="S266">
        <v>1</v>
      </c>
      <c r="T266">
        <v>1</v>
      </c>
      <c r="U266">
        <v>0</v>
      </c>
      <c r="V266" s="6">
        <v>0.89</v>
      </c>
      <c r="W266" s="6">
        <v>0</v>
      </c>
      <c r="X266" s="6">
        <v>0</v>
      </c>
      <c r="Y266" s="6">
        <v>7.44</v>
      </c>
      <c r="Z266" s="6">
        <v>8.67</v>
      </c>
      <c r="AA266" s="6">
        <v>246.01</v>
      </c>
      <c r="AB266" s="6">
        <v>17</v>
      </c>
      <c r="AC266" s="6">
        <v>118.33</v>
      </c>
      <c r="AD266" s="6">
        <v>19.59</v>
      </c>
      <c r="AE266" s="6">
        <v>16.11</v>
      </c>
      <c r="AF266" s="35">
        <v>0.2944</v>
      </c>
      <c r="AG266" s="35">
        <v>0.3347</v>
      </c>
      <c r="AH266">
        <v>1</v>
      </c>
      <c r="AI266">
        <v>1</v>
      </c>
      <c r="AJ266">
        <v>0</v>
      </c>
      <c r="AK266" s="35">
        <v>0.34670000000000001</v>
      </c>
      <c r="AL266" s="35">
        <v>0.23270000000000002</v>
      </c>
    </row>
    <row r="267" spans="1:38">
      <c r="A267" t="s">
        <v>803</v>
      </c>
      <c r="B267" t="s">
        <v>804</v>
      </c>
      <c r="C267" t="s">
        <v>1088</v>
      </c>
      <c r="D267" s="6">
        <v>0</v>
      </c>
      <c r="E267" s="6">
        <v>37.200000000000003</v>
      </c>
      <c r="F267" s="6">
        <v>16.8</v>
      </c>
      <c r="G267" s="6">
        <v>19</v>
      </c>
      <c r="H267" s="6">
        <v>9</v>
      </c>
      <c r="I267" s="6">
        <v>0</v>
      </c>
      <c r="J267" s="6">
        <v>82</v>
      </c>
      <c r="K267" s="6">
        <v>0</v>
      </c>
      <c r="L267" s="6">
        <v>0</v>
      </c>
      <c r="M267" s="6">
        <v>82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>
        <v>1</v>
      </c>
      <c r="T267">
        <v>1</v>
      </c>
      <c r="U267">
        <v>0</v>
      </c>
      <c r="V267" s="6">
        <v>0</v>
      </c>
      <c r="W267" s="6">
        <v>0</v>
      </c>
      <c r="X267" s="6">
        <v>0</v>
      </c>
      <c r="Y267" s="6">
        <v>12.11</v>
      </c>
      <c r="Z267" s="6">
        <v>0.67</v>
      </c>
      <c r="AA267" s="6">
        <v>82</v>
      </c>
      <c r="AB267" s="6">
        <v>17</v>
      </c>
      <c r="AC267" s="6">
        <v>134.91</v>
      </c>
      <c r="AD267" s="6">
        <v>22.33</v>
      </c>
      <c r="AE267" s="6">
        <v>12.78</v>
      </c>
      <c r="AF267" s="35">
        <v>0.39679999999999999</v>
      </c>
      <c r="AG267" s="35">
        <v>0.14000000000000001</v>
      </c>
      <c r="AH267">
        <v>1</v>
      </c>
      <c r="AI267">
        <v>1</v>
      </c>
      <c r="AJ267">
        <v>0</v>
      </c>
      <c r="AK267" s="35">
        <v>0.24299999999999999</v>
      </c>
      <c r="AL267" s="35">
        <v>0.10150000000000003</v>
      </c>
    </row>
    <row r="268" spans="1:38">
      <c r="A268" t="s">
        <v>462</v>
      </c>
      <c r="B268" t="s">
        <v>463</v>
      </c>
      <c r="C268" t="s">
        <v>1088</v>
      </c>
      <c r="D268" s="6">
        <v>0</v>
      </c>
      <c r="E268" s="6">
        <v>20.399999999999999</v>
      </c>
      <c r="F268" s="6">
        <v>6.5</v>
      </c>
      <c r="G268" s="6">
        <v>7.9</v>
      </c>
      <c r="H268" s="6">
        <v>0</v>
      </c>
      <c r="I268" s="6">
        <v>0</v>
      </c>
      <c r="J268" s="6">
        <v>34.799999999999997</v>
      </c>
      <c r="K268" s="6">
        <v>0</v>
      </c>
      <c r="L268" s="6">
        <v>0</v>
      </c>
      <c r="M268" s="6">
        <v>34.799999999999997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>
        <v>1</v>
      </c>
      <c r="T268">
        <v>1</v>
      </c>
      <c r="U268">
        <v>0</v>
      </c>
      <c r="V268" s="6">
        <v>0</v>
      </c>
      <c r="W268" s="6">
        <v>0</v>
      </c>
      <c r="X268" s="6">
        <v>0</v>
      </c>
      <c r="Y268" s="6">
        <v>4.78</v>
      </c>
      <c r="Z268" s="6">
        <v>0</v>
      </c>
      <c r="AA268" s="6">
        <v>34.799999999999997</v>
      </c>
      <c r="AB268" s="6">
        <v>17</v>
      </c>
      <c r="AC268" s="6">
        <v>119.09</v>
      </c>
      <c r="AD268" s="6">
        <v>19.71</v>
      </c>
      <c r="AE268" s="6">
        <v>4.78</v>
      </c>
      <c r="AF268" s="35">
        <v>0.25309999999999999</v>
      </c>
      <c r="AG268" s="35">
        <v>0.08</v>
      </c>
      <c r="AH268">
        <v>1</v>
      </c>
      <c r="AI268">
        <v>1</v>
      </c>
      <c r="AJ268">
        <v>0</v>
      </c>
      <c r="AK268" s="35">
        <v>0.2767</v>
      </c>
      <c r="AL268" s="35">
        <v>7.999999999999996E-2</v>
      </c>
    </row>
    <row r="269" spans="1:38">
      <c r="A269" t="s">
        <v>396</v>
      </c>
      <c r="B269" t="s">
        <v>397</v>
      </c>
      <c r="C269" t="s">
        <v>1088</v>
      </c>
      <c r="D269" s="6">
        <v>4.45</v>
      </c>
      <c r="E269" s="6">
        <v>23.75</v>
      </c>
      <c r="F269" s="6">
        <v>8.4</v>
      </c>
      <c r="G269" s="6">
        <v>16.55</v>
      </c>
      <c r="H269" s="6">
        <v>23.3</v>
      </c>
      <c r="I269" s="6">
        <v>34.24</v>
      </c>
      <c r="J269" s="6">
        <v>106.24</v>
      </c>
      <c r="K269" s="6">
        <v>0.81</v>
      </c>
      <c r="L269" s="6">
        <v>0.65</v>
      </c>
      <c r="M269" s="6">
        <v>107.7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>
        <v>1</v>
      </c>
      <c r="T269">
        <v>1</v>
      </c>
      <c r="U269">
        <v>0</v>
      </c>
      <c r="V269" s="6">
        <v>0.22</v>
      </c>
      <c r="W269" s="6">
        <v>1.44</v>
      </c>
      <c r="X269" s="6">
        <v>0</v>
      </c>
      <c r="Y269" s="6">
        <v>19.329999999999998</v>
      </c>
      <c r="Z269" s="6">
        <v>2.2200000000000002</v>
      </c>
      <c r="AA269" s="6">
        <v>112.14</v>
      </c>
      <c r="AB269" s="6">
        <v>17</v>
      </c>
      <c r="AC269" s="6">
        <v>133.46</v>
      </c>
      <c r="AD269" s="6">
        <v>22.09</v>
      </c>
      <c r="AE269" s="6">
        <v>22.99</v>
      </c>
      <c r="AF269" s="35">
        <v>0.30880000000000002</v>
      </c>
      <c r="AG269" s="35">
        <v>0.16569999999999999</v>
      </c>
      <c r="AH269">
        <v>1</v>
      </c>
      <c r="AI269">
        <v>1</v>
      </c>
      <c r="AJ269">
        <v>0</v>
      </c>
      <c r="AK269" s="35">
        <v>0.27129999999999999</v>
      </c>
      <c r="AL269" s="35">
        <v>0.13859999999999995</v>
      </c>
    </row>
    <row r="270" spans="1:38">
      <c r="A270" t="s">
        <v>576</v>
      </c>
      <c r="B270" t="s">
        <v>577</v>
      </c>
      <c r="C270" t="s">
        <v>1088</v>
      </c>
      <c r="D270" s="6">
        <v>0</v>
      </c>
      <c r="E270" s="6">
        <v>107.9</v>
      </c>
      <c r="F270" s="6">
        <v>42.1</v>
      </c>
      <c r="G270" s="6">
        <v>55.5</v>
      </c>
      <c r="H270" s="6">
        <v>73</v>
      </c>
      <c r="I270" s="6">
        <v>137.31</v>
      </c>
      <c r="J270" s="6">
        <v>415.81</v>
      </c>
      <c r="K270" s="6">
        <v>7.9</v>
      </c>
      <c r="L270" s="6">
        <v>0.51</v>
      </c>
      <c r="M270" s="6">
        <v>497.3</v>
      </c>
      <c r="N270" s="6">
        <v>0</v>
      </c>
      <c r="O270" s="6">
        <v>0</v>
      </c>
      <c r="P270" s="6">
        <v>17.100000000000001</v>
      </c>
      <c r="Q270" s="6">
        <v>8.4</v>
      </c>
      <c r="R270" s="6">
        <v>47.58</v>
      </c>
      <c r="S270">
        <v>1</v>
      </c>
      <c r="T270">
        <v>1</v>
      </c>
      <c r="U270">
        <v>0</v>
      </c>
      <c r="V270" s="6">
        <v>5.33</v>
      </c>
      <c r="W270" s="6">
        <v>0</v>
      </c>
      <c r="X270" s="6">
        <v>0</v>
      </c>
      <c r="Y270" s="6">
        <v>72.44</v>
      </c>
      <c r="Z270" s="6">
        <v>14.22</v>
      </c>
      <c r="AA270" s="6">
        <v>497.29</v>
      </c>
      <c r="AB270" s="6">
        <v>17</v>
      </c>
      <c r="AC270" s="6">
        <v>128.28</v>
      </c>
      <c r="AD270" s="6">
        <v>21.23</v>
      </c>
      <c r="AE270" s="6">
        <v>86.66</v>
      </c>
      <c r="AF270" s="35">
        <v>0.25159999999999999</v>
      </c>
      <c r="AG270" s="35">
        <v>0.20330000000000001</v>
      </c>
      <c r="AH270">
        <v>1</v>
      </c>
      <c r="AI270">
        <v>1</v>
      </c>
      <c r="AJ270">
        <v>0</v>
      </c>
      <c r="AK270" s="35">
        <v>0.2051</v>
      </c>
      <c r="AL270" s="35">
        <v>0.16839999999999999</v>
      </c>
    </row>
    <row r="271" spans="1:38">
      <c r="A271" t="s">
        <v>639</v>
      </c>
      <c r="B271" t="s">
        <v>640</v>
      </c>
      <c r="C271" t="s">
        <v>1088</v>
      </c>
      <c r="D271" s="6">
        <v>0</v>
      </c>
      <c r="E271" s="6">
        <v>43.3</v>
      </c>
      <c r="F271" s="6">
        <v>14</v>
      </c>
      <c r="G271" s="6">
        <v>26.2</v>
      </c>
      <c r="H271" s="6">
        <v>25.9</v>
      </c>
      <c r="I271" s="6">
        <v>48.61</v>
      </c>
      <c r="J271" s="6">
        <v>158.01</v>
      </c>
      <c r="K271" s="6">
        <v>0.44</v>
      </c>
      <c r="L271" s="6">
        <v>0</v>
      </c>
      <c r="M271" s="6">
        <v>263.49</v>
      </c>
      <c r="N271" s="6">
        <v>0</v>
      </c>
      <c r="O271" s="6">
        <v>0</v>
      </c>
      <c r="P271" s="6">
        <v>77.27</v>
      </c>
      <c r="Q271" s="6">
        <v>15.17</v>
      </c>
      <c r="R271" s="6">
        <v>12.6</v>
      </c>
      <c r="S271">
        <v>1</v>
      </c>
      <c r="T271">
        <v>1</v>
      </c>
      <c r="U271">
        <v>0</v>
      </c>
      <c r="V271" s="6">
        <v>1.22</v>
      </c>
      <c r="W271" s="6">
        <v>0</v>
      </c>
      <c r="X271" s="6">
        <v>0</v>
      </c>
      <c r="Y271" s="6">
        <v>31</v>
      </c>
      <c r="Z271" s="6">
        <v>6.78</v>
      </c>
      <c r="AA271" s="6">
        <v>260.45</v>
      </c>
      <c r="AB271" s="6">
        <v>17</v>
      </c>
      <c r="AC271" s="6">
        <v>141.58000000000001</v>
      </c>
      <c r="AD271" s="6">
        <v>23.43</v>
      </c>
      <c r="AE271" s="6">
        <v>37.78</v>
      </c>
      <c r="AF271" s="35">
        <v>0.27189999999999998</v>
      </c>
      <c r="AG271" s="35">
        <v>0.20699999999999999</v>
      </c>
      <c r="AH271">
        <v>1</v>
      </c>
      <c r="AI271">
        <v>1</v>
      </c>
      <c r="AJ271">
        <v>0</v>
      </c>
      <c r="AK271" s="35">
        <v>0.25380000000000003</v>
      </c>
      <c r="AL271" s="35">
        <v>0.15839999999999999</v>
      </c>
    </row>
    <row r="272" spans="1:38">
      <c r="A272" t="s">
        <v>528</v>
      </c>
      <c r="B272" t="s">
        <v>529</v>
      </c>
      <c r="C272" t="s">
        <v>1088</v>
      </c>
      <c r="D272" s="6">
        <v>17.899999999999999</v>
      </c>
      <c r="E272" s="6">
        <v>216.9</v>
      </c>
      <c r="F272" s="6">
        <v>53.6</v>
      </c>
      <c r="G272" s="6">
        <v>101.51</v>
      </c>
      <c r="H272" s="6">
        <v>108.72</v>
      </c>
      <c r="I272" s="6">
        <v>217.05</v>
      </c>
      <c r="J272" s="6">
        <v>697.78</v>
      </c>
      <c r="K272" s="6">
        <v>20.37</v>
      </c>
      <c r="L272" s="6">
        <v>2.1800000000000002</v>
      </c>
      <c r="M272" s="6">
        <v>1079.49</v>
      </c>
      <c r="N272" s="6">
        <v>0</v>
      </c>
      <c r="O272" s="6">
        <v>0</v>
      </c>
      <c r="P272" s="6">
        <v>0.1</v>
      </c>
      <c r="Q272" s="6">
        <v>0.1</v>
      </c>
      <c r="R272" s="6">
        <v>358.96</v>
      </c>
      <c r="S272">
        <v>1</v>
      </c>
      <c r="T272">
        <v>1</v>
      </c>
      <c r="U272">
        <v>0.02</v>
      </c>
      <c r="V272" s="6">
        <v>7.89</v>
      </c>
      <c r="W272" s="6">
        <v>1.78</v>
      </c>
      <c r="X272" s="6">
        <v>1.33</v>
      </c>
      <c r="Y272" s="6">
        <v>104.78</v>
      </c>
      <c r="Z272" s="6">
        <v>26.89</v>
      </c>
      <c r="AA272" s="6">
        <v>1097.79</v>
      </c>
      <c r="AB272" s="6">
        <v>17</v>
      </c>
      <c r="AC272" s="6">
        <v>127.65</v>
      </c>
      <c r="AD272" s="6">
        <v>21.13</v>
      </c>
      <c r="AE272" s="6">
        <v>134.78</v>
      </c>
      <c r="AF272" s="35">
        <v>0.20169999999999999</v>
      </c>
      <c r="AG272" s="35">
        <v>0.1986</v>
      </c>
      <c r="AH272">
        <v>1</v>
      </c>
      <c r="AI272">
        <v>1</v>
      </c>
      <c r="AJ272">
        <v>1.0000000000000009E-2</v>
      </c>
      <c r="AK272" s="35">
        <v>0.2114</v>
      </c>
      <c r="AL272" s="35">
        <v>0.21650000000000003</v>
      </c>
    </row>
    <row r="273" spans="1:38">
      <c r="A273" t="s">
        <v>893</v>
      </c>
      <c r="B273" t="s">
        <v>894</v>
      </c>
      <c r="C273" t="s">
        <v>1088</v>
      </c>
      <c r="D273" s="6">
        <v>32.299999999999997</v>
      </c>
      <c r="E273" s="6">
        <v>1719.85</v>
      </c>
      <c r="F273" s="6">
        <v>459.26</v>
      </c>
      <c r="G273" s="6">
        <v>845.03</v>
      </c>
      <c r="H273" s="6">
        <v>836.05</v>
      </c>
      <c r="I273" s="6">
        <v>1514.54</v>
      </c>
      <c r="J273" s="6">
        <v>5374.73</v>
      </c>
      <c r="K273" s="6">
        <v>104.76</v>
      </c>
      <c r="L273" s="6">
        <v>12.2</v>
      </c>
      <c r="M273" s="6">
        <v>5653.66</v>
      </c>
      <c r="N273" s="6">
        <v>30.7</v>
      </c>
      <c r="O273" s="6">
        <v>0</v>
      </c>
      <c r="P273" s="6">
        <v>0</v>
      </c>
      <c r="Q273" s="6">
        <v>0</v>
      </c>
      <c r="R273" s="6">
        <v>131.27000000000001</v>
      </c>
      <c r="S273">
        <v>1.06</v>
      </c>
      <c r="T273">
        <v>1.06</v>
      </c>
      <c r="U273">
        <v>0</v>
      </c>
      <c r="V273" s="6">
        <v>75.78</v>
      </c>
      <c r="W273" s="6">
        <v>3.89</v>
      </c>
      <c r="X273" s="6">
        <v>0</v>
      </c>
      <c r="Y273" s="6">
        <v>615.66999999999996</v>
      </c>
      <c r="Z273" s="6">
        <v>255.56</v>
      </c>
      <c r="AA273" s="6">
        <v>5717.86</v>
      </c>
      <c r="AB273" s="6">
        <v>17.47</v>
      </c>
      <c r="AC273" s="6">
        <v>130.33000000000001</v>
      </c>
      <c r="AD273" s="6">
        <v>21.57</v>
      </c>
      <c r="AE273" s="6">
        <v>873.12</v>
      </c>
      <c r="AF273" s="35">
        <v>0.14369999999999999</v>
      </c>
      <c r="AG273" s="35">
        <v>0.2492</v>
      </c>
      <c r="AH273">
        <v>1.06</v>
      </c>
      <c r="AI273">
        <v>1.06</v>
      </c>
      <c r="AJ273">
        <v>0</v>
      </c>
      <c r="AK273" s="35">
        <v>0.14610000000000001</v>
      </c>
      <c r="AL273" s="35">
        <v>0.24760000000000004</v>
      </c>
    </row>
    <row r="274" spans="1:38">
      <c r="A274" t="s">
        <v>637</v>
      </c>
      <c r="B274" t="s">
        <v>638</v>
      </c>
      <c r="C274" t="s">
        <v>1088</v>
      </c>
      <c r="D274" s="6">
        <v>68</v>
      </c>
      <c r="E274" s="6">
        <v>4390.5</v>
      </c>
      <c r="F274" s="6">
        <v>1127.0899999999999</v>
      </c>
      <c r="G274" s="6">
        <v>2164.5100000000002</v>
      </c>
      <c r="H274" s="6">
        <v>2161.0300000000002</v>
      </c>
      <c r="I274" s="6">
        <v>3920.48</v>
      </c>
      <c r="J274" s="6">
        <v>13763.61</v>
      </c>
      <c r="K274" s="6">
        <v>327.87</v>
      </c>
      <c r="L274" s="6">
        <v>44.2</v>
      </c>
      <c r="M274" s="6">
        <v>14697.03</v>
      </c>
      <c r="N274" s="6">
        <v>95.24</v>
      </c>
      <c r="O274" s="6">
        <v>0</v>
      </c>
      <c r="P274" s="6">
        <v>207.12</v>
      </c>
      <c r="Q274" s="6">
        <v>91.66</v>
      </c>
      <c r="R274" s="6">
        <v>167.33</v>
      </c>
      <c r="S274">
        <v>1.0149999999999999</v>
      </c>
      <c r="T274">
        <v>1.0149999999999999</v>
      </c>
      <c r="U274">
        <v>0</v>
      </c>
      <c r="V274" s="6">
        <v>354.11</v>
      </c>
      <c r="W274" s="6">
        <v>6.78</v>
      </c>
      <c r="X274" s="6">
        <v>1.44</v>
      </c>
      <c r="Y274" s="6">
        <v>1525.67</v>
      </c>
      <c r="Z274" s="6">
        <v>954.22</v>
      </c>
      <c r="AA274" s="6">
        <v>14855.65</v>
      </c>
      <c r="AB274" s="6">
        <v>17</v>
      </c>
      <c r="AC274" s="6">
        <v>126.3</v>
      </c>
      <c r="AD274" s="6">
        <v>20.9</v>
      </c>
      <c r="AE274" s="6">
        <v>2487.11</v>
      </c>
      <c r="AF274" s="35">
        <v>0.12659999999999999</v>
      </c>
      <c r="AG274" s="35">
        <v>0.26100000000000001</v>
      </c>
      <c r="AH274">
        <v>1</v>
      </c>
      <c r="AI274">
        <v>1</v>
      </c>
      <c r="AJ274">
        <v>0</v>
      </c>
      <c r="AK274" s="35">
        <v>0.127</v>
      </c>
      <c r="AL274" s="35">
        <v>0.25949999999999995</v>
      </c>
    </row>
    <row r="275" spans="1:38">
      <c r="A275" t="s">
        <v>311</v>
      </c>
      <c r="B275" t="s">
        <v>312</v>
      </c>
      <c r="C275" t="s">
        <v>1088</v>
      </c>
      <c r="D275" s="6">
        <v>0</v>
      </c>
      <c r="E275" s="6">
        <v>1783.18</v>
      </c>
      <c r="F275" s="6">
        <v>464.83</v>
      </c>
      <c r="G275" s="6">
        <v>914.39</v>
      </c>
      <c r="H275" s="6">
        <v>920.92</v>
      </c>
      <c r="I275" s="6">
        <v>2067.3000000000002</v>
      </c>
      <c r="J275" s="6">
        <v>6150.62</v>
      </c>
      <c r="K275" s="6">
        <v>157.31</v>
      </c>
      <c r="L275" s="6">
        <v>21.48</v>
      </c>
      <c r="M275" s="6">
        <v>6518.35</v>
      </c>
      <c r="N275" s="6">
        <v>18.760000000000002</v>
      </c>
      <c r="O275" s="6">
        <v>0</v>
      </c>
      <c r="P275" s="6">
        <v>0</v>
      </c>
      <c r="Q275" s="6">
        <v>0</v>
      </c>
      <c r="R275" s="6">
        <v>170.18</v>
      </c>
      <c r="S275">
        <v>1</v>
      </c>
      <c r="T275">
        <v>1</v>
      </c>
      <c r="U275">
        <v>0</v>
      </c>
      <c r="V275" s="6">
        <v>91.44</v>
      </c>
      <c r="W275" s="6">
        <v>0</v>
      </c>
      <c r="X275" s="6">
        <v>0</v>
      </c>
      <c r="Y275" s="6">
        <v>501</v>
      </c>
      <c r="Z275" s="6">
        <v>357.67</v>
      </c>
      <c r="AA275" s="6">
        <v>6241.75</v>
      </c>
      <c r="AB275" s="6">
        <v>17.13</v>
      </c>
      <c r="AC275" s="6">
        <v>125.45</v>
      </c>
      <c r="AD275" s="6">
        <v>20.76</v>
      </c>
      <c r="AE275" s="6">
        <v>857.67</v>
      </c>
      <c r="AF275" s="35">
        <v>0.14199999999999999</v>
      </c>
      <c r="AG275" s="35">
        <v>0.26790000000000003</v>
      </c>
      <c r="AH275">
        <v>1</v>
      </c>
      <c r="AI275">
        <v>1</v>
      </c>
      <c r="AJ275">
        <v>0</v>
      </c>
      <c r="AK275" s="35">
        <v>0.14080000000000001</v>
      </c>
      <c r="AL275" s="35">
        <v>0.2641</v>
      </c>
    </row>
    <row r="276" spans="1:38">
      <c r="A276" t="s">
        <v>313</v>
      </c>
      <c r="B276" t="s">
        <v>314</v>
      </c>
      <c r="C276" t="s">
        <v>1088</v>
      </c>
      <c r="D276" s="6">
        <v>16.899999999999999</v>
      </c>
      <c r="E276" s="6">
        <v>2377.5300000000002</v>
      </c>
      <c r="F276" s="6">
        <v>678.39</v>
      </c>
      <c r="G276" s="6">
        <v>1355.18</v>
      </c>
      <c r="H276" s="6">
        <v>1338.91</v>
      </c>
      <c r="I276" s="6">
        <v>2683.21</v>
      </c>
      <c r="J276" s="6">
        <v>8433.2199999999993</v>
      </c>
      <c r="K276" s="6">
        <v>378.42</v>
      </c>
      <c r="L276" s="6">
        <v>47.16</v>
      </c>
      <c r="M276" s="6">
        <v>9426.5499999999993</v>
      </c>
      <c r="N276" s="6">
        <v>50.78</v>
      </c>
      <c r="O276" s="6">
        <v>0</v>
      </c>
      <c r="P276" s="6">
        <v>120.63</v>
      </c>
      <c r="Q276" s="6">
        <v>69.989999999999995</v>
      </c>
      <c r="R276" s="6">
        <v>326.35000000000002</v>
      </c>
      <c r="S276">
        <v>1</v>
      </c>
      <c r="T276">
        <v>1</v>
      </c>
      <c r="U276">
        <v>0.04</v>
      </c>
      <c r="V276" s="6">
        <v>148.44</v>
      </c>
      <c r="W276" s="6">
        <v>0</v>
      </c>
      <c r="X276" s="6">
        <v>0</v>
      </c>
      <c r="Y276" s="6">
        <v>879.33</v>
      </c>
      <c r="Z276" s="6">
        <v>658.89</v>
      </c>
      <c r="AA276" s="6">
        <v>9514.58</v>
      </c>
      <c r="AB276" s="6">
        <v>17.07</v>
      </c>
      <c r="AC276" s="6">
        <v>123.89</v>
      </c>
      <c r="AD276" s="6">
        <v>20.51</v>
      </c>
      <c r="AE276" s="6">
        <v>1537.22</v>
      </c>
      <c r="AF276" s="35">
        <v>0.1507</v>
      </c>
      <c r="AG276" s="35">
        <v>0.26700000000000002</v>
      </c>
      <c r="AH276">
        <v>1</v>
      </c>
      <c r="AI276">
        <v>1</v>
      </c>
      <c r="AJ276">
        <v>4.0000000000000036E-2</v>
      </c>
      <c r="AK276" s="35">
        <v>0.1542</v>
      </c>
      <c r="AL276" s="35">
        <v>0.26419999999999999</v>
      </c>
    </row>
    <row r="277" spans="1:38">
      <c r="A277" t="s">
        <v>715</v>
      </c>
      <c r="B277" t="s">
        <v>716</v>
      </c>
      <c r="C277" t="s">
        <v>1088</v>
      </c>
      <c r="D277" s="6">
        <v>0</v>
      </c>
      <c r="E277" s="6">
        <v>282.58</v>
      </c>
      <c r="F277" s="6">
        <v>75.72</v>
      </c>
      <c r="G277" s="6">
        <v>149.35</v>
      </c>
      <c r="H277" s="6">
        <v>157.59</v>
      </c>
      <c r="I277" s="6">
        <v>247.03</v>
      </c>
      <c r="J277" s="6">
        <v>912.27</v>
      </c>
      <c r="K277" s="6">
        <v>13.8</v>
      </c>
      <c r="L277" s="6">
        <v>1.1200000000000001</v>
      </c>
      <c r="M277" s="6">
        <v>929.19</v>
      </c>
      <c r="N277" s="6">
        <v>2</v>
      </c>
      <c r="O277" s="6">
        <v>0</v>
      </c>
      <c r="P277" s="6">
        <v>0</v>
      </c>
      <c r="Q277" s="6">
        <v>0</v>
      </c>
      <c r="R277" s="6">
        <v>0</v>
      </c>
      <c r="S277">
        <v>1</v>
      </c>
      <c r="T277">
        <v>1</v>
      </c>
      <c r="U277">
        <v>0</v>
      </c>
      <c r="V277" s="6">
        <v>15.78</v>
      </c>
      <c r="W277" s="6">
        <v>0</v>
      </c>
      <c r="X277" s="6">
        <v>0</v>
      </c>
      <c r="Y277" s="6">
        <v>96.67</v>
      </c>
      <c r="Z277" s="6">
        <v>35.33</v>
      </c>
      <c r="AA277" s="6">
        <v>935.68</v>
      </c>
      <c r="AB277" s="6">
        <v>17</v>
      </c>
      <c r="AC277" s="6">
        <v>133.71</v>
      </c>
      <c r="AD277" s="6">
        <v>22.13</v>
      </c>
      <c r="AE277" s="6">
        <v>132</v>
      </c>
      <c r="AF277" s="35">
        <v>0.2049</v>
      </c>
      <c r="AG277" s="35">
        <v>0.2258</v>
      </c>
      <c r="AH277">
        <v>1</v>
      </c>
      <c r="AI277">
        <v>1</v>
      </c>
      <c r="AJ277">
        <v>0</v>
      </c>
      <c r="AK277" s="35">
        <v>0.21340000000000001</v>
      </c>
      <c r="AL277" s="35">
        <v>0.23140000000000005</v>
      </c>
    </row>
    <row r="278" spans="1:38">
      <c r="A278" t="s">
        <v>496</v>
      </c>
      <c r="B278" t="s">
        <v>497</v>
      </c>
      <c r="C278" t="s">
        <v>1088</v>
      </c>
      <c r="D278" s="6">
        <v>13.5</v>
      </c>
      <c r="E278" s="6">
        <v>217.82</v>
      </c>
      <c r="F278" s="6">
        <v>61.3</v>
      </c>
      <c r="G278" s="6">
        <v>138.65</v>
      </c>
      <c r="H278" s="6">
        <v>135.94999999999999</v>
      </c>
      <c r="I278" s="6">
        <v>0</v>
      </c>
      <c r="J278" s="6">
        <v>553.72</v>
      </c>
      <c r="K278" s="6">
        <v>0</v>
      </c>
      <c r="L278" s="6">
        <v>0</v>
      </c>
      <c r="M278" s="6">
        <v>553.72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>
        <v>1</v>
      </c>
      <c r="T278">
        <v>1</v>
      </c>
      <c r="U278">
        <v>0</v>
      </c>
      <c r="V278" s="6">
        <v>6.22</v>
      </c>
      <c r="W278" s="6">
        <v>1.56</v>
      </c>
      <c r="X278" s="6">
        <v>0.11</v>
      </c>
      <c r="Y278" s="6">
        <v>71.44</v>
      </c>
      <c r="Z278" s="6">
        <v>11.78</v>
      </c>
      <c r="AA278" s="6">
        <v>567.22</v>
      </c>
      <c r="AB278" s="6">
        <v>17</v>
      </c>
      <c r="AC278" s="6">
        <v>127.43</v>
      </c>
      <c r="AD278" s="6">
        <v>21.09</v>
      </c>
      <c r="AE278" s="6">
        <v>84.89</v>
      </c>
      <c r="AF278" s="35">
        <v>0.1968</v>
      </c>
      <c r="AG278" s="35">
        <v>0.17319999999999999</v>
      </c>
      <c r="AH278">
        <v>1</v>
      </c>
      <c r="AI278">
        <v>1</v>
      </c>
      <c r="AJ278">
        <v>0</v>
      </c>
      <c r="AK278" s="35">
        <v>0.23680000000000001</v>
      </c>
      <c r="AL278" s="35">
        <v>0.15300000000000002</v>
      </c>
    </row>
    <row r="279" spans="1:38">
      <c r="A279" t="s">
        <v>735</v>
      </c>
      <c r="B279" t="s">
        <v>736</v>
      </c>
      <c r="C279" t="s">
        <v>1088</v>
      </c>
      <c r="D279" s="6">
        <v>32.93</v>
      </c>
      <c r="E279" s="6">
        <v>629.41</v>
      </c>
      <c r="F279" s="6">
        <v>148.97</v>
      </c>
      <c r="G279" s="6">
        <v>349.94</v>
      </c>
      <c r="H279" s="6">
        <v>329.6</v>
      </c>
      <c r="I279" s="6">
        <v>500.91</v>
      </c>
      <c r="J279" s="6">
        <v>1958.83</v>
      </c>
      <c r="K279" s="6">
        <v>68.87</v>
      </c>
      <c r="L279" s="6">
        <v>5.75</v>
      </c>
      <c r="M279" s="6">
        <v>2077.2800000000002</v>
      </c>
      <c r="N279" s="6">
        <v>5.8</v>
      </c>
      <c r="O279" s="6">
        <v>0</v>
      </c>
      <c r="P279" s="6">
        <v>0</v>
      </c>
      <c r="Q279" s="6">
        <v>0</v>
      </c>
      <c r="R279" s="6">
        <v>38.03</v>
      </c>
      <c r="S279">
        <v>1</v>
      </c>
      <c r="T279">
        <v>1</v>
      </c>
      <c r="U279">
        <v>0</v>
      </c>
      <c r="V279" s="6">
        <v>25.22</v>
      </c>
      <c r="W279" s="6">
        <v>6.78</v>
      </c>
      <c r="X279" s="6">
        <v>0</v>
      </c>
      <c r="Y279" s="6">
        <v>191.22</v>
      </c>
      <c r="Z279" s="6">
        <v>116.78</v>
      </c>
      <c r="AA279" s="6">
        <v>2135.17</v>
      </c>
      <c r="AB279" s="6">
        <v>17.03</v>
      </c>
      <c r="AC279" s="6">
        <v>121.04</v>
      </c>
      <c r="AD279" s="6">
        <v>20.03</v>
      </c>
      <c r="AE279" s="6">
        <v>314.77999999999997</v>
      </c>
      <c r="AF279" s="35">
        <v>0.1348</v>
      </c>
      <c r="AG279" s="35">
        <v>0.2102</v>
      </c>
      <c r="AH279">
        <v>1</v>
      </c>
      <c r="AI279">
        <v>1</v>
      </c>
      <c r="AJ279">
        <v>0</v>
      </c>
      <c r="AK279" s="35">
        <v>0.13120000000000001</v>
      </c>
      <c r="AL279" s="35">
        <v>0.23409999999999997</v>
      </c>
    </row>
    <row r="280" spans="1:38">
      <c r="A280" t="s">
        <v>817</v>
      </c>
      <c r="B280" t="s">
        <v>818</v>
      </c>
      <c r="C280" t="s">
        <v>1088</v>
      </c>
      <c r="D280" s="6">
        <v>0</v>
      </c>
      <c r="E280" s="6">
        <v>378.71</v>
      </c>
      <c r="F280" s="6">
        <v>106.99</v>
      </c>
      <c r="G280" s="6">
        <v>185.81</v>
      </c>
      <c r="H280" s="6">
        <v>204</v>
      </c>
      <c r="I280" s="6">
        <v>341.83</v>
      </c>
      <c r="J280" s="6">
        <v>1217.3399999999999</v>
      </c>
      <c r="K280" s="6">
        <v>23.29</v>
      </c>
      <c r="L280" s="6">
        <v>2.61</v>
      </c>
      <c r="M280" s="6">
        <v>1249.1400000000001</v>
      </c>
      <c r="N280" s="6">
        <v>5.9</v>
      </c>
      <c r="O280" s="6">
        <v>0</v>
      </c>
      <c r="P280" s="6">
        <v>0</v>
      </c>
      <c r="Q280" s="6">
        <v>0</v>
      </c>
      <c r="R280" s="6">
        <v>0</v>
      </c>
      <c r="S280">
        <v>1</v>
      </c>
      <c r="T280">
        <v>1</v>
      </c>
      <c r="U280">
        <v>0</v>
      </c>
      <c r="V280" s="6">
        <v>16.22</v>
      </c>
      <c r="W280" s="6">
        <v>0</v>
      </c>
      <c r="X280" s="6">
        <v>0</v>
      </c>
      <c r="Y280" s="6">
        <v>116.11</v>
      </c>
      <c r="Z280" s="6">
        <v>81.78</v>
      </c>
      <c r="AA280" s="6">
        <v>1261.8900000000001</v>
      </c>
      <c r="AB280" s="6">
        <v>17</v>
      </c>
      <c r="AC280" s="6">
        <v>126.22</v>
      </c>
      <c r="AD280" s="6">
        <v>20.89</v>
      </c>
      <c r="AE280" s="6">
        <v>197.89</v>
      </c>
      <c r="AF280" s="35">
        <v>0.18959999999999999</v>
      </c>
      <c r="AG280" s="35">
        <v>0.29270000000000002</v>
      </c>
      <c r="AH280">
        <v>1</v>
      </c>
      <c r="AI280">
        <v>1</v>
      </c>
      <c r="AJ280">
        <v>0</v>
      </c>
      <c r="AK280" s="35">
        <v>0.17050000000000001</v>
      </c>
      <c r="AL280" s="35">
        <v>0.24870000000000003</v>
      </c>
    </row>
    <row r="281" spans="1:38">
      <c r="A281" t="s">
        <v>932</v>
      </c>
      <c r="B281" t="s">
        <v>1019</v>
      </c>
      <c r="C281" t="s">
        <v>1088</v>
      </c>
      <c r="D281" s="6">
        <v>0</v>
      </c>
      <c r="E281" s="6">
        <v>66.900000000000006</v>
      </c>
      <c r="F281" s="6">
        <v>12.7</v>
      </c>
      <c r="G281" s="6">
        <v>24.8</v>
      </c>
      <c r="H281" s="6">
        <v>27</v>
      </c>
      <c r="I281" s="6">
        <v>0</v>
      </c>
      <c r="J281" s="6">
        <v>131.4</v>
      </c>
      <c r="K281" s="6">
        <v>0</v>
      </c>
      <c r="L281" s="6">
        <v>0</v>
      </c>
      <c r="M281" s="6">
        <v>131.4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>
        <v>1.0149999999999999</v>
      </c>
      <c r="T281">
        <v>1.0149999999999999</v>
      </c>
      <c r="U281">
        <v>0</v>
      </c>
      <c r="V281" s="6">
        <v>0</v>
      </c>
      <c r="W281" s="6">
        <v>0</v>
      </c>
      <c r="X281" s="6">
        <v>0</v>
      </c>
      <c r="Y281" s="6">
        <v>21.11</v>
      </c>
      <c r="Z281" s="6">
        <v>9.89</v>
      </c>
      <c r="AA281" s="6">
        <v>131.4</v>
      </c>
      <c r="AB281" s="6">
        <v>17</v>
      </c>
      <c r="AC281" s="6">
        <v>126.3</v>
      </c>
      <c r="AD281" s="6">
        <v>20.9</v>
      </c>
      <c r="AE281" s="6">
        <v>31</v>
      </c>
      <c r="AF281" s="35">
        <v>0.14399999999999999</v>
      </c>
      <c r="AG281" s="35">
        <v>0.22040000000000001</v>
      </c>
      <c r="AH281">
        <v>1</v>
      </c>
      <c r="AI281">
        <v>1</v>
      </c>
      <c r="AJ281">
        <v>0</v>
      </c>
      <c r="AK281" s="35">
        <v>0.14979999999999999</v>
      </c>
      <c r="AL281" s="35">
        <v>0.19540000000000002</v>
      </c>
    </row>
    <row r="282" spans="1:38">
      <c r="A282" t="s">
        <v>851</v>
      </c>
      <c r="B282" t="s">
        <v>852</v>
      </c>
      <c r="C282" t="s">
        <v>1088</v>
      </c>
      <c r="D282" s="6">
        <v>65.260000000000005</v>
      </c>
      <c r="E282" s="6">
        <v>1381.17</v>
      </c>
      <c r="F282" s="6">
        <v>376.08</v>
      </c>
      <c r="G282" s="6">
        <v>772.6</v>
      </c>
      <c r="H282" s="6">
        <v>732.67</v>
      </c>
      <c r="I282" s="6">
        <v>1436.9</v>
      </c>
      <c r="J282" s="6">
        <v>4699.42</v>
      </c>
      <c r="K282" s="6">
        <v>102.59</v>
      </c>
      <c r="L282" s="6">
        <v>12.47</v>
      </c>
      <c r="M282" s="6">
        <v>5305.74</v>
      </c>
      <c r="N282" s="6">
        <v>100.8</v>
      </c>
      <c r="O282" s="6">
        <v>0.6</v>
      </c>
      <c r="P282" s="6">
        <v>41.65</v>
      </c>
      <c r="Q282" s="6">
        <v>12.56</v>
      </c>
      <c r="R282" s="6">
        <v>335.65</v>
      </c>
      <c r="S282">
        <v>1</v>
      </c>
      <c r="T282">
        <v>1</v>
      </c>
      <c r="U282">
        <v>0.02</v>
      </c>
      <c r="V282" s="6">
        <v>53.78</v>
      </c>
      <c r="W282" s="6">
        <v>4.1100000000000003</v>
      </c>
      <c r="X282" s="6">
        <v>3.33</v>
      </c>
      <c r="Y282" s="6">
        <v>591.89</v>
      </c>
      <c r="Z282" s="6">
        <v>248</v>
      </c>
      <c r="AA282" s="6">
        <v>5343.21</v>
      </c>
      <c r="AB282" s="6">
        <v>17</v>
      </c>
      <c r="AC282" s="6">
        <v>128.4</v>
      </c>
      <c r="AD282" s="6">
        <v>21.25</v>
      </c>
      <c r="AE282" s="6">
        <v>846.33</v>
      </c>
      <c r="AF282" s="35">
        <v>0.17810000000000001</v>
      </c>
      <c r="AG282" s="35">
        <v>0.24990000000000001</v>
      </c>
      <c r="AH282">
        <v>1</v>
      </c>
      <c r="AI282">
        <v>1</v>
      </c>
      <c r="AJ282">
        <v>1.0000000000000009E-2</v>
      </c>
      <c r="AK282" s="35">
        <v>0.1913</v>
      </c>
      <c r="AL282" s="35">
        <v>0.22529999999999994</v>
      </c>
    </row>
    <row r="283" spans="1:38">
      <c r="A283" t="s">
        <v>392</v>
      </c>
      <c r="B283" t="s">
        <v>393</v>
      </c>
      <c r="C283" t="s">
        <v>1088</v>
      </c>
      <c r="D283" s="6">
        <v>15.3</v>
      </c>
      <c r="E283" s="6">
        <v>414.98</v>
      </c>
      <c r="F283" s="6">
        <v>133.72</v>
      </c>
      <c r="G283" s="6">
        <v>222.8</v>
      </c>
      <c r="H283" s="6">
        <v>225.74</v>
      </c>
      <c r="I283" s="6">
        <v>431.79</v>
      </c>
      <c r="J283" s="6">
        <v>1429.03</v>
      </c>
      <c r="K283" s="6">
        <v>33.97</v>
      </c>
      <c r="L283" s="6">
        <v>5.25</v>
      </c>
      <c r="M283" s="6">
        <v>1479.96</v>
      </c>
      <c r="N283" s="6">
        <v>11.61</v>
      </c>
      <c r="O283" s="6">
        <v>0.1</v>
      </c>
      <c r="P283" s="6">
        <v>0</v>
      </c>
      <c r="Q283" s="6">
        <v>0</v>
      </c>
      <c r="R283" s="6">
        <v>0</v>
      </c>
      <c r="S283">
        <v>1</v>
      </c>
      <c r="T283">
        <v>1</v>
      </c>
      <c r="U283">
        <v>0</v>
      </c>
      <c r="V283" s="6">
        <v>22.56</v>
      </c>
      <c r="W283" s="6">
        <v>2</v>
      </c>
      <c r="X283" s="6">
        <v>0</v>
      </c>
      <c r="Y283" s="6">
        <v>129.88999999999999</v>
      </c>
      <c r="Z283" s="6">
        <v>105.11</v>
      </c>
      <c r="AA283" s="6">
        <v>1506.26</v>
      </c>
      <c r="AB283" s="6">
        <v>17</v>
      </c>
      <c r="AC283" s="6">
        <v>138.51</v>
      </c>
      <c r="AD283" s="6">
        <v>22.93</v>
      </c>
      <c r="AE283" s="6">
        <v>237</v>
      </c>
      <c r="AF283" s="35">
        <v>0.13969999999999999</v>
      </c>
      <c r="AG283" s="35">
        <v>0.30059999999999998</v>
      </c>
      <c r="AH283">
        <v>1</v>
      </c>
      <c r="AI283">
        <v>1</v>
      </c>
      <c r="AJ283">
        <v>0</v>
      </c>
      <c r="AK283" s="35">
        <v>0.1646</v>
      </c>
      <c r="AL283" s="35">
        <v>0.27229999999999999</v>
      </c>
    </row>
    <row r="284" spans="1:38">
      <c r="A284" t="s">
        <v>827</v>
      </c>
      <c r="B284" t="s">
        <v>828</v>
      </c>
      <c r="C284" t="s">
        <v>1088</v>
      </c>
      <c r="D284" s="6">
        <v>8.1999999999999993</v>
      </c>
      <c r="E284" s="6">
        <v>67.61</v>
      </c>
      <c r="F284" s="6">
        <v>19</v>
      </c>
      <c r="G284" s="6">
        <v>23.44</v>
      </c>
      <c r="H284" s="6">
        <v>35.64</v>
      </c>
      <c r="I284" s="6">
        <v>49.13</v>
      </c>
      <c r="J284" s="6">
        <v>194.82</v>
      </c>
      <c r="K284" s="6">
        <v>2.48</v>
      </c>
      <c r="L284" s="6">
        <v>0.26</v>
      </c>
      <c r="M284" s="6">
        <v>227.67</v>
      </c>
      <c r="N284" s="6">
        <v>0</v>
      </c>
      <c r="O284" s="6">
        <v>0</v>
      </c>
      <c r="P284" s="6">
        <v>9.91</v>
      </c>
      <c r="Q284" s="6">
        <v>3.82</v>
      </c>
      <c r="R284" s="6">
        <v>16.38</v>
      </c>
      <c r="S284">
        <v>1</v>
      </c>
      <c r="T284">
        <v>1</v>
      </c>
      <c r="U284">
        <v>0</v>
      </c>
      <c r="V284" s="6">
        <v>1</v>
      </c>
      <c r="W284" s="6">
        <v>1.33</v>
      </c>
      <c r="X284" s="6">
        <v>0.67</v>
      </c>
      <c r="Y284" s="6">
        <v>12.78</v>
      </c>
      <c r="Z284" s="6">
        <v>1</v>
      </c>
      <c r="AA284" s="6">
        <v>241</v>
      </c>
      <c r="AB284" s="6">
        <v>17</v>
      </c>
      <c r="AC284" s="6">
        <v>122.22</v>
      </c>
      <c r="AD284" s="6">
        <v>20.23</v>
      </c>
      <c r="AE284" s="6">
        <v>15.78</v>
      </c>
      <c r="AF284" s="35">
        <v>0.37890000000000001</v>
      </c>
      <c r="AG284" s="35">
        <v>0.1167</v>
      </c>
      <c r="AH284">
        <v>1</v>
      </c>
      <c r="AI284">
        <v>1</v>
      </c>
      <c r="AJ284">
        <v>0</v>
      </c>
      <c r="AK284" s="35">
        <v>0.31490000000000001</v>
      </c>
      <c r="AL284" s="35">
        <v>0.10499999999999998</v>
      </c>
    </row>
    <row r="285" spans="1:38">
      <c r="A285" t="s">
        <v>398</v>
      </c>
      <c r="B285" t="s">
        <v>399</v>
      </c>
      <c r="C285" t="s">
        <v>1088</v>
      </c>
      <c r="D285" s="6">
        <v>15.4</v>
      </c>
      <c r="E285" s="6">
        <v>252.8</v>
      </c>
      <c r="F285" s="6">
        <v>53.7</v>
      </c>
      <c r="G285" s="6">
        <v>103.2</v>
      </c>
      <c r="H285" s="6">
        <v>130.87</v>
      </c>
      <c r="I285" s="6">
        <v>198.71</v>
      </c>
      <c r="J285" s="6">
        <v>739.28</v>
      </c>
      <c r="K285" s="6">
        <v>18.87</v>
      </c>
      <c r="L285" s="6">
        <v>0.44</v>
      </c>
      <c r="M285" s="6">
        <v>762.99</v>
      </c>
      <c r="N285" s="6">
        <v>4.4000000000000004</v>
      </c>
      <c r="O285" s="6">
        <v>0</v>
      </c>
      <c r="P285" s="6">
        <v>0</v>
      </c>
      <c r="Q285" s="6">
        <v>0</v>
      </c>
      <c r="R285" s="6">
        <v>0</v>
      </c>
      <c r="S285">
        <v>1</v>
      </c>
      <c r="T285">
        <v>1</v>
      </c>
      <c r="U285">
        <v>0.02</v>
      </c>
      <c r="V285" s="6">
        <v>7.78</v>
      </c>
      <c r="W285" s="6">
        <v>1</v>
      </c>
      <c r="X285" s="6">
        <v>0</v>
      </c>
      <c r="Y285" s="6">
        <v>65.22</v>
      </c>
      <c r="Z285" s="6">
        <v>45</v>
      </c>
      <c r="AA285" s="6">
        <v>783.62</v>
      </c>
      <c r="AB285" s="6">
        <v>17</v>
      </c>
      <c r="AC285" s="6">
        <v>134.43</v>
      </c>
      <c r="AD285" s="6">
        <v>22.25</v>
      </c>
      <c r="AE285" s="6">
        <v>111.22</v>
      </c>
      <c r="AF285" s="35">
        <v>0.2029</v>
      </c>
      <c r="AG285" s="35">
        <v>0.2089</v>
      </c>
      <c r="AH285">
        <v>1</v>
      </c>
      <c r="AI285">
        <v>1</v>
      </c>
      <c r="AJ285">
        <v>1.0000000000000009E-2</v>
      </c>
      <c r="AK285" s="35">
        <v>0.19919999999999999</v>
      </c>
      <c r="AL285" s="35">
        <v>0.24609999999999999</v>
      </c>
    </row>
    <row r="286" spans="1:38">
      <c r="A286" t="s">
        <v>699</v>
      </c>
      <c r="B286" t="s">
        <v>700</v>
      </c>
      <c r="C286" t="s">
        <v>1088</v>
      </c>
      <c r="D286" s="6">
        <v>11.1</v>
      </c>
      <c r="E286" s="6">
        <v>93.9</v>
      </c>
      <c r="F286" s="6">
        <v>22.9</v>
      </c>
      <c r="G286" s="6">
        <v>35.4</v>
      </c>
      <c r="H286" s="6">
        <v>33.79</v>
      </c>
      <c r="I286" s="6">
        <v>67.97</v>
      </c>
      <c r="J286" s="6">
        <v>253.96</v>
      </c>
      <c r="K286" s="6">
        <v>0.52</v>
      </c>
      <c r="L286" s="6">
        <v>0</v>
      </c>
      <c r="M286" s="6">
        <v>254.48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>
        <v>1</v>
      </c>
      <c r="T286">
        <v>1</v>
      </c>
      <c r="U286">
        <v>0</v>
      </c>
      <c r="V286" s="6">
        <v>0</v>
      </c>
      <c r="W286" s="6">
        <v>0</v>
      </c>
      <c r="X286" s="6">
        <v>0</v>
      </c>
      <c r="Y286" s="6">
        <v>34.67</v>
      </c>
      <c r="Z286" s="6">
        <v>7.44</v>
      </c>
      <c r="AA286" s="6">
        <v>269.74</v>
      </c>
      <c r="AB286" s="6">
        <v>17</v>
      </c>
      <c r="AC286" s="6">
        <v>122.22</v>
      </c>
      <c r="AD286" s="6">
        <v>20.23</v>
      </c>
      <c r="AE286" s="6">
        <v>42.11</v>
      </c>
      <c r="AF286" s="35">
        <v>0.22389999999999999</v>
      </c>
      <c r="AG286" s="35">
        <v>0.15379999999999999</v>
      </c>
      <c r="AH286">
        <v>1</v>
      </c>
      <c r="AI286">
        <v>1</v>
      </c>
      <c r="AJ286">
        <v>0</v>
      </c>
      <c r="AK286" s="35">
        <v>0.22439999999999999</v>
      </c>
      <c r="AL286" s="35">
        <v>0.17300000000000004</v>
      </c>
    </row>
    <row r="287" spans="1:38">
      <c r="A287" t="s">
        <v>335</v>
      </c>
      <c r="B287" t="s">
        <v>336</v>
      </c>
      <c r="C287" t="s">
        <v>1088</v>
      </c>
      <c r="D287" s="6">
        <v>261.24</v>
      </c>
      <c r="E287" s="6">
        <v>3010.1</v>
      </c>
      <c r="F287" s="6">
        <v>743.78</v>
      </c>
      <c r="G287" s="6">
        <v>1592.54</v>
      </c>
      <c r="H287" s="6">
        <v>1574.65</v>
      </c>
      <c r="I287" s="6">
        <v>3202</v>
      </c>
      <c r="J287" s="6">
        <v>10123.07</v>
      </c>
      <c r="K287" s="6">
        <v>300.14</v>
      </c>
      <c r="L287" s="6">
        <v>32.090000000000003</v>
      </c>
      <c r="M287" s="6">
        <v>10880.83</v>
      </c>
      <c r="N287" s="6">
        <v>97.87</v>
      </c>
      <c r="O287" s="6">
        <v>6.46</v>
      </c>
      <c r="P287" s="6">
        <v>207.11</v>
      </c>
      <c r="Q287" s="6">
        <v>66.87</v>
      </c>
      <c r="R287" s="6">
        <v>47.22</v>
      </c>
      <c r="S287">
        <v>1.075</v>
      </c>
      <c r="T287">
        <v>1.075</v>
      </c>
      <c r="U287">
        <v>0</v>
      </c>
      <c r="V287" s="6">
        <v>95.33</v>
      </c>
      <c r="W287" s="6">
        <v>44.67</v>
      </c>
      <c r="X287" s="6">
        <v>6.22</v>
      </c>
      <c r="Y287" s="6">
        <v>1382</v>
      </c>
      <c r="Z287" s="6">
        <v>319.77999999999997</v>
      </c>
      <c r="AA287" s="6">
        <v>11167.02</v>
      </c>
      <c r="AB287" s="6">
        <v>17</v>
      </c>
      <c r="AC287" s="6">
        <v>132.09</v>
      </c>
      <c r="AD287" s="6">
        <v>21.86</v>
      </c>
      <c r="AE287" s="6">
        <v>1752.67</v>
      </c>
      <c r="AF287" s="35">
        <v>0.13300000000000001</v>
      </c>
      <c r="AG287" s="35">
        <v>0.20469999999999999</v>
      </c>
      <c r="AH287">
        <v>1.06</v>
      </c>
      <c r="AI287">
        <v>1.06</v>
      </c>
      <c r="AJ287">
        <v>0</v>
      </c>
      <c r="AK287" s="35">
        <v>0.13</v>
      </c>
      <c r="AL287" s="35">
        <v>0.1875</v>
      </c>
    </row>
    <row r="288" spans="1:38">
      <c r="A288" t="s">
        <v>466</v>
      </c>
      <c r="B288" t="s">
        <v>467</v>
      </c>
      <c r="C288" t="s">
        <v>1088</v>
      </c>
      <c r="D288" s="6">
        <v>89.6</v>
      </c>
      <c r="E288" s="6">
        <v>1374.03</v>
      </c>
      <c r="F288" s="6">
        <v>340.31</v>
      </c>
      <c r="G288" s="6">
        <v>648.67999999999995</v>
      </c>
      <c r="H288" s="6">
        <v>651.54</v>
      </c>
      <c r="I288" s="6">
        <v>1202.03</v>
      </c>
      <c r="J288" s="6">
        <v>4216.59</v>
      </c>
      <c r="K288" s="6">
        <v>110.82</v>
      </c>
      <c r="L288" s="6">
        <v>17.63</v>
      </c>
      <c r="M288" s="6">
        <v>4528.4399999999996</v>
      </c>
      <c r="N288" s="6">
        <v>32.33</v>
      </c>
      <c r="O288" s="6">
        <v>6.11</v>
      </c>
      <c r="P288" s="6">
        <v>40.840000000000003</v>
      </c>
      <c r="Q288" s="6">
        <v>20.059999999999999</v>
      </c>
      <c r="R288" s="6">
        <v>84.06</v>
      </c>
      <c r="S288">
        <v>1.075</v>
      </c>
      <c r="T288">
        <v>1.075</v>
      </c>
      <c r="U288">
        <v>0</v>
      </c>
      <c r="V288" s="6">
        <v>51.89</v>
      </c>
      <c r="W288" s="6">
        <v>8.2200000000000006</v>
      </c>
      <c r="X288" s="6">
        <v>0.89</v>
      </c>
      <c r="Y288" s="6">
        <v>484.33</v>
      </c>
      <c r="Z288" s="6">
        <v>189.78</v>
      </c>
      <c r="AA288" s="6">
        <v>4619.3900000000003</v>
      </c>
      <c r="AB288" s="6">
        <v>17</v>
      </c>
      <c r="AC288" s="6">
        <v>132.49</v>
      </c>
      <c r="AD288" s="6">
        <v>21.93</v>
      </c>
      <c r="AE288" s="6">
        <v>683.22</v>
      </c>
      <c r="AF288" s="35">
        <v>0.1399</v>
      </c>
      <c r="AG288" s="35">
        <v>0.25629999999999997</v>
      </c>
      <c r="AH288">
        <v>1.06</v>
      </c>
      <c r="AI288">
        <v>1.06</v>
      </c>
      <c r="AJ288">
        <v>0</v>
      </c>
      <c r="AK288" s="35">
        <v>0.16750000000000001</v>
      </c>
      <c r="AL288" s="35">
        <v>0.23380000000000001</v>
      </c>
    </row>
    <row r="289" spans="1:38">
      <c r="A289" t="s">
        <v>343</v>
      </c>
      <c r="B289" t="s">
        <v>344</v>
      </c>
      <c r="C289" t="s">
        <v>1088</v>
      </c>
      <c r="D289" s="6">
        <v>48.2</v>
      </c>
      <c r="E289" s="6">
        <v>564.77</v>
      </c>
      <c r="F289" s="6">
        <v>140.36000000000001</v>
      </c>
      <c r="G289" s="6">
        <v>326.19</v>
      </c>
      <c r="H289" s="6">
        <v>290.89</v>
      </c>
      <c r="I289" s="6">
        <v>517.76</v>
      </c>
      <c r="J289" s="6">
        <v>1839.97</v>
      </c>
      <c r="K289" s="6">
        <v>51.98</v>
      </c>
      <c r="L289" s="6">
        <v>7.66</v>
      </c>
      <c r="M289" s="6">
        <v>1973.68</v>
      </c>
      <c r="N289" s="6">
        <v>13.96</v>
      </c>
      <c r="O289" s="6">
        <v>0.44</v>
      </c>
      <c r="P289" s="6">
        <v>37.229999999999997</v>
      </c>
      <c r="Q289" s="6">
        <v>14.01</v>
      </c>
      <c r="R289" s="6">
        <v>8.43</v>
      </c>
      <c r="S289">
        <v>1.1200000000000001</v>
      </c>
      <c r="T289">
        <v>1.1200000000000001</v>
      </c>
      <c r="U289">
        <v>0.02</v>
      </c>
      <c r="V289" s="6">
        <v>17</v>
      </c>
      <c r="W289" s="6">
        <v>15.67</v>
      </c>
      <c r="X289" s="6">
        <v>3.56</v>
      </c>
      <c r="Y289" s="6">
        <v>253.33</v>
      </c>
      <c r="Z289" s="6">
        <v>52.56</v>
      </c>
      <c r="AA289" s="6">
        <v>2023.99</v>
      </c>
      <c r="AB289" s="6">
        <v>17</v>
      </c>
      <c r="AC289" s="6">
        <v>130.55000000000001</v>
      </c>
      <c r="AD289" s="6">
        <v>21.61</v>
      </c>
      <c r="AE289" s="6">
        <v>325.12</v>
      </c>
      <c r="AF289" s="35">
        <v>0.1419</v>
      </c>
      <c r="AG289" s="35">
        <v>0.19040000000000001</v>
      </c>
      <c r="AH289">
        <v>1.1200000000000001</v>
      </c>
      <c r="AI289">
        <v>1.1200000000000001</v>
      </c>
      <c r="AJ289">
        <v>9.9999999999997868E-3</v>
      </c>
      <c r="AK289" s="35">
        <v>0.18079999999999999</v>
      </c>
      <c r="AL289" s="35">
        <v>0.17769999999999997</v>
      </c>
    </row>
    <row r="290" spans="1:38">
      <c r="A290" t="s">
        <v>566</v>
      </c>
      <c r="B290" t="s">
        <v>567</v>
      </c>
      <c r="C290" t="s">
        <v>1088</v>
      </c>
      <c r="D290" s="6">
        <v>61.1</v>
      </c>
      <c r="E290" s="6">
        <v>900.78</v>
      </c>
      <c r="F290" s="6">
        <v>228.81</v>
      </c>
      <c r="G290" s="6">
        <v>487.8</v>
      </c>
      <c r="H290" s="6">
        <v>455.11</v>
      </c>
      <c r="I290" s="6">
        <v>845.35</v>
      </c>
      <c r="J290" s="6">
        <v>2917.85</v>
      </c>
      <c r="K290" s="6">
        <v>93.12</v>
      </c>
      <c r="L290" s="6">
        <v>19.57</v>
      </c>
      <c r="M290" s="6">
        <v>3430.65</v>
      </c>
      <c r="N290" s="6">
        <v>20.49</v>
      </c>
      <c r="O290" s="6">
        <v>5.01</v>
      </c>
      <c r="P290" s="6">
        <v>200.57</v>
      </c>
      <c r="Q290" s="6">
        <v>77.790000000000006</v>
      </c>
      <c r="R290" s="6">
        <v>96.25</v>
      </c>
      <c r="S290">
        <v>1.1200000000000001</v>
      </c>
      <c r="T290">
        <v>1.1200000000000001</v>
      </c>
      <c r="U290">
        <v>0</v>
      </c>
      <c r="V290" s="6">
        <v>45.33</v>
      </c>
      <c r="W290" s="6">
        <v>12.89</v>
      </c>
      <c r="X290" s="6">
        <v>0</v>
      </c>
      <c r="Y290" s="6">
        <v>367.78</v>
      </c>
      <c r="Z290" s="6">
        <v>107.89</v>
      </c>
      <c r="AA290" s="6">
        <v>3498.9</v>
      </c>
      <c r="AB290" s="6">
        <v>17.02</v>
      </c>
      <c r="AC290" s="6">
        <v>128.84</v>
      </c>
      <c r="AD290" s="6">
        <v>21.33</v>
      </c>
      <c r="AE290" s="6">
        <v>488.56</v>
      </c>
      <c r="AF290" s="35">
        <v>0.14910000000000001</v>
      </c>
      <c r="AG290" s="35">
        <v>0.17879999999999999</v>
      </c>
      <c r="AH290">
        <v>1.1200000000000001</v>
      </c>
      <c r="AI290">
        <v>1.1200000000000001</v>
      </c>
      <c r="AJ290">
        <v>0</v>
      </c>
      <c r="AK290" s="35">
        <v>0.1487</v>
      </c>
      <c r="AL290" s="35">
        <v>0.18789999999999996</v>
      </c>
    </row>
    <row r="291" spans="1:38">
      <c r="A291" t="s">
        <v>588</v>
      </c>
      <c r="B291" t="s">
        <v>589</v>
      </c>
      <c r="C291" t="s">
        <v>1088</v>
      </c>
      <c r="D291" s="6">
        <v>30</v>
      </c>
      <c r="E291" s="6">
        <v>494.11</v>
      </c>
      <c r="F291" s="6">
        <v>128.4</v>
      </c>
      <c r="G291" s="6">
        <v>210.49</v>
      </c>
      <c r="H291" s="6">
        <v>251.25</v>
      </c>
      <c r="I291" s="6">
        <v>437</v>
      </c>
      <c r="J291" s="6">
        <v>1521.25</v>
      </c>
      <c r="K291" s="6">
        <v>52.72</v>
      </c>
      <c r="L291" s="6">
        <v>3.55</v>
      </c>
      <c r="M291" s="6">
        <v>1813.25</v>
      </c>
      <c r="N291" s="6">
        <v>15.96</v>
      </c>
      <c r="O291" s="6">
        <v>1.04</v>
      </c>
      <c r="P291" s="6">
        <v>167.44</v>
      </c>
      <c r="Q291" s="6">
        <v>51.29</v>
      </c>
      <c r="R291" s="6">
        <v>0</v>
      </c>
      <c r="S291">
        <v>1.1200000000000001</v>
      </c>
      <c r="T291">
        <v>1.1200000000000001</v>
      </c>
      <c r="U291">
        <v>0</v>
      </c>
      <c r="V291" s="6">
        <v>23.78</v>
      </c>
      <c r="W291" s="6">
        <v>2.2200000000000002</v>
      </c>
      <c r="X291" s="6">
        <v>0.89</v>
      </c>
      <c r="Y291" s="6">
        <v>171.44</v>
      </c>
      <c r="Z291" s="6">
        <v>39.56</v>
      </c>
      <c r="AA291" s="6">
        <v>1864.31</v>
      </c>
      <c r="AB291" s="6">
        <v>18.57</v>
      </c>
      <c r="AC291" s="6">
        <v>129.81</v>
      </c>
      <c r="AD291" s="6">
        <v>21.49</v>
      </c>
      <c r="AE291" s="6">
        <v>214.11</v>
      </c>
      <c r="AF291" s="35">
        <v>0.26550000000000001</v>
      </c>
      <c r="AG291" s="35">
        <v>0.21149999999999999</v>
      </c>
      <c r="AH291">
        <v>1.1200000000000001</v>
      </c>
      <c r="AI291">
        <v>1.1200000000000001</v>
      </c>
      <c r="AJ291">
        <v>0</v>
      </c>
      <c r="AK291" s="35">
        <v>0.25169999999999998</v>
      </c>
      <c r="AL291" s="35">
        <v>0.1925</v>
      </c>
    </row>
    <row r="292" spans="1:38">
      <c r="A292" t="s">
        <v>625</v>
      </c>
      <c r="B292" t="s">
        <v>626</v>
      </c>
      <c r="C292" t="s">
        <v>1088</v>
      </c>
      <c r="D292" s="6">
        <v>43.4</v>
      </c>
      <c r="E292" s="6">
        <v>601.96</v>
      </c>
      <c r="F292" s="6">
        <v>173.2</v>
      </c>
      <c r="G292" s="6">
        <v>307.55</v>
      </c>
      <c r="H292" s="6">
        <v>287.38</v>
      </c>
      <c r="I292" s="6">
        <v>477.33</v>
      </c>
      <c r="J292" s="6">
        <v>1847.42</v>
      </c>
      <c r="K292" s="6">
        <v>17.48</v>
      </c>
      <c r="L292" s="6">
        <v>3.62</v>
      </c>
      <c r="M292" s="6">
        <v>1883.12</v>
      </c>
      <c r="N292" s="6">
        <v>13.9</v>
      </c>
      <c r="O292" s="6">
        <v>0.7</v>
      </c>
      <c r="P292" s="6">
        <v>0</v>
      </c>
      <c r="Q292" s="6">
        <v>0</v>
      </c>
      <c r="R292" s="6">
        <v>0</v>
      </c>
      <c r="S292">
        <v>1.06</v>
      </c>
      <c r="T292">
        <v>1.06</v>
      </c>
      <c r="U292">
        <v>0</v>
      </c>
      <c r="V292" s="6">
        <v>26.44</v>
      </c>
      <c r="W292" s="6">
        <v>6.78</v>
      </c>
      <c r="X292" s="6">
        <v>0.44</v>
      </c>
      <c r="Y292" s="6">
        <v>180.56</v>
      </c>
      <c r="Z292" s="6">
        <v>121.11</v>
      </c>
      <c r="AA292" s="6">
        <v>1927.05</v>
      </c>
      <c r="AB292" s="6">
        <v>17</v>
      </c>
      <c r="AC292" s="6">
        <v>129.49</v>
      </c>
      <c r="AD292" s="6">
        <v>21.43</v>
      </c>
      <c r="AE292" s="6">
        <v>308.89</v>
      </c>
      <c r="AF292" s="35">
        <v>0.15629999999999999</v>
      </c>
      <c r="AG292" s="35">
        <v>0.2485</v>
      </c>
      <c r="AH292">
        <v>1.06</v>
      </c>
      <c r="AI292">
        <v>1.06</v>
      </c>
      <c r="AJ292">
        <v>0</v>
      </c>
      <c r="AK292" s="35">
        <v>0.1452</v>
      </c>
      <c r="AL292" s="35">
        <v>0.255</v>
      </c>
    </row>
    <row r="293" spans="1:38">
      <c r="A293" t="s">
        <v>606</v>
      </c>
      <c r="B293" t="s">
        <v>607</v>
      </c>
      <c r="C293" t="s">
        <v>1088</v>
      </c>
      <c r="D293" s="6">
        <v>0</v>
      </c>
      <c r="E293" s="6">
        <v>446.8</v>
      </c>
      <c r="F293" s="6">
        <v>106.69</v>
      </c>
      <c r="G293" s="6">
        <v>264.2</v>
      </c>
      <c r="H293" s="6">
        <v>248.51</v>
      </c>
      <c r="I293" s="6">
        <v>412.62</v>
      </c>
      <c r="J293" s="6">
        <v>1478.82</v>
      </c>
      <c r="K293" s="6">
        <v>33.72</v>
      </c>
      <c r="L293" s="6">
        <v>3.4</v>
      </c>
      <c r="M293" s="6">
        <v>1560.71</v>
      </c>
      <c r="N293" s="6">
        <v>14.49</v>
      </c>
      <c r="O293" s="6">
        <v>3.71</v>
      </c>
      <c r="P293" s="6">
        <v>23.28</v>
      </c>
      <c r="Q293" s="6">
        <v>3.29</v>
      </c>
      <c r="R293" s="6">
        <v>0</v>
      </c>
      <c r="S293">
        <v>1.0900000000000001</v>
      </c>
      <c r="T293">
        <v>1.0900000000000001</v>
      </c>
      <c r="U293">
        <v>0</v>
      </c>
      <c r="V293" s="6">
        <v>36.22</v>
      </c>
      <c r="W293" s="6">
        <v>0</v>
      </c>
      <c r="X293" s="6">
        <v>0</v>
      </c>
      <c r="Y293" s="6">
        <v>216.22</v>
      </c>
      <c r="Z293" s="6">
        <v>76.56</v>
      </c>
      <c r="AA293" s="6">
        <v>1560.7</v>
      </c>
      <c r="AB293" s="6">
        <v>17</v>
      </c>
      <c r="AC293" s="6">
        <v>131.97999999999999</v>
      </c>
      <c r="AD293" s="6">
        <v>21.84</v>
      </c>
      <c r="AE293" s="6">
        <v>292.77999999999997</v>
      </c>
      <c r="AF293" s="35">
        <v>0.1431</v>
      </c>
      <c r="AG293" s="35">
        <v>0.19489999999999999</v>
      </c>
      <c r="AH293">
        <v>1.06</v>
      </c>
      <c r="AI293">
        <v>1.06</v>
      </c>
      <c r="AJ293">
        <v>0</v>
      </c>
      <c r="AK293" s="35">
        <v>0.1678</v>
      </c>
      <c r="AL293" s="35">
        <v>0.20950000000000002</v>
      </c>
    </row>
    <row r="294" spans="1:38">
      <c r="A294" t="s">
        <v>1020</v>
      </c>
      <c r="B294" t="s">
        <v>1021</v>
      </c>
      <c r="C294" t="s">
        <v>1088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62.94</v>
      </c>
      <c r="J294" s="6">
        <v>62.94</v>
      </c>
      <c r="K294" s="6">
        <v>10.130000000000001</v>
      </c>
      <c r="L294" s="6">
        <v>1.89</v>
      </c>
      <c r="M294" s="6">
        <v>74.959999999999994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>
        <v>1.075</v>
      </c>
      <c r="T294">
        <v>1.075</v>
      </c>
      <c r="U294">
        <v>0</v>
      </c>
      <c r="V294" s="6">
        <v>0</v>
      </c>
      <c r="W294" s="6">
        <v>0</v>
      </c>
      <c r="X294" s="6">
        <v>0</v>
      </c>
      <c r="Y294" s="6">
        <v>22.11</v>
      </c>
      <c r="Z294" s="6">
        <v>0</v>
      </c>
      <c r="AA294" s="6">
        <v>74.95</v>
      </c>
      <c r="AB294" s="6">
        <v>25.23</v>
      </c>
      <c r="AC294" s="6">
        <v>132.09</v>
      </c>
      <c r="AD294" s="6">
        <v>21.86</v>
      </c>
      <c r="AE294" s="6">
        <v>22.11</v>
      </c>
      <c r="AF294" s="35">
        <v>0.14399999999999999</v>
      </c>
      <c r="AG294" s="35">
        <v>0.13</v>
      </c>
      <c r="AH294">
        <v>1.06</v>
      </c>
      <c r="AI294">
        <v>1.06</v>
      </c>
      <c r="AJ294">
        <v>0</v>
      </c>
      <c r="AK294" s="35">
        <v>0.14979999999999999</v>
      </c>
      <c r="AL294" s="35">
        <v>0.13</v>
      </c>
    </row>
    <row r="295" spans="1:38">
      <c r="A295" t="s">
        <v>897</v>
      </c>
      <c r="B295" t="s">
        <v>898</v>
      </c>
      <c r="C295" t="s">
        <v>1088</v>
      </c>
      <c r="D295" s="6">
        <v>0</v>
      </c>
      <c r="E295" s="6">
        <v>123</v>
      </c>
      <c r="F295" s="6">
        <v>40.5</v>
      </c>
      <c r="G295" s="6">
        <v>57.2</v>
      </c>
      <c r="H295" s="6">
        <v>59.1</v>
      </c>
      <c r="I295" s="6">
        <v>119.48</v>
      </c>
      <c r="J295" s="6">
        <v>399.28</v>
      </c>
      <c r="K295" s="6">
        <v>0</v>
      </c>
      <c r="L295" s="6">
        <v>0</v>
      </c>
      <c r="M295" s="6">
        <v>399.28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>
        <v>1.075</v>
      </c>
      <c r="T295">
        <v>1.075</v>
      </c>
      <c r="U295">
        <v>0</v>
      </c>
      <c r="V295" s="6">
        <v>15.89</v>
      </c>
      <c r="W295" s="6">
        <v>0</v>
      </c>
      <c r="X295" s="6">
        <v>0</v>
      </c>
      <c r="Y295" s="6">
        <v>111.78</v>
      </c>
      <c r="Z295" s="6">
        <v>28.11</v>
      </c>
      <c r="AA295" s="6">
        <v>399.28</v>
      </c>
      <c r="AB295" s="6">
        <v>17.57</v>
      </c>
      <c r="AC295" s="6">
        <v>132.09</v>
      </c>
      <c r="AD295" s="6">
        <v>21.86</v>
      </c>
      <c r="AE295" s="6">
        <v>139.88999999999999</v>
      </c>
      <c r="AF295" s="35">
        <v>0</v>
      </c>
      <c r="AG295" s="35">
        <v>0.17130000000000001</v>
      </c>
      <c r="AH295">
        <v>1.06</v>
      </c>
      <c r="AI295">
        <v>1.06</v>
      </c>
      <c r="AJ295">
        <v>0</v>
      </c>
      <c r="AK295" s="35">
        <v>0.14979999999999999</v>
      </c>
      <c r="AL295" s="35">
        <v>0.14659999999999995</v>
      </c>
    </row>
    <row r="296" spans="1:38">
      <c r="A296" t="s">
        <v>540</v>
      </c>
      <c r="B296" t="s">
        <v>541</v>
      </c>
      <c r="C296" t="s">
        <v>1088</v>
      </c>
      <c r="D296" s="6">
        <v>2.42</v>
      </c>
      <c r="E296" s="6">
        <v>20.100000000000001</v>
      </c>
      <c r="F296" s="6">
        <v>6.7</v>
      </c>
      <c r="G296" s="6">
        <v>10.4</v>
      </c>
      <c r="H296" s="6">
        <v>8.1999999999999993</v>
      </c>
      <c r="I296" s="6">
        <v>27.87</v>
      </c>
      <c r="J296" s="6">
        <v>73.27</v>
      </c>
      <c r="K296" s="6">
        <v>1.1599999999999999</v>
      </c>
      <c r="L296" s="6">
        <v>0</v>
      </c>
      <c r="M296" s="6">
        <v>74.430000000000007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>
        <v>1</v>
      </c>
      <c r="T296">
        <v>1</v>
      </c>
      <c r="U296">
        <v>0.02</v>
      </c>
      <c r="V296" s="6">
        <v>0.33</v>
      </c>
      <c r="W296" s="6">
        <v>0.22</v>
      </c>
      <c r="X296" s="6">
        <v>0.78</v>
      </c>
      <c r="Y296" s="6">
        <v>11.78</v>
      </c>
      <c r="Z296" s="6">
        <v>0.33</v>
      </c>
      <c r="AA296" s="6">
        <v>76.849999999999994</v>
      </c>
      <c r="AB296" s="6">
        <v>17</v>
      </c>
      <c r="AC296" s="6">
        <v>122.68</v>
      </c>
      <c r="AD296" s="6">
        <v>20.309999999999999</v>
      </c>
      <c r="AE296" s="6">
        <v>13.11</v>
      </c>
      <c r="AF296" s="35">
        <v>0.25090000000000001</v>
      </c>
      <c r="AG296" s="35">
        <v>0.14499999999999999</v>
      </c>
      <c r="AH296">
        <v>1</v>
      </c>
      <c r="AI296">
        <v>1</v>
      </c>
      <c r="AJ296">
        <v>1.0000000000000009E-2</v>
      </c>
      <c r="AK296" s="35">
        <v>0.25190000000000001</v>
      </c>
      <c r="AL296" s="35">
        <v>9.9999999999999978E-2</v>
      </c>
    </row>
    <row r="297" spans="1:38">
      <c r="A297" t="s">
        <v>552</v>
      </c>
      <c r="B297" t="s">
        <v>553</v>
      </c>
      <c r="C297" t="s">
        <v>1088</v>
      </c>
      <c r="D297" s="6">
        <v>0</v>
      </c>
      <c r="E297" s="6">
        <v>0</v>
      </c>
      <c r="F297" s="6">
        <v>0</v>
      </c>
      <c r="G297" s="6">
        <v>13.9</v>
      </c>
      <c r="H297" s="6">
        <v>10.3</v>
      </c>
      <c r="I297" s="6">
        <v>0</v>
      </c>
      <c r="J297" s="6">
        <v>24.2</v>
      </c>
      <c r="K297" s="6">
        <v>0</v>
      </c>
      <c r="L297" s="6">
        <v>0</v>
      </c>
      <c r="M297" s="6">
        <v>24.2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>
        <v>1</v>
      </c>
      <c r="T297">
        <v>1</v>
      </c>
      <c r="U297">
        <v>0</v>
      </c>
      <c r="V297" s="6">
        <v>0</v>
      </c>
      <c r="W297" s="6">
        <v>0</v>
      </c>
      <c r="X297" s="6">
        <v>0</v>
      </c>
      <c r="Y297" s="6">
        <v>5.56</v>
      </c>
      <c r="Z297" s="6">
        <v>2.11</v>
      </c>
      <c r="AA297" s="6">
        <v>24.2</v>
      </c>
      <c r="AB297" s="6">
        <v>25.23</v>
      </c>
      <c r="AC297" s="6">
        <v>129.1</v>
      </c>
      <c r="AD297" s="6">
        <v>21.37</v>
      </c>
      <c r="AE297" s="6">
        <v>7.67</v>
      </c>
      <c r="AF297" s="35">
        <v>0.2974</v>
      </c>
      <c r="AG297" s="35">
        <v>0.1671</v>
      </c>
      <c r="AH297">
        <v>1</v>
      </c>
      <c r="AI297">
        <v>1</v>
      </c>
      <c r="AJ297">
        <v>0</v>
      </c>
      <c r="AK297" s="35">
        <v>0.31369999999999998</v>
      </c>
      <c r="AL297" s="35">
        <v>0.27500000000000002</v>
      </c>
    </row>
    <row r="298" spans="1:38">
      <c r="A298" t="s">
        <v>815</v>
      </c>
      <c r="B298" t="s">
        <v>816</v>
      </c>
      <c r="C298" t="s">
        <v>1088</v>
      </c>
      <c r="D298" s="6">
        <v>5.9</v>
      </c>
      <c r="E298" s="6">
        <v>50.3</v>
      </c>
      <c r="F298" s="6">
        <v>11</v>
      </c>
      <c r="G298" s="6">
        <v>36.4</v>
      </c>
      <c r="H298" s="6">
        <v>37.1</v>
      </c>
      <c r="I298" s="6">
        <v>42.3</v>
      </c>
      <c r="J298" s="6">
        <v>177.1</v>
      </c>
      <c r="K298" s="6">
        <v>4.83</v>
      </c>
      <c r="L298" s="6">
        <v>0</v>
      </c>
      <c r="M298" s="6">
        <v>190.97</v>
      </c>
      <c r="N298" s="6">
        <v>0</v>
      </c>
      <c r="O298" s="6">
        <v>0</v>
      </c>
      <c r="P298" s="6">
        <v>0</v>
      </c>
      <c r="Q298" s="6">
        <v>0</v>
      </c>
      <c r="R298" s="6">
        <v>9.0399999999999991</v>
      </c>
      <c r="S298">
        <v>1</v>
      </c>
      <c r="T298">
        <v>1</v>
      </c>
      <c r="U298">
        <v>0.02</v>
      </c>
      <c r="V298" s="6">
        <v>0.44</v>
      </c>
      <c r="W298" s="6">
        <v>0.89</v>
      </c>
      <c r="X298" s="6">
        <v>0</v>
      </c>
      <c r="Y298" s="6">
        <v>34</v>
      </c>
      <c r="Z298" s="6">
        <v>4.78</v>
      </c>
      <c r="AA298" s="6">
        <v>196.87</v>
      </c>
      <c r="AB298" s="6">
        <v>17</v>
      </c>
      <c r="AC298" s="6">
        <v>118.78</v>
      </c>
      <c r="AD298" s="6">
        <v>19.66</v>
      </c>
      <c r="AE298" s="6">
        <v>39.67</v>
      </c>
      <c r="AF298" s="35">
        <v>0.1913</v>
      </c>
      <c r="AG298" s="35">
        <v>0.1492</v>
      </c>
      <c r="AH298">
        <v>1</v>
      </c>
      <c r="AI298">
        <v>1</v>
      </c>
      <c r="AJ298">
        <v>1.0000000000000009E-2</v>
      </c>
      <c r="AK298" s="35">
        <v>0.2354</v>
      </c>
      <c r="AL298" s="35">
        <v>0.1351</v>
      </c>
    </row>
    <row r="299" spans="1:38">
      <c r="A299" t="s">
        <v>703</v>
      </c>
      <c r="B299" t="s">
        <v>704</v>
      </c>
      <c r="C299" t="s">
        <v>1088</v>
      </c>
      <c r="D299" s="6">
        <v>0</v>
      </c>
      <c r="E299" s="6">
        <v>802.12</v>
      </c>
      <c r="F299" s="6">
        <v>170.8</v>
      </c>
      <c r="G299" s="6">
        <v>416.78</v>
      </c>
      <c r="H299" s="6">
        <v>404.55</v>
      </c>
      <c r="I299" s="6">
        <v>773.31</v>
      </c>
      <c r="J299" s="6">
        <v>2567.56</v>
      </c>
      <c r="K299" s="6">
        <v>42.34</v>
      </c>
      <c r="L299" s="6">
        <v>2.1800000000000002</v>
      </c>
      <c r="M299" s="6">
        <v>2620.7199999999998</v>
      </c>
      <c r="N299" s="6">
        <v>2.2999999999999998</v>
      </c>
      <c r="O299" s="6">
        <v>0</v>
      </c>
      <c r="P299" s="6">
        <v>0</v>
      </c>
      <c r="Q299" s="6">
        <v>0</v>
      </c>
      <c r="R299" s="6">
        <v>6.34</v>
      </c>
      <c r="S299">
        <v>1</v>
      </c>
      <c r="T299">
        <v>1</v>
      </c>
      <c r="U299">
        <v>0</v>
      </c>
      <c r="V299" s="6">
        <v>36.11</v>
      </c>
      <c r="W299" s="6">
        <v>0</v>
      </c>
      <c r="X299" s="6">
        <v>0</v>
      </c>
      <c r="Y299" s="6">
        <v>266.56</v>
      </c>
      <c r="Z299" s="6">
        <v>88.78</v>
      </c>
      <c r="AA299" s="6">
        <v>2621.2800000000002</v>
      </c>
      <c r="AB299" s="6">
        <v>17</v>
      </c>
      <c r="AC299" s="6">
        <v>129.25</v>
      </c>
      <c r="AD299" s="6">
        <v>21.39</v>
      </c>
      <c r="AE299" s="6">
        <v>355.34</v>
      </c>
      <c r="AF299" s="35">
        <v>0.2011</v>
      </c>
      <c r="AG299" s="35">
        <v>0.19819999999999999</v>
      </c>
      <c r="AH299">
        <v>1</v>
      </c>
      <c r="AI299">
        <v>1</v>
      </c>
      <c r="AJ299">
        <v>0</v>
      </c>
      <c r="AK299" s="35">
        <v>0.20660000000000001</v>
      </c>
      <c r="AL299" s="35">
        <v>0.20909999999999995</v>
      </c>
    </row>
    <row r="300" spans="1:38">
      <c r="A300" t="s">
        <v>390</v>
      </c>
      <c r="B300" t="s">
        <v>391</v>
      </c>
      <c r="C300" t="s">
        <v>1088</v>
      </c>
      <c r="D300" s="6">
        <v>17.25</v>
      </c>
      <c r="E300" s="6">
        <v>141.9</v>
      </c>
      <c r="F300" s="6">
        <v>29.6</v>
      </c>
      <c r="G300" s="6">
        <v>85.5</v>
      </c>
      <c r="H300" s="6">
        <v>87.3</v>
      </c>
      <c r="I300" s="6">
        <v>163.96</v>
      </c>
      <c r="J300" s="6">
        <v>508.26</v>
      </c>
      <c r="K300" s="6">
        <v>2.95</v>
      </c>
      <c r="L300" s="6">
        <v>0.01</v>
      </c>
      <c r="M300" s="6">
        <v>511.22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>
        <v>1</v>
      </c>
      <c r="T300">
        <v>1</v>
      </c>
      <c r="U300">
        <v>0.04</v>
      </c>
      <c r="V300" s="6">
        <v>2.44</v>
      </c>
      <c r="W300" s="6">
        <v>0</v>
      </c>
      <c r="X300" s="6">
        <v>0</v>
      </c>
      <c r="Y300" s="6">
        <v>50</v>
      </c>
      <c r="Z300" s="6">
        <v>16.440000000000001</v>
      </c>
      <c r="AA300" s="6">
        <v>528.47</v>
      </c>
      <c r="AB300" s="6">
        <v>17</v>
      </c>
      <c r="AC300" s="6">
        <v>122.75</v>
      </c>
      <c r="AD300" s="6">
        <v>20.32</v>
      </c>
      <c r="AE300" s="6">
        <v>66.44</v>
      </c>
      <c r="AF300" s="35">
        <v>0.23530000000000001</v>
      </c>
      <c r="AG300" s="35">
        <v>0.20699999999999999</v>
      </c>
      <c r="AH300">
        <v>1</v>
      </c>
      <c r="AI300">
        <v>1</v>
      </c>
      <c r="AJ300">
        <v>4.0000000000000036E-2</v>
      </c>
      <c r="AK300" s="35">
        <v>0.2429</v>
      </c>
      <c r="AL300" s="35">
        <v>0.18340000000000001</v>
      </c>
    </row>
    <row r="301" spans="1:38">
      <c r="A301" s="34" t="s">
        <v>679</v>
      </c>
      <c r="B301" s="34" t="s">
        <v>680</v>
      </c>
      <c r="C301" t="s">
        <v>1088</v>
      </c>
      <c r="D301" s="6">
        <v>12.15</v>
      </c>
      <c r="E301" s="6">
        <v>45.1</v>
      </c>
      <c r="F301" s="6">
        <v>17.3</v>
      </c>
      <c r="G301" s="6">
        <v>21.9</v>
      </c>
      <c r="H301" s="6">
        <v>27.2</v>
      </c>
      <c r="I301" s="6">
        <v>44.15</v>
      </c>
      <c r="J301" s="6">
        <v>155.65</v>
      </c>
      <c r="K301" s="6">
        <v>3.33</v>
      </c>
      <c r="L301" s="6">
        <v>0.28999999999999998</v>
      </c>
      <c r="M301" s="6">
        <v>159.27000000000001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>
        <v>1</v>
      </c>
      <c r="T301">
        <v>1</v>
      </c>
      <c r="U301">
        <v>0</v>
      </c>
      <c r="V301" s="6">
        <v>0.33</v>
      </c>
      <c r="W301" s="6">
        <v>0</v>
      </c>
      <c r="X301" s="6">
        <v>0</v>
      </c>
      <c r="Y301" s="6">
        <v>17.559999999999999</v>
      </c>
      <c r="Z301" s="6">
        <v>2.78</v>
      </c>
      <c r="AA301" s="6">
        <v>171.42</v>
      </c>
      <c r="AB301" s="6">
        <v>17</v>
      </c>
      <c r="AC301" s="6">
        <v>125.45</v>
      </c>
      <c r="AD301" s="6">
        <v>20.76</v>
      </c>
      <c r="AE301" s="6">
        <v>20.34</v>
      </c>
      <c r="AF301" s="35">
        <v>0.24840000000000001</v>
      </c>
      <c r="AG301" s="35">
        <v>0.2036</v>
      </c>
      <c r="AH301">
        <v>1</v>
      </c>
      <c r="AI301">
        <v>1</v>
      </c>
      <c r="AJ301">
        <v>0</v>
      </c>
      <c r="AK301" s="35">
        <v>0.2311</v>
      </c>
      <c r="AL301" s="35">
        <v>0.14170000000000005</v>
      </c>
    </row>
    <row r="302" spans="1:38">
      <c r="A302" t="s">
        <v>476</v>
      </c>
      <c r="B302" t="s">
        <v>477</v>
      </c>
      <c r="C302" t="s">
        <v>1088</v>
      </c>
      <c r="D302" s="6">
        <v>0</v>
      </c>
      <c r="E302" s="6">
        <v>28</v>
      </c>
      <c r="F302" s="6">
        <v>10.5</v>
      </c>
      <c r="G302" s="6">
        <v>16.5</v>
      </c>
      <c r="H302" s="6">
        <v>18.3</v>
      </c>
      <c r="I302" s="6">
        <v>36.57</v>
      </c>
      <c r="J302" s="6">
        <v>109.87</v>
      </c>
      <c r="K302" s="6">
        <v>1.1599999999999999</v>
      </c>
      <c r="L302" s="6">
        <v>0</v>
      </c>
      <c r="M302" s="6">
        <v>111.03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>
        <v>1</v>
      </c>
      <c r="T302">
        <v>1</v>
      </c>
      <c r="U302">
        <v>0</v>
      </c>
      <c r="V302" s="6">
        <v>0.33</v>
      </c>
      <c r="W302" s="6">
        <v>0</v>
      </c>
      <c r="X302" s="6">
        <v>0</v>
      </c>
      <c r="Y302" s="6">
        <v>13.44</v>
      </c>
      <c r="Z302" s="6">
        <v>5</v>
      </c>
      <c r="AA302" s="6">
        <v>111.03</v>
      </c>
      <c r="AB302" s="6">
        <v>17</v>
      </c>
      <c r="AC302" s="6">
        <v>132.12</v>
      </c>
      <c r="AD302" s="6">
        <v>21.87</v>
      </c>
      <c r="AE302" s="6">
        <v>18.440000000000001</v>
      </c>
      <c r="AF302" s="35">
        <v>0.27939999999999998</v>
      </c>
      <c r="AG302" s="35">
        <v>0.13600000000000001</v>
      </c>
      <c r="AH302">
        <v>1</v>
      </c>
      <c r="AI302">
        <v>1</v>
      </c>
      <c r="AJ302">
        <v>0</v>
      </c>
      <c r="AK302" s="35">
        <v>0.28110000000000002</v>
      </c>
      <c r="AL302" s="35">
        <v>0.17410000000000003</v>
      </c>
    </row>
    <row r="303" spans="1:38">
      <c r="A303" t="s">
        <v>797</v>
      </c>
      <c r="B303" t="s">
        <v>798</v>
      </c>
      <c r="C303" t="s">
        <v>1088</v>
      </c>
      <c r="D303" s="6">
        <v>4</v>
      </c>
      <c r="E303" s="6">
        <v>11</v>
      </c>
      <c r="F303" s="6">
        <v>4.9000000000000004</v>
      </c>
      <c r="G303" s="6">
        <v>3.4</v>
      </c>
      <c r="H303" s="6">
        <v>7</v>
      </c>
      <c r="I303" s="6">
        <v>0</v>
      </c>
      <c r="J303" s="6">
        <v>26.3</v>
      </c>
      <c r="K303" s="6">
        <v>0</v>
      </c>
      <c r="L303" s="6">
        <v>0</v>
      </c>
      <c r="M303" s="6">
        <v>26.3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>
        <v>1</v>
      </c>
      <c r="T303">
        <v>1</v>
      </c>
      <c r="U303">
        <v>0.04</v>
      </c>
      <c r="V303" s="6">
        <v>0</v>
      </c>
      <c r="W303" s="6">
        <v>0</v>
      </c>
      <c r="X303" s="6">
        <v>0</v>
      </c>
      <c r="Y303" s="6">
        <v>7.33</v>
      </c>
      <c r="Z303" s="6">
        <v>0.11</v>
      </c>
      <c r="AA303" s="6">
        <v>30.3</v>
      </c>
      <c r="AB303" s="6">
        <v>17</v>
      </c>
      <c r="AC303" s="6">
        <v>121.75</v>
      </c>
      <c r="AD303" s="6">
        <v>20.149999999999999</v>
      </c>
      <c r="AE303" s="6">
        <v>7.44</v>
      </c>
      <c r="AF303" s="35">
        <v>0.2949</v>
      </c>
      <c r="AG303" s="35">
        <v>0.1133</v>
      </c>
      <c r="AH303">
        <v>1</v>
      </c>
      <c r="AI303">
        <v>1</v>
      </c>
      <c r="AJ303">
        <v>4.0000000000000036E-2</v>
      </c>
      <c r="AK303" s="35">
        <v>0.29649999999999999</v>
      </c>
      <c r="AL303" s="35">
        <v>0.10140000000000005</v>
      </c>
    </row>
    <row r="304" spans="1:38" s="34" customFormat="1">
      <c r="A304" t="s">
        <v>394</v>
      </c>
      <c r="B304" t="s">
        <v>395</v>
      </c>
      <c r="C304" t="s">
        <v>1088</v>
      </c>
      <c r="D304" s="6">
        <v>14.7</v>
      </c>
      <c r="E304" s="6">
        <v>44</v>
      </c>
      <c r="F304" s="6">
        <v>8</v>
      </c>
      <c r="G304" s="6">
        <v>28.2</v>
      </c>
      <c r="H304" s="6">
        <v>15.98</v>
      </c>
      <c r="I304" s="6">
        <v>31.15</v>
      </c>
      <c r="J304" s="6">
        <v>127.33</v>
      </c>
      <c r="K304" s="6">
        <v>0</v>
      </c>
      <c r="L304" s="6">
        <v>0</v>
      </c>
      <c r="M304" s="6">
        <v>127.33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>
        <v>1</v>
      </c>
      <c r="T304">
        <v>1</v>
      </c>
      <c r="U304">
        <v>0.02</v>
      </c>
      <c r="V304" s="6">
        <v>3</v>
      </c>
      <c r="W304" s="6">
        <v>0.89</v>
      </c>
      <c r="X304" s="6">
        <v>0</v>
      </c>
      <c r="Y304" s="6">
        <v>25.44</v>
      </c>
      <c r="Z304" s="6">
        <v>1</v>
      </c>
      <c r="AA304" s="6">
        <v>142.03</v>
      </c>
      <c r="AB304" s="6">
        <v>17</v>
      </c>
      <c r="AC304" s="6">
        <v>131.04</v>
      </c>
      <c r="AD304" s="6">
        <v>21.69</v>
      </c>
      <c r="AE304" s="6">
        <v>27.33</v>
      </c>
      <c r="AF304" s="35">
        <v>0.1784</v>
      </c>
      <c r="AG304" s="35">
        <v>0.1089</v>
      </c>
      <c r="AH304">
        <v>1</v>
      </c>
      <c r="AI304">
        <v>1</v>
      </c>
      <c r="AJ304">
        <v>1.0000000000000009E-2</v>
      </c>
      <c r="AK304" s="35">
        <v>0.24479999999999999</v>
      </c>
      <c r="AL304" s="35">
        <v>0.14729999999999999</v>
      </c>
    </row>
    <row r="305" spans="1:38" s="34" customFormat="1">
      <c r="A305" t="s">
        <v>448</v>
      </c>
      <c r="B305" t="s">
        <v>449</v>
      </c>
      <c r="C305" t="s">
        <v>1088</v>
      </c>
      <c r="D305" s="6">
        <v>0</v>
      </c>
      <c r="E305" s="6">
        <v>27.5</v>
      </c>
      <c r="F305" s="6">
        <v>7</v>
      </c>
      <c r="G305" s="6">
        <v>12.2</v>
      </c>
      <c r="H305" s="6">
        <v>12.1</v>
      </c>
      <c r="I305" s="6">
        <v>17.93</v>
      </c>
      <c r="J305" s="6">
        <v>76.73</v>
      </c>
      <c r="K305" s="6">
        <v>0.74</v>
      </c>
      <c r="L305" s="6">
        <v>0</v>
      </c>
      <c r="M305" s="6">
        <v>77.47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>
        <v>1</v>
      </c>
      <c r="T305">
        <v>1</v>
      </c>
      <c r="U305">
        <v>0</v>
      </c>
      <c r="V305" s="6">
        <v>0</v>
      </c>
      <c r="W305" s="6">
        <v>0</v>
      </c>
      <c r="X305" s="6">
        <v>0</v>
      </c>
      <c r="Y305" s="6">
        <v>16.78</v>
      </c>
      <c r="Z305" s="6">
        <v>4.5599999999999996</v>
      </c>
      <c r="AA305" s="6">
        <v>77.47</v>
      </c>
      <c r="AB305" s="6">
        <v>17</v>
      </c>
      <c r="AC305" s="6">
        <v>136.38999999999999</v>
      </c>
      <c r="AD305" s="6">
        <v>22.57</v>
      </c>
      <c r="AE305" s="6">
        <v>21.34</v>
      </c>
      <c r="AF305" s="35">
        <v>0.2616</v>
      </c>
      <c r="AG305" s="35">
        <v>0.15479999999999999</v>
      </c>
      <c r="AH305">
        <v>1</v>
      </c>
      <c r="AI305">
        <v>1</v>
      </c>
      <c r="AJ305">
        <v>0</v>
      </c>
      <c r="AK305" s="35">
        <v>0.29249999999999998</v>
      </c>
      <c r="AL305" s="35">
        <v>0.15139999999999998</v>
      </c>
    </row>
    <row r="306" spans="1:38" s="34" customFormat="1">
      <c r="A306" t="s">
        <v>739</v>
      </c>
      <c r="B306" t="s">
        <v>740</v>
      </c>
      <c r="C306" t="s">
        <v>1088</v>
      </c>
      <c r="D306" s="6">
        <v>0</v>
      </c>
      <c r="E306" s="6">
        <v>44.8</v>
      </c>
      <c r="F306" s="6">
        <v>15.5</v>
      </c>
      <c r="G306" s="6">
        <v>22.4</v>
      </c>
      <c r="H306" s="6">
        <v>28.4</v>
      </c>
      <c r="I306" s="6">
        <v>33.14</v>
      </c>
      <c r="J306" s="6">
        <v>144.24</v>
      </c>
      <c r="K306" s="6">
        <v>1.96</v>
      </c>
      <c r="L306" s="6">
        <v>0</v>
      </c>
      <c r="M306" s="6">
        <v>146.9</v>
      </c>
      <c r="N306" s="6">
        <v>0.7</v>
      </c>
      <c r="O306" s="6">
        <v>0</v>
      </c>
      <c r="P306" s="6">
        <v>0</v>
      </c>
      <c r="Q306" s="6">
        <v>0</v>
      </c>
      <c r="R306" s="6">
        <v>0</v>
      </c>
      <c r="S306">
        <v>1</v>
      </c>
      <c r="T306">
        <v>1</v>
      </c>
      <c r="U306">
        <v>0.04</v>
      </c>
      <c r="V306" s="6">
        <v>0</v>
      </c>
      <c r="W306" s="6">
        <v>0</v>
      </c>
      <c r="X306" s="6">
        <v>0</v>
      </c>
      <c r="Y306" s="6">
        <v>27.22</v>
      </c>
      <c r="Z306" s="6">
        <v>3</v>
      </c>
      <c r="AA306" s="6">
        <v>146.88999999999999</v>
      </c>
      <c r="AB306" s="6">
        <v>17</v>
      </c>
      <c r="AC306" s="6">
        <v>125.51</v>
      </c>
      <c r="AD306" s="6">
        <v>20.77</v>
      </c>
      <c r="AE306" s="6">
        <v>30.22</v>
      </c>
      <c r="AF306" s="35">
        <v>0.1845</v>
      </c>
      <c r="AG306" s="35">
        <v>0.16569999999999999</v>
      </c>
      <c r="AH306">
        <v>1</v>
      </c>
      <c r="AI306">
        <v>1</v>
      </c>
      <c r="AJ306">
        <v>4.0000000000000036E-2</v>
      </c>
      <c r="AK306" s="35">
        <v>0.23280000000000001</v>
      </c>
      <c r="AL306" s="35">
        <v>0.11870000000000003</v>
      </c>
    </row>
    <row r="307" spans="1:38">
      <c r="A307" t="s">
        <v>785</v>
      </c>
      <c r="B307" t="s">
        <v>786</v>
      </c>
      <c r="C307" t="s">
        <v>1088</v>
      </c>
      <c r="D307" s="6">
        <v>0</v>
      </c>
      <c r="E307" s="6">
        <v>41.8</v>
      </c>
      <c r="F307" s="6">
        <v>11.2</v>
      </c>
      <c r="G307" s="6">
        <v>18.3</v>
      </c>
      <c r="H307" s="6">
        <v>19.8</v>
      </c>
      <c r="I307" s="6">
        <v>38.15</v>
      </c>
      <c r="J307" s="6">
        <v>129.25</v>
      </c>
      <c r="K307" s="6">
        <v>3.16</v>
      </c>
      <c r="L307" s="6">
        <v>0</v>
      </c>
      <c r="M307" s="6">
        <v>132.41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>
        <v>1</v>
      </c>
      <c r="T307">
        <v>1</v>
      </c>
      <c r="U307">
        <v>0</v>
      </c>
      <c r="V307" s="6">
        <v>0.44</v>
      </c>
      <c r="W307" s="6">
        <v>0</v>
      </c>
      <c r="X307" s="6">
        <v>0</v>
      </c>
      <c r="Y307" s="6">
        <v>18.329999999999998</v>
      </c>
      <c r="Z307" s="6">
        <v>3.56</v>
      </c>
      <c r="AA307" s="6">
        <v>132.41999999999999</v>
      </c>
      <c r="AB307" s="6">
        <v>17</v>
      </c>
      <c r="AC307" s="6">
        <v>138.86000000000001</v>
      </c>
      <c r="AD307" s="6">
        <v>22.98</v>
      </c>
      <c r="AE307" s="6">
        <v>21.89</v>
      </c>
      <c r="AF307" s="35">
        <v>0.22420000000000001</v>
      </c>
      <c r="AG307" s="35">
        <v>0.16170000000000001</v>
      </c>
      <c r="AH307">
        <v>1</v>
      </c>
      <c r="AI307">
        <v>1</v>
      </c>
      <c r="AJ307">
        <v>0</v>
      </c>
      <c r="AK307" s="35">
        <v>0.23</v>
      </c>
      <c r="AL307" s="35">
        <v>0.13819999999999999</v>
      </c>
    </row>
    <row r="308" spans="1:38">
      <c r="A308" t="s">
        <v>645</v>
      </c>
      <c r="B308" t="s">
        <v>646</v>
      </c>
      <c r="C308" t="s">
        <v>1088</v>
      </c>
      <c r="D308" s="6">
        <v>0</v>
      </c>
      <c r="E308" s="6">
        <v>40.799999999999997</v>
      </c>
      <c r="F308" s="6">
        <v>13.92</v>
      </c>
      <c r="G308" s="6">
        <v>25.5</v>
      </c>
      <c r="H308" s="6">
        <v>27.46</v>
      </c>
      <c r="I308" s="6">
        <v>39.28</v>
      </c>
      <c r="J308" s="6">
        <v>146.96</v>
      </c>
      <c r="K308" s="6">
        <v>3.82</v>
      </c>
      <c r="L308" s="6">
        <v>0.71</v>
      </c>
      <c r="M308" s="6">
        <v>151.49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>
        <v>1</v>
      </c>
      <c r="T308">
        <v>1</v>
      </c>
      <c r="U308">
        <v>0.02</v>
      </c>
      <c r="V308" s="6">
        <v>2.67</v>
      </c>
      <c r="W308" s="6">
        <v>0</v>
      </c>
      <c r="X308" s="6">
        <v>0</v>
      </c>
      <c r="Y308" s="6">
        <v>20.67</v>
      </c>
      <c r="Z308" s="6">
        <v>5.33</v>
      </c>
      <c r="AA308" s="6">
        <v>152.53</v>
      </c>
      <c r="AB308" s="6">
        <v>17</v>
      </c>
      <c r="AC308" s="6">
        <v>121.22</v>
      </c>
      <c r="AD308" s="6">
        <v>20.059999999999999</v>
      </c>
      <c r="AE308" s="6">
        <v>26</v>
      </c>
      <c r="AF308" s="35">
        <v>0.28260000000000002</v>
      </c>
      <c r="AG308" s="35">
        <v>0.23250000000000001</v>
      </c>
      <c r="AH308">
        <v>1</v>
      </c>
      <c r="AI308">
        <v>1</v>
      </c>
      <c r="AJ308">
        <v>1.0000000000000009E-2</v>
      </c>
      <c r="AK308" s="35">
        <v>0.26569999999999999</v>
      </c>
      <c r="AL308" s="35">
        <v>0.16190000000000004</v>
      </c>
    </row>
    <row r="309" spans="1:38">
      <c r="A309" t="s">
        <v>1035</v>
      </c>
      <c r="B309" t="s">
        <v>1036</v>
      </c>
      <c r="C309" t="s">
        <v>1088</v>
      </c>
      <c r="D309" s="6">
        <v>0</v>
      </c>
      <c r="E309" s="6">
        <v>74.7</v>
      </c>
      <c r="F309" s="6">
        <v>8.6999999999999993</v>
      </c>
      <c r="G309" s="6">
        <v>12.5</v>
      </c>
      <c r="H309" s="6">
        <v>6.5</v>
      </c>
      <c r="I309" s="6">
        <v>0</v>
      </c>
      <c r="J309" s="6">
        <v>102.4</v>
      </c>
      <c r="K309" s="6">
        <v>0</v>
      </c>
      <c r="L309" s="6">
        <v>0</v>
      </c>
      <c r="M309" s="6">
        <v>102.4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>
        <v>1</v>
      </c>
      <c r="T309">
        <v>1</v>
      </c>
      <c r="U309">
        <v>0</v>
      </c>
      <c r="V309" s="6">
        <v>0</v>
      </c>
      <c r="W309" s="6">
        <v>0</v>
      </c>
      <c r="X309" s="6">
        <v>0</v>
      </c>
      <c r="Y309" s="6">
        <v>25.56</v>
      </c>
      <c r="Z309" s="6">
        <v>0</v>
      </c>
      <c r="AA309" s="6">
        <v>102.4</v>
      </c>
      <c r="AB309" s="6">
        <v>17</v>
      </c>
      <c r="AC309" s="6">
        <v>129.25</v>
      </c>
      <c r="AD309" s="6">
        <v>21.39</v>
      </c>
      <c r="AE309" s="6">
        <v>25.56</v>
      </c>
      <c r="AF309" s="35">
        <v>0.14399999999999999</v>
      </c>
      <c r="AG309" s="35">
        <v>0.08</v>
      </c>
      <c r="AH309">
        <v>1</v>
      </c>
      <c r="AI309">
        <v>1</v>
      </c>
      <c r="AJ309">
        <v>0</v>
      </c>
      <c r="AK309" s="35">
        <v>0.14979999999999999</v>
      </c>
      <c r="AL309" s="35">
        <v>8.2799999999999985E-2</v>
      </c>
    </row>
    <row r="310" spans="1:38">
      <c r="A310" t="s">
        <v>835</v>
      </c>
      <c r="B310" t="s">
        <v>836</v>
      </c>
      <c r="C310" t="s">
        <v>1088</v>
      </c>
      <c r="D310" s="6">
        <v>17.100000000000001</v>
      </c>
      <c r="E310" s="6">
        <v>226.1</v>
      </c>
      <c r="F310" s="6">
        <v>65.3</v>
      </c>
      <c r="G310" s="6">
        <v>127.4</v>
      </c>
      <c r="H310" s="6">
        <v>124.6</v>
      </c>
      <c r="I310" s="6">
        <v>0</v>
      </c>
      <c r="J310" s="6">
        <v>543.4</v>
      </c>
      <c r="K310" s="6">
        <v>0</v>
      </c>
      <c r="L310" s="6">
        <v>0</v>
      </c>
      <c r="M310" s="6">
        <v>543.4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>
        <v>1</v>
      </c>
      <c r="T310">
        <v>1</v>
      </c>
      <c r="U310">
        <v>0</v>
      </c>
      <c r="V310" s="6">
        <v>11.67</v>
      </c>
      <c r="W310" s="6">
        <v>2.44</v>
      </c>
      <c r="X310" s="6">
        <v>0.44</v>
      </c>
      <c r="Y310" s="6">
        <v>55.22</v>
      </c>
      <c r="Z310" s="6">
        <v>18.11</v>
      </c>
      <c r="AA310" s="6">
        <v>560.5</v>
      </c>
      <c r="AB310" s="6">
        <v>17.63</v>
      </c>
      <c r="AC310" s="6">
        <v>134.66999999999999</v>
      </c>
      <c r="AD310" s="6">
        <v>22.29</v>
      </c>
      <c r="AE310" s="6">
        <v>76.209999999999994</v>
      </c>
      <c r="AF310" s="35">
        <v>0.24679999999999999</v>
      </c>
      <c r="AG310" s="35">
        <v>0.18410000000000001</v>
      </c>
      <c r="AH310">
        <v>1</v>
      </c>
      <c r="AI310">
        <v>1</v>
      </c>
      <c r="AJ310">
        <v>0</v>
      </c>
      <c r="AK310" s="35">
        <v>0.2089</v>
      </c>
      <c r="AL310" s="35">
        <v>0.19010000000000005</v>
      </c>
    </row>
    <row r="311" spans="1:38">
      <c r="A311" t="s">
        <v>614</v>
      </c>
      <c r="B311" t="s">
        <v>615</v>
      </c>
      <c r="C311" t="s">
        <v>1088</v>
      </c>
      <c r="D311" s="6">
        <v>16</v>
      </c>
      <c r="E311" s="6">
        <v>369.46</v>
      </c>
      <c r="F311" s="6">
        <v>103.55</v>
      </c>
      <c r="G311" s="6">
        <v>200.28</v>
      </c>
      <c r="H311" s="6">
        <v>194.76</v>
      </c>
      <c r="I311" s="6">
        <v>338.4</v>
      </c>
      <c r="J311" s="6">
        <v>1206.45</v>
      </c>
      <c r="K311" s="6">
        <v>15.99</v>
      </c>
      <c r="L311" s="6">
        <v>1.47</v>
      </c>
      <c r="M311" s="6">
        <v>1279.3900000000001</v>
      </c>
      <c r="N311" s="6">
        <v>0.2</v>
      </c>
      <c r="O311" s="6">
        <v>0</v>
      </c>
      <c r="P311" s="6">
        <v>0.1</v>
      </c>
      <c r="Q311" s="6">
        <v>4.5999999999999996</v>
      </c>
      <c r="R311" s="6">
        <v>50.58</v>
      </c>
      <c r="S311">
        <v>1</v>
      </c>
      <c r="T311">
        <v>1</v>
      </c>
      <c r="U311">
        <v>0</v>
      </c>
      <c r="V311" s="6">
        <v>14.78</v>
      </c>
      <c r="W311" s="6">
        <v>2</v>
      </c>
      <c r="X311" s="6">
        <v>0.33</v>
      </c>
      <c r="Y311" s="6">
        <v>150.56</v>
      </c>
      <c r="Z311" s="6">
        <v>37</v>
      </c>
      <c r="AA311" s="6">
        <v>1303</v>
      </c>
      <c r="AB311" s="6">
        <v>17</v>
      </c>
      <c r="AC311" s="6">
        <v>129.56</v>
      </c>
      <c r="AD311" s="6">
        <v>21.44</v>
      </c>
      <c r="AE311" s="6">
        <v>189.89</v>
      </c>
      <c r="AF311" s="35">
        <v>0.27160000000000001</v>
      </c>
      <c r="AG311" s="35">
        <v>0.16600000000000001</v>
      </c>
      <c r="AH311">
        <v>1</v>
      </c>
      <c r="AI311">
        <v>1</v>
      </c>
      <c r="AJ311">
        <v>0</v>
      </c>
      <c r="AK311" s="35">
        <v>0.2223</v>
      </c>
      <c r="AL311" s="35">
        <v>0.15839999999999999</v>
      </c>
    </row>
    <row r="312" spans="1:38">
      <c r="A312" t="s">
        <v>891</v>
      </c>
      <c r="B312" t="s">
        <v>892</v>
      </c>
      <c r="C312" t="s">
        <v>1088</v>
      </c>
      <c r="D312" s="6">
        <v>0</v>
      </c>
      <c r="E312" s="6">
        <v>4230.32</v>
      </c>
      <c r="F312" s="6">
        <v>1088.3699999999999</v>
      </c>
      <c r="G312" s="6">
        <v>2204.12</v>
      </c>
      <c r="H312" s="6">
        <v>2167.4699999999998</v>
      </c>
      <c r="I312" s="6">
        <v>4678.88</v>
      </c>
      <c r="J312" s="6">
        <v>14369.16</v>
      </c>
      <c r="K312" s="6">
        <v>186.73</v>
      </c>
      <c r="L312" s="6">
        <v>20.37</v>
      </c>
      <c r="M312" s="6">
        <v>15307.91</v>
      </c>
      <c r="N312" s="6">
        <v>111.7</v>
      </c>
      <c r="O312" s="6">
        <v>0</v>
      </c>
      <c r="P312" s="6">
        <v>63.77</v>
      </c>
      <c r="Q312" s="6">
        <v>112.16</v>
      </c>
      <c r="R312" s="6">
        <v>444.02</v>
      </c>
      <c r="S312">
        <v>1</v>
      </c>
      <c r="T312">
        <v>1</v>
      </c>
      <c r="U312">
        <v>0</v>
      </c>
      <c r="V312" s="6">
        <v>267.22000000000003</v>
      </c>
      <c r="W312" s="6">
        <v>0</v>
      </c>
      <c r="X312" s="6">
        <v>0</v>
      </c>
      <c r="Y312" s="6">
        <v>1178.67</v>
      </c>
      <c r="Z312" s="6">
        <v>886.44</v>
      </c>
      <c r="AA312" s="6">
        <v>15031.2</v>
      </c>
      <c r="AB312" s="6">
        <v>17</v>
      </c>
      <c r="AC312" s="6">
        <v>129.80000000000001</v>
      </c>
      <c r="AD312" s="6">
        <v>21.48</v>
      </c>
      <c r="AE312" s="6">
        <v>2065.11</v>
      </c>
      <c r="AF312" s="35">
        <v>0.1226</v>
      </c>
      <c r="AG312" s="35">
        <v>0.33279999999999998</v>
      </c>
      <c r="AH312">
        <v>1</v>
      </c>
      <c r="AI312">
        <v>1</v>
      </c>
      <c r="AJ312">
        <v>0</v>
      </c>
      <c r="AK312" s="35">
        <v>9.4799999999999995E-2</v>
      </c>
      <c r="AL312" s="35">
        <v>0.32020000000000004</v>
      </c>
    </row>
    <row r="313" spans="1:38">
      <c r="A313" t="s">
        <v>436</v>
      </c>
      <c r="B313" t="s">
        <v>437</v>
      </c>
      <c r="C313" t="s">
        <v>1088</v>
      </c>
      <c r="D313" s="6">
        <v>69.400000000000006</v>
      </c>
      <c r="E313" s="6">
        <v>918.7</v>
      </c>
      <c r="F313" s="6">
        <v>275.5</v>
      </c>
      <c r="G313" s="6">
        <v>506.1</v>
      </c>
      <c r="H313" s="6">
        <v>564.72</v>
      </c>
      <c r="I313" s="6">
        <v>928.44</v>
      </c>
      <c r="J313" s="6">
        <v>3193.46</v>
      </c>
      <c r="K313" s="6">
        <v>59.16</v>
      </c>
      <c r="L313" s="6">
        <v>6.03</v>
      </c>
      <c r="M313" s="6">
        <v>3310.15</v>
      </c>
      <c r="N313" s="6">
        <v>24.7</v>
      </c>
      <c r="O313" s="6">
        <v>0</v>
      </c>
      <c r="P313" s="6">
        <v>0</v>
      </c>
      <c r="Q313" s="6">
        <v>0</v>
      </c>
      <c r="R313" s="6">
        <v>26.8</v>
      </c>
      <c r="S313">
        <v>1</v>
      </c>
      <c r="T313">
        <v>1</v>
      </c>
      <c r="U313">
        <v>0</v>
      </c>
      <c r="V313" s="6">
        <v>54.44</v>
      </c>
      <c r="W313" s="6">
        <v>2.56</v>
      </c>
      <c r="X313" s="6">
        <v>4.8899999999999997</v>
      </c>
      <c r="Y313" s="6">
        <v>295.33</v>
      </c>
      <c r="Z313" s="6">
        <v>104.67</v>
      </c>
      <c r="AA313" s="6">
        <v>3433.29</v>
      </c>
      <c r="AB313" s="6">
        <v>17.37</v>
      </c>
      <c r="AC313" s="6">
        <v>129.49</v>
      </c>
      <c r="AD313" s="6">
        <v>21.43</v>
      </c>
      <c r="AE313" s="6">
        <v>407.45</v>
      </c>
      <c r="AF313" s="35">
        <v>0.15659999999999999</v>
      </c>
      <c r="AG313" s="35">
        <v>0.22989999999999999</v>
      </c>
      <c r="AH313">
        <v>1</v>
      </c>
      <c r="AI313">
        <v>1</v>
      </c>
      <c r="AJ313">
        <v>0</v>
      </c>
      <c r="AK313" s="35">
        <v>0.15459999999999999</v>
      </c>
      <c r="AL313" s="35">
        <v>0.21899999999999997</v>
      </c>
    </row>
    <row r="314" spans="1:38">
      <c r="A314" t="s">
        <v>751</v>
      </c>
      <c r="B314" t="s">
        <v>752</v>
      </c>
      <c r="C314" t="s">
        <v>1088</v>
      </c>
      <c r="D314" s="6">
        <v>17.3</v>
      </c>
      <c r="E314" s="6">
        <v>1020.07</v>
      </c>
      <c r="F314" s="6">
        <v>277.62</v>
      </c>
      <c r="G314" s="6">
        <v>569.86</v>
      </c>
      <c r="H314" s="6">
        <v>611.94000000000005</v>
      </c>
      <c r="I314" s="6">
        <v>1075.3900000000001</v>
      </c>
      <c r="J314" s="6">
        <v>3554.88</v>
      </c>
      <c r="K314" s="6">
        <v>47.16</v>
      </c>
      <c r="L314" s="6">
        <v>5.0999999999999996</v>
      </c>
      <c r="M314" s="6">
        <v>3673.7</v>
      </c>
      <c r="N314" s="6">
        <v>33.700000000000003</v>
      </c>
      <c r="O314" s="6">
        <v>0</v>
      </c>
      <c r="P314" s="6">
        <v>16.649999999999999</v>
      </c>
      <c r="Q314" s="6">
        <v>12.15</v>
      </c>
      <c r="R314" s="6">
        <v>4.0599999999999996</v>
      </c>
      <c r="S314">
        <v>1</v>
      </c>
      <c r="T314">
        <v>1</v>
      </c>
      <c r="U314">
        <v>0</v>
      </c>
      <c r="V314" s="6">
        <v>44.67</v>
      </c>
      <c r="W314" s="6">
        <v>0.56000000000000005</v>
      </c>
      <c r="X314" s="6">
        <v>0</v>
      </c>
      <c r="Y314" s="6">
        <v>380</v>
      </c>
      <c r="Z314" s="6">
        <v>81.11</v>
      </c>
      <c r="AA314" s="6">
        <v>3713.64</v>
      </c>
      <c r="AB314" s="6">
        <v>17</v>
      </c>
      <c r="AC314" s="6">
        <v>125.46</v>
      </c>
      <c r="AD314" s="6">
        <v>20.77</v>
      </c>
      <c r="AE314" s="6">
        <v>461.67</v>
      </c>
      <c r="AF314" s="35">
        <v>0.13869999999999999</v>
      </c>
      <c r="AG314" s="35">
        <v>0.1938</v>
      </c>
      <c r="AH314">
        <v>1</v>
      </c>
      <c r="AI314">
        <v>1</v>
      </c>
      <c r="AJ314">
        <v>0</v>
      </c>
      <c r="AK314" s="35">
        <v>0.14810000000000001</v>
      </c>
      <c r="AL314" s="35">
        <v>0.1996</v>
      </c>
    </row>
    <row r="315" spans="1:38">
      <c r="A315" t="s">
        <v>568</v>
      </c>
      <c r="B315" t="s">
        <v>569</v>
      </c>
      <c r="C315" t="s">
        <v>1088</v>
      </c>
      <c r="D315" s="6">
        <v>42.4</v>
      </c>
      <c r="E315" s="6">
        <v>180.6</v>
      </c>
      <c r="F315" s="6">
        <v>60.9</v>
      </c>
      <c r="G315" s="6">
        <v>101.7</v>
      </c>
      <c r="H315" s="6">
        <v>119.09</v>
      </c>
      <c r="I315" s="6">
        <v>228.66</v>
      </c>
      <c r="J315" s="6">
        <v>690.95</v>
      </c>
      <c r="K315" s="6">
        <v>16.68</v>
      </c>
      <c r="L315" s="6">
        <v>4.4800000000000004</v>
      </c>
      <c r="M315" s="6">
        <v>714.11</v>
      </c>
      <c r="N315" s="6">
        <v>2</v>
      </c>
      <c r="O315" s="6">
        <v>0</v>
      </c>
      <c r="P315" s="6">
        <v>0</v>
      </c>
      <c r="Q315" s="6">
        <v>0</v>
      </c>
      <c r="R315" s="6">
        <v>0</v>
      </c>
      <c r="S315">
        <v>1</v>
      </c>
      <c r="T315">
        <v>1</v>
      </c>
      <c r="U315">
        <v>0</v>
      </c>
      <c r="V315" s="6">
        <v>4.22</v>
      </c>
      <c r="W315" s="6">
        <v>6.78</v>
      </c>
      <c r="X315" s="6">
        <v>1</v>
      </c>
      <c r="Y315" s="6">
        <v>39.56</v>
      </c>
      <c r="Z315" s="6">
        <v>38.33</v>
      </c>
      <c r="AA315" s="6">
        <v>758.23</v>
      </c>
      <c r="AB315" s="6">
        <v>17</v>
      </c>
      <c r="AC315" s="6">
        <v>130.94999999999999</v>
      </c>
      <c r="AD315" s="6">
        <v>21.67</v>
      </c>
      <c r="AE315" s="6">
        <v>85.67</v>
      </c>
      <c r="AF315" s="35">
        <v>0.21229999999999999</v>
      </c>
      <c r="AG315" s="35">
        <v>0.2571</v>
      </c>
      <c r="AH315">
        <v>1</v>
      </c>
      <c r="AI315">
        <v>1</v>
      </c>
      <c r="AJ315">
        <v>0</v>
      </c>
      <c r="AK315" s="35">
        <v>0.1923</v>
      </c>
      <c r="AL315" s="35">
        <v>0.252</v>
      </c>
    </row>
    <row r="316" spans="1:38">
      <c r="A316" t="s">
        <v>484</v>
      </c>
      <c r="B316" t="s">
        <v>485</v>
      </c>
      <c r="C316" t="s">
        <v>1088</v>
      </c>
      <c r="D316" s="6">
        <v>79.8</v>
      </c>
      <c r="E316" s="6">
        <v>988.11</v>
      </c>
      <c r="F316" s="6">
        <v>242</v>
      </c>
      <c r="G316" s="6">
        <v>516.30999999999995</v>
      </c>
      <c r="H316" s="6">
        <v>578.47</v>
      </c>
      <c r="I316" s="6">
        <v>1067.82</v>
      </c>
      <c r="J316" s="6">
        <v>3392.71</v>
      </c>
      <c r="K316" s="6">
        <v>51.24</v>
      </c>
      <c r="L316" s="6">
        <v>8.7899999999999991</v>
      </c>
      <c r="M316" s="6">
        <v>3489.99</v>
      </c>
      <c r="N316" s="6">
        <v>3</v>
      </c>
      <c r="O316" s="6">
        <v>0</v>
      </c>
      <c r="P316" s="6">
        <v>0.09</v>
      </c>
      <c r="Q316" s="6">
        <v>0</v>
      </c>
      <c r="R316" s="6">
        <v>34.159999999999997</v>
      </c>
      <c r="S316">
        <v>1</v>
      </c>
      <c r="T316">
        <v>1</v>
      </c>
      <c r="U316">
        <v>0</v>
      </c>
      <c r="V316" s="6">
        <v>35.89</v>
      </c>
      <c r="W316" s="6">
        <v>7.89</v>
      </c>
      <c r="X316" s="6">
        <v>1.33</v>
      </c>
      <c r="Y316" s="6">
        <v>308.22000000000003</v>
      </c>
      <c r="Z316" s="6">
        <v>263.22000000000003</v>
      </c>
      <c r="AA316" s="6">
        <v>3589.08</v>
      </c>
      <c r="AB316" s="6">
        <v>17</v>
      </c>
      <c r="AC316" s="6">
        <v>131.97</v>
      </c>
      <c r="AD316" s="6">
        <v>21.84</v>
      </c>
      <c r="AE316" s="6">
        <v>580.66</v>
      </c>
      <c r="AF316" s="35">
        <v>0.18410000000000001</v>
      </c>
      <c r="AG316" s="35">
        <v>0.32190000000000002</v>
      </c>
      <c r="AH316">
        <v>1</v>
      </c>
      <c r="AI316">
        <v>1</v>
      </c>
      <c r="AJ316">
        <v>0</v>
      </c>
      <c r="AK316" s="35">
        <v>0.17269999999999999</v>
      </c>
      <c r="AL316" s="35">
        <v>0.30710000000000004</v>
      </c>
    </row>
    <row r="317" spans="1:38">
      <c r="A317" t="s">
        <v>807</v>
      </c>
      <c r="B317" t="s">
        <v>808</v>
      </c>
      <c r="C317" t="s">
        <v>1088</v>
      </c>
      <c r="D317" s="6">
        <v>34</v>
      </c>
      <c r="E317" s="6">
        <v>1683.3</v>
      </c>
      <c r="F317" s="6">
        <v>451.8</v>
      </c>
      <c r="G317" s="6">
        <v>914.11</v>
      </c>
      <c r="H317" s="6">
        <v>933.74</v>
      </c>
      <c r="I317" s="6">
        <v>1916.74</v>
      </c>
      <c r="J317" s="6">
        <v>5899.69</v>
      </c>
      <c r="K317" s="6">
        <v>102.04</v>
      </c>
      <c r="L317" s="6">
        <v>9.56</v>
      </c>
      <c r="M317" s="6">
        <v>6092.41</v>
      </c>
      <c r="N317" s="6">
        <v>3.4</v>
      </c>
      <c r="O317" s="6">
        <v>0</v>
      </c>
      <c r="P317" s="6">
        <v>0.2</v>
      </c>
      <c r="Q317" s="6">
        <v>1.8</v>
      </c>
      <c r="R317" s="6">
        <v>75.72</v>
      </c>
      <c r="S317">
        <v>1</v>
      </c>
      <c r="T317">
        <v>1</v>
      </c>
      <c r="U317">
        <v>0</v>
      </c>
      <c r="V317" s="6">
        <v>60</v>
      </c>
      <c r="W317" s="6">
        <v>0</v>
      </c>
      <c r="X317" s="6">
        <v>0</v>
      </c>
      <c r="Y317" s="6">
        <v>472.67</v>
      </c>
      <c r="Z317" s="6">
        <v>382.78</v>
      </c>
      <c r="AA317" s="6">
        <v>6158.31</v>
      </c>
      <c r="AB317" s="6">
        <v>17.18</v>
      </c>
      <c r="AC317" s="6">
        <v>138.44</v>
      </c>
      <c r="AD317" s="6">
        <v>22.91</v>
      </c>
      <c r="AE317" s="6">
        <v>855.45</v>
      </c>
      <c r="AF317" s="35">
        <v>0.17369999999999999</v>
      </c>
      <c r="AG317" s="35">
        <v>0.30359999999999998</v>
      </c>
      <c r="AH317">
        <v>1</v>
      </c>
      <c r="AI317">
        <v>1</v>
      </c>
      <c r="AJ317">
        <v>0</v>
      </c>
      <c r="AK317" s="35">
        <v>0.16500000000000001</v>
      </c>
      <c r="AL317" s="35">
        <v>0.28639999999999999</v>
      </c>
    </row>
    <row r="318" spans="1:38">
      <c r="A318" t="s">
        <v>825</v>
      </c>
      <c r="B318" t="s">
        <v>826</v>
      </c>
      <c r="C318" t="s">
        <v>1088</v>
      </c>
      <c r="D318" s="6">
        <v>0</v>
      </c>
      <c r="E318" s="6">
        <v>961.14</v>
      </c>
      <c r="F318" s="6">
        <v>263.8</v>
      </c>
      <c r="G318" s="6">
        <v>483.6</v>
      </c>
      <c r="H318" s="6">
        <v>543.48</v>
      </c>
      <c r="I318" s="6">
        <v>995.6</v>
      </c>
      <c r="J318" s="6">
        <v>3247.62</v>
      </c>
      <c r="K318" s="6">
        <v>29.16</v>
      </c>
      <c r="L318" s="6">
        <v>2.66</v>
      </c>
      <c r="M318" s="6">
        <v>3940.4</v>
      </c>
      <c r="N318" s="6">
        <v>0</v>
      </c>
      <c r="O318" s="6">
        <v>0</v>
      </c>
      <c r="P318" s="6">
        <v>275.99</v>
      </c>
      <c r="Q318" s="6">
        <v>84.1</v>
      </c>
      <c r="R318" s="6">
        <v>300.87</v>
      </c>
      <c r="S318">
        <v>1</v>
      </c>
      <c r="T318">
        <v>1</v>
      </c>
      <c r="U318">
        <v>0</v>
      </c>
      <c r="V318" s="6">
        <v>33.11</v>
      </c>
      <c r="W318" s="6">
        <v>0</v>
      </c>
      <c r="X318" s="6">
        <v>0</v>
      </c>
      <c r="Y318" s="6">
        <v>450.44</v>
      </c>
      <c r="Z318" s="6">
        <v>50.11</v>
      </c>
      <c r="AA318" s="6">
        <v>3989.91</v>
      </c>
      <c r="AB318" s="6">
        <v>17.46</v>
      </c>
      <c r="AC318" s="6">
        <v>137.56</v>
      </c>
      <c r="AD318" s="6">
        <v>22.77</v>
      </c>
      <c r="AE318" s="6">
        <v>500.55</v>
      </c>
      <c r="AF318" s="35">
        <v>0.20050000000000001</v>
      </c>
      <c r="AG318" s="35">
        <v>0.15770000000000001</v>
      </c>
      <c r="AH318">
        <v>1</v>
      </c>
      <c r="AI318">
        <v>1</v>
      </c>
      <c r="AJ318">
        <v>0</v>
      </c>
      <c r="AK318" s="35">
        <v>0.187</v>
      </c>
      <c r="AL318" s="35">
        <v>0.15629999999999999</v>
      </c>
    </row>
    <row r="319" spans="1:38">
      <c r="A319" s="8" t="s">
        <v>500</v>
      </c>
      <c r="B319" t="s">
        <v>501</v>
      </c>
      <c r="C319" t="s">
        <v>1088</v>
      </c>
      <c r="D319" s="6">
        <v>30.1</v>
      </c>
      <c r="E319" s="6">
        <v>287.89999999999998</v>
      </c>
      <c r="F319" s="6">
        <v>63</v>
      </c>
      <c r="G319" s="6">
        <v>164.2</v>
      </c>
      <c r="H319" s="6">
        <v>168.7</v>
      </c>
      <c r="I319" s="6">
        <v>346.83</v>
      </c>
      <c r="J319" s="6">
        <v>1030.6300000000001</v>
      </c>
      <c r="K319" s="6">
        <v>2.67</v>
      </c>
      <c r="L319" s="6">
        <v>0.11</v>
      </c>
      <c r="M319" s="6">
        <v>1050.01</v>
      </c>
      <c r="N319" s="6">
        <v>16.600000000000001</v>
      </c>
      <c r="O319" s="6">
        <v>0</v>
      </c>
      <c r="P319" s="6">
        <v>0</v>
      </c>
      <c r="Q319" s="6">
        <v>0</v>
      </c>
      <c r="R319" s="6">
        <v>0</v>
      </c>
      <c r="S319">
        <v>1</v>
      </c>
      <c r="T319">
        <v>1</v>
      </c>
      <c r="U319">
        <v>0</v>
      </c>
      <c r="V319" s="6">
        <v>13.78</v>
      </c>
      <c r="W319" s="6">
        <v>4.33</v>
      </c>
      <c r="X319" s="6">
        <v>2.56</v>
      </c>
      <c r="Y319" s="6">
        <v>92.56</v>
      </c>
      <c r="Z319" s="6">
        <v>44.89</v>
      </c>
      <c r="AA319" s="6">
        <v>1094.68</v>
      </c>
      <c r="AB319" s="6">
        <v>17</v>
      </c>
      <c r="AC319" s="6">
        <v>128.47999999999999</v>
      </c>
      <c r="AD319" s="6">
        <v>21.27</v>
      </c>
      <c r="AE319" s="6">
        <v>144.34</v>
      </c>
      <c r="AF319" s="35">
        <v>0.19489999999999999</v>
      </c>
      <c r="AG319" s="35">
        <v>0.2099</v>
      </c>
      <c r="AH319">
        <v>1</v>
      </c>
      <c r="AI319">
        <v>1</v>
      </c>
      <c r="AJ319">
        <v>0</v>
      </c>
      <c r="AK319" s="35">
        <v>0.1933</v>
      </c>
      <c r="AL319" s="35">
        <v>0.25080000000000002</v>
      </c>
    </row>
    <row r="320" spans="1:38">
      <c r="A320" t="s">
        <v>486</v>
      </c>
      <c r="B320" t="s">
        <v>487</v>
      </c>
      <c r="C320" t="s">
        <v>1088</v>
      </c>
      <c r="D320" s="6">
        <v>0</v>
      </c>
      <c r="E320" s="6">
        <v>420.6</v>
      </c>
      <c r="F320" s="6">
        <v>112.3</v>
      </c>
      <c r="G320" s="6">
        <v>188.9</v>
      </c>
      <c r="H320" s="6">
        <v>235.8</v>
      </c>
      <c r="I320" s="6">
        <v>385.29</v>
      </c>
      <c r="J320" s="6">
        <v>1342.89</v>
      </c>
      <c r="K320" s="6">
        <v>7.22</v>
      </c>
      <c r="L320" s="6">
        <v>0.11</v>
      </c>
      <c r="M320" s="6">
        <v>1363.02</v>
      </c>
      <c r="N320" s="6">
        <v>0</v>
      </c>
      <c r="O320" s="6">
        <v>0</v>
      </c>
      <c r="P320" s="6">
        <v>0</v>
      </c>
      <c r="Q320" s="6">
        <v>0</v>
      </c>
      <c r="R320" s="6">
        <v>12.8</v>
      </c>
      <c r="S320">
        <v>1</v>
      </c>
      <c r="T320">
        <v>1</v>
      </c>
      <c r="U320">
        <v>0</v>
      </c>
      <c r="V320" s="6">
        <v>17.440000000000001</v>
      </c>
      <c r="W320" s="6">
        <v>0</v>
      </c>
      <c r="X320" s="6">
        <v>0</v>
      </c>
      <c r="Y320" s="6">
        <v>106.56</v>
      </c>
      <c r="Z320" s="6">
        <v>87</v>
      </c>
      <c r="AA320" s="6">
        <v>1373.01</v>
      </c>
      <c r="AB320" s="6">
        <v>17</v>
      </c>
      <c r="AC320" s="6">
        <v>130.63999999999999</v>
      </c>
      <c r="AD320" s="6">
        <v>21.62</v>
      </c>
      <c r="AE320" s="6">
        <v>193.56</v>
      </c>
      <c r="AF320" s="35">
        <v>0.13159999999999999</v>
      </c>
      <c r="AG320" s="35">
        <v>0.26040000000000002</v>
      </c>
      <c r="AH320">
        <v>1</v>
      </c>
      <c r="AI320">
        <v>1</v>
      </c>
      <c r="AJ320">
        <v>0</v>
      </c>
      <c r="AK320" s="35">
        <v>0.14699999999999999</v>
      </c>
      <c r="AL320" s="35">
        <v>0.27610000000000001</v>
      </c>
    </row>
    <row r="321" spans="1:38">
      <c r="A321" t="s">
        <v>895</v>
      </c>
      <c r="B321" t="s">
        <v>896</v>
      </c>
      <c r="C321" t="s">
        <v>1088</v>
      </c>
      <c r="D321" s="6">
        <v>47.79</v>
      </c>
      <c r="E321" s="6">
        <v>352.14</v>
      </c>
      <c r="F321" s="6">
        <v>87.7</v>
      </c>
      <c r="G321" s="6">
        <v>199.1</v>
      </c>
      <c r="H321" s="6">
        <v>208.88</v>
      </c>
      <c r="I321" s="6">
        <v>425.44</v>
      </c>
      <c r="J321" s="6">
        <v>1273.26</v>
      </c>
      <c r="K321" s="6">
        <v>12.84</v>
      </c>
      <c r="L321" s="6">
        <v>1.68</v>
      </c>
      <c r="M321" s="6">
        <v>1287.78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>
        <v>1</v>
      </c>
      <c r="T321">
        <v>1</v>
      </c>
      <c r="U321">
        <v>0</v>
      </c>
      <c r="V321" s="6">
        <v>6.67</v>
      </c>
      <c r="W321" s="6">
        <v>6.33</v>
      </c>
      <c r="X321" s="6">
        <v>3.33</v>
      </c>
      <c r="Y321" s="6">
        <v>106.44</v>
      </c>
      <c r="Z321" s="6">
        <v>38.56</v>
      </c>
      <c r="AA321" s="6">
        <v>1344.47</v>
      </c>
      <c r="AB321" s="6">
        <v>18.079999999999998</v>
      </c>
      <c r="AC321" s="6">
        <v>130.29</v>
      </c>
      <c r="AD321" s="6">
        <v>21.57</v>
      </c>
      <c r="AE321" s="6">
        <v>154.66</v>
      </c>
      <c r="AF321" s="35">
        <v>0.24149999999999999</v>
      </c>
      <c r="AG321" s="35">
        <v>0.17860000000000001</v>
      </c>
      <c r="AH321">
        <v>1</v>
      </c>
      <c r="AI321">
        <v>1</v>
      </c>
      <c r="AJ321">
        <v>0</v>
      </c>
      <c r="AK321" s="35">
        <v>0.18479999999999999</v>
      </c>
      <c r="AL321" s="35">
        <v>0.18459999999999999</v>
      </c>
    </row>
    <row r="322" spans="1:38">
      <c r="A322" t="s">
        <v>853</v>
      </c>
      <c r="B322" t="s">
        <v>854</v>
      </c>
      <c r="C322" t="s">
        <v>1088</v>
      </c>
      <c r="D322" s="6">
        <v>85.1</v>
      </c>
      <c r="E322" s="6">
        <v>884.1</v>
      </c>
      <c r="F322" s="6">
        <v>221.2</v>
      </c>
      <c r="G322" s="6">
        <v>498.04</v>
      </c>
      <c r="H322" s="6">
        <v>462.77</v>
      </c>
      <c r="I322" s="6">
        <v>885.21</v>
      </c>
      <c r="J322" s="6">
        <v>2951.32</v>
      </c>
      <c r="K322" s="6">
        <v>20.45</v>
      </c>
      <c r="L322" s="6">
        <v>2.15</v>
      </c>
      <c r="M322" s="6">
        <v>3055.99</v>
      </c>
      <c r="N322" s="6">
        <v>25.4</v>
      </c>
      <c r="O322" s="6">
        <v>0</v>
      </c>
      <c r="P322" s="6">
        <v>5.17</v>
      </c>
      <c r="Q322" s="6">
        <v>10</v>
      </c>
      <c r="R322" s="6">
        <v>41.5</v>
      </c>
      <c r="S322">
        <v>1</v>
      </c>
      <c r="T322">
        <v>1</v>
      </c>
      <c r="U322">
        <v>0</v>
      </c>
      <c r="V322" s="6">
        <v>14.22</v>
      </c>
      <c r="W322" s="6">
        <v>14.33</v>
      </c>
      <c r="X322" s="6">
        <v>0</v>
      </c>
      <c r="Y322" s="6">
        <v>264.67</v>
      </c>
      <c r="Z322" s="6">
        <v>111.67</v>
      </c>
      <c r="AA322" s="6">
        <v>3161.51</v>
      </c>
      <c r="AB322" s="6">
        <v>17.079999999999998</v>
      </c>
      <c r="AC322" s="6">
        <v>139.77000000000001</v>
      </c>
      <c r="AD322" s="6">
        <v>23.13</v>
      </c>
      <c r="AE322" s="6">
        <v>390.67</v>
      </c>
      <c r="AF322" s="35">
        <v>0.1658</v>
      </c>
      <c r="AG322" s="35">
        <v>0.25819999999999999</v>
      </c>
      <c r="AH322">
        <v>1</v>
      </c>
      <c r="AI322">
        <v>1</v>
      </c>
      <c r="AJ322">
        <v>0</v>
      </c>
      <c r="AK322" s="35">
        <v>0.19239999999999999</v>
      </c>
      <c r="AL322" s="35">
        <v>0.2258</v>
      </c>
    </row>
    <row r="323" spans="1:38">
      <c r="A323" s="8" t="s">
        <v>869</v>
      </c>
      <c r="B323" t="s">
        <v>870</v>
      </c>
      <c r="C323" t="s">
        <v>1088</v>
      </c>
      <c r="D323" s="6">
        <v>45.91</v>
      </c>
      <c r="E323" s="6">
        <v>1511.9</v>
      </c>
      <c r="F323" s="6">
        <v>417.05</v>
      </c>
      <c r="G323" s="6">
        <v>837.71</v>
      </c>
      <c r="H323" s="6">
        <v>815.98</v>
      </c>
      <c r="I323" s="6">
        <v>1440.7</v>
      </c>
      <c r="J323" s="6">
        <v>5023.34</v>
      </c>
      <c r="K323" s="6">
        <v>93.13</v>
      </c>
      <c r="L323" s="6">
        <v>9.5299999999999994</v>
      </c>
      <c r="M323" s="6">
        <v>5364.19</v>
      </c>
      <c r="N323" s="6">
        <v>17.2</v>
      </c>
      <c r="O323" s="6">
        <v>0</v>
      </c>
      <c r="P323" s="6">
        <v>27.39</v>
      </c>
      <c r="Q323" s="6">
        <v>26.27</v>
      </c>
      <c r="R323" s="6">
        <v>167.33</v>
      </c>
      <c r="S323">
        <v>1.0149999999999999</v>
      </c>
      <c r="T323">
        <v>1.0149999999999999</v>
      </c>
      <c r="U323">
        <v>0</v>
      </c>
      <c r="V323" s="6">
        <v>61.89</v>
      </c>
      <c r="W323" s="6">
        <v>8.89</v>
      </c>
      <c r="X323" s="6">
        <v>5.44</v>
      </c>
      <c r="Y323" s="6">
        <v>554.44000000000005</v>
      </c>
      <c r="Z323" s="6">
        <v>185.89</v>
      </c>
      <c r="AA323" s="6">
        <v>5445.42</v>
      </c>
      <c r="AB323" s="6">
        <v>17.079999999999998</v>
      </c>
      <c r="AC323" s="6">
        <v>126.16</v>
      </c>
      <c r="AD323" s="6">
        <v>20.88</v>
      </c>
      <c r="AE323" s="6">
        <v>754.66</v>
      </c>
      <c r="AF323" s="35">
        <v>0.18590000000000001</v>
      </c>
      <c r="AG323" s="35">
        <v>0.22850000000000001</v>
      </c>
      <c r="AH323">
        <v>1</v>
      </c>
      <c r="AI323">
        <v>1</v>
      </c>
      <c r="AJ323">
        <v>0</v>
      </c>
      <c r="AK323" s="35">
        <v>0.18890000000000001</v>
      </c>
      <c r="AL323" s="35">
        <v>0.21989999999999998</v>
      </c>
    </row>
    <row r="324" spans="1:38">
      <c r="A324" t="s">
        <v>604</v>
      </c>
      <c r="B324" t="s">
        <v>605</v>
      </c>
      <c r="C324" t="s">
        <v>1088</v>
      </c>
      <c r="D324" s="6">
        <v>0</v>
      </c>
      <c r="E324" s="6">
        <v>245.1</v>
      </c>
      <c r="F324" s="6">
        <v>69</v>
      </c>
      <c r="G324" s="6">
        <v>138.80000000000001</v>
      </c>
      <c r="H324" s="6">
        <v>140.9</v>
      </c>
      <c r="I324" s="6">
        <v>263.58999999999997</v>
      </c>
      <c r="J324" s="6">
        <v>857.39</v>
      </c>
      <c r="K324" s="6">
        <v>0</v>
      </c>
      <c r="L324" s="6">
        <v>0</v>
      </c>
      <c r="M324" s="6">
        <v>868.99</v>
      </c>
      <c r="N324" s="6">
        <v>11.6</v>
      </c>
      <c r="O324" s="6">
        <v>0</v>
      </c>
      <c r="P324" s="6">
        <v>0</v>
      </c>
      <c r="Q324" s="6">
        <v>0</v>
      </c>
      <c r="R324" s="6">
        <v>0</v>
      </c>
      <c r="S324">
        <v>1</v>
      </c>
      <c r="T324">
        <v>1</v>
      </c>
      <c r="U324">
        <v>0</v>
      </c>
      <c r="V324" s="6">
        <v>7.56</v>
      </c>
      <c r="W324" s="6">
        <v>0</v>
      </c>
      <c r="X324" s="6">
        <v>0</v>
      </c>
      <c r="Y324" s="6">
        <v>92</v>
      </c>
      <c r="Z324" s="6">
        <v>26.44</v>
      </c>
      <c r="AA324" s="6">
        <v>870.62</v>
      </c>
      <c r="AB324" s="6">
        <v>17</v>
      </c>
      <c r="AC324" s="6">
        <v>137.38</v>
      </c>
      <c r="AD324" s="6">
        <v>22.74</v>
      </c>
      <c r="AE324" s="6">
        <v>118.44</v>
      </c>
      <c r="AF324" s="35">
        <v>0.23930000000000001</v>
      </c>
      <c r="AG324" s="35">
        <v>0.20830000000000001</v>
      </c>
      <c r="AH324">
        <v>1</v>
      </c>
      <c r="AI324">
        <v>1</v>
      </c>
      <c r="AJ324">
        <v>0</v>
      </c>
      <c r="AK324" s="35">
        <v>0.19220000000000001</v>
      </c>
      <c r="AL324" s="35">
        <v>0.20220000000000005</v>
      </c>
    </row>
    <row r="325" spans="1:38">
      <c r="A325" t="s">
        <v>993</v>
      </c>
      <c r="B325" t="s">
        <v>994</v>
      </c>
      <c r="C325" t="s">
        <v>1088</v>
      </c>
      <c r="D325" s="6">
        <v>0</v>
      </c>
      <c r="E325" s="6">
        <v>0</v>
      </c>
      <c r="F325" s="6">
        <v>0</v>
      </c>
      <c r="G325" s="6">
        <v>0</v>
      </c>
      <c r="H325" s="6">
        <v>16.899999999999999</v>
      </c>
      <c r="I325" s="6">
        <v>121.7</v>
      </c>
      <c r="J325" s="6">
        <v>138.6</v>
      </c>
      <c r="K325" s="6">
        <v>0</v>
      </c>
      <c r="L325" s="6">
        <v>0</v>
      </c>
      <c r="M325" s="6">
        <v>138.6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>
        <v>1</v>
      </c>
      <c r="T325">
        <v>1</v>
      </c>
      <c r="U325">
        <v>0</v>
      </c>
      <c r="V325" s="6">
        <v>0</v>
      </c>
      <c r="W325" s="6">
        <v>0</v>
      </c>
      <c r="X325" s="6">
        <v>0</v>
      </c>
      <c r="Y325" s="6">
        <v>22.11</v>
      </c>
      <c r="Z325" s="6">
        <v>0</v>
      </c>
      <c r="AA325" s="6">
        <v>138.6</v>
      </c>
      <c r="AB325" s="6">
        <v>25.23</v>
      </c>
      <c r="AC325" s="6">
        <v>137.56</v>
      </c>
      <c r="AD325" s="6">
        <v>22.77</v>
      </c>
      <c r="AE325" s="6">
        <v>22.11</v>
      </c>
      <c r="AF325" s="35">
        <v>0.14399999999999999</v>
      </c>
      <c r="AG325" s="35">
        <v>0</v>
      </c>
      <c r="AH325">
        <v>1</v>
      </c>
      <c r="AI325">
        <v>1</v>
      </c>
      <c r="AJ325">
        <v>0</v>
      </c>
      <c r="AK325" s="35">
        <v>0.14979999999999999</v>
      </c>
      <c r="AL325" s="35">
        <v>0.21360000000000001</v>
      </c>
    </row>
    <row r="326" spans="1:38">
      <c r="D326" s="7">
        <f>SUM(D37:D325)</f>
        <v>5210.2799999999979</v>
      </c>
      <c r="E326" s="7">
        <f>SUM(E37:E325)</f>
        <v>303385.22999999981</v>
      </c>
      <c r="F326" s="7">
        <f t="shared" ref="F326:R326" si="2">SUM(F37:F325)</f>
        <v>78814.539999999994</v>
      </c>
      <c r="G326" s="7">
        <f t="shared" si="2"/>
        <v>157211.30999999994</v>
      </c>
      <c r="H326" s="7">
        <f t="shared" si="2"/>
        <v>155555.97000000003</v>
      </c>
      <c r="I326" s="7">
        <f t="shared" si="2"/>
        <v>292752.20000000036</v>
      </c>
      <c r="J326" s="7">
        <f t="shared" si="2"/>
        <v>987719.25</v>
      </c>
      <c r="K326" s="7">
        <f t="shared" si="2"/>
        <v>23032.330000000009</v>
      </c>
      <c r="L326" s="7">
        <f t="shared" si="2"/>
        <v>2100.0299999999997</v>
      </c>
      <c r="M326" s="7">
        <f t="shared" si="2"/>
        <v>1063448.4299999997</v>
      </c>
      <c r="N326" s="7">
        <f t="shared" si="2"/>
        <v>5802.8699999999953</v>
      </c>
      <c r="O326" s="7">
        <f t="shared" si="2"/>
        <v>121.65999999999997</v>
      </c>
      <c r="P326" s="7">
        <f t="shared" si="2"/>
        <v>14193.750000000005</v>
      </c>
      <c r="Q326" s="7">
        <f t="shared" si="2"/>
        <v>7594.7300000000023</v>
      </c>
      <c r="R326" s="7">
        <f t="shared" si="2"/>
        <v>22883.810000000005</v>
      </c>
    </row>
  </sheetData>
  <autoFilter ref="A3:AL3" xr:uid="{00000000-0001-0000-0600-000000000000}"/>
  <sortState xmlns:xlrd2="http://schemas.microsoft.com/office/spreadsheetml/2017/richdata2" ref="A7:B298">
    <sortCondition ref="A7:A298"/>
  </sortState>
  <phoneticPr fontId="14" type="noConversion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020A8-A76D-4978-9D65-8509B011E495}">
  <dimension ref="A1:Y329"/>
  <sheetViews>
    <sheetView zoomScale="90" zoomScaleNormal="90" workbookViewId="0">
      <pane xSplit="2" ySplit="2" topLeftCell="C3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/>
  <cols>
    <col min="1" max="1" width="15.7109375" bestFit="1" customWidth="1"/>
    <col min="2" max="2" width="28.85546875" customWidth="1"/>
    <col min="3" max="4" width="11.42578125" customWidth="1"/>
    <col min="5" max="5" width="11.140625" customWidth="1"/>
    <col min="6" max="6" width="10.85546875" customWidth="1"/>
    <col min="7" max="7" width="11.140625" customWidth="1"/>
    <col min="8" max="8" width="10.85546875" customWidth="1"/>
    <col min="9" max="9" width="13.7109375" customWidth="1"/>
    <col min="11" max="11" width="11.5703125" customWidth="1"/>
    <col min="12" max="12" width="15.7109375" bestFit="1" customWidth="1"/>
    <col min="13" max="13" width="11.140625" customWidth="1"/>
    <col min="14" max="14" width="15.7109375" customWidth="1"/>
    <col min="15" max="15" width="14.7109375" bestFit="1" customWidth="1"/>
    <col min="16" max="16" width="15.7109375" bestFit="1" customWidth="1"/>
    <col min="17" max="17" width="17.28515625" bestFit="1" customWidth="1"/>
    <col min="18" max="18" width="15.7109375" bestFit="1" customWidth="1"/>
    <col min="19" max="19" width="16.85546875" customWidth="1"/>
    <col min="20" max="20" width="14.7109375" bestFit="1" customWidth="1"/>
    <col min="21" max="21" width="19.5703125" bestFit="1" customWidth="1"/>
    <col min="22" max="22" width="16.7109375" bestFit="1" customWidth="1"/>
    <col min="23" max="23" width="17.28515625" bestFit="1" customWidth="1"/>
    <col min="25" max="25" width="18.5703125" bestFit="1" customWidth="1"/>
  </cols>
  <sheetData>
    <row r="1" spans="1:25">
      <c r="A1" s="23">
        <v>1</v>
      </c>
      <c r="B1" s="23">
        <f>1+A1</f>
        <v>2</v>
      </c>
      <c r="C1" s="23">
        <f t="shared" ref="C1" si="0">1+B1</f>
        <v>3</v>
      </c>
      <c r="D1" s="23"/>
      <c r="K1" s="61">
        <v>0.15</v>
      </c>
      <c r="L1" s="7">
        <v>1.2</v>
      </c>
      <c r="O1" s="29">
        <v>1.1200000000000001</v>
      </c>
      <c r="P1" s="29">
        <v>1.06</v>
      </c>
      <c r="Q1" s="29">
        <v>1.1200000000000001</v>
      </c>
      <c r="R1" s="29">
        <v>1.06</v>
      </c>
      <c r="S1" s="7">
        <f>COUNTIF(S3:S321,"&lt;0")</f>
        <v>161</v>
      </c>
      <c r="T1">
        <f>COUNT(S3:S32)</f>
        <v>30</v>
      </c>
      <c r="U1" s="7">
        <f>S1-T1</f>
        <v>131</v>
      </c>
    </row>
    <row r="2" spans="1:25" ht="45">
      <c r="A2" s="24" t="s">
        <v>292</v>
      </c>
      <c r="B2" s="24" t="s">
        <v>293</v>
      </c>
      <c r="C2" s="48" t="s">
        <v>1148</v>
      </c>
      <c r="D2" s="36" t="s">
        <v>1066</v>
      </c>
      <c r="E2" s="25" t="s">
        <v>1082</v>
      </c>
      <c r="F2" s="25" t="s">
        <v>1083</v>
      </c>
      <c r="G2" s="25" t="s">
        <v>1067</v>
      </c>
      <c r="H2" s="25" t="s">
        <v>1068</v>
      </c>
      <c r="I2" s="25" t="s">
        <v>1069</v>
      </c>
      <c r="J2" s="25" t="s">
        <v>1070</v>
      </c>
      <c r="K2" s="25" t="s">
        <v>1071</v>
      </c>
      <c r="L2" s="37" t="s">
        <v>1072</v>
      </c>
      <c r="M2" s="37" t="s">
        <v>1086</v>
      </c>
      <c r="N2" s="37" t="s">
        <v>1087</v>
      </c>
      <c r="O2" s="37" t="s">
        <v>1084</v>
      </c>
      <c r="P2" s="37" t="s">
        <v>1085</v>
      </c>
      <c r="Q2" s="37" t="s">
        <v>1073</v>
      </c>
      <c r="R2" s="37" t="s">
        <v>1074</v>
      </c>
      <c r="S2" s="37" t="s">
        <v>1075</v>
      </c>
      <c r="T2" s="55" t="s">
        <v>1076</v>
      </c>
      <c r="U2" s="37" t="s">
        <v>1077</v>
      </c>
      <c r="V2" s="60" t="s">
        <v>1078</v>
      </c>
      <c r="W2" s="46" t="s">
        <v>1079</v>
      </c>
      <c r="X2" s="36" t="s">
        <v>1080</v>
      </c>
      <c r="Y2" s="37" t="s">
        <v>1081</v>
      </c>
    </row>
    <row r="3" spans="1:25">
      <c r="A3" t="s">
        <v>494</v>
      </c>
      <c r="B3" t="s">
        <v>495</v>
      </c>
      <c r="C3" s="6">
        <f>VLOOKUP($A3,'SpEd BEA Rate 2324'!$A$4:$AS$325,45,FALSE)</f>
        <v>10315.82</v>
      </c>
      <c r="D3" s="6">
        <f>VLOOKUP($A3,'2324 Jun 24 Enroll'!$A$4:$AL$325,22,FALSE)</f>
        <v>0.67</v>
      </c>
      <c r="E3" s="6">
        <f>VLOOKUP($A3,'2324 Jun 24 Enroll'!$A$4:$AL$325,23,FALSE)</f>
        <v>0</v>
      </c>
      <c r="F3" s="6">
        <f>VLOOKUP($A3,'2324 Jun 24 Enroll'!$A$4:$AL$325,24,FALSE)</f>
        <v>0</v>
      </c>
      <c r="G3" s="6">
        <f>VLOOKUP($A3,'2324 Jun 24 Enroll'!$A$4:$AL$325,25,FALSE)</f>
        <v>16.78</v>
      </c>
      <c r="H3" s="6">
        <f>VLOOKUP($A3,'2324 Jun 24 Enroll'!$A$4:$AL$325,26,FALSE)</f>
        <v>1</v>
      </c>
      <c r="I3" s="6">
        <f>VLOOKUP($A3,'2324 Jun 24 Enroll'!$A$4:$AL$325,27,FALSE)</f>
        <v>167.7</v>
      </c>
      <c r="J3" s="54">
        <f>ROUND((E3+F3+G3+H3)/I3,4)</f>
        <v>0.106</v>
      </c>
      <c r="K3" s="54">
        <f>IF(J3&lt;$K$1,0,J3-$K$1)</f>
        <v>0</v>
      </c>
      <c r="L3" s="45">
        <f>ROUND(D3*$L$1*$C$33,2)</f>
        <v>7617.8</v>
      </c>
      <c r="M3" s="68">
        <v>132.1</v>
      </c>
      <c r="N3" s="68">
        <v>21.86</v>
      </c>
      <c r="O3" s="45">
        <f>ROUND(+E3*(($C$33*O$1)-$N$33),2)</f>
        <v>0</v>
      </c>
      <c r="P3" s="45">
        <f t="shared" ref="P3:P32" si="1">ROUND(+F3*(($C$33*P$1)-$N$33),2)</f>
        <v>0</v>
      </c>
      <c r="Q3" s="45">
        <f t="shared" ref="Q3:Q32" si="2">ROUND(+G3*(($C$33*Q$1)-$N$33),2)</f>
        <v>177717.24</v>
      </c>
      <c r="R3" s="45">
        <f t="shared" ref="R3:R32" si="3">ROUND(+H3*(($C$33*R$1)-$N$33),2)</f>
        <v>10022.52</v>
      </c>
      <c r="S3" s="45">
        <f t="shared" ref="S3:S32" si="4">IF($J$33&lt;K$1,0,ROUND(((((O3+P3+Q3+R3)*-1)/$J$33)*$K$33),2))</f>
        <v>-4638.5600000000004</v>
      </c>
      <c r="T3" s="6">
        <f>VLOOKUP($A3,'2324 Jun 24 Enroll'!$A$4:$AL$325,31,FALSE)</f>
        <v>17.78</v>
      </c>
      <c r="U3" s="45">
        <f>ROUND(T3*$C$33,2)</f>
        <v>168463.37</v>
      </c>
      <c r="V3" s="35">
        <v>0.24010000000000001</v>
      </c>
      <c r="W3" s="45">
        <f>ROUND(U3/(1+V3),2)</f>
        <v>135846.6</v>
      </c>
      <c r="X3" s="35">
        <v>0.2056</v>
      </c>
      <c r="Y3" s="45">
        <f>ROUND(X3*W3,2)</f>
        <v>27930.06</v>
      </c>
    </row>
    <row r="4" spans="1:25">
      <c r="A4" t="s">
        <v>426</v>
      </c>
      <c r="B4" t="s">
        <v>427</v>
      </c>
      <c r="C4" s="6">
        <f>VLOOKUP($A4,'SpEd BEA Rate 2324'!$A$4:$AS$325,45,FALSE)</f>
        <v>9797.5000000000018</v>
      </c>
      <c r="D4" s="6">
        <f>VLOOKUP($A4,'2324 Jun 24 Enroll'!$A$4:$AL$325,22,FALSE)</f>
        <v>3.33</v>
      </c>
      <c r="E4" s="6">
        <f>VLOOKUP($A4,'2324 Jun 24 Enroll'!$A$4:$AL$325,23,FALSE)</f>
        <v>0</v>
      </c>
      <c r="F4" s="6">
        <f>VLOOKUP($A4,'2324 Jun 24 Enroll'!$A$4:$AL$325,24,FALSE)</f>
        <v>0</v>
      </c>
      <c r="G4" s="6">
        <f>VLOOKUP($A4,'2324 Jun 24 Enroll'!$A$4:$AL$325,25,FALSE)</f>
        <v>37.78</v>
      </c>
      <c r="H4" s="6">
        <f>VLOOKUP($A4,'2324 Jun 24 Enroll'!$A$4:$AL$325,26,FALSE)</f>
        <v>11.11</v>
      </c>
      <c r="I4" s="6">
        <f>VLOOKUP($A4,'2324 Jun 24 Enroll'!$A$4:$AL$325,27,FALSE)</f>
        <v>347.36</v>
      </c>
      <c r="J4" s="54">
        <f t="shared" ref="J4:J67" si="5">ROUND((E4+F4+G4+H4)/I4,4)</f>
        <v>0.14069999999999999</v>
      </c>
      <c r="K4" s="54">
        <f t="shared" ref="K4:K69" si="6">IF(J4&lt;$K$1,0,J4-$K$1)</f>
        <v>0</v>
      </c>
      <c r="L4" s="45">
        <f t="shared" ref="L4:L32" si="7">ROUND(D4*$L$1*$C$33,2)</f>
        <v>37861.620000000003</v>
      </c>
      <c r="M4" s="68">
        <v>119.43</v>
      </c>
      <c r="N4" s="68">
        <v>19.77</v>
      </c>
      <c r="O4" s="45">
        <f t="shared" ref="O4:O32" si="8">ROUND(+E4*(($C$33*O$1)-$N$33),2)</f>
        <v>0</v>
      </c>
      <c r="P4" s="45">
        <f t="shared" si="1"/>
        <v>0</v>
      </c>
      <c r="Q4" s="45">
        <f t="shared" si="2"/>
        <v>400128.57</v>
      </c>
      <c r="R4" s="45">
        <f t="shared" si="3"/>
        <v>111350.23</v>
      </c>
      <c r="S4" s="45">
        <f t="shared" si="4"/>
        <v>-12637.32</v>
      </c>
      <c r="T4" s="6">
        <f>VLOOKUP($A4,'2324 Jun 24 Enroll'!$A$4:$AL$325,31,FALSE)</f>
        <v>48.89</v>
      </c>
      <c r="U4" s="45">
        <f t="shared" ref="U4:U32" si="9">ROUND(T4*$C$33,2)</f>
        <v>463226.88</v>
      </c>
      <c r="V4" s="35">
        <v>0.25600000000000001</v>
      </c>
      <c r="W4" s="45">
        <f t="shared" ref="W4:W31" si="10">ROUND(U4/(1+V4),2)</f>
        <v>368811.21</v>
      </c>
      <c r="X4" s="35">
        <v>0.2056</v>
      </c>
      <c r="Y4" s="45">
        <f t="shared" ref="Y4:Y30" si="11">ROUND(X4*W4,2)</f>
        <v>75827.58</v>
      </c>
    </row>
    <row r="5" spans="1:25">
      <c r="A5" t="s">
        <v>829</v>
      </c>
      <c r="B5" t="s">
        <v>830</v>
      </c>
      <c r="C5" s="6">
        <f>VLOOKUP($A5,'SpEd BEA Rate 2324'!$A$4:$AS$325,45,FALSE)</f>
        <v>9547.4</v>
      </c>
      <c r="D5" s="6">
        <f>VLOOKUP($A5,'2324 Jun 24 Enroll'!$A$4:$AL$325,22,FALSE)</f>
        <v>3.78</v>
      </c>
      <c r="E5" s="6">
        <f>VLOOKUP($A5,'2324 Jun 24 Enroll'!$A$4:$AL$325,23,FALSE)</f>
        <v>0</v>
      </c>
      <c r="F5" s="6">
        <f>VLOOKUP($A5,'2324 Jun 24 Enroll'!$A$4:$AL$325,24,FALSE)</f>
        <v>0</v>
      </c>
      <c r="G5" s="6">
        <f>VLOOKUP($A5,'2324 Jun 24 Enroll'!$A$4:$AL$325,25,FALSE)</f>
        <v>61.33</v>
      </c>
      <c r="H5" s="6">
        <f>VLOOKUP($A5,'2324 Jun 24 Enroll'!$A$4:$AL$325,26,FALSE)</f>
        <v>34.33</v>
      </c>
      <c r="I5" s="6">
        <f>VLOOKUP($A5,'2324 Jun 24 Enroll'!$A$4:$AL$325,27,FALSE)</f>
        <v>673.63</v>
      </c>
      <c r="J5" s="54">
        <f t="shared" si="5"/>
        <v>0.14199999999999999</v>
      </c>
      <c r="K5" s="54">
        <f t="shared" si="6"/>
        <v>0</v>
      </c>
      <c r="L5" s="45">
        <f t="shared" si="7"/>
        <v>42978.06</v>
      </c>
      <c r="M5" s="68">
        <v>119.42</v>
      </c>
      <c r="N5" s="68">
        <v>19.77</v>
      </c>
      <c r="O5" s="45">
        <f t="shared" si="8"/>
        <v>0</v>
      </c>
      <c r="P5" s="45">
        <f t="shared" si="1"/>
        <v>0</v>
      </c>
      <c r="Q5" s="45">
        <f t="shared" si="2"/>
        <v>649546.99</v>
      </c>
      <c r="R5" s="45">
        <f t="shared" si="3"/>
        <v>344073.21</v>
      </c>
      <c r="S5" s="45">
        <f t="shared" si="4"/>
        <v>-24549.78</v>
      </c>
      <c r="T5" s="6">
        <f>VLOOKUP($A5,'2324 Jun 24 Enroll'!$A$4:$AL$325,31,FALSE)</f>
        <v>95.66</v>
      </c>
      <c r="U5" s="45">
        <f t="shared" si="9"/>
        <v>906367.02</v>
      </c>
      <c r="V5" s="35">
        <v>0.15939999999999999</v>
      </c>
      <c r="W5" s="45">
        <f t="shared" si="10"/>
        <v>781755.24</v>
      </c>
      <c r="X5" s="35">
        <v>0.2056</v>
      </c>
      <c r="Y5" s="45">
        <f t="shared" si="11"/>
        <v>160728.88</v>
      </c>
    </row>
    <row r="6" spans="1:25">
      <c r="A6" t="s">
        <v>518</v>
      </c>
      <c r="B6" t="s">
        <v>519</v>
      </c>
      <c r="C6" s="6">
        <f>VLOOKUP($A6,'SpEd BEA Rate 2324'!$A$4:$AS$325,45,FALSE)</f>
        <v>9550.31</v>
      </c>
      <c r="D6" s="6">
        <f>VLOOKUP($A6,'2324 Jun 24 Enroll'!$A$4:$AL$325,22,FALSE)</f>
        <v>10.220000000000001</v>
      </c>
      <c r="E6" s="6">
        <f>VLOOKUP($A6,'2324 Jun 24 Enroll'!$A$4:$AL$325,23,FALSE)</f>
        <v>0</v>
      </c>
      <c r="F6" s="6">
        <f>VLOOKUP($A6,'2324 Jun 24 Enroll'!$A$4:$AL$325,24,FALSE)</f>
        <v>0</v>
      </c>
      <c r="G6" s="6">
        <f>VLOOKUP($A6,'2324 Jun 24 Enroll'!$A$4:$AL$325,25,FALSE)</f>
        <v>121.78</v>
      </c>
      <c r="H6" s="6">
        <f>VLOOKUP($A6,'2324 Jun 24 Enroll'!$A$4:$AL$325,26,FALSE)</f>
        <v>62.11</v>
      </c>
      <c r="I6" s="6">
        <f>VLOOKUP($A6,'2324 Jun 24 Enroll'!$A$4:$AL$325,27,FALSE)</f>
        <v>1138.68</v>
      </c>
      <c r="J6" s="54">
        <f t="shared" si="5"/>
        <v>0.1615</v>
      </c>
      <c r="K6" s="54">
        <f t="shared" si="6"/>
        <v>1.150000000000001E-2</v>
      </c>
      <c r="L6" s="45">
        <f t="shared" si="7"/>
        <v>116199.93</v>
      </c>
      <c r="M6" s="68">
        <v>137.26</v>
      </c>
      <c r="N6" s="68">
        <v>22.72</v>
      </c>
      <c r="O6" s="45">
        <f t="shared" si="8"/>
        <v>0</v>
      </c>
      <c r="P6" s="45">
        <f t="shared" si="1"/>
        <v>0</v>
      </c>
      <c r="Q6" s="45">
        <f t="shared" si="2"/>
        <v>1289773.8799999999</v>
      </c>
      <c r="R6" s="45">
        <f t="shared" si="3"/>
        <v>622498.89</v>
      </c>
      <c r="S6" s="45">
        <f t="shared" si="4"/>
        <v>-47247.31</v>
      </c>
      <c r="T6" s="6">
        <f>VLOOKUP($A6,'2324 Jun 24 Enroll'!$A$4:$AL$325,31,FALSE)</f>
        <v>183.89</v>
      </c>
      <c r="U6" s="45">
        <f t="shared" si="9"/>
        <v>1742335.68</v>
      </c>
      <c r="V6" s="35">
        <v>0.19919999999999999</v>
      </c>
      <c r="W6" s="45">
        <f t="shared" si="10"/>
        <v>1452915.01</v>
      </c>
      <c r="X6" s="35">
        <v>0.2056</v>
      </c>
      <c r="Y6" s="45">
        <f t="shared" si="11"/>
        <v>298719.33</v>
      </c>
    </row>
    <row r="7" spans="1:25">
      <c r="A7" t="s">
        <v>669</v>
      </c>
      <c r="B7" t="s">
        <v>670</v>
      </c>
      <c r="C7" s="6">
        <f>VLOOKUP($A7,'SpEd BEA Rate 2324'!$A$4:$AS$325,45,FALSE)</f>
        <v>9837.1100000000042</v>
      </c>
      <c r="D7" s="6">
        <f>VLOOKUP($A7,'2324 Jun 24 Enroll'!$A$4:$AL$325,22,FALSE)</f>
        <v>2</v>
      </c>
      <c r="E7" s="6">
        <f>VLOOKUP($A7,'2324 Jun 24 Enroll'!$A$4:$AL$325,23,FALSE)</f>
        <v>0</v>
      </c>
      <c r="F7" s="6">
        <f>VLOOKUP($A7,'2324 Jun 24 Enroll'!$A$4:$AL$325,24,FALSE)</f>
        <v>0</v>
      </c>
      <c r="G7" s="6">
        <f>VLOOKUP($A7,'2324 Jun 24 Enroll'!$A$4:$AL$325,25,FALSE)</f>
        <v>11.44</v>
      </c>
      <c r="H7" s="6">
        <f>VLOOKUP($A7,'2324 Jun 24 Enroll'!$A$4:$AL$325,26,FALSE)</f>
        <v>4.78</v>
      </c>
      <c r="I7" s="6">
        <f>VLOOKUP($A7,'2324 Jun 24 Enroll'!$A$4:$AL$325,27,FALSE)</f>
        <v>109.06</v>
      </c>
      <c r="J7" s="54">
        <f t="shared" si="5"/>
        <v>0.1487</v>
      </c>
      <c r="K7" s="54">
        <f t="shared" si="6"/>
        <v>0</v>
      </c>
      <c r="L7" s="45">
        <f t="shared" si="7"/>
        <v>22739.71</v>
      </c>
      <c r="M7" s="68">
        <v>117.82</v>
      </c>
      <c r="N7" s="68">
        <v>19.5</v>
      </c>
      <c r="O7" s="45">
        <f t="shared" si="8"/>
        <v>0</v>
      </c>
      <c r="P7" s="45">
        <f t="shared" si="1"/>
        <v>0</v>
      </c>
      <c r="Q7" s="45">
        <f t="shared" si="2"/>
        <v>121161.22</v>
      </c>
      <c r="R7" s="45">
        <f t="shared" si="3"/>
        <v>47907.66</v>
      </c>
      <c r="S7" s="45">
        <f t="shared" si="4"/>
        <v>-4177.25</v>
      </c>
      <c r="T7" s="6">
        <f>VLOOKUP($A7,'2324 Jun 24 Enroll'!$A$4:$AL$325,31,FALSE)</f>
        <v>16.22</v>
      </c>
      <c r="U7" s="45">
        <f t="shared" si="9"/>
        <v>153682.54999999999</v>
      </c>
      <c r="V7" s="35">
        <v>0.21729999999999999</v>
      </c>
      <c r="W7" s="45">
        <f t="shared" si="10"/>
        <v>126248.71</v>
      </c>
      <c r="X7" s="35">
        <v>0.2056</v>
      </c>
      <c r="Y7" s="45">
        <f t="shared" si="11"/>
        <v>25956.73</v>
      </c>
    </row>
    <row r="8" spans="1:25">
      <c r="A8" t="s">
        <v>677</v>
      </c>
      <c r="B8" t="s">
        <v>678</v>
      </c>
      <c r="C8" s="6">
        <f>VLOOKUP($A8,'SpEd BEA Rate 2324'!$A$4:$AS$325,45,FALSE)</f>
        <v>10454.469999999999</v>
      </c>
      <c r="D8" s="6">
        <f>VLOOKUP($A8,'2324 Jun 24 Enroll'!$A$4:$AL$325,22,FALSE)</f>
        <v>0</v>
      </c>
      <c r="E8" s="6">
        <f>VLOOKUP($A8,'2324 Jun 24 Enroll'!$A$4:$AL$325,23,FALSE)</f>
        <v>0</v>
      </c>
      <c r="F8" s="6">
        <f>VLOOKUP($A8,'2324 Jun 24 Enroll'!$A$4:$AL$325,24,FALSE)</f>
        <v>0</v>
      </c>
      <c r="G8" s="6">
        <f>VLOOKUP($A8,'2324 Jun 24 Enroll'!$A$4:$AL$325,25,FALSE)</f>
        <v>3.89</v>
      </c>
      <c r="H8" s="6">
        <f>VLOOKUP($A8,'2324 Jun 24 Enroll'!$A$4:$AL$325,26,FALSE)</f>
        <v>0</v>
      </c>
      <c r="I8" s="6">
        <f>VLOOKUP($A8,'2324 Jun 24 Enroll'!$A$4:$AL$325,27,FALSE)</f>
        <v>26.7</v>
      </c>
      <c r="J8" s="54">
        <f t="shared" si="5"/>
        <v>0.1457</v>
      </c>
      <c r="K8" s="54">
        <f>IF(J8&lt;$K$1,0,J8-$K$1)</f>
        <v>0</v>
      </c>
      <c r="L8" s="45">
        <f t="shared" si="7"/>
        <v>0</v>
      </c>
      <c r="M8" s="68">
        <v>130.18</v>
      </c>
      <c r="N8" s="68">
        <v>21.55</v>
      </c>
      <c r="O8" s="45">
        <f t="shared" si="8"/>
        <v>0</v>
      </c>
      <c r="P8" s="45">
        <f t="shared" si="1"/>
        <v>0</v>
      </c>
      <c r="Q8" s="45">
        <f t="shared" si="2"/>
        <v>41199.050000000003</v>
      </c>
      <c r="R8" s="45">
        <f t="shared" si="3"/>
        <v>0</v>
      </c>
      <c r="S8" s="45">
        <f t="shared" si="4"/>
        <v>-1017.92</v>
      </c>
      <c r="T8" s="6">
        <f>VLOOKUP($A8,'2324 Jun 24 Enroll'!$A$4:$AL$325,31,FALSE)</f>
        <v>3.89</v>
      </c>
      <c r="U8" s="45">
        <f t="shared" si="9"/>
        <v>36857.279999999999</v>
      </c>
      <c r="V8" s="35">
        <v>0.72509999999999997</v>
      </c>
      <c r="W8" s="45">
        <f>ROUND(U8/(1+V8),2)</f>
        <v>21365.3</v>
      </c>
      <c r="X8" s="35">
        <v>0.2056</v>
      </c>
      <c r="Y8" s="45">
        <f>ROUND(X8*W8,2)</f>
        <v>4392.71</v>
      </c>
    </row>
    <row r="9" spans="1:25">
      <c r="A9" t="s">
        <v>570</v>
      </c>
      <c r="B9" t="s">
        <v>571</v>
      </c>
      <c r="C9" s="6">
        <f>VLOOKUP($A9,'SpEd BEA Rate 2324'!$A$4:$AS$325,45,FALSE)</f>
        <v>9614.75</v>
      </c>
      <c r="D9" s="6">
        <f>VLOOKUP($A9,'2324 Jun 24 Enroll'!$A$4:$AL$325,22,FALSE)</f>
        <v>2</v>
      </c>
      <c r="E9" s="6">
        <f>VLOOKUP($A9,'2324 Jun 24 Enroll'!$A$4:$AL$325,23,FALSE)</f>
        <v>0</v>
      </c>
      <c r="F9" s="6">
        <f>VLOOKUP($A9,'2324 Jun 24 Enroll'!$A$4:$AL$325,24,FALSE)</f>
        <v>0</v>
      </c>
      <c r="G9" s="6">
        <f>VLOOKUP($A9,'2324 Jun 24 Enroll'!$A$4:$AL$325,25,FALSE)</f>
        <v>7.44</v>
      </c>
      <c r="H9" s="6">
        <f>VLOOKUP($A9,'2324 Jun 24 Enroll'!$A$4:$AL$325,26,FALSE)</f>
        <v>3.33</v>
      </c>
      <c r="I9" s="6">
        <f>VLOOKUP($A9,'2324 Jun 24 Enroll'!$A$4:$AL$325,27,FALSE)</f>
        <v>99.95</v>
      </c>
      <c r="J9" s="54">
        <f t="shared" si="5"/>
        <v>0.10780000000000001</v>
      </c>
      <c r="K9" s="54">
        <f>IF(J9&lt;$K$1,0,J9-$K$1)</f>
        <v>0</v>
      </c>
      <c r="L9" s="45">
        <f t="shared" si="7"/>
        <v>22739.71</v>
      </c>
      <c r="M9" s="68">
        <v>135.93</v>
      </c>
      <c r="N9" s="68">
        <v>22.5</v>
      </c>
      <c r="O9" s="45">
        <f t="shared" si="8"/>
        <v>0</v>
      </c>
      <c r="P9" s="45">
        <f t="shared" si="1"/>
        <v>0</v>
      </c>
      <c r="Q9" s="45">
        <f t="shared" si="2"/>
        <v>78797.16</v>
      </c>
      <c r="R9" s="45">
        <f t="shared" si="3"/>
        <v>33375</v>
      </c>
      <c r="S9" s="45">
        <f t="shared" si="4"/>
        <v>-2771.48</v>
      </c>
      <c r="T9" s="6">
        <f>VLOOKUP($A9,'2324 Jun 24 Enroll'!$A$4:$AL$325,31,FALSE)</f>
        <v>10.77</v>
      </c>
      <c r="U9" s="45">
        <f t="shared" si="9"/>
        <v>102044.46</v>
      </c>
      <c r="V9" s="35">
        <v>0.34100000000000003</v>
      </c>
      <c r="W9" s="45">
        <f>ROUND(U9/(1+V9),2)</f>
        <v>76095.789999999994</v>
      </c>
      <c r="X9" s="35">
        <v>0.2056</v>
      </c>
      <c r="Y9" s="45">
        <f>ROUND(X9*W9,2)</f>
        <v>15645.29</v>
      </c>
    </row>
    <row r="10" spans="1:25">
      <c r="A10" t="s">
        <v>861</v>
      </c>
      <c r="B10" t="s">
        <v>862</v>
      </c>
      <c r="C10" s="6">
        <f>VLOOKUP($A10,'SpEd BEA Rate 2324'!$A$4:$AS$325,45,FALSE)</f>
        <v>9678.5399999999991</v>
      </c>
      <c r="D10" s="6">
        <f>VLOOKUP($A10,'2324 Jun 24 Enroll'!$A$4:$AL$325,22,FALSE)</f>
        <v>3.89</v>
      </c>
      <c r="E10" s="6">
        <f>VLOOKUP($A10,'2324 Jun 24 Enroll'!$A$4:$AL$325,23,FALSE)</f>
        <v>0</v>
      </c>
      <c r="F10" s="6">
        <f>VLOOKUP($A10,'2324 Jun 24 Enroll'!$A$4:$AL$325,24,FALSE)</f>
        <v>0</v>
      </c>
      <c r="G10" s="6">
        <f>VLOOKUP($A10,'2324 Jun 24 Enroll'!$A$4:$AL$325,25,FALSE)</f>
        <v>38.11</v>
      </c>
      <c r="H10" s="6">
        <f>VLOOKUP($A10,'2324 Jun 24 Enroll'!$A$4:$AL$325,26,FALSE)</f>
        <v>4</v>
      </c>
      <c r="I10" s="6">
        <f>VLOOKUP($A10,'2324 Jun 24 Enroll'!$A$4:$AL$325,27,FALSE)</f>
        <v>255.77</v>
      </c>
      <c r="J10" s="54">
        <f t="shared" si="5"/>
        <v>0.1646</v>
      </c>
      <c r="K10" s="54">
        <f t="shared" si="6"/>
        <v>1.4600000000000002E-2</v>
      </c>
      <c r="L10" s="45">
        <f t="shared" si="7"/>
        <v>44228.74</v>
      </c>
      <c r="M10" s="68">
        <v>130.53</v>
      </c>
      <c r="N10" s="68">
        <v>21.6</v>
      </c>
      <c r="O10" s="45">
        <f t="shared" si="8"/>
        <v>0</v>
      </c>
      <c r="P10" s="45">
        <f t="shared" si="1"/>
        <v>0</v>
      </c>
      <c r="Q10" s="45">
        <f t="shared" si="2"/>
        <v>403623.6</v>
      </c>
      <c r="R10" s="45">
        <f t="shared" si="3"/>
        <v>40090.089999999997</v>
      </c>
      <c r="S10" s="45">
        <f t="shared" si="4"/>
        <v>-10963.02</v>
      </c>
      <c r="T10" s="6">
        <f>VLOOKUP($A10,'2324 Jun 24 Enroll'!$A$4:$AL$325,31,FALSE)</f>
        <v>42.11</v>
      </c>
      <c r="U10" s="45">
        <f t="shared" si="9"/>
        <v>398987.2</v>
      </c>
      <c r="V10" s="35">
        <v>0.25659999999999999</v>
      </c>
      <c r="W10" s="45">
        <f t="shared" si="10"/>
        <v>317513.28999999998</v>
      </c>
      <c r="X10" s="35">
        <v>0.2056</v>
      </c>
      <c r="Y10" s="45">
        <f t="shared" si="11"/>
        <v>65280.73</v>
      </c>
    </row>
    <row r="11" spans="1:25">
      <c r="A11" t="s">
        <v>516</v>
      </c>
      <c r="B11" t="s">
        <v>517</v>
      </c>
      <c r="C11" s="6">
        <f>VLOOKUP($A11,'SpEd BEA Rate 2324'!$A$4:$AS$325,45,FALSE)</f>
        <v>9636.64</v>
      </c>
      <c r="D11" s="6">
        <f>VLOOKUP($A11,'2324 Jun 24 Enroll'!$A$4:$AL$325,22,FALSE)</f>
        <v>0</v>
      </c>
      <c r="E11" s="6">
        <f>VLOOKUP($A11,'2324 Jun 24 Enroll'!$A$4:$AL$325,23,FALSE)</f>
        <v>0</v>
      </c>
      <c r="F11" s="6">
        <f>VLOOKUP($A11,'2324 Jun 24 Enroll'!$A$4:$AL$325,24,FALSE)</f>
        <v>0</v>
      </c>
      <c r="G11" s="6">
        <f>VLOOKUP($A11,'2324 Jun 24 Enroll'!$A$4:$AL$325,25,FALSE)</f>
        <v>12</v>
      </c>
      <c r="H11" s="6">
        <f>VLOOKUP($A11,'2324 Jun 24 Enroll'!$A$4:$AL$325,26,FALSE)</f>
        <v>0</v>
      </c>
      <c r="I11" s="6">
        <f>VLOOKUP($A11,'2324 Jun 24 Enroll'!$A$4:$AL$325,27,FALSE)</f>
        <v>48.51</v>
      </c>
      <c r="J11" s="54">
        <f t="shared" si="5"/>
        <v>0.24740000000000001</v>
      </c>
      <c r="K11" s="54">
        <f t="shared" si="6"/>
        <v>9.7400000000000014E-2</v>
      </c>
      <c r="L11" s="45">
        <f t="shared" si="7"/>
        <v>0</v>
      </c>
      <c r="M11" s="68">
        <v>127.81</v>
      </c>
      <c r="N11" s="68">
        <v>21.15</v>
      </c>
      <c r="O11" s="45">
        <f t="shared" si="8"/>
        <v>0</v>
      </c>
      <c r="P11" s="45">
        <f t="shared" si="1"/>
        <v>0</v>
      </c>
      <c r="Q11" s="45">
        <f t="shared" si="2"/>
        <v>127092.19</v>
      </c>
      <c r="R11" s="45">
        <f t="shared" si="3"/>
        <v>0</v>
      </c>
      <c r="S11" s="45">
        <f t="shared" si="4"/>
        <v>-3140.12</v>
      </c>
      <c r="T11" s="6">
        <f>VLOOKUP($A11,'2324 Jun 24 Enroll'!$A$4:$AL$325,31,FALSE)</f>
        <v>12</v>
      </c>
      <c r="U11" s="45">
        <f t="shared" si="9"/>
        <v>113698.56</v>
      </c>
      <c r="V11" s="35">
        <v>0.46110000000000001</v>
      </c>
      <c r="W11" s="45">
        <f t="shared" si="10"/>
        <v>77817.100000000006</v>
      </c>
      <c r="X11" s="35">
        <v>0.2056</v>
      </c>
      <c r="Y11" s="45">
        <f t="shared" si="11"/>
        <v>15999.2</v>
      </c>
    </row>
    <row r="12" spans="1:25">
      <c r="A12" t="s">
        <v>544</v>
      </c>
      <c r="B12" t="s">
        <v>545</v>
      </c>
      <c r="C12" s="6">
        <f>VLOOKUP($A12,'SpEd BEA Rate 2324'!$A$4:$AS$325,45,FALSE)</f>
        <v>9420.4100000000017</v>
      </c>
      <c r="D12" s="6">
        <f>VLOOKUP($A12,'2324 Jun 24 Enroll'!$A$4:$AL$325,22,FALSE)</f>
        <v>1.56</v>
      </c>
      <c r="E12" s="6">
        <f>VLOOKUP($A12,'2324 Jun 24 Enroll'!$A$4:$AL$325,23,FALSE)</f>
        <v>0</v>
      </c>
      <c r="F12" s="6">
        <f>VLOOKUP($A12,'2324 Jun 24 Enroll'!$A$4:$AL$325,24,FALSE)</f>
        <v>0</v>
      </c>
      <c r="G12" s="6">
        <f>VLOOKUP($A12,'2324 Jun 24 Enroll'!$A$4:$AL$325,25,FALSE)</f>
        <v>16.329999999999998</v>
      </c>
      <c r="H12" s="6">
        <f>VLOOKUP($A12,'2324 Jun 24 Enroll'!$A$4:$AL$325,26,FALSE)</f>
        <v>21.67</v>
      </c>
      <c r="I12" s="6">
        <f>VLOOKUP($A12,'2324 Jun 24 Enroll'!$A$4:$AL$325,27,FALSE)</f>
        <v>208.02</v>
      </c>
      <c r="J12" s="54">
        <f t="shared" si="5"/>
        <v>0.1827</v>
      </c>
      <c r="K12" s="54">
        <f t="shared" si="6"/>
        <v>3.2700000000000007E-2</v>
      </c>
      <c r="L12" s="45">
        <f t="shared" si="7"/>
        <v>17736.98</v>
      </c>
      <c r="M12" s="68">
        <v>140.57</v>
      </c>
      <c r="N12" s="68">
        <v>23.27</v>
      </c>
      <c r="O12" s="45">
        <f t="shared" si="8"/>
        <v>0</v>
      </c>
      <c r="P12" s="45">
        <f t="shared" si="1"/>
        <v>0</v>
      </c>
      <c r="Q12" s="45">
        <f t="shared" si="2"/>
        <v>172951.28</v>
      </c>
      <c r="R12" s="45">
        <f t="shared" si="3"/>
        <v>217188.07</v>
      </c>
      <c r="S12" s="45">
        <f t="shared" si="4"/>
        <v>-9639.33</v>
      </c>
      <c r="T12" s="6">
        <f>VLOOKUP($A12,'2324 Jun 24 Enroll'!$A$4:$AL$325,31,FALSE)</f>
        <v>38</v>
      </c>
      <c r="U12" s="45">
        <f t="shared" si="9"/>
        <v>360045.44</v>
      </c>
      <c r="V12" s="35">
        <v>0.25519999999999998</v>
      </c>
      <c r="W12" s="45">
        <f t="shared" si="10"/>
        <v>286843.08</v>
      </c>
      <c r="X12" s="35">
        <v>0.2056</v>
      </c>
      <c r="Y12" s="45">
        <f t="shared" si="11"/>
        <v>58974.94</v>
      </c>
    </row>
    <row r="13" spans="1:25">
      <c r="A13" t="s">
        <v>887</v>
      </c>
      <c r="B13" t="s">
        <v>888</v>
      </c>
      <c r="C13" s="6">
        <f>VLOOKUP($A13,'SpEd BEA Rate 2324'!$A$4:$AS$325,45,FALSE)</f>
        <v>9658.42</v>
      </c>
      <c r="D13" s="6">
        <f>VLOOKUP($A13,'2324 Jun 24 Enroll'!$A$4:$AL$325,22,FALSE)</f>
        <v>0.22</v>
      </c>
      <c r="E13" s="6">
        <f>VLOOKUP($A13,'2324 Jun 24 Enroll'!$A$4:$AL$325,23,FALSE)</f>
        <v>0</v>
      </c>
      <c r="F13" s="6">
        <f>VLOOKUP($A13,'2324 Jun 24 Enroll'!$A$4:$AL$325,24,FALSE)</f>
        <v>0</v>
      </c>
      <c r="G13" s="6">
        <f>VLOOKUP($A13,'2324 Jun 24 Enroll'!$A$4:$AL$325,25,FALSE)</f>
        <v>12.33</v>
      </c>
      <c r="H13" s="6">
        <f>VLOOKUP($A13,'2324 Jun 24 Enroll'!$A$4:$AL$325,26,FALSE)</f>
        <v>3.89</v>
      </c>
      <c r="I13" s="6">
        <f>VLOOKUP($A13,'2324 Jun 24 Enroll'!$A$4:$AL$325,27,FALSE)</f>
        <v>100.43</v>
      </c>
      <c r="J13" s="54">
        <f t="shared" si="5"/>
        <v>0.1615</v>
      </c>
      <c r="K13" s="54">
        <f t="shared" si="6"/>
        <v>1.150000000000001E-2</v>
      </c>
      <c r="L13" s="45">
        <f t="shared" si="7"/>
        <v>2501.37</v>
      </c>
      <c r="M13" s="68">
        <v>127.88</v>
      </c>
      <c r="N13" s="68">
        <v>21.17</v>
      </c>
      <c r="O13" s="45">
        <f t="shared" si="8"/>
        <v>0</v>
      </c>
      <c r="P13" s="45">
        <f t="shared" si="1"/>
        <v>0</v>
      </c>
      <c r="Q13" s="45">
        <f t="shared" si="2"/>
        <v>130587.22</v>
      </c>
      <c r="R13" s="45">
        <f t="shared" si="3"/>
        <v>38987.61</v>
      </c>
      <c r="S13" s="45">
        <f t="shared" si="4"/>
        <v>-4189.76</v>
      </c>
      <c r="T13" s="6">
        <f>VLOOKUP($A13,'2324 Jun 24 Enroll'!$A$4:$AL$325,31,FALSE)</f>
        <v>16.22</v>
      </c>
      <c r="U13" s="45">
        <f t="shared" si="9"/>
        <v>153682.54999999999</v>
      </c>
      <c r="V13" s="35">
        <v>0.4</v>
      </c>
      <c r="W13" s="45">
        <f t="shared" si="10"/>
        <v>109773.25</v>
      </c>
      <c r="X13" s="35">
        <v>0.2056</v>
      </c>
      <c r="Y13" s="45">
        <f t="shared" si="11"/>
        <v>22569.38</v>
      </c>
    </row>
    <row r="14" spans="1:25">
      <c r="A14" t="s">
        <v>341</v>
      </c>
      <c r="B14" t="s">
        <v>342</v>
      </c>
      <c r="C14" s="6">
        <f>VLOOKUP($A14,'SpEd BEA Rate 2324'!$A$4:$AS$325,45,FALSE)</f>
        <v>9603.9699999999993</v>
      </c>
      <c r="D14" s="6">
        <f>VLOOKUP($A14,'2324 Jun 24 Enroll'!$A$4:$AL$325,22,FALSE)</f>
        <v>1</v>
      </c>
      <c r="E14" s="6">
        <f>VLOOKUP($A14,'2324 Jun 24 Enroll'!$A$4:$AL$325,23,FALSE)</f>
        <v>0</v>
      </c>
      <c r="F14" s="6">
        <f>VLOOKUP($A14,'2324 Jun 24 Enroll'!$A$4:$AL$325,24,FALSE)</f>
        <v>0</v>
      </c>
      <c r="G14" s="6">
        <f>VLOOKUP($A14,'2324 Jun 24 Enroll'!$A$4:$AL$325,25,FALSE)</f>
        <v>13.11</v>
      </c>
      <c r="H14" s="6">
        <f>VLOOKUP($A14,'2324 Jun 24 Enroll'!$A$4:$AL$325,26,FALSE)</f>
        <v>1.1100000000000001</v>
      </c>
      <c r="I14" s="6">
        <f>VLOOKUP($A14,'2324 Jun 24 Enroll'!$A$4:$AL$325,27,FALSE)</f>
        <v>99</v>
      </c>
      <c r="J14" s="54">
        <f t="shared" si="5"/>
        <v>0.14360000000000001</v>
      </c>
      <c r="K14" s="54">
        <f t="shared" si="6"/>
        <v>0</v>
      </c>
      <c r="L14" s="45">
        <f t="shared" si="7"/>
        <v>11369.86</v>
      </c>
      <c r="M14" s="68">
        <v>128.81</v>
      </c>
      <c r="N14" s="68">
        <v>21.32</v>
      </c>
      <c r="O14" s="45">
        <f t="shared" si="8"/>
        <v>0</v>
      </c>
      <c r="P14" s="45">
        <f t="shared" si="1"/>
        <v>0</v>
      </c>
      <c r="Q14" s="45">
        <f t="shared" si="2"/>
        <v>138848.21</v>
      </c>
      <c r="R14" s="45">
        <f t="shared" si="3"/>
        <v>11125</v>
      </c>
      <c r="S14" s="45">
        <f t="shared" si="4"/>
        <v>-3705.45</v>
      </c>
      <c r="T14" s="6">
        <f>VLOOKUP($A14,'2324 Jun 24 Enroll'!$A$4:$AL$325,31,FALSE)</f>
        <v>14.22</v>
      </c>
      <c r="U14" s="45">
        <f t="shared" si="9"/>
        <v>134732.79</v>
      </c>
      <c r="V14" s="35">
        <v>0.2621</v>
      </c>
      <c r="W14" s="45">
        <f t="shared" si="10"/>
        <v>106752.86</v>
      </c>
      <c r="X14" s="35">
        <v>0.2056</v>
      </c>
      <c r="Y14" s="45">
        <f t="shared" si="11"/>
        <v>21948.39</v>
      </c>
    </row>
    <row r="15" spans="1:25">
      <c r="A15" t="s">
        <v>368</v>
      </c>
      <c r="B15" t="s">
        <v>369</v>
      </c>
      <c r="C15" s="6">
        <f>VLOOKUP($A15,'SpEd BEA Rate 2324'!$A$4:$AS$325,45,FALSE)</f>
        <v>10017.060000000001</v>
      </c>
      <c r="D15" s="6">
        <f>VLOOKUP($A15,'2324 Jun 24 Enroll'!$A$4:$AL$325,22,FALSE)</f>
        <v>0</v>
      </c>
      <c r="E15" s="6">
        <f>VLOOKUP($A15,'2324 Jun 24 Enroll'!$A$4:$AL$325,23,FALSE)</f>
        <v>0</v>
      </c>
      <c r="F15" s="6">
        <f>VLOOKUP($A15,'2324 Jun 24 Enroll'!$A$4:$AL$325,24,FALSE)</f>
        <v>0</v>
      </c>
      <c r="G15" s="6">
        <f>VLOOKUP($A15,'2324 Jun 24 Enroll'!$A$4:$AL$325,25,FALSE)</f>
        <v>10.220000000000001</v>
      </c>
      <c r="H15" s="6">
        <f>VLOOKUP($A15,'2324 Jun 24 Enroll'!$A$4:$AL$325,26,FALSE)</f>
        <v>0</v>
      </c>
      <c r="I15" s="6">
        <f>VLOOKUP($A15,'2324 Jun 24 Enroll'!$A$4:$AL$325,27,FALSE)</f>
        <v>90.3</v>
      </c>
      <c r="J15" s="54">
        <f t="shared" si="5"/>
        <v>0.1132</v>
      </c>
      <c r="K15" s="54">
        <f t="shared" si="6"/>
        <v>0</v>
      </c>
      <c r="L15" s="45">
        <f t="shared" si="7"/>
        <v>0</v>
      </c>
      <c r="M15" s="68">
        <v>116.64</v>
      </c>
      <c r="N15" s="68">
        <v>19.309999999999999</v>
      </c>
      <c r="O15" s="45">
        <f t="shared" si="8"/>
        <v>0</v>
      </c>
      <c r="P15" s="45">
        <f t="shared" si="1"/>
        <v>0</v>
      </c>
      <c r="Q15" s="45">
        <f t="shared" si="2"/>
        <v>108240.18</v>
      </c>
      <c r="R15" s="45">
        <f t="shared" si="3"/>
        <v>0</v>
      </c>
      <c r="S15" s="45">
        <f t="shared" si="4"/>
        <v>-2674.33</v>
      </c>
      <c r="T15" s="6">
        <f>VLOOKUP($A15,'2324 Jun 24 Enroll'!$A$4:$AL$325,31,FALSE)</f>
        <v>10.220000000000001</v>
      </c>
      <c r="U15" s="45">
        <f t="shared" si="9"/>
        <v>96833.27</v>
      </c>
      <c r="V15" s="35">
        <v>0.318</v>
      </c>
      <c r="W15" s="45">
        <f t="shared" si="10"/>
        <v>73469.86</v>
      </c>
      <c r="X15" s="35">
        <v>0.2056</v>
      </c>
      <c r="Y15" s="45">
        <f t="shared" si="11"/>
        <v>15105.4</v>
      </c>
    </row>
    <row r="16" spans="1:25">
      <c r="A16" t="s">
        <v>831</v>
      </c>
      <c r="B16" t="s">
        <v>832</v>
      </c>
      <c r="C16" s="6">
        <f>VLOOKUP($A16,'SpEd BEA Rate 2324'!$A$4:$AS$325,45,FALSE)</f>
        <v>9495.4399999999987</v>
      </c>
      <c r="D16" s="6">
        <f>VLOOKUP($A16,'2324 Jun 24 Enroll'!$A$4:$AL$325,22,FALSE)</f>
        <v>1.89</v>
      </c>
      <c r="E16" s="6">
        <f>VLOOKUP($A16,'2324 Jun 24 Enroll'!$A$4:$AL$325,23,FALSE)</f>
        <v>0</v>
      </c>
      <c r="F16" s="6">
        <f>VLOOKUP($A16,'2324 Jun 24 Enroll'!$A$4:$AL$325,24,FALSE)</f>
        <v>0</v>
      </c>
      <c r="G16" s="6">
        <f>VLOOKUP($A16,'2324 Jun 24 Enroll'!$A$4:$AL$325,25,FALSE)</f>
        <v>11.89</v>
      </c>
      <c r="H16" s="6">
        <f>VLOOKUP($A16,'2324 Jun 24 Enroll'!$A$4:$AL$325,26,FALSE)</f>
        <v>7.56</v>
      </c>
      <c r="I16" s="6">
        <f>VLOOKUP($A16,'2324 Jun 24 Enroll'!$A$4:$AL$325,27,FALSE)</f>
        <v>206.71</v>
      </c>
      <c r="J16" s="54">
        <f t="shared" si="5"/>
        <v>9.4100000000000003E-2</v>
      </c>
      <c r="K16" s="54">
        <f t="shared" si="6"/>
        <v>0</v>
      </c>
      <c r="L16" s="45">
        <f t="shared" si="7"/>
        <v>21489.03</v>
      </c>
      <c r="M16" s="68">
        <v>118.73</v>
      </c>
      <c r="N16" s="68">
        <v>19.649999999999999</v>
      </c>
      <c r="O16" s="45">
        <f t="shared" si="8"/>
        <v>0</v>
      </c>
      <c r="P16" s="45">
        <f t="shared" si="1"/>
        <v>0</v>
      </c>
      <c r="Q16" s="45">
        <f t="shared" si="2"/>
        <v>125927.18</v>
      </c>
      <c r="R16" s="45">
        <f t="shared" si="3"/>
        <v>75770.27</v>
      </c>
      <c r="S16" s="45">
        <f t="shared" si="4"/>
        <v>-4983.42</v>
      </c>
      <c r="T16" s="6">
        <f>VLOOKUP($A16,'2324 Jun 24 Enroll'!$A$4:$AL$325,31,FALSE)</f>
        <v>19.45</v>
      </c>
      <c r="U16" s="45">
        <f t="shared" si="9"/>
        <v>184286.42</v>
      </c>
      <c r="V16" s="35">
        <v>0.2142</v>
      </c>
      <c r="W16" s="45">
        <f t="shared" si="10"/>
        <v>151776</v>
      </c>
      <c r="X16" s="35">
        <v>0.2056</v>
      </c>
      <c r="Y16" s="45">
        <f t="shared" si="11"/>
        <v>31205.15</v>
      </c>
    </row>
    <row r="17" spans="1:25">
      <c r="A17" t="s">
        <v>478</v>
      </c>
      <c r="B17" t="s">
        <v>479</v>
      </c>
      <c r="C17" s="6">
        <f>VLOOKUP($A17,'SpEd BEA Rate 2324'!$A$4:$AS$325,45,FALSE)</f>
        <v>9834.7699999999986</v>
      </c>
      <c r="D17" s="6">
        <f>VLOOKUP($A17,'2324 Jun 24 Enroll'!$A$4:$AL$325,22,FALSE)</f>
        <v>0.78</v>
      </c>
      <c r="E17" s="6">
        <f>VLOOKUP($A17,'2324 Jun 24 Enroll'!$A$4:$AL$325,23,FALSE)</f>
        <v>0</v>
      </c>
      <c r="F17" s="6">
        <f>VLOOKUP($A17,'2324 Jun 24 Enroll'!$A$4:$AL$325,24,FALSE)</f>
        <v>0</v>
      </c>
      <c r="G17" s="6">
        <f>VLOOKUP($A17,'2324 Jun 24 Enroll'!$A$4:$AL$325,25,FALSE)</f>
        <v>10.44</v>
      </c>
      <c r="H17" s="6">
        <f>VLOOKUP($A17,'2324 Jun 24 Enroll'!$A$4:$AL$325,26,FALSE)</f>
        <v>0.44</v>
      </c>
      <c r="I17" s="6">
        <f>VLOOKUP($A17,'2324 Jun 24 Enroll'!$A$4:$AL$325,27,FALSE)</f>
        <v>61.89</v>
      </c>
      <c r="J17" s="54">
        <f t="shared" si="5"/>
        <v>0.17580000000000001</v>
      </c>
      <c r="K17" s="54">
        <f t="shared" si="6"/>
        <v>2.5800000000000017E-2</v>
      </c>
      <c r="L17" s="45">
        <f t="shared" si="7"/>
        <v>8868.49</v>
      </c>
      <c r="M17" s="68">
        <v>134.80000000000001</v>
      </c>
      <c r="N17" s="68">
        <v>22.31</v>
      </c>
      <c r="O17" s="45">
        <f t="shared" si="8"/>
        <v>0</v>
      </c>
      <c r="P17" s="45">
        <f t="shared" si="1"/>
        <v>0</v>
      </c>
      <c r="Q17" s="45">
        <f t="shared" si="2"/>
        <v>110570.2</v>
      </c>
      <c r="R17" s="45">
        <f t="shared" si="3"/>
        <v>4409.91</v>
      </c>
      <c r="S17" s="45">
        <f t="shared" si="4"/>
        <v>-2840.86</v>
      </c>
      <c r="T17" s="6">
        <f>VLOOKUP($A17,'2324 Jun 24 Enroll'!$A$4:$AL$325,31,FALSE)</f>
        <v>10.88</v>
      </c>
      <c r="U17" s="45">
        <f t="shared" si="9"/>
        <v>103086.69</v>
      </c>
      <c r="V17" s="35">
        <v>0.42220000000000002</v>
      </c>
      <c r="W17" s="45">
        <f t="shared" si="10"/>
        <v>72483.960000000006</v>
      </c>
      <c r="X17" s="35">
        <v>0.2056</v>
      </c>
      <c r="Y17" s="45">
        <f t="shared" si="11"/>
        <v>14902.7</v>
      </c>
    </row>
    <row r="18" spans="1:25">
      <c r="A18" t="s">
        <v>534</v>
      </c>
      <c r="B18" t="s">
        <v>535</v>
      </c>
      <c r="C18" s="6">
        <f>VLOOKUP($A18,'SpEd BEA Rate 2324'!$A$4:$AS$325,45,FALSE)</f>
        <v>9790.4499999999989</v>
      </c>
      <c r="D18" s="6">
        <f>VLOOKUP($A18,'2324 Jun 24 Enroll'!$A$4:$AL$325,22,FALSE)</f>
        <v>0.67</v>
      </c>
      <c r="E18" s="6">
        <f>VLOOKUP($A18,'2324 Jun 24 Enroll'!$A$4:$AL$325,23,FALSE)</f>
        <v>0</v>
      </c>
      <c r="F18" s="6">
        <f>VLOOKUP($A18,'2324 Jun 24 Enroll'!$A$4:$AL$325,24,FALSE)</f>
        <v>0</v>
      </c>
      <c r="G18" s="6">
        <f>VLOOKUP($A18,'2324 Jun 24 Enroll'!$A$4:$AL$325,25,FALSE)</f>
        <v>9.56</v>
      </c>
      <c r="H18" s="6">
        <f>VLOOKUP($A18,'2324 Jun 24 Enroll'!$A$4:$AL$325,26,FALSE)</f>
        <v>0.78</v>
      </c>
      <c r="I18" s="6">
        <f>VLOOKUP($A18,'2324 Jun 24 Enroll'!$A$4:$AL$325,27,FALSE)</f>
        <v>85.85</v>
      </c>
      <c r="J18" s="54">
        <f t="shared" si="5"/>
        <v>0.12039999999999999</v>
      </c>
      <c r="K18" s="54">
        <f t="shared" si="6"/>
        <v>0</v>
      </c>
      <c r="L18" s="45">
        <f t="shared" si="7"/>
        <v>7617.8</v>
      </c>
      <c r="M18" s="68">
        <v>129.01</v>
      </c>
      <c r="N18" s="68">
        <v>21.35</v>
      </c>
      <c r="O18" s="45">
        <f t="shared" si="8"/>
        <v>0</v>
      </c>
      <c r="P18" s="45">
        <f t="shared" si="1"/>
        <v>0</v>
      </c>
      <c r="Q18" s="45">
        <f t="shared" si="2"/>
        <v>101250.11</v>
      </c>
      <c r="R18" s="45">
        <f t="shared" si="3"/>
        <v>7817.57</v>
      </c>
      <c r="S18" s="45">
        <f t="shared" si="4"/>
        <v>-2694.78</v>
      </c>
      <c r="T18" s="6">
        <f>VLOOKUP($A18,'2324 Jun 24 Enroll'!$A$4:$AL$325,31,FALSE)</f>
        <v>10.34</v>
      </c>
      <c r="U18" s="45">
        <f t="shared" si="9"/>
        <v>97970.26</v>
      </c>
      <c r="V18" s="35">
        <v>0.30470000000000003</v>
      </c>
      <c r="W18" s="45">
        <f t="shared" si="10"/>
        <v>75090.259999999995</v>
      </c>
      <c r="X18" s="35">
        <v>0.2056</v>
      </c>
      <c r="Y18" s="45">
        <f t="shared" si="11"/>
        <v>15438.56</v>
      </c>
    </row>
    <row r="19" spans="1:25">
      <c r="A19" t="s">
        <v>737</v>
      </c>
      <c r="B19" t="s">
        <v>738</v>
      </c>
      <c r="C19" s="6">
        <f>VLOOKUP($A19,'SpEd BEA Rate 2324'!$A$4:$AS$325,45,FALSE)</f>
        <v>9755.3800000000028</v>
      </c>
      <c r="D19" s="6">
        <f>VLOOKUP($A19,'2324 Jun 24 Enroll'!$A$4:$AL$325,22,FALSE)</f>
        <v>0</v>
      </c>
      <c r="E19" s="6">
        <f>VLOOKUP($A19,'2324 Jun 24 Enroll'!$A$4:$AL$325,23,FALSE)</f>
        <v>0</v>
      </c>
      <c r="F19" s="6">
        <f>VLOOKUP($A19,'2324 Jun 24 Enroll'!$A$4:$AL$325,24,FALSE)</f>
        <v>0</v>
      </c>
      <c r="G19" s="6">
        <f>VLOOKUP($A19,'2324 Jun 24 Enroll'!$A$4:$AL$325,25,FALSE)</f>
        <v>3.56</v>
      </c>
      <c r="H19" s="6">
        <f>VLOOKUP($A19,'2324 Jun 24 Enroll'!$A$4:$AL$325,26,FALSE)</f>
        <v>0</v>
      </c>
      <c r="I19" s="6">
        <f>VLOOKUP($A19,'2324 Jun 24 Enroll'!$A$4:$AL$325,27,FALSE)</f>
        <v>27.1</v>
      </c>
      <c r="J19" s="54">
        <f t="shared" si="5"/>
        <v>0.13139999999999999</v>
      </c>
      <c r="K19" s="54">
        <f t="shared" si="6"/>
        <v>0</v>
      </c>
      <c r="L19" s="45">
        <f t="shared" si="7"/>
        <v>0</v>
      </c>
      <c r="M19" s="68">
        <v>123.8</v>
      </c>
      <c r="N19" s="68">
        <v>20.49</v>
      </c>
      <c r="O19" s="45">
        <f t="shared" si="8"/>
        <v>0</v>
      </c>
      <c r="P19" s="45">
        <f t="shared" si="1"/>
        <v>0</v>
      </c>
      <c r="Q19" s="45">
        <f t="shared" si="2"/>
        <v>37704.019999999997</v>
      </c>
      <c r="R19" s="45">
        <f t="shared" si="3"/>
        <v>0</v>
      </c>
      <c r="S19" s="45">
        <f t="shared" si="4"/>
        <v>-931.57</v>
      </c>
      <c r="T19" s="6">
        <f>VLOOKUP($A19,'2324 Jun 24 Enroll'!$A$4:$AL$325,31,FALSE)</f>
        <v>3.56</v>
      </c>
      <c r="U19" s="45">
        <f t="shared" si="9"/>
        <v>33730.57</v>
      </c>
      <c r="V19" s="35">
        <v>0.21310000000000001</v>
      </c>
      <c r="W19" s="45">
        <f t="shared" si="10"/>
        <v>27805.27</v>
      </c>
      <c r="X19" s="35">
        <v>0.2056</v>
      </c>
      <c r="Y19" s="45">
        <f t="shared" si="11"/>
        <v>5716.76</v>
      </c>
    </row>
    <row r="20" spans="1:25">
      <c r="A20" t="s">
        <v>480</v>
      </c>
      <c r="B20" t="s">
        <v>481</v>
      </c>
      <c r="C20" s="6">
        <f>VLOOKUP($A20,'SpEd BEA Rate 2324'!$A$4:$AS$325,45,FALSE)</f>
        <v>9105.0500000000029</v>
      </c>
      <c r="D20" s="6">
        <f>VLOOKUP($A20,'2324 Jun 24 Enroll'!$A$4:$AL$325,22,FALSE)</f>
        <v>4.33</v>
      </c>
      <c r="E20" s="6">
        <f>VLOOKUP($A20,'2324 Jun 24 Enroll'!$A$4:$AL$325,23,FALSE)</f>
        <v>0</v>
      </c>
      <c r="F20" s="6">
        <f>VLOOKUP($A20,'2324 Jun 24 Enroll'!$A$4:$AL$325,24,FALSE)</f>
        <v>0</v>
      </c>
      <c r="G20" s="6">
        <f>VLOOKUP($A20,'2324 Jun 24 Enroll'!$A$4:$AL$325,25,FALSE)</f>
        <v>385.56</v>
      </c>
      <c r="H20" s="6">
        <f>VLOOKUP($A20,'2324 Jun 24 Enroll'!$A$4:$AL$325,26,FALSE)</f>
        <v>87.22</v>
      </c>
      <c r="I20" s="6">
        <f>VLOOKUP($A20,'2324 Jun 24 Enroll'!$A$4:$AL$325,27,FALSE)</f>
        <v>2933</v>
      </c>
      <c r="J20" s="54">
        <f t="shared" si="5"/>
        <v>0.16120000000000001</v>
      </c>
      <c r="K20" s="54">
        <f t="shared" si="6"/>
        <v>1.1200000000000015E-2</v>
      </c>
      <c r="L20" s="45">
        <f t="shared" si="7"/>
        <v>49231.48</v>
      </c>
      <c r="M20" s="68">
        <v>121.45</v>
      </c>
      <c r="N20" s="68">
        <v>20.100000000000001</v>
      </c>
      <c r="O20" s="45">
        <f t="shared" si="8"/>
        <v>0</v>
      </c>
      <c r="P20" s="45">
        <f t="shared" si="1"/>
        <v>0</v>
      </c>
      <c r="Q20" s="45">
        <f t="shared" si="2"/>
        <v>4083471.97</v>
      </c>
      <c r="R20" s="45">
        <f t="shared" si="3"/>
        <v>874164.44</v>
      </c>
      <c r="S20" s="45">
        <f t="shared" si="4"/>
        <v>-122490.37</v>
      </c>
      <c r="T20" s="6">
        <f>VLOOKUP($A20,'2324 Jun 24 Enroll'!$A$4:$AL$325,31,FALSE)</f>
        <v>472.78</v>
      </c>
      <c r="U20" s="45">
        <f t="shared" si="9"/>
        <v>4479533.7699999996</v>
      </c>
      <c r="V20" s="35">
        <v>8.4699999999999998E-2</v>
      </c>
      <c r="W20" s="45">
        <f t="shared" si="10"/>
        <v>4129744.42</v>
      </c>
      <c r="X20" s="35">
        <v>0.2056</v>
      </c>
      <c r="Y20" s="45">
        <f t="shared" si="11"/>
        <v>849075.45</v>
      </c>
    </row>
    <row r="21" spans="1:25">
      <c r="A21" t="s">
        <v>875</v>
      </c>
      <c r="B21" t="s">
        <v>876</v>
      </c>
      <c r="C21" s="6">
        <f>VLOOKUP($A21,'SpEd BEA Rate 2324'!$A$4:$AS$325,45,FALSE)</f>
        <v>9629.4399999999987</v>
      </c>
      <c r="D21" s="6">
        <f>VLOOKUP($A21,'2324 Jun 24 Enroll'!$A$4:$AL$325,22,FALSE)</f>
        <v>7.67</v>
      </c>
      <c r="E21" s="6">
        <f>VLOOKUP($A21,'2324 Jun 24 Enroll'!$A$4:$AL$325,23,FALSE)</f>
        <v>0</v>
      </c>
      <c r="F21" s="6">
        <f>VLOOKUP($A21,'2324 Jun 24 Enroll'!$A$4:$AL$325,24,FALSE)</f>
        <v>0</v>
      </c>
      <c r="G21" s="6">
        <f>VLOOKUP($A21,'2324 Jun 24 Enroll'!$A$4:$AL$325,25,FALSE)</f>
        <v>121.78</v>
      </c>
      <c r="H21" s="6">
        <f>VLOOKUP($A21,'2324 Jun 24 Enroll'!$A$4:$AL$325,26,FALSE)</f>
        <v>35.56</v>
      </c>
      <c r="I21" s="6">
        <f>VLOOKUP($A21,'2324 Jun 24 Enroll'!$A$4:$AL$325,27,FALSE)</f>
        <v>1084.3</v>
      </c>
      <c r="J21" s="54">
        <f t="shared" si="5"/>
        <v>0.14510000000000001</v>
      </c>
      <c r="K21" s="54">
        <f t="shared" si="6"/>
        <v>0</v>
      </c>
      <c r="L21" s="45">
        <f t="shared" si="7"/>
        <v>87206.8</v>
      </c>
      <c r="M21" s="68">
        <v>122.12</v>
      </c>
      <c r="N21" s="68">
        <v>20.21</v>
      </c>
      <c r="O21" s="45">
        <f t="shared" si="8"/>
        <v>0</v>
      </c>
      <c r="P21" s="45">
        <f t="shared" si="1"/>
        <v>0</v>
      </c>
      <c r="Q21" s="45">
        <f t="shared" si="2"/>
        <v>1289773.8799999999</v>
      </c>
      <c r="R21" s="45">
        <f t="shared" si="3"/>
        <v>356400.91</v>
      </c>
      <c r="S21" s="45">
        <f t="shared" si="4"/>
        <v>-40672.720000000001</v>
      </c>
      <c r="T21" s="6">
        <f>VLOOKUP($A21,'2324 Jun 24 Enroll'!$A$4:$AL$325,31,FALSE)</f>
        <v>157.34</v>
      </c>
      <c r="U21" s="45">
        <f t="shared" si="9"/>
        <v>1490777.62</v>
      </c>
      <c r="V21" s="35">
        <v>0.18959999999999999</v>
      </c>
      <c r="W21" s="45">
        <f t="shared" si="10"/>
        <v>1253175.54</v>
      </c>
      <c r="X21" s="35">
        <v>0.2056</v>
      </c>
      <c r="Y21" s="45">
        <f t="shared" si="11"/>
        <v>257652.89</v>
      </c>
    </row>
    <row r="22" spans="1:25">
      <c r="A22" t="s">
        <v>564</v>
      </c>
      <c r="B22" t="s">
        <v>565</v>
      </c>
      <c r="C22" s="6">
        <f>VLOOKUP($A22,'SpEd BEA Rate 2324'!$A$4:$AS$325,45,FALSE)</f>
        <v>9587.09</v>
      </c>
      <c r="D22" s="6">
        <f>VLOOKUP($A22,'2324 Jun 24 Enroll'!$A$4:$AL$325,22,FALSE)</f>
        <v>0.56000000000000005</v>
      </c>
      <c r="E22" s="6">
        <f>VLOOKUP($A22,'2324 Jun 24 Enroll'!$A$4:$AL$325,23,FALSE)</f>
        <v>0</v>
      </c>
      <c r="F22" s="6">
        <f>VLOOKUP($A22,'2324 Jun 24 Enroll'!$A$4:$AL$325,24,FALSE)</f>
        <v>0</v>
      </c>
      <c r="G22" s="6">
        <f>VLOOKUP($A22,'2324 Jun 24 Enroll'!$A$4:$AL$325,25,FALSE)</f>
        <v>29</v>
      </c>
      <c r="H22" s="6">
        <f>VLOOKUP($A22,'2324 Jun 24 Enroll'!$A$4:$AL$325,26,FALSE)</f>
        <v>2.89</v>
      </c>
      <c r="I22" s="6">
        <f>VLOOKUP($A22,'2324 Jun 24 Enroll'!$A$4:$AL$325,27,FALSE)</f>
        <v>200.32</v>
      </c>
      <c r="J22" s="54">
        <f t="shared" si="5"/>
        <v>0.15920000000000001</v>
      </c>
      <c r="K22" s="54">
        <f t="shared" si="6"/>
        <v>9.2000000000000137E-3</v>
      </c>
      <c r="L22" s="45">
        <f t="shared" si="7"/>
        <v>6367.12</v>
      </c>
      <c r="M22" s="68">
        <v>133.91999999999999</v>
      </c>
      <c r="N22" s="68">
        <v>22.17</v>
      </c>
      <c r="O22" s="45">
        <f t="shared" si="8"/>
        <v>0</v>
      </c>
      <c r="P22" s="45">
        <f t="shared" si="1"/>
        <v>0</v>
      </c>
      <c r="Q22" s="45">
        <f t="shared" si="2"/>
        <v>307139.45</v>
      </c>
      <c r="R22" s="45">
        <f t="shared" si="3"/>
        <v>28965.09</v>
      </c>
      <c r="S22" s="45">
        <f t="shared" si="4"/>
        <v>-8304.27</v>
      </c>
      <c r="T22" s="6">
        <f>VLOOKUP($A22,'2324 Jun 24 Enroll'!$A$4:$AL$325,31,FALSE)</f>
        <v>31.89</v>
      </c>
      <c r="U22" s="45">
        <f t="shared" si="9"/>
        <v>302153.92</v>
      </c>
      <c r="V22" s="35">
        <v>0.16400000000000001</v>
      </c>
      <c r="W22" s="45">
        <f t="shared" si="10"/>
        <v>259582.41</v>
      </c>
      <c r="X22" s="35">
        <v>0.2056</v>
      </c>
      <c r="Y22" s="45">
        <f t="shared" si="11"/>
        <v>53370.14</v>
      </c>
    </row>
    <row r="23" spans="1:25">
      <c r="A23" t="s">
        <v>590</v>
      </c>
      <c r="B23" t="s">
        <v>591</v>
      </c>
      <c r="C23" s="6">
        <f>VLOOKUP($A23,'SpEd BEA Rate 2324'!$A$4:$AS$325,45,FALSE)</f>
        <v>9517.18</v>
      </c>
      <c r="D23" s="6">
        <f>VLOOKUP($A23,'2324 Jun 24 Enroll'!$A$4:$AL$325,22,FALSE)</f>
        <v>6.67</v>
      </c>
      <c r="E23" s="6">
        <f>VLOOKUP($A23,'2324 Jun 24 Enroll'!$A$4:$AL$325,23,FALSE)</f>
        <v>0</v>
      </c>
      <c r="F23" s="6">
        <f>VLOOKUP($A23,'2324 Jun 24 Enroll'!$A$4:$AL$325,24,FALSE)</f>
        <v>0</v>
      </c>
      <c r="G23" s="6">
        <f>VLOOKUP($A23,'2324 Jun 24 Enroll'!$A$4:$AL$325,25,FALSE)</f>
        <v>76.44</v>
      </c>
      <c r="H23" s="6">
        <f>VLOOKUP($A23,'2324 Jun 24 Enroll'!$A$4:$AL$325,26,FALSE)</f>
        <v>7.22</v>
      </c>
      <c r="I23" s="6">
        <f>VLOOKUP($A23,'2324 Jun 24 Enroll'!$A$4:$AL$325,27,FALSE)</f>
        <v>751.97</v>
      </c>
      <c r="J23" s="54">
        <f t="shared" si="5"/>
        <v>0.1113</v>
      </c>
      <c r="K23" s="54">
        <f t="shared" si="6"/>
        <v>0</v>
      </c>
      <c r="L23" s="45">
        <f t="shared" si="7"/>
        <v>75836.94</v>
      </c>
      <c r="M23" s="68">
        <v>125.6</v>
      </c>
      <c r="N23" s="68">
        <v>20.79</v>
      </c>
      <c r="O23" s="45">
        <f t="shared" si="8"/>
        <v>0</v>
      </c>
      <c r="P23" s="45">
        <f t="shared" si="1"/>
        <v>0</v>
      </c>
      <c r="Q23" s="45">
        <f t="shared" si="2"/>
        <v>809577.23</v>
      </c>
      <c r="R23" s="45">
        <f t="shared" si="3"/>
        <v>72362.61</v>
      </c>
      <c r="S23" s="45">
        <f t="shared" si="4"/>
        <v>-21790.45</v>
      </c>
      <c r="T23" s="6">
        <f>VLOOKUP($A23,'2324 Jun 24 Enroll'!$A$4:$AL$325,31,FALSE)</f>
        <v>83.66</v>
      </c>
      <c r="U23" s="45">
        <f t="shared" si="9"/>
        <v>792668.46</v>
      </c>
      <c r="V23" s="35">
        <v>0.21049999999999999</v>
      </c>
      <c r="W23" s="45">
        <f t="shared" si="10"/>
        <v>654827.31000000006</v>
      </c>
      <c r="X23" s="35">
        <v>0.2056</v>
      </c>
      <c r="Y23" s="45">
        <f t="shared" si="11"/>
        <v>134632.49</v>
      </c>
    </row>
    <row r="24" spans="1:25">
      <c r="A24" t="s">
        <v>649</v>
      </c>
      <c r="B24" t="s">
        <v>650</v>
      </c>
      <c r="C24" s="6">
        <f>VLOOKUP($A24,'SpEd BEA Rate 2324'!$A$4:$AS$325,45,FALSE)</f>
        <v>9401.4</v>
      </c>
      <c r="D24" s="6">
        <f>VLOOKUP($A24,'2324 Jun 24 Enroll'!$A$4:$AL$325,22,FALSE)</f>
        <v>18.559999999999999</v>
      </c>
      <c r="E24" s="6">
        <f>VLOOKUP($A24,'2324 Jun 24 Enroll'!$A$4:$AL$325,23,FALSE)</f>
        <v>0</v>
      </c>
      <c r="F24" s="6">
        <f>VLOOKUP($A24,'2324 Jun 24 Enroll'!$A$4:$AL$325,24,FALSE)</f>
        <v>0</v>
      </c>
      <c r="G24" s="6">
        <f>VLOOKUP($A24,'2324 Jun 24 Enroll'!$A$4:$AL$325,25,FALSE)</f>
        <v>202.89</v>
      </c>
      <c r="H24" s="6">
        <f>VLOOKUP($A24,'2324 Jun 24 Enroll'!$A$4:$AL$325,26,FALSE)</f>
        <v>16.559999999999999</v>
      </c>
      <c r="I24" s="6">
        <f>VLOOKUP($A24,'2324 Jun 24 Enroll'!$A$4:$AL$325,27,FALSE)</f>
        <v>992.08</v>
      </c>
      <c r="J24" s="54">
        <f t="shared" si="5"/>
        <v>0.22120000000000001</v>
      </c>
      <c r="K24" s="54">
        <f t="shared" si="6"/>
        <v>7.1200000000000013E-2</v>
      </c>
      <c r="L24" s="45">
        <f t="shared" si="7"/>
        <v>211024.53</v>
      </c>
      <c r="M24" s="68">
        <v>130.24</v>
      </c>
      <c r="N24" s="68">
        <v>21.56</v>
      </c>
      <c r="O24" s="45">
        <f t="shared" si="8"/>
        <v>0</v>
      </c>
      <c r="P24" s="45">
        <f t="shared" si="1"/>
        <v>0</v>
      </c>
      <c r="Q24" s="45">
        <f t="shared" si="2"/>
        <v>2148811.16</v>
      </c>
      <c r="R24" s="45">
        <f t="shared" si="3"/>
        <v>165972.98000000001</v>
      </c>
      <c r="S24" s="45">
        <f t="shared" si="4"/>
        <v>-57192.33</v>
      </c>
      <c r="T24" s="6">
        <f>VLOOKUP($A24,'2324 Jun 24 Enroll'!$A$4:$AL$325,31,FALSE)</f>
        <v>219.45</v>
      </c>
      <c r="U24" s="45">
        <f t="shared" si="9"/>
        <v>2079262.42</v>
      </c>
      <c r="V24" s="35">
        <v>0.1807</v>
      </c>
      <c r="W24" s="45">
        <f t="shared" si="10"/>
        <v>1761042.11</v>
      </c>
      <c r="X24" s="35">
        <v>0.2056</v>
      </c>
      <c r="Y24" s="45">
        <f t="shared" si="11"/>
        <v>362070.26</v>
      </c>
    </row>
    <row r="25" spans="1:25">
      <c r="A25" t="s">
        <v>618</v>
      </c>
      <c r="B25" t="s">
        <v>619</v>
      </c>
      <c r="C25" s="6">
        <f>VLOOKUP($A25,'SpEd BEA Rate 2324'!$A$4:$AS$325,45,FALSE)</f>
        <v>9511.8499999999985</v>
      </c>
      <c r="D25" s="6">
        <f>VLOOKUP($A25,'2324 Jun 24 Enroll'!$A$4:$AL$325,22,FALSE)</f>
        <v>1.78</v>
      </c>
      <c r="E25" s="6">
        <f>VLOOKUP($A25,'2324 Jun 24 Enroll'!$A$4:$AL$325,23,FALSE)</f>
        <v>0</v>
      </c>
      <c r="F25" s="6">
        <f>VLOOKUP($A25,'2324 Jun 24 Enroll'!$A$4:$AL$325,24,FALSE)</f>
        <v>0</v>
      </c>
      <c r="G25" s="6">
        <f>VLOOKUP($A25,'2324 Jun 24 Enroll'!$A$4:$AL$325,25,FALSE)</f>
        <v>26</v>
      </c>
      <c r="H25" s="6">
        <f>VLOOKUP($A25,'2324 Jun 24 Enroll'!$A$4:$AL$325,26,FALSE)</f>
        <v>14.44</v>
      </c>
      <c r="I25" s="6">
        <f>VLOOKUP($A25,'2324 Jun 24 Enroll'!$A$4:$AL$325,27,FALSE)</f>
        <v>310.10000000000002</v>
      </c>
      <c r="J25" s="54">
        <f t="shared" si="5"/>
        <v>0.13039999999999999</v>
      </c>
      <c r="K25" s="54">
        <f t="shared" si="6"/>
        <v>0</v>
      </c>
      <c r="L25" s="45">
        <f t="shared" si="7"/>
        <v>20238.34</v>
      </c>
      <c r="M25" s="68">
        <v>126.23</v>
      </c>
      <c r="N25" s="68">
        <v>20.89</v>
      </c>
      <c r="O25" s="45">
        <f t="shared" si="8"/>
        <v>0</v>
      </c>
      <c r="P25" s="45">
        <f t="shared" si="1"/>
        <v>0</v>
      </c>
      <c r="Q25" s="45">
        <f t="shared" si="2"/>
        <v>275366.40999999997</v>
      </c>
      <c r="R25" s="45">
        <f t="shared" si="3"/>
        <v>144725.23000000001</v>
      </c>
      <c r="S25" s="45">
        <f t="shared" si="4"/>
        <v>-10379.379999999999</v>
      </c>
      <c r="T25" s="6">
        <f>VLOOKUP($A25,'2324 Jun 24 Enroll'!$A$4:$AL$325,31,FALSE)</f>
        <v>40.44</v>
      </c>
      <c r="U25" s="45">
        <f t="shared" si="9"/>
        <v>383164.15</v>
      </c>
      <c r="V25" s="35">
        <v>0.13009999999999999</v>
      </c>
      <c r="W25" s="45">
        <f t="shared" si="10"/>
        <v>339053.31</v>
      </c>
      <c r="X25" s="35">
        <v>0.2056</v>
      </c>
      <c r="Y25" s="45">
        <f t="shared" si="11"/>
        <v>69709.36</v>
      </c>
    </row>
    <row r="26" spans="1:25">
      <c r="A26" t="s">
        <v>763</v>
      </c>
      <c r="B26" t="s">
        <v>764</v>
      </c>
      <c r="C26" s="6">
        <f>VLOOKUP($A26,'SpEd BEA Rate 2324'!$A$4:$AS$325,45,FALSE)</f>
        <v>10524.869999999999</v>
      </c>
      <c r="D26" s="6">
        <f>VLOOKUP($A26,'2324 Jun 24 Enroll'!$A$4:$AL$325,22,FALSE)</f>
        <v>0</v>
      </c>
      <c r="E26" s="6">
        <f>VLOOKUP($A26,'2324 Jun 24 Enroll'!$A$4:$AL$325,23,FALSE)</f>
        <v>0</v>
      </c>
      <c r="F26" s="6">
        <f>VLOOKUP($A26,'2324 Jun 24 Enroll'!$A$4:$AL$325,24,FALSE)</f>
        <v>0</v>
      </c>
      <c r="G26" s="6">
        <f>VLOOKUP($A26,'2324 Jun 24 Enroll'!$A$4:$AL$325,25,FALSE)</f>
        <v>8.2200000000000006</v>
      </c>
      <c r="H26" s="6">
        <f>VLOOKUP($A26,'2324 Jun 24 Enroll'!$A$4:$AL$325,26,FALSE)</f>
        <v>0</v>
      </c>
      <c r="I26" s="6">
        <f>VLOOKUP($A26,'2324 Jun 24 Enroll'!$A$4:$AL$325,27,FALSE)</f>
        <v>82.14</v>
      </c>
      <c r="J26" s="54">
        <f t="shared" si="5"/>
        <v>0.10009999999999999</v>
      </c>
      <c r="K26" s="54">
        <f t="shared" si="6"/>
        <v>0</v>
      </c>
      <c r="L26" s="45">
        <f t="shared" si="7"/>
        <v>0</v>
      </c>
      <c r="M26" s="68">
        <v>117.72</v>
      </c>
      <c r="N26" s="68">
        <v>19.48</v>
      </c>
      <c r="O26" s="45">
        <f t="shared" si="8"/>
        <v>0</v>
      </c>
      <c r="P26" s="45">
        <f t="shared" si="1"/>
        <v>0</v>
      </c>
      <c r="Q26" s="45">
        <f t="shared" si="2"/>
        <v>87058.15</v>
      </c>
      <c r="R26" s="45">
        <f t="shared" si="3"/>
        <v>0</v>
      </c>
      <c r="S26" s="45">
        <f t="shared" si="4"/>
        <v>-2150.98</v>
      </c>
      <c r="T26" s="6">
        <f>VLOOKUP($A26,'2324 Jun 24 Enroll'!$A$4:$AL$325,31,FALSE)</f>
        <v>8.2200000000000006</v>
      </c>
      <c r="U26" s="45">
        <f t="shared" si="9"/>
        <v>77883.509999999995</v>
      </c>
      <c r="V26" s="35">
        <v>0.40949999999999998</v>
      </c>
      <c r="W26" s="45">
        <f t="shared" si="10"/>
        <v>55256.13</v>
      </c>
      <c r="X26" s="35">
        <v>0.2056</v>
      </c>
      <c r="Y26" s="45">
        <f t="shared" si="11"/>
        <v>11360.66</v>
      </c>
    </row>
    <row r="27" spans="1:25">
      <c r="A27" t="s">
        <v>608</v>
      </c>
      <c r="B27" t="s">
        <v>609</v>
      </c>
      <c r="C27" s="6">
        <f>VLOOKUP($A27,'SpEd BEA Rate 2324'!$A$4:$AS$325,45,FALSE)</f>
        <v>10360.629999999999</v>
      </c>
      <c r="D27" s="6">
        <f>VLOOKUP($A27,'2324 Jun 24 Enroll'!$A$4:$AL$325,22,FALSE)</f>
        <v>0</v>
      </c>
      <c r="E27" s="6">
        <f>VLOOKUP($A27,'2324 Jun 24 Enroll'!$A$4:$AL$325,23,FALSE)</f>
        <v>0</v>
      </c>
      <c r="F27" s="6">
        <f>VLOOKUP($A27,'2324 Jun 24 Enroll'!$A$4:$AL$325,24,FALSE)</f>
        <v>0</v>
      </c>
      <c r="G27" s="6">
        <f>VLOOKUP($A27,'2324 Jun 24 Enroll'!$A$4:$AL$325,25,FALSE)</f>
        <v>7.78</v>
      </c>
      <c r="H27" s="6">
        <f>VLOOKUP($A27,'2324 Jun 24 Enroll'!$A$4:$AL$325,26,FALSE)</f>
        <v>0.11</v>
      </c>
      <c r="I27" s="6">
        <f>VLOOKUP($A27,'2324 Jun 24 Enroll'!$A$4:$AL$325,27,FALSE)</f>
        <v>66</v>
      </c>
      <c r="J27" s="54">
        <f t="shared" si="5"/>
        <v>0.1195</v>
      </c>
      <c r="K27" s="54">
        <f t="shared" si="6"/>
        <v>0</v>
      </c>
      <c r="L27" s="45">
        <f t="shared" si="7"/>
        <v>0</v>
      </c>
      <c r="M27" s="68">
        <v>135.22</v>
      </c>
      <c r="N27" s="68">
        <v>22.38</v>
      </c>
      <c r="O27" s="45">
        <f t="shared" si="8"/>
        <v>0</v>
      </c>
      <c r="P27" s="45">
        <f t="shared" si="1"/>
        <v>0</v>
      </c>
      <c r="Q27" s="45">
        <f t="shared" si="2"/>
        <v>82398.100000000006</v>
      </c>
      <c r="R27" s="45">
        <f t="shared" si="3"/>
        <v>1102.48</v>
      </c>
      <c r="S27" s="45">
        <f t="shared" si="4"/>
        <v>-2063.08</v>
      </c>
      <c r="T27" s="6">
        <f>VLOOKUP($A27,'2324 Jun 24 Enroll'!$A$4:$AL$325,31,FALSE)</f>
        <v>7.89</v>
      </c>
      <c r="U27" s="45">
        <f t="shared" si="9"/>
        <v>74756.800000000003</v>
      </c>
      <c r="V27" s="35">
        <v>0.36559999999999998</v>
      </c>
      <c r="W27" s="45">
        <f t="shared" si="10"/>
        <v>54742.82</v>
      </c>
      <c r="X27" s="35">
        <v>0.2056</v>
      </c>
      <c r="Y27" s="45">
        <f t="shared" si="11"/>
        <v>11255.12</v>
      </c>
    </row>
    <row r="28" spans="1:25">
      <c r="A28" t="s">
        <v>592</v>
      </c>
      <c r="B28" t="s">
        <v>593</v>
      </c>
      <c r="C28" s="6">
        <f>VLOOKUP($A28,'SpEd BEA Rate 2324'!$A$4:$AS$325,45,FALSE)</f>
        <v>9485.4</v>
      </c>
      <c r="D28" s="6">
        <f>VLOOKUP($A28,'2324 Jun 24 Enroll'!$A$4:$AL$325,22,FALSE)</f>
        <v>0</v>
      </c>
      <c r="E28" s="6">
        <f>VLOOKUP($A28,'2324 Jun 24 Enroll'!$A$4:$AL$325,23,FALSE)</f>
        <v>0</v>
      </c>
      <c r="F28" s="6">
        <f>VLOOKUP($A28,'2324 Jun 24 Enroll'!$A$4:$AL$325,24,FALSE)</f>
        <v>0</v>
      </c>
      <c r="G28" s="6">
        <f>VLOOKUP($A28,'2324 Jun 24 Enroll'!$A$4:$AL$325,25,FALSE)</f>
        <v>4.22</v>
      </c>
      <c r="H28" s="6">
        <f>VLOOKUP($A28,'2324 Jun 24 Enroll'!$A$4:$AL$325,26,FALSE)</f>
        <v>1</v>
      </c>
      <c r="I28" s="6">
        <f>VLOOKUP($A28,'2324 Jun 24 Enroll'!$A$4:$AL$325,27,FALSE)</f>
        <v>67.739999999999995</v>
      </c>
      <c r="J28" s="54">
        <f t="shared" si="5"/>
        <v>7.7100000000000002E-2</v>
      </c>
      <c r="K28" s="54">
        <f t="shared" si="6"/>
        <v>0</v>
      </c>
      <c r="L28" s="45">
        <f t="shared" si="7"/>
        <v>0</v>
      </c>
      <c r="M28" s="68">
        <v>117.52</v>
      </c>
      <c r="N28" s="68">
        <v>19.45</v>
      </c>
      <c r="O28" s="45">
        <f t="shared" si="8"/>
        <v>0</v>
      </c>
      <c r="P28" s="45">
        <f t="shared" si="1"/>
        <v>0</v>
      </c>
      <c r="Q28" s="45">
        <f t="shared" si="2"/>
        <v>44694.09</v>
      </c>
      <c r="R28" s="45">
        <f t="shared" si="3"/>
        <v>10022.52</v>
      </c>
      <c r="S28" s="45">
        <f t="shared" si="4"/>
        <v>-1351.91</v>
      </c>
      <c r="T28" s="6">
        <f>VLOOKUP($A28,'2324 Jun 24 Enroll'!$A$4:$AL$325,31,FALSE)</f>
        <v>5.22</v>
      </c>
      <c r="U28" s="45">
        <f t="shared" si="9"/>
        <v>49458.87</v>
      </c>
      <c r="V28" s="35">
        <v>0.26869999999999999</v>
      </c>
      <c r="W28" s="45">
        <f t="shared" si="10"/>
        <v>38983.9</v>
      </c>
      <c r="X28" s="35">
        <v>0.2056</v>
      </c>
      <c r="Y28" s="45">
        <f t="shared" si="11"/>
        <v>8015.09</v>
      </c>
    </row>
    <row r="29" spans="1:25">
      <c r="A29" t="s">
        <v>799</v>
      </c>
      <c r="B29" t="s">
        <v>800</v>
      </c>
      <c r="C29" s="6">
        <f>VLOOKUP($A29,'SpEd BEA Rate 2324'!$A$4:$AS$325,45,FALSE)</f>
        <v>9488.23</v>
      </c>
      <c r="D29" s="6">
        <f>VLOOKUP($A29,'2324 Jun 24 Enroll'!$A$4:$AL$325,22,FALSE)</f>
        <v>7.11</v>
      </c>
      <c r="E29" s="6">
        <f>VLOOKUP($A29,'2324 Jun 24 Enroll'!$A$4:$AL$325,23,FALSE)</f>
        <v>0</v>
      </c>
      <c r="F29" s="6">
        <f>VLOOKUP($A29,'2324 Jun 24 Enroll'!$A$4:$AL$325,24,FALSE)</f>
        <v>0</v>
      </c>
      <c r="G29" s="6">
        <f>VLOOKUP($A29,'2324 Jun 24 Enroll'!$A$4:$AL$325,25,FALSE)</f>
        <v>80.67</v>
      </c>
      <c r="H29" s="6">
        <f>VLOOKUP($A29,'2324 Jun 24 Enroll'!$A$4:$AL$325,26,FALSE)</f>
        <v>44.22</v>
      </c>
      <c r="I29" s="6">
        <f>VLOOKUP($A29,'2324 Jun 24 Enroll'!$A$4:$AL$325,27,FALSE)</f>
        <v>795.5</v>
      </c>
      <c r="J29" s="54">
        <f t="shared" si="5"/>
        <v>0.157</v>
      </c>
      <c r="K29" s="54">
        <f t="shared" si="6"/>
        <v>7.0000000000000062E-3</v>
      </c>
      <c r="L29" s="45">
        <f t="shared" si="7"/>
        <v>80839.679999999993</v>
      </c>
      <c r="M29" s="68">
        <v>124.01</v>
      </c>
      <c r="N29" s="68">
        <v>20.53</v>
      </c>
      <c r="O29" s="45">
        <f t="shared" si="8"/>
        <v>0</v>
      </c>
      <c r="P29" s="45">
        <f t="shared" si="1"/>
        <v>0</v>
      </c>
      <c r="Q29" s="45">
        <f t="shared" si="2"/>
        <v>854377.23</v>
      </c>
      <c r="R29" s="45">
        <f t="shared" si="3"/>
        <v>443195.96</v>
      </c>
      <c r="S29" s="45">
        <f t="shared" si="4"/>
        <v>-32059.68</v>
      </c>
      <c r="T29" s="6">
        <f>VLOOKUP($A29,'2324 Jun 24 Enroll'!$A$4:$AL$325,31,FALSE)</f>
        <v>124.89</v>
      </c>
      <c r="U29" s="45">
        <f t="shared" si="9"/>
        <v>1183317.76</v>
      </c>
      <c r="V29" s="35">
        <v>0.15629999999999999</v>
      </c>
      <c r="W29" s="45">
        <f t="shared" si="10"/>
        <v>1023365.7</v>
      </c>
      <c r="X29" s="35">
        <v>0.2056</v>
      </c>
      <c r="Y29" s="45">
        <f t="shared" si="11"/>
        <v>210403.99</v>
      </c>
    </row>
    <row r="30" spans="1:25">
      <c r="A30" t="s">
        <v>845</v>
      </c>
      <c r="B30" t="s">
        <v>846</v>
      </c>
      <c r="C30" s="6">
        <f>VLOOKUP($A30,'SpEd BEA Rate 2324'!$A$4:$AS$325,45,FALSE)</f>
        <v>9668.3800000000028</v>
      </c>
      <c r="D30" s="6">
        <f>VLOOKUP($A30,'2324 Jun 24 Enroll'!$A$4:$AL$325,22,FALSE)</f>
        <v>2.78</v>
      </c>
      <c r="E30" s="6">
        <f>VLOOKUP($A30,'2324 Jun 24 Enroll'!$A$4:$AL$325,23,FALSE)</f>
        <v>0</v>
      </c>
      <c r="F30" s="6">
        <f>VLOOKUP($A30,'2324 Jun 24 Enroll'!$A$4:$AL$325,24,FALSE)</f>
        <v>0</v>
      </c>
      <c r="G30" s="6">
        <f>VLOOKUP($A30,'2324 Jun 24 Enroll'!$A$4:$AL$325,25,FALSE)</f>
        <v>46.33</v>
      </c>
      <c r="H30" s="6">
        <f>VLOOKUP($A30,'2324 Jun 24 Enroll'!$A$4:$AL$325,26,FALSE)</f>
        <v>22.22</v>
      </c>
      <c r="I30" s="6">
        <f>VLOOKUP($A30,'2324 Jun 24 Enroll'!$A$4:$AL$325,27,FALSE)</f>
        <v>410.42</v>
      </c>
      <c r="J30" s="54">
        <f t="shared" si="5"/>
        <v>0.16700000000000001</v>
      </c>
      <c r="K30" s="54">
        <f t="shared" si="6"/>
        <v>1.7000000000000015E-2</v>
      </c>
      <c r="L30" s="45">
        <f t="shared" si="7"/>
        <v>31608.2</v>
      </c>
      <c r="M30" s="68">
        <v>132.54</v>
      </c>
      <c r="N30" s="68">
        <v>21.94</v>
      </c>
      <c r="O30" s="45">
        <f t="shared" si="8"/>
        <v>0</v>
      </c>
      <c r="P30" s="45">
        <f t="shared" si="1"/>
        <v>0</v>
      </c>
      <c r="Q30" s="45">
        <f t="shared" si="2"/>
        <v>490681.75</v>
      </c>
      <c r="R30" s="45">
        <f t="shared" si="3"/>
        <v>222700.46</v>
      </c>
      <c r="S30" s="45">
        <f t="shared" si="4"/>
        <v>-17625.830000000002</v>
      </c>
      <c r="T30" s="6">
        <f>VLOOKUP($A30,'2324 Jun 24 Enroll'!$A$4:$AL$325,31,FALSE)</f>
        <v>68.55</v>
      </c>
      <c r="U30" s="45">
        <f t="shared" si="9"/>
        <v>649503.02</v>
      </c>
      <c r="V30" s="35">
        <v>0.2656</v>
      </c>
      <c r="W30" s="45">
        <f t="shared" si="10"/>
        <v>513197.71</v>
      </c>
      <c r="X30" s="35">
        <v>0.2056</v>
      </c>
      <c r="Y30" s="45">
        <f t="shared" si="11"/>
        <v>105513.45</v>
      </c>
    </row>
    <row r="31" spans="1:25">
      <c r="A31" t="s">
        <v>432</v>
      </c>
      <c r="B31" t="s">
        <v>433</v>
      </c>
      <c r="C31" s="6">
        <f>VLOOKUP($A31,'SpEd BEA Rate 2324'!$A$4:$AS$325,45,FALSE)</f>
        <v>10999.390000000001</v>
      </c>
      <c r="D31" s="6">
        <f>VLOOKUP($A31,'2324 Jun 24 Enroll'!$A$4:$AL$325,22,FALSE)</f>
        <v>0</v>
      </c>
      <c r="E31" s="6">
        <f>VLOOKUP($A31,'2324 Jun 24 Enroll'!$A$4:$AL$325,23,FALSE)</f>
        <v>0</v>
      </c>
      <c r="F31" s="6">
        <f>VLOOKUP($A31,'2324 Jun 24 Enroll'!$A$4:$AL$325,24,FALSE)</f>
        <v>0</v>
      </c>
      <c r="G31" s="6">
        <f>VLOOKUP($A31,'2324 Jun 24 Enroll'!$A$4:$AL$325,25,FALSE)</f>
        <v>2.44</v>
      </c>
      <c r="H31" s="6">
        <f>VLOOKUP($A31,'2324 Jun 24 Enroll'!$A$4:$AL$325,26,FALSE)</f>
        <v>0</v>
      </c>
      <c r="I31" s="6">
        <f>VLOOKUP($A31,'2324 Jun 24 Enroll'!$A$4:$AL$325,27,FALSE)</f>
        <v>19</v>
      </c>
      <c r="J31" s="54">
        <f t="shared" si="5"/>
        <v>0.12839999999999999</v>
      </c>
      <c r="K31" s="54">
        <f t="shared" si="6"/>
        <v>0</v>
      </c>
      <c r="L31" s="45">
        <f t="shared" si="7"/>
        <v>0</v>
      </c>
      <c r="M31" s="68">
        <v>146.15</v>
      </c>
      <c r="N31" s="68">
        <v>24.19</v>
      </c>
      <c r="O31" s="45">
        <f t="shared" si="8"/>
        <v>0</v>
      </c>
      <c r="P31" s="45">
        <f t="shared" si="1"/>
        <v>0</v>
      </c>
      <c r="Q31" s="45">
        <f t="shared" si="2"/>
        <v>25842.080000000002</v>
      </c>
      <c r="R31" s="45">
        <f t="shared" si="3"/>
        <v>0</v>
      </c>
      <c r="S31" s="45">
        <f t="shared" si="4"/>
        <v>-638.49</v>
      </c>
      <c r="T31" s="6">
        <f>VLOOKUP($A31,'2324 Jun 24 Enroll'!$A$4:$AL$325,31,FALSE)</f>
        <v>2.44</v>
      </c>
      <c r="U31" s="45">
        <f t="shared" si="9"/>
        <v>23118.71</v>
      </c>
      <c r="V31" s="35">
        <v>0.40489999999999998</v>
      </c>
      <c r="W31" s="45">
        <f t="shared" si="10"/>
        <v>16455.77</v>
      </c>
      <c r="X31" s="35">
        <v>0.2056</v>
      </c>
      <c r="Y31" s="45">
        <f>ROUND(X31*W31,2)</f>
        <v>3383.31</v>
      </c>
    </row>
    <row r="32" spans="1:25">
      <c r="A32" t="s">
        <v>849</v>
      </c>
      <c r="B32" t="s">
        <v>850</v>
      </c>
      <c r="C32" s="6">
        <f>VLOOKUP($A32,'SpEd BEA Rate 2324'!$A$4:$AS$325,45,FALSE)</f>
        <v>9482.9700000000012</v>
      </c>
      <c r="D32" s="6">
        <f>VLOOKUP($A32,'2324 Jun 24 Enroll'!$A$4:$AL$325,22,FALSE)</f>
        <v>0.89</v>
      </c>
      <c r="E32" s="6">
        <f>VLOOKUP($A32,'2324 Jun 24 Enroll'!$A$4:$AL$325,23,FALSE)</f>
        <v>0</v>
      </c>
      <c r="F32" s="6">
        <f>VLOOKUP($A32,'2324 Jun 24 Enroll'!$A$4:$AL$325,24,FALSE)</f>
        <v>0</v>
      </c>
      <c r="G32" s="6">
        <f>VLOOKUP($A32,'2324 Jun 24 Enroll'!$A$4:$AL$325,25,FALSE)</f>
        <v>28.78</v>
      </c>
      <c r="H32" s="6">
        <f>VLOOKUP($A32,'2324 Jun 24 Enroll'!$A$4:$AL$325,26,FALSE)</f>
        <v>1.56</v>
      </c>
      <c r="I32" s="6">
        <f>VLOOKUP($A32,'2324 Jun 24 Enroll'!$A$4:$AL$325,27,FALSE)</f>
        <v>287.66000000000003</v>
      </c>
      <c r="J32" s="54">
        <f>ROUND((E32+F32+G32+H32)/I32,4)</f>
        <v>0.1055</v>
      </c>
      <c r="K32" s="54">
        <f>IF(J32&lt;$K$1,0,J32-$K$1)</f>
        <v>0</v>
      </c>
      <c r="L32" s="45">
        <f t="shared" si="7"/>
        <v>10119.17</v>
      </c>
      <c r="M32" s="68">
        <v>127.47</v>
      </c>
      <c r="N32" s="68">
        <v>21.1</v>
      </c>
      <c r="O32" s="45">
        <f t="shared" si="8"/>
        <v>0</v>
      </c>
      <c r="P32" s="45">
        <f t="shared" si="1"/>
        <v>0</v>
      </c>
      <c r="Q32" s="45">
        <f t="shared" si="2"/>
        <v>304809.43</v>
      </c>
      <c r="R32" s="45">
        <f t="shared" si="3"/>
        <v>15635.14</v>
      </c>
      <c r="S32" s="45">
        <f t="shared" si="4"/>
        <v>-7917.36</v>
      </c>
      <c r="T32" s="6">
        <f>VLOOKUP($A32,'2324 Jun 24 Enroll'!$A$4:$AL$325,31,FALSE)</f>
        <v>30.34</v>
      </c>
      <c r="U32" s="45">
        <f t="shared" si="9"/>
        <v>287467.86</v>
      </c>
      <c r="V32" s="35">
        <v>0.31909999999999999</v>
      </c>
      <c r="W32" s="45">
        <f>ROUND(U32/(1+V32),2)</f>
        <v>217927.27</v>
      </c>
      <c r="X32" s="35">
        <v>0.2056</v>
      </c>
      <c r="Y32" s="45">
        <f>ROUND(X32*W32,2)</f>
        <v>44805.85</v>
      </c>
    </row>
    <row r="33" spans="1:25">
      <c r="A33" s="56" t="s">
        <v>1023</v>
      </c>
      <c r="B33" s="56" t="s">
        <v>1024</v>
      </c>
      <c r="C33" s="57">
        <f>ROUND(SUMPRODUCT($I3:$I32,C3:C32)/$I$33,2)</f>
        <v>9474.8799999999992</v>
      </c>
      <c r="D33" s="58">
        <f t="shared" ref="D33:I33" si="12">SUM(D3:D32)</f>
        <v>82.36</v>
      </c>
      <c r="E33" s="58">
        <f t="shared" si="12"/>
        <v>0</v>
      </c>
      <c r="F33" s="58">
        <f t="shared" si="12"/>
        <v>0</v>
      </c>
      <c r="G33" s="58">
        <f t="shared" si="12"/>
        <v>1418.1</v>
      </c>
      <c r="H33" s="58">
        <f t="shared" si="12"/>
        <v>389.11000000000007</v>
      </c>
      <c r="I33" s="58">
        <f t="shared" si="12"/>
        <v>11746.89</v>
      </c>
      <c r="J33" s="59">
        <f>ROUND((E33+F33+G33+H33)/I33,4)</f>
        <v>0.15379999999999999</v>
      </c>
      <c r="K33" s="59">
        <f>IF(J33&lt;$K$1,0,J33-$K$1)</f>
        <v>3.7999999999999978E-3</v>
      </c>
      <c r="L33" s="58">
        <f>SUM(L3:L32)</f>
        <v>936421.36</v>
      </c>
      <c r="M33" s="58">
        <f>ROUND(SUMPRODUCT(I3:I32,M3:M32)/I33,2)</f>
        <v>125.98</v>
      </c>
      <c r="N33" s="58">
        <f>ROUND(M33*24/145,2)</f>
        <v>20.85</v>
      </c>
      <c r="O33" s="58">
        <f t="shared" ref="O33:U33" si="13">SUM(O3:O32)</f>
        <v>0</v>
      </c>
      <c r="P33" s="58">
        <f t="shared" si="13"/>
        <v>0</v>
      </c>
      <c r="Q33" s="58">
        <f t="shared" si="13"/>
        <v>15019119.229999999</v>
      </c>
      <c r="R33" s="58">
        <f t="shared" si="13"/>
        <v>3899863.85</v>
      </c>
      <c r="S33" s="58">
        <f t="shared" si="13"/>
        <v>-467439.11</v>
      </c>
      <c r="T33" s="58">
        <f t="shared" si="13"/>
        <v>1807.2100000000005</v>
      </c>
      <c r="U33" s="58">
        <f t="shared" si="13"/>
        <v>17123097.859999999</v>
      </c>
      <c r="V33" s="26"/>
      <c r="W33" s="58">
        <f>SUM(W3:W32)</f>
        <v>14579717.190000001</v>
      </c>
      <c r="X33" s="26"/>
      <c r="Y33" s="58">
        <f>SUM(Y3:Y32)</f>
        <v>2997589.8499999996</v>
      </c>
    </row>
    <row r="34" spans="1:25">
      <c r="A34" t="s">
        <v>859</v>
      </c>
      <c r="B34" t="s">
        <v>860</v>
      </c>
      <c r="C34" s="6">
        <f>VLOOKUP($A34,'SpEd BEA Rate 2324'!$A$4:$AS$325,45,FALSE)</f>
        <v>9442.32</v>
      </c>
      <c r="D34" s="6">
        <f>VLOOKUP($A34,'2324 Jun 24 Enroll'!$A$4:$AL$325,22,FALSE)</f>
        <v>0.89</v>
      </c>
      <c r="E34" s="6">
        <f>VLOOKUP($A34,'2324 Jun 24 Enroll'!$A$4:$AL$325,23,FALSE)</f>
        <v>0</v>
      </c>
      <c r="F34" s="6">
        <f>VLOOKUP($A34,'2324 Jun 24 Enroll'!$A$4:$AL$325,24,FALSE)</f>
        <v>0</v>
      </c>
      <c r="G34" s="6">
        <f>VLOOKUP($A34,'2324 Jun 24 Enroll'!$A$4:$AL$325,25,FALSE)</f>
        <v>13.11</v>
      </c>
      <c r="H34" s="6">
        <f>VLOOKUP($A34,'2324 Jun 24 Enroll'!$A$4:$AL$325,26,FALSE)</f>
        <v>1</v>
      </c>
      <c r="I34" s="6">
        <f>VLOOKUP($A34,'2324 Jun 24 Enroll'!$A$4:$AL$325,27,FALSE)</f>
        <v>65.709999999999994</v>
      </c>
      <c r="J34" s="54">
        <f t="shared" si="5"/>
        <v>0.2147</v>
      </c>
      <c r="K34" s="54">
        <f t="shared" si="6"/>
        <v>6.4700000000000008E-2</v>
      </c>
      <c r="L34" s="45">
        <f>ROUND(D34*$L$1*C34,2)</f>
        <v>10084.4</v>
      </c>
      <c r="M34" s="68">
        <v>124.08</v>
      </c>
      <c r="N34" s="68">
        <v>20.54</v>
      </c>
      <c r="O34" s="45">
        <f>ROUND(+E34*(($C34*O$1)-$N34),2)</f>
        <v>0</v>
      </c>
      <c r="P34" s="45">
        <f>ROUND(+F34*(($C34*P$1)-$N34),2)</f>
        <v>0</v>
      </c>
      <c r="Q34" s="45">
        <f>ROUND(+G34*(($C34*Q$1)-$N34),2)</f>
        <v>138374.19</v>
      </c>
      <c r="R34" s="45">
        <f>ROUND(+H34*(($C34*R$1)-$N34),2)</f>
        <v>9988.32</v>
      </c>
      <c r="S34" s="45">
        <f>IF($J34&lt;K$1,0,ROUND(((((O34+P34+Q34+R34)*-1)/$J34)*$K34),2))</f>
        <v>-44709.15</v>
      </c>
      <c r="T34" s="6">
        <f>VLOOKUP($A34,'2324 Jun 24 Enroll'!$A$4:$AL$325,31,FALSE)</f>
        <v>14.11</v>
      </c>
      <c r="U34" s="45">
        <f>ROUND(T34*C34,2)</f>
        <v>133231.14000000001</v>
      </c>
      <c r="V34" s="35">
        <v>0.31080000000000002</v>
      </c>
      <c r="W34" s="45">
        <f>ROUND(U34/(1+V34),2)</f>
        <v>101641.09</v>
      </c>
      <c r="X34" s="35">
        <v>0.105</v>
      </c>
      <c r="Y34" s="45">
        <f>ROUND(X34*W34,2)</f>
        <v>10672.31</v>
      </c>
    </row>
    <row r="35" spans="1:25">
      <c r="A35" t="s">
        <v>337</v>
      </c>
      <c r="B35" t="s">
        <v>338</v>
      </c>
      <c r="C35" s="6">
        <f>VLOOKUP($A35,'SpEd BEA Rate 2324'!$A$4:$AS$325,45,FALSE)</f>
        <v>9356.4699999999993</v>
      </c>
      <c r="D35" s="6">
        <f>VLOOKUP($A35,'2324 Jun 24 Enroll'!$A$4:$AL$325,22,FALSE)</f>
        <v>0</v>
      </c>
      <c r="E35" s="6">
        <f>VLOOKUP($A35,'2324 Jun 24 Enroll'!$A$4:$AL$325,23,FALSE)</f>
        <v>0</v>
      </c>
      <c r="F35" s="6">
        <f>VLOOKUP($A35,'2324 Jun 24 Enroll'!$A$4:$AL$325,24,FALSE)</f>
        <v>0</v>
      </c>
      <c r="G35" s="6">
        <f>VLOOKUP($A35,'2324 Jun 24 Enroll'!$A$4:$AL$325,25,FALSE)</f>
        <v>0</v>
      </c>
      <c r="H35" s="6">
        <f>VLOOKUP($A35,'2324 Jun 24 Enroll'!$A$4:$AL$325,26,FALSE)</f>
        <v>0</v>
      </c>
      <c r="I35" s="6">
        <f>VLOOKUP($A35,'2324 Jun 24 Enroll'!$A$4:$AL$325,27,FALSE)</f>
        <v>11</v>
      </c>
      <c r="J35" s="54">
        <f t="shared" si="5"/>
        <v>0</v>
      </c>
      <c r="K35" s="54">
        <f t="shared" si="6"/>
        <v>0</v>
      </c>
      <c r="L35" s="45">
        <f t="shared" ref="L35:L98" si="14">ROUND(D35*$L$1*C35,2)</f>
        <v>0</v>
      </c>
      <c r="M35" s="68">
        <v>117.15</v>
      </c>
      <c r="N35" s="68">
        <v>19.39</v>
      </c>
      <c r="O35" s="45">
        <f t="shared" ref="O35:O98" si="15">ROUND(+E35*(($C35*O$1)-$N35),2)</f>
        <v>0</v>
      </c>
      <c r="P35" s="45">
        <f t="shared" ref="P35:P98" si="16">ROUND(+F35*(($C35*P$1)-$N35),2)</f>
        <v>0</v>
      </c>
      <c r="Q35" s="45">
        <f t="shared" ref="Q35:Q98" si="17">ROUND(+G35*(($C35*Q$1)-$N35),2)</f>
        <v>0</v>
      </c>
      <c r="R35" s="45">
        <f t="shared" ref="R35:R98" si="18">ROUND(+H35*(($C35*R$1)-$N35),2)</f>
        <v>0</v>
      </c>
      <c r="S35" s="45">
        <f t="shared" ref="S35:S98" si="19">IF($J35&lt;K$1,0,ROUND(((((O35+P35+Q35+R35)*-1)/$J35)*$K35),2))</f>
        <v>0</v>
      </c>
      <c r="T35" s="6">
        <f>VLOOKUP($A35,'2324 Jun 24 Enroll'!$A$4:$AL$325,31,FALSE)</f>
        <v>0</v>
      </c>
      <c r="U35" s="45">
        <f t="shared" ref="U35:U96" si="20">ROUND(T35*C35,2)</f>
        <v>0</v>
      </c>
      <c r="V35" s="35">
        <v>0.28810000000000002</v>
      </c>
      <c r="W35" s="45">
        <f t="shared" ref="W35:W96" si="21">ROUND(U35/(1+V35),2)</f>
        <v>0</v>
      </c>
      <c r="X35" s="35">
        <v>0</v>
      </c>
      <c r="Y35" s="45">
        <f t="shared" ref="Y35:Y96" si="22">ROUND(X35*W35,2)</f>
        <v>0</v>
      </c>
    </row>
    <row r="36" spans="1:25">
      <c r="A36" t="s">
        <v>675</v>
      </c>
      <c r="B36" t="s">
        <v>676</v>
      </c>
      <c r="C36" s="6">
        <f>VLOOKUP($A36,'SpEd BEA Rate 2324'!$A$4:$AS$325,45,FALSE)</f>
        <v>9421.2099999999991</v>
      </c>
      <c r="D36" s="6">
        <f>VLOOKUP($A36,'2324 Jun 24 Enroll'!$A$4:$AL$325,22,FALSE)</f>
        <v>61</v>
      </c>
      <c r="E36" s="6">
        <f>VLOOKUP($A36,'2324 Jun 24 Enroll'!$A$4:$AL$325,23,FALSE)</f>
        <v>1</v>
      </c>
      <c r="F36" s="6">
        <f>VLOOKUP($A36,'2324 Jun 24 Enroll'!$A$4:$AL$325,24,FALSE)</f>
        <v>4</v>
      </c>
      <c r="G36" s="6">
        <f>VLOOKUP($A36,'2324 Jun 24 Enroll'!$A$4:$AL$325,25,FALSE)</f>
        <v>335.78</v>
      </c>
      <c r="H36" s="6">
        <f>VLOOKUP($A36,'2324 Jun 24 Enroll'!$A$4:$AL$325,26,FALSE)</f>
        <v>169.33</v>
      </c>
      <c r="I36" s="6">
        <f>VLOOKUP($A36,'2324 Jun 24 Enroll'!$A$4:$AL$325,27,FALSE)</f>
        <v>4523.45</v>
      </c>
      <c r="J36" s="54">
        <f t="shared" si="5"/>
        <v>0.1128</v>
      </c>
      <c r="K36" s="54">
        <f t="shared" si="6"/>
        <v>0</v>
      </c>
      <c r="L36" s="45">
        <f t="shared" si="14"/>
        <v>689632.57</v>
      </c>
      <c r="M36" s="68">
        <v>142.66999999999999</v>
      </c>
      <c r="N36" s="68">
        <v>23.61</v>
      </c>
      <c r="O36" s="45">
        <f t="shared" si="15"/>
        <v>10528.15</v>
      </c>
      <c r="P36" s="45">
        <f t="shared" si="16"/>
        <v>39851.49</v>
      </c>
      <c r="Q36" s="45">
        <f t="shared" si="17"/>
        <v>3535140.6</v>
      </c>
      <c r="R36" s="45">
        <f t="shared" si="18"/>
        <v>1687013.22</v>
      </c>
      <c r="S36" s="45">
        <f t="shared" si="19"/>
        <v>0</v>
      </c>
      <c r="T36" s="6">
        <f>VLOOKUP($A36,'2324 Jun 24 Enroll'!$A$4:$AL$325,31,FALSE)</f>
        <v>509.11</v>
      </c>
      <c r="U36" s="45">
        <f t="shared" si="20"/>
        <v>4796432.22</v>
      </c>
      <c r="V36" s="35">
        <v>0.1477</v>
      </c>
      <c r="W36" s="45">
        <f t="shared" si="21"/>
        <v>4179168.96</v>
      </c>
      <c r="X36" s="35">
        <v>0.2394</v>
      </c>
      <c r="Y36" s="45">
        <f t="shared" si="22"/>
        <v>1000493.05</v>
      </c>
    </row>
    <row r="37" spans="1:25">
      <c r="A37" t="s">
        <v>556</v>
      </c>
      <c r="B37" t="s">
        <v>557</v>
      </c>
      <c r="C37" s="6">
        <f>VLOOKUP($A37,'SpEd BEA Rate 2324'!$A$4:$AS$325,45,FALSE)</f>
        <v>9403.64</v>
      </c>
      <c r="D37" s="6">
        <f>VLOOKUP($A37,'2324 Jun 24 Enroll'!$A$4:$AL$325,22,FALSE)</f>
        <v>0.33</v>
      </c>
      <c r="E37" s="6">
        <f>VLOOKUP($A37,'2324 Jun 24 Enroll'!$A$4:$AL$325,23,FALSE)</f>
        <v>0</v>
      </c>
      <c r="F37" s="6">
        <f>VLOOKUP($A37,'2324 Jun 24 Enroll'!$A$4:$AL$325,24,FALSE)</f>
        <v>0</v>
      </c>
      <c r="G37" s="6">
        <f>VLOOKUP($A37,'2324 Jun 24 Enroll'!$A$4:$AL$325,25,FALSE)</f>
        <v>16.89</v>
      </c>
      <c r="H37" s="6">
        <f>VLOOKUP($A37,'2324 Jun 24 Enroll'!$A$4:$AL$325,26,FALSE)</f>
        <v>1</v>
      </c>
      <c r="I37" s="6">
        <f>VLOOKUP($A37,'2324 Jun 24 Enroll'!$A$4:$AL$325,27,FALSE)</f>
        <v>181.89</v>
      </c>
      <c r="J37" s="54">
        <f t="shared" si="5"/>
        <v>9.8400000000000001E-2</v>
      </c>
      <c r="K37" s="54">
        <f t="shared" si="6"/>
        <v>0</v>
      </c>
      <c r="L37" s="45">
        <f t="shared" si="14"/>
        <v>3723.84</v>
      </c>
      <c r="M37" s="68">
        <v>125.35</v>
      </c>
      <c r="N37" s="68">
        <v>20.75</v>
      </c>
      <c r="O37" s="45">
        <f t="shared" si="15"/>
        <v>0</v>
      </c>
      <c r="P37" s="45">
        <f t="shared" si="16"/>
        <v>0</v>
      </c>
      <c r="Q37" s="45">
        <f t="shared" si="17"/>
        <v>177536.31</v>
      </c>
      <c r="R37" s="45">
        <f t="shared" si="18"/>
        <v>9947.11</v>
      </c>
      <c r="S37" s="45">
        <f t="shared" si="19"/>
        <v>0</v>
      </c>
      <c r="T37" s="6">
        <f>VLOOKUP($A37,'2324 Jun 24 Enroll'!$A$4:$AL$325,31,FALSE)</f>
        <v>17.89</v>
      </c>
      <c r="U37" s="45">
        <f t="shared" si="20"/>
        <v>168231.12</v>
      </c>
      <c r="V37" s="35">
        <v>0.18890000000000001</v>
      </c>
      <c r="W37" s="45">
        <f t="shared" si="21"/>
        <v>141501.49</v>
      </c>
      <c r="X37" s="35">
        <v>0.15720000000000001</v>
      </c>
      <c r="Y37" s="45">
        <f t="shared" si="22"/>
        <v>22244.03</v>
      </c>
    </row>
    <row r="38" spans="1:25">
      <c r="A38" t="s">
        <v>729</v>
      </c>
      <c r="B38" t="s">
        <v>730</v>
      </c>
      <c r="C38" s="6">
        <f>VLOOKUP($A38,'SpEd BEA Rate 2324'!$A$4:$AS$325,45,FALSE)</f>
        <v>9627.5</v>
      </c>
      <c r="D38" s="6">
        <f>VLOOKUP($A38,'2324 Jun 24 Enroll'!$A$4:$AL$325,22,FALSE)</f>
        <v>4.5599999999999996</v>
      </c>
      <c r="E38" s="6">
        <f>VLOOKUP($A38,'2324 Jun 24 Enroll'!$A$4:$AL$325,23,FALSE)</f>
        <v>0.11</v>
      </c>
      <c r="F38" s="6">
        <f>VLOOKUP($A38,'2324 Jun 24 Enroll'!$A$4:$AL$325,24,FALSE)</f>
        <v>0</v>
      </c>
      <c r="G38" s="6">
        <f>VLOOKUP($A38,'2324 Jun 24 Enroll'!$A$4:$AL$325,25,FALSE)</f>
        <v>32.33</v>
      </c>
      <c r="H38" s="6">
        <f>VLOOKUP($A38,'2324 Jun 24 Enroll'!$A$4:$AL$325,26,FALSE)</f>
        <v>5.78</v>
      </c>
      <c r="I38" s="6">
        <f>VLOOKUP($A38,'2324 Jun 24 Enroll'!$A$4:$AL$325,27,FALSE)</f>
        <v>397.04</v>
      </c>
      <c r="J38" s="54">
        <f t="shared" si="5"/>
        <v>9.6299999999999997E-2</v>
      </c>
      <c r="K38" s="54">
        <f t="shared" si="6"/>
        <v>0</v>
      </c>
      <c r="L38" s="45">
        <f t="shared" si="14"/>
        <v>52681.68</v>
      </c>
      <c r="M38" s="68">
        <v>118.99</v>
      </c>
      <c r="N38" s="68">
        <v>19.690000000000001</v>
      </c>
      <c r="O38" s="45">
        <f t="shared" si="15"/>
        <v>1183.94</v>
      </c>
      <c r="P38" s="45">
        <f t="shared" si="16"/>
        <v>0</v>
      </c>
      <c r="Q38" s="45">
        <f t="shared" si="17"/>
        <v>347971.35</v>
      </c>
      <c r="R38" s="45">
        <f t="shared" si="18"/>
        <v>58871.96</v>
      </c>
      <c r="S38" s="45">
        <f t="shared" si="19"/>
        <v>0</v>
      </c>
      <c r="T38" s="6">
        <f>VLOOKUP($A38,'2324 Jun 24 Enroll'!$A$4:$AL$325,31,FALSE)</f>
        <v>38.22</v>
      </c>
      <c r="U38" s="45">
        <f t="shared" si="20"/>
        <v>367963.05</v>
      </c>
      <c r="V38" s="35">
        <v>0.25059999999999999</v>
      </c>
      <c r="W38" s="45">
        <f t="shared" si="21"/>
        <v>294229.21000000002</v>
      </c>
      <c r="X38" s="35">
        <v>0.14599999999999999</v>
      </c>
      <c r="Y38" s="45">
        <f t="shared" si="22"/>
        <v>42957.46</v>
      </c>
    </row>
    <row r="39" spans="1:25">
      <c r="A39" t="s">
        <v>384</v>
      </c>
      <c r="B39" t="s">
        <v>385</v>
      </c>
      <c r="C39" s="6">
        <f>VLOOKUP($A39,'SpEd BEA Rate 2324'!$A$4:$AS$325,45,FALSE)</f>
        <v>9425.6299999999992</v>
      </c>
      <c r="D39" s="6">
        <f>VLOOKUP($A39,'2324 Jun 24 Enroll'!$A$4:$AL$325,22,FALSE)</f>
        <v>42.56</v>
      </c>
      <c r="E39" s="6">
        <f>VLOOKUP($A39,'2324 Jun 24 Enroll'!$A$4:$AL$325,23,FALSE)</f>
        <v>4.22</v>
      </c>
      <c r="F39" s="6">
        <f>VLOOKUP($A39,'2324 Jun 24 Enroll'!$A$4:$AL$325,24,FALSE)</f>
        <v>3.33</v>
      </c>
      <c r="G39" s="6">
        <f>VLOOKUP($A39,'2324 Jun 24 Enroll'!$A$4:$AL$325,25,FALSE)</f>
        <v>266</v>
      </c>
      <c r="H39" s="6">
        <f>VLOOKUP($A39,'2324 Jun 24 Enroll'!$A$4:$AL$325,26,FALSE)</f>
        <v>177.33</v>
      </c>
      <c r="I39" s="6">
        <f>VLOOKUP($A39,'2324 Jun 24 Enroll'!$A$4:$AL$325,27,FALSE)</f>
        <v>2463.0700000000002</v>
      </c>
      <c r="J39" s="54">
        <f t="shared" si="5"/>
        <v>0.18310000000000001</v>
      </c>
      <c r="K39" s="54">
        <f t="shared" si="6"/>
        <v>3.3100000000000018E-2</v>
      </c>
      <c r="L39" s="45">
        <f t="shared" si="14"/>
        <v>481385.78</v>
      </c>
      <c r="M39" s="68">
        <v>122.73</v>
      </c>
      <c r="N39" s="68">
        <v>20.309999999999999</v>
      </c>
      <c r="O39" s="45">
        <f t="shared" si="15"/>
        <v>44463.59</v>
      </c>
      <c r="P39" s="45">
        <f t="shared" si="16"/>
        <v>33202.959999999999</v>
      </c>
      <c r="Q39" s="45">
        <f t="shared" si="17"/>
        <v>2802681.23</v>
      </c>
      <c r="R39" s="45">
        <f t="shared" si="18"/>
        <v>1768132.21</v>
      </c>
      <c r="S39" s="45">
        <f t="shared" si="19"/>
        <v>-840331.45</v>
      </c>
      <c r="T39" s="6">
        <f>VLOOKUP($A39,'2324 Jun 24 Enroll'!$A$4:$AL$325,31,FALSE)</f>
        <v>450.88</v>
      </c>
      <c r="U39" s="45">
        <f t="shared" si="20"/>
        <v>4249828.05</v>
      </c>
      <c r="V39" s="35">
        <v>0.1966</v>
      </c>
      <c r="W39" s="45">
        <f t="shared" si="21"/>
        <v>3551586.2</v>
      </c>
      <c r="X39" s="35">
        <v>0.222</v>
      </c>
      <c r="Y39" s="45">
        <f t="shared" si="22"/>
        <v>788452.14</v>
      </c>
    </row>
    <row r="40" spans="1:25">
      <c r="A40" t="s">
        <v>325</v>
      </c>
      <c r="B40" t="s">
        <v>326</v>
      </c>
      <c r="C40" s="6">
        <f>VLOOKUP($A40,'SpEd BEA Rate 2324'!$A$4:$AS$325,45,FALSE)</f>
        <v>9413.31</v>
      </c>
      <c r="D40" s="6">
        <f>VLOOKUP($A40,'2324 Jun 24 Enroll'!$A$4:$AL$325,22,FALSE)</f>
        <v>2.89</v>
      </c>
      <c r="E40" s="6">
        <f>VLOOKUP($A40,'2324 Jun 24 Enroll'!$A$4:$AL$325,23,FALSE)</f>
        <v>4</v>
      </c>
      <c r="F40" s="6">
        <f>VLOOKUP($A40,'2324 Jun 24 Enroll'!$A$4:$AL$325,24,FALSE)</f>
        <v>1</v>
      </c>
      <c r="G40" s="6">
        <f>VLOOKUP($A40,'2324 Jun 24 Enroll'!$A$4:$AL$325,25,FALSE)</f>
        <v>58.22</v>
      </c>
      <c r="H40" s="6">
        <f>VLOOKUP($A40,'2324 Jun 24 Enroll'!$A$4:$AL$325,26,FALSE)</f>
        <v>26.78</v>
      </c>
      <c r="I40" s="6">
        <f>VLOOKUP($A40,'2324 Jun 24 Enroll'!$A$4:$AL$325,27,FALSE)</f>
        <v>616.85</v>
      </c>
      <c r="J40" s="54">
        <f t="shared" si="5"/>
        <v>0.1459</v>
      </c>
      <c r="K40" s="54">
        <f t="shared" si="6"/>
        <v>0</v>
      </c>
      <c r="L40" s="45">
        <f t="shared" si="14"/>
        <v>32645.360000000001</v>
      </c>
      <c r="M40" s="68">
        <v>121.59</v>
      </c>
      <c r="N40" s="68">
        <v>20.13</v>
      </c>
      <c r="O40" s="45">
        <f t="shared" si="15"/>
        <v>42091.11</v>
      </c>
      <c r="P40" s="45">
        <f t="shared" si="16"/>
        <v>9957.98</v>
      </c>
      <c r="Q40" s="45">
        <f t="shared" si="17"/>
        <v>612636.09</v>
      </c>
      <c r="R40" s="45">
        <f t="shared" si="18"/>
        <v>266674.67</v>
      </c>
      <c r="S40" s="45">
        <f t="shared" si="19"/>
        <v>0</v>
      </c>
      <c r="T40" s="6">
        <f>VLOOKUP($A40,'2324 Jun 24 Enroll'!$A$4:$AL$325,31,FALSE)</f>
        <v>90</v>
      </c>
      <c r="U40" s="45">
        <f t="shared" si="20"/>
        <v>847197.9</v>
      </c>
      <c r="V40" s="35">
        <v>0.19339999999999999</v>
      </c>
      <c r="W40" s="45">
        <f t="shared" si="21"/>
        <v>709902.71</v>
      </c>
      <c r="X40" s="35">
        <v>0.24579999999999999</v>
      </c>
      <c r="Y40" s="45">
        <f t="shared" si="22"/>
        <v>174494.09</v>
      </c>
    </row>
    <row r="41" spans="1:25">
      <c r="A41" t="s">
        <v>524</v>
      </c>
      <c r="B41" t="s">
        <v>525</v>
      </c>
      <c r="C41" s="6">
        <f>VLOOKUP($A41,'SpEd BEA Rate 2324'!$A$4:$AS$325,45,FALSE)</f>
        <v>9427.41</v>
      </c>
      <c r="D41" s="6">
        <f>VLOOKUP($A41,'2324 Jun 24 Enroll'!$A$4:$AL$325,22,FALSE)</f>
        <v>236.44</v>
      </c>
      <c r="E41" s="6">
        <f>VLOOKUP($A41,'2324 Jun 24 Enroll'!$A$4:$AL$325,23,FALSE)</f>
        <v>2.11</v>
      </c>
      <c r="F41" s="6">
        <f>VLOOKUP($A41,'2324 Jun 24 Enroll'!$A$4:$AL$325,24,FALSE)</f>
        <v>1.44</v>
      </c>
      <c r="G41" s="6">
        <f>VLOOKUP($A41,'2324 Jun 24 Enroll'!$A$4:$AL$325,25,FALSE)</f>
        <v>1285.8900000000001</v>
      </c>
      <c r="H41" s="6">
        <f>VLOOKUP($A41,'2324 Jun 24 Enroll'!$A$4:$AL$325,26,FALSE)</f>
        <v>1184.33</v>
      </c>
      <c r="I41" s="6">
        <f>VLOOKUP($A41,'2324 Jun 24 Enroll'!$A$4:$AL$325,27,FALSE)</f>
        <v>18343.330000000002</v>
      </c>
      <c r="J41" s="54">
        <f t="shared" si="5"/>
        <v>0.13489999999999999</v>
      </c>
      <c r="K41" s="54">
        <f t="shared" si="6"/>
        <v>0</v>
      </c>
      <c r="L41" s="45">
        <f t="shared" si="14"/>
        <v>2674820.1800000002</v>
      </c>
      <c r="M41" s="68">
        <v>128.56</v>
      </c>
      <c r="N41" s="68">
        <v>21.28</v>
      </c>
      <c r="O41" s="45">
        <f t="shared" si="15"/>
        <v>22233.95</v>
      </c>
      <c r="P41" s="45">
        <f t="shared" si="16"/>
        <v>14359.36</v>
      </c>
      <c r="Q41" s="45">
        <f t="shared" si="17"/>
        <v>13549961.98</v>
      </c>
      <c r="R41" s="45">
        <f t="shared" si="18"/>
        <v>11809871.810000001</v>
      </c>
      <c r="S41" s="45">
        <f t="shared" si="19"/>
        <v>0</v>
      </c>
      <c r="T41" s="6">
        <f>VLOOKUP($A41,'2324 Jun 24 Enroll'!$A$4:$AL$325,31,FALSE)</f>
        <v>2466.33</v>
      </c>
      <c r="U41" s="45">
        <f t="shared" si="20"/>
        <v>23251104.109999999</v>
      </c>
      <c r="V41" s="35">
        <v>0.1245</v>
      </c>
      <c r="W41" s="45">
        <f t="shared" si="21"/>
        <v>20676837.800000001</v>
      </c>
      <c r="X41" s="35">
        <v>0.30859999999999999</v>
      </c>
      <c r="Y41" s="45">
        <f t="shared" si="22"/>
        <v>6380872.1500000004</v>
      </c>
    </row>
    <row r="42" spans="1:25">
      <c r="A42" t="s">
        <v>685</v>
      </c>
      <c r="B42" t="s">
        <v>686</v>
      </c>
      <c r="C42" s="6">
        <f>VLOOKUP($A42,'SpEd BEA Rate 2324'!$A$4:$AS$325,45,FALSE)</f>
        <v>9356.4699999999993</v>
      </c>
      <c r="D42" s="6">
        <f>VLOOKUP($A42,'2324 Jun 24 Enroll'!$A$4:$AL$325,22,FALSE)</f>
        <v>3</v>
      </c>
      <c r="E42" s="6">
        <f>VLOOKUP($A42,'2324 Jun 24 Enroll'!$A$4:$AL$325,23,FALSE)</f>
        <v>0</v>
      </c>
      <c r="F42" s="6">
        <f>VLOOKUP($A42,'2324 Jun 24 Enroll'!$A$4:$AL$325,24,FALSE)</f>
        <v>0</v>
      </c>
      <c r="G42" s="6">
        <f>VLOOKUP($A42,'2324 Jun 24 Enroll'!$A$4:$AL$325,25,FALSE)</f>
        <v>26.33</v>
      </c>
      <c r="H42" s="6">
        <f>VLOOKUP($A42,'2324 Jun 24 Enroll'!$A$4:$AL$325,26,FALSE)</f>
        <v>0</v>
      </c>
      <c r="I42" s="6">
        <f>VLOOKUP($A42,'2324 Jun 24 Enroll'!$A$4:$AL$325,27,FALSE)</f>
        <v>140.80000000000001</v>
      </c>
      <c r="J42" s="54">
        <f t="shared" si="5"/>
        <v>0.187</v>
      </c>
      <c r="K42" s="54">
        <f t="shared" si="6"/>
        <v>3.7000000000000005E-2</v>
      </c>
      <c r="L42" s="45">
        <f t="shared" si="14"/>
        <v>33683.29</v>
      </c>
      <c r="M42" s="68">
        <v>164.55</v>
      </c>
      <c r="N42" s="68">
        <v>27.24</v>
      </c>
      <c r="O42" s="45">
        <f t="shared" si="15"/>
        <v>0</v>
      </c>
      <c r="P42" s="45">
        <f t="shared" si="16"/>
        <v>0</v>
      </c>
      <c r="Q42" s="45">
        <f t="shared" si="17"/>
        <v>275201.33</v>
      </c>
      <c r="R42" s="45">
        <f t="shared" si="18"/>
        <v>0</v>
      </c>
      <c r="S42" s="45">
        <f t="shared" si="19"/>
        <v>-54451.6</v>
      </c>
      <c r="T42" s="6">
        <f>VLOOKUP($A42,'2324 Jun 24 Enroll'!$A$4:$AL$325,31,FALSE)</f>
        <v>26.33</v>
      </c>
      <c r="U42" s="45">
        <f t="shared" si="20"/>
        <v>246355.86</v>
      </c>
      <c r="V42" s="35">
        <v>0.21809999999999999</v>
      </c>
      <c r="W42" s="45">
        <f t="shared" si="21"/>
        <v>202246.01</v>
      </c>
      <c r="X42" s="35">
        <v>0.09</v>
      </c>
      <c r="Y42" s="45">
        <f t="shared" si="22"/>
        <v>18202.14</v>
      </c>
    </row>
    <row r="43" spans="1:25">
      <c r="A43" t="s">
        <v>530</v>
      </c>
      <c r="B43" t="s">
        <v>531</v>
      </c>
      <c r="C43" s="6">
        <f>VLOOKUP($A43,'SpEd BEA Rate 2324'!$A$4:$AS$325,45,FALSE)</f>
        <v>9617.5300000000007</v>
      </c>
      <c r="D43" s="6">
        <f>VLOOKUP($A43,'2324 Jun 24 Enroll'!$A$4:$AL$325,22,FALSE)</f>
        <v>11.44</v>
      </c>
      <c r="E43" s="6">
        <f>VLOOKUP($A43,'2324 Jun 24 Enroll'!$A$4:$AL$325,23,FALSE)</f>
        <v>3.11</v>
      </c>
      <c r="F43" s="6">
        <f>VLOOKUP($A43,'2324 Jun 24 Enroll'!$A$4:$AL$325,24,FALSE)</f>
        <v>0.89</v>
      </c>
      <c r="G43" s="6">
        <f>VLOOKUP($A43,'2324 Jun 24 Enroll'!$A$4:$AL$325,25,FALSE)</f>
        <v>122.78</v>
      </c>
      <c r="H43" s="6">
        <f>VLOOKUP($A43,'2324 Jun 24 Enroll'!$A$4:$AL$325,26,FALSE)</f>
        <v>55.33</v>
      </c>
      <c r="I43" s="6">
        <f>VLOOKUP($A43,'2324 Jun 24 Enroll'!$A$4:$AL$325,27,FALSE)</f>
        <v>1378.38</v>
      </c>
      <c r="J43" s="54">
        <f t="shared" si="5"/>
        <v>0.1321</v>
      </c>
      <c r="K43" s="54">
        <f t="shared" si="6"/>
        <v>0</v>
      </c>
      <c r="L43" s="45">
        <f t="shared" si="14"/>
        <v>132029.45000000001</v>
      </c>
      <c r="M43" s="68">
        <v>125.35</v>
      </c>
      <c r="N43" s="68">
        <v>20.75</v>
      </c>
      <c r="O43" s="45">
        <f t="shared" si="15"/>
        <v>33435.25</v>
      </c>
      <c r="P43" s="45">
        <f t="shared" si="16"/>
        <v>9054.7099999999991</v>
      </c>
      <c r="Q43" s="45">
        <f t="shared" si="17"/>
        <v>1319993.49</v>
      </c>
      <c r="R43" s="45">
        <f t="shared" si="18"/>
        <v>562918.11</v>
      </c>
      <c r="S43" s="45">
        <f t="shared" si="19"/>
        <v>0</v>
      </c>
      <c r="T43" s="6">
        <f>VLOOKUP($A43,'2324 Jun 24 Enroll'!$A$4:$AL$325,31,FALSE)</f>
        <v>181.11</v>
      </c>
      <c r="U43" s="45">
        <f t="shared" si="20"/>
        <v>1741830.86</v>
      </c>
      <c r="V43" s="35">
        <v>0.19320000000000001</v>
      </c>
      <c r="W43" s="45">
        <f t="shared" si="21"/>
        <v>1459797.9</v>
      </c>
      <c r="X43" s="35">
        <v>0.2268</v>
      </c>
      <c r="Y43" s="45">
        <f t="shared" si="22"/>
        <v>331082.15999999997</v>
      </c>
    </row>
    <row r="44" spans="1:25">
      <c r="A44" t="s">
        <v>470</v>
      </c>
      <c r="B44" t="s">
        <v>471</v>
      </c>
      <c r="C44" s="6">
        <f>VLOOKUP($A44,'SpEd BEA Rate 2324'!$A$4:$AS$325,45,FALSE)</f>
        <v>9421.49</v>
      </c>
      <c r="D44" s="6">
        <f>VLOOKUP($A44,'2324 Jun 24 Enroll'!$A$4:$AL$325,22,FALSE)</f>
        <v>11.89</v>
      </c>
      <c r="E44" s="6">
        <f>VLOOKUP($A44,'2324 Jun 24 Enroll'!$A$4:$AL$325,23,FALSE)</f>
        <v>0</v>
      </c>
      <c r="F44" s="6">
        <f>VLOOKUP($A44,'2324 Jun 24 Enroll'!$A$4:$AL$325,24,FALSE)</f>
        <v>0</v>
      </c>
      <c r="G44" s="6">
        <f>VLOOKUP($A44,'2324 Jun 24 Enroll'!$A$4:$AL$325,25,FALSE)</f>
        <v>62.22</v>
      </c>
      <c r="H44" s="6">
        <f>VLOOKUP($A44,'2324 Jun 24 Enroll'!$A$4:$AL$325,26,FALSE)</f>
        <v>47.11</v>
      </c>
      <c r="I44" s="6">
        <f>VLOOKUP($A44,'2324 Jun 24 Enroll'!$A$4:$AL$325,27,FALSE)</f>
        <v>874.01</v>
      </c>
      <c r="J44" s="54">
        <f t="shared" si="5"/>
        <v>0.12509999999999999</v>
      </c>
      <c r="K44" s="54">
        <f t="shared" si="6"/>
        <v>0</v>
      </c>
      <c r="L44" s="45">
        <f t="shared" si="14"/>
        <v>134425.82</v>
      </c>
      <c r="M44" s="68">
        <v>121.62</v>
      </c>
      <c r="N44" s="68">
        <v>20.13</v>
      </c>
      <c r="O44" s="45">
        <f t="shared" si="15"/>
        <v>0</v>
      </c>
      <c r="P44" s="45">
        <f t="shared" si="16"/>
        <v>0</v>
      </c>
      <c r="Q44" s="45">
        <f t="shared" si="17"/>
        <v>655297.23</v>
      </c>
      <c r="R44" s="45">
        <f t="shared" si="18"/>
        <v>469528.85</v>
      </c>
      <c r="S44" s="45">
        <f t="shared" si="19"/>
        <v>0</v>
      </c>
      <c r="T44" s="6">
        <f>VLOOKUP($A44,'2324 Jun 24 Enroll'!$A$4:$AL$325,31,FALSE)</f>
        <v>109.33</v>
      </c>
      <c r="U44" s="45">
        <f t="shared" si="20"/>
        <v>1030051.5</v>
      </c>
      <c r="V44" s="35">
        <v>0.17879999999999999</v>
      </c>
      <c r="W44" s="45">
        <f t="shared" si="21"/>
        <v>873813.62</v>
      </c>
      <c r="X44" s="35">
        <v>0.27610000000000001</v>
      </c>
      <c r="Y44" s="45">
        <f t="shared" si="22"/>
        <v>241259.94</v>
      </c>
    </row>
    <row r="45" spans="1:25">
      <c r="A45" t="s">
        <v>701</v>
      </c>
      <c r="B45" t="s">
        <v>702</v>
      </c>
      <c r="C45" s="6">
        <f>VLOOKUP($A45,'SpEd BEA Rate 2324'!$A$4:$AS$325,45,FALSE)</f>
        <v>9428.23</v>
      </c>
      <c r="D45" s="6">
        <f>VLOOKUP($A45,'2324 Jun 24 Enroll'!$A$4:$AL$325,22,FALSE)</f>
        <v>20.67</v>
      </c>
      <c r="E45" s="6">
        <f>VLOOKUP($A45,'2324 Jun 24 Enroll'!$A$4:$AL$325,23,FALSE)</f>
        <v>0.11</v>
      </c>
      <c r="F45" s="6">
        <f>VLOOKUP($A45,'2324 Jun 24 Enroll'!$A$4:$AL$325,24,FALSE)</f>
        <v>0</v>
      </c>
      <c r="G45" s="6">
        <f>VLOOKUP($A45,'2324 Jun 24 Enroll'!$A$4:$AL$325,25,FALSE)</f>
        <v>171.11</v>
      </c>
      <c r="H45" s="6">
        <f>VLOOKUP($A45,'2324 Jun 24 Enroll'!$A$4:$AL$325,26,FALSE)</f>
        <v>164.78</v>
      </c>
      <c r="I45" s="6">
        <f>VLOOKUP($A45,'2324 Jun 24 Enroll'!$A$4:$AL$325,27,FALSE)</f>
        <v>2449.54</v>
      </c>
      <c r="J45" s="54">
        <f t="shared" si="5"/>
        <v>0.13719999999999999</v>
      </c>
      <c r="K45" s="54">
        <f t="shared" si="6"/>
        <v>0</v>
      </c>
      <c r="L45" s="45">
        <f t="shared" si="14"/>
        <v>233857.82</v>
      </c>
      <c r="M45" s="68">
        <v>127.41</v>
      </c>
      <c r="N45" s="68">
        <v>21.09</v>
      </c>
      <c r="O45" s="45">
        <f t="shared" si="15"/>
        <v>1159.24</v>
      </c>
      <c r="P45" s="45">
        <f t="shared" si="16"/>
        <v>0</v>
      </c>
      <c r="Q45" s="45">
        <f t="shared" si="17"/>
        <v>1803247.46</v>
      </c>
      <c r="R45" s="45">
        <f t="shared" si="18"/>
        <v>1643323.55</v>
      </c>
      <c r="S45" s="45">
        <f t="shared" si="19"/>
        <v>0</v>
      </c>
      <c r="T45" s="6">
        <f>VLOOKUP($A45,'2324 Jun 24 Enroll'!$A$4:$AL$325,31,FALSE)</f>
        <v>334</v>
      </c>
      <c r="U45" s="45">
        <f t="shared" si="20"/>
        <v>3149028.82</v>
      </c>
      <c r="V45" s="35">
        <v>0.17230000000000001</v>
      </c>
      <c r="W45" s="45">
        <f t="shared" si="21"/>
        <v>2686197.07</v>
      </c>
      <c r="X45" s="35">
        <v>0.30509999999999998</v>
      </c>
      <c r="Y45" s="45">
        <f t="shared" si="22"/>
        <v>819558.73</v>
      </c>
    </row>
    <row r="46" spans="1:25">
      <c r="A46" t="s">
        <v>725</v>
      </c>
      <c r="B46" t="s">
        <v>726</v>
      </c>
      <c r="C46" s="6">
        <f>VLOOKUP($A46,'SpEd BEA Rate 2324'!$A$4:$AS$325,45,FALSE)</f>
        <v>9533.130000000001</v>
      </c>
      <c r="D46" s="6">
        <f>VLOOKUP($A46,'2324 Jun 24 Enroll'!$A$4:$AL$325,22,FALSE)</f>
        <v>181.11</v>
      </c>
      <c r="E46" s="6">
        <f>VLOOKUP($A46,'2324 Jun 24 Enroll'!$A$4:$AL$325,23,FALSE)</f>
        <v>0</v>
      </c>
      <c r="F46" s="6">
        <f>VLOOKUP($A46,'2324 Jun 24 Enroll'!$A$4:$AL$325,24,FALSE)</f>
        <v>0</v>
      </c>
      <c r="G46" s="6">
        <f>VLOOKUP($A46,'2324 Jun 24 Enroll'!$A$4:$AL$325,25,FALSE)</f>
        <v>1310.56</v>
      </c>
      <c r="H46" s="6">
        <f>VLOOKUP($A46,'2324 Jun 24 Enroll'!$A$4:$AL$325,26,FALSE)</f>
        <v>756.33</v>
      </c>
      <c r="I46" s="6">
        <f>VLOOKUP($A46,'2324 Jun 24 Enroll'!$A$4:$AL$325,27,FALSE)</f>
        <v>13902.95</v>
      </c>
      <c r="J46" s="54">
        <f t="shared" si="5"/>
        <v>0.1487</v>
      </c>
      <c r="K46" s="54">
        <f t="shared" si="6"/>
        <v>0</v>
      </c>
      <c r="L46" s="45">
        <f t="shared" si="14"/>
        <v>2071854.21</v>
      </c>
      <c r="M46" s="68">
        <v>129.91999999999999</v>
      </c>
      <c r="N46" s="68">
        <v>21.5</v>
      </c>
      <c r="O46" s="45">
        <f t="shared" si="15"/>
        <v>0</v>
      </c>
      <c r="P46" s="45">
        <f t="shared" si="16"/>
        <v>0</v>
      </c>
      <c r="Q46" s="45">
        <f t="shared" si="17"/>
        <v>13964810.48</v>
      </c>
      <c r="R46" s="45">
        <f t="shared" si="18"/>
        <v>7626542.6500000004</v>
      </c>
      <c r="S46" s="45">
        <f t="shared" si="19"/>
        <v>0</v>
      </c>
      <c r="T46" s="6">
        <f>VLOOKUP($A46,'2324 Jun 24 Enroll'!$A$4:$AL$325,31,FALSE)</f>
        <v>2065.89</v>
      </c>
      <c r="U46" s="45">
        <f t="shared" si="20"/>
        <v>19694397.940000001</v>
      </c>
      <c r="V46" s="35">
        <v>0.14829999999999999</v>
      </c>
      <c r="W46" s="45">
        <f t="shared" si="21"/>
        <v>17150916.960000001</v>
      </c>
      <c r="X46" s="35">
        <v>0.27129999999999999</v>
      </c>
      <c r="Y46" s="45">
        <f t="shared" si="22"/>
        <v>4653043.7699999996</v>
      </c>
    </row>
    <row r="47" spans="1:25">
      <c r="A47" t="s">
        <v>572</v>
      </c>
      <c r="B47" t="s">
        <v>573</v>
      </c>
      <c r="C47" s="6">
        <f>VLOOKUP($A47,'SpEd BEA Rate 2324'!$A$4:$AS$325,45,FALSE)</f>
        <v>9428.7000000000007</v>
      </c>
      <c r="D47" s="6">
        <f>VLOOKUP($A47,'2324 Jun 24 Enroll'!$A$4:$AL$325,22,FALSE)</f>
        <v>6</v>
      </c>
      <c r="E47" s="6">
        <f>VLOOKUP($A47,'2324 Jun 24 Enroll'!$A$4:$AL$325,23,FALSE)</f>
        <v>0</v>
      </c>
      <c r="F47" s="6">
        <f>VLOOKUP($A47,'2324 Jun 24 Enroll'!$A$4:$AL$325,24,FALSE)</f>
        <v>0</v>
      </c>
      <c r="G47" s="6">
        <f>VLOOKUP($A47,'2324 Jun 24 Enroll'!$A$4:$AL$325,25,FALSE)</f>
        <v>71.11</v>
      </c>
      <c r="H47" s="6">
        <f>VLOOKUP($A47,'2324 Jun 24 Enroll'!$A$4:$AL$325,26,FALSE)</f>
        <v>11.22</v>
      </c>
      <c r="I47" s="6">
        <f>VLOOKUP($A47,'2324 Jun 24 Enroll'!$A$4:$AL$325,27,FALSE)</f>
        <v>649.23</v>
      </c>
      <c r="J47" s="54">
        <f>ROUND((E47+F47+G47+H47)/I47,4)</f>
        <v>0.1268</v>
      </c>
      <c r="K47" s="54">
        <f>IF(J47&lt;$K$1,0,J47-$K$1)</f>
        <v>0</v>
      </c>
      <c r="L47" s="45">
        <f>ROUND(D47*$L$1*C47,2)</f>
        <v>67886.64</v>
      </c>
      <c r="M47" s="68">
        <v>126.16</v>
      </c>
      <c r="N47" s="68">
        <v>20.88</v>
      </c>
      <c r="O47" s="45">
        <f>ROUND(+E47*(($C47*O$1)-$N47),2)</f>
        <v>0</v>
      </c>
      <c r="P47" s="45">
        <f>ROUND(+F47*(($C47*P$1)-$N47),2)</f>
        <v>0</v>
      </c>
      <c r="Q47" s="45">
        <f>ROUND(+G47*(($C47*Q$1)-$N47),2)</f>
        <v>749447.06</v>
      </c>
      <c r="R47" s="45">
        <f>ROUND(+H47*(($C47*R$1)-$N47),2)</f>
        <v>111903.14</v>
      </c>
      <c r="S47" s="45">
        <f>IF($J47&lt;K$1,0,ROUND(((((O47+P47+Q47+R47)*-1)/$J47)*$K47),2))</f>
        <v>0</v>
      </c>
      <c r="T47" s="6">
        <f>VLOOKUP($A47,'2324 Jun 24 Enroll'!$A$4:$AL$325,31,FALSE)</f>
        <v>82.33</v>
      </c>
      <c r="U47" s="45">
        <f>ROUND(T47*C47,2)</f>
        <v>776264.87</v>
      </c>
      <c r="V47" s="35">
        <v>0.1157</v>
      </c>
      <c r="W47" s="45">
        <f>ROUND(U47/(1+V47),2)</f>
        <v>695764.87</v>
      </c>
      <c r="X47" s="35">
        <v>0.15629999999999999</v>
      </c>
      <c r="Y47" s="45">
        <f>ROUND(X47*W47,2)</f>
        <v>108748.05</v>
      </c>
    </row>
    <row r="48" spans="1:25">
      <c r="A48" t="s">
        <v>793</v>
      </c>
      <c r="B48" t="s">
        <v>794</v>
      </c>
      <c r="C48" s="6">
        <f>VLOOKUP($A48,'SpEd BEA Rate 2324'!$A$4:$AS$325,45,FALSE)</f>
        <v>9457.1500000000015</v>
      </c>
      <c r="D48" s="6">
        <f>VLOOKUP($A48,'2324 Jun 24 Enroll'!$A$4:$AL$325,22,FALSE)</f>
        <v>0</v>
      </c>
      <c r="E48" s="6">
        <f>VLOOKUP($A48,'2324 Jun 24 Enroll'!$A$4:$AL$325,23,FALSE)</f>
        <v>0</v>
      </c>
      <c r="F48" s="6">
        <f>VLOOKUP($A48,'2324 Jun 24 Enroll'!$A$4:$AL$325,24,FALSE)</f>
        <v>0</v>
      </c>
      <c r="G48" s="6">
        <f>VLOOKUP($A48,'2324 Jun 24 Enroll'!$A$4:$AL$325,25,FALSE)</f>
        <v>0</v>
      </c>
      <c r="H48" s="6">
        <f>VLOOKUP($A48,'2324 Jun 24 Enroll'!$A$4:$AL$325,26,FALSE)</f>
        <v>0</v>
      </c>
      <c r="I48" s="6">
        <f>VLOOKUP($A48,'2324 Jun 24 Enroll'!$A$4:$AL$325,27,FALSE)</f>
        <v>10.36</v>
      </c>
      <c r="J48" s="54">
        <f t="shared" si="5"/>
        <v>0</v>
      </c>
      <c r="K48" s="54">
        <f t="shared" si="6"/>
        <v>0</v>
      </c>
      <c r="L48" s="45">
        <f t="shared" si="14"/>
        <v>0</v>
      </c>
      <c r="M48" s="68">
        <v>115.6</v>
      </c>
      <c r="N48" s="68">
        <v>19.13</v>
      </c>
      <c r="O48" s="45">
        <f t="shared" si="15"/>
        <v>0</v>
      </c>
      <c r="P48" s="45">
        <f t="shared" si="16"/>
        <v>0</v>
      </c>
      <c r="Q48" s="45">
        <f t="shared" si="17"/>
        <v>0</v>
      </c>
      <c r="R48" s="45">
        <f t="shared" si="18"/>
        <v>0</v>
      </c>
      <c r="S48" s="45">
        <f t="shared" si="19"/>
        <v>0</v>
      </c>
      <c r="T48" s="6">
        <f>VLOOKUP($A48,'2324 Jun 24 Enroll'!$A$4:$AL$325,31,FALSE)</f>
        <v>0</v>
      </c>
      <c r="U48" s="45">
        <f t="shared" si="20"/>
        <v>0</v>
      </c>
      <c r="V48" s="35">
        <v>0.72540000000000004</v>
      </c>
      <c r="W48" s="45">
        <f t="shared" si="21"/>
        <v>0</v>
      </c>
      <c r="X48" s="35">
        <v>0</v>
      </c>
      <c r="Y48" s="45">
        <f t="shared" si="22"/>
        <v>0</v>
      </c>
    </row>
    <row r="49" spans="1:25">
      <c r="A49" t="s">
        <v>450</v>
      </c>
      <c r="B49" t="s">
        <v>451</v>
      </c>
      <c r="C49" s="6">
        <f>VLOOKUP($A49,'SpEd BEA Rate 2324'!$A$4:$AS$325,45,FALSE)</f>
        <v>9604.76</v>
      </c>
      <c r="D49" s="6">
        <f>VLOOKUP($A49,'2324 Jun 24 Enroll'!$A$4:$AL$325,22,FALSE)</f>
        <v>6</v>
      </c>
      <c r="E49" s="6">
        <f>VLOOKUP($A49,'2324 Jun 24 Enroll'!$A$4:$AL$325,23,FALSE)</f>
        <v>0</v>
      </c>
      <c r="F49" s="6">
        <f>VLOOKUP($A49,'2324 Jun 24 Enroll'!$A$4:$AL$325,24,FALSE)</f>
        <v>0</v>
      </c>
      <c r="G49" s="6">
        <f>VLOOKUP($A49,'2324 Jun 24 Enroll'!$A$4:$AL$325,25,FALSE)</f>
        <v>24.67</v>
      </c>
      <c r="H49" s="6">
        <f>VLOOKUP($A49,'2324 Jun 24 Enroll'!$A$4:$AL$325,26,FALSE)</f>
        <v>5.22</v>
      </c>
      <c r="I49" s="6">
        <f>VLOOKUP($A49,'2324 Jun 24 Enroll'!$A$4:$AL$325,27,FALSE)</f>
        <v>386.18</v>
      </c>
      <c r="J49" s="54">
        <f>ROUND((E49+F49+G49+H49)/I49,4)</f>
        <v>7.7399999999999997E-2</v>
      </c>
      <c r="K49" s="54">
        <f>IF(J49&lt;$K$1,0,J49-$K$1)</f>
        <v>0</v>
      </c>
      <c r="L49" s="45">
        <f>ROUND(D49*$L$1*C49,2)</f>
        <v>69154.27</v>
      </c>
      <c r="M49" s="68">
        <v>140.16999999999999</v>
      </c>
      <c r="N49" s="68">
        <v>23.2</v>
      </c>
      <c r="O49" s="45">
        <f>ROUND(+E49*(($C49*O$1)-$N49),2)</f>
        <v>0</v>
      </c>
      <c r="P49" s="45">
        <f>ROUND(+F49*(($C49*P$1)-$N49),2)</f>
        <v>0</v>
      </c>
      <c r="Q49" s="45">
        <f>ROUND(+G49*(($C49*Q$1)-$N49),2)</f>
        <v>264811.02</v>
      </c>
      <c r="R49" s="45">
        <f>ROUND(+H49*(($C49*R$1)-$N49),2)</f>
        <v>53023.95</v>
      </c>
      <c r="S49" s="45">
        <f>IF($J49&lt;K$1,0,ROUND(((((O49+P49+Q49+R49)*-1)/$J49)*$K49),2))</f>
        <v>0</v>
      </c>
      <c r="T49" s="6">
        <f>VLOOKUP($A49,'2324 Jun 24 Enroll'!$A$4:$AL$325,31,FALSE)</f>
        <v>29.89</v>
      </c>
      <c r="U49" s="45">
        <f>ROUND(T49*C49,2)</f>
        <v>287086.28000000003</v>
      </c>
      <c r="V49" s="35">
        <v>0.2389</v>
      </c>
      <c r="W49" s="45">
        <f>ROUND(U49/(1+V49),2)</f>
        <v>231726.76</v>
      </c>
      <c r="X49" s="35">
        <v>0.15890000000000001</v>
      </c>
      <c r="Y49" s="45">
        <f>ROUND(X49*W49,2)</f>
        <v>36821.379999999997</v>
      </c>
    </row>
    <row r="50" spans="1:25">
      <c r="A50" t="s">
        <v>542</v>
      </c>
      <c r="B50" t="s">
        <v>543</v>
      </c>
      <c r="C50" s="6">
        <f>VLOOKUP($A50,'SpEd BEA Rate 2324'!$A$4:$AS$325,45,FALSE)</f>
        <v>9433.43</v>
      </c>
      <c r="D50" s="6">
        <f>VLOOKUP($A50,'2324 Jun 24 Enroll'!$A$4:$AL$325,22,FALSE)</f>
        <v>15.11</v>
      </c>
      <c r="E50" s="6">
        <f>VLOOKUP($A50,'2324 Jun 24 Enroll'!$A$4:$AL$325,23,FALSE)</f>
        <v>0</v>
      </c>
      <c r="F50" s="6">
        <f>VLOOKUP($A50,'2324 Jun 24 Enroll'!$A$4:$AL$325,24,FALSE)</f>
        <v>0</v>
      </c>
      <c r="G50" s="6">
        <f>VLOOKUP($A50,'2324 Jun 24 Enroll'!$A$4:$AL$325,25,FALSE)</f>
        <v>107.11</v>
      </c>
      <c r="H50" s="6">
        <f>VLOOKUP($A50,'2324 Jun 24 Enroll'!$A$4:$AL$325,26,FALSE)</f>
        <v>23.56</v>
      </c>
      <c r="I50" s="6">
        <f>VLOOKUP($A50,'2324 Jun 24 Enroll'!$A$4:$AL$325,27,FALSE)</f>
        <v>1273.49</v>
      </c>
      <c r="J50" s="54">
        <f t="shared" si="5"/>
        <v>0.1026</v>
      </c>
      <c r="K50" s="54">
        <f t="shared" si="6"/>
        <v>0</v>
      </c>
      <c r="L50" s="45">
        <f t="shared" si="14"/>
        <v>171046.95</v>
      </c>
      <c r="M50" s="68">
        <v>129.97</v>
      </c>
      <c r="N50" s="68">
        <v>21.51</v>
      </c>
      <c r="O50" s="45">
        <f t="shared" si="15"/>
        <v>0</v>
      </c>
      <c r="P50" s="45">
        <f t="shared" si="16"/>
        <v>0</v>
      </c>
      <c r="Q50" s="45">
        <f t="shared" si="17"/>
        <v>1129360.51</v>
      </c>
      <c r="R50" s="45">
        <f t="shared" si="18"/>
        <v>235079.93</v>
      </c>
      <c r="S50" s="45">
        <f t="shared" si="19"/>
        <v>0</v>
      </c>
      <c r="T50" s="6">
        <f>VLOOKUP($A50,'2324 Jun 24 Enroll'!$A$4:$AL$325,31,FALSE)</f>
        <v>130.66999999999999</v>
      </c>
      <c r="U50" s="45">
        <f t="shared" si="20"/>
        <v>1232666.3</v>
      </c>
      <c r="V50" s="35">
        <v>0.1855</v>
      </c>
      <c r="W50" s="45">
        <f t="shared" si="21"/>
        <v>1039786</v>
      </c>
      <c r="X50" s="35">
        <v>0.1736</v>
      </c>
      <c r="Y50" s="45">
        <f t="shared" si="22"/>
        <v>180506.85</v>
      </c>
    </row>
    <row r="51" spans="1:25">
      <c r="A51" t="s">
        <v>365</v>
      </c>
      <c r="B51" t="s">
        <v>1007</v>
      </c>
      <c r="C51" s="6">
        <f>VLOOKUP($A51,'SpEd BEA Rate 2324'!$A$4:$AS$325,45,FALSE)</f>
        <v>9621.4000000000015</v>
      </c>
      <c r="D51" s="6">
        <f>VLOOKUP($A51,'2324 Jun 24 Enroll'!$A$4:$AL$325,22,FALSE)</f>
        <v>19.559999999999999</v>
      </c>
      <c r="E51" s="6">
        <f>VLOOKUP($A51,'2324 Jun 24 Enroll'!$A$4:$AL$325,23,FALSE)</f>
        <v>0</v>
      </c>
      <c r="F51" s="6">
        <f>VLOOKUP($A51,'2324 Jun 24 Enroll'!$A$4:$AL$325,24,FALSE)</f>
        <v>0</v>
      </c>
      <c r="G51" s="6">
        <f>VLOOKUP($A51,'2324 Jun 24 Enroll'!$A$4:$AL$325,25,FALSE)</f>
        <v>143.88999999999999</v>
      </c>
      <c r="H51" s="6">
        <f>VLOOKUP($A51,'2324 Jun 24 Enroll'!$A$4:$AL$325,26,FALSE)</f>
        <v>27.56</v>
      </c>
      <c r="I51" s="6">
        <f>VLOOKUP($A51,'2324 Jun 24 Enroll'!$A$4:$AL$325,27,FALSE)</f>
        <v>1613.89</v>
      </c>
      <c r="J51" s="54">
        <f t="shared" si="5"/>
        <v>0.1062</v>
      </c>
      <c r="K51" s="54">
        <f t="shared" si="6"/>
        <v>0</v>
      </c>
      <c r="L51" s="45">
        <f t="shared" si="14"/>
        <v>225833.5</v>
      </c>
      <c r="M51" s="68">
        <v>128.97999999999999</v>
      </c>
      <c r="N51" s="68">
        <v>21.35</v>
      </c>
      <c r="O51" s="45">
        <f t="shared" si="15"/>
        <v>0</v>
      </c>
      <c r="P51" s="45">
        <f t="shared" si="16"/>
        <v>0</v>
      </c>
      <c r="Q51" s="45">
        <f t="shared" si="17"/>
        <v>1547481.98</v>
      </c>
      <c r="R51" s="45">
        <f t="shared" si="18"/>
        <v>280487.33</v>
      </c>
      <c r="S51" s="45">
        <f t="shared" si="19"/>
        <v>0</v>
      </c>
      <c r="T51" s="6">
        <f>VLOOKUP($A51,'2324 Jun 24 Enroll'!$A$4:$AL$325,31,FALSE)</f>
        <v>171.45</v>
      </c>
      <c r="U51" s="45">
        <f t="shared" si="20"/>
        <v>1649589.03</v>
      </c>
      <c r="V51" s="35">
        <v>0.14949999999999999</v>
      </c>
      <c r="W51" s="45">
        <f t="shared" si="21"/>
        <v>1435049.18</v>
      </c>
      <c r="X51" s="35">
        <v>0.15140000000000001</v>
      </c>
      <c r="Y51" s="45">
        <f t="shared" si="22"/>
        <v>217266.45</v>
      </c>
    </row>
    <row r="52" spans="1:25">
      <c r="A52" t="s">
        <v>363</v>
      </c>
      <c r="B52" t="s">
        <v>364</v>
      </c>
      <c r="C52" s="6">
        <f>VLOOKUP($A52,'SpEd BEA Rate 2324'!$A$4:$AS$325,45,FALSE)</f>
        <v>9427.57</v>
      </c>
      <c r="D52" s="6">
        <f>VLOOKUP($A52,'2324 Jun 24 Enroll'!$A$4:$AL$325,22,FALSE)</f>
        <v>14.11</v>
      </c>
      <c r="E52" s="6">
        <f>VLOOKUP($A52,'2324 Jun 24 Enroll'!$A$4:$AL$325,23,FALSE)</f>
        <v>0.67</v>
      </c>
      <c r="F52" s="6">
        <f>VLOOKUP($A52,'2324 Jun 24 Enroll'!$A$4:$AL$325,24,FALSE)</f>
        <v>0.89</v>
      </c>
      <c r="G52" s="6">
        <f>VLOOKUP($A52,'2324 Jun 24 Enroll'!$A$4:$AL$325,25,FALSE)</f>
        <v>77.44</v>
      </c>
      <c r="H52" s="6">
        <f>VLOOKUP($A52,'2324 Jun 24 Enroll'!$A$4:$AL$325,26,FALSE)</f>
        <v>49</v>
      </c>
      <c r="I52" s="6">
        <f>VLOOKUP($A52,'2324 Jun 24 Enroll'!$A$4:$AL$325,27,FALSE)</f>
        <v>1223.76</v>
      </c>
      <c r="J52" s="54">
        <f>ROUND((E52+F52+G52+H52)/I52,4)</f>
        <v>0.1046</v>
      </c>
      <c r="K52" s="54">
        <f>IF(J52&lt;$K$1,0,J52-$K$1)</f>
        <v>0</v>
      </c>
      <c r="L52" s="45">
        <f>ROUND(D52*$L$1*C52,2)</f>
        <v>159627.62</v>
      </c>
      <c r="M52" s="68">
        <v>129.86000000000001</v>
      </c>
      <c r="N52" s="68">
        <v>21.49</v>
      </c>
      <c r="O52" s="45">
        <f>ROUND(+E52*(($C52*O$1)-$N52),2)</f>
        <v>7060.05</v>
      </c>
      <c r="P52" s="45">
        <f>ROUND(+F52*(($C52*P$1)-$N52),2)</f>
        <v>8874.84</v>
      </c>
      <c r="Q52" s="45">
        <f>ROUND(+G52*(($C52*Q$1)-$N52),2)</f>
        <v>816015.35999999999</v>
      </c>
      <c r="R52" s="45">
        <f>ROUND(+H52*(($C52*R$1)-$N52),2)</f>
        <v>488614.98</v>
      </c>
      <c r="S52" s="45">
        <f>IF($J52&lt;K$1,0,ROUND(((((O52+P52+Q52+R52)*-1)/$J52)*$K52),2))</f>
        <v>0</v>
      </c>
      <c r="T52" s="6">
        <f>VLOOKUP($A52,'2324 Jun 24 Enroll'!$A$4:$AL$325,31,FALSE)</f>
        <v>128</v>
      </c>
      <c r="U52" s="45">
        <f>ROUND(T52*C52,2)</f>
        <v>1206728.96</v>
      </c>
      <c r="V52" s="35">
        <v>0.14610000000000001</v>
      </c>
      <c r="W52" s="45">
        <f>ROUND(U52/(1+V52),2)</f>
        <v>1052900.24</v>
      </c>
      <c r="X52" s="35">
        <v>0.21029999999999999</v>
      </c>
      <c r="Y52" s="45">
        <f>ROUND(X52*W52,2)</f>
        <v>221424.92</v>
      </c>
    </row>
    <row r="53" spans="1:25">
      <c r="A53" t="s">
        <v>865</v>
      </c>
      <c r="B53" t="s">
        <v>866</v>
      </c>
      <c r="C53" s="6">
        <f>VLOOKUP($A53,'SpEd BEA Rate 2324'!$A$4:$AS$325,45,FALSE)</f>
        <v>9534.2900000000009</v>
      </c>
      <c r="D53" s="6">
        <f>VLOOKUP($A53,'2324 Jun 24 Enroll'!$A$4:$AL$325,22,FALSE)</f>
        <v>103</v>
      </c>
      <c r="E53" s="6">
        <f>VLOOKUP($A53,'2324 Jun 24 Enroll'!$A$4:$AL$325,23,FALSE)</f>
        <v>8.56</v>
      </c>
      <c r="F53" s="6">
        <f>VLOOKUP($A53,'2324 Jun 24 Enroll'!$A$4:$AL$325,24,FALSE)</f>
        <v>2.11</v>
      </c>
      <c r="G53" s="6">
        <f>VLOOKUP($A53,'2324 Jun 24 Enroll'!$A$4:$AL$325,25,FALSE)</f>
        <v>840.44</v>
      </c>
      <c r="H53" s="6">
        <f>VLOOKUP($A53,'2324 Jun 24 Enroll'!$A$4:$AL$325,26,FALSE)</f>
        <v>169.67</v>
      </c>
      <c r="I53" s="6">
        <f>VLOOKUP($A53,'2324 Jun 24 Enroll'!$A$4:$AL$325,27,FALSE)</f>
        <v>6990.98</v>
      </c>
      <c r="J53" s="54">
        <f t="shared" si="5"/>
        <v>0.14599999999999999</v>
      </c>
      <c r="K53" s="54">
        <f t="shared" si="6"/>
        <v>0</v>
      </c>
      <c r="L53" s="45">
        <f t="shared" si="14"/>
        <v>1178438.24</v>
      </c>
      <c r="M53" s="68">
        <v>130.38</v>
      </c>
      <c r="N53" s="68">
        <v>21.58</v>
      </c>
      <c r="O53" s="45">
        <f t="shared" si="15"/>
        <v>91222.42</v>
      </c>
      <c r="P53" s="45">
        <f t="shared" si="16"/>
        <v>21278.86</v>
      </c>
      <c r="Q53" s="45">
        <f t="shared" si="17"/>
        <v>8956421.8300000001</v>
      </c>
      <c r="R53" s="45">
        <f t="shared" si="18"/>
        <v>1711082.48</v>
      </c>
      <c r="S53" s="45">
        <f t="shared" si="19"/>
        <v>0</v>
      </c>
      <c r="T53" s="6">
        <f>VLOOKUP($A53,'2324 Jun 24 Enroll'!$A$4:$AL$325,31,FALSE)</f>
        <v>1020.78</v>
      </c>
      <c r="U53" s="45">
        <f t="shared" si="20"/>
        <v>9732412.5500000007</v>
      </c>
      <c r="V53" s="35">
        <v>0.122</v>
      </c>
      <c r="W53" s="45">
        <f t="shared" si="21"/>
        <v>8674164.4800000004</v>
      </c>
      <c r="X53" s="35">
        <v>0.18110000000000001</v>
      </c>
      <c r="Y53" s="45">
        <f t="shared" si="22"/>
        <v>1570891.19</v>
      </c>
    </row>
    <row r="54" spans="1:25">
      <c r="A54" t="s">
        <v>1029</v>
      </c>
      <c r="B54" t="s">
        <v>1030</v>
      </c>
      <c r="C54" s="6">
        <f>VLOOKUP($A54,'SpEd BEA Rate 2324'!$A$4:$AS$325,45,FALSE)</f>
        <v>9497.2400000000016</v>
      </c>
      <c r="D54" s="6">
        <f>VLOOKUP($A54,'2324 Jun 24 Enroll'!$A$4:$AL$325,22,FALSE)</f>
        <v>0</v>
      </c>
      <c r="E54" s="6">
        <f>VLOOKUP($A54,'2324 Jun 24 Enroll'!$A$4:$AL$325,23,FALSE)</f>
        <v>0</v>
      </c>
      <c r="F54" s="6">
        <f>VLOOKUP($A54,'2324 Jun 24 Enroll'!$A$4:$AL$325,24,FALSE)</f>
        <v>0</v>
      </c>
      <c r="G54" s="6">
        <f>VLOOKUP($A54,'2324 Jun 24 Enroll'!$A$4:$AL$325,25,FALSE)</f>
        <v>42</v>
      </c>
      <c r="H54" s="6">
        <f>VLOOKUP($A54,'2324 Jun 24 Enroll'!$A$4:$AL$325,26,FALSE)</f>
        <v>0.56000000000000005</v>
      </c>
      <c r="I54" s="6">
        <f>VLOOKUP($A54,'2324 Jun 24 Enroll'!$A$4:$AL$325,27,FALSE)</f>
        <v>217.75</v>
      </c>
      <c r="J54" s="54">
        <f t="shared" si="5"/>
        <v>0.19550000000000001</v>
      </c>
      <c r="K54" s="54">
        <f t="shared" si="6"/>
        <v>4.5500000000000013E-2</v>
      </c>
      <c r="L54" s="45">
        <f t="shared" si="14"/>
        <v>0</v>
      </c>
      <c r="M54" s="68">
        <v>130.38</v>
      </c>
      <c r="N54" s="68">
        <v>21.58</v>
      </c>
      <c r="O54" s="45">
        <f t="shared" si="15"/>
        <v>0</v>
      </c>
      <c r="P54" s="45">
        <f t="shared" si="16"/>
        <v>0</v>
      </c>
      <c r="Q54" s="45">
        <f t="shared" si="17"/>
        <v>445843.81</v>
      </c>
      <c r="R54" s="45">
        <f t="shared" si="18"/>
        <v>5625.48</v>
      </c>
      <c r="S54" s="45">
        <f t="shared" si="19"/>
        <v>-105073.42</v>
      </c>
      <c r="T54" s="6">
        <f>VLOOKUP($A54,'2324 Jun 24 Enroll'!$A$4:$AL$325,31,FALSE)</f>
        <v>42.56</v>
      </c>
      <c r="U54" s="45">
        <f t="shared" si="20"/>
        <v>404202.53</v>
      </c>
      <c r="V54" s="35">
        <v>0.14399999999999999</v>
      </c>
      <c r="W54" s="45">
        <f t="shared" si="21"/>
        <v>353323.89</v>
      </c>
      <c r="X54" s="35">
        <v>0.12540000000000001</v>
      </c>
      <c r="Y54" s="45">
        <f t="shared" si="22"/>
        <v>44306.82</v>
      </c>
    </row>
    <row r="55" spans="1:25">
      <c r="A55" t="s">
        <v>695</v>
      </c>
      <c r="B55" t="s">
        <v>696</v>
      </c>
      <c r="C55" s="6">
        <f>VLOOKUP($A55,'SpEd BEA Rate 2324'!$A$4:$AS$325,45,FALSE)</f>
        <v>9655.27</v>
      </c>
      <c r="D55" s="6">
        <f>VLOOKUP($A55,'2324 Jun 24 Enroll'!$A$4:$AL$325,22,FALSE)</f>
        <v>34.11</v>
      </c>
      <c r="E55" s="6">
        <f>VLOOKUP($A55,'2324 Jun 24 Enroll'!$A$4:$AL$325,23,FALSE)</f>
        <v>1.89</v>
      </c>
      <c r="F55" s="6">
        <f>VLOOKUP($A55,'2324 Jun 24 Enroll'!$A$4:$AL$325,24,FALSE)</f>
        <v>1.89</v>
      </c>
      <c r="G55" s="6">
        <f>VLOOKUP($A55,'2324 Jun 24 Enroll'!$A$4:$AL$325,25,FALSE)</f>
        <v>415.44</v>
      </c>
      <c r="H55" s="6">
        <f>VLOOKUP($A55,'2324 Jun 24 Enroll'!$A$4:$AL$325,26,FALSE)</f>
        <v>206.11</v>
      </c>
      <c r="I55" s="6">
        <f>VLOOKUP($A55,'2324 Jun 24 Enroll'!$A$4:$AL$325,27,FALSE)</f>
        <v>3468.02</v>
      </c>
      <c r="J55" s="54">
        <f t="shared" si="5"/>
        <v>0.18029999999999999</v>
      </c>
      <c r="K55" s="54">
        <f t="shared" si="6"/>
        <v>3.0299999999999994E-2</v>
      </c>
      <c r="L55" s="45">
        <f t="shared" si="14"/>
        <v>395209.51</v>
      </c>
      <c r="M55" s="68">
        <v>125</v>
      </c>
      <c r="N55" s="68">
        <v>20.69</v>
      </c>
      <c r="O55" s="45">
        <f t="shared" si="15"/>
        <v>20399.169999999998</v>
      </c>
      <c r="P55" s="45">
        <f t="shared" si="16"/>
        <v>19304.259999999998</v>
      </c>
      <c r="Q55" s="45">
        <f t="shared" si="17"/>
        <v>4483932.1600000001</v>
      </c>
      <c r="R55" s="45">
        <f t="shared" si="18"/>
        <v>2105186.15</v>
      </c>
      <c r="S55" s="45">
        <f t="shared" si="19"/>
        <v>-1113995</v>
      </c>
      <c r="T55" s="6">
        <f>VLOOKUP($A55,'2324 Jun 24 Enroll'!$A$4:$AL$325,31,FALSE)</f>
        <v>625.33000000000004</v>
      </c>
      <c r="U55" s="45">
        <f t="shared" si="20"/>
        <v>6037729.9900000002</v>
      </c>
      <c r="V55" s="35">
        <v>0.1459</v>
      </c>
      <c r="W55" s="45">
        <f t="shared" si="21"/>
        <v>5268985.07</v>
      </c>
      <c r="X55" s="35">
        <v>0.253</v>
      </c>
      <c r="Y55" s="45">
        <f t="shared" si="22"/>
        <v>1333053.22</v>
      </c>
    </row>
    <row r="56" spans="1:25">
      <c r="A56" t="s">
        <v>412</v>
      </c>
      <c r="B56" t="s">
        <v>413</v>
      </c>
      <c r="C56" s="6">
        <f>VLOOKUP($A56,'SpEd BEA Rate 2324'!$A$4:$AS$325,45,FALSE)</f>
        <v>9476.2799999999988</v>
      </c>
      <c r="D56" s="6">
        <f>VLOOKUP($A56,'2324 Jun 24 Enroll'!$A$4:$AL$325,22,FALSE)</f>
        <v>0</v>
      </c>
      <c r="E56" s="6">
        <f>VLOOKUP($A56,'2324 Jun 24 Enroll'!$A$4:$AL$325,23,FALSE)</f>
        <v>0</v>
      </c>
      <c r="F56" s="6">
        <f>VLOOKUP($A56,'2324 Jun 24 Enroll'!$A$4:$AL$325,24,FALSE)</f>
        <v>0</v>
      </c>
      <c r="G56" s="6">
        <f>VLOOKUP($A56,'2324 Jun 24 Enroll'!$A$4:$AL$325,25,FALSE)</f>
        <v>26.22</v>
      </c>
      <c r="H56" s="6">
        <f>VLOOKUP($A56,'2324 Jun 24 Enroll'!$A$4:$AL$325,26,FALSE)</f>
        <v>10.220000000000001</v>
      </c>
      <c r="I56" s="6">
        <f>VLOOKUP($A56,'2324 Jun 24 Enroll'!$A$4:$AL$325,27,FALSE)</f>
        <v>357.06</v>
      </c>
      <c r="J56" s="54">
        <f t="shared" si="5"/>
        <v>0.1021</v>
      </c>
      <c r="K56" s="54">
        <f t="shared" si="6"/>
        <v>0</v>
      </c>
      <c r="L56" s="45">
        <f t="shared" si="14"/>
        <v>0</v>
      </c>
      <c r="M56" s="68">
        <v>121.89</v>
      </c>
      <c r="N56" s="68">
        <v>20.170000000000002</v>
      </c>
      <c r="O56" s="45">
        <f t="shared" si="15"/>
        <v>0</v>
      </c>
      <c r="P56" s="45">
        <f t="shared" si="16"/>
        <v>0</v>
      </c>
      <c r="Q56" s="45">
        <f t="shared" si="17"/>
        <v>277755.37</v>
      </c>
      <c r="R56" s="45">
        <f t="shared" si="18"/>
        <v>102452.3</v>
      </c>
      <c r="S56" s="45">
        <f t="shared" si="19"/>
        <v>0</v>
      </c>
      <c r="T56" s="6">
        <f>VLOOKUP($A56,'2324 Jun 24 Enroll'!$A$4:$AL$325,31,FALSE)</f>
        <v>36.44</v>
      </c>
      <c r="U56" s="45">
        <f t="shared" si="20"/>
        <v>345315.64</v>
      </c>
      <c r="V56" s="35">
        <v>0.21410000000000001</v>
      </c>
      <c r="W56" s="45">
        <f t="shared" si="21"/>
        <v>284421.09000000003</v>
      </c>
      <c r="X56" s="35">
        <v>0.15290000000000001</v>
      </c>
      <c r="Y56" s="45">
        <f t="shared" si="22"/>
        <v>43487.98</v>
      </c>
    </row>
    <row r="57" spans="1:25">
      <c r="A57" t="s">
        <v>755</v>
      </c>
      <c r="B57" t="s">
        <v>756</v>
      </c>
      <c r="C57" s="6">
        <f>VLOOKUP($A57,'SpEd BEA Rate 2324'!$A$4:$AS$325,45,FALSE)</f>
        <v>9838.3099999999977</v>
      </c>
      <c r="D57" s="6">
        <f>VLOOKUP($A57,'2324 Jun 24 Enroll'!$A$4:$AL$325,22,FALSE)</f>
        <v>32.67</v>
      </c>
      <c r="E57" s="6">
        <f>VLOOKUP($A57,'2324 Jun 24 Enroll'!$A$4:$AL$325,23,FALSE)</f>
        <v>0</v>
      </c>
      <c r="F57" s="6">
        <f>VLOOKUP($A57,'2324 Jun 24 Enroll'!$A$4:$AL$325,24,FALSE)</f>
        <v>0</v>
      </c>
      <c r="G57" s="6">
        <f>VLOOKUP($A57,'2324 Jun 24 Enroll'!$A$4:$AL$325,25,FALSE)</f>
        <v>357.78</v>
      </c>
      <c r="H57" s="6">
        <f>VLOOKUP($A57,'2324 Jun 24 Enroll'!$A$4:$AL$325,26,FALSE)</f>
        <v>66.22</v>
      </c>
      <c r="I57" s="6">
        <f>VLOOKUP($A57,'2324 Jun 24 Enroll'!$A$4:$AL$325,27,FALSE)</f>
        <v>2566.19</v>
      </c>
      <c r="J57" s="54">
        <f t="shared" si="5"/>
        <v>0.16520000000000001</v>
      </c>
      <c r="K57" s="54">
        <f t="shared" si="6"/>
        <v>1.5200000000000019E-2</v>
      </c>
      <c r="L57" s="45">
        <f t="shared" si="14"/>
        <v>385701.11</v>
      </c>
      <c r="M57" s="68">
        <v>126.93</v>
      </c>
      <c r="N57" s="68">
        <v>21.01</v>
      </c>
      <c r="O57" s="45">
        <f t="shared" si="15"/>
        <v>0</v>
      </c>
      <c r="P57" s="45">
        <f t="shared" si="16"/>
        <v>0</v>
      </c>
      <c r="Q57" s="45">
        <f t="shared" si="17"/>
        <v>3934827.66</v>
      </c>
      <c r="R57" s="45">
        <f t="shared" si="18"/>
        <v>689191.18</v>
      </c>
      <c r="S57" s="45">
        <f t="shared" si="19"/>
        <v>-425454.52</v>
      </c>
      <c r="T57" s="6">
        <f>VLOOKUP($A57,'2324 Jun 24 Enroll'!$A$4:$AL$325,31,FALSE)</f>
        <v>424</v>
      </c>
      <c r="U57" s="45">
        <f t="shared" si="20"/>
        <v>4171443.44</v>
      </c>
      <c r="V57" s="35">
        <v>0.1555</v>
      </c>
      <c r="W57" s="45">
        <f t="shared" si="21"/>
        <v>3610076.54</v>
      </c>
      <c r="X57" s="35">
        <v>0.1555</v>
      </c>
      <c r="Y57" s="45">
        <f t="shared" si="22"/>
        <v>561366.9</v>
      </c>
    </row>
    <row r="58" spans="1:25">
      <c r="A58" t="s">
        <v>359</v>
      </c>
      <c r="B58" t="s">
        <v>360</v>
      </c>
      <c r="C58" s="6">
        <f>VLOOKUP($A58,'SpEd BEA Rate 2324'!$A$4:$AS$325,45,FALSE)</f>
        <v>9411.86</v>
      </c>
      <c r="D58" s="6">
        <f>VLOOKUP($A58,'2324 Jun 24 Enroll'!$A$4:$AL$325,22,FALSE)</f>
        <v>3.89</v>
      </c>
      <c r="E58" s="6">
        <f>VLOOKUP($A58,'2324 Jun 24 Enroll'!$A$4:$AL$325,23,FALSE)</f>
        <v>0</v>
      </c>
      <c r="F58" s="6">
        <f>VLOOKUP($A58,'2324 Jun 24 Enroll'!$A$4:$AL$325,24,FALSE)</f>
        <v>0</v>
      </c>
      <c r="G58" s="6">
        <f>VLOOKUP($A58,'2324 Jun 24 Enroll'!$A$4:$AL$325,25,FALSE)</f>
        <v>61.11</v>
      </c>
      <c r="H58" s="6">
        <f>VLOOKUP($A58,'2324 Jun 24 Enroll'!$A$4:$AL$325,26,FALSE)</f>
        <v>17.559999999999999</v>
      </c>
      <c r="I58" s="6">
        <f>VLOOKUP($A58,'2324 Jun 24 Enroll'!$A$4:$AL$325,27,FALSE)</f>
        <v>487.18</v>
      </c>
      <c r="J58" s="54">
        <f t="shared" si="5"/>
        <v>0.1615</v>
      </c>
      <c r="K58" s="54">
        <f t="shared" si="6"/>
        <v>1.150000000000001E-2</v>
      </c>
      <c r="L58" s="45">
        <f t="shared" si="14"/>
        <v>43934.559999999998</v>
      </c>
      <c r="M58" s="68">
        <v>143.97999999999999</v>
      </c>
      <c r="N58" s="68">
        <v>23.83</v>
      </c>
      <c r="O58" s="45">
        <f t="shared" si="15"/>
        <v>0</v>
      </c>
      <c r="P58" s="45">
        <f t="shared" si="16"/>
        <v>0</v>
      </c>
      <c r="Q58" s="45">
        <f t="shared" si="17"/>
        <v>642721.56999999995</v>
      </c>
      <c r="R58" s="45">
        <f t="shared" si="18"/>
        <v>174770.14</v>
      </c>
      <c r="S58" s="45">
        <f t="shared" si="19"/>
        <v>-58211.48</v>
      </c>
      <c r="T58" s="6">
        <f>VLOOKUP($A58,'2324 Jun 24 Enroll'!$A$4:$AL$325,31,FALSE)</f>
        <v>78.67</v>
      </c>
      <c r="U58" s="45">
        <f t="shared" si="20"/>
        <v>740431.03</v>
      </c>
      <c r="V58" s="35">
        <v>0.2253</v>
      </c>
      <c r="W58" s="45">
        <f t="shared" si="21"/>
        <v>604285.51</v>
      </c>
      <c r="X58" s="35">
        <v>0.21240000000000001</v>
      </c>
      <c r="Y58" s="45">
        <f t="shared" si="22"/>
        <v>128350.24</v>
      </c>
    </row>
    <row r="59" spans="1:25">
      <c r="A59" t="s">
        <v>711</v>
      </c>
      <c r="B59" t="s">
        <v>712</v>
      </c>
      <c r="C59" s="6">
        <f>VLOOKUP($A59,'SpEd BEA Rate 2324'!$A$4:$AS$325,45,FALSE)</f>
        <v>9522.26</v>
      </c>
      <c r="D59" s="6">
        <f>VLOOKUP($A59,'2324 Jun 24 Enroll'!$A$4:$AL$325,22,FALSE)</f>
        <v>6.44</v>
      </c>
      <c r="E59" s="6">
        <f>VLOOKUP($A59,'2324 Jun 24 Enroll'!$A$4:$AL$325,23,FALSE)</f>
        <v>0.33</v>
      </c>
      <c r="F59" s="6">
        <f>VLOOKUP($A59,'2324 Jun 24 Enroll'!$A$4:$AL$325,24,FALSE)</f>
        <v>0.67</v>
      </c>
      <c r="G59" s="6">
        <f>VLOOKUP($A59,'2324 Jun 24 Enroll'!$A$4:$AL$325,25,FALSE)</f>
        <v>579.44000000000005</v>
      </c>
      <c r="H59" s="6">
        <f>VLOOKUP($A59,'2324 Jun 24 Enroll'!$A$4:$AL$325,26,FALSE)</f>
        <v>61.22</v>
      </c>
      <c r="I59" s="6">
        <f>VLOOKUP($A59,'2324 Jun 24 Enroll'!$A$4:$AL$325,27,FALSE)</f>
        <v>3604.63</v>
      </c>
      <c r="J59" s="54">
        <f t="shared" si="5"/>
        <v>0.17799999999999999</v>
      </c>
      <c r="K59" s="54">
        <f t="shared" si="6"/>
        <v>2.7999999999999997E-2</v>
      </c>
      <c r="L59" s="45">
        <f t="shared" si="14"/>
        <v>73588.03</v>
      </c>
      <c r="M59" s="68">
        <v>131.29</v>
      </c>
      <c r="N59" s="68">
        <v>21.73</v>
      </c>
      <c r="O59" s="45">
        <f t="shared" si="15"/>
        <v>3512.26</v>
      </c>
      <c r="P59" s="45">
        <f t="shared" si="16"/>
        <v>6748.15</v>
      </c>
      <c r="Q59" s="45">
        <f t="shared" si="17"/>
        <v>6167096.5</v>
      </c>
      <c r="R59" s="45">
        <f t="shared" si="18"/>
        <v>616599.61</v>
      </c>
      <c r="S59" s="45">
        <f t="shared" si="19"/>
        <v>-1068712.26</v>
      </c>
      <c r="T59" s="6">
        <f>VLOOKUP($A59,'2324 Jun 24 Enroll'!$A$4:$AL$325,31,FALSE)</f>
        <v>641.66</v>
      </c>
      <c r="U59" s="45">
        <f t="shared" si="20"/>
        <v>6110053.3499999996</v>
      </c>
      <c r="V59" s="35">
        <v>9.2799999999999994E-2</v>
      </c>
      <c r="W59" s="45">
        <f t="shared" si="21"/>
        <v>5591190.8399999999</v>
      </c>
      <c r="X59" s="35">
        <v>0.15290000000000001</v>
      </c>
      <c r="Y59" s="45">
        <f t="shared" si="22"/>
        <v>854893.08</v>
      </c>
    </row>
    <row r="60" spans="1:25">
      <c r="A60" t="s">
        <v>920</v>
      </c>
      <c r="B60" t="s">
        <v>1008</v>
      </c>
      <c r="C60" s="6">
        <f>VLOOKUP($A60,'SpEd BEA Rate 2324'!$A$4:$AS$325,45,FALSE)</f>
        <v>9426.11</v>
      </c>
      <c r="D60" s="6">
        <f>VLOOKUP($A60,'2324 Jun 24 Enroll'!$A$4:$AL$325,22,FALSE)</f>
        <v>0</v>
      </c>
      <c r="E60" s="6">
        <f>VLOOKUP($A60,'2324 Jun 24 Enroll'!$A$4:$AL$325,23,FALSE)</f>
        <v>0</v>
      </c>
      <c r="F60" s="6">
        <f>VLOOKUP($A60,'2324 Jun 24 Enroll'!$A$4:$AL$325,24,FALSE)</f>
        <v>0</v>
      </c>
      <c r="G60" s="6">
        <f>VLOOKUP($A60,'2324 Jun 24 Enroll'!$A$4:$AL$325,25,FALSE)</f>
        <v>27.44</v>
      </c>
      <c r="H60" s="6">
        <f>VLOOKUP($A60,'2324 Jun 24 Enroll'!$A$4:$AL$325,26,FALSE)</f>
        <v>0</v>
      </c>
      <c r="I60" s="6">
        <f>VLOOKUP($A60,'2324 Jun 24 Enroll'!$A$4:$AL$325,27,FALSE)</f>
        <v>124.81</v>
      </c>
      <c r="J60" s="54">
        <f t="shared" si="5"/>
        <v>0.21990000000000001</v>
      </c>
      <c r="K60" s="54">
        <f t="shared" si="6"/>
        <v>6.9900000000000018E-2</v>
      </c>
      <c r="L60" s="45">
        <f t="shared" si="14"/>
        <v>0</v>
      </c>
      <c r="M60" s="68">
        <v>131.29</v>
      </c>
      <c r="N60" s="68">
        <v>21.73</v>
      </c>
      <c r="O60" s="45">
        <f t="shared" si="15"/>
        <v>0</v>
      </c>
      <c r="P60" s="45">
        <f t="shared" si="16"/>
        <v>0</v>
      </c>
      <c r="Q60" s="45">
        <f t="shared" si="17"/>
        <v>289094.48</v>
      </c>
      <c r="R60" s="45">
        <f t="shared" si="18"/>
        <v>0</v>
      </c>
      <c r="S60" s="45">
        <f t="shared" si="19"/>
        <v>-91894.97</v>
      </c>
      <c r="T60" s="6">
        <f>VLOOKUP($A60,'2324 Jun 24 Enroll'!$A$4:$AL$325,31,FALSE)</f>
        <v>27.44</v>
      </c>
      <c r="U60" s="45">
        <f t="shared" si="20"/>
        <v>258652.46</v>
      </c>
      <c r="V60" s="35">
        <v>0</v>
      </c>
      <c r="W60" s="45">
        <f t="shared" si="21"/>
        <v>258652.46</v>
      </c>
      <c r="X60" s="35">
        <v>0.1424</v>
      </c>
      <c r="Y60" s="45">
        <f t="shared" si="22"/>
        <v>36832.11</v>
      </c>
    </row>
    <row r="61" spans="1:25">
      <c r="A61" t="s">
        <v>841</v>
      </c>
      <c r="B61" t="s">
        <v>842</v>
      </c>
      <c r="C61" s="6">
        <f>VLOOKUP($A61,'SpEd BEA Rate 2324'!$A$4:$AS$325,45,FALSE)</f>
        <v>9827.3299999999981</v>
      </c>
      <c r="D61" s="6">
        <f>VLOOKUP($A61,'2324 Jun 24 Enroll'!$A$4:$AL$325,22,FALSE)</f>
        <v>286.89</v>
      </c>
      <c r="E61" s="6">
        <f>VLOOKUP($A61,'2324 Jun 24 Enroll'!$A$4:$AL$325,23,FALSE)</f>
        <v>0.33</v>
      </c>
      <c r="F61" s="6">
        <f>VLOOKUP($A61,'2324 Jun 24 Enroll'!$A$4:$AL$325,24,FALSE)</f>
        <v>12.56</v>
      </c>
      <c r="G61" s="6">
        <f>VLOOKUP($A61,'2324 Jun 24 Enroll'!$A$4:$AL$325,25,FALSE)</f>
        <v>2193.11</v>
      </c>
      <c r="H61" s="6">
        <f>VLOOKUP($A61,'2324 Jun 24 Enroll'!$A$4:$AL$325,26,FALSE)</f>
        <v>1113.1099999999999</v>
      </c>
      <c r="I61" s="6">
        <f>VLOOKUP($A61,'2324 Jun 24 Enroll'!$A$4:$AL$325,27,FALSE)</f>
        <v>21531.08</v>
      </c>
      <c r="J61" s="54">
        <f t="shared" si="5"/>
        <v>0.1542</v>
      </c>
      <c r="K61" s="54">
        <f t="shared" si="6"/>
        <v>4.2000000000000093E-3</v>
      </c>
      <c r="L61" s="45">
        <f t="shared" si="14"/>
        <v>3383235.24</v>
      </c>
      <c r="M61" s="68">
        <v>133.75</v>
      </c>
      <c r="N61" s="68">
        <v>22.14</v>
      </c>
      <c r="O61" s="45">
        <f t="shared" si="15"/>
        <v>3624.87</v>
      </c>
      <c r="P61" s="45">
        <f t="shared" si="16"/>
        <v>130559.06</v>
      </c>
      <c r="Q61" s="45">
        <f t="shared" si="17"/>
        <v>24090150.120000001</v>
      </c>
      <c r="R61" s="45">
        <f t="shared" si="18"/>
        <v>11570589</v>
      </c>
      <c r="S61" s="45">
        <f t="shared" si="19"/>
        <v>-974958.99</v>
      </c>
      <c r="T61" s="6">
        <f>VLOOKUP($A61,'2324 Jun 24 Enroll'!$A$4:$AL$325,31,FALSE)</f>
        <v>3342.34</v>
      </c>
      <c r="U61" s="45">
        <f t="shared" si="20"/>
        <v>32846278.149999999</v>
      </c>
      <c r="V61" s="35">
        <v>0.15129999999999999</v>
      </c>
      <c r="W61" s="45">
        <f t="shared" si="21"/>
        <v>28529730</v>
      </c>
      <c r="X61" s="35">
        <v>0.29170000000000001</v>
      </c>
      <c r="Y61" s="45">
        <f t="shared" si="22"/>
        <v>8322122.2400000002</v>
      </c>
    </row>
    <row r="62" spans="1:25">
      <c r="A62" t="s">
        <v>504</v>
      </c>
      <c r="B62" t="s">
        <v>505</v>
      </c>
      <c r="C62" s="6">
        <f>VLOOKUP($A62,'SpEd BEA Rate 2324'!$A$4:$AS$325,45,FALSE)</f>
        <v>9825.0999999999985</v>
      </c>
      <c r="D62" s="6">
        <f>VLOOKUP($A62,'2324 Jun 24 Enroll'!$A$4:$AL$325,22,FALSE)</f>
        <v>7</v>
      </c>
      <c r="E62" s="6">
        <f>VLOOKUP($A62,'2324 Jun 24 Enroll'!$A$4:$AL$325,23,FALSE)</f>
        <v>8.44</v>
      </c>
      <c r="F62" s="6">
        <f>VLOOKUP($A62,'2324 Jun 24 Enroll'!$A$4:$AL$325,24,FALSE)</f>
        <v>0</v>
      </c>
      <c r="G62" s="6">
        <f>VLOOKUP($A62,'2324 Jun 24 Enroll'!$A$4:$AL$325,25,FALSE)</f>
        <v>181.33</v>
      </c>
      <c r="H62" s="6">
        <f>VLOOKUP($A62,'2324 Jun 24 Enroll'!$A$4:$AL$325,26,FALSE)</f>
        <v>31.33</v>
      </c>
      <c r="I62" s="6">
        <f>VLOOKUP($A62,'2324 Jun 24 Enroll'!$A$4:$AL$325,27,FALSE)</f>
        <v>2070.0700000000002</v>
      </c>
      <c r="J62" s="54">
        <f t="shared" si="5"/>
        <v>0.10680000000000001</v>
      </c>
      <c r="K62" s="54">
        <f t="shared" si="6"/>
        <v>0</v>
      </c>
      <c r="L62" s="45">
        <f t="shared" si="14"/>
        <v>82530.84</v>
      </c>
      <c r="M62" s="68">
        <v>137.27000000000001</v>
      </c>
      <c r="N62" s="68">
        <v>22.72</v>
      </c>
      <c r="O62" s="45">
        <f t="shared" si="15"/>
        <v>92682.95</v>
      </c>
      <c r="P62" s="45">
        <f t="shared" si="16"/>
        <v>0</v>
      </c>
      <c r="Q62" s="45">
        <f t="shared" si="17"/>
        <v>1991255.81</v>
      </c>
      <c r="R62" s="45">
        <f t="shared" si="18"/>
        <v>325577.78999999998</v>
      </c>
      <c r="S62" s="45">
        <f t="shared" si="19"/>
        <v>0</v>
      </c>
      <c r="T62" s="6">
        <f>VLOOKUP($A62,'2324 Jun 24 Enroll'!$A$4:$AL$325,31,FALSE)</f>
        <v>220.99</v>
      </c>
      <c r="U62" s="45">
        <f t="shared" si="20"/>
        <v>2171248.85</v>
      </c>
      <c r="V62" s="35">
        <v>0.14549999999999999</v>
      </c>
      <c r="W62" s="45">
        <f t="shared" si="21"/>
        <v>1895459.49</v>
      </c>
      <c r="X62" s="35">
        <v>0.2261</v>
      </c>
      <c r="Y62" s="45">
        <f t="shared" si="22"/>
        <v>428563.39</v>
      </c>
    </row>
    <row r="63" spans="1:25">
      <c r="A63" t="s">
        <v>536</v>
      </c>
      <c r="B63" t="s">
        <v>537</v>
      </c>
      <c r="C63" s="6">
        <f>VLOOKUP($A63,'SpEd BEA Rate 2324'!$A$4:$AS$325,45,FALSE)</f>
        <v>10021.200000000001</v>
      </c>
      <c r="D63" s="6">
        <f>VLOOKUP($A63,'2324 Jun 24 Enroll'!$A$4:$AL$325,22,FALSE)</f>
        <v>2.67</v>
      </c>
      <c r="E63" s="6">
        <f>VLOOKUP($A63,'2324 Jun 24 Enroll'!$A$4:$AL$325,23,FALSE)</f>
        <v>4.67</v>
      </c>
      <c r="F63" s="6">
        <f>VLOOKUP($A63,'2324 Jun 24 Enroll'!$A$4:$AL$325,24,FALSE)</f>
        <v>0.11</v>
      </c>
      <c r="G63" s="6">
        <f>VLOOKUP($A63,'2324 Jun 24 Enroll'!$A$4:$AL$325,25,FALSE)</f>
        <v>150.22</v>
      </c>
      <c r="H63" s="6">
        <f>VLOOKUP($A63,'2324 Jun 24 Enroll'!$A$4:$AL$325,26,FALSE)</f>
        <v>127.33</v>
      </c>
      <c r="I63" s="6">
        <f>VLOOKUP($A63,'2324 Jun 24 Enroll'!$A$4:$AL$325,27,FALSE)</f>
        <v>1827.47</v>
      </c>
      <c r="J63" s="54">
        <f t="shared" si="5"/>
        <v>0.1545</v>
      </c>
      <c r="K63" s="54">
        <f t="shared" si="6"/>
        <v>4.500000000000004E-3</v>
      </c>
      <c r="L63" s="45">
        <f t="shared" si="14"/>
        <v>32107.919999999998</v>
      </c>
      <c r="M63" s="68">
        <v>126.29</v>
      </c>
      <c r="N63" s="68">
        <v>20.9</v>
      </c>
      <c r="O63" s="45">
        <f t="shared" si="15"/>
        <v>52317.279999999999</v>
      </c>
      <c r="P63" s="45">
        <f t="shared" si="16"/>
        <v>1166.17</v>
      </c>
      <c r="Q63" s="45">
        <f t="shared" si="17"/>
        <v>1682891.23</v>
      </c>
      <c r="R63" s="45">
        <f t="shared" si="18"/>
        <v>1349898.16</v>
      </c>
      <c r="S63" s="45">
        <f t="shared" si="19"/>
        <v>-89891.44</v>
      </c>
      <c r="T63" s="6">
        <f>VLOOKUP($A63,'2324 Jun 24 Enroll'!$A$4:$AL$325,31,FALSE)</f>
        <v>275.23</v>
      </c>
      <c r="U63" s="45">
        <f t="shared" si="20"/>
        <v>2758134.88</v>
      </c>
      <c r="V63" s="35">
        <v>0.17330000000000001</v>
      </c>
      <c r="W63" s="45">
        <f t="shared" si="21"/>
        <v>2350749.92</v>
      </c>
      <c r="X63" s="35">
        <v>0.23669999999999999</v>
      </c>
      <c r="Y63" s="45">
        <f t="shared" si="22"/>
        <v>556422.51</v>
      </c>
    </row>
    <row r="64" spans="1:25">
      <c r="A64" t="s">
        <v>857</v>
      </c>
      <c r="B64" t="s">
        <v>858</v>
      </c>
      <c r="C64" s="6">
        <f>VLOOKUP($A64,'SpEd BEA Rate 2324'!$A$4:$AS$325,45,FALSE)</f>
        <v>9831.1699999999983</v>
      </c>
      <c r="D64" s="6">
        <f>VLOOKUP($A64,'2324 Jun 24 Enroll'!$A$4:$AL$325,22,FALSE)</f>
        <v>37.44</v>
      </c>
      <c r="E64" s="6">
        <f>VLOOKUP($A64,'2324 Jun 24 Enroll'!$A$4:$AL$325,23,FALSE)</f>
        <v>4.5599999999999996</v>
      </c>
      <c r="F64" s="6">
        <f>VLOOKUP($A64,'2324 Jun 24 Enroll'!$A$4:$AL$325,24,FALSE)</f>
        <v>4.67</v>
      </c>
      <c r="G64" s="6">
        <f>VLOOKUP($A64,'2324 Jun 24 Enroll'!$A$4:$AL$325,25,FALSE)</f>
        <v>326.77999999999997</v>
      </c>
      <c r="H64" s="6">
        <f>VLOOKUP($A64,'2324 Jun 24 Enroll'!$A$4:$AL$325,26,FALSE)</f>
        <v>129.33000000000001</v>
      </c>
      <c r="I64" s="6">
        <f>VLOOKUP($A64,'2324 Jun 24 Enroll'!$A$4:$AL$325,27,FALSE)</f>
        <v>2781.73</v>
      </c>
      <c r="J64" s="54">
        <f t="shared" si="5"/>
        <v>0.1673</v>
      </c>
      <c r="K64" s="54">
        <f t="shared" si="6"/>
        <v>1.730000000000001E-2</v>
      </c>
      <c r="L64" s="45">
        <f t="shared" si="14"/>
        <v>441694.81</v>
      </c>
      <c r="M64" s="68">
        <v>136</v>
      </c>
      <c r="N64" s="68">
        <v>22.51</v>
      </c>
      <c r="O64" s="45">
        <f t="shared" si="15"/>
        <v>50107.11</v>
      </c>
      <c r="P64" s="45">
        <f t="shared" si="16"/>
        <v>48561.14</v>
      </c>
      <c r="Q64" s="45">
        <f t="shared" si="17"/>
        <v>3590789.48</v>
      </c>
      <c r="R64" s="45">
        <f t="shared" si="18"/>
        <v>1344841.91</v>
      </c>
      <c r="S64" s="45">
        <f t="shared" si="19"/>
        <v>-520582.09</v>
      </c>
      <c r="T64" s="6">
        <f>VLOOKUP($A64,'2324 Jun 24 Enroll'!$A$4:$AL$325,31,FALSE)</f>
        <v>465.34</v>
      </c>
      <c r="U64" s="45">
        <f t="shared" si="20"/>
        <v>4574836.6500000004</v>
      </c>
      <c r="V64" s="35">
        <v>0.13569999999999999</v>
      </c>
      <c r="W64" s="45">
        <f t="shared" si="21"/>
        <v>4028208.73</v>
      </c>
      <c r="X64" s="35">
        <v>0.2437</v>
      </c>
      <c r="Y64" s="45">
        <f t="shared" si="22"/>
        <v>981674.47</v>
      </c>
    </row>
    <row r="65" spans="1:25">
      <c r="A65" t="s">
        <v>460</v>
      </c>
      <c r="B65" t="s">
        <v>461</v>
      </c>
      <c r="C65" s="6">
        <f>VLOOKUP($A65,'SpEd BEA Rate 2324'!$A$4:$AS$325,45,FALSE)</f>
        <v>10033.880000000001</v>
      </c>
      <c r="D65" s="6">
        <f>VLOOKUP($A65,'2324 Jun 24 Enroll'!$A$4:$AL$325,22,FALSE)</f>
        <v>260.56</v>
      </c>
      <c r="E65" s="6">
        <f>VLOOKUP($A65,'2324 Jun 24 Enroll'!$A$4:$AL$325,23,FALSE)</f>
        <v>8.56</v>
      </c>
      <c r="F65" s="6">
        <f>VLOOKUP($A65,'2324 Jun 24 Enroll'!$A$4:$AL$325,24,FALSE)</f>
        <v>1.56</v>
      </c>
      <c r="G65" s="6">
        <f>VLOOKUP($A65,'2324 Jun 24 Enroll'!$A$4:$AL$325,25,FALSE)</f>
        <v>2489.2199999999998</v>
      </c>
      <c r="H65" s="6">
        <f>VLOOKUP($A65,'2324 Jun 24 Enroll'!$A$4:$AL$325,26,FALSE)</f>
        <v>734.22</v>
      </c>
      <c r="I65" s="6">
        <f>VLOOKUP($A65,'2324 Jun 24 Enroll'!$A$4:$AL$325,27,FALSE)</f>
        <v>21907.919999999998</v>
      </c>
      <c r="J65" s="54">
        <f t="shared" si="5"/>
        <v>0.14760000000000001</v>
      </c>
      <c r="K65" s="54">
        <f t="shared" si="6"/>
        <v>0</v>
      </c>
      <c r="L65" s="45">
        <f t="shared" si="14"/>
        <v>3137313.33</v>
      </c>
      <c r="M65" s="68">
        <v>133.85</v>
      </c>
      <c r="N65" s="68">
        <v>22.15</v>
      </c>
      <c r="O65" s="45">
        <f t="shared" si="15"/>
        <v>96007.21</v>
      </c>
      <c r="P65" s="45">
        <f t="shared" si="16"/>
        <v>16557.47</v>
      </c>
      <c r="Q65" s="45">
        <f t="shared" si="17"/>
        <v>27918582.719999999</v>
      </c>
      <c r="R65" s="45">
        <f t="shared" si="18"/>
        <v>7792836.9199999999</v>
      </c>
      <c r="S65" s="45">
        <f t="shared" si="19"/>
        <v>0</v>
      </c>
      <c r="T65" s="6">
        <f>VLOOKUP($A65,'2324 Jun 24 Enroll'!$A$4:$AL$325,31,FALSE)</f>
        <v>3237.12</v>
      </c>
      <c r="U65" s="45">
        <f t="shared" si="20"/>
        <v>32480873.629999999</v>
      </c>
      <c r="V65" s="35">
        <v>7.1599999999999997E-2</v>
      </c>
      <c r="W65" s="45">
        <f t="shared" si="21"/>
        <v>30310632.350000001</v>
      </c>
      <c r="X65" s="35">
        <v>0.2238</v>
      </c>
      <c r="Y65" s="45">
        <f t="shared" si="22"/>
        <v>6783519.5199999996</v>
      </c>
    </row>
    <row r="66" spans="1:25">
      <c r="A66" t="s">
        <v>357</v>
      </c>
      <c r="B66" t="s">
        <v>358</v>
      </c>
      <c r="C66" s="6">
        <f>VLOOKUP($A66,'SpEd BEA Rate 2324'!$A$4:$AS$325,45,FALSE)</f>
        <v>10056.73</v>
      </c>
      <c r="D66" s="6">
        <f>VLOOKUP($A66,'2324 Jun 24 Enroll'!$A$4:$AL$325,22,FALSE)</f>
        <v>60.78</v>
      </c>
      <c r="E66" s="6">
        <f>VLOOKUP($A66,'2324 Jun 24 Enroll'!$A$4:$AL$325,23,FALSE)</f>
        <v>1.56</v>
      </c>
      <c r="F66" s="6">
        <f>VLOOKUP($A66,'2324 Jun 24 Enroll'!$A$4:$AL$325,24,FALSE)</f>
        <v>2.33</v>
      </c>
      <c r="G66" s="6">
        <f>VLOOKUP($A66,'2324 Jun 24 Enroll'!$A$4:$AL$325,25,FALSE)</f>
        <v>654.66999999999996</v>
      </c>
      <c r="H66" s="6">
        <f>VLOOKUP($A66,'2324 Jun 24 Enroll'!$A$4:$AL$325,26,FALSE)</f>
        <v>221.33</v>
      </c>
      <c r="I66" s="6">
        <f>VLOOKUP($A66,'2324 Jun 24 Enroll'!$A$4:$AL$325,27,FALSE)</f>
        <v>7177.93</v>
      </c>
      <c r="J66" s="54">
        <f t="shared" si="5"/>
        <v>0.1226</v>
      </c>
      <c r="K66" s="54">
        <f t="shared" si="6"/>
        <v>0</v>
      </c>
      <c r="L66" s="45">
        <f t="shared" si="14"/>
        <v>733497.66</v>
      </c>
      <c r="M66" s="68">
        <v>137.31</v>
      </c>
      <c r="N66" s="68">
        <v>22.73</v>
      </c>
      <c r="O66" s="45">
        <f t="shared" si="15"/>
        <v>17535.66</v>
      </c>
      <c r="P66" s="45">
        <f t="shared" si="16"/>
        <v>24785.15</v>
      </c>
      <c r="Q66" s="45">
        <f t="shared" si="17"/>
        <v>7359019.5099999998</v>
      </c>
      <c r="R66" s="45">
        <f t="shared" si="18"/>
        <v>2354376.58</v>
      </c>
      <c r="S66" s="45">
        <f t="shared" si="19"/>
        <v>0</v>
      </c>
      <c r="T66" s="6">
        <f>VLOOKUP($A66,'2324 Jun 24 Enroll'!$A$4:$AL$325,31,FALSE)</f>
        <v>876.56</v>
      </c>
      <c r="U66" s="45">
        <f t="shared" si="20"/>
        <v>8815327.25</v>
      </c>
      <c r="V66" s="35">
        <v>0.1447</v>
      </c>
      <c r="W66" s="45">
        <f t="shared" si="21"/>
        <v>7700993.4900000002</v>
      </c>
      <c r="X66" s="35">
        <v>0.20280000000000001</v>
      </c>
      <c r="Y66" s="45">
        <f t="shared" si="22"/>
        <v>1561761.48</v>
      </c>
    </row>
    <row r="67" spans="1:25">
      <c r="A67" t="s">
        <v>331</v>
      </c>
      <c r="B67" t="s">
        <v>332</v>
      </c>
      <c r="C67" s="6">
        <f>VLOOKUP($A67,'SpEd BEA Rate 2324'!$A$4:$AS$325,45,FALSE)</f>
        <v>10043.26</v>
      </c>
      <c r="D67" s="6">
        <f>VLOOKUP($A67,'2324 Jun 24 Enroll'!$A$4:$AL$325,22,FALSE)</f>
        <v>102.44</v>
      </c>
      <c r="E67" s="6">
        <f>VLOOKUP($A67,'2324 Jun 24 Enroll'!$A$4:$AL$325,23,FALSE)</f>
        <v>12</v>
      </c>
      <c r="F67" s="6">
        <f>VLOOKUP($A67,'2324 Jun 24 Enroll'!$A$4:$AL$325,24,FALSE)</f>
        <v>2.56</v>
      </c>
      <c r="G67" s="6">
        <f>VLOOKUP($A67,'2324 Jun 24 Enroll'!$A$4:$AL$325,25,FALSE)</f>
        <v>1132.22</v>
      </c>
      <c r="H67" s="6">
        <f>VLOOKUP($A67,'2324 Jun 24 Enroll'!$A$4:$AL$325,26,FALSE)</f>
        <v>629.33000000000004</v>
      </c>
      <c r="I67" s="6">
        <f>VLOOKUP($A67,'2324 Jun 24 Enroll'!$A$4:$AL$325,27,FALSE)</f>
        <v>12522.26</v>
      </c>
      <c r="J67" s="54">
        <f t="shared" si="5"/>
        <v>0.14180000000000001</v>
      </c>
      <c r="K67" s="54">
        <f t="shared" si="6"/>
        <v>0</v>
      </c>
      <c r="L67" s="45">
        <f t="shared" si="14"/>
        <v>1234597.8700000001</v>
      </c>
      <c r="M67" s="68">
        <v>134.19999999999999</v>
      </c>
      <c r="N67" s="68">
        <v>22.21</v>
      </c>
      <c r="O67" s="45">
        <f t="shared" si="15"/>
        <v>134714.89000000001</v>
      </c>
      <c r="P67" s="45">
        <f t="shared" si="16"/>
        <v>27196.53</v>
      </c>
      <c r="Q67" s="45">
        <f t="shared" si="17"/>
        <v>12710574.810000001</v>
      </c>
      <c r="R67" s="45">
        <f t="shared" si="18"/>
        <v>6685778.8899999997</v>
      </c>
      <c r="S67" s="45">
        <f t="shared" si="19"/>
        <v>0</v>
      </c>
      <c r="T67" s="6">
        <f>VLOOKUP($A67,'2324 Jun 24 Enroll'!$A$4:$AL$325,31,FALSE)</f>
        <v>1763.67</v>
      </c>
      <c r="U67" s="45">
        <f t="shared" si="20"/>
        <v>17712996.359999999</v>
      </c>
      <c r="V67" s="35">
        <v>0.14960000000000001</v>
      </c>
      <c r="W67" s="45">
        <f t="shared" si="21"/>
        <v>15407964.82</v>
      </c>
      <c r="X67" s="35">
        <v>0.22720000000000001</v>
      </c>
      <c r="Y67" s="45">
        <f t="shared" si="22"/>
        <v>3500689.61</v>
      </c>
    </row>
    <row r="68" spans="1:25">
      <c r="A68" t="s">
        <v>727</v>
      </c>
      <c r="B68" t="s">
        <v>728</v>
      </c>
      <c r="C68" s="6">
        <f>VLOOKUP($A68,'SpEd BEA Rate 2324'!$A$4:$AS$325,45,FALSE)</f>
        <v>9824.4699999999993</v>
      </c>
      <c r="D68" s="6">
        <f>VLOOKUP($A68,'2324 Jun 24 Enroll'!$A$4:$AL$325,22,FALSE)</f>
        <v>53.11</v>
      </c>
      <c r="E68" s="6">
        <f>VLOOKUP($A68,'2324 Jun 24 Enroll'!$A$4:$AL$325,23,FALSE)</f>
        <v>0</v>
      </c>
      <c r="F68" s="6">
        <f>VLOOKUP($A68,'2324 Jun 24 Enroll'!$A$4:$AL$325,24,FALSE)</f>
        <v>0</v>
      </c>
      <c r="G68" s="6">
        <f>VLOOKUP($A68,'2324 Jun 24 Enroll'!$A$4:$AL$325,25,FALSE)</f>
        <v>367.33</v>
      </c>
      <c r="H68" s="6">
        <f>VLOOKUP($A68,'2324 Jun 24 Enroll'!$A$4:$AL$325,26,FALSE)</f>
        <v>103.78</v>
      </c>
      <c r="I68" s="6">
        <f>VLOOKUP($A68,'2324 Jun 24 Enroll'!$A$4:$AL$325,27,FALSE)</f>
        <v>4077.54</v>
      </c>
      <c r="J68" s="54">
        <f t="shared" ref="J68:J131" si="23">ROUND((E68+F68+G68+H68)/I68,4)</f>
        <v>0.11550000000000001</v>
      </c>
      <c r="K68" s="54">
        <f t="shared" si="6"/>
        <v>0</v>
      </c>
      <c r="L68" s="45">
        <f t="shared" si="14"/>
        <v>626133.12</v>
      </c>
      <c r="M68" s="68">
        <v>129.47</v>
      </c>
      <c r="N68" s="68">
        <v>21.43</v>
      </c>
      <c r="O68" s="45">
        <f t="shared" si="15"/>
        <v>0</v>
      </c>
      <c r="P68" s="45">
        <f t="shared" si="16"/>
        <v>0</v>
      </c>
      <c r="Q68" s="45">
        <f t="shared" si="17"/>
        <v>4034009.39</v>
      </c>
      <c r="R68" s="45">
        <f t="shared" si="18"/>
        <v>1078534.5</v>
      </c>
      <c r="S68" s="45">
        <f t="shared" si="19"/>
        <v>0</v>
      </c>
      <c r="T68" s="6">
        <f>VLOOKUP($A68,'2324 Jun 24 Enroll'!$A$4:$AL$325,31,FALSE)</f>
        <v>470.77</v>
      </c>
      <c r="U68" s="45">
        <f t="shared" si="20"/>
        <v>4625065.74</v>
      </c>
      <c r="V68" s="35">
        <v>0.17130000000000001</v>
      </c>
      <c r="W68" s="45">
        <f t="shared" si="21"/>
        <v>3948660.24</v>
      </c>
      <c r="X68" s="35">
        <v>0.19520000000000001</v>
      </c>
      <c r="Y68" s="45">
        <f t="shared" si="22"/>
        <v>770778.48</v>
      </c>
    </row>
    <row r="69" spans="1:25">
      <c r="A69" t="s">
        <v>1089</v>
      </c>
      <c r="B69" t="s">
        <v>1090</v>
      </c>
      <c r="C69" s="6">
        <f>VLOOKUP($A69,'SpEd BEA Rate 2324'!$A$4:$AS$325,45,FALSE)</f>
        <v>9959.3599999999988</v>
      </c>
      <c r="D69" s="6">
        <f>VLOOKUP($A69,'2324 Jun 24 Enroll'!$A$4:$AL$325,22,FALSE)</f>
        <v>0</v>
      </c>
      <c r="E69" s="6">
        <f>VLOOKUP($A69,'2324 Jun 24 Enroll'!$A$4:$AL$325,23,FALSE)</f>
        <v>0</v>
      </c>
      <c r="F69" s="6">
        <f>VLOOKUP($A69,'2324 Jun 24 Enroll'!$A$4:$AL$325,24,FALSE)</f>
        <v>0</v>
      </c>
      <c r="G69" s="6">
        <f>VLOOKUP($A69,'2324 Jun 24 Enroll'!$A$4:$AL$325,25,FALSE)</f>
        <v>12.5</v>
      </c>
      <c r="H69" s="6">
        <f>VLOOKUP($A69,'2324 Jun 24 Enroll'!$A$4:$AL$325,26,FALSE)</f>
        <v>0</v>
      </c>
      <c r="I69" s="6">
        <f>VLOOKUP($A69,'2324 Jun 24 Enroll'!$A$4:$AL$325,27,FALSE)</f>
        <v>25</v>
      </c>
      <c r="J69" s="54">
        <f t="shared" si="23"/>
        <v>0.5</v>
      </c>
      <c r="K69" s="54">
        <f t="shared" si="6"/>
        <v>0.35</v>
      </c>
      <c r="L69" s="45">
        <f t="shared" si="14"/>
        <v>0</v>
      </c>
      <c r="M69" s="47">
        <v>131.29</v>
      </c>
      <c r="N69" s="47">
        <v>22.14</v>
      </c>
      <c r="O69" s="45">
        <f t="shared" si="15"/>
        <v>0</v>
      </c>
      <c r="P69" s="45">
        <f t="shared" si="16"/>
        <v>0</v>
      </c>
      <c r="Q69" s="45">
        <f t="shared" si="17"/>
        <v>139154.29</v>
      </c>
      <c r="R69" s="45">
        <f t="shared" si="18"/>
        <v>0</v>
      </c>
      <c r="S69" s="45">
        <f t="shared" si="19"/>
        <v>-97408</v>
      </c>
      <c r="T69" s="6">
        <f>VLOOKUP($A69,'2324 Jun 24 Enroll'!$A$4:$AL$325,31,FALSE)</f>
        <v>12.5</v>
      </c>
      <c r="U69" s="45">
        <f t="shared" si="20"/>
        <v>124492</v>
      </c>
      <c r="V69" s="35">
        <v>0.15129999999999999</v>
      </c>
      <c r="W69" s="45">
        <f t="shared" si="21"/>
        <v>108131.68</v>
      </c>
      <c r="X69" s="35">
        <v>0.29170000000000001</v>
      </c>
      <c r="Y69" s="45">
        <f t="shared" si="22"/>
        <v>31542.01</v>
      </c>
    </row>
    <row r="70" spans="1:25">
      <c r="A70" t="s">
        <v>791</v>
      </c>
      <c r="B70" t="s">
        <v>792</v>
      </c>
      <c r="C70" s="6">
        <f>VLOOKUP($A70,'SpEd BEA Rate 2324'!$A$4:$AS$325,45,FALSE)</f>
        <v>9550.17</v>
      </c>
      <c r="D70" s="6">
        <f>VLOOKUP($A70,'2324 Jun 24 Enroll'!$A$4:$AL$325,22,FALSE)</f>
        <v>0</v>
      </c>
      <c r="E70" s="6">
        <f>VLOOKUP($A70,'2324 Jun 24 Enroll'!$A$4:$AL$325,23,FALSE)</f>
        <v>0</v>
      </c>
      <c r="F70" s="6">
        <f>VLOOKUP($A70,'2324 Jun 24 Enroll'!$A$4:$AL$325,24,FALSE)</f>
        <v>0</v>
      </c>
      <c r="G70" s="6">
        <f>VLOOKUP($A70,'2324 Jun 24 Enroll'!$A$4:$AL$325,25,FALSE)</f>
        <v>55.33</v>
      </c>
      <c r="H70" s="6">
        <f>VLOOKUP($A70,'2324 Jun 24 Enroll'!$A$4:$AL$325,26,FALSE)</f>
        <v>63.22</v>
      </c>
      <c r="I70" s="6">
        <f>VLOOKUP($A70,'2324 Jun 24 Enroll'!$A$4:$AL$325,27,FALSE)</f>
        <v>751.42</v>
      </c>
      <c r="J70" s="54">
        <f t="shared" si="23"/>
        <v>0.1578</v>
      </c>
      <c r="K70" s="54">
        <f t="shared" ref="K70:K131" si="24">IF(J70&lt;$K$1,0,J70-$K$1)</f>
        <v>7.8000000000000014E-3</v>
      </c>
      <c r="L70" s="45">
        <f t="shared" si="14"/>
        <v>0</v>
      </c>
      <c r="M70" s="68">
        <v>116.33</v>
      </c>
      <c r="N70" s="68">
        <v>19.25</v>
      </c>
      <c r="O70" s="45">
        <f t="shared" si="15"/>
        <v>0</v>
      </c>
      <c r="P70" s="45">
        <f t="shared" si="16"/>
        <v>0</v>
      </c>
      <c r="Q70" s="45">
        <f t="shared" si="17"/>
        <v>590755.11</v>
      </c>
      <c r="R70" s="45">
        <f t="shared" si="18"/>
        <v>638770.47</v>
      </c>
      <c r="S70" s="45">
        <f t="shared" si="19"/>
        <v>-60775.03</v>
      </c>
      <c r="T70" s="6">
        <f>VLOOKUP($A70,'2324 Jun 24 Enroll'!$A$4:$AL$325,31,FALSE)</f>
        <v>118.55</v>
      </c>
      <c r="U70" s="45">
        <f t="shared" si="20"/>
        <v>1132172.6499999999</v>
      </c>
      <c r="V70" s="35">
        <v>6.59E-2</v>
      </c>
      <c r="W70" s="45">
        <f t="shared" si="21"/>
        <v>1062175.3</v>
      </c>
      <c r="X70" s="35">
        <v>0</v>
      </c>
      <c r="Y70" s="45">
        <f t="shared" si="22"/>
        <v>0</v>
      </c>
    </row>
    <row r="71" spans="1:25">
      <c r="A71" t="s">
        <v>558</v>
      </c>
      <c r="B71" t="s">
        <v>559</v>
      </c>
      <c r="C71" s="6">
        <f>VLOOKUP($A71,'SpEd BEA Rate 2324'!$A$4:$AS$325,45,FALSE)</f>
        <v>9421.16</v>
      </c>
      <c r="D71" s="6">
        <f>VLOOKUP($A71,'2324 Jun 24 Enroll'!$A$4:$AL$325,22,FALSE)</f>
        <v>102.11</v>
      </c>
      <c r="E71" s="6">
        <f>VLOOKUP($A71,'2324 Jun 24 Enroll'!$A$4:$AL$325,23,FALSE)</f>
        <v>18.22</v>
      </c>
      <c r="F71" s="6">
        <f>VLOOKUP($A71,'2324 Jun 24 Enroll'!$A$4:$AL$325,24,FALSE)</f>
        <v>3.22</v>
      </c>
      <c r="G71" s="6">
        <f>VLOOKUP($A71,'2324 Jun 24 Enroll'!$A$4:$AL$325,25,FALSE)</f>
        <v>687.33</v>
      </c>
      <c r="H71" s="6">
        <f>VLOOKUP($A71,'2324 Jun 24 Enroll'!$A$4:$AL$325,26,FALSE)</f>
        <v>414.44</v>
      </c>
      <c r="I71" s="6">
        <f>VLOOKUP($A71,'2324 Jun 24 Enroll'!$A$4:$AL$325,27,FALSE)</f>
        <v>6214.93</v>
      </c>
      <c r="J71" s="54">
        <f t="shared" si="23"/>
        <v>0.1807</v>
      </c>
      <c r="K71" s="54">
        <f t="shared" si="24"/>
        <v>3.0700000000000005E-2</v>
      </c>
      <c r="L71" s="45">
        <f t="shared" si="14"/>
        <v>1154393.58</v>
      </c>
      <c r="M71" s="68">
        <v>129.43</v>
      </c>
      <c r="N71" s="68">
        <v>21.42</v>
      </c>
      <c r="O71" s="45">
        <f t="shared" si="15"/>
        <v>191861.69</v>
      </c>
      <c r="P71" s="45">
        <f t="shared" si="16"/>
        <v>32087.33</v>
      </c>
      <c r="Q71" s="45">
        <f t="shared" si="17"/>
        <v>7237776.7999999998</v>
      </c>
      <c r="R71" s="45">
        <f t="shared" si="18"/>
        <v>4129898.58</v>
      </c>
      <c r="S71" s="45">
        <f t="shared" si="19"/>
        <v>-1969357.33</v>
      </c>
      <c r="T71" s="6">
        <f>VLOOKUP($A71,'2324 Jun 24 Enroll'!$A$4:$AL$325,31,FALSE)</f>
        <v>1122.8800000000001</v>
      </c>
      <c r="U71" s="45">
        <f t="shared" si="20"/>
        <v>10578832.140000001</v>
      </c>
      <c r="V71" s="35">
        <v>0.153</v>
      </c>
      <c r="W71" s="45">
        <f t="shared" si="21"/>
        <v>9175049.5600000005</v>
      </c>
      <c r="X71" s="35">
        <v>0.25359999999999999</v>
      </c>
      <c r="Y71" s="45">
        <f t="shared" si="22"/>
        <v>2326792.5699999998</v>
      </c>
    </row>
    <row r="72" spans="1:25">
      <c r="A72" t="s">
        <v>366</v>
      </c>
      <c r="B72" t="s">
        <v>367</v>
      </c>
      <c r="C72" s="6">
        <f>VLOOKUP($A72,'SpEd BEA Rate 2324'!$A$4:$AS$325,45,FALSE)</f>
        <v>9418.16</v>
      </c>
      <c r="D72" s="6">
        <f>VLOOKUP($A72,'2324 Jun 24 Enroll'!$A$4:$AL$325,22,FALSE)</f>
        <v>23.33</v>
      </c>
      <c r="E72" s="6">
        <f>VLOOKUP($A72,'2324 Jun 24 Enroll'!$A$4:$AL$325,23,FALSE)</f>
        <v>0</v>
      </c>
      <c r="F72" s="6">
        <f>VLOOKUP($A72,'2324 Jun 24 Enroll'!$A$4:$AL$325,24,FALSE)</f>
        <v>0</v>
      </c>
      <c r="G72" s="6">
        <f>VLOOKUP($A72,'2324 Jun 24 Enroll'!$A$4:$AL$325,25,FALSE)</f>
        <v>153.56</v>
      </c>
      <c r="H72" s="6">
        <f>VLOOKUP($A72,'2324 Jun 24 Enroll'!$A$4:$AL$325,26,FALSE)</f>
        <v>54</v>
      </c>
      <c r="I72" s="6">
        <f>VLOOKUP($A72,'2324 Jun 24 Enroll'!$A$4:$AL$325,27,FALSE)</f>
        <v>1400.39</v>
      </c>
      <c r="J72" s="54">
        <f t="shared" si="23"/>
        <v>0.1482</v>
      </c>
      <c r="K72" s="54">
        <f t="shared" si="24"/>
        <v>0</v>
      </c>
      <c r="L72" s="45">
        <f t="shared" si="14"/>
        <v>263670.81</v>
      </c>
      <c r="M72" s="68">
        <v>132.22999999999999</v>
      </c>
      <c r="N72" s="68">
        <v>21.89</v>
      </c>
      <c r="O72" s="45">
        <f t="shared" si="15"/>
        <v>0</v>
      </c>
      <c r="P72" s="45">
        <f t="shared" si="16"/>
        <v>0</v>
      </c>
      <c r="Q72" s="45">
        <f t="shared" si="17"/>
        <v>1616441.54</v>
      </c>
      <c r="R72" s="45">
        <f t="shared" si="18"/>
        <v>537913.42000000004</v>
      </c>
      <c r="S72" s="45">
        <f t="shared" si="19"/>
        <v>0</v>
      </c>
      <c r="T72" s="6">
        <f>VLOOKUP($A72,'2324 Jun 24 Enroll'!$A$4:$AL$325,31,FALSE)</f>
        <v>207.56</v>
      </c>
      <c r="U72" s="45">
        <f t="shared" si="20"/>
        <v>1954833.29</v>
      </c>
      <c r="V72" s="35">
        <v>0.1988</v>
      </c>
      <c r="W72" s="45">
        <f t="shared" si="21"/>
        <v>1630658.4</v>
      </c>
      <c r="X72" s="35">
        <v>0.1953</v>
      </c>
      <c r="Y72" s="45">
        <f t="shared" si="22"/>
        <v>318467.59000000003</v>
      </c>
    </row>
    <row r="73" spans="1:25">
      <c r="A73" t="s">
        <v>889</v>
      </c>
      <c r="B73" t="s">
        <v>890</v>
      </c>
      <c r="C73" s="6">
        <f>VLOOKUP($A73,'SpEd BEA Rate 2324'!$A$4:$AS$325,45,FALSE)</f>
        <v>9422.69</v>
      </c>
      <c r="D73" s="6">
        <f>VLOOKUP($A73,'2324 Jun 24 Enroll'!$A$4:$AL$325,22,FALSE)</f>
        <v>38.11</v>
      </c>
      <c r="E73" s="6">
        <f>VLOOKUP($A73,'2324 Jun 24 Enroll'!$A$4:$AL$325,23,FALSE)</f>
        <v>0</v>
      </c>
      <c r="F73" s="6">
        <f>VLOOKUP($A73,'2324 Jun 24 Enroll'!$A$4:$AL$325,24,FALSE)</f>
        <v>0</v>
      </c>
      <c r="G73" s="6">
        <f>VLOOKUP($A73,'2324 Jun 24 Enroll'!$A$4:$AL$325,25,FALSE)</f>
        <v>205.78</v>
      </c>
      <c r="H73" s="6">
        <f>VLOOKUP($A73,'2324 Jun 24 Enroll'!$A$4:$AL$325,26,FALSE)</f>
        <v>151.78</v>
      </c>
      <c r="I73" s="6">
        <f>VLOOKUP($A73,'2324 Jun 24 Enroll'!$A$4:$AL$325,27,FALSE)</f>
        <v>2383.67</v>
      </c>
      <c r="J73" s="54">
        <f t="shared" si="23"/>
        <v>0.15</v>
      </c>
      <c r="K73" s="54">
        <f t="shared" si="24"/>
        <v>0</v>
      </c>
      <c r="L73" s="45">
        <f t="shared" si="14"/>
        <v>430918.46</v>
      </c>
      <c r="M73" s="68">
        <v>134.22</v>
      </c>
      <c r="N73" s="68">
        <v>22.22</v>
      </c>
      <c r="O73" s="45">
        <f t="shared" si="15"/>
        <v>0</v>
      </c>
      <c r="P73" s="45">
        <f t="shared" si="16"/>
        <v>0</v>
      </c>
      <c r="Q73" s="45">
        <f t="shared" si="17"/>
        <v>2167108.85</v>
      </c>
      <c r="R73" s="45">
        <f t="shared" si="18"/>
        <v>1512613.89</v>
      </c>
      <c r="S73" s="45">
        <f t="shared" si="19"/>
        <v>0</v>
      </c>
      <c r="T73" s="6">
        <f>VLOOKUP($A73,'2324 Jun 24 Enroll'!$A$4:$AL$325,31,FALSE)</f>
        <v>355.23</v>
      </c>
      <c r="U73" s="45">
        <f t="shared" si="20"/>
        <v>3347222.17</v>
      </c>
      <c r="V73" s="35">
        <v>0.128</v>
      </c>
      <c r="W73" s="45">
        <f t="shared" si="21"/>
        <v>2967395.54</v>
      </c>
      <c r="X73" s="35">
        <v>0.25369999999999998</v>
      </c>
      <c r="Y73" s="45">
        <f t="shared" si="22"/>
        <v>752828.25</v>
      </c>
    </row>
    <row r="74" spans="1:25">
      <c r="A74" t="s">
        <v>522</v>
      </c>
      <c r="B74" t="s">
        <v>523</v>
      </c>
      <c r="C74" s="6">
        <f>VLOOKUP($A74,'SpEd BEA Rate 2324'!$A$4:$AS$325,45,FALSE)</f>
        <v>9424.4500000000007</v>
      </c>
      <c r="D74" s="6">
        <f>VLOOKUP($A74,'2324 Jun 24 Enroll'!$A$4:$AL$325,22,FALSE)</f>
        <v>62.33</v>
      </c>
      <c r="E74" s="6">
        <f>VLOOKUP($A74,'2324 Jun 24 Enroll'!$A$4:$AL$325,23,FALSE)</f>
        <v>11.11</v>
      </c>
      <c r="F74" s="6">
        <f>VLOOKUP($A74,'2324 Jun 24 Enroll'!$A$4:$AL$325,24,FALSE)</f>
        <v>4.5599999999999996</v>
      </c>
      <c r="G74" s="6">
        <f>VLOOKUP($A74,'2324 Jun 24 Enroll'!$A$4:$AL$325,25,FALSE)</f>
        <v>489.33</v>
      </c>
      <c r="H74" s="6">
        <f>VLOOKUP($A74,'2324 Jun 24 Enroll'!$A$4:$AL$325,26,FALSE)</f>
        <v>292.22000000000003</v>
      </c>
      <c r="I74" s="6">
        <f>VLOOKUP($A74,'2324 Jun 24 Enroll'!$A$4:$AL$325,27,FALSE)</f>
        <v>4986.78</v>
      </c>
      <c r="J74" s="54">
        <f t="shared" si="23"/>
        <v>0.15989999999999999</v>
      </c>
      <c r="K74" s="54">
        <f t="shared" si="24"/>
        <v>9.8999999999999921E-3</v>
      </c>
      <c r="L74" s="45">
        <f t="shared" si="14"/>
        <v>704911.16</v>
      </c>
      <c r="M74" s="68">
        <v>131.74</v>
      </c>
      <c r="N74" s="68">
        <v>21.81</v>
      </c>
      <c r="O74" s="45">
        <f t="shared" si="15"/>
        <v>117028.01</v>
      </c>
      <c r="P74" s="45">
        <f t="shared" si="16"/>
        <v>45454.57</v>
      </c>
      <c r="Q74" s="45">
        <f t="shared" si="17"/>
        <v>5154393.7699999996</v>
      </c>
      <c r="R74" s="45">
        <f t="shared" si="18"/>
        <v>2912880.23</v>
      </c>
      <c r="S74" s="45">
        <f t="shared" si="19"/>
        <v>-509534.65</v>
      </c>
      <c r="T74" s="6">
        <f>VLOOKUP($A74,'2324 Jun 24 Enroll'!$A$4:$AL$325,31,FALSE)</f>
        <v>797.22</v>
      </c>
      <c r="U74" s="45">
        <f t="shared" si="20"/>
        <v>7513360.0300000003</v>
      </c>
      <c r="V74" s="35">
        <v>0.1736</v>
      </c>
      <c r="W74" s="45">
        <f t="shared" si="21"/>
        <v>6401976.8499999996</v>
      </c>
      <c r="X74" s="35">
        <v>0.2797</v>
      </c>
      <c r="Y74" s="45">
        <f t="shared" si="22"/>
        <v>1790632.92</v>
      </c>
    </row>
    <row r="75" spans="1:25">
      <c r="A75" t="s">
        <v>351</v>
      </c>
      <c r="B75" t="s">
        <v>352</v>
      </c>
      <c r="C75" s="6">
        <f>VLOOKUP($A75,'SpEd BEA Rate 2324'!$A$4:$AS$325,45,FALSE)</f>
        <v>9424.31</v>
      </c>
      <c r="D75" s="6">
        <f>VLOOKUP($A75,'2324 Jun 24 Enroll'!$A$4:$AL$325,22,FALSE)</f>
        <v>5.1100000000000003</v>
      </c>
      <c r="E75" s="6">
        <f>VLOOKUP($A75,'2324 Jun 24 Enroll'!$A$4:$AL$325,23,FALSE)</f>
        <v>4.78</v>
      </c>
      <c r="F75" s="6">
        <f>VLOOKUP($A75,'2324 Jun 24 Enroll'!$A$4:$AL$325,24,FALSE)</f>
        <v>0.22</v>
      </c>
      <c r="G75" s="6">
        <f>VLOOKUP($A75,'2324 Jun 24 Enroll'!$A$4:$AL$325,25,FALSE)</f>
        <v>59.33</v>
      </c>
      <c r="H75" s="6">
        <f>VLOOKUP($A75,'2324 Jun 24 Enroll'!$A$4:$AL$325,26,FALSE)</f>
        <v>16.670000000000002</v>
      </c>
      <c r="I75" s="6">
        <f>VLOOKUP($A75,'2324 Jun 24 Enroll'!$A$4:$AL$325,27,FALSE)</f>
        <v>735.82</v>
      </c>
      <c r="J75" s="54">
        <f t="shared" si="23"/>
        <v>0.1101</v>
      </c>
      <c r="K75" s="54">
        <f t="shared" si="24"/>
        <v>0</v>
      </c>
      <c r="L75" s="45">
        <f t="shared" si="14"/>
        <v>57789.87</v>
      </c>
      <c r="M75" s="68">
        <v>126.3</v>
      </c>
      <c r="N75" s="68">
        <v>20.9</v>
      </c>
      <c r="O75" s="45">
        <f t="shared" si="15"/>
        <v>50354.080000000002</v>
      </c>
      <c r="P75" s="45">
        <f t="shared" si="16"/>
        <v>2193.15</v>
      </c>
      <c r="Q75" s="45">
        <f t="shared" si="17"/>
        <v>625001.63</v>
      </c>
      <c r="R75" s="45">
        <f t="shared" si="18"/>
        <v>166181.04</v>
      </c>
      <c r="S75" s="45">
        <f t="shared" si="19"/>
        <v>0</v>
      </c>
      <c r="T75" s="6">
        <f>VLOOKUP($A75,'2324 Jun 24 Enroll'!$A$4:$AL$325,31,FALSE)</f>
        <v>81</v>
      </c>
      <c r="U75" s="45">
        <f t="shared" si="20"/>
        <v>763369.11</v>
      </c>
      <c r="V75" s="35">
        <v>0.1696</v>
      </c>
      <c r="W75" s="45">
        <f t="shared" si="21"/>
        <v>652675.37</v>
      </c>
      <c r="X75" s="35">
        <v>0.15790000000000001</v>
      </c>
      <c r="Y75" s="45">
        <f t="shared" si="22"/>
        <v>103057.44</v>
      </c>
    </row>
    <row r="76" spans="1:25">
      <c r="A76" t="s">
        <v>438</v>
      </c>
      <c r="B76" t="s">
        <v>439</v>
      </c>
      <c r="C76" s="6">
        <f>VLOOKUP($A76,'SpEd BEA Rate 2324'!$A$4:$AS$325,45,FALSE)</f>
        <v>9423.61</v>
      </c>
      <c r="D76" s="6">
        <f>VLOOKUP($A76,'2324 Jun 24 Enroll'!$A$4:$AL$325,22,FALSE)</f>
        <v>73.56</v>
      </c>
      <c r="E76" s="6">
        <f>VLOOKUP($A76,'2324 Jun 24 Enroll'!$A$4:$AL$325,23,FALSE)</f>
        <v>4.8899999999999997</v>
      </c>
      <c r="F76" s="6">
        <f>VLOOKUP($A76,'2324 Jun 24 Enroll'!$A$4:$AL$325,24,FALSE)</f>
        <v>0</v>
      </c>
      <c r="G76" s="6">
        <f>VLOOKUP($A76,'2324 Jun 24 Enroll'!$A$4:$AL$325,25,FALSE)</f>
        <v>529</v>
      </c>
      <c r="H76" s="6">
        <f>VLOOKUP($A76,'2324 Jun 24 Enroll'!$A$4:$AL$325,26,FALSE)</f>
        <v>166.89</v>
      </c>
      <c r="I76" s="6">
        <f>VLOOKUP($A76,'2324 Jun 24 Enroll'!$A$4:$AL$325,27,FALSE)</f>
        <v>5969.82</v>
      </c>
      <c r="J76" s="54">
        <f t="shared" si="23"/>
        <v>0.1174</v>
      </c>
      <c r="K76" s="54">
        <f t="shared" si="24"/>
        <v>0</v>
      </c>
      <c r="L76" s="45">
        <f t="shared" si="14"/>
        <v>831840.9</v>
      </c>
      <c r="M76" s="68">
        <v>129.16</v>
      </c>
      <c r="N76" s="68">
        <v>21.38</v>
      </c>
      <c r="O76" s="45">
        <f t="shared" si="15"/>
        <v>51506.68</v>
      </c>
      <c r="P76" s="45">
        <f t="shared" si="16"/>
        <v>0</v>
      </c>
      <c r="Q76" s="45">
        <f t="shared" si="17"/>
        <v>5571990.4299999997</v>
      </c>
      <c r="R76" s="45">
        <f t="shared" si="18"/>
        <v>1663500.54</v>
      </c>
      <c r="S76" s="45">
        <f t="shared" si="19"/>
        <v>0</v>
      </c>
      <c r="T76" s="6">
        <f>VLOOKUP($A76,'2324 Jun 24 Enroll'!$A$4:$AL$325,31,FALSE)</f>
        <v>700.78</v>
      </c>
      <c r="U76" s="45">
        <f t="shared" si="20"/>
        <v>6603877.4199999999</v>
      </c>
      <c r="V76" s="35">
        <v>0.1421</v>
      </c>
      <c r="W76" s="45">
        <f t="shared" si="21"/>
        <v>5782223.4699999997</v>
      </c>
      <c r="X76" s="35">
        <v>0.2165</v>
      </c>
      <c r="Y76" s="45">
        <f t="shared" si="22"/>
        <v>1251851.3799999999</v>
      </c>
    </row>
    <row r="77" spans="1:25">
      <c r="A77" t="s">
        <v>520</v>
      </c>
      <c r="B77" t="s">
        <v>521</v>
      </c>
      <c r="C77" s="6">
        <f>VLOOKUP($A77,'SpEd BEA Rate 2324'!$A$4:$AS$325,45,FALSE)</f>
        <v>9356.4699999999993</v>
      </c>
      <c r="D77" s="6">
        <f>VLOOKUP($A77,'2324 Jun 24 Enroll'!$A$4:$AL$325,22,FALSE)</f>
        <v>0</v>
      </c>
      <c r="E77" s="6">
        <f>VLOOKUP($A77,'2324 Jun 24 Enroll'!$A$4:$AL$325,23,FALSE)</f>
        <v>0</v>
      </c>
      <c r="F77" s="6">
        <f>VLOOKUP($A77,'2324 Jun 24 Enroll'!$A$4:$AL$325,24,FALSE)</f>
        <v>0</v>
      </c>
      <c r="G77" s="6">
        <f>VLOOKUP($A77,'2324 Jun 24 Enroll'!$A$4:$AL$325,25,FALSE)</f>
        <v>5.1100000000000003</v>
      </c>
      <c r="H77" s="6">
        <f>VLOOKUP($A77,'2324 Jun 24 Enroll'!$A$4:$AL$325,26,FALSE)</f>
        <v>0</v>
      </c>
      <c r="I77" s="6">
        <f>VLOOKUP($A77,'2324 Jun 24 Enroll'!$A$4:$AL$325,27,FALSE)</f>
        <v>43.6</v>
      </c>
      <c r="J77" s="54">
        <f t="shared" si="23"/>
        <v>0.1172</v>
      </c>
      <c r="K77" s="54">
        <f t="shared" si="24"/>
        <v>0</v>
      </c>
      <c r="L77" s="45">
        <f t="shared" si="14"/>
        <v>0</v>
      </c>
      <c r="M77" s="68">
        <v>149.66999999999999</v>
      </c>
      <c r="N77" s="68">
        <v>24.77</v>
      </c>
      <c r="O77" s="45">
        <f t="shared" si="15"/>
        <v>0</v>
      </c>
      <c r="P77" s="45">
        <f t="shared" si="16"/>
        <v>0</v>
      </c>
      <c r="Q77" s="45">
        <f t="shared" si="17"/>
        <v>53422.37</v>
      </c>
      <c r="R77" s="45">
        <f t="shared" si="18"/>
        <v>0</v>
      </c>
      <c r="S77" s="45">
        <f t="shared" si="19"/>
        <v>0</v>
      </c>
      <c r="T77" s="6">
        <f>VLOOKUP($A77,'2324 Jun 24 Enroll'!$A$4:$AL$325,31,FALSE)</f>
        <v>5.1100000000000003</v>
      </c>
      <c r="U77" s="45">
        <f t="shared" si="20"/>
        <v>47811.56</v>
      </c>
      <c r="V77" s="35">
        <v>0.33129999999999998</v>
      </c>
      <c r="W77" s="45">
        <f t="shared" si="21"/>
        <v>35913.440000000002</v>
      </c>
      <c r="X77" s="35">
        <v>0.08</v>
      </c>
      <c r="Y77" s="45">
        <f t="shared" si="22"/>
        <v>2873.08</v>
      </c>
    </row>
    <row r="78" spans="1:25">
      <c r="A78" t="s">
        <v>416</v>
      </c>
      <c r="B78" t="s">
        <v>417</v>
      </c>
      <c r="C78" s="6">
        <f>VLOOKUP($A78,'SpEd BEA Rate 2324'!$A$4:$AS$325,45,FALSE)</f>
        <v>9570.67</v>
      </c>
      <c r="D78" s="6">
        <f>VLOOKUP($A78,'2324 Jun 24 Enroll'!$A$4:$AL$325,22,FALSE)</f>
        <v>1.33</v>
      </c>
      <c r="E78" s="6">
        <f>VLOOKUP($A78,'2324 Jun 24 Enroll'!$A$4:$AL$325,23,FALSE)</f>
        <v>0</v>
      </c>
      <c r="F78" s="6">
        <f>VLOOKUP($A78,'2324 Jun 24 Enroll'!$A$4:$AL$325,24,FALSE)</f>
        <v>0</v>
      </c>
      <c r="G78" s="6">
        <f>VLOOKUP($A78,'2324 Jun 24 Enroll'!$A$4:$AL$325,25,FALSE)</f>
        <v>34.22</v>
      </c>
      <c r="H78" s="6">
        <f>VLOOKUP($A78,'2324 Jun 24 Enroll'!$A$4:$AL$325,26,FALSE)</f>
        <v>2.11</v>
      </c>
      <c r="I78" s="6">
        <f>VLOOKUP($A78,'2324 Jun 24 Enroll'!$A$4:$AL$325,27,FALSE)</f>
        <v>271.57</v>
      </c>
      <c r="J78" s="54">
        <f t="shared" si="23"/>
        <v>0.1338</v>
      </c>
      <c r="K78" s="54">
        <f t="shared" si="24"/>
        <v>0</v>
      </c>
      <c r="L78" s="45">
        <f t="shared" si="14"/>
        <v>15274.79</v>
      </c>
      <c r="M78" s="68">
        <v>138.22</v>
      </c>
      <c r="N78" s="68">
        <v>22.88</v>
      </c>
      <c r="O78" s="45">
        <f t="shared" si="15"/>
        <v>0</v>
      </c>
      <c r="P78" s="45">
        <f t="shared" si="16"/>
        <v>0</v>
      </c>
      <c r="Q78" s="45">
        <f t="shared" si="17"/>
        <v>366026.37</v>
      </c>
      <c r="R78" s="45">
        <f t="shared" si="18"/>
        <v>21357.48</v>
      </c>
      <c r="S78" s="45">
        <f t="shared" si="19"/>
        <v>0</v>
      </c>
      <c r="T78" s="6">
        <f>VLOOKUP($A78,'2324 Jun 24 Enroll'!$A$4:$AL$325,31,FALSE)</f>
        <v>36.33</v>
      </c>
      <c r="U78" s="45">
        <f t="shared" si="20"/>
        <v>347702.44</v>
      </c>
      <c r="V78" s="35">
        <v>0.32990000000000003</v>
      </c>
      <c r="W78" s="45">
        <f t="shared" si="21"/>
        <v>261450.06</v>
      </c>
      <c r="X78" s="35">
        <v>0.14940000000000001</v>
      </c>
      <c r="Y78" s="45">
        <f t="shared" si="22"/>
        <v>39060.639999999999</v>
      </c>
    </row>
    <row r="79" spans="1:25">
      <c r="A79" t="s">
        <v>667</v>
      </c>
      <c r="B79" t="s">
        <v>668</v>
      </c>
      <c r="C79" s="6">
        <f>VLOOKUP($A79,'SpEd BEA Rate 2324'!$A$4:$AS$325,45,FALSE)</f>
        <v>9456.39</v>
      </c>
      <c r="D79" s="6">
        <f>VLOOKUP($A79,'2324 Jun 24 Enroll'!$A$4:$AL$325,22,FALSE)</f>
        <v>0</v>
      </c>
      <c r="E79" s="6">
        <f>VLOOKUP($A79,'2324 Jun 24 Enroll'!$A$4:$AL$325,23,FALSE)</f>
        <v>0</v>
      </c>
      <c r="F79" s="6">
        <f>VLOOKUP($A79,'2324 Jun 24 Enroll'!$A$4:$AL$325,24,FALSE)</f>
        <v>0</v>
      </c>
      <c r="G79" s="6">
        <f>VLOOKUP($A79,'2324 Jun 24 Enroll'!$A$4:$AL$325,25,FALSE)</f>
        <v>6.22</v>
      </c>
      <c r="H79" s="6">
        <f>VLOOKUP($A79,'2324 Jun 24 Enroll'!$A$4:$AL$325,26,FALSE)</f>
        <v>0</v>
      </c>
      <c r="I79" s="6">
        <f>VLOOKUP($A79,'2324 Jun 24 Enroll'!$A$4:$AL$325,27,FALSE)</f>
        <v>34.200000000000003</v>
      </c>
      <c r="J79" s="54">
        <f t="shared" si="23"/>
        <v>0.18190000000000001</v>
      </c>
      <c r="K79" s="54">
        <f t="shared" si="24"/>
        <v>3.1900000000000012E-2</v>
      </c>
      <c r="L79" s="45">
        <f t="shared" si="14"/>
        <v>0</v>
      </c>
      <c r="M79" s="68">
        <v>130.29</v>
      </c>
      <c r="N79" s="68">
        <v>21.57</v>
      </c>
      <c r="O79" s="45">
        <f t="shared" si="15"/>
        <v>0</v>
      </c>
      <c r="P79" s="45">
        <f t="shared" si="16"/>
        <v>0</v>
      </c>
      <c r="Q79" s="45">
        <f t="shared" si="17"/>
        <v>65742.83</v>
      </c>
      <c r="R79" s="45">
        <f t="shared" si="18"/>
        <v>0</v>
      </c>
      <c r="S79" s="45">
        <f t="shared" si="19"/>
        <v>-11529.39</v>
      </c>
      <c r="T79" s="6">
        <f>VLOOKUP($A79,'2324 Jun 24 Enroll'!$A$4:$AL$325,31,FALSE)</f>
        <v>6.22</v>
      </c>
      <c r="U79" s="45">
        <f t="shared" si="20"/>
        <v>58818.75</v>
      </c>
      <c r="V79" s="35">
        <v>0.2266</v>
      </c>
      <c r="W79" s="45">
        <f t="shared" si="21"/>
        <v>47952.67</v>
      </c>
      <c r="X79" s="35">
        <v>0.1414</v>
      </c>
      <c r="Y79" s="45">
        <f t="shared" si="22"/>
        <v>6780.51</v>
      </c>
    </row>
    <row r="80" spans="1:25">
      <c r="A80" t="s">
        <v>510</v>
      </c>
      <c r="B80" t="s">
        <v>511</v>
      </c>
      <c r="C80" s="6">
        <f>VLOOKUP($A80,'SpEd BEA Rate 2324'!$A$4:$AS$325,45,FALSE)</f>
        <v>9418.02</v>
      </c>
      <c r="D80" s="6">
        <f>VLOOKUP($A80,'2324 Jun 24 Enroll'!$A$4:$AL$325,22,FALSE)</f>
        <v>3.11</v>
      </c>
      <c r="E80" s="6">
        <f>VLOOKUP($A80,'2324 Jun 24 Enroll'!$A$4:$AL$325,23,FALSE)</f>
        <v>0</v>
      </c>
      <c r="F80" s="6">
        <f>VLOOKUP($A80,'2324 Jun 24 Enroll'!$A$4:$AL$325,24,FALSE)</f>
        <v>0</v>
      </c>
      <c r="G80" s="6">
        <f>VLOOKUP($A80,'2324 Jun 24 Enroll'!$A$4:$AL$325,25,FALSE)</f>
        <v>17.78</v>
      </c>
      <c r="H80" s="6">
        <f>VLOOKUP($A80,'2324 Jun 24 Enroll'!$A$4:$AL$325,26,FALSE)</f>
        <v>7.11</v>
      </c>
      <c r="I80" s="6">
        <f>VLOOKUP($A80,'2324 Jun 24 Enroll'!$A$4:$AL$325,27,FALSE)</f>
        <v>184.37</v>
      </c>
      <c r="J80" s="54">
        <f t="shared" si="23"/>
        <v>0.13500000000000001</v>
      </c>
      <c r="K80" s="54">
        <f t="shared" si="24"/>
        <v>0</v>
      </c>
      <c r="L80" s="45">
        <f t="shared" si="14"/>
        <v>35148.050000000003</v>
      </c>
      <c r="M80" s="68">
        <v>130.07</v>
      </c>
      <c r="N80" s="68">
        <v>21.53</v>
      </c>
      <c r="O80" s="45">
        <f t="shared" si="15"/>
        <v>0</v>
      </c>
      <c r="P80" s="45">
        <f t="shared" si="16"/>
        <v>0</v>
      </c>
      <c r="Q80" s="45">
        <f t="shared" si="17"/>
        <v>187163.88</v>
      </c>
      <c r="R80" s="45">
        <f t="shared" si="18"/>
        <v>70826.77</v>
      </c>
      <c r="S80" s="45">
        <f t="shared" si="19"/>
        <v>0</v>
      </c>
      <c r="T80" s="6">
        <f>VLOOKUP($A80,'2324 Jun 24 Enroll'!$A$4:$AL$325,31,FALSE)</f>
        <v>24.89</v>
      </c>
      <c r="U80" s="45">
        <f t="shared" si="20"/>
        <v>234414.52</v>
      </c>
      <c r="V80" s="35">
        <v>0.31990000000000002</v>
      </c>
      <c r="W80" s="45">
        <f t="shared" si="21"/>
        <v>177600.21</v>
      </c>
      <c r="X80" s="35">
        <v>0.17780000000000001</v>
      </c>
      <c r="Y80" s="45">
        <f t="shared" si="22"/>
        <v>31577.32</v>
      </c>
    </row>
    <row r="81" spans="1:25">
      <c r="A81" t="s">
        <v>723</v>
      </c>
      <c r="B81" t="s">
        <v>724</v>
      </c>
      <c r="C81" s="6">
        <f>VLOOKUP($A81,'SpEd BEA Rate 2324'!$A$4:$AS$325,45,FALSE)</f>
        <v>9544.3799999999992</v>
      </c>
      <c r="D81" s="6">
        <f>VLOOKUP($A81,'2324 Jun 24 Enroll'!$A$4:$AL$325,22,FALSE)</f>
        <v>3.11</v>
      </c>
      <c r="E81" s="6">
        <f>VLOOKUP($A81,'2324 Jun 24 Enroll'!$A$4:$AL$325,23,FALSE)</f>
        <v>0</v>
      </c>
      <c r="F81" s="6">
        <f>VLOOKUP($A81,'2324 Jun 24 Enroll'!$A$4:$AL$325,24,FALSE)</f>
        <v>0</v>
      </c>
      <c r="G81" s="6">
        <f>VLOOKUP($A81,'2324 Jun 24 Enroll'!$A$4:$AL$325,25,FALSE)</f>
        <v>65.67</v>
      </c>
      <c r="H81" s="6">
        <f>VLOOKUP($A81,'2324 Jun 24 Enroll'!$A$4:$AL$325,26,FALSE)</f>
        <v>15.67</v>
      </c>
      <c r="I81" s="6">
        <f>VLOOKUP($A81,'2324 Jun 24 Enroll'!$A$4:$AL$325,27,FALSE)</f>
        <v>428.56</v>
      </c>
      <c r="J81" s="54">
        <f t="shared" si="23"/>
        <v>0.1898</v>
      </c>
      <c r="K81" s="54">
        <f t="shared" si="24"/>
        <v>3.9800000000000002E-2</v>
      </c>
      <c r="L81" s="45">
        <f t="shared" si="14"/>
        <v>35619.629999999997</v>
      </c>
      <c r="M81" s="68">
        <v>135.84</v>
      </c>
      <c r="N81" s="68">
        <v>22.48</v>
      </c>
      <c r="O81" s="45">
        <f t="shared" si="15"/>
        <v>0</v>
      </c>
      <c r="P81" s="45">
        <f t="shared" si="16"/>
        <v>0</v>
      </c>
      <c r="Q81" s="45">
        <f t="shared" si="17"/>
        <v>700516.71</v>
      </c>
      <c r="R81" s="45">
        <f t="shared" si="18"/>
        <v>158181.79999999999</v>
      </c>
      <c r="S81" s="45">
        <f t="shared" si="19"/>
        <v>-180064.28</v>
      </c>
      <c r="T81" s="6">
        <f>VLOOKUP($A81,'2324 Jun 24 Enroll'!$A$4:$AL$325,31,FALSE)</f>
        <v>81.34</v>
      </c>
      <c r="U81" s="45">
        <f t="shared" si="20"/>
        <v>776339.87</v>
      </c>
      <c r="V81" s="35">
        <v>0.2772</v>
      </c>
      <c r="W81" s="45">
        <f t="shared" si="21"/>
        <v>607845.18000000005</v>
      </c>
      <c r="X81" s="35">
        <v>0.16689999999999999</v>
      </c>
      <c r="Y81" s="45">
        <f t="shared" si="22"/>
        <v>101449.36</v>
      </c>
    </row>
    <row r="82" spans="1:25">
      <c r="A82" t="s">
        <v>681</v>
      </c>
      <c r="B82" t="s">
        <v>682</v>
      </c>
      <c r="C82" s="6">
        <f>VLOOKUP($A82,'SpEd BEA Rate 2324'!$A$4:$AS$325,45,FALSE)</f>
        <v>9420.17</v>
      </c>
      <c r="D82" s="6">
        <f>VLOOKUP($A82,'2324 Jun 24 Enroll'!$A$4:$AL$325,22,FALSE)</f>
        <v>201.44</v>
      </c>
      <c r="E82" s="6">
        <f>VLOOKUP($A82,'2324 Jun 24 Enroll'!$A$4:$AL$325,23,FALSE)</f>
        <v>0</v>
      </c>
      <c r="F82" s="6">
        <f>VLOOKUP($A82,'2324 Jun 24 Enroll'!$A$4:$AL$325,24,FALSE)</f>
        <v>0</v>
      </c>
      <c r="G82" s="6">
        <f>VLOOKUP($A82,'2324 Jun 24 Enroll'!$A$4:$AL$325,25,FALSE)</f>
        <v>1479.44</v>
      </c>
      <c r="H82" s="6">
        <f>VLOOKUP($A82,'2324 Jun 24 Enroll'!$A$4:$AL$325,26,FALSE)</f>
        <v>920.89</v>
      </c>
      <c r="I82" s="6">
        <f>VLOOKUP($A82,'2324 Jun 24 Enroll'!$A$4:$AL$325,27,FALSE)</f>
        <v>18308.78</v>
      </c>
      <c r="J82" s="54">
        <f t="shared" si="23"/>
        <v>0.13109999999999999</v>
      </c>
      <c r="K82" s="54">
        <f t="shared" si="24"/>
        <v>0</v>
      </c>
      <c r="L82" s="45">
        <f t="shared" si="14"/>
        <v>2277118.85</v>
      </c>
      <c r="M82" s="68">
        <v>137.66</v>
      </c>
      <c r="N82" s="68">
        <v>22.79</v>
      </c>
      <c r="O82" s="45">
        <f t="shared" si="15"/>
        <v>0</v>
      </c>
      <c r="P82" s="45">
        <f t="shared" si="16"/>
        <v>0</v>
      </c>
      <c r="Q82" s="45">
        <f t="shared" si="17"/>
        <v>15575249.02</v>
      </c>
      <c r="R82" s="45">
        <f t="shared" si="18"/>
        <v>9174449.6899999995</v>
      </c>
      <c r="S82" s="45">
        <f t="shared" si="19"/>
        <v>0</v>
      </c>
      <c r="T82" s="6">
        <f>VLOOKUP($A82,'2324 Jun 24 Enroll'!$A$4:$AL$325,31,FALSE)</f>
        <v>2413.7800000000002</v>
      </c>
      <c r="U82" s="45">
        <f t="shared" si="20"/>
        <v>22738217.940000001</v>
      </c>
      <c r="V82" s="35">
        <v>0.1255</v>
      </c>
      <c r="W82" s="45">
        <f t="shared" si="21"/>
        <v>20202770.27</v>
      </c>
      <c r="X82" s="35">
        <v>0.29609999999999997</v>
      </c>
      <c r="Y82" s="45">
        <f t="shared" si="22"/>
        <v>5982040.2800000003</v>
      </c>
    </row>
    <row r="83" spans="1:25">
      <c r="A83" t="s">
        <v>629</v>
      </c>
      <c r="B83" t="s">
        <v>630</v>
      </c>
      <c r="C83" s="6">
        <f>VLOOKUP($A83,'SpEd BEA Rate 2324'!$A$4:$AS$325,45,FALSE)</f>
        <v>9422.41</v>
      </c>
      <c r="D83" s="6">
        <f>VLOOKUP($A83,'2324 Jun 24 Enroll'!$A$4:$AL$325,22,FALSE)</f>
        <v>34.78</v>
      </c>
      <c r="E83" s="6">
        <f>VLOOKUP($A83,'2324 Jun 24 Enroll'!$A$4:$AL$325,23,FALSE)</f>
        <v>0.33</v>
      </c>
      <c r="F83" s="6">
        <f>VLOOKUP($A83,'2324 Jun 24 Enroll'!$A$4:$AL$325,24,FALSE)</f>
        <v>0</v>
      </c>
      <c r="G83" s="6">
        <f>VLOOKUP($A83,'2324 Jun 24 Enroll'!$A$4:$AL$325,25,FALSE)</f>
        <v>164.33</v>
      </c>
      <c r="H83" s="6">
        <f>VLOOKUP($A83,'2324 Jun 24 Enroll'!$A$4:$AL$325,26,FALSE)</f>
        <v>119.22</v>
      </c>
      <c r="I83" s="6">
        <f>VLOOKUP($A83,'2324 Jun 24 Enroll'!$A$4:$AL$325,27,FALSE)</f>
        <v>2013.19</v>
      </c>
      <c r="J83" s="54">
        <f t="shared" si="23"/>
        <v>0.14099999999999999</v>
      </c>
      <c r="K83" s="54">
        <f t="shared" si="24"/>
        <v>0</v>
      </c>
      <c r="L83" s="45">
        <f t="shared" si="14"/>
        <v>393253.7</v>
      </c>
      <c r="M83" s="68">
        <v>138.6</v>
      </c>
      <c r="N83" s="68">
        <v>22.94</v>
      </c>
      <c r="O83" s="45">
        <f t="shared" si="15"/>
        <v>3474.95</v>
      </c>
      <c r="P83" s="45">
        <f t="shared" si="16"/>
        <v>0</v>
      </c>
      <c r="Q83" s="45">
        <f t="shared" si="17"/>
        <v>1730421.06</v>
      </c>
      <c r="R83" s="45">
        <f t="shared" si="18"/>
        <v>1188005.2</v>
      </c>
      <c r="S83" s="45">
        <f t="shared" si="19"/>
        <v>0</v>
      </c>
      <c r="T83" s="6">
        <f>VLOOKUP($A83,'2324 Jun 24 Enroll'!$A$4:$AL$325,31,FALSE)</f>
        <v>283.88</v>
      </c>
      <c r="U83" s="45">
        <f t="shared" si="20"/>
        <v>2674833.75</v>
      </c>
      <c r="V83" s="35">
        <v>0.14660000000000001</v>
      </c>
      <c r="W83" s="45">
        <f t="shared" si="21"/>
        <v>2332839.48</v>
      </c>
      <c r="X83" s="35">
        <v>0.249</v>
      </c>
      <c r="Y83" s="45">
        <f t="shared" si="22"/>
        <v>580877.03</v>
      </c>
    </row>
    <row r="84" spans="1:25">
      <c r="A84" t="s">
        <v>789</v>
      </c>
      <c r="B84" t="s">
        <v>790</v>
      </c>
      <c r="C84" s="6">
        <f>VLOOKUP($A84,'SpEd BEA Rate 2324'!$A$4:$AS$325,45,FALSE)</f>
        <v>9356.4699999999993</v>
      </c>
      <c r="D84" s="6">
        <f>VLOOKUP($A84,'2324 Jun 24 Enroll'!$A$4:$AL$325,22,FALSE)</f>
        <v>0</v>
      </c>
      <c r="E84" s="6">
        <f>VLOOKUP($A84,'2324 Jun 24 Enroll'!$A$4:$AL$325,23,FALSE)</f>
        <v>0</v>
      </c>
      <c r="F84" s="6">
        <f>VLOOKUP($A84,'2324 Jun 24 Enroll'!$A$4:$AL$325,24,FALSE)</f>
        <v>0</v>
      </c>
      <c r="G84" s="6">
        <f>VLOOKUP($A84,'2324 Jun 24 Enroll'!$A$4:$AL$325,25,FALSE)</f>
        <v>0</v>
      </c>
      <c r="H84" s="6">
        <f>VLOOKUP($A84,'2324 Jun 24 Enroll'!$A$4:$AL$325,26,FALSE)</f>
        <v>0</v>
      </c>
      <c r="I84" s="6">
        <f>VLOOKUP($A84,'2324 Jun 24 Enroll'!$A$4:$AL$325,27,FALSE)</f>
        <v>10.4</v>
      </c>
      <c r="J84" s="54">
        <f t="shared" si="23"/>
        <v>0</v>
      </c>
      <c r="K84" s="54">
        <f t="shared" si="24"/>
        <v>0</v>
      </c>
      <c r="L84" s="45">
        <f t="shared" si="14"/>
        <v>0</v>
      </c>
      <c r="M84" s="68">
        <v>115.55</v>
      </c>
      <c r="N84" s="68">
        <v>19.13</v>
      </c>
      <c r="O84" s="45">
        <f t="shared" si="15"/>
        <v>0</v>
      </c>
      <c r="P84" s="45">
        <f t="shared" si="16"/>
        <v>0</v>
      </c>
      <c r="Q84" s="45">
        <f t="shared" si="17"/>
        <v>0</v>
      </c>
      <c r="R84" s="45">
        <f t="shared" si="18"/>
        <v>0</v>
      </c>
      <c r="S84" s="45">
        <f t="shared" si="19"/>
        <v>0</v>
      </c>
      <c r="T84" s="6">
        <f>VLOOKUP($A84,'2324 Jun 24 Enroll'!$A$4:$AL$325,31,FALSE)</f>
        <v>0</v>
      </c>
      <c r="U84" s="45">
        <f t="shared" si="20"/>
        <v>0</v>
      </c>
      <c r="V84" s="35">
        <v>0.22370000000000001</v>
      </c>
      <c r="W84" s="45">
        <f t="shared" si="21"/>
        <v>0</v>
      </c>
      <c r="X84" s="35">
        <v>0</v>
      </c>
      <c r="Y84" s="45">
        <f t="shared" si="22"/>
        <v>0</v>
      </c>
    </row>
    <row r="85" spans="1:25">
      <c r="A85" s="8" t="s">
        <v>693</v>
      </c>
      <c r="B85" t="s">
        <v>694</v>
      </c>
      <c r="C85" s="6">
        <f>VLOOKUP($A85,'SpEd BEA Rate 2324'!$A$4:$AS$325,45,FALSE)</f>
        <v>9509.23</v>
      </c>
      <c r="D85" s="6">
        <f>VLOOKUP($A85,'2324 Jun 24 Enroll'!$A$4:$AL$325,22,FALSE)</f>
        <v>0.22</v>
      </c>
      <c r="E85" s="6">
        <f>VLOOKUP($A85,'2324 Jun 24 Enroll'!$A$4:$AL$325,23,FALSE)</f>
        <v>3.33</v>
      </c>
      <c r="F85" s="6">
        <f>VLOOKUP($A85,'2324 Jun 24 Enroll'!$A$4:$AL$325,24,FALSE)</f>
        <v>0</v>
      </c>
      <c r="G85" s="6">
        <f>VLOOKUP($A85,'2324 Jun 24 Enroll'!$A$4:$AL$325,25,FALSE)</f>
        <v>21.56</v>
      </c>
      <c r="H85" s="6">
        <f>VLOOKUP($A85,'2324 Jun 24 Enroll'!$A$4:$AL$325,26,FALSE)</f>
        <v>30.11</v>
      </c>
      <c r="I85" s="6">
        <f>VLOOKUP($A85,'2324 Jun 24 Enroll'!$A$4:$AL$325,27,FALSE)</f>
        <v>338.76</v>
      </c>
      <c r="J85" s="54">
        <f t="shared" si="23"/>
        <v>0.16239999999999999</v>
      </c>
      <c r="K85" s="54">
        <f t="shared" si="24"/>
        <v>1.2399999999999994E-2</v>
      </c>
      <c r="L85" s="45">
        <f t="shared" si="14"/>
        <v>2510.44</v>
      </c>
      <c r="M85" s="68">
        <v>121.11</v>
      </c>
      <c r="N85" s="68">
        <v>20.05</v>
      </c>
      <c r="O85" s="45">
        <f t="shared" si="15"/>
        <v>35398.86</v>
      </c>
      <c r="P85" s="45">
        <f t="shared" si="16"/>
        <v>0</v>
      </c>
      <c r="Q85" s="45">
        <f t="shared" si="17"/>
        <v>229189</v>
      </c>
      <c r="R85" s="45">
        <f t="shared" si="18"/>
        <v>302898.58</v>
      </c>
      <c r="S85" s="45">
        <f t="shared" si="19"/>
        <v>-43330.25</v>
      </c>
      <c r="T85" s="6">
        <f>VLOOKUP($A85,'2324 Jun 24 Enroll'!$A$4:$AL$325,31,FALSE)</f>
        <v>55</v>
      </c>
      <c r="U85" s="45">
        <f t="shared" si="20"/>
        <v>523007.65</v>
      </c>
      <c r="V85" s="35">
        <v>0.26469999999999999</v>
      </c>
      <c r="W85" s="45">
        <f t="shared" si="21"/>
        <v>413542.86</v>
      </c>
      <c r="X85" s="35">
        <v>0.2379</v>
      </c>
      <c r="Y85" s="45">
        <f t="shared" si="22"/>
        <v>98381.85</v>
      </c>
    </row>
    <row r="86" spans="1:25">
      <c r="A86" t="s">
        <v>847</v>
      </c>
      <c r="B86" t="s">
        <v>848</v>
      </c>
      <c r="C86" s="6">
        <f>VLOOKUP($A86,'SpEd BEA Rate 2324'!$A$4:$AS$325,45,FALSE)</f>
        <v>9424.16</v>
      </c>
      <c r="D86" s="6">
        <f>VLOOKUP($A86,'2324 Jun 24 Enroll'!$A$4:$AL$325,22,FALSE)</f>
        <v>34.11</v>
      </c>
      <c r="E86" s="6">
        <f>VLOOKUP($A86,'2324 Jun 24 Enroll'!$A$4:$AL$325,23,FALSE)</f>
        <v>1.33</v>
      </c>
      <c r="F86" s="6">
        <f>VLOOKUP($A86,'2324 Jun 24 Enroll'!$A$4:$AL$325,24,FALSE)</f>
        <v>2.44</v>
      </c>
      <c r="G86" s="6">
        <f>VLOOKUP($A86,'2324 Jun 24 Enroll'!$A$4:$AL$325,25,FALSE)</f>
        <v>160.33000000000001</v>
      </c>
      <c r="H86" s="6">
        <f>VLOOKUP($A86,'2324 Jun 24 Enroll'!$A$4:$AL$325,26,FALSE)</f>
        <v>114.67</v>
      </c>
      <c r="I86" s="6">
        <f>VLOOKUP($A86,'2324 Jun 24 Enroll'!$A$4:$AL$325,27,FALSE)</f>
        <v>2373.1799999999998</v>
      </c>
      <c r="J86" s="54">
        <f t="shared" si="23"/>
        <v>0.11749999999999999</v>
      </c>
      <c r="K86" s="54">
        <f t="shared" si="24"/>
        <v>0</v>
      </c>
      <c r="L86" s="45">
        <f t="shared" si="14"/>
        <v>385749.72</v>
      </c>
      <c r="M86" s="68">
        <v>150.62</v>
      </c>
      <c r="N86" s="68">
        <v>24.93</v>
      </c>
      <c r="O86" s="45">
        <f t="shared" si="15"/>
        <v>14005.07</v>
      </c>
      <c r="P86" s="45">
        <f t="shared" si="16"/>
        <v>24313.82</v>
      </c>
      <c r="Q86" s="45">
        <f t="shared" si="17"/>
        <v>1688295.61</v>
      </c>
      <c r="R86" s="45">
        <f t="shared" si="18"/>
        <v>1142649.81</v>
      </c>
      <c r="S86" s="45">
        <f t="shared" si="19"/>
        <v>0</v>
      </c>
      <c r="T86" s="6">
        <f>VLOOKUP($A86,'2324 Jun 24 Enroll'!$A$4:$AL$325,31,FALSE)</f>
        <v>278.77</v>
      </c>
      <c r="U86" s="45">
        <f t="shared" si="20"/>
        <v>2627173.08</v>
      </c>
      <c r="V86" s="35">
        <v>0.14949999999999999</v>
      </c>
      <c r="W86" s="45">
        <f t="shared" si="21"/>
        <v>2285492.02</v>
      </c>
      <c r="X86" s="35">
        <v>0.2697</v>
      </c>
      <c r="Y86" s="45">
        <f t="shared" si="22"/>
        <v>616397.19999999995</v>
      </c>
    </row>
    <row r="87" spans="1:25">
      <c r="A87" s="8" t="s">
        <v>713</v>
      </c>
      <c r="B87" t="s">
        <v>714</v>
      </c>
      <c r="C87" s="6">
        <f>VLOOKUP($A87,'SpEd BEA Rate 2324'!$A$4:$AS$325,45,FALSE)</f>
        <v>9422.08</v>
      </c>
      <c r="D87" s="6">
        <f>VLOOKUP($A87,'2324 Jun 24 Enroll'!$A$4:$AL$325,22,FALSE)</f>
        <v>30.78</v>
      </c>
      <c r="E87" s="6">
        <f>VLOOKUP($A87,'2324 Jun 24 Enroll'!$A$4:$AL$325,23,FALSE)</f>
        <v>1.78</v>
      </c>
      <c r="F87" s="6">
        <f>VLOOKUP($A87,'2324 Jun 24 Enroll'!$A$4:$AL$325,24,FALSE)</f>
        <v>2.2200000000000002</v>
      </c>
      <c r="G87" s="6">
        <f>VLOOKUP($A87,'2324 Jun 24 Enroll'!$A$4:$AL$325,25,FALSE)</f>
        <v>278.56</v>
      </c>
      <c r="H87" s="6">
        <f>VLOOKUP($A87,'2324 Jun 24 Enroll'!$A$4:$AL$325,26,FALSE)</f>
        <v>121.33</v>
      </c>
      <c r="I87" s="6">
        <f>VLOOKUP($A87,'2324 Jun 24 Enroll'!$A$4:$AL$325,27,FALSE)</f>
        <v>3221.6</v>
      </c>
      <c r="J87" s="54">
        <f t="shared" si="23"/>
        <v>0.12540000000000001</v>
      </c>
      <c r="K87" s="54">
        <f t="shared" si="24"/>
        <v>0</v>
      </c>
      <c r="L87" s="45">
        <f t="shared" si="14"/>
        <v>348013.95</v>
      </c>
      <c r="M87" s="68">
        <v>137.72999999999999</v>
      </c>
      <c r="N87" s="68">
        <v>22.8</v>
      </c>
      <c r="O87" s="45">
        <f t="shared" si="15"/>
        <v>18743.27</v>
      </c>
      <c r="P87" s="45">
        <f t="shared" si="16"/>
        <v>22121.42</v>
      </c>
      <c r="Q87" s="45">
        <f t="shared" si="17"/>
        <v>2933217.19</v>
      </c>
      <c r="R87" s="45">
        <f t="shared" si="18"/>
        <v>1209005.5</v>
      </c>
      <c r="S87" s="45">
        <f t="shared" si="19"/>
        <v>0</v>
      </c>
      <c r="T87" s="6">
        <f>VLOOKUP($A87,'2324 Jun 24 Enroll'!$A$4:$AL$325,31,FALSE)</f>
        <v>403.89</v>
      </c>
      <c r="U87" s="45">
        <f t="shared" si="20"/>
        <v>3805483.89</v>
      </c>
      <c r="V87" s="35">
        <v>0.1515</v>
      </c>
      <c r="W87" s="45">
        <f t="shared" si="21"/>
        <v>3304805.81</v>
      </c>
      <c r="X87" s="35">
        <v>0.22020000000000001</v>
      </c>
      <c r="Y87" s="45">
        <f t="shared" si="22"/>
        <v>727718.24</v>
      </c>
    </row>
    <row r="88" spans="1:25">
      <c r="A88" s="8" t="s">
        <v>855</v>
      </c>
      <c r="B88" t="s">
        <v>856</v>
      </c>
      <c r="C88" s="6">
        <f>VLOOKUP($A88,'SpEd BEA Rate 2324'!$A$4:$AS$325,45,FALSE)</f>
        <v>9422.19</v>
      </c>
      <c r="D88" s="6">
        <f>VLOOKUP($A88,'2324 Jun 24 Enroll'!$A$4:$AL$325,22,FALSE)</f>
        <v>10.56</v>
      </c>
      <c r="E88" s="6">
        <f>VLOOKUP($A88,'2324 Jun 24 Enroll'!$A$4:$AL$325,23,FALSE)</f>
        <v>0</v>
      </c>
      <c r="F88" s="6">
        <f>VLOOKUP($A88,'2324 Jun 24 Enroll'!$A$4:$AL$325,24,FALSE)</f>
        <v>0</v>
      </c>
      <c r="G88" s="6">
        <f>VLOOKUP($A88,'2324 Jun 24 Enroll'!$A$4:$AL$325,25,FALSE)</f>
        <v>46.33</v>
      </c>
      <c r="H88" s="6">
        <f>VLOOKUP($A88,'2324 Jun 24 Enroll'!$A$4:$AL$325,26,FALSE)</f>
        <v>80.56</v>
      </c>
      <c r="I88" s="6">
        <f>VLOOKUP($A88,'2324 Jun 24 Enroll'!$A$4:$AL$325,27,FALSE)</f>
        <v>917.57</v>
      </c>
      <c r="J88" s="54">
        <f t="shared" si="23"/>
        <v>0.13830000000000001</v>
      </c>
      <c r="K88" s="54">
        <f t="shared" si="24"/>
        <v>0</v>
      </c>
      <c r="L88" s="45">
        <f t="shared" si="14"/>
        <v>119397.99</v>
      </c>
      <c r="M88" s="68">
        <v>134.5</v>
      </c>
      <c r="N88" s="68">
        <v>22.26</v>
      </c>
      <c r="O88" s="45">
        <f t="shared" si="15"/>
        <v>0</v>
      </c>
      <c r="P88" s="45">
        <f t="shared" si="16"/>
        <v>0</v>
      </c>
      <c r="Q88" s="45">
        <f t="shared" si="17"/>
        <v>487882.36</v>
      </c>
      <c r="R88" s="45">
        <f t="shared" si="18"/>
        <v>802801.46</v>
      </c>
      <c r="S88" s="45">
        <f t="shared" si="19"/>
        <v>0</v>
      </c>
      <c r="T88" s="6">
        <f>VLOOKUP($A88,'2324 Jun 24 Enroll'!$A$4:$AL$325,31,FALSE)</f>
        <v>126.89</v>
      </c>
      <c r="U88" s="45">
        <f t="shared" si="20"/>
        <v>1195581.69</v>
      </c>
      <c r="V88" s="35">
        <v>0.16</v>
      </c>
      <c r="W88" s="45">
        <f t="shared" si="21"/>
        <v>1030673.87</v>
      </c>
      <c r="X88" s="35">
        <v>0.31559999999999999</v>
      </c>
      <c r="Y88" s="45">
        <f t="shared" si="22"/>
        <v>325280.67</v>
      </c>
    </row>
    <row r="89" spans="1:25">
      <c r="A89" t="s">
        <v>408</v>
      </c>
      <c r="B89" t="s">
        <v>409</v>
      </c>
      <c r="C89" s="6">
        <f>VLOOKUP($A89,'SpEd BEA Rate 2324'!$A$4:$AS$325,45,FALSE)</f>
        <v>9434.119999999999</v>
      </c>
      <c r="D89" s="6">
        <f>VLOOKUP($A89,'2324 Jun 24 Enroll'!$A$4:$AL$325,22,FALSE)</f>
        <v>2.67</v>
      </c>
      <c r="E89" s="6">
        <f>VLOOKUP($A89,'2324 Jun 24 Enroll'!$A$4:$AL$325,23,FALSE)</f>
        <v>0</v>
      </c>
      <c r="F89" s="6">
        <f>VLOOKUP($A89,'2324 Jun 24 Enroll'!$A$4:$AL$325,24,FALSE)</f>
        <v>0</v>
      </c>
      <c r="G89" s="6">
        <f>VLOOKUP($A89,'2324 Jun 24 Enroll'!$A$4:$AL$325,25,FALSE)</f>
        <v>13.67</v>
      </c>
      <c r="H89" s="6">
        <f>VLOOKUP($A89,'2324 Jun 24 Enroll'!$A$4:$AL$325,26,FALSE)</f>
        <v>14.33</v>
      </c>
      <c r="I89" s="6">
        <f>VLOOKUP($A89,'2324 Jun 24 Enroll'!$A$4:$AL$325,27,FALSE)</f>
        <v>201.95</v>
      </c>
      <c r="J89" s="54">
        <f t="shared" si="23"/>
        <v>0.1386</v>
      </c>
      <c r="K89" s="54">
        <f t="shared" si="24"/>
        <v>0</v>
      </c>
      <c r="L89" s="45">
        <f t="shared" si="14"/>
        <v>30226.92</v>
      </c>
      <c r="M89" s="68">
        <v>122.22</v>
      </c>
      <c r="N89" s="68">
        <v>20.23</v>
      </c>
      <c r="O89" s="45">
        <f t="shared" si="15"/>
        <v>0</v>
      </c>
      <c r="P89" s="45">
        <f t="shared" si="16"/>
        <v>0</v>
      </c>
      <c r="Q89" s="45">
        <f t="shared" si="17"/>
        <v>144163.60999999999</v>
      </c>
      <c r="R89" s="45">
        <f t="shared" si="18"/>
        <v>143012.5</v>
      </c>
      <c r="S89" s="45">
        <f t="shared" si="19"/>
        <v>0</v>
      </c>
      <c r="T89" s="6">
        <f>VLOOKUP($A89,'2324 Jun 24 Enroll'!$A$4:$AL$325,31,FALSE)</f>
        <v>28</v>
      </c>
      <c r="U89" s="45">
        <f t="shared" si="20"/>
        <v>264155.36</v>
      </c>
      <c r="V89" s="35">
        <v>0.19689999999999999</v>
      </c>
      <c r="W89" s="45">
        <f t="shared" si="21"/>
        <v>220699.61</v>
      </c>
      <c r="X89" s="35">
        <v>0.26119999999999999</v>
      </c>
      <c r="Y89" s="45">
        <f t="shared" si="22"/>
        <v>57646.74</v>
      </c>
    </row>
    <row r="90" spans="1:25">
      <c r="A90" t="s">
        <v>771</v>
      </c>
      <c r="B90" t="s">
        <v>772</v>
      </c>
      <c r="C90" s="6">
        <f>VLOOKUP($A90,'SpEd BEA Rate 2324'!$A$4:$AS$325,45,FALSE)</f>
        <v>9409.24</v>
      </c>
      <c r="D90" s="6">
        <f>VLOOKUP($A90,'2324 Jun 24 Enroll'!$A$4:$AL$325,22,FALSE)</f>
        <v>1.89</v>
      </c>
      <c r="E90" s="6">
        <f>VLOOKUP($A90,'2324 Jun 24 Enroll'!$A$4:$AL$325,23,FALSE)</f>
        <v>3</v>
      </c>
      <c r="F90" s="6">
        <f>VLOOKUP($A90,'2324 Jun 24 Enroll'!$A$4:$AL$325,24,FALSE)</f>
        <v>1.22</v>
      </c>
      <c r="G90" s="6">
        <f>VLOOKUP($A90,'2324 Jun 24 Enroll'!$A$4:$AL$325,25,FALSE)</f>
        <v>59.78</v>
      </c>
      <c r="H90" s="6">
        <f>VLOOKUP($A90,'2324 Jun 24 Enroll'!$A$4:$AL$325,26,FALSE)</f>
        <v>38.11</v>
      </c>
      <c r="I90" s="6">
        <f>VLOOKUP($A90,'2324 Jun 24 Enroll'!$A$4:$AL$325,27,FALSE)</f>
        <v>537.82000000000005</v>
      </c>
      <c r="J90" s="54">
        <f t="shared" si="23"/>
        <v>0.18990000000000001</v>
      </c>
      <c r="K90" s="54">
        <f t="shared" si="24"/>
        <v>3.9900000000000019E-2</v>
      </c>
      <c r="L90" s="45">
        <f t="shared" si="14"/>
        <v>21340.16</v>
      </c>
      <c r="M90" s="68">
        <v>129.94</v>
      </c>
      <c r="N90" s="68">
        <v>21.51</v>
      </c>
      <c r="O90" s="45">
        <f t="shared" si="15"/>
        <v>31550.52</v>
      </c>
      <c r="P90" s="45">
        <f t="shared" si="16"/>
        <v>12141.79</v>
      </c>
      <c r="Q90" s="45">
        <f t="shared" si="17"/>
        <v>628696.62</v>
      </c>
      <c r="R90" s="45">
        <f t="shared" si="18"/>
        <v>379281.56</v>
      </c>
      <c r="S90" s="45">
        <f t="shared" si="19"/>
        <v>-220967.1</v>
      </c>
      <c r="T90" s="6">
        <f>VLOOKUP($A90,'2324 Jun 24 Enroll'!$A$4:$AL$325,31,FALSE)</f>
        <v>102.11</v>
      </c>
      <c r="U90" s="45">
        <f t="shared" si="20"/>
        <v>960777.5</v>
      </c>
      <c r="V90" s="35">
        <v>0.2291</v>
      </c>
      <c r="W90" s="45">
        <f t="shared" si="21"/>
        <v>781691.89</v>
      </c>
      <c r="X90" s="35">
        <v>0.23630000000000001</v>
      </c>
      <c r="Y90" s="45">
        <f t="shared" si="22"/>
        <v>184713.79</v>
      </c>
    </row>
    <row r="91" spans="1:25">
      <c r="A91" t="s">
        <v>741</v>
      </c>
      <c r="B91" t="s">
        <v>742</v>
      </c>
      <c r="C91" s="6">
        <f>VLOOKUP($A91,'SpEd BEA Rate 2324'!$A$4:$AS$325,45,FALSE)</f>
        <v>9421.67</v>
      </c>
      <c r="D91" s="6">
        <f>VLOOKUP($A91,'2324 Jun 24 Enroll'!$A$4:$AL$325,22,FALSE)</f>
        <v>19.22</v>
      </c>
      <c r="E91" s="6">
        <f>VLOOKUP($A91,'2324 Jun 24 Enroll'!$A$4:$AL$325,23,FALSE)</f>
        <v>1.78</v>
      </c>
      <c r="F91" s="6">
        <f>VLOOKUP($A91,'2324 Jun 24 Enroll'!$A$4:$AL$325,24,FALSE)</f>
        <v>0.89</v>
      </c>
      <c r="G91" s="6">
        <f>VLOOKUP($A91,'2324 Jun 24 Enroll'!$A$4:$AL$325,25,FALSE)</f>
        <v>140.33000000000001</v>
      </c>
      <c r="H91" s="6">
        <f>VLOOKUP($A91,'2324 Jun 24 Enroll'!$A$4:$AL$325,26,FALSE)</f>
        <v>56</v>
      </c>
      <c r="I91" s="6">
        <f>VLOOKUP($A91,'2324 Jun 24 Enroll'!$A$4:$AL$325,27,FALSE)</f>
        <v>1727.06</v>
      </c>
      <c r="J91" s="54">
        <f t="shared" si="23"/>
        <v>0.1152</v>
      </c>
      <c r="K91" s="54">
        <f t="shared" si="24"/>
        <v>0</v>
      </c>
      <c r="L91" s="45">
        <f t="shared" si="14"/>
        <v>217301.4</v>
      </c>
      <c r="M91" s="68">
        <v>133.72</v>
      </c>
      <c r="N91" s="68">
        <v>22.13</v>
      </c>
      <c r="O91" s="45">
        <f t="shared" si="15"/>
        <v>18743.650000000001</v>
      </c>
      <c r="P91" s="45">
        <f t="shared" si="16"/>
        <v>8868.7099999999991</v>
      </c>
      <c r="Q91" s="45">
        <f t="shared" si="17"/>
        <v>1477694.6</v>
      </c>
      <c r="R91" s="45">
        <f t="shared" si="18"/>
        <v>558031.05000000005</v>
      </c>
      <c r="S91" s="45">
        <f t="shared" si="19"/>
        <v>0</v>
      </c>
      <c r="T91" s="6">
        <f>VLOOKUP($A91,'2324 Jun 24 Enroll'!$A$4:$AL$325,31,FALSE)</f>
        <v>199</v>
      </c>
      <c r="U91" s="45">
        <f t="shared" si="20"/>
        <v>1874912.33</v>
      </c>
      <c r="V91" s="35">
        <v>0.15890000000000001</v>
      </c>
      <c r="W91" s="45">
        <f t="shared" si="21"/>
        <v>1617837.89</v>
      </c>
      <c r="X91" s="35">
        <v>0.2079</v>
      </c>
      <c r="Y91" s="45">
        <f t="shared" si="22"/>
        <v>336348.5</v>
      </c>
    </row>
    <row r="92" spans="1:25">
      <c r="A92" t="s">
        <v>600</v>
      </c>
      <c r="B92" t="s">
        <v>601</v>
      </c>
      <c r="C92" s="6">
        <f>VLOOKUP($A92,'SpEd BEA Rate 2324'!$A$4:$AS$325,45,FALSE)</f>
        <v>9524.0800000000017</v>
      </c>
      <c r="D92" s="6">
        <f>VLOOKUP($A92,'2324 Jun 24 Enroll'!$A$4:$AL$325,22,FALSE)</f>
        <v>143</v>
      </c>
      <c r="E92" s="6">
        <f>VLOOKUP($A92,'2324 Jun 24 Enroll'!$A$4:$AL$325,23,FALSE)</f>
        <v>0</v>
      </c>
      <c r="F92" s="6">
        <f>VLOOKUP($A92,'2324 Jun 24 Enroll'!$A$4:$AL$325,24,FALSE)</f>
        <v>0</v>
      </c>
      <c r="G92" s="6">
        <f>VLOOKUP($A92,'2324 Jun 24 Enroll'!$A$4:$AL$325,25,FALSE)</f>
        <v>757</v>
      </c>
      <c r="H92" s="6">
        <f>VLOOKUP($A92,'2324 Jun 24 Enroll'!$A$4:$AL$325,26,FALSE)</f>
        <v>541.78</v>
      </c>
      <c r="I92" s="6">
        <f>VLOOKUP($A92,'2324 Jun 24 Enroll'!$A$4:$AL$325,27,FALSE)</f>
        <v>8494.6</v>
      </c>
      <c r="J92" s="54">
        <f t="shared" si="23"/>
        <v>0.15290000000000001</v>
      </c>
      <c r="K92" s="54">
        <f t="shared" si="24"/>
        <v>2.9000000000000137E-3</v>
      </c>
      <c r="L92" s="45">
        <f t="shared" si="14"/>
        <v>1634332.13</v>
      </c>
      <c r="M92" s="68">
        <v>129.6</v>
      </c>
      <c r="N92" s="68">
        <v>21.45</v>
      </c>
      <c r="O92" s="45">
        <f t="shared" si="15"/>
        <v>0</v>
      </c>
      <c r="P92" s="45">
        <f t="shared" si="16"/>
        <v>0</v>
      </c>
      <c r="Q92" s="45">
        <f t="shared" si="17"/>
        <v>8058658.3399999999</v>
      </c>
      <c r="R92" s="45">
        <f t="shared" si="18"/>
        <v>5457932.25</v>
      </c>
      <c r="S92" s="45">
        <f t="shared" si="19"/>
        <v>-256364.37</v>
      </c>
      <c r="T92" s="6">
        <f>VLOOKUP($A92,'2324 Jun 24 Enroll'!$A$4:$AL$325,31,FALSE)</f>
        <v>1298.78</v>
      </c>
      <c r="U92" s="45">
        <f t="shared" si="20"/>
        <v>12369684.619999999</v>
      </c>
      <c r="V92" s="35">
        <v>0.1615</v>
      </c>
      <c r="W92" s="45">
        <f t="shared" si="21"/>
        <v>10649750</v>
      </c>
      <c r="X92" s="35">
        <v>0.26090000000000002</v>
      </c>
      <c r="Y92" s="45">
        <f t="shared" si="22"/>
        <v>2778519.78</v>
      </c>
    </row>
    <row r="93" spans="1:25">
      <c r="A93" t="s">
        <v>454</v>
      </c>
      <c r="B93" t="s">
        <v>455</v>
      </c>
      <c r="C93" s="6">
        <f>VLOOKUP($A93,'SpEd BEA Rate 2324'!$A$4:$AS$325,45,FALSE)</f>
        <v>9623.8000000000011</v>
      </c>
      <c r="D93" s="6">
        <f>VLOOKUP($A93,'2324 Jun 24 Enroll'!$A$4:$AL$325,22,FALSE)</f>
        <v>31.22</v>
      </c>
      <c r="E93" s="6">
        <f>VLOOKUP($A93,'2324 Jun 24 Enroll'!$A$4:$AL$325,23,FALSE)</f>
        <v>0</v>
      </c>
      <c r="F93" s="6">
        <f>VLOOKUP($A93,'2324 Jun 24 Enroll'!$A$4:$AL$325,24,FALSE)</f>
        <v>0</v>
      </c>
      <c r="G93" s="6">
        <f>VLOOKUP($A93,'2324 Jun 24 Enroll'!$A$4:$AL$325,25,FALSE)</f>
        <v>230.22</v>
      </c>
      <c r="H93" s="6">
        <f>VLOOKUP($A93,'2324 Jun 24 Enroll'!$A$4:$AL$325,26,FALSE)</f>
        <v>93.89</v>
      </c>
      <c r="I93" s="6">
        <f>VLOOKUP($A93,'2324 Jun 24 Enroll'!$A$4:$AL$325,27,FALSE)</f>
        <v>2723.2</v>
      </c>
      <c r="J93" s="54">
        <f t="shared" si="23"/>
        <v>0.11899999999999999</v>
      </c>
      <c r="K93" s="54">
        <f t="shared" si="24"/>
        <v>0</v>
      </c>
      <c r="L93" s="45">
        <f t="shared" si="14"/>
        <v>360546.04</v>
      </c>
      <c r="M93" s="68">
        <v>126.45</v>
      </c>
      <c r="N93" s="68">
        <v>20.93</v>
      </c>
      <c r="O93" s="45">
        <f t="shared" si="15"/>
        <v>0</v>
      </c>
      <c r="P93" s="45">
        <f t="shared" si="16"/>
        <v>0</v>
      </c>
      <c r="Q93" s="45">
        <f t="shared" si="17"/>
        <v>2476643.6800000002</v>
      </c>
      <c r="R93" s="45">
        <f t="shared" si="18"/>
        <v>955828.18</v>
      </c>
      <c r="S93" s="45">
        <f t="shared" si="19"/>
        <v>0</v>
      </c>
      <c r="T93" s="6">
        <f>VLOOKUP($A93,'2324 Jun 24 Enroll'!$A$4:$AL$325,31,FALSE)</f>
        <v>324.11</v>
      </c>
      <c r="U93" s="45">
        <f t="shared" si="20"/>
        <v>3119169.82</v>
      </c>
      <c r="V93" s="35">
        <v>0.1711</v>
      </c>
      <c r="W93" s="45">
        <f t="shared" si="21"/>
        <v>2663453.0099999998</v>
      </c>
      <c r="X93" s="35">
        <v>0.24590000000000001</v>
      </c>
      <c r="Y93" s="45">
        <f t="shared" si="22"/>
        <v>654943.1</v>
      </c>
    </row>
    <row r="94" spans="1:25">
      <c r="A94" t="s">
        <v>881</v>
      </c>
      <c r="B94" t="s">
        <v>882</v>
      </c>
      <c r="C94" s="6">
        <f>VLOOKUP($A94,'SpEd BEA Rate 2324'!$A$4:$AS$325,45,FALSE)</f>
        <v>9528.39</v>
      </c>
      <c r="D94" s="6">
        <f>VLOOKUP($A94,'2324 Jun 24 Enroll'!$A$4:$AL$325,22,FALSE)</f>
        <v>0</v>
      </c>
      <c r="E94" s="6">
        <f>VLOOKUP($A94,'2324 Jun 24 Enroll'!$A$4:$AL$325,23,FALSE)</f>
        <v>0.22</v>
      </c>
      <c r="F94" s="6">
        <f>VLOOKUP($A94,'2324 Jun 24 Enroll'!$A$4:$AL$325,24,FALSE)</f>
        <v>0</v>
      </c>
      <c r="G94" s="6">
        <f>VLOOKUP($A94,'2324 Jun 24 Enroll'!$A$4:$AL$325,25,FALSE)</f>
        <v>15.22</v>
      </c>
      <c r="H94" s="6">
        <f>VLOOKUP($A94,'2324 Jun 24 Enroll'!$A$4:$AL$325,26,FALSE)</f>
        <v>1.78</v>
      </c>
      <c r="I94" s="6">
        <f>VLOOKUP($A94,'2324 Jun 24 Enroll'!$A$4:$AL$325,27,FALSE)</f>
        <v>118.58</v>
      </c>
      <c r="J94" s="54">
        <f t="shared" si="23"/>
        <v>0.1452</v>
      </c>
      <c r="K94" s="54">
        <f t="shared" si="24"/>
        <v>0</v>
      </c>
      <c r="L94" s="45">
        <f t="shared" si="14"/>
        <v>0</v>
      </c>
      <c r="M94" s="68">
        <v>118.55</v>
      </c>
      <c r="N94" s="68">
        <v>19.62</v>
      </c>
      <c r="O94" s="45">
        <f t="shared" si="15"/>
        <v>2343.48</v>
      </c>
      <c r="P94" s="45">
        <f t="shared" si="16"/>
        <v>0</v>
      </c>
      <c r="Q94" s="45">
        <f t="shared" si="17"/>
        <v>162126.13</v>
      </c>
      <c r="R94" s="45">
        <f t="shared" si="18"/>
        <v>17943.240000000002</v>
      </c>
      <c r="S94" s="45">
        <f t="shared" si="19"/>
        <v>0</v>
      </c>
      <c r="T94" s="6">
        <f>VLOOKUP($A94,'2324 Jun 24 Enroll'!$A$4:$AL$325,31,FALSE)</f>
        <v>17.22</v>
      </c>
      <c r="U94" s="45">
        <f t="shared" si="20"/>
        <v>164078.88</v>
      </c>
      <c r="V94" s="35">
        <v>0.29139999999999999</v>
      </c>
      <c r="W94" s="45">
        <f t="shared" si="21"/>
        <v>127055.03999999999</v>
      </c>
      <c r="X94" s="35">
        <v>0.16170000000000001</v>
      </c>
      <c r="Y94" s="45">
        <f t="shared" si="22"/>
        <v>20544.8</v>
      </c>
    </row>
    <row r="95" spans="1:25">
      <c r="A95" t="s">
        <v>482</v>
      </c>
      <c r="B95" t="s">
        <v>483</v>
      </c>
      <c r="C95" s="6">
        <f>VLOOKUP($A95,'SpEd BEA Rate 2324'!$A$4:$AS$325,45,FALSE)</f>
        <v>9433.81</v>
      </c>
      <c r="D95" s="6">
        <f>VLOOKUP($A95,'2324 Jun 24 Enroll'!$A$4:$AL$325,22,FALSE)</f>
        <v>3.22</v>
      </c>
      <c r="E95" s="6">
        <f>VLOOKUP($A95,'2324 Jun 24 Enroll'!$A$4:$AL$325,23,FALSE)</f>
        <v>0</v>
      </c>
      <c r="F95" s="6">
        <f>VLOOKUP($A95,'2324 Jun 24 Enroll'!$A$4:$AL$325,24,FALSE)</f>
        <v>0</v>
      </c>
      <c r="G95" s="6">
        <f>VLOOKUP($A95,'2324 Jun 24 Enroll'!$A$4:$AL$325,25,FALSE)</f>
        <v>60.56</v>
      </c>
      <c r="H95" s="6">
        <f>VLOOKUP($A95,'2324 Jun 24 Enroll'!$A$4:$AL$325,26,FALSE)</f>
        <v>40.89</v>
      </c>
      <c r="I95" s="6">
        <f>VLOOKUP($A95,'2324 Jun 24 Enroll'!$A$4:$AL$325,27,FALSE)</f>
        <v>701.73</v>
      </c>
      <c r="J95" s="54">
        <f t="shared" si="23"/>
        <v>0.14460000000000001</v>
      </c>
      <c r="K95" s="54">
        <f t="shared" si="24"/>
        <v>0</v>
      </c>
      <c r="L95" s="45">
        <f t="shared" si="14"/>
        <v>36452.239999999998</v>
      </c>
      <c r="M95" s="68">
        <v>137.57</v>
      </c>
      <c r="N95" s="68">
        <v>22.77</v>
      </c>
      <c r="O95" s="45">
        <f t="shared" si="15"/>
        <v>0</v>
      </c>
      <c r="P95" s="45">
        <f t="shared" si="16"/>
        <v>0</v>
      </c>
      <c r="Q95" s="45">
        <f t="shared" si="17"/>
        <v>638489.97</v>
      </c>
      <c r="R95" s="45">
        <f t="shared" si="18"/>
        <v>407962.34</v>
      </c>
      <c r="S95" s="45">
        <f t="shared" si="19"/>
        <v>0</v>
      </c>
      <c r="T95" s="6">
        <f>VLOOKUP($A95,'2324 Jun 24 Enroll'!$A$4:$AL$325,31,FALSE)</f>
        <v>101.45</v>
      </c>
      <c r="U95" s="45">
        <f t="shared" si="20"/>
        <v>957060.02</v>
      </c>
      <c r="V95" s="35">
        <v>0.22620000000000001</v>
      </c>
      <c r="W95" s="45">
        <f t="shared" si="21"/>
        <v>780508.91</v>
      </c>
      <c r="X95" s="35">
        <v>0.21110000000000001</v>
      </c>
      <c r="Y95" s="45">
        <f t="shared" si="22"/>
        <v>164765.43</v>
      </c>
    </row>
    <row r="96" spans="1:25">
      <c r="A96" t="s">
        <v>315</v>
      </c>
      <c r="B96" t="s">
        <v>316</v>
      </c>
      <c r="C96" s="6">
        <f>VLOOKUP($A96,'SpEd BEA Rate 2324'!$A$4:$AS$325,45,FALSE)</f>
        <v>9430.94</v>
      </c>
      <c r="D96" s="6">
        <f>VLOOKUP($A96,'2324 Jun 24 Enroll'!$A$4:$AL$325,22,FALSE)</f>
        <v>65.33</v>
      </c>
      <c r="E96" s="6">
        <f>VLOOKUP($A96,'2324 Jun 24 Enroll'!$A$4:$AL$325,23,FALSE)</f>
        <v>0</v>
      </c>
      <c r="F96" s="6">
        <f>VLOOKUP($A96,'2324 Jun 24 Enroll'!$A$4:$AL$325,24,FALSE)</f>
        <v>0</v>
      </c>
      <c r="G96" s="6">
        <f>VLOOKUP($A96,'2324 Jun 24 Enroll'!$A$4:$AL$325,25,FALSE)</f>
        <v>301.33</v>
      </c>
      <c r="H96" s="6">
        <f>VLOOKUP($A96,'2324 Jun 24 Enroll'!$A$4:$AL$325,26,FALSE)</f>
        <v>254.33</v>
      </c>
      <c r="I96" s="6">
        <f>VLOOKUP($A96,'2324 Jun 24 Enroll'!$A$4:$AL$325,27,FALSE)</f>
        <v>3107.85</v>
      </c>
      <c r="J96" s="54">
        <f t="shared" si="23"/>
        <v>0.17879999999999999</v>
      </c>
      <c r="K96" s="54">
        <f t="shared" si="24"/>
        <v>2.8799999999999992E-2</v>
      </c>
      <c r="L96" s="45">
        <f>ROUND(D96*$L$1*C96,2)</f>
        <v>739347.97</v>
      </c>
      <c r="M96" s="68">
        <v>132.78</v>
      </c>
      <c r="N96" s="68">
        <v>21.98</v>
      </c>
      <c r="O96" s="45">
        <f>ROUND(+E96*(($C96*O$1)-$N96),2)</f>
        <v>0</v>
      </c>
      <c r="P96" s="45">
        <f t="shared" si="16"/>
        <v>0</v>
      </c>
      <c r="Q96" s="45">
        <f t="shared" si="17"/>
        <v>3176220.93</v>
      </c>
      <c r="R96" s="45">
        <f t="shared" si="18"/>
        <v>2536895.06</v>
      </c>
      <c r="S96" s="45">
        <f t="shared" si="19"/>
        <v>-920233.45</v>
      </c>
      <c r="T96" s="6">
        <f>VLOOKUP($A96,'2324 Jun 24 Enroll'!$A$4:$AL$325,31,FALSE)</f>
        <v>555.66</v>
      </c>
      <c r="U96" s="45">
        <f t="shared" si="20"/>
        <v>5240396.12</v>
      </c>
      <c r="V96" s="35">
        <v>0.1603</v>
      </c>
      <c r="W96" s="45">
        <f t="shared" si="21"/>
        <v>4516414.82</v>
      </c>
      <c r="X96" s="35">
        <v>0.26800000000000002</v>
      </c>
      <c r="Y96" s="45">
        <f t="shared" si="22"/>
        <v>1210399.17</v>
      </c>
    </row>
    <row r="97" spans="1:25">
      <c r="A97" t="s">
        <v>508</v>
      </c>
      <c r="B97" t="s">
        <v>509</v>
      </c>
      <c r="C97" s="6">
        <f>VLOOKUP($A97,'SpEd BEA Rate 2324'!$A$4:$AS$325,45,FALSE)</f>
        <v>9426.5299999999988</v>
      </c>
      <c r="D97" s="6">
        <f>VLOOKUP($A97,'2324 Jun 24 Enroll'!$A$4:$AL$325,22,FALSE)</f>
        <v>14</v>
      </c>
      <c r="E97" s="6">
        <f>VLOOKUP($A97,'2324 Jun 24 Enroll'!$A$4:$AL$325,23,FALSE)</f>
        <v>0.78</v>
      </c>
      <c r="F97" s="6">
        <f>VLOOKUP($A97,'2324 Jun 24 Enroll'!$A$4:$AL$325,24,FALSE)</f>
        <v>0</v>
      </c>
      <c r="G97" s="6">
        <f>VLOOKUP($A97,'2324 Jun 24 Enroll'!$A$4:$AL$325,25,FALSE)</f>
        <v>198.67</v>
      </c>
      <c r="H97" s="6">
        <f>VLOOKUP($A97,'2324 Jun 24 Enroll'!$A$4:$AL$325,26,FALSE)</f>
        <v>74.78</v>
      </c>
      <c r="I97" s="6">
        <f>VLOOKUP($A97,'2324 Jun 24 Enroll'!$A$4:$AL$325,27,FALSE)</f>
        <v>1594.52</v>
      </c>
      <c r="J97" s="54">
        <f t="shared" si="23"/>
        <v>0.17199999999999999</v>
      </c>
      <c r="K97" s="54">
        <f t="shared" si="24"/>
        <v>2.1999999999999992E-2</v>
      </c>
      <c r="L97" s="45">
        <f t="shared" si="14"/>
        <v>158365.70000000001</v>
      </c>
      <c r="M97" s="68">
        <v>128.72</v>
      </c>
      <c r="N97" s="68">
        <v>21.31</v>
      </c>
      <c r="O97" s="45">
        <f t="shared" si="15"/>
        <v>8218.39</v>
      </c>
      <c r="P97" s="45">
        <f t="shared" si="16"/>
        <v>0</v>
      </c>
      <c r="Q97" s="45">
        <f t="shared" si="17"/>
        <v>2093267.3</v>
      </c>
      <c r="R97" s="45">
        <f t="shared" si="18"/>
        <v>745617.31</v>
      </c>
      <c r="S97" s="45">
        <f t="shared" si="19"/>
        <v>-364164.34</v>
      </c>
      <c r="T97" s="6">
        <f>VLOOKUP($A97,'2324 Jun 24 Enroll'!$A$4:$AL$325,31,FALSE)</f>
        <v>274.23</v>
      </c>
      <c r="U97" s="45">
        <f t="shared" ref="U97:U160" si="25">ROUND(T97*C97,2)</f>
        <v>2585037.3199999998</v>
      </c>
      <c r="V97" s="35">
        <v>0.1817</v>
      </c>
      <c r="W97" s="45">
        <f t="shared" ref="W97:W160" si="26">ROUND(U97/(1+V97),2)</f>
        <v>2187558.0299999998</v>
      </c>
      <c r="X97" s="35">
        <v>0.2185</v>
      </c>
      <c r="Y97" s="45">
        <f t="shared" ref="Y97:Y160" si="27">ROUND(X97*W97,2)</f>
        <v>477981.43</v>
      </c>
    </row>
    <row r="98" spans="1:25">
      <c r="A98" t="s">
        <v>627</v>
      </c>
      <c r="B98" t="s">
        <v>628</v>
      </c>
      <c r="C98" s="6">
        <f>VLOOKUP($A98,'SpEd BEA Rate 2324'!$A$4:$AS$325,45,FALSE)</f>
        <v>9418.36</v>
      </c>
      <c r="D98" s="6">
        <f>VLOOKUP($A98,'2324 Jun 24 Enroll'!$A$4:$AL$325,22,FALSE)</f>
        <v>4</v>
      </c>
      <c r="E98" s="6">
        <f>VLOOKUP($A98,'2324 Jun 24 Enroll'!$A$4:$AL$325,23,FALSE)</f>
        <v>0</v>
      </c>
      <c r="F98" s="6">
        <f>VLOOKUP($A98,'2324 Jun 24 Enroll'!$A$4:$AL$325,24,FALSE)</f>
        <v>0</v>
      </c>
      <c r="G98" s="6">
        <f>VLOOKUP($A98,'2324 Jun 24 Enroll'!$A$4:$AL$325,25,FALSE)</f>
        <v>73.22</v>
      </c>
      <c r="H98" s="6">
        <f>VLOOKUP($A98,'2324 Jun 24 Enroll'!$A$4:$AL$325,26,FALSE)</f>
        <v>24.11</v>
      </c>
      <c r="I98" s="6">
        <f>VLOOKUP($A98,'2324 Jun 24 Enroll'!$A$4:$AL$325,27,FALSE)</f>
        <v>646.25</v>
      </c>
      <c r="J98" s="54">
        <f t="shared" si="23"/>
        <v>0.15060000000000001</v>
      </c>
      <c r="K98" s="54">
        <f t="shared" si="24"/>
        <v>6.0000000000001719E-4</v>
      </c>
      <c r="L98" s="45">
        <f t="shared" si="14"/>
        <v>45208.13</v>
      </c>
      <c r="M98" s="68">
        <v>126.97</v>
      </c>
      <c r="N98" s="68">
        <v>21.02</v>
      </c>
      <c r="O98" s="45">
        <f t="shared" si="15"/>
        <v>0</v>
      </c>
      <c r="P98" s="45">
        <f t="shared" si="16"/>
        <v>0</v>
      </c>
      <c r="Q98" s="45">
        <f t="shared" si="17"/>
        <v>770826.71</v>
      </c>
      <c r="R98" s="45">
        <f t="shared" si="18"/>
        <v>240194.47</v>
      </c>
      <c r="S98" s="45">
        <f t="shared" si="19"/>
        <v>-4027.97</v>
      </c>
      <c r="T98" s="6">
        <f>VLOOKUP($A98,'2324 Jun 24 Enroll'!$A$4:$AL$325,31,FALSE)</f>
        <v>97.33</v>
      </c>
      <c r="U98" s="45">
        <f t="shared" si="25"/>
        <v>916688.98</v>
      </c>
      <c r="V98" s="35">
        <v>0.1971</v>
      </c>
      <c r="W98" s="45">
        <f t="shared" si="26"/>
        <v>765758.07</v>
      </c>
      <c r="X98" s="35">
        <v>0.22559999999999999</v>
      </c>
      <c r="Y98" s="45">
        <f t="shared" si="27"/>
        <v>172755.02</v>
      </c>
    </row>
    <row r="99" spans="1:25">
      <c r="A99" t="s">
        <v>580</v>
      </c>
      <c r="B99" t="s">
        <v>581</v>
      </c>
      <c r="C99" s="6">
        <f>VLOOKUP($A99,'SpEd BEA Rate 2324'!$A$4:$AS$325,45,FALSE)</f>
        <v>9356.4699999999993</v>
      </c>
      <c r="D99" s="6">
        <f>VLOOKUP($A99,'2324 Jun 24 Enroll'!$A$4:$AL$325,22,FALSE)</f>
        <v>6</v>
      </c>
      <c r="E99" s="6">
        <f>VLOOKUP($A99,'2324 Jun 24 Enroll'!$A$4:$AL$325,23,FALSE)</f>
        <v>0</v>
      </c>
      <c r="F99" s="6">
        <f>VLOOKUP($A99,'2324 Jun 24 Enroll'!$A$4:$AL$325,24,FALSE)</f>
        <v>0</v>
      </c>
      <c r="G99" s="6">
        <f>VLOOKUP($A99,'2324 Jun 24 Enroll'!$A$4:$AL$325,25,FALSE)</f>
        <v>47.67</v>
      </c>
      <c r="H99" s="6">
        <f>VLOOKUP($A99,'2324 Jun 24 Enroll'!$A$4:$AL$325,26,FALSE)</f>
        <v>13.78</v>
      </c>
      <c r="I99" s="6">
        <f>VLOOKUP($A99,'2324 Jun 24 Enroll'!$A$4:$AL$325,27,FALSE)</f>
        <v>318.95</v>
      </c>
      <c r="J99" s="54">
        <f t="shared" si="23"/>
        <v>0.19270000000000001</v>
      </c>
      <c r="K99" s="54">
        <f t="shared" si="24"/>
        <v>4.2700000000000016E-2</v>
      </c>
      <c r="L99" s="45">
        <f t="shared" ref="L99:L162" si="28">ROUND(D99*$L$1*C99,2)</f>
        <v>67366.58</v>
      </c>
      <c r="M99" s="68">
        <v>133.12</v>
      </c>
      <c r="N99" s="68">
        <v>22.03</v>
      </c>
      <c r="O99" s="45">
        <f t="shared" ref="O99:O162" si="29">ROUND(+E99*(($C99*O$1)-$N99),2)</f>
        <v>0</v>
      </c>
      <c r="P99" s="45">
        <f t="shared" ref="P99:P162" si="30">ROUND(+F99*(($C99*P$1)-$N99),2)</f>
        <v>0</v>
      </c>
      <c r="Q99" s="45">
        <f t="shared" ref="Q99:Q162" si="31">ROUND(+G99*(($C99*Q$1)-$N99),2)</f>
        <v>498495.51</v>
      </c>
      <c r="R99" s="45">
        <f t="shared" ref="R99:R162" si="32">ROUND(+H99*(($C99*R$1)-$N99),2)</f>
        <v>136364.51</v>
      </c>
      <c r="S99" s="45">
        <f t="shared" ref="S99:S162" si="33">IF($J99&lt;K$1,0,ROUND(((((O99+P99+Q99+R99)*-1)/$J99)*$K99),2))</f>
        <v>-140677.34</v>
      </c>
      <c r="T99" s="6">
        <f>VLOOKUP($A99,'2324 Jun 24 Enroll'!$A$4:$AL$325,31,FALSE)</f>
        <v>61.45</v>
      </c>
      <c r="U99" s="45">
        <f t="shared" si="25"/>
        <v>574955.07999999996</v>
      </c>
      <c r="V99" s="35">
        <v>0.22869999999999999</v>
      </c>
      <c r="W99" s="45">
        <f t="shared" si="26"/>
        <v>467937.72</v>
      </c>
      <c r="X99" s="35">
        <v>0.1772</v>
      </c>
      <c r="Y99" s="45">
        <f t="shared" si="27"/>
        <v>82918.559999999998</v>
      </c>
    </row>
    <row r="100" spans="1:25">
      <c r="A100" t="s">
        <v>596</v>
      </c>
      <c r="B100" t="s">
        <v>597</v>
      </c>
      <c r="C100" s="6">
        <f>VLOOKUP($A100,'SpEd BEA Rate 2324'!$A$4:$AS$325,45,FALSE)</f>
        <v>9621.51</v>
      </c>
      <c r="D100" s="6">
        <f>VLOOKUP($A100,'2324 Jun 24 Enroll'!$A$4:$AL$325,22,FALSE)</f>
        <v>14.56</v>
      </c>
      <c r="E100" s="6">
        <f>VLOOKUP($A100,'2324 Jun 24 Enroll'!$A$4:$AL$325,23,FALSE)</f>
        <v>18.440000000000001</v>
      </c>
      <c r="F100" s="6">
        <f>VLOOKUP($A100,'2324 Jun 24 Enroll'!$A$4:$AL$325,24,FALSE)</f>
        <v>0</v>
      </c>
      <c r="G100" s="6">
        <f>VLOOKUP($A100,'2324 Jun 24 Enroll'!$A$4:$AL$325,25,FALSE)</f>
        <v>146.88999999999999</v>
      </c>
      <c r="H100" s="6">
        <f>VLOOKUP($A100,'2324 Jun 24 Enroll'!$A$4:$AL$325,26,FALSE)</f>
        <v>66.44</v>
      </c>
      <c r="I100" s="6">
        <f>VLOOKUP($A100,'2324 Jun 24 Enroll'!$A$4:$AL$325,27,FALSE)</f>
        <v>1465.63</v>
      </c>
      <c r="J100" s="54">
        <f t="shared" si="23"/>
        <v>0.15809999999999999</v>
      </c>
      <c r="K100" s="54">
        <f t="shared" si="24"/>
        <v>8.0999999999999961E-3</v>
      </c>
      <c r="L100" s="45">
        <f t="shared" si="28"/>
        <v>168107.02</v>
      </c>
      <c r="M100" s="68">
        <v>126.3</v>
      </c>
      <c r="N100" s="68">
        <v>20.9</v>
      </c>
      <c r="O100" s="45">
        <f t="shared" si="29"/>
        <v>198325.73</v>
      </c>
      <c r="P100" s="45">
        <f t="shared" si="30"/>
        <v>0</v>
      </c>
      <c r="Q100" s="45">
        <f t="shared" si="31"/>
        <v>1579830.04</v>
      </c>
      <c r="R100" s="45">
        <f t="shared" si="32"/>
        <v>676219.72</v>
      </c>
      <c r="S100" s="45">
        <f t="shared" si="33"/>
        <v>-125745.99</v>
      </c>
      <c r="T100" s="6">
        <f>VLOOKUP($A100,'2324 Jun 24 Enroll'!$A$4:$AL$325,31,FALSE)</f>
        <v>234.77</v>
      </c>
      <c r="U100" s="45">
        <f t="shared" si="25"/>
        <v>2258841.9</v>
      </c>
      <c r="V100" s="35">
        <v>0.1234</v>
      </c>
      <c r="W100" s="45">
        <f t="shared" si="26"/>
        <v>2010719.16</v>
      </c>
      <c r="X100" s="35">
        <v>0.23699999999999999</v>
      </c>
      <c r="Y100" s="45">
        <f t="shared" si="27"/>
        <v>476540.44</v>
      </c>
    </row>
    <row r="101" spans="1:25">
      <c r="A101" t="s">
        <v>446</v>
      </c>
      <c r="B101" t="s">
        <v>447</v>
      </c>
      <c r="C101" s="6">
        <f>VLOOKUP($A101,'SpEd BEA Rate 2324'!$A$4:$AS$325,45,FALSE)</f>
        <v>9534.14</v>
      </c>
      <c r="D101" s="6">
        <f>VLOOKUP($A101,'2324 Jun 24 Enroll'!$A$4:$AL$325,22,FALSE)</f>
        <v>19.89</v>
      </c>
      <c r="E101" s="6">
        <f>VLOOKUP($A101,'2324 Jun 24 Enroll'!$A$4:$AL$325,23,FALSE)</f>
        <v>0.89</v>
      </c>
      <c r="F101" s="6">
        <f>VLOOKUP($A101,'2324 Jun 24 Enroll'!$A$4:$AL$325,24,FALSE)</f>
        <v>0</v>
      </c>
      <c r="G101" s="6">
        <f>VLOOKUP($A101,'2324 Jun 24 Enroll'!$A$4:$AL$325,25,FALSE)</f>
        <v>135.88999999999999</v>
      </c>
      <c r="H101" s="6">
        <f>VLOOKUP($A101,'2324 Jun 24 Enroll'!$A$4:$AL$325,26,FALSE)</f>
        <v>105.67</v>
      </c>
      <c r="I101" s="6">
        <f>VLOOKUP($A101,'2324 Jun 24 Enroll'!$A$4:$AL$325,27,FALSE)</f>
        <v>1684.47</v>
      </c>
      <c r="J101" s="54">
        <f t="shared" si="23"/>
        <v>0.1439</v>
      </c>
      <c r="K101" s="54">
        <f t="shared" si="24"/>
        <v>0</v>
      </c>
      <c r="L101" s="45">
        <f t="shared" si="28"/>
        <v>227560.85</v>
      </c>
      <c r="M101" s="68">
        <v>120.37</v>
      </c>
      <c r="N101" s="68">
        <v>19.920000000000002</v>
      </c>
      <c r="O101" s="45">
        <f t="shared" si="29"/>
        <v>9485.9</v>
      </c>
      <c r="P101" s="45">
        <f t="shared" si="30"/>
        <v>0</v>
      </c>
      <c r="Q101" s="45">
        <f t="shared" si="31"/>
        <v>1448358.67</v>
      </c>
      <c r="R101" s="45">
        <f t="shared" si="32"/>
        <v>1065815.98</v>
      </c>
      <c r="S101" s="45">
        <f t="shared" si="33"/>
        <v>0</v>
      </c>
      <c r="T101" s="6">
        <f>VLOOKUP($A101,'2324 Jun 24 Enroll'!$A$4:$AL$325,31,FALSE)</f>
        <v>242.34</v>
      </c>
      <c r="U101" s="45">
        <f t="shared" si="25"/>
        <v>2310503.4900000002</v>
      </c>
      <c r="V101" s="35">
        <v>0.1366</v>
      </c>
      <c r="W101" s="45">
        <f t="shared" si="26"/>
        <v>2032820.24</v>
      </c>
      <c r="X101" s="35">
        <v>0.27629999999999999</v>
      </c>
      <c r="Y101" s="45">
        <f t="shared" si="27"/>
        <v>561668.23</v>
      </c>
    </row>
    <row r="102" spans="1:25">
      <c r="A102" t="s">
        <v>811</v>
      </c>
      <c r="B102" t="s">
        <v>812</v>
      </c>
      <c r="C102" s="6">
        <f>VLOOKUP($A102,'SpEd BEA Rate 2324'!$A$4:$AS$325,45,FALSE)</f>
        <v>9427</v>
      </c>
      <c r="D102" s="6">
        <f>VLOOKUP($A102,'2324 Jun 24 Enroll'!$A$4:$AL$325,22,FALSE)</f>
        <v>1.1100000000000001</v>
      </c>
      <c r="E102" s="6">
        <f>VLOOKUP($A102,'2324 Jun 24 Enroll'!$A$4:$AL$325,23,FALSE)</f>
        <v>0</v>
      </c>
      <c r="F102" s="6">
        <f>VLOOKUP($A102,'2324 Jun 24 Enroll'!$A$4:$AL$325,24,FALSE)</f>
        <v>0</v>
      </c>
      <c r="G102" s="6">
        <f>VLOOKUP($A102,'2324 Jun 24 Enroll'!$A$4:$AL$325,25,FALSE)</f>
        <v>36.11</v>
      </c>
      <c r="H102" s="6">
        <f>VLOOKUP($A102,'2324 Jun 24 Enroll'!$A$4:$AL$325,26,FALSE)</f>
        <v>1</v>
      </c>
      <c r="I102" s="6">
        <f>VLOOKUP($A102,'2324 Jun 24 Enroll'!$A$4:$AL$325,27,FALSE)</f>
        <v>184.49</v>
      </c>
      <c r="J102" s="54">
        <f t="shared" si="23"/>
        <v>0.2011</v>
      </c>
      <c r="K102" s="54">
        <f t="shared" si="24"/>
        <v>5.1100000000000007E-2</v>
      </c>
      <c r="L102" s="45">
        <f t="shared" si="28"/>
        <v>12556.76</v>
      </c>
      <c r="M102" s="68">
        <v>134.25</v>
      </c>
      <c r="N102" s="68">
        <v>22.22</v>
      </c>
      <c r="O102" s="45">
        <f t="shared" si="29"/>
        <v>0</v>
      </c>
      <c r="P102" s="45">
        <f t="shared" si="30"/>
        <v>0</v>
      </c>
      <c r="Q102" s="45">
        <f t="shared" si="31"/>
        <v>380455.67999999999</v>
      </c>
      <c r="R102" s="45">
        <f t="shared" si="32"/>
        <v>9970.4</v>
      </c>
      <c r="S102" s="45">
        <f t="shared" si="33"/>
        <v>-99208.22</v>
      </c>
      <c r="T102" s="6">
        <f>VLOOKUP($A102,'2324 Jun 24 Enroll'!$A$4:$AL$325,31,FALSE)</f>
        <v>37.11</v>
      </c>
      <c r="U102" s="45">
        <f t="shared" si="25"/>
        <v>349835.97</v>
      </c>
      <c r="V102" s="35">
        <v>0.46100000000000002</v>
      </c>
      <c r="W102" s="45">
        <f t="shared" si="26"/>
        <v>239449.67</v>
      </c>
      <c r="X102" s="35">
        <v>0.1089</v>
      </c>
      <c r="Y102" s="45">
        <f t="shared" si="27"/>
        <v>26076.07</v>
      </c>
    </row>
    <row r="103" spans="1:25">
      <c r="A103" t="s">
        <v>406</v>
      </c>
      <c r="B103" t="s">
        <v>407</v>
      </c>
      <c r="C103" s="6">
        <f>VLOOKUP($A103,'SpEd BEA Rate 2324'!$A$4:$AS$325,45,FALSE)</f>
        <v>9356.4699999999993</v>
      </c>
      <c r="D103" s="6">
        <f>VLOOKUP($A103,'2324 Jun 24 Enroll'!$A$4:$AL$325,22,FALSE)</f>
        <v>0</v>
      </c>
      <c r="E103" s="6">
        <f>VLOOKUP($A103,'2324 Jun 24 Enroll'!$A$4:$AL$325,23,FALSE)</f>
        <v>3.33</v>
      </c>
      <c r="F103" s="6">
        <f>VLOOKUP($A103,'2324 Jun 24 Enroll'!$A$4:$AL$325,24,FALSE)</f>
        <v>0.22</v>
      </c>
      <c r="G103" s="6">
        <f>VLOOKUP($A103,'2324 Jun 24 Enroll'!$A$4:$AL$325,25,FALSE)</f>
        <v>11.78</v>
      </c>
      <c r="H103" s="6">
        <f>VLOOKUP($A103,'2324 Jun 24 Enroll'!$A$4:$AL$325,26,FALSE)</f>
        <v>6</v>
      </c>
      <c r="I103" s="6">
        <f>VLOOKUP($A103,'2324 Jun 24 Enroll'!$A$4:$AL$325,27,FALSE)</f>
        <v>181.48</v>
      </c>
      <c r="J103" s="54">
        <f t="shared" si="23"/>
        <v>0.11749999999999999</v>
      </c>
      <c r="K103" s="54">
        <f t="shared" si="24"/>
        <v>0</v>
      </c>
      <c r="L103" s="45">
        <f t="shared" si="28"/>
        <v>0</v>
      </c>
      <c r="M103" s="68">
        <v>127.13</v>
      </c>
      <c r="N103" s="68">
        <v>21.04</v>
      </c>
      <c r="O103" s="45">
        <f t="shared" si="29"/>
        <v>34825.83</v>
      </c>
      <c r="P103" s="45">
        <f t="shared" si="30"/>
        <v>2177.3000000000002</v>
      </c>
      <c r="Q103" s="45">
        <f t="shared" si="31"/>
        <v>123197.67</v>
      </c>
      <c r="R103" s="45">
        <f t="shared" si="32"/>
        <v>59380.91</v>
      </c>
      <c r="S103" s="45">
        <f t="shared" si="33"/>
        <v>0</v>
      </c>
      <c r="T103" s="6">
        <f>VLOOKUP($A103,'2324 Jun 24 Enroll'!$A$4:$AL$325,31,FALSE)</f>
        <v>21.33</v>
      </c>
      <c r="U103" s="45">
        <f t="shared" si="25"/>
        <v>199573.51</v>
      </c>
      <c r="V103" s="35">
        <v>0.27679999999999999</v>
      </c>
      <c r="W103" s="45">
        <f t="shared" si="26"/>
        <v>156307.57</v>
      </c>
      <c r="X103" s="35">
        <v>0.3</v>
      </c>
      <c r="Y103" s="45">
        <f t="shared" si="27"/>
        <v>46892.27</v>
      </c>
    </row>
    <row r="104" spans="1:25">
      <c r="A104" t="s">
        <v>745</v>
      </c>
      <c r="B104" t="s">
        <v>746</v>
      </c>
      <c r="C104" s="6">
        <f>VLOOKUP($A104,'SpEd BEA Rate 2324'!$A$4:$AS$325,45,FALSE)</f>
        <v>9356.4699999999993</v>
      </c>
      <c r="D104" s="6">
        <f>VLOOKUP($A104,'2324 Jun 24 Enroll'!$A$4:$AL$325,22,FALSE)</f>
        <v>3.22</v>
      </c>
      <c r="E104" s="6">
        <f>VLOOKUP($A104,'2324 Jun 24 Enroll'!$A$4:$AL$325,23,FALSE)</f>
        <v>0</v>
      </c>
      <c r="F104" s="6">
        <f>VLOOKUP($A104,'2324 Jun 24 Enroll'!$A$4:$AL$325,24,FALSE)</f>
        <v>0</v>
      </c>
      <c r="G104" s="6">
        <f>VLOOKUP($A104,'2324 Jun 24 Enroll'!$A$4:$AL$325,25,FALSE)</f>
        <v>10</v>
      </c>
      <c r="H104" s="6">
        <f>VLOOKUP($A104,'2324 Jun 24 Enroll'!$A$4:$AL$325,26,FALSE)</f>
        <v>0</v>
      </c>
      <c r="I104" s="6">
        <f>VLOOKUP($A104,'2324 Jun 24 Enroll'!$A$4:$AL$325,27,FALSE)</f>
        <v>58.1</v>
      </c>
      <c r="J104" s="54">
        <f t="shared" si="23"/>
        <v>0.1721</v>
      </c>
      <c r="K104" s="54">
        <f t="shared" si="24"/>
        <v>2.2100000000000009E-2</v>
      </c>
      <c r="L104" s="45">
        <f t="shared" si="28"/>
        <v>36153.4</v>
      </c>
      <c r="M104" s="68">
        <v>117.56</v>
      </c>
      <c r="N104" s="68">
        <v>19.46</v>
      </c>
      <c r="O104" s="45">
        <f t="shared" si="29"/>
        <v>0</v>
      </c>
      <c r="P104" s="45">
        <f t="shared" si="30"/>
        <v>0</v>
      </c>
      <c r="Q104" s="45">
        <f t="shared" si="31"/>
        <v>104597.86</v>
      </c>
      <c r="R104" s="45">
        <f t="shared" si="32"/>
        <v>0</v>
      </c>
      <c r="S104" s="45">
        <f t="shared" si="33"/>
        <v>-13431.8</v>
      </c>
      <c r="T104" s="6">
        <f>VLOOKUP($A104,'2324 Jun 24 Enroll'!$A$4:$AL$325,31,FALSE)</f>
        <v>10</v>
      </c>
      <c r="U104" s="45">
        <f t="shared" si="25"/>
        <v>93564.7</v>
      </c>
      <c r="V104" s="35">
        <v>0.4022</v>
      </c>
      <c r="W104" s="45">
        <f t="shared" si="26"/>
        <v>66727.070000000007</v>
      </c>
      <c r="X104" s="35">
        <v>8.5599999999999996E-2</v>
      </c>
      <c r="Y104" s="45">
        <f t="shared" si="27"/>
        <v>5711.84</v>
      </c>
    </row>
    <row r="105" spans="1:25">
      <c r="A105" t="s">
        <v>885</v>
      </c>
      <c r="B105" t="s">
        <v>886</v>
      </c>
      <c r="C105" s="6">
        <f>VLOOKUP($A105,'SpEd BEA Rate 2324'!$A$4:$AS$325,45,FALSE)</f>
        <v>9409.48</v>
      </c>
      <c r="D105" s="6">
        <f>VLOOKUP($A105,'2324 Jun 24 Enroll'!$A$4:$AL$325,22,FALSE)</f>
        <v>0</v>
      </c>
      <c r="E105" s="6">
        <f>VLOOKUP($A105,'2324 Jun 24 Enroll'!$A$4:$AL$325,23,FALSE)</f>
        <v>0.67</v>
      </c>
      <c r="F105" s="6">
        <f>VLOOKUP($A105,'2324 Jun 24 Enroll'!$A$4:$AL$325,24,FALSE)</f>
        <v>0</v>
      </c>
      <c r="G105" s="6">
        <f>VLOOKUP($A105,'2324 Jun 24 Enroll'!$A$4:$AL$325,25,FALSE)</f>
        <v>19.11</v>
      </c>
      <c r="H105" s="6">
        <f>VLOOKUP($A105,'2324 Jun 24 Enroll'!$A$4:$AL$325,26,FALSE)</f>
        <v>2.89</v>
      </c>
      <c r="I105" s="6">
        <f>VLOOKUP($A105,'2324 Jun 24 Enroll'!$A$4:$AL$325,27,FALSE)</f>
        <v>178.66</v>
      </c>
      <c r="J105" s="54">
        <f t="shared" si="23"/>
        <v>0.12690000000000001</v>
      </c>
      <c r="K105" s="54">
        <f t="shared" si="24"/>
        <v>0</v>
      </c>
      <c r="L105" s="45">
        <f t="shared" si="28"/>
        <v>0</v>
      </c>
      <c r="M105" s="68">
        <v>127.2</v>
      </c>
      <c r="N105" s="68">
        <v>21.05</v>
      </c>
      <c r="O105" s="45">
        <f t="shared" si="29"/>
        <v>7046.77</v>
      </c>
      <c r="P105" s="45">
        <f t="shared" si="30"/>
        <v>0</v>
      </c>
      <c r="Q105" s="45">
        <f t="shared" si="31"/>
        <v>200990.72</v>
      </c>
      <c r="R105" s="45">
        <f t="shared" si="32"/>
        <v>28764.17</v>
      </c>
      <c r="S105" s="45">
        <f t="shared" si="33"/>
        <v>0</v>
      </c>
      <c r="T105" s="6">
        <f>VLOOKUP($A105,'2324 Jun 24 Enroll'!$A$4:$AL$325,31,FALSE)</f>
        <v>22.67</v>
      </c>
      <c r="U105" s="45">
        <f t="shared" si="25"/>
        <v>213312.91</v>
      </c>
      <c r="V105" s="35">
        <v>0.31309999999999999</v>
      </c>
      <c r="W105" s="45">
        <f t="shared" si="26"/>
        <v>162449.85999999999</v>
      </c>
      <c r="X105" s="35">
        <v>0.1895</v>
      </c>
      <c r="Y105" s="45">
        <f t="shared" si="27"/>
        <v>30784.25</v>
      </c>
    </row>
    <row r="106" spans="1:25">
      <c r="A106" t="s">
        <v>651</v>
      </c>
      <c r="B106" t="s">
        <v>652</v>
      </c>
      <c r="C106" s="6">
        <f>VLOOKUP($A106,'SpEd BEA Rate 2324'!$A$4:$AS$325,45,FALSE)</f>
        <v>9418.84</v>
      </c>
      <c r="D106" s="6">
        <f>VLOOKUP($A106,'2324 Jun 24 Enroll'!$A$4:$AL$325,22,FALSE)</f>
        <v>4.4400000000000004</v>
      </c>
      <c r="E106" s="6">
        <f>VLOOKUP($A106,'2324 Jun 24 Enroll'!$A$4:$AL$325,23,FALSE)</f>
        <v>0</v>
      </c>
      <c r="F106" s="6">
        <f>VLOOKUP($A106,'2324 Jun 24 Enroll'!$A$4:$AL$325,24,FALSE)</f>
        <v>0</v>
      </c>
      <c r="G106" s="6">
        <f>VLOOKUP($A106,'2324 Jun 24 Enroll'!$A$4:$AL$325,25,FALSE)</f>
        <v>52.44</v>
      </c>
      <c r="H106" s="6">
        <f>VLOOKUP($A106,'2324 Jun 24 Enroll'!$A$4:$AL$325,26,FALSE)</f>
        <v>12.89</v>
      </c>
      <c r="I106" s="6">
        <f>VLOOKUP($A106,'2324 Jun 24 Enroll'!$A$4:$AL$325,27,FALSE)</f>
        <v>583.76</v>
      </c>
      <c r="J106" s="54">
        <f t="shared" si="23"/>
        <v>0.1119</v>
      </c>
      <c r="K106" s="54">
        <f t="shared" si="24"/>
        <v>0</v>
      </c>
      <c r="L106" s="45">
        <f t="shared" si="28"/>
        <v>50183.58</v>
      </c>
      <c r="M106" s="68">
        <v>131.19</v>
      </c>
      <c r="N106" s="68">
        <v>21.71</v>
      </c>
      <c r="O106" s="45">
        <f t="shared" si="29"/>
        <v>0</v>
      </c>
      <c r="P106" s="45">
        <f t="shared" si="30"/>
        <v>0</v>
      </c>
      <c r="Q106" s="45">
        <f t="shared" si="31"/>
        <v>552056.37</v>
      </c>
      <c r="R106" s="45">
        <f t="shared" si="32"/>
        <v>128413.54</v>
      </c>
      <c r="S106" s="45">
        <f t="shared" si="33"/>
        <v>0</v>
      </c>
      <c r="T106" s="6">
        <f>VLOOKUP($A106,'2324 Jun 24 Enroll'!$A$4:$AL$325,31,FALSE)</f>
        <v>65.33</v>
      </c>
      <c r="U106" s="45">
        <f t="shared" si="25"/>
        <v>615332.81999999995</v>
      </c>
      <c r="V106" s="35">
        <v>0.20619999999999999</v>
      </c>
      <c r="W106" s="45">
        <f t="shared" si="26"/>
        <v>510141.62</v>
      </c>
      <c r="X106" s="35">
        <v>0.13969999999999999</v>
      </c>
      <c r="Y106" s="45">
        <f t="shared" si="27"/>
        <v>71266.78</v>
      </c>
    </row>
    <row r="107" spans="1:25">
      <c r="A107" t="s">
        <v>647</v>
      </c>
      <c r="B107" t="s">
        <v>648</v>
      </c>
      <c r="C107" s="6">
        <f>VLOOKUP($A107,'SpEd BEA Rate 2324'!$A$4:$AS$325,45,FALSE)</f>
        <v>9416.86</v>
      </c>
      <c r="D107" s="6">
        <f>VLOOKUP($A107,'2324 Jun 24 Enroll'!$A$4:$AL$325,22,FALSE)</f>
        <v>6.89</v>
      </c>
      <c r="E107" s="6">
        <f>VLOOKUP($A107,'2324 Jun 24 Enroll'!$A$4:$AL$325,23,FALSE)</f>
        <v>0</v>
      </c>
      <c r="F107" s="6">
        <f>VLOOKUP($A107,'2324 Jun 24 Enroll'!$A$4:$AL$325,24,FALSE)</f>
        <v>0</v>
      </c>
      <c r="G107" s="6">
        <f>VLOOKUP($A107,'2324 Jun 24 Enroll'!$A$4:$AL$325,25,FALSE)</f>
        <v>44.44</v>
      </c>
      <c r="H107" s="6">
        <f>VLOOKUP($A107,'2324 Jun 24 Enroll'!$A$4:$AL$325,26,FALSE)</f>
        <v>16.559999999999999</v>
      </c>
      <c r="I107" s="6">
        <f>VLOOKUP($A107,'2324 Jun 24 Enroll'!$A$4:$AL$325,27,FALSE)</f>
        <v>320.02</v>
      </c>
      <c r="J107" s="54">
        <f t="shared" si="23"/>
        <v>0.19059999999999999</v>
      </c>
      <c r="K107" s="54">
        <f t="shared" si="24"/>
        <v>4.0599999999999997E-2</v>
      </c>
      <c r="L107" s="45">
        <f t="shared" si="28"/>
        <v>77858.600000000006</v>
      </c>
      <c r="M107" s="68">
        <v>129.78</v>
      </c>
      <c r="N107" s="68">
        <v>21.48</v>
      </c>
      <c r="O107" s="45">
        <f t="shared" si="29"/>
        <v>0</v>
      </c>
      <c r="P107" s="45">
        <f t="shared" si="30"/>
        <v>0</v>
      </c>
      <c r="Q107" s="45">
        <f t="shared" si="31"/>
        <v>467748.92</v>
      </c>
      <c r="R107" s="45">
        <f t="shared" si="32"/>
        <v>164944.07999999999</v>
      </c>
      <c r="S107" s="45">
        <f t="shared" si="33"/>
        <v>-134770.91</v>
      </c>
      <c r="T107" s="6">
        <f>VLOOKUP($A107,'2324 Jun 24 Enroll'!$A$4:$AL$325,31,FALSE)</f>
        <v>61.12</v>
      </c>
      <c r="U107" s="45">
        <f t="shared" si="25"/>
        <v>575558.48</v>
      </c>
      <c r="V107" s="35">
        <v>0.2802</v>
      </c>
      <c r="W107" s="45">
        <f t="shared" si="26"/>
        <v>449584.81</v>
      </c>
      <c r="X107" s="35">
        <v>0.15310000000000001</v>
      </c>
      <c r="Y107" s="45">
        <f t="shared" si="27"/>
        <v>68831.429999999993</v>
      </c>
    </row>
    <row r="108" spans="1:25">
      <c r="A108" t="s">
        <v>643</v>
      </c>
      <c r="B108" t="s">
        <v>644</v>
      </c>
      <c r="C108" s="6">
        <f>VLOOKUP($A108,'SpEd BEA Rate 2324'!$A$4:$AS$325,45,FALSE)</f>
        <v>10231.449999999999</v>
      </c>
      <c r="D108" s="6">
        <f>VLOOKUP($A108,'2324 Jun 24 Enroll'!$A$4:$AL$325,22,FALSE)</f>
        <v>166.33</v>
      </c>
      <c r="E108" s="6">
        <f>VLOOKUP($A108,'2324 Jun 24 Enroll'!$A$4:$AL$325,23,FALSE)</f>
        <v>1.44</v>
      </c>
      <c r="F108" s="6">
        <f>VLOOKUP($A108,'2324 Jun 24 Enroll'!$A$4:$AL$325,24,FALSE)</f>
        <v>0.33</v>
      </c>
      <c r="G108" s="6">
        <f>VLOOKUP($A108,'2324 Jun 24 Enroll'!$A$4:$AL$325,25,FALSE)</f>
        <v>643.44000000000005</v>
      </c>
      <c r="H108" s="6">
        <f>VLOOKUP($A108,'2324 Jun 24 Enroll'!$A$4:$AL$325,26,FALSE)</f>
        <v>432.22</v>
      </c>
      <c r="I108" s="6">
        <f>VLOOKUP($A108,'2324 Jun 24 Enroll'!$A$4:$AL$325,27,FALSE)</f>
        <v>5595.98</v>
      </c>
      <c r="J108" s="54">
        <f t="shared" si="23"/>
        <v>0.1925</v>
      </c>
      <c r="K108" s="54">
        <f t="shared" si="24"/>
        <v>4.250000000000001E-2</v>
      </c>
      <c r="L108" s="45">
        <f t="shared" si="28"/>
        <v>2042156.49</v>
      </c>
      <c r="M108" s="68">
        <v>132.66999999999999</v>
      </c>
      <c r="N108" s="68">
        <v>21.96</v>
      </c>
      <c r="O108" s="45">
        <f t="shared" si="29"/>
        <v>16469.66</v>
      </c>
      <c r="P108" s="45">
        <f t="shared" si="30"/>
        <v>3571.71</v>
      </c>
      <c r="Q108" s="45">
        <f t="shared" si="31"/>
        <v>7359193.1500000004</v>
      </c>
      <c r="R108" s="45">
        <f t="shared" si="32"/>
        <v>4678080.01</v>
      </c>
      <c r="S108" s="45">
        <f t="shared" si="33"/>
        <v>-2662004.5099999998</v>
      </c>
      <c r="T108" s="6">
        <f>VLOOKUP($A108,'2324 Jun 24 Enroll'!$A$4:$AL$325,31,FALSE)</f>
        <v>1077.6500000000001</v>
      </c>
      <c r="U108" s="45">
        <f t="shared" si="25"/>
        <v>11025922.09</v>
      </c>
      <c r="V108" s="35">
        <v>0.1089</v>
      </c>
      <c r="W108" s="45">
        <f t="shared" si="26"/>
        <v>9943116.6799999997</v>
      </c>
      <c r="X108" s="35">
        <v>0.28939999999999999</v>
      </c>
      <c r="Y108" s="45">
        <f t="shared" si="27"/>
        <v>2877537.97</v>
      </c>
    </row>
    <row r="109" spans="1:25">
      <c r="A109" t="s">
        <v>410</v>
      </c>
      <c r="B109" t="s">
        <v>411</v>
      </c>
      <c r="C109" s="6">
        <f>VLOOKUP($A109,'SpEd BEA Rate 2324'!$A$4:$AS$325,45,FALSE)</f>
        <v>10323.52</v>
      </c>
      <c r="D109" s="6">
        <f>VLOOKUP($A109,'2324 Jun 24 Enroll'!$A$4:$AL$325,22,FALSE)</f>
        <v>13.44</v>
      </c>
      <c r="E109" s="6">
        <f>VLOOKUP($A109,'2324 Jun 24 Enroll'!$A$4:$AL$325,23,FALSE)</f>
        <v>0</v>
      </c>
      <c r="F109" s="6">
        <f>VLOOKUP($A109,'2324 Jun 24 Enroll'!$A$4:$AL$325,24,FALSE)</f>
        <v>0</v>
      </c>
      <c r="G109" s="6">
        <f>VLOOKUP($A109,'2324 Jun 24 Enroll'!$A$4:$AL$325,25,FALSE)</f>
        <v>112.89</v>
      </c>
      <c r="H109" s="6">
        <f>VLOOKUP($A109,'2324 Jun 24 Enroll'!$A$4:$AL$325,26,FALSE)</f>
        <v>56.56</v>
      </c>
      <c r="I109" s="6">
        <f>VLOOKUP($A109,'2324 Jun 24 Enroll'!$A$4:$AL$325,27,FALSE)</f>
        <v>1006.61</v>
      </c>
      <c r="J109" s="54">
        <f t="shared" si="23"/>
        <v>0.16830000000000001</v>
      </c>
      <c r="K109" s="54">
        <f t="shared" si="24"/>
        <v>1.8300000000000011E-2</v>
      </c>
      <c r="L109" s="45">
        <f t="shared" si="28"/>
        <v>166497.73000000001</v>
      </c>
      <c r="M109" s="68">
        <v>125.5</v>
      </c>
      <c r="N109" s="68">
        <v>20.77</v>
      </c>
      <c r="O109" s="45">
        <f t="shared" si="29"/>
        <v>0</v>
      </c>
      <c r="P109" s="45">
        <f t="shared" si="30"/>
        <v>0</v>
      </c>
      <c r="Q109" s="45">
        <f t="shared" si="31"/>
        <v>1302928.1100000001</v>
      </c>
      <c r="R109" s="45">
        <f t="shared" si="32"/>
        <v>617757.43999999994</v>
      </c>
      <c r="S109" s="45">
        <f t="shared" si="33"/>
        <v>-208844.6</v>
      </c>
      <c r="T109" s="6">
        <f>VLOOKUP($A109,'2324 Jun 24 Enroll'!$A$4:$AL$325,31,FALSE)</f>
        <v>169.22</v>
      </c>
      <c r="U109" s="45">
        <f t="shared" si="25"/>
        <v>1746946.05</v>
      </c>
      <c r="V109" s="35">
        <v>0.23669999999999999</v>
      </c>
      <c r="W109" s="45">
        <f t="shared" si="26"/>
        <v>1412586.76</v>
      </c>
      <c r="X109" s="35">
        <v>0.22620000000000001</v>
      </c>
      <c r="Y109" s="45">
        <f t="shared" si="27"/>
        <v>319527.13</v>
      </c>
    </row>
    <row r="110" spans="1:25">
      <c r="A110" t="s">
        <v>777</v>
      </c>
      <c r="B110" t="s">
        <v>778</v>
      </c>
      <c r="C110" s="6">
        <f>VLOOKUP($A110,'SpEd BEA Rate 2324'!$A$4:$AS$325,45,FALSE)</f>
        <v>10743.439999999999</v>
      </c>
      <c r="D110" s="6">
        <f>VLOOKUP($A110,'2324 Jun 24 Enroll'!$A$4:$AL$325,22,FALSE)</f>
        <v>9.44</v>
      </c>
      <c r="E110" s="6">
        <f>VLOOKUP($A110,'2324 Jun 24 Enroll'!$A$4:$AL$325,23,FALSE)</f>
        <v>2</v>
      </c>
      <c r="F110" s="6">
        <f>VLOOKUP($A110,'2324 Jun 24 Enroll'!$A$4:$AL$325,24,FALSE)</f>
        <v>1</v>
      </c>
      <c r="G110" s="6">
        <f>VLOOKUP($A110,'2324 Jun 24 Enroll'!$A$4:$AL$325,25,FALSE)</f>
        <v>113.22</v>
      </c>
      <c r="H110" s="6">
        <f>VLOOKUP($A110,'2324 Jun 24 Enroll'!$A$4:$AL$325,26,FALSE)</f>
        <v>64.89</v>
      </c>
      <c r="I110" s="6">
        <f>VLOOKUP($A110,'2324 Jun 24 Enroll'!$A$4:$AL$325,27,FALSE)</f>
        <v>1171.5999999999999</v>
      </c>
      <c r="J110" s="54">
        <f t="shared" si="23"/>
        <v>0.15459999999999999</v>
      </c>
      <c r="K110" s="54">
        <f t="shared" si="24"/>
        <v>4.599999999999993E-3</v>
      </c>
      <c r="L110" s="45">
        <f t="shared" si="28"/>
        <v>121701.69</v>
      </c>
      <c r="M110" s="68">
        <v>118.53</v>
      </c>
      <c r="N110" s="68">
        <v>19.62</v>
      </c>
      <c r="O110" s="45">
        <f t="shared" si="29"/>
        <v>24026.07</v>
      </c>
      <c r="P110" s="45">
        <f t="shared" si="30"/>
        <v>11368.43</v>
      </c>
      <c r="Q110" s="45">
        <f t="shared" si="31"/>
        <v>1360115.57</v>
      </c>
      <c r="R110" s="45">
        <f t="shared" si="32"/>
        <v>737697.19</v>
      </c>
      <c r="S110" s="45">
        <f t="shared" si="33"/>
        <v>-63471.88</v>
      </c>
      <c r="T110" s="6">
        <f>VLOOKUP($A110,'2324 Jun 24 Enroll'!$A$4:$AL$325,31,FALSE)</f>
        <v>181.11</v>
      </c>
      <c r="U110" s="45">
        <f t="shared" si="25"/>
        <v>1945744.42</v>
      </c>
      <c r="V110" s="35">
        <v>0.18290000000000001</v>
      </c>
      <c r="W110" s="45">
        <f t="shared" si="26"/>
        <v>1644893.41</v>
      </c>
      <c r="X110" s="35">
        <v>0.2266</v>
      </c>
      <c r="Y110" s="45">
        <f t="shared" si="27"/>
        <v>372732.85</v>
      </c>
    </row>
    <row r="111" spans="1:25">
      <c r="A111" t="s">
        <v>707</v>
      </c>
      <c r="B111" t="s">
        <v>708</v>
      </c>
      <c r="C111" s="6">
        <f>VLOOKUP($A111,'SpEd BEA Rate 2324'!$A$4:$AS$325,45,FALSE)</f>
        <v>9556.3000000000011</v>
      </c>
      <c r="D111" s="6">
        <f>VLOOKUP($A111,'2324 Jun 24 Enroll'!$A$4:$AL$325,22,FALSE)</f>
        <v>0.44</v>
      </c>
      <c r="E111" s="6">
        <f>VLOOKUP($A111,'2324 Jun 24 Enroll'!$A$4:$AL$325,23,FALSE)</f>
        <v>0</v>
      </c>
      <c r="F111" s="6">
        <f>VLOOKUP($A111,'2324 Jun 24 Enroll'!$A$4:$AL$325,24,FALSE)</f>
        <v>0</v>
      </c>
      <c r="G111" s="6">
        <f>VLOOKUP($A111,'2324 Jun 24 Enroll'!$A$4:$AL$325,25,FALSE)</f>
        <v>6.44</v>
      </c>
      <c r="H111" s="6">
        <f>VLOOKUP($A111,'2324 Jun 24 Enroll'!$A$4:$AL$325,26,FALSE)</f>
        <v>0</v>
      </c>
      <c r="I111" s="6">
        <f>VLOOKUP($A111,'2324 Jun 24 Enroll'!$A$4:$AL$325,27,FALSE)</f>
        <v>41.6</v>
      </c>
      <c r="J111" s="54">
        <f t="shared" si="23"/>
        <v>0.15479999999999999</v>
      </c>
      <c r="K111" s="54">
        <f t="shared" si="24"/>
        <v>4.7999999999999987E-3</v>
      </c>
      <c r="L111" s="45">
        <f t="shared" si="28"/>
        <v>5045.7299999999996</v>
      </c>
      <c r="M111" s="68">
        <v>121.15</v>
      </c>
      <c r="N111" s="68">
        <v>20.05</v>
      </c>
      <c r="O111" s="45">
        <f t="shared" si="29"/>
        <v>0</v>
      </c>
      <c r="P111" s="45">
        <f t="shared" si="30"/>
        <v>0</v>
      </c>
      <c r="Q111" s="45">
        <f t="shared" si="31"/>
        <v>68798.559999999998</v>
      </c>
      <c r="R111" s="45">
        <f t="shared" si="32"/>
        <v>0</v>
      </c>
      <c r="S111" s="45">
        <f t="shared" si="33"/>
        <v>-2133.29</v>
      </c>
      <c r="T111" s="6">
        <f>VLOOKUP($A111,'2324 Jun 24 Enroll'!$A$4:$AL$325,31,FALSE)</f>
        <v>6.44</v>
      </c>
      <c r="U111" s="45">
        <f t="shared" si="25"/>
        <v>61542.57</v>
      </c>
      <c r="V111" s="35">
        <v>0.51160000000000005</v>
      </c>
      <c r="W111" s="45">
        <f t="shared" si="26"/>
        <v>40713.53</v>
      </c>
      <c r="X111" s="35">
        <v>0.11</v>
      </c>
      <c r="Y111" s="45">
        <f t="shared" si="27"/>
        <v>4478.49</v>
      </c>
    </row>
    <row r="112" spans="1:25">
      <c r="A112" t="s">
        <v>353</v>
      </c>
      <c r="B112" t="s">
        <v>354</v>
      </c>
      <c r="C112" s="6">
        <f>VLOOKUP($A112,'SpEd BEA Rate 2324'!$A$4:$AS$325,45,FALSE)</f>
        <v>9358.92</v>
      </c>
      <c r="D112" s="6">
        <f>VLOOKUP($A112,'2324 Jun 24 Enroll'!$A$4:$AL$325,22,FALSE)</f>
        <v>2.78</v>
      </c>
      <c r="E112" s="6">
        <f>VLOOKUP($A112,'2324 Jun 24 Enroll'!$A$4:$AL$325,23,FALSE)</f>
        <v>0</v>
      </c>
      <c r="F112" s="6">
        <f>VLOOKUP($A112,'2324 Jun 24 Enroll'!$A$4:$AL$325,24,FALSE)</f>
        <v>0</v>
      </c>
      <c r="G112" s="6">
        <f>VLOOKUP($A112,'2324 Jun 24 Enroll'!$A$4:$AL$325,25,FALSE)</f>
        <v>7.33</v>
      </c>
      <c r="H112" s="6">
        <f>VLOOKUP($A112,'2324 Jun 24 Enroll'!$A$4:$AL$325,26,FALSE)</f>
        <v>1</v>
      </c>
      <c r="I112" s="6">
        <f>VLOOKUP($A112,'2324 Jun 24 Enroll'!$A$4:$AL$325,27,FALSE)</f>
        <v>73.45</v>
      </c>
      <c r="J112" s="54">
        <f t="shared" si="23"/>
        <v>0.1134</v>
      </c>
      <c r="K112" s="54">
        <f t="shared" si="24"/>
        <v>0</v>
      </c>
      <c r="L112" s="45">
        <f t="shared" si="28"/>
        <v>31221.360000000001</v>
      </c>
      <c r="M112" s="68">
        <v>151.81</v>
      </c>
      <c r="N112" s="68">
        <v>25.13</v>
      </c>
      <c r="O112" s="45">
        <f t="shared" si="29"/>
        <v>0</v>
      </c>
      <c r="P112" s="45">
        <f t="shared" si="30"/>
        <v>0</v>
      </c>
      <c r="Q112" s="45">
        <f t="shared" si="31"/>
        <v>76648.789999999994</v>
      </c>
      <c r="R112" s="45">
        <f t="shared" si="32"/>
        <v>9895.33</v>
      </c>
      <c r="S112" s="45">
        <f t="shared" si="33"/>
        <v>0</v>
      </c>
      <c r="T112" s="6">
        <f>VLOOKUP($A112,'2324 Jun 24 Enroll'!$A$4:$AL$325,31,FALSE)</f>
        <v>8.33</v>
      </c>
      <c r="U112" s="45">
        <f t="shared" si="25"/>
        <v>77959.8</v>
      </c>
      <c r="V112" s="35">
        <v>0.3846</v>
      </c>
      <c r="W112" s="45">
        <f t="shared" si="26"/>
        <v>56304.93</v>
      </c>
      <c r="X112" s="35">
        <v>0.08</v>
      </c>
      <c r="Y112" s="45">
        <f t="shared" si="27"/>
        <v>4504.3900000000003</v>
      </c>
    </row>
    <row r="113" spans="1:25">
      <c r="A113" t="s">
        <v>709</v>
      </c>
      <c r="B113" t="s">
        <v>710</v>
      </c>
      <c r="C113" s="6">
        <f>VLOOKUP($A113,'SpEd BEA Rate 2324'!$A$4:$AS$325,45,FALSE)</f>
        <v>9925.8499999999985</v>
      </c>
      <c r="D113" s="6">
        <f>VLOOKUP($A113,'2324 Jun 24 Enroll'!$A$4:$AL$325,22,FALSE)</f>
        <v>1.78</v>
      </c>
      <c r="E113" s="6">
        <f>VLOOKUP($A113,'2324 Jun 24 Enroll'!$A$4:$AL$325,23,FALSE)</f>
        <v>0</v>
      </c>
      <c r="F113" s="6">
        <f>VLOOKUP($A113,'2324 Jun 24 Enroll'!$A$4:$AL$325,24,FALSE)</f>
        <v>0</v>
      </c>
      <c r="G113" s="6">
        <f>VLOOKUP($A113,'2324 Jun 24 Enroll'!$A$4:$AL$325,25,FALSE)</f>
        <v>72.56</v>
      </c>
      <c r="H113" s="6">
        <f>VLOOKUP($A113,'2324 Jun 24 Enroll'!$A$4:$AL$325,26,FALSE)</f>
        <v>0</v>
      </c>
      <c r="I113" s="6">
        <f>VLOOKUP($A113,'2324 Jun 24 Enroll'!$A$4:$AL$325,27,FALSE)</f>
        <v>637.65</v>
      </c>
      <c r="J113" s="54">
        <f t="shared" si="23"/>
        <v>0.1138</v>
      </c>
      <c r="K113" s="54">
        <f t="shared" si="24"/>
        <v>0</v>
      </c>
      <c r="L113" s="45">
        <f t="shared" si="28"/>
        <v>21201.62</v>
      </c>
      <c r="M113" s="68">
        <v>122.31</v>
      </c>
      <c r="N113" s="68">
        <v>20.239999999999998</v>
      </c>
      <c r="O113" s="45">
        <f t="shared" si="29"/>
        <v>0</v>
      </c>
      <c r="P113" s="45">
        <f t="shared" si="30"/>
        <v>0</v>
      </c>
      <c r="Q113" s="45">
        <f t="shared" si="31"/>
        <v>805177.42</v>
      </c>
      <c r="R113" s="45">
        <f t="shared" si="32"/>
        <v>0</v>
      </c>
      <c r="S113" s="45">
        <f t="shared" si="33"/>
        <v>0</v>
      </c>
      <c r="T113" s="6">
        <f>VLOOKUP($A113,'2324 Jun 24 Enroll'!$A$4:$AL$325,31,FALSE)</f>
        <v>72.56</v>
      </c>
      <c r="U113" s="45">
        <f t="shared" si="25"/>
        <v>720219.68</v>
      </c>
      <c r="V113" s="35">
        <v>0.19700000000000001</v>
      </c>
      <c r="W113" s="45">
        <f t="shared" si="26"/>
        <v>601687.28</v>
      </c>
      <c r="X113" s="35">
        <v>0.14249999999999999</v>
      </c>
      <c r="Y113" s="45">
        <f t="shared" si="27"/>
        <v>85740.44</v>
      </c>
    </row>
    <row r="114" spans="1:25">
      <c r="A114" t="s">
        <v>382</v>
      </c>
      <c r="B114" t="s">
        <v>383</v>
      </c>
      <c r="C114" s="6">
        <f>VLOOKUP($A114,'SpEd BEA Rate 2324'!$A$4:$AS$325,45,FALSE)</f>
        <v>10222.149999999998</v>
      </c>
      <c r="D114" s="6">
        <f>VLOOKUP($A114,'2324 Jun 24 Enroll'!$A$4:$AL$325,22,FALSE)</f>
        <v>12.11</v>
      </c>
      <c r="E114" s="6">
        <f>VLOOKUP($A114,'2324 Jun 24 Enroll'!$A$4:$AL$325,23,FALSE)</f>
        <v>2.2200000000000002</v>
      </c>
      <c r="F114" s="6">
        <f>VLOOKUP($A114,'2324 Jun 24 Enroll'!$A$4:$AL$325,24,FALSE)</f>
        <v>0.44</v>
      </c>
      <c r="G114" s="6">
        <f>VLOOKUP($A114,'2324 Jun 24 Enroll'!$A$4:$AL$325,25,FALSE)</f>
        <v>76.78</v>
      </c>
      <c r="H114" s="6">
        <f>VLOOKUP($A114,'2324 Jun 24 Enroll'!$A$4:$AL$325,26,FALSE)</f>
        <v>32.33</v>
      </c>
      <c r="I114" s="6">
        <f>VLOOKUP($A114,'2324 Jun 24 Enroll'!$A$4:$AL$325,27,FALSE)</f>
        <v>697.45</v>
      </c>
      <c r="J114" s="54">
        <f t="shared" si="23"/>
        <v>0.1603</v>
      </c>
      <c r="K114" s="54">
        <f t="shared" si="24"/>
        <v>1.0300000000000004E-2</v>
      </c>
      <c r="L114" s="45">
        <f t="shared" si="28"/>
        <v>148548.28</v>
      </c>
      <c r="M114" s="68">
        <v>126.16</v>
      </c>
      <c r="N114" s="68">
        <v>20.88</v>
      </c>
      <c r="O114" s="45">
        <f t="shared" si="29"/>
        <v>25370</v>
      </c>
      <c r="P114" s="45">
        <f t="shared" si="30"/>
        <v>4758.42</v>
      </c>
      <c r="Q114" s="45">
        <f t="shared" si="31"/>
        <v>877436.31</v>
      </c>
      <c r="R114" s="45">
        <f t="shared" si="32"/>
        <v>349635.99</v>
      </c>
      <c r="S114" s="45">
        <f t="shared" si="33"/>
        <v>-80780.83</v>
      </c>
      <c r="T114" s="6">
        <f>VLOOKUP($A114,'2324 Jun 24 Enroll'!$A$4:$AL$325,31,FALSE)</f>
        <v>111.77</v>
      </c>
      <c r="U114" s="45">
        <f t="shared" si="25"/>
        <v>1142529.71</v>
      </c>
      <c r="V114" s="35">
        <v>0.22220000000000001</v>
      </c>
      <c r="W114" s="45">
        <f t="shared" si="26"/>
        <v>934814.03</v>
      </c>
      <c r="X114" s="35">
        <v>0.24529999999999999</v>
      </c>
      <c r="Y114" s="45">
        <f t="shared" si="27"/>
        <v>229309.88</v>
      </c>
    </row>
    <row r="115" spans="1:25">
      <c r="A115" t="s">
        <v>697</v>
      </c>
      <c r="B115" t="s">
        <v>698</v>
      </c>
      <c r="C115" s="6">
        <f>VLOOKUP($A115,'SpEd BEA Rate 2324'!$A$4:$AS$325,45,FALSE)</f>
        <v>10244.249999999998</v>
      </c>
      <c r="D115" s="6">
        <f>VLOOKUP($A115,'2324 Jun 24 Enroll'!$A$4:$AL$325,22,FALSE)</f>
        <v>9.44</v>
      </c>
      <c r="E115" s="6">
        <f>VLOOKUP($A115,'2324 Jun 24 Enroll'!$A$4:$AL$325,23,FALSE)</f>
        <v>4.5599999999999996</v>
      </c>
      <c r="F115" s="6">
        <f>VLOOKUP($A115,'2324 Jun 24 Enroll'!$A$4:$AL$325,24,FALSE)</f>
        <v>0</v>
      </c>
      <c r="G115" s="6">
        <f>VLOOKUP($A115,'2324 Jun 24 Enroll'!$A$4:$AL$325,25,FALSE)</f>
        <v>99</v>
      </c>
      <c r="H115" s="6">
        <f>VLOOKUP($A115,'2324 Jun 24 Enroll'!$A$4:$AL$325,26,FALSE)</f>
        <v>47.11</v>
      </c>
      <c r="I115" s="6">
        <f>VLOOKUP($A115,'2324 Jun 24 Enroll'!$A$4:$AL$325,27,FALSE)</f>
        <v>1190</v>
      </c>
      <c r="J115" s="54">
        <f t="shared" si="23"/>
        <v>0.12659999999999999</v>
      </c>
      <c r="K115" s="54">
        <f t="shared" si="24"/>
        <v>0</v>
      </c>
      <c r="L115" s="45">
        <f t="shared" si="28"/>
        <v>116046.86</v>
      </c>
      <c r="M115" s="68">
        <v>125.06</v>
      </c>
      <c r="N115" s="68">
        <v>20.7</v>
      </c>
      <c r="O115" s="45">
        <f t="shared" si="29"/>
        <v>52225.04</v>
      </c>
      <c r="P115" s="45">
        <f t="shared" si="30"/>
        <v>0</v>
      </c>
      <c r="Q115" s="45">
        <f t="shared" si="31"/>
        <v>1133833.1399999999</v>
      </c>
      <c r="R115" s="45">
        <f t="shared" si="32"/>
        <v>510587.84</v>
      </c>
      <c r="S115" s="45">
        <f t="shared" si="33"/>
        <v>0</v>
      </c>
      <c r="T115" s="6">
        <f>VLOOKUP($A115,'2324 Jun 24 Enroll'!$A$4:$AL$325,31,FALSE)</f>
        <v>150.66999999999999</v>
      </c>
      <c r="U115" s="45">
        <f t="shared" si="25"/>
        <v>1543501.15</v>
      </c>
      <c r="V115" s="35">
        <v>0.2006</v>
      </c>
      <c r="W115" s="45">
        <f t="shared" si="26"/>
        <v>1285608.1499999999</v>
      </c>
      <c r="X115" s="35">
        <v>0.1946</v>
      </c>
      <c r="Y115" s="45">
        <f t="shared" si="27"/>
        <v>250179.35</v>
      </c>
    </row>
    <row r="116" spans="1:25">
      <c r="A116" t="s">
        <v>747</v>
      </c>
      <c r="B116" s="40" t="s">
        <v>748</v>
      </c>
      <c r="C116" s="6">
        <f>VLOOKUP($A116,'SpEd BEA Rate 2324'!$A$4:$AS$325,45,FALSE)</f>
        <v>10628.609999999999</v>
      </c>
      <c r="D116" s="6">
        <f>VLOOKUP($A116,'2324 Jun 24 Enroll'!$A$4:$AL$325,22,FALSE)</f>
        <v>604.89</v>
      </c>
      <c r="E116" s="6">
        <f>VLOOKUP($A116,'2324 Jun 24 Enroll'!$A$4:$AL$325,23,FALSE)</f>
        <v>0</v>
      </c>
      <c r="F116" s="6">
        <f>VLOOKUP($A116,'2324 Jun 24 Enroll'!$A$4:$AL$325,24,FALSE)</f>
        <v>0</v>
      </c>
      <c r="G116" s="6">
        <f>VLOOKUP($A116,'2324 Jun 24 Enroll'!$A$4:$AL$325,25,FALSE)</f>
        <v>5552.22</v>
      </c>
      <c r="H116" s="6">
        <f>VLOOKUP($A116,'2324 Jun 24 Enroll'!$A$4:$AL$325,26,FALSE)</f>
        <v>2050.33</v>
      </c>
      <c r="I116" s="6">
        <f>VLOOKUP($A116,'2324 Jun 24 Enroll'!$A$4:$AL$325,27,FALSE)</f>
        <v>49792.1</v>
      </c>
      <c r="J116" s="54">
        <f t="shared" si="23"/>
        <v>0.1527</v>
      </c>
      <c r="K116" s="54">
        <f t="shared" si="24"/>
        <v>2.7000000000000079E-3</v>
      </c>
      <c r="L116" s="45">
        <f t="shared" si="28"/>
        <v>7714967.8799999999</v>
      </c>
      <c r="M116" s="68">
        <v>134.88</v>
      </c>
      <c r="N116" s="68">
        <v>22.32</v>
      </c>
      <c r="O116" s="45">
        <f t="shared" si="29"/>
        <v>0</v>
      </c>
      <c r="P116" s="45">
        <f t="shared" si="30"/>
        <v>0</v>
      </c>
      <c r="Q116" s="45">
        <f t="shared" si="31"/>
        <v>65969941.189999998</v>
      </c>
      <c r="R116" s="45">
        <f t="shared" si="32"/>
        <v>23053924.050000001</v>
      </c>
      <c r="S116" s="45">
        <f t="shared" si="33"/>
        <v>-1574095.85</v>
      </c>
      <c r="T116" s="6">
        <f>VLOOKUP($A116,'2324 Jun 24 Enroll'!$A$4:$AL$325,31,FALSE)</f>
        <v>7601.11</v>
      </c>
      <c r="U116" s="45">
        <f t="shared" si="25"/>
        <v>80789233.760000005</v>
      </c>
      <c r="V116" s="35">
        <v>0.1487</v>
      </c>
      <c r="W116" s="45">
        <f t="shared" si="26"/>
        <v>70331012.239999995</v>
      </c>
      <c r="X116" s="35">
        <v>0.23180000000000001</v>
      </c>
      <c r="Y116" s="45">
        <f t="shared" si="27"/>
        <v>16302728.640000001</v>
      </c>
    </row>
    <row r="117" spans="1:25">
      <c r="A117" t="s">
        <v>464</v>
      </c>
      <c r="B117" t="s">
        <v>465</v>
      </c>
      <c r="C117" s="6">
        <f>VLOOKUP($A117,'SpEd BEA Rate 2324'!$A$4:$AS$325,45,FALSE)</f>
        <v>10227.879999999997</v>
      </c>
      <c r="D117" s="6">
        <f>VLOOKUP($A117,'2324 Jun 24 Enroll'!$A$4:$AL$325,22,FALSE)</f>
        <v>344.33</v>
      </c>
      <c r="E117" s="6">
        <f>VLOOKUP($A117,'2324 Jun 24 Enroll'!$A$4:$AL$325,23,FALSE)</f>
        <v>0.78</v>
      </c>
      <c r="F117" s="6">
        <f>VLOOKUP($A117,'2324 Jun 24 Enroll'!$A$4:$AL$325,24,FALSE)</f>
        <v>3.22</v>
      </c>
      <c r="G117" s="6">
        <f>VLOOKUP($A117,'2324 Jun 24 Enroll'!$A$4:$AL$325,25,FALSE)</f>
        <v>1478.67</v>
      </c>
      <c r="H117" s="6">
        <f>VLOOKUP($A117,'2324 Jun 24 Enroll'!$A$4:$AL$325,26,FALSE)</f>
        <v>1282</v>
      </c>
      <c r="I117" s="6">
        <f>VLOOKUP($A117,'2324 Jun 24 Enroll'!$A$4:$AL$325,27,FALSE)</f>
        <v>21034.67</v>
      </c>
      <c r="J117" s="54">
        <f t="shared" si="23"/>
        <v>0.13139999999999999</v>
      </c>
      <c r="K117" s="54">
        <f t="shared" si="24"/>
        <v>0</v>
      </c>
      <c r="L117" s="45">
        <f t="shared" si="28"/>
        <v>4226119.0999999996</v>
      </c>
      <c r="M117" s="68">
        <v>134.6</v>
      </c>
      <c r="N117" s="68">
        <v>22.28</v>
      </c>
      <c r="O117" s="45">
        <f t="shared" si="29"/>
        <v>8917.7000000000007</v>
      </c>
      <c r="P117" s="45">
        <f t="shared" si="30"/>
        <v>34838.06</v>
      </c>
      <c r="Q117" s="45">
        <f t="shared" si="31"/>
        <v>16905553.670000002</v>
      </c>
      <c r="R117" s="45">
        <f t="shared" si="32"/>
        <v>13870307.73</v>
      </c>
      <c r="S117" s="45">
        <f t="shared" si="33"/>
        <v>0</v>
      </c>
      <c r="T117" s="6">
        <f>VLOOKUP($A117,'2324 Jun 24 Enroll'!$A$4:$AL$325,31,FALSE)</f>
        <v>2776.78</v>
      </c>
      <c r="U117" s="45">
        <f t="shared" si="25"/>
        <v>28400572.629999999</v>
      </c>
      <c r="V117" s="35">
        <v>0.1444</v>
      </c>
      <c r="W117" s="45">
        <f t="shared" si="26"/>
        <v>24816998.100000001</v>
      </c>
      <c r="X117" s="35">
        <v>0.29820000000000002</v>
      </c>
      <c r="Y117" s="45">
        <f t="shared" si="27"/>
        <v>7400428.8300000001</v>
      </c>
    </row>
    <row r="118" spans="1:25">
      <c r="A118" t="s">
        <v>452</v>
      </c>
      <c r="B118" t="s">
        <v>453</v>
      </c>
      <c r="C118" s="6">
        <f>VLOOKUP($A118,'SpEd BEA Rate 2324'!$A$4:$AS$325,45,FALSE)</f>
        <v>10323.64</v>
      </c>
      <c r="D118" s="6">
        <f>VLOOKUP($A118,'2324 Jun 24 Enroll'!$A$4:$AL$325,22,FALSE)</f>
        <v>94.11</v>
      </c>
      <c r="E118" s="6">
        <f>VLOOKUP($A118,'2324 Jun 24 Enroll'!$A$4:$AL$325,23,FALSE)</f>
        <v>8</v>
      </c>
      <c r="F118" s="6">
        <f>VLOOKUP($A118,'2324 Jun 24 Enroll'!$A$4:$AL$325,24,FALSE)</f>
        <v>2.11</v>
      </c>
      <c r="G118" s="6">
        <f>VLOOKUP($A118,'2324 Jun 24 Enroll'!$A$4:$AL$325,25,FALSE)</f>
        <v>382.89</v>
      </c>
      <c r="H118" s="6">
        <f>VLOOKUP($A118,'2324 Jun 24 Enroll'!$A$4:$AL$325,26,FALSE)</f>
        <v>286.44</v>
      </c>
      <c r="I118" s="6">
        <f>VLOOKUP($A118,'2324 Jun 24 Enroll'!$A$4:$AL$325,27,FALSE)</f>
        <v>4348.26</v>
      </c>
      <c r="J118" s="54">
        <f t="shared" si="23"/>
        <v>0.15629999999999999</v>
      </c>
      <c r="K118" s="54">
        <f t="shared" si="24"/>
        <v>6.3E-3</v>
      </c>
      <c r="L118" s="45">
        <f t="shared" si="28"/>
        <v>1165869.31</v>
      </c>
      <c r="M118" s="68">
        <v>129.77000000000001</v>
      </c>
      <c r="N118" s="68">
        <v>21.48</v>
      </c>
      <c r="O118" s="45">
        <f t="shared" si="29"/>
        <v>92327.97</v>
      </c>
      <c r="P118" s="45">
        <f t="shared" si="30"/>
        <v>23044.53</v>
      </c>
      <c r="Q118" s="45">
        <f t="shared" si="31"/>
        <v>4418932.26</v>
      </c>
      <c r="R118" s="45">
        <f t="shared" si="32"/>
        <v>3128376.92</v>
      </c>
      <c r="S118" s="45">
        <f t="shared" si="33"/>
        <v>-308860.49</v>
      </c>
      <c r="T118" s="6">
        <f>VLOOKUP($A118,'2324 Jun 24 Enroll'!$A$4:$AL$325,31,FALSE)</f>
        <v>681.44</v>
      </c>
      <c r="U118" s="45">
        <f t="shared" si="25"/>
        <v>7034941.2400000002</v>
      </c>
      <c r="V118" s="35">
        <v>0.1532</v>
      </c>
      <c r="W118" s="45">
        <f t="shared" si="26"/>
        <v>6100365.2800000003</v>
      </c>
      <c r="X118" s="35">
        <v>0.25790000000000002</v>
      </c>
      <c r="Y118" s="45">
        <f t="shared" si="27"/>
        <v>1573284.21</v>
      </c>
    </row>
    <row r="119" spans="1:25">
      <c r="A119" t="s">
        <v>586</v>
      </c>
      <c r="B119" t="s">
        <v>587</v>
      </c>
      <c r="C119" s="6">
        <f>VLOOKUP($A119,'SpEd BEA Rate 2324'!$A$4:$AS$325,45,FALSE)</f>
        <v>10637.779999999999</v>
      </c>
      <c r="D119" s="6">
        <f>VLOOKUP($A119,'2324 Jun 24 Enroll'!$A$4:$AL$325,22,FALSE)</f>
        <v>26.56</v>
      </c>
      <c r="E119" s="6">
        <f>VLOOKUP($A119,'2324 Jun 24 Enroll'!$A$4:$AL$325,23,FALSE)</f>
        <v>0</v>
      </c>
      <c r="F119" s="6">
        <f>VLOOKUP($A119,'2324 Jun 24 Enroll'!$A$4:$AL$325,24,FALSE)</f>
        <v>0</v>
      </c>
      <c r="G119" s="6">
        <f>VLOOKUP($A119,'2324 Jun 24 Enroll'!$A$4:$AL$325,25,FALSE)</f>
        <v>323.89</v>
      </c>
      <c r="H119" s="6">
        <f>VLOOKUP($A119,'2324 Jun 24 Enroll'!$A$4:$AL$325,26,FALSE)</f>
        <v>99</v>
      </c>
      <c r="I119" s="6">
        <f>VLOOKUP($A119,'2324 Jun 24 Enroll'!$A$4:$AL$325,27,FALSE)</f>
        <v>3935.28</v>
      </c>
      <c r="J119" s="54">
        <f t="shared" si="23"/>
        <v>0.1075</v>
      </c>
      <c r="K119" s="54">
        <f t="shared" si="24"/>
        <v>0</v>
      </c>
      <c r="L119" s="45">
        <f t="shared" si="28"/>
        <v>339047.32</v>
      </c>
      <c r="M119" s="68">
        <v>135</v>
      </c>
      <c r="N119" s="68">
        <v>22.34</v>
      </c>
      <c r="O119" s="45">
        <f t="shared" si="29"/>
        <v>0</v>
      </c>
      <c r="P119" s="45">
        <f t="shared" si="30"/>
        <v>0</v>
      </c>
      <c r="Q119" s="45">
        <f t="shared" si="31"/>
        <v>3851691.33</v>
      </c>
      <c r="R119" s="45">
        <f t="shared" si="32"/>
        <v>1114116.97</v>
      </c>
      <c r="S119" s="45">
        <f t="shared" si="33"/>
        <v>0</v>
      </c>
      <c r="T119" s="6">
        <f>VLOOKUP($A119,'2324 Jun 24 Enroll'!$A$4:$AL$325,31,FALSE)</f>
        <v>422.89</v>
      </c>
      <c r="U119" s="45">
        <f t="shared" si="25"/>
        <v>4498610.78</v>
      </c>
      <c r="V119" s="35">
        <v>0.15229999999999999</v>
      </c>
      <c r="W119" s="45">
        <f t="shared" si="26"/>
        <v>3904027.41</v>
      </c>
      <c r="X119" s="35">
        <v>0.1933</v>
      </c>
      <c r="Y119" s="45">
        <f t="shared" si="27"/>
        <v>754648.5</v>
      </c>
    </row>
    <row r="120" spans="1:25">
      <c r="A120" t="s">
        <v>502</v>
      </c>
      <c r="B120" t="s">
        <v>503</v>
      </c>
      <c r="C120" s="6">
        <f>VLOOKUP($A120,'SpEd BEA Rate 2324'!$A$4:$AS$325,45,FALSE)</f>
        <v>10637.529999999999</v>
      </c>
      <c r="D120" s="6">
        <f>VLOOKUP($A120,'2324 Jun 24 Enroll'!$A$4:$AL$325,22,FALSE)</f>
        <v>259.67</v>
      </c>
      <c r="E120" s="6">
        <f>VLOOKUP($A120,'2324 Jun 24 Enroll'!$A$4:$AL$325,23,FALSE)</f>
        <v>0</v>
      </c>
      <c r="F120" s="6">
        <f>VLOOKUP($A120,'2324 Jun 24 Enroll'!$A$4:$AL$325,24,FALSE)</f>
        <v>0</v>
      </c>
      <c r="G120" s="6">
        <f>VLOOKUP($A120,'2324 Jun 24 Enroll'!$A$4:$AL$325,25,FALSE)</f>
        <v>1901.56</v>
      </c>
      <c r="H120" s="6">
        <f>VLOOKUP($A120,'2324 Jun 24 Enroll'!$A$4:$AL$325,26,FALSE)</f>
        <v>695.89</v>
      </c>
      <c r="I120" s="6">
        <f>VLOOKUP($A120,'2324 Jun 24 Enroll'!$A$4:$AL$325,27,FALSE)</f>
        <v>17368.32</v>
      </c>
      <c r="J120" s="54">
        <f t="shared" si="23"/>
        <v>0.14960000000000001</v>
      </c>
      <c r="K120" s="54">
        <f t="shared" si="24"/>
        <v>0</v>
      </c>
      <c r="L120" s="45">
        <f t="shared" si="28"/>
        <v>3314696.9</v>
      </c>
      <c r="M120" s="68">
        <v>137.56</v>
      </c>
      <c r="N120" s="68">
        <v>22.77</v>
      </c>
      <c r="O120" s="45">
        <f t="shared" si="29"/>
        <v>0</v>
      </c>
      <c r="P120" s="45">
        <f t="shared" si="30"/>
        <v>0</v>
      </c>
      <c r="Q120" s="45">
        <f t="shared" si="31"/>
        <v>22611951.210000001</v>
      </c>
      <c r="R120" s="45">
        <f t="shared" si="32"/>
        <v>7830858.3799999999</v>
      </c>
      <c r="S120" s="45">
        <f t="shared" si="33"/>
        <v>0</v>
      </c>
      <c r="T120" s="6">
        <f>VLOOKUP($A120,'2324 Jun 24 Enroll'!$A$4:$AL$325,31,FALSE)</f>
        <v>2604.34</v>
      </c>
      <c r="U120" s="45">
        <f t="shared" si="25"/>
        <v>27703744.879999999</v>
      </c>
      <c r="V120" s="35">
        <v>0.12379999999999999</v>
      </c>
      <c r="W120" s="45">
        <f t="shared" si="26"/>
        <v>24651846.309999999</v>
      </c>
      <c r="X120" s="35">
        <v>0.25559999999999999</v>
      </c>
      <c r="Y120" s="45">
        <f t="shared" si="27"/>
        <v>6301011.9199999999</v>
      </c>
    </row>
    <row r="121" spans="1:25">
      <c r="A121" t="s">
        <v>843</v>
      </c>
      <c r="B121" t="s">
        <v>844</v>
      </c>
      <c r="C121" s="6">
        <f>VLOOKUP($A121,'SpEd BEA Rate 2324'!$A$4:$AS$325,45,FALSE)</f>
        <v>10449.509999999998</v>
      </c>
      <c r="D121" s="6">
        <f>VLOOKUP($A121,'2324 Jun 24 Enroll'!$A$4:$AL$325,22,FALSE)</f>
        <v>17.89</v>
      </c>
      <c r="E121" s="6">
        <f>VLOOKUP($A121,'2324 Jun 24 Enroll'!$A$4:$AL$325,23,FALSE)</f>
        <v>0</v>
      </c>
      <c r="F121" s="6">
        <f>VLOOKUP($A121,'2324 Jun 24 Enroll'!$A$4:$AL$325,24,FALSE)</f>
        <v>0</v>
      </c>
      <c r="G121" s="6">
        <f>VLOOKUP($A121,'2324 Jun 24 Enroll'!$A$4:$AL$325,25,FALSE)</f>
        <v>122.44</v>
      </c>
      <c r="H121" s="6">
        <f>VLOOKUP($A121,'2324 Jun 24 Enroll'!$A$4:$AL$325,26,FALSE)</f>
        <v>50.89</v>
      </c>
      <c r="I121" s="6">
        <f>VLOOKUP($A121,'2324 Jun 24 Enroll'!$A$4:$AL$325,27,FALSE)</f>
        <v>1430.99</v>
      </c>
      <c r="J121" s="54">
        <f t="shared" si="23"/>
        <v>0.1211</v>
      </c>
      <c r="K121" s="54">
        <f t="shared" si="24"/>
        <v>0</v>
      </c>
      <c r="L121" s="45">
        <f t="shared" si="28"/>
        <v>224330.08</v>
      </c>
      <c r="M121" s="68">
        <v>128.38</v>
      </c>
      <c r="N121" s="68">
        <v>21.25</v>
      </c>
      <c r="O121" s="45">
        <f t="shared" si="29"/>
        <v>0</v>
      </c>
      <c r="P121" s="45">
        <f t="shared" si="30"/>
        <v>0</v>
      </c>
      <c r="Q121" s="45">
        <f t="shared" si="31"/>
        <v>1430368.71</v>
      </c>
      <c r="R121" s="45">
        <f t="shared" si="32"/>
        <v>562600.68999999994</v>
      </c>
      <c r="S121" s="45">
        <f t="shared" si="33"/>
        <v>0</v>
      </c>
      <c r="T121" s="6">
        <f>VLOOKUP($A121,'2324 Jun 24 Enroll'!$A$4:$AL$325,31,FALSE)</f>
        <v>173.33</v>
      </c>
      <c r="U121" s="45">
        <f t="shared" si="25"/>
        <v>1811213.57</v>
      </c>
      <c r="V121" s="35">
        <v>0.21740000000000001</v>
      </c>
      <c r="W121" s="45">
        <f t="shared" si="26"/>
        <v>1487771.95</v>
      </c>
      <c r="X121" s="35">
        <v>0.1971</v>
      </c>
      <c r="Y121" s="45">
        <f t="shared" si="27"/>
        <v>293239.84999999998</v>
      </c>
    </row>
    <row r="122" spans="1:25">
      <c r="A122" t="s">
        <v>721</v>
      </c>
      <c r="B122" t="s">
        <v>722</v>
      </c>
      <c r="C122" s="6">
        <f>VLOOKUP($A122,'SpEd BEA Rate 2324'!$A$4:$AS$325,45,FALSE)</f>
        <v>10629.24</v>
      </c>
      <c r="D122" s="6">
        <f>VLOOKUP($A122,'2324 Jun 24 Enroll'!$A$4:$AL$325,22,FALSE)</f>
        <v>281.22000000000003</v>
      </c>
      <c r="E122" s="6">
        <f>VLOOKUP($A122,'2324 Jun 24 Enroll'!$A$4:$AL$325,23,FALSE)</f>
        <v>0</v>
      </c>
      <c r="F122" s="6">
        <f>VLOOKUP($A122,'2324 Jun 24 Enroll'!$A$4:$AL$325,24,FALSE)</f>
        <v>0</v>
      </c>
      <c r="G122" s="6">
        <f>VLOOKUP($A122,'2324 Jun 24 Enroll'!$A$4:$AL$325,25,FALSE)</f>
        <v>1095.67</v>
      </c>
      <c r="H122" s="6">
        <f>VLOOKUP($A122,'2324 Jun 24 Enroll'!$A$4:$AL$325,26,FALSE)</f>
        <v>884.33</v>
      </c>
      <c r="I122" s="6">
        <f>VLOOKUP($A122,'2324 Jun 24 Enroll'!$A$4:$AL$325,27,FALSE)</f>
        <v>14455.73</v>
      </c>
      <c r="J122" s="54">
        <f t="shared" si="23"/>
        <v>0.13700000000000001</v>
      </c>
      <c r="K122" s="54">
        <f t="shared" si="24"/>
        <v>0</v>
      </c>
      <c r="L122" s="45">
        <f t="shared" si="28"/>
        <v>3586985.85</v>
      </c>
      <c r="M122" s="68">
        <v>137.43</v>
      </c>
      <c r="N122" s="68">
        <v>22.75</v>
      </c>
      <c r="O122" s="45">
        <f t="shared" si="29"/>
        <v>0</v>
      </c>
      <c r="P122" s="45">
        <f t="shared" si="30"/>
        <v>0</v>
      </c>
      <c r="Q122" s="45">
        <f t="shared" si="31"/>
        <v>13018749.630000001</v>
      </c>
      <c r="R122" s="45">
        <f t="shared" si="32"/>
        <v>9943622.6500000004</v>
      </c>
      <c r="S122" s="45">
        <f t="shared" si="33"/>
        <v>0</v>
      </c>
      <c r="T122" s="6">
        <f>VLOOKUP($A122,'2324 Jun 24 Enroll'!$A$4:$AL$325,31,FALSE)</f>
        <v>1978</v>
      </c>
      <c r="U122" s="45">
        <f t="shared" si="25"/>
        <v>21024636.719999999</v>
      </c>
      <c r="V122" s="35">
        <v>0.12909999999999999</v>
      </c>
      <c r="W122" s="45">
        <f t="shared" si="26"/>
        <v>18620703.850000001</v>
      </c>
      <c r="X122" s="35">
        <v>0.28960000000000002</v>
      </c>
      <c r="Y122" s="45">
        <f t="shared" si="27"/>
        <v>5392555.8300000001</v>
      </c>
    </row>
    <row r="123" spans="1:25">
      <c r="A123" t="s">
        <v>765</v>
      </c>
      <c r="B123" t="s">
        <v>766</v>
      </c>
      <c r="C123" s="6">
        <f>VLOOKUP($A123,'SpEd BEA Rate 2324'!$A$4:$AS$325,45,FALSE)</f>
        <v>10619.509999999998</v>
      </c>
      <c r="D123" s="6">
        <f>VLOOKUP($A123,'2324 Jun 24 Enroll'!$A$4:$AL$325,22,FALSE)</f>
        <v>1</v>
      </c>
      <c r="E123" s="6">
        <f>VLOOKUP($A123,'2324 Jun 24 Enroll'!$A$4:$AL$325,23,FALSE)</f>
        <v>0</v>
      </c>
      <c r="F123" s="6">
        <f>VLOOKUP($A123,'2324 Jun 24 Enroll'!$A$4:$AL$325,24,FALSE)</f>
        <v>0</v>
      </c>
      <c r="G123" s="6">
        <f>VLOOKUP($A123,'2324 Jun 24 Enroll'!$A$4:$AL$325,25,FALSE)</f>
        <v>15.67</v>
      </c>
      <c r="H123" s="6">
        <f>VLOOKUP($A123,'2324 Jun 24 Enroll'!$A$4:$AL$325,26,FALSE)</f>
        <v>0</v>
      </c>
      <c r="I123" s="6">
        <f>VLOOKUP($A123,'2324 Jun 24 Enroll'!$A$4:$AL$325,27,FALSE)</f>
        <v>43.45</v>
      </c>
      <c r="J123" s="54">
        <f t="shared" si="23"/>
        <v>0.36059999999999998</v>
      </c>
      <c r="K123" s="54">
        <f t="shared" si="24"/>
        <v>0.21059999999999998</v>
      </c>
      <c r="L123" s="45">
        <f t="shared" si="28"/>
        <v>12743.41</v>
      </c>
      <c r="M123" s="68">
        <v>137.15</v>
      </c>
      <c r="N123" s="68">
        <v>22.7</v>
      </c>
      <c r="O123" s="45">
        <f t="shared" si="29"/>
        <v>0</v>
      </c>
      <c r="P123" s="45">
        <f t="shared" si="30"/>
        <v>0</v>
      </c>
      <c r="Q123" s="45">
        <f t="shared" si="31"/>
        <v>186020.94</v>
      </c>
      <c r="R123" s="45">
        <f t="shared" si="32"/>
        <v>0</v>
      </c>
      <c r="S123" s="45">
        <f t="shared" si="33"/>
        <v>-108641.18</v>
      </c>
      <c r="T123" s="6">
        <f>VLOOKUP($A123,'2324 Jun 24 Enroll'!$A$4:$AL$325,31,FALSE)</f>
        <v>15.67</v>
      </c>
      <c r="U123" s="45">
        <f t="shared" si="25"/>
        <v>166407.72</v>
      </c>
      <c r="V123" s="35">
        <v>0.3382</v>
      </c>
      <c r="W123" s="45">
        <f t="shared" si="26"/>
        <v>124351.91</v>
      </c>
      <c r="X123" s="35">
        <v>0.11459999999999999</v>
      </c>
      <c r="Y123" s="45">
        <f t="shared" si="27"/>
        <v>14250.73</v>
      </c>
    </row>
    <row r="124" spans="1:25">
      <c r="A124" t="s">
        <v>333</v>
      </c>
      <c r="B124" t="s">
        <v>334</v>
      </c>
      <c r="C124" s="6">
        <f>VLOOKUP($A124,'SpEd BEA Rate 2324'!$A$4:$AS$325,45,FALSE)</f>
        <v>10638.13</v>
      </c>
      <c r="D124" s="6">
        <f>VLOOKUP($A124,'2324 Jun 24 Enroll'!$A$4:$AL$325,22,FALSE)</f>
        <v>200.11</v>
      </c>
      <c r="E124" s="6">
        <f>VLOOKUP($A124,'2324 Jun 24 Enroll'!$A$4:$AL$325,23,FALSE)</f>
        <v>0</v>
      </c>
      <c r="F124" s="6">
        <f>VLOOKUP($A124,'2324 Jun 24 Enroll'!$A$4:$AL$325,24,FALSE)</f>
        <v>0</v>
      </c>
      <c r="G124" s="6">
        <f>VLOOKUP($A124,'2324 Jun 24 Enroll'!$A$4:$AL$325,25,FALSE)</f>
        <v>1401.44</v>
      </c>
      <c r="H124" s="6">
        <f>VLOOKUP($A124,'2324 Jun 24 Enroll'!$A$4:$AL$325,26,FALSE)</f>
        <v>538</v>
      </c>
      <c r="I124" s="6">
        <f>VLOOKUP($A124,'2324 Jun 24 Enroll'!$A$4:$AL$325,27,FALSE)</f>
        <v>19314.009999999998</v>
      </c>
      <c r="J124" s="54">
        <f t="shared" si="23"/>
        <v>0.1004</v>
      </c>
      <c r="K124" s="54">
        <f t="shared" si="24"/>
        <v>0</v>
      </c>
      <c r="L124" s="45">
        <f t="shared" si="28"/>
        <v>2554555.4300000002</v>
      </c>
      <c r="M124" s="68">
        <v>142.58000000000001</v>
      </c>
      <c r="N124" s="68">
        <v>23.6</v>
      </c>
      <c r="O124" s="45">
        <f t="shared" si="29"/>
        <v>0</v>
      </c>
      <c r="P124" s="45">
        <f t="shared" si="30"/>
        <v>0</v>
      </c>
      <c r="Q124" s="45">
        <f t="shared" si="31"/>
        <v>16664671.029999999</v>
      </c>
      <c r="R124" s="45">
        <f t="shared" si="32"/>
        <v>6054015.9800000004</v>
      </c>
      <c r="S124" s="45">
        <f t="shared" si="33"/>
        <v>0</v>
      </c>
      <c r="T124" s="6">
        <f>VLOOKUP($A124,'2324 Jun 24 Enroll'!$A$4:$AL$325,31,FALSE)</f>
        <v>1938.44</v>
      </c>
      <c r="U124" s="45">
        <f t="shared" si="25"/>
        <v>20621376.719999999</v>
      </c>
      <c r="V124" s="35">
        <v>0.1348</v>
      </c>
      <c r="W124" s="45">
        <f t="shared" si="26"/>
        <v>18171815.93</v>
      </c>
      <c r="X124" s="35">
        <v>0.21579999999999999</v>
      </c>
      <c r="Y124" s="45">
        <f t="shared" si="27"/>
        <v>3921477.88</v>
      </c>
    </row>
    <row r="125" spans="1:25">
      <c r="A125" t="s">
        <v>833</v>
      </c>
      <c r="B125" t="s">
        <v>834</v>
      </c>
      <c r="C125" s="6">
        <f>VLOOKUP($A125,'SpEd BEA Rate 2324'!$A$4:$AS$325,45,FALSE)</f>
        <v>10628.88</v>
      </c>
      <c r="D125" s="6">
        <f>VLOOKUP($A125,'2324 Jun 24 Enroll'!$A$4:$AL$325,22,FALSE)</f>
        <v>31</v>
      </c>
      <c r="E125" s="6">
        <f>VLOOKUP($A125,'2324 Jun 24 Enroll'!$A$4:$AL$325,23,FALSE)</f>
        <v>0</v>
      </c>
      <c r="F125" s="6">
        <f>VLOOKUP($A125,'2324 Jun 24 Enroll'!$A$4:$AL$325,24,FALSE)</f>
        <v>0</v>
      </c>
      <c r="G125" s="6">
        <f>VLOOKUP($A125,'2324 Jun 24 Enroll'!$A$4:$AL$325,25,FALSE)</f>
        <v>208.22</v>
      </c>
      <c r="H125" s="6">
        <f>VLOOKUP($A125,'2324 Jun 24 Enroll'!$A$4:$AL$325,26,FALSE)</f>
        <v>141.56</v>
      </c>
      <c r="I125" s="6">
        <f>VLOOKUP($A125,'2324 Jun 24 Enroll'!$A$4:$AL$325,27,FALSE)</f>
        <v>2769.39</v>
      </c>
      <c r="J125" s="54">
        <f t="shared" si="23"/>
        <v>0.1263</v>
      </c>
      <c r="K125" s="54">
        <f t="shared" si="24"/>
        <v>0</v>
      </c>
      <c r="L125" s="45">
        <f t="shared" si="28"/>
        <v>395394.34</v>
      </c>
      <c r="M125" s="68">
        <v>146.12</v>
      </c>
      <c r="N125" s="68">
        <v>24.19</v>
      </c>
      <c r="O125" s="45">
        <f t="shared" si="29"/>
        <v>0</v>
      </c>
      <c r="P125" s="45">
        <f t="shared" si="30"/>
        <v>0</v>
      </c>
      <c r="Q125" s="45">
        <f t="shared" si="31"/>
        <v>2473686</v>
      </c>
      <c r="R125" s="45">
        <f t="shared" si="32"/>
        <v>1591477.37</v>
      </c>
      <c r="S125" s="45">
        <f t="shared" si="33"/>
        <v>0</v>
      </c>
      <c r="T125" s="6">
        <f>VLOOKUP($A125,'2324 Jun 24 Enroll'!$A$4:$AL$325,31,FALSE)</f>
        <v>348.11</v>
      </c>
      <c r="U125" s="45">
        <f t="shared" si="25"/>
        <v>3700019.42</v>
      </c>
      <c r="V125" s="35">
        <v>0.1646</v>
      </c>
      <c r="W125" s="45">
        <f t="shared" si="26"/>
        <v>3177073.18</v>
      </c>
      <c r="X125" s="35">
        <v>0.28170000000000001</v>
      </c>
      <c r="Y125" s="45">
        <f t="shared" si="27"/>
        <v>894981.51</v>
      </c>
    </row>
    <row r="126" spans="1:25">
      <c r="A126" t="s">
        <v>733</v>
      </c>
      <c r="B126" t="s">
        <v>734</v>
      </c>
      <c r="C126" s="6">
        <f>VLOOKUP($A126,'SpEd BEA Rate 2324'!$A$4:$AS$325,45,FALSE)</f>
        <v>10634.849999999999</v>
      </c>
      <c r="D126" s="6">
        <f>VLOOKUP($A126,'2324 Jun 24 Enroll'!$A$4:$AL$325,22,FALSE)</f>
        <v>23.89</v>
      </c>
      <c r="E126" s="6">
        <f>VLOOKUP($A126,'2324 Jun 24 Enroll'!$A$4:$AL$325,23,FALSE)</f>
        <v>0</v>
      </c>
      <c r="F126" s="6">
        <f>VLOOKUP($A126,'2324 Jun 24 Enroll'!$A$4:$AL$325,24,FALSE)</f>
        <v>0</v>
      </c>
      <c r="G126" s="6">
        <f>VLOOKUP($A126,'2324 Jun 24 Enroll'!$A$4:$AL$325,25,FALSE)</f>
        <v>241.78</v>
      </c>
      <c r="H126" s="6">
        <f>VLOOKUP($A126,'2324 Jun 24 Enroll'!$A$4:$AL$325,26,FALSE)</f>
        <v>76.44</v>
      </c>
      <c r="I126" s="6">
        <f>VLOOKUP($A126,'2324 Jun 24 Enroll'!$A$4:$AL$325,27,FALSE)</f>
        <v>3062.72</v>
      </c>
      <c r="J126" s="54">
        <f t="shared" si="23"/>
        <v>0.10390000000000001</v>
      </c>
      <c r="K126" s="54">
        <f t="shared" si="24"/>
        <v>0</v>
      </c>
      <c r="L126" s="45">
        <f t="shared" si="28"/>
        <v>304879.88</v>
      </c>
      <c r="M126" s="68">
        <v>129.25</v>
      </c>
      <c r="N126" s="68">
        <v>21.39</v>
      </c>
      <c r="O126" s="45">
        <f t="shared" si="29"/>
        <v>0</v>
      </c>
      <c r="P126" s="45">
        <f t="shared" si="30"/>
        <v>0</v>
      </c>
      <c r="Q126" s="45">
        <f t="shared" si="31"/>
        <v>2874677.64</v>
      </c>
      <c r="R126" s="45">
        <f t="shared" si="32"/>
        <v>860068.56</v>
      </c>
      <c r="S126" s="45">
        <f t="shared" si="33"/>
        <v>0</v>
      </c>
      <c r="T126" s="6">
        <f>VLOOKUP($A126,'2324 Jun 24 Enroll'!$A$4:$AL$325,31,FALSE)</f>
        <v>318.22000000000003</v>
      </c>
      <c r="U126" s="45">
        <f t="shared" si="25"/>
        <v>3384221.97</v>
      </c>
      <c r="V126" s="35">
        <v>0.15579999999999999</v>
      </c>
      <c r="W126" s="45">
        <f t="shared" si="26"/>
        <v>2928034.24</v>
      </c>
      <c r="X126" s="35">
        <v>0.2074</v>
      </c>
      <c r="Y126" s="45">
        <f t="shared" si="27"/>
        <v>607274.30000000005</v>
      </c>
    </row>
    <row r="127" spans="1:25">
      <c r="A127" t="s">
        <v>327</v>
      </c>
      <c r="B127" t="s">
        <v>328</v>
      </c>
      <c r="C127" s="6">
        <f>VLOOKUP($A127,'SpEd BEA Rate 2324'!$A$4:$AS$325,45,FALSE)</f>
        <v>10329.799999999997</v>
      </c>
      <c r="D127" s="6">
        <f>VLOOKUP($A127,'2324 Jun 24 Enroll'!$A$4:$AL$325,22,FALSE)</f>
        <v>273.11</v>
      </c>
      <c r="E127" s="6">
        <f>VLOOKUP($A127,'2324 Jun 24 Enroll'!$A$4:$AL$325,23,FALSE)</f>
        <v>12.33</v>
      </c>
      <c r="F127" s="6">
        <f>VLOOKUP($A127,'2324 Jun 24 Enroll'!$A$4:$AL$325,24,FALSE)</f>
        <v>1.33</v>
      </c>
      <c r="G127" s="6">
        <f>VLOOKUP($A127,'2324 Jun 24 Enroll'!$A$4:$AL$325,25,FALSE)</f>
        <v>1213</v>
      </c>
      <c r="H127" s="6">
        <f>VLOOKUP($A127,'2324 Jun 24 Enroll'!$A$4:$AL$325,26,FALSE)</f>
        <v>679.11</v>
      </c>
      <c r="I127" s="6">
        <f>VLOOKUP($A127,'2324 Jun 24 Enroll'!$A$4:$AL$325,27,FALSE)</f>
        <v>17449.96</v>
      </c>
      <c r="J127" s="54">
        <f t="shared" si="23"/>
        <v>0.10920000000000001</v>
      </c>
      <c r="K127" s="54">
        <f t="shared" si="24"/>
        <v>0</v>
      </c>
      <c r="L127" s="45">
        <f t="shared" si="28"/>
        <v>3385406.01</v>
      </c>
      <c r="M127" s="68">
        <v>132.28</v>
      </c>
      <c r="N127" s="68">
        <v>21.89</v>
      </c>
      <c r="O127" s="45">
        <f t="shared" si="29"/>
        <v>142380.5</v>
      </c>
      <c r="P127" s="45">
        <f t="shared" si="30"/>
        <v>14533.84</v>
      </c>
      <c r="Q127" s="45">
        <f t="shared" si="31"/>
        <v>14007100.52</v>
      </c>
      <c r="R127" s="45">
        <f t="shared" si="32"/>
        <v>7421108.9900000002</v>
      </c>
      <c r="S127" s="45">
        <f t="shared" si="33"/>
        <v>0</v>
      </c>
      <c r="T127" s="6">
        <f>VLOOKUP($A127,'2324 Jun 24 Enroll'!$A$4:$AL$325,31,FALSE)</f>
        <v>1898.77</v>
      </c>
      <c r="U127" s="45">
        <f t="shared" si="25"/>
        <v>19613914.350000001</v>
      </c>
      <c r="V127" s="35">
        <v>0.1242</v>
      </c>
      <c r="W127" s="45">
        <f t="shared" si="26"/>
        <v>17446997.289999999</v>
      </c>
      <c r="X127" s="35">
        <v>0.26600000000000001</v>
      </c>
      <c r="Y127" s="45">
        <f t="shared" si="27"/>
        <v>4640901.28</v>
      </c>
    </row>
    <row r="128" spans="1:25">
      <c r="A128" t="s">
        <v>813</v>
      </c>
      <c r="B128" t="s">
        <v>814</v>
      </c>
      <c r="C128" s="6">
        <f>VLOOKUP($A128,'SpEd BEA Rate 2324'!$A$4:$AS$325,45,FALSE)</f>
        <v>10827.65</v>
      </c>
      <c r="D128" s="6">
        <f>VLOOKUP($A128,'2324 Jun 24 Enroll'!$A$4:$AL$325,22,FALSE)</f>
        <v>116.89</v>
      </c>
      <c r="E128" s="6">
        <f>VLOOKUP($A128,'2324 Jun 24 Enroll'!$A$4:$AL$325,23,FALSE)</f>
        <v>0.78</v>
      </c>
      <c r="F128" s="6">
        <f>VLOOKUP($A128,'2324 Jun 24 Enroll'!$A$4:$AL$325,24,FALSE)</f>
        <v>0.33</v>
      </c>
      <c r="G128" s="6">
        <f>VLOOKUP($A128,'2324 Jun 24 Enroll'!$A$4:$AL$325,25,FALSE)</f>
        <v>608.78</v>
      </c>
      <c r="H128" s="6">
        <f>VLOOKUP($A128,'2324 Jun 24 Enroll'!$A$4:$AL$325,26,FALSE)</f>
        <v>481</v>
      </c>
      <c r="I128" s="6">
        <f>VLOOKUP($A128,'2324 Jun 24 Enroll'!$A$4:$AL$325,27,FALSE)</f>
        <v>8967.6299999999992</v>
      </c>
      <c r="J128" s="54">
        <f t="shared" si="23"/>
        <v>0.1216</v>
      </c>
      <c r="K128" s="54">
        <f t="shared" si="24"/>
        <v>0</v>
      </c>
      <c r="L128" s="45">
        <f t="shared" si="28"/>
        <v>1518772.81</v>
      </c>
      <c r="M128" s="68">
        <v>131.59</v>
      </c>
      <c r="N128" s="68">
        <v>21.78</v>
      </c>
      <c r="O128" s="45">
        <f t="shared" si="29"/>
        <v>9442.0499999999993</v>
      </c>
      <c r="P128" s="45">
        <f t="shared" si="30"/>
        <v>3780.32</v>
      </c>
      <c r="Q128" s="45">
        <f t="shared" si="31"/>
        <v>7369396.3499999996</v>
      </c>
      <c r="R128" s="45">
        <f t="shared" si="32"/>
        <v>5510109.4500000002</v>
      </c>
      <c r="S128" s="45">
        <f t="shared" si="33"/>
        <v>0</v>
      </c>
      <c r="T128" s="6">
        <f>VLOOKUP($A128,'2324 Jun 24 Enroll'!$A$4:$AL$325,31,FALSE)</f>
        <v>1089.8900000000001</v>
      </c>
      <c r="U128" s="45">
        <f t="shared" si="25"/>
        <v>11800947.460000001</v>
      </c>
      <c r="V128" s="35">
        <v>0.14280000000000001</v>
      </c>
      <c r="W128" s="45">
        <f t="shared" si="26"/>
        <v>10326345.34</v>
      </c>
      <c r="X128" s="35">
        <v>0.2324</v>
      </c>
      <c r="Y128" s="45">
        <f t="shared" si="27"/>
        <v>2399842.66</v>
      </c>
    </row>
    <row r="129" spans="1:25">
      <c r="A129" t="s">
        <v>769</v>
      </c>
      <c r="B129" t="s">
        <v>770</v>
      </c>
      <c r="C129" s="6">
        <f>VLOOKUP($A129,'SpEd BEA Rate 2324'!$A$4:$AS$325,45,FALSE)</f>
        <v>10633.009999999998</v>
      </c>
      <c r="D129" s="6">
        <f>VLOOKUP($A129,'2324 Jun 24 Enroll'!$A$4:$AL$325,22,FALSE)</f>
        <v>76.22</v>
      </c>
      <c r="E129" s="6">
        <f>VLOOKUP($A129,'2324 Jun 24 Enroll'!$A$4:$AL$325,23,FALSE)</f>
        <v>0</v>
      </c>
      <c r="F129" s="6">
        <f>VLOOKUP($A129,'2324 Jun 24 Enroll'!$A$4:$AL$325,24,FALSE)</f>
        <v>1.1100000000000001</v>
      </c>
      <c r="G129" s="6">
        <f>VLOOKUP($A129,'2324 Jun 24 Enroll'!$A$4:$AL$325,25,FALSE)</f>
        <v>479.22</v>
      </c>
      <c r="H129" s="6">
        <f>VLOOKUP($A129,'2324 Jun 24 Enroll'!$A$4:$AL$325,26,FALSE)</f>
        <v>257.44</v>
      </c>
      <c r="I129" s="6">
        <f>VLOOKUP($A129,'2324 Jun 24 Enroll'!$A$4:$AL$325,27,FALSE)</f>
        <v>7103.38</v>
      </c>
      <c r="J129" s="54">
        <f t="shared" si="23"/>
        <v>0.10390000000000001</v>
      </c>
      <c r="K129" s="54">
        <f t="shared" si="24"/>
        <v>0</v>
      </c>
      <c r="L129" s="45">
        <f t="shared" si="28"/>
        <v>972537.63</v>
      </c>
      <c r="M129" s="68">
        <v>138.05000000000001</v>
      </c>
      <c r="N129" s="68">
        <v>22.85</v>
      </c>
      <c r="O129" s="45">
        <f t="shared" si="29"/>
        <v>0</v>
      </c>
      <c r="P129" s="45">
        <f t="shared" si="30"/>
        <v>12485.44</v>
      </c>
      <c r="Q129" s="45">
        <f t="shared" si="31"/>
        <v>5696067</v>
      </c>
      <c r="R129" s="45">
        <f t="shared" si="32"/>
        <v>2895721.32</v>
      </c>
      <c r="S129" s="45">
        <f t="shared" si="33"/>
        <v>0</v>
      </c>
      <c r="T129" s="6">
        <f>VLOOKUP($A129,'2324 Jun 24 Enroll'!$A$4:$AL$325,31,FALSE)</f>
        <v>735.77</v>
      </c>
      <c r="U129" s="45">
        <f t="shared" si="25"/>
        <v>7823449.7699999996</v>
      </c>
      <c r="V129" s="35">
        <v>0.16789999999999999</v>
      </c>
      <c r="W129" s="45">
        <f t="shared" si="26"/>
        <v>6698732.5700000003</v>
      </c>
      <c r="X129" s="35">
        <v>0.21879999999999999</v>
      </c>
      <c r="Y129" s="45">
        <f t="shared" si="27"/>
        <v>1465682.69</v>
      </c>
    </row>
    <row r="130" spans="1:25">
      <c r="A130" t="s">
        <v>514</v>
      </c>
      <c r="B130" t="s">
        <v>515</v>
      </c>
      <c r="C130" s="6">
        <f>VLOOKUP($A130,'SpEd BEA Rate 2324'!$A$4:$AS$325,45,FALSE)</f>
        <v>10631.029999999999</v>
      </c>
      <c r="D130" s="6">
        <f>VLOOKUP($A130,'2324 Jun 24 Enroll'!$A$4:$AL$325,22,FALSE)</f>
        <v>144.66999999999999</v>
      </c>
      <c r="E130" s="6">
        <f>VLOOKUP($A130,'2324 Jun 24 Enroll'!$A$4:$AL$325,23,FALSE)</f>
        <v>8.67</v>
      </c>
      <c r="F130" s="6">
        <f>VLOOKUP($A130,'2324 Jun 24 Enroll'!$A$4:$AL$325,24,FALSE)</f>
        <v>3.89</v>
      </c>
      <c r="G130" s="6">
        <f>VLOOKUP($A130,'2324 Jun 24 Enroll'!$A$4:$AL$325,25,FALSE)</f>
        <v>1306.67</v>
      </c>
      <c r="H130" s="6">
        <f>VLOOKUP($A130,'2324 Jun 24 Enroll'!$A$4:$AL$325,26,FALSE)</f>
        <v>550</v>
      </c>
      <c r="I130" s="6">
        <f>VLOOKUP($A130,'2324 Jun 24 Enroll'!$A$4:$AL$325,27,FALSE)</f>
        <v>19231.689999999999</v>
      </c>
      <c r="J130" s="54">
        <f t="shared" si="23"/>
        <v>9.7199999999999995E-2</v>
      </c>
      <c r="K130" s="54">
        <f t="shared" si="24"/>
        <v>0</v>
      </c>
      <c r="L130" s="45">
        <f t="shared" si="28"/>
        <v>1845589.33</v>
      </c>
      <c r="M130" s="68">
        <v>139.5</v>
      </c>
      <c r="N130" s="68">
        <v>23.09</v>
      </c>
      <c r="O130" s="45">
        <f t="shared" si="29"/>
        <v>103031.36</v>
      </c>
      <c r="P130" s="45">
        <f t="shared" si="30"/>
        <v>43746.17</v>
      </c>
      <c r="Q130" s="45">
        <f t="shared" si="31"/>
        <v>15528026.720000001</v>
      </c>
      <c r="R130" s="45">
        <f t="shared" si="32"/>
        <v>6185190.9900000002</v>
      </c>
      <c r="S130" s="45">
        <f t="shared" si="33"/>
        <v>0</v>
      </c>
      <c r="T130" s="6">
        <f>VLOOKUP($A130,'2324 Jun 24 Enroll'!$A$4:$AL$325,31,FALSE)</f>
        <v>1869.12</v>
      </c>
      <c r="U130" s="45">
        <f t="shared" si="25"/>
        <v>19870670.789999999</v>
      </c>
      <c r="V130" s="35">
        <v>9.9299999999999999E-2</v>
      </c>
      <c r="W130" s="45">
        <f t="shared" si="26"/>
        <v>18075748.920000002</v>
      </c>
      <c r="X130" s="35">
        <v>0.22869999999999999</v>
      </c>
      <c r="Y130" s="45">
        <f t="shared" si="27"/>
        <v>4133923.78</v>
      </c>
    </row>
    <row r="131" spans="1:25">
      <c r="A131" t="s">
        <v>761</v>
      </c>
      <c r="B131" t="s">
        <v>762</v>
      </c>
      <c r="C131" s="6">
        <f>VLOOKUP($A131,'SpEd BEA Rate 2324'!$A$4:$AS$325,45,FALSE)</f>
        <v>10633.599999999999</v>
      </c>
      <c r="D131" s="6">
        <f>VLOOKUP($A131,'2324 Jun 24 Enroll'!$A$4:$AL$325,22,FALSE)</f>
        <v>147</v>
      </c>
      <c r="E131" s="6">
        <f>VLOOKUP($A131,'2324 Jun 24 Enroll'!$A$4:$AL$325,23,FALSE)</f>
        <v>0</v>
      </c>
      <c r="F131" s="6">
        <f>VLOOKUP($A131,'2324 Jun 24 Enroll'!$A$4:$AL$325,24,FALSE)</f>
        <v>0</v>
      </c>
      <c r="G131" s="6">
        <f>VLOOKUP($A131,'2324 Jun 24 Enroll'!$A$4:$AL$325,25,FALSE)</f>
        <v>825.33</v>
      </c>
      <c r="H131" s="6">
        <f>VLOOKUP($A131,'2324 Jun 24 Enroll'!$A$4:$AL$325,26,FALSE)</f>
        <v>337.44</v>
      </c>
      <c r="I131" s="6">
        <f>VLOOKUP($A131,'2324 Jun 24 Enroll'!$A$4:$AL$325,27,FALSE)</f>
        <v>9207.74</v>
      </c>
      <c r="J131" s="54">
        <f t="shared" si="23"/>
        <v>0.1263</v>
      </c>
      <c r="K131" s="54">
        <f t="shared" si="24"/>
        <v>0</v>
      </c>
      <c r="L131" s="45">
        <f t="shared" si="28"/>
        <v>1875767.04</v>
      </c>
      <c r="M131" s="68">
        <v>136.27000000000001</v>
      </c>
      <c r="N131" s="68">
        <v>22.56</v>
      </c>
      <c r="O131" s="45">
        <f t="shared" si="29"/>
        <v>0</v>
      </c>
      <c r="P131" s="45">
        <f t="shared" si="30"/>
        <v>0</v>
      </c>
      <c r="Q131" s="45">
        <f t="shared" si="31"/>
        <v>9810757.1300000008</v>
      </c>
      <c r="R131" s="45">
        <f t="shared" si="32"/>
        <v>3795881.46</v>
      </c>
      <c r="S131" s="45">
        <f t="shared" si="33"/>
        <v>0</v>
      </c>
      <c r="T131" s="6">
        <f>VLOOKUP($A131,'2324 Jun 24 Enroll'!$A$4:$AL$325,31,FALSE)</f>
        <v>1157.1099999999999</v>
      </c>
      <c r="U131" s="45">
        <f t="shared" si="25"/>
        <v>12304244.9</v>
      </c>
      <c r="V131" s="35">
        <v>0.12839999999999999</v>
      </c>
      <c r="W131" s="45">
        <f t="shared" si="26"/>
        <v>10904151.810000001</v>
      </c>
      <c r="X131" s="35">
        <v>0.23860000000000001</v>
      </c>
      <c r="Y131" s="45">
        <f t="shared" si="27"/>
        <v>2601730.62</v>
      </c>
    </row>
    <row r="132" spans="1:25">
      <c r="A132" t="s">
        <v>548</v>
      </c>
      <c r="B132" t="s">
        <v>549</v>
      </c>
      <c r="C132" s="6">
        <f>VLOOKUP($A132,'SpEd BEA Rate 2324'!$A$4:$AS$325,45,FALSE)</f>
        <v>10626.579999999998</v>
      </c>
      <c r="D132" s="6">
        <f>VLOOKUP($A132,'2324 Jun 24 Enroll'!$A$4:$AL$325,22,FALSE)</f>
        <v>262.33</v>
      </c>
      <c r="E132" s="6">
        <f>VLOOKUP($A132,'2324 Jun 24 Enroll'!$A$4:$AL$325,23,FALSE)</f>
        <v>0</v>
      </c>
      <c r="F132" s="6">
        <f>VLOOKUP($A132,'2324 Jun 24 Enroll'!$A$4:$AL$325,24,FALSE)</f>
        <v>0</v>
      </c>
      <c r="G132" s="6">
        <f>VLOOKUP($A132,'2324 Jun 24 Enroll'!$A$4:$AL$325,25,FALSE)</f>
        <v>1789.89</v>
      </c>
      <c r="H132" s="6">
        <f>VLOOKUP($A132,'2324 Jun 24 Enroll'!$A$4:$AL$325,26,FALSE)</f>
        <v>830.67</v>
      </c>
      <c r="I132" s="6">
        <f>VLOOKUP($A132,'2324 Jun 24 Enroll'!$A$4:$AL$325,27,FALSE)</f>
        <v>30432.2</v>
      </c>
      <c r="J132" s="54">
        <f t="shared" ref="J132:J195" si="34">ROUND((E132+F132+G132+H132)/I132,4)</f>
        <v>8.6099999999999996E-2</v>
      </c>
      <c r="K132" s="54">
        <f t="shared" ref="K132:K196" si="35">IF(J132&lt;$K$1,0,J132-$K$1)</f>
        <v>0</v>
      </c>
      <c r="L132" s="45">
        <f t="shared" si="28"/>
        <v>3345204.88</v>
      </c>
      <c r="M132" s="68">
        <v>133.97</v>
      </c>
      <c r="N132" s="68">
        <v>22.17</v>
      </c>
      <c r="O132" s="45">
        <f t="shared" si="29"/>
        <v>0</v>
      </c>
      <c r="P132" s="45">
        <f t="shared" si="30"/>
        <v>0</v>
      </c>
      <c r="Q132" s="45">
        <f t="shared" si="31"/>
        <v>21263176.530000001</v>
      </c>
      <c r="R132" s="45">
        <f t="shared" si="32"/>
        <v>9338396.1300000008</v>
      </c>
      <c r="S132" s="45">
        <f t="shared" si="33"/>
        <v>0</v>
      </c>
      <c r="T132" s="6">
        <f>VLOOKUP($A132,'2324 Jun 24 Enroll'!$A$4:$AL$325,31,FALSE)</f>
        <v>2620.11</v>
      </c>
      <c r="U132" s="45">
        <f t="shared" si="25"/>
        <v>27842808.52</v>
      </c>
      <c r="V132" s="35">
        <v>0.1157</v>
      </c>
      <c r="W132" s="45">
        <f t="shared" si="26"/>
        <v>24955461.609999999</v>
      </c>
      <c r="X132" s="35">
        <v>0.2258</v>
      </c>
      <c r="Y132" s="45">
        <f t="shared" si="27"/>
        <v>5634943.2300000004</v>
      </c>
    </row>
    <row r="133" spans="1:25">
      <c r="A133" t="s">
        <v>526</v>
      </c>
      <c r="B133" t="s">
        <v>527</v>
      </c>
      <c r="C133" s="6">
        <f>VLOOKUP($A133,'SpEd BEA Rate 2324'!$A$4:$AS$325,45,FALSE)</f>
        <v>10628.38</v>
      </c>
      <c r="D133" s="6">
        <f>VLOOKUP($A133,'2324 Jun 24 Enroll'!$A$4:$AL$325,22,FALSE)</f>
        <v>373.89</v>
      </c>
      <c r="E133" s="6">
        <f>VLOOKUP($A133,'2324 Jun 24 Enroll'!$A$4:$AL$325,23,FALSE)</f>
        <v>0</v>
      </c>
      <c r="F133" s="6">
        <f>VLOOKUP($A133,'2324 Jun 24 Enroll'!$A$4:$AL$325,24,FALSE)</f>
        <v>0</v>
      </c>
      <c r="G133" s="6">
        <f>VLOOKUP($A133,'2324 Jun 24 Enroll'!$A$4:$AL$325,25,FALSE)</f>
        <v>1706.33</v>
      </c>
      <c r="H133" s="6">
        <f>VLOOKUP($A133,'2324 Jun 24 Enroll'!$A$4:$AL$325,26,FALSE)</f>
        <v>1412.78</v>
      </c>
      <c r="I133" s="6">
        <f>VLOOKUP($A133,'2324 Jun 24 Enroll'!$A$4:$AL$325,27,FALSE)</f>
        <v>25371.08</v>
      </c>
      <c r="J133" s="54">
        <f t="shared" si="34"/>
        <v>0.1229</v>
      </c>
      <c r="K133" s="54">
        <f t="shared" si="35"/>
        <v>0</v>
      </c>
      <c r="L133" s="45">
        <f t="shared" si="28"/>
        <v>4768614</v>
      </c>
      <c r="M133" s="68">
        <v>136.30000000000001</v>
      </c>
      <c r="N133" s="68">
        <v>22.56</v>
      </c>
      <c r="O133" s="45">
        <f t="shared" si="29"/>
        <v>0</v>
      </c>
      <c r="P133" s="45">
        <f t="shared" si="30"/>
        <v>0</v>
      </c>
      <c r="Q133" s="45">
        <f t="shared" si="31"/>
        <v>20273291.68</v>
      </c>
      <c r="R133" s="45">
        <f t="shared" si="32"/>
        <v>15884624.140000001</v>
      </c>
      <c r="S133" s="45">
        <f t="shared" si="33"/>
        <v>0</v>
      </c>
      <c r="T133" s="6">
        <f>VLOOKUP($A133,'2324 Jun 24 Enroll'!$A$4:$AL$325,31,FALSE)</f>
        <v>3100.55</v>
      </c>
      <c r="U133" s="45">
        <f t="shared" si="25"/>
        <v>32953823.609999999</v>
      </c>
      <c r="V133" s="35">
        <v>0.14430000000000001</v>
      </c>
      <c r="W133" s="45">
        <f t="shared" si="26"/>
        <v>28798237.879999999</v>
      </c>
      <c r="X133" s="35">
        <v>0.29880000000000001</v>
      </c>
      <c r="Y133" s="45">
        <f t="shared" si="27"/>
        <v>8604913.4800000004</v>
      </c>
    </row>
    <row r="134" spans="1:25">
      <c r="A134" t="s">
        <v>641</v>
      </c>
      <c r="B134" t="s">
        <v>642</v>
      </c>
      <c r="C134" s="6">
        <f>VLOOKUP($A134,'SpEd BEA Rate 2324'!$A$4:$AS$325,45,FALSE)</f>
        <v>10630.669999999998</v>
      </c>
      <c r="D134" s="6">
        <f>VLOOKUP($A134,'2324 Jun 24 Enroll'!$A$4:$AL$325,22,FALSE)</f>
        <v>294.33</v>
      </c>
      <c r="E134" s="6">
        <f>VLOOKUP($A134,'2324 Jun 24 Enroll'!$A$4:$AL$325,23,FALSE)</f>
        <v>0</v>
      </c>
      <c r="F134" s="6">
        <f>VLOOKUP($A134,'2324 Jun 24 Enroll'!$A$4:$AL$325,24,FALSE)</f>
        <v>0</v>
      </c>
      <c r="G134" s="6">
        <f>VLOOKUP($A134,'2324 Jun 24 Enroll'!$A$4:$AL$325,25,FALSE)</f>
        <v>2078.7800000000002</v>
      </c>
      <c r="H134" s="6">
        <f>VLOOKUP($A134,'2324 Jun 24 Enroll'!$A$4:$AL$325,26,FALSE)</f>
        <v>740.33</v>
      </c>
      <c r="I134" s="6">
        <f>VLOOKUP($A134,'2324 Jun 24 Enroll'!$A$4:$AL$325,27,FALSE)</f>
        <v>22543.35</v>
      </c>
      <c r="J134" s="54">
        <f t="shared" si="34"/>
        <v>0.12509999999999999</v>
      </c>
      <c r="K134" s="54">
        <f t="shared" si="35"/>
        <v>0</v>
      </c>
      <c r="L134" s="45">
        <f t="shared" si="28"/>
        <v>3754710.12</v>
      </c>
      <c r="M134" s="68">
        <v>129.30000000000001</v>
      </c>
      <c r="N134" s="68">
        <v>21.4</v>
      </c>
      <c r="O134" s="45">
        <f t="shared" si="29"/>
        <v>0</v>
      </c>
      <c r="P134" s="45">
        <f t="shared" si="30"/>
        <v>0</v>
      </c>
      <c r="Q134" s="45">
        <f t="shared" si="31"/>
        <v>24706197.190000001</v>
      </c>
      <c r="R134" s="45">
        <f t="shared" si="32"/>
        <v>8326573.0899999999</v>
      </c>
      <c r="S134" s="45">
        <f t="shared" si="33"/>
        <v>0</v>
      </c>
      <c r="T134" s="6">
        <f>VLOOKUP($A134,'2324 Jun 24 Enroll'!$A$4:$AL$325,31,FALSE)</f>
        <v>2814.33</v>
      </c>
      <c r="U134" s="45">
        <f t="shared" si="25"/>
        <v>29918213.5</v>
      </c>
      <c r="V134" s="35">
        <v>0.12939999999999999</v>
      </c>
      <c r="W134" s="45">
        <f t="shared" si="26"/>
        <v>26490360.809999999</v>
      </c>
      <c r="X134" s="35">
        <v>0.21529999999999999</v>
      </c>
      <c r="Y134" s="45">
        <f t="shared" si="27"/>
        <v>5703374.6799999997</v>
      </c>
    </row>
    <row r="135" spans="1:25">
      <c r="A135" t="s">
        <v>911</v>
      </c>
      <c r="B135" t="s">
        <v>906</v>
      </c>
      <c r="C135" s="6">
        <f>VLOOKUP($A135,'SpEd BEA Rate 2324'!$A$4:$AS$325,45,FALSE)</f>
        <v>10764.63</v>
      </c>
      <c r="D135" s="6">
        <f>VLOOKUP($A135,'2324 Jun 24 Enroll'!$A$4:$AL$325,22,FALSE)</f>
        <v>0</v>
      </c>
      <c r="E135" s="6">
        <f>VLOOKUP($A135,'2324 Jun 24 Enroll'!$A$4:$AL$325,23,FALSE)</f>
        <v>0</v>
      </c>
      <c r="F135" s="6">
        <f>VLOOKUP($A135,'2324 Jun 24 Enroll'!$A$4:$AL$325,24,FALSE)</f>
        <v>0</v>
      </c>
      <c r="G135" s="6">
        <f>VLOOKUP($A135,'2324 Jun 24 Enroll'!$A$4:$AL$325,25,FALSE)</f>
        <v>55.33</v>
      </c>
      <c r="H135" s="6">
        <f>VLOOKUP($A135,'2324 Jun 24 Enroll'!$A$4:$AL$325,26,FALSE)</f>
        <v>0.11</v>
      </c>
      <c r="I135" s="6">
        <f>VLOOKUP($A135,'2324 Jun 24 Enroll'!$A$4:$AL$325,27,FALSE)</f>
        <v>222.94</v>
      </c>
      <c r="J135" s="54">
        <f t="shared" si="34"/>
        <v>0.2487</v>
      </c>
      <c r="K135" s="54">
        <f t="shared" si="35"/>
        <v>9.870000000000001E-2</v>
      </c>
      <c r="L135" s="45">
        <f t="shared" si="28"/>
        <v>0</v>
      </c>
      <c r="M135" s="68">
        <v>134.88</v>
      </c>
      <c r="N135" s="68">
        <v>22.32</v>
      </c>
      <c r="O135" s="45">
        <f t="shared" si="29"/>
        <v>0</v>
      </c>
      <c r="P135" s="45">
        <f t="shared" si="30"/>
        <v>0</v>
      </c>
      <c r="Q135" s="45">
        <f t="shared" si="31"/>
        <v>665844.85</v>
      </c>
      <c r="R135" s="45">
        <f t="shared" si="32"/>
        <v>1252.7</v>
      </c>
      <c r="S135" s="45">
        <f t="shared" si="33"/>
        <v>-264746.8</v>
      </c>
      <c r="T135" s="6">
        <f>VLOOKUP($A135,'2324 Jun 24 Enroll'!$A$4:$AL$325,31,FALSE)</f>
        <v>55.44</v>
      </c>
      <c r="U135" s="45">
        <f t="shared" si="25"/>
        <v>596791.09</v>
      </c>
      <c r="V135" s="35">
        <v>0.29099999999999998</v>
      </c>
      <c r="W135" s="45">
        <f t="shared" si="26"/>
        <v>462270.4</v>
      </c>
      <c r="X135" s="35">
        <v>0.13</v>
      </c>
      <c r="Y135" s="45">
        <f t="shared" si="27"/>
        <v>60095.15</v>
      </c>
    </row>
    <row r="136" spans="1:25">
      <c r="A136" t="s">
        <v>899</v>
      </c>
      <c r="B136" t="s">
        <v>900</v>
      </c>
      <c r="C136" s="6">
        <f>VLOOKUP($A136,'SpEd BEA Rate 2324'!$A$4:$AS$325,45,FALSE)</f>
        <v>10420.490000000002</v>
      </c>
      <c r="D136" s="6">
        <f>VLOOKUP($A136,'2324 Jun 24 Enroll'!$A$4:$AL$325,22,FALSE)</f>
        <v>0</v>
      </c>
      <c r="E136" s="6">
        <f>VLOOKUP($A136,'2324 Jun 24 Enroll'!$A$4:$AL$325,23,FALSE)</f>
        <v>0</v>
      </c>
      <c r="F136" s="6">
        <f>VLOOKUP($A136,'2324 Jun 24 Enroll'!$A$4:$AL$325,24,FALSE)</f>
        <v>0</v>
      </c>
      <c r="G136" s="6">
        <f>VLOOKUP($A136,'2324 Jun 24 Enroll'!$A$4:$AL$325,25,FALSE)</f>
        <v>119.22</v>
      </c>
      <c r="H136" s="6">
        <f>VLOOKUP($A136,'2324 Jun 24 Enroll'!$A$4:$AL$325,26,FALSE)</f>
        <v>13.22</v>
      </c>
      <c r="I136" s="6">
        <f>VLOOKUP($A136,'2324 Jun 24 Enroll'!$A$4:$AL$325,27,FALSE)</f>
        <v>534.64</v>
      </c>
      <c r="J136" s="54">
        <f t="shared" si="34"/>
        <v>0.2477</v>
      </c>
      <c r="K136" s="54">
        <f t="shared" si="35"/>
        <v>9.7700000000000009E-2</v>
      </c>
      <c r="L136" s="45">
        <f t="shared" si="28"/>
        <v>0</v>
      </c>
      <c r="M136" s="68">
        <v>134.6</v>
      </c>
      <c r="N136" s="68">
        <v>22.28</v>
      </c>
      <c r="O136" s="45">
        <f t="shared" si="29"/>
        <v>0</v>
      </c>
      <c r="P136" s="45">
        <f t="shared" si="30"/>
        <v>0</v>
      </c>
      <c r="Q136" s="45">
        <f t="shared" si="31"/>
        <v>1388754.29</v>
      </c>
      <c r="R136" s="45">
        <f t="shared" si="32"/>
        <v>145729.87</v>
      </c>
      <c r="S136" s="45">
        <f t="shared" si="33"/>
        <v>-605244.66</v>
      </c>
      <c r="T136" s="6">
        <f>VLOOKUP($A136,'2324 Jun 24 Enroll'!$A$4:$AL$325,31,FALSE)</f>
        <v>132.44</v>
      </c>
      <c r="U136" s="45">
        <f t="shared" si="25"/>
        <v>1380089.7</v>
      </c>
      <c r="V136" s="35">
        <v>3.2800000000000003E-2</v>
      </c>
      <c r="W136" s="45">
        <f t="shared" si="26"/>
        <v>1336260.3600000001</v>
      </c>
      <c r="X136" s="35">
        <v>0.1487</v>
      </c>
      <c r="Y136" s="45">
        <f t="shared" si="27"/>
        <v>198701.92</v>
      </c>
    </row>
    <row r="137" spans="1:25">
      <c r="A137" t="s">
        <v>934</v>
      </c>
      <c r="B137" t="s">
        <v>1009</v>
      </c>
      <c r="C137" s="6">
        <f>VLOOKUP($A137,'SpEd BEA Rate 2324'!$A$4:$AS$325,45,FALSE)</f>
        <v>10666.789999999999</v>
      </c>
      <c r="D137" s="6">
        <f>VLOOKUP($A137,'2324 Jun 24 Enroll'!$A$4:$AL$325,22,FALSE)</f>
        <v>0</v>
      </c>
      <c r="E137" s="6">
        <f>VLOOKUP($A137,'2324 Jun 24 Enroll'!$A$4:$AL$325,23,FALSE)</f>
        <v>0</v>
      </c>
      <c r="F137" s="6">
        <f>VLOOKUP($A137,'2324 Jun 24 Enroll'!$A$4:$AL$325,24,FALSE)</f>
        <v>0</v>
      </c>
      <c r="G137" s="6">
        <f>VLOOKUP($A137,'2324 Jun 24 Enroll'!$A$4:$AL$325,25,FALSE)</f>
        <v>107</v>
      </c>
      <c r="H137" s="6">
        <f>VLOOKUP($A137,'2324 Jun 24 Enroll'!$A$4:$AL$325,26,FALSE)</f>
        <v>1.22</v>
      </c>
      <c r="I137" s="6">
        <f>VLOOKUP($A137,'2324 Jun 24 Enroll'!$A$4:$AL$325,27,FALSE)</f>
        <v>535.95000000000005</v>
      </c>
      <c r="J137" s="54">
        <f t="shared" si="34"/>
        <v>0.2019</v>
      </c>
      <c r="K137" s="54">
        <f t="shared" si="35"/>
        <v>5.1900000000000002E-2</v>
      </c>
      <c r="L137" s="45">
        <f t="shared" si="28"/>
        <v>0</v>
      </c>
      <c r="M137" s="68">
        <v>134.88</v>
      </c>
      <c r="N137" s="68">
        <v>22.32</v>
      </c>
      <c r="O137" s="45">
        <f t="shared" si="29"/>
        <v>0</v>
      </c>
      <c r="P137" s="45">
        <f t="shared" si="30"/>
        <v>0</v>
      </c>
      <c r="Q137" s="45">
        <f t="shared" si="31"/>
        <v>1275919.8700000001</v>
      </c>
      <c r="R137" s="45">
        <f t="shared" si="32"/>
        <v>13767.06</v>
      </c>
      <c r="S137" s="45">
        <f t="shared" si="33"/>
        <v>-331524.28000000003</v>
      </c>
      <c r="T137" s="6">
        <f>VLOOKUP($A137,'2324 Jun 24 Enroll'!$A$4:$AL$325,31,FALSE)</f>
        <v>108.22</v>
      </c>
      <c r="U137" s="45">
        <f t="shared" si="25"/>
        <v>1154360.01</v>
      </c>
      <c r="V137" s="35">
        <v>0.25729999999999997</v>
      </c>
      <c r="W137" s="45">
        <f t="shared" si="26"/>
        <v>918126.15</v>
      </c>
      <c r="X137" s="35">
        <v>0.13009999999999999</v>
      </c>
      <c r="Y137" s="45">
        <f t="shared" si="27"/>
        <v>119448.21</v>
      </c>
    </row>
    <row r="138" spans="1:25">
      <c r="A138" t="s">
        <v>909</v>
      </c>
      <c r="B138" t="s">
        <v>904</v>
      </c>
      <c r="C138" s="6">
        <f>VLOOKUP($A138,'SpEd BEA Rate 2324'!$A$4:$AS$325,45,FALSE)</f>
        <v>10564.4</v>
      </c>
      <c r="D138" s="6">
        <f>VLOOKUP($A138,'2324 Jun 24 Enroll'!$A$4:$AL$325,22,FALSE)</f>
        <v>0</v>
      </c>
      <c r="E138" s="6">
        <f>VLOOKUP($A138,'2324 Jun 24 Enroll'!$A$4:$AL$325,23,FALSE)</f>
        <v>0</v>
      </c>
      <c r="F138" s="6">
        <f>VLOOKUP($A138,'2324 Jun 24 Enroll'!$A$4:$AL$325,24,FALSE)</f>
        <v>0</v>
      </c>
      <c r="G138" s="6">
        <f>VLOOKUP($A138,'2324 Jun 24 Enroll'!$A$4:$AL$325,25,FALSE)</f>
        <v>29.44</v>
      </c>
      <c r="H138" s="6">
        <f>VLOOKUP($A138,'2324 Jun 24 Enroll'!$A$4:$AL$325,26,FALSE)</f>
        <v>0</v>
      </c>
      <c r="I138" s="6">
        <f>VLOOKUP($A138,'2324 Jun 24 Enroll'!$A$4:$AL$325,27,FALSE)</f>
        <v>331.2</v>
      </c>
      <c r="J138" s="54">
        <f t="shared" si="34"/>
        <v>8.8900000000000007E-2</v>
      </c>
      <c r="K138" s="54">
        <f t="shared" si="35"/>
        <v>0</v>
      </c>
      <c r="L138" s="45">
        <f t="shared" si="28"/>
        <v>0</v>
      </c>
      <c r="M138" s="68">
        <v>137.56</v>
      </c>
      <c r="N138" s="68">
        <v>22.77</v>
      </c>
      <c r="O138" s="45">
        <f t="shared" si="29"/>
        <v>0</v>
      </c>
      <c r="P138" s="45">
        <f t="shared" si="30"/>
        <v>0</v>
      </c>
      <c r="Q138" s="45">
        <f t="shared" si="31"/>
        <v>347667.5</v>
      </c>
      <c r="R138" s="45">
        <f t="shared" si="32"/>
        <v>0</v>
      </c>
      <c r="S138" s="45">
        <f t="shared" si="33"/>
        <v>0</v>
      </c>
      <c r="T138" s="6">
        <f>VLOOKUP($A138,'2324 Jun 24 Enroll'!$A$4:$AL$325,31,FALSE)</f>
        <v>29.44</v>
      </c>
      <c r="U138" s="45">
        <f t="shared" si="25"/>
        <v>311015.94</v>
      </c>
      <c r="V138" s="35">
        <v>0.27739999999999998</v>
      </c>
      <c r="W138" s="45">
        <f t="shared" si="26"/>
        <v>243475.76</v>
      </c>
      <c r="X138" s="35">
        <v>0.1086</v>
      </c>
      <c r="Y138" s="45">
        <f t="shared" si="27"/>
        <v>26441.47</v>
      </c>
    </row>
    <row r="139" spans="1:25">
      <c r="A139" t="s">
        <v>933</v>
      </c>
      <c r="B139" t="s">
        <v>1010</v>
      </c>
      <c r="C139" s="6">
        <f>VLOOKUP($A139,'SpEd BEA Rate 2324'!$A$4:$AS$325,45,FALSE)</f>
        <v>10658.529999999999</v>
      </c>
      <c r="D139" s="6">
        <f>VLOOKUP($A139,'2324 Jun 24 Enroll'!$A$4:$AL$325,22,FALSE)</f>
        <v>0</v>
      </c>
      <c r="E139" s="6">
        <f>VLOOKUP($A139,'2324 Jun 24 Enroll'!$A$4:$AL$325,23,FALSE)</f>
        <v>0</v>
      </c>
      <c r="F139" s="6">
        <f>VLOOKUP($A139,'2324 Jun 24 Enroll'!$A$4:$AL$325,24,FALSE)</f>
        <v>0</v>
      </c>
      <c r="G139" s="6">
        <f>VLOOKUP($A139,'2324 Jun 24 Enroll'!$A$4:$AL$325,25,FALSE)</f>
        <v>31.22</v>
      </c>
      <c r="H139" s="6">
        <f>VLOOKUP($A139,'2324 Jun 24 Enroll'!$A$4:$AL$325,26,FALSE)</f>
        <v>1</v>
      </c>
      <c r="I139" s="6">
        <f>VLOOKUP($A139,'2324 Jun 24 Enroll'!$A$4:$AL$325,27,FALSE)</f>
        <v>150.78</v>
      </c>
      <c r="J139" s="54">
        <f t="shared" si="34"/>
        <v>0.2137</v>
      </c>
      <c r="K139" s="54">
        <f t="shared" si="35"/>
        <v>6.3700000000000007E-2</v>
      </c>
      <c r="L139" s="45">
        <f t="shared" si="28"/>
        <v>0</v>
      </c>
      <c r="M139" s="68">
        <v>134.88</v>
      </c>
      <c r="N139" s="68">
        <v>22.32</v>
      </c>
      <c r="O139" s="45">
        <f t="shared" si="29"/>
        <v>0</v>
      </c>
      <c r="P139" s="45">
        <f t="shared" si="30"/>
        <v>0</v>
      </c>
      <c r="Q139" s="45">
        <f t="shared" si="31"/>
        <v>371993.59</v>
      </c>
      <c r="R139" s="45">
        <f t="shared" si="32"/>
        <v>11275.72</v>
      </c>
      <c r="S139" s="45">
        <f t="shared" si="33"/>
        <v>-114245.46</v>
      </c>
      <c r="T139" s="6">
        <f>VLOOKUP($A139,'2324 Jun 24 Enroll'!$A$4:$AL$325,31,FALSE)</f>
        <v>32.22</v>
      </c>
      <c r="U139" s="45">
        <f t="shared" si="25"/>
        <v>343417.84</v>
      </c>
      <c r="V139" s="35">
        <v>0.55630000000000002</v>
      </c>
      <c r="W139" s="45">
        <f t="shared" si="26"/>
        <v>220663.01</v>
      </c>
      <c r="X139" s="35">
        <v>0.19139999999999999</v>
      </c>
      <c r="Y139" s="45">
        <f t="shared" si="27"/>
        <v>42234.9</v>
      </c>
    </row>
    <row r="140" spans="1:25">
      <c r="A140" t="s">
        <v>997</v>
      </c>
      <c r="B140" t="s">
        <v>1011</v>
      </c>
      <c r="C140" s="6">
        <f>VLOOKUP($A140,'SpEd BEA Rate 2324'!$A$4:$AS$325,45,FALSE)</f>
        <v>10564.4</v>
      </c>
      <c r="D140" s="6">
        <f>VLOOKUP($A140,'2324 Jun 24 Enroll'!$A$4:$AL$325,22,FALSE)</f>
        <v>0</v>
      </c>
      <c r="E140" s="6">
        <f>VLOOKUP($A140,'2324 Jun 24 Enroll'!$A$4:$AL$325,23,FALSE)</f>
        <v>0</v>
      </c>
      <c r="F140" s="6">
        <f>VLOOKUP($A140,'2324 Jun 24 Enroll'!$A$4:$AL$325,24,FALSE)</f>
        <v>0</v>
      </c>
      <c r="G140" s="6">
        <f>VLOOKUP($A140,'2324 Jun 24 Enroll'!$A$4:$AL$325,25,FALSE)</f>
        <v>44.56</v>
      </c>
      <c r="H140" s="6">
        <f>VLOOKUP($A140,'2324 Jun 24 Enroll'!$A$4:$AL$325,26,FALSE)</f>
        <v>6.22</v>
      </c>
      <c r="I140" s="6">
        <f>VLOOKUP($A140,'2324 Jun 24 Enroll'!$A$4:$AL$325,27,FALSE)</f>
        <v>482.1</v>
      </c>
      <c r="J140" s="54">
        <f t="shared" si="34"/>
        <v>0.1053</v>
      </c>
      <c r="K140" s="54">
        <f t="shared" si="35"/>
        <v>0</v>
      </c>
      <c r="L140" s="45">
        <f t="shared" si="28"/>
        <v>0</v>
      </c>
      <c r="M140" s="68">
        <v>146.12</v>
      </c>
      <c r="N140" s="68">
        <v>24.19</v>
      </c>
      <c r="O140" s="45">
        <f t="shared" si="29"/>
        <v>0</v>
      </c>
      <c r="P140" s="45">
        <f t="shared" si="30"/>
        <v>0</v>
      </c>
      <c r="Q140" s="45">
        <f t="shared" si="31"/>
        <v>526161.72</v>
      </c>
      <c r="R140" s="45">
        <f t="shared" si="32"/>
        <v>69502.740000000005</v>
      </c>
      <c r="S140" s="45">
        <f t="shared" si="33"/>
        <v>0</v>
      </c>
      <c r="T140" s="6">
        <f>VLOOKUP($A140,'2324 Jun 24 Enroll'!$A$4:$AL$325,31,FALSE)</f>
        <v>50.78</v>
      </c>
      <c r="U140" s="45">
        <f t="shared" si="25"/>
        <v>536460.23</v>
      </c>
      <c r="V140" s="35">
        <v>0.34110000000000001</v>
      </c>
      <c r="W140" s="45">
        <f t="shared" si="26"/>
        <v>400015.08</v>
      </c>
      <c r="X140" s="35">
        <v>0.10150000000000001</v>
      </c>
      <c r="Y140" s="45">
        <f t="shared" si="27"/>
        <v>40601.53</v>
      </c>
    </row>
    <row r="141" spans="1:25">
      <c r="A141" t="s">
        <v>1012</v>
      </c>
      <c r="B141" t="s">
        <v>1013</v>
      </c>
      <c r="C141" s="6">
        <f>VLOOKUP($A141,'SpEd BEA Rate 2324'!$A$4:$AS$325,45,FALSE)</f>
        <v>10564.4</v>
      </c>
      <c r="D141" s="6">
        <f>VLOOKUP($A141,'2324 Jun 24 Enroll'!$A$4:$AL$325,22,FALSE)</f>
        <v>0</v>
      </c>
      <c r="E141" s="6">
        <f>VLOOKUP($A141,'2324 Jun 24 Enroll'!$A$4:$AL$325,23,FALSE)</f>
        <v>0</v>
      </c>
      <c r="F141" s="6">
        <f>VLOOKUP($A141,'2324 Jun 24 Enroll'!$A$4:$AL$325,24,FALSE)</f>
        <v>0</v>
      </c>
      <c r="G141" s="6">
        <f>VLOOKUP($A141,'2324 Jun 24 Enroll'!$A$4:$AL$325,25,FALSE)</f>
        <v>16.89</v>
      </c>
      <c r="H141" s="6">
        <f>VLOOKUP($A141,'2324 Jun 24 Enroll'!$A$4:$AL$325,26,FALSE)</f>
        <v>1</v>
      </c>
      <c r="I141" s="6">
        <f>VLOOKUP($A141,'2324 Jun 24 Enroll'!$A$4:$AL$325,27,FALSE)</f>
        <v>311.60000000000002</v>
      </c>
      <c r="J141" s="54">
        <f t="shared" si="34"/>
        <v>5.74E-2</v>
      </c>
      <c r="K141" s="54">
        <f t="shared" si="35"/>
        <v>0</v>
      </c>
      <c r="L141" s="45">
        <f t="shared" si="28"/>
        <v>0</v>
      </c>
      <c r="M141" s="68">
        <v>146.12</v>
      </c>
      <c r="N141" s="68">
        <v>24.19</v>
      </c>
      <c r="O141" s="45">
        <f t="shared" si="29"/>
        <v>0</v>
      </c>
      <c r="P141" s="45">
        <f t="shared" si="30"/>
        <v>0</v>
      </c>
      <c r="Q141" s="45">
        <f t="shared" si="31"/>
        <v>199436.07</v>
      </c>
      <c r="R141" s="45">
        <f t="shared" si="32"/>
        <v>11174.07</v>
      </c>
      <c r="S141" s="45">
        <f t="shared" si="33"/>
        <v>0</v>
      </c>
      <c r="T141" s="6">
        <f>VLOOKUP($A141,'2324 Jun 24 Enroll'!$A$4:$AL$325,31,FALSE)</f>
        <v>17.89</v>
      </c>
      <c r="U141" s="45">
        <f t="shared" si="25"/>
        <v>188997.12</v>
      </c>
      <c r="V141" s="35">
        <v>0.14399999999999999</v>
      </c>
      <c r="W141" s="45">
        <f t="shared" si="26"/>
        <v>165207.26999999999</v>
      </c>
      <c r="X141" s="35">
        <v>0.08</v>
      </c>
      <c r="Y141" s="45">
        <f t="shared" si="27"/>
        <v>13216.58</v>
      </c>
    </row>
    <row r="142" spans="1:25">
      <c r="A142" t="s">
        <v>1014</v>
      </c>
      <c r="B142" t="s">
        <v>1031</v>
      </c>
      <c r="C142" s="6">
        <f>VLOOKUP($A142,'SpEd BEA Rate 2324'!$A$4:$AS$325,45,FALSE)</f>
        <v>10764.63</v>
      </c>
      <c r="D142" s="6">
        <f>VLOOKUP($A142,'2324 Jun 24 Enroll'!$A$4:$AL$325,22,FALSE)</f>
        <v>0</v>
      </c>
      <c r="E142" s="6">
        <f>VLOOKUP($A142,'2324 Jun 24 Enroll'!$A$4:$AL$325,23,FALSE)</f>
        <v>0</v>
      </c>
      <c r="F142" s="6">
        <f>VLOOKUP($A142,'2324 Jun 24 Enroll'!$A$4:$AL$325,24,FALSE)</f>
        <v>0</v>
      </c>
      <c r="G142" s="6">
        <f>VLOOKUP($A142,'2324 Jun 24 Enroll'!$A$4:$AL$325,25,FALSE)</f>
        <v>27.44</v>
      </c>
      <c r="H142" s="6">
        <f>VLOOKUP($A142,'2324 Jun 24 Enroll'!$A$4:$AL$325,26,FALSE)</f>
        <v>1.1100000000000001</v>
      </c>
      <c r="I142" s="6">
        <f>VLOOKUP($A142,'2324 Jun 24 Enroll'!$A$4:$AL$325,27,FALSE)</f>
        <v>164.91</v>
      </c>
      <c r="J142" s="54">
        <f t="shared" si="34"/>
        <v>0.1731</v>
      </c>
      <c r="K142" s="54">
        <f t="shared" si="35"/>
        <v>2.3100000000000009E-2</v>
      </c>
      <c r="L142" s="45">
        <f t="shared" si="28"/>
        <v>0</v>
      </c>
      <c r="M142" s="68">
        <v>137.56</v>
      </c>
      <c r="N142" s="68">
        <v>22.77</v>
      </c>
      <c r="O142" s="45">
        <f t="shared" si="29"/>
        <v>0</v>
      </c>
      <c r="P142" s="45">
        <f t="shared" si="30"/>
        <v>0</v>
      </c>
      <c r="Q142" s="45">
        <f t="shared" si="31"/>
        <v>330202.40999999997</v>
      </c>
      <c r="R142" s="45">
        <f t="shared" si="32"/>
        <v>12640.39</v>
      </c>
      <c r="S142" s="45">
        <f t="shared" si="33"/>
        <v>-45751.99</v>
      </c>
      <c r="T142" s="6">
        <f>VLOOKUP($A142,'2324 Jun 24 Enroll'!$A$4:$AL$325,31,FALSE)</f>
        <v>28.55</v>
      </c>
      <c r="U142" s="45">
        <f t="shared" si="25"/>
        <v>307330.19</v>
      </c>
      <c r="V142" s="35">
        <v>0.14399999999999999</v>
      </c>
      <c r="W142" s="45">
        <f t="shared" si="26"/>
        <v>268645.27</v>
      </c>
      <c r="X142" s="35">
        <v>0.1852</v>
      </c>
      <c r="Y142" s="45">
        <f t="shared" si="27"/>
        <v>49753.1</v>
      </c>
    </row>
    <row r="143" spans="1:25">
      <c r="A143" t="s">
        <v>1091</v>
      </c>
      <c r="B143" t="s">
        <v>1092</v>
      </c>
      <c r="C143" s="6">
        <f>VLOOKUP($A143,'SpEd BEA Rate 2324'!$A$4:$AS$325,45,FALSE)</f>
        <v>10564.4</v>
      </c>
      <c r="D143" s="6">
        <f>VLOOKUP($A143,'2324 Jun 24 Enroll'!$A$4:$AL$325,22,FALSE)</f>
        <v>0</v>
      </c>
      <c r="E143" s="6">
        <f>VLOOKUP($A143,'2324 Jun 24 Enroll'!$A$4:$AL$325,23,FALSE)</f>
        <v>0</v>
      </c>
      <c r="F143" s="6">
        <f>VLOOKUP($A143,'2324 Jun 24 Enroll'!$A$4:$AL$325,24,FALSE)</f>
        <v>0</v>
      </c>
      <c r="G143" s="6">
        <f>VLOOKUP($A143,'2324 Jun 24 Enroll'!$A$4:$AL$325,25,FALSE)</f>
        <v>12.88</v>
      </c>
      <c r="H143" s="6">
        <f>VLOOKUP($A143,'2324 Jun 24 Enroll'!$A$4:$AL$325,26,FALSE)</f>
        <v>0.88</v>
      </c>
      <c r="I143" s="6">
        <f>VLOOKUP($A143,'2324 Jun 24 Enroll'!$A$4:$AL$325,27,FALSE)</f>
        <v>124</v>
      </c>
      <c r="J143" s="54">
        <f t="shared" si="34"/>
        <v>0.111</v>
      </c>
      <c r="K143" s="54">
        <f t="shared" si="35"/>
        <v>0</v>
      </c>
      <c r="L143" s="45">
        <f t="shared" si="28"/>
        <v>0</v>
      </c>
      <c r="M143" s="47">
        <v>128.38</v>
      </c>
      <c r="N143" s="47">
        <v>22.75</v>
      </c>
      <c r="O143" s="45">
        <f t="shared" si="29"/>
        <v>0</v>
      </c>
      <c r="P143" s="45">
        <f t="shared" si="30"/>
        <v>0</v>
      </c>
      <c r="Q143" s="45">
        <f t="shared" si="31"/>
        <v>152104.79</v>
      </c>
      <c r="R143" s="45">
        <f t="shared" si="32"/>
        <v>9834.4500000000007</v>
      </c>
      <c r="S143" s="45">
        <f t="shared" si="33"/>
        <v>0</v>
      </c>
      <c r="T143" s="6">
        <f>VLOOKUP($A143,'2324 Jun 24 Enroll'!$A$4:$AL$325,31,FALSE)</f>
        <v>13.89</v>
      </c>
      <c r="U143" s="45">
        <f t="shared" si="25"/>
        <v>146739.51999999999</v>
      </c>
      <c r="V143" s="35">
        <v>0.12909999999999999</v>
      </c>
      <c r="W143" s="45">
        <f t="shared" si="26"/>
        <v>129961.49</v>
      </c>
      <c r="X143" s="35">
        <v>0.28960000000000002</v>
      </c>
      <c r="Y143" s="45">
        <f t="shared" si="27"/>
        <v>37636.85</v>
      </c>
    </row>
    <row r="144" spans="1:25">
      <c r="A144" t="s">
        <v>347</v>
      </c>
      <c r="B144" t="s">
        <v>348</v>
      </c>
      <c r="C144" s="6">
        <f>VLOOKUP($A144,'SpEd BEA Rate 2324'!$A$4:$AS$325,45,FALSE)</f>
        <v>10637.9</v>
      </c>
      <c r="D144" s="6">
        <f>VLOOKUP($A144,'2324 Jun 24 Enroll'!$A$4:$AL$325,22,FALSE)</f>
        <v>100.78</v>
      </c>
      <c r="E144" s="6">
        <f>VLOOKUP($A144,'2324 Jun 24 Enroll'!$A$4:$AL$325,23,FALSE)</f>
        <v>0</v>
      </c>
      <c r="F144" s="6">
        <f>VLOOKUP($A144,'2324 Jun 24 Enroll'!$A$4:$AL$325,24,FALSE)</f>
        <v>0</v>
      </c>
      <c r="G144" s="6">
        <f>VLOOKUP($A144,'2324 Jun 24 Enroll'!$A$4:$AL$325,25,FALSE)</f>
        <v>435.78</v>
      </c>
      <c r="H144" s="6">
        <f>VLOOKUP($A144,'2324 Jun 24 Enroll'!$A$4:$AL$325,26,FALSE)</f>
        <v>293.22000000000003</v>
      </c>
      <c r="I144" s="6">
        <f>VLOOKUP($A144,'2324 Jun 24 Enroll'!$A$4:$AL$325,27,FALSE)</f>
        <v>4281.8599999999997</v>
      </c>
      <c r="J144" s="54">
        <f t="shared" si="34"/>
        <v>0.17030000000000001</v>
      </c>
      <c r="K144" s="54">
        <f t="shared" si="35"/>
        <v>2.0300000000000012E-2</v>
      </c>
      <c r="L144" s="45">
        <f t="shared" si="28"/>
        <v>1286505.07</v>
      </c>
      <c r="M144" s="68">
        <v>124.87</v>
      </c>
      <c r="N144" s="68">
        <v>20.67</v>
      </c>
      <c r="O144" s="45">
        <f t="shared" si="29"/>
        <v>0</v>
      </c>
      <c r="P144" s="45">
        <f t="shared" si="30"/>
        <v>0</v>
      </c>
      <c r="Q144" s="45">
        <f t="shared" si="31"/>
        <v>5183070.58</v>
      </c>
      <c r="R144" s="45">
        <f t="shared" si="32"/>
        <v>3300338.88</v>
      </c>
      <c r="S144" s="45">
        <f t="shared" si="33"/>
        <v>-1011234.36</v>
      </c>
      <c r="T144" s="6">
        <f>VLOOKUP($A144,'2324 Jun 24 Enroll'!$A$4:$AL$325,31,FALSE)</f>
        <v>729</v>
      </c>
      <c r="U144" s="45">
        <f t="shared" si="25"/>
        <v>7755029.0999999996</v>
      </c>
      <c r="V144" s="35">
        <v>0.1573</v>
      </c>
      <c r="W144" s="45">
        <f t="shared" si="26"/>
        <v>6700966.9900000002</v>
      </c>
      <c r="X144" s="35">
        <v>0.26850000000000002</v>
      </c>
      <c r="Y144" s="45">
        <f t="shared" si="27"/>
        <v>1799209.64</v>
      </c>
    </row>
    <row r="145" spans="1:25">
      <c r="A145" t="s">
        <v>329</v>
      </c>
      <c r="B145" t="s">
        <v>330</v>
      </c>
      <c r="C145" s="6">
        <f>VLOOKUP($A145,'SpEd BEA Rate 2324'!$A$4:$AS$325,45,FALSE)</f>
        <v>10838.22</v>
      </c>
      <c r="D145" s="6">
        <f>VLOOKUP($A145,'2324 Jun 24 Enroll'!$A$4:$AL$325,22,FALSE)</f>
        <v>33.78</v>
      </c>
      <c r="E145" s="6">
        <f>VLOOKUP($A145,'2324 Jun 24 Enroll'!$A$4:$AL$325,23,FALSE)</f>
        <v>0</v>
      </c>
      <c r="F145" s="6">
        <f>VLOOKUP($A145,'2324 Jun 24 Enroll'!$A$4:$AL$325,24,FALSE)</f>
        <v>0</v>
      </c>
      <c r="G145" s="6">
        <f>VLOOKUP($A145,'2324 Jun 24 Enroll'!$A$4:$AL$325,25,FALSE)</f>
        <v>331</v>
      </c>
      <c r="H145" s="6">
        <f>VLOOKUP($A145,'2324 Jun 24 Enroll'!$A$4:$AL$325,26,FALSE)</f>
        <v>98.89</v>
      </c>
      <c r="I145" s="6">
        <f>VLOOKUP($A145,'2324 Jun 24 Enroll'!$A$4:$AL$325,27,FALSE)</f>
        <v>3470.75</v>
      </c>
      <c r="J145" s="54">
        <f t="shared" si="34"/>
        <v>0.1239</v>
      </c>
      <c r="K145" s="54">
        <f t="shared" si="35"/>
        <v>0</v>
      </c>
      <c r="L145" s="45">
        <f t="shared" si="28"/>
        <v>439338.09</v>
      </c>
      <c r="M145" s="68">
        <v>126.97</v>
      </c>
      <c r="N145" s="68">
        <v>21.02</v>
      </c>
      <c r="O145" s="45">
        <f t="shared" si="29"/>
        <v>0</v>
      </c>
      <c r="P145" s="45">
        <f t="shared" si="30"/>
        <v>0</v>
      </c>
      <c r="Q145" s="45">
        <f t="shared" si="31"/>
        <v>4010987.3</v>
      </c>
      <c r="R145" s="45">
        <f t="shared" si="32"/>
        <v>1134020.3999999999</v>
      </c>
      <c r="S145" s="45">
        <f t="shared" si="33"/>
        <v>0</v>
      </c>
      <c r="T145" s="6">
        <f>VLOOKUP($A145,'2324 Jun 24 Enroll'!$A$4:$AL$325,31,FALSE)</f>
        <v>429.89</v>
      </c>
      <c r="U145" s="45">
        <f t="shared" si="25"/>
        <v>4659242.4000000004</v>
      </c>
      <c r="V145" s="35">
        <v>0.17050000000000001</v>
      </c>
      <c r="W145" s="45">
        <f t="shared" si="26"/>
        <v>3980557.37</v>
      </c>
      <c r="X145" s="35">
        <v>0.20449999999999999</v>
      </c>
      <c r="Y145" s="45">
        <f t="shared" si="27"/>
        <v>814023.98</v>
      </c>
    </row>
    <row r="146" spans="1:25">
      <c r="A146" t="s">
        <v>631</v>
      </c>
      <c r="B146" t="s">
        <v>632</v>
      </c>
      <c r="C146" s="6">
        <f>VLOOKUP($A146,'SpEd BEA Rate 2324'!$A$4:$AS$325,45,FALSE)</f>
        <v>10833.05</v>
      </c>
      <c r="D146" s="6">
        <f>VLOOKUP($A146,'2324 Jun 24 Enroll'!$A$4:$AL$325,22,FALSE)</f>
        <v>74.67</v>
      </c>
      <c r="E146" s="6">
        <f>VLOOKUP($A146,'2324 Jun 24 Enroll'!$A$4:$AL$325,23,FALSE)</f>
        <v>0</v>
      </c>
      <c r="F146" s="6">
        <f>VLOOKUP($A146,'2324 Jun 24 Enroll'!$A$4:$AL$325,24,FALSE)</f>
        <v>0</v>
      </c>
      <c r="G146" s="6">
        <f>VLOOKUP($A146,'2324 Jun 24 Enroll'!$A$4:$AL$325,25,FALSE)</f>
        <v>463.22</v>
      </c>
      <c r="H146" s="6">
        <f>VLOOKUP($A146,'2324 Jun 24 Enroll'!$A$4:$AL$325,26,FALSE)</f>
        <v>206.78</v>
      </c>
      <c r="I146" s="6">
        <f>VLOOKUP($A146,'2324 Jun 24 Enroll'!$A$4:$AL$325,27,FALSE)</f>
        <v>5336.08</v>
      </c>
      <c r="J146" s="54">
        <f t="shared" si="34"/>
        <v>0.12559999999999999</v>
      </c>
      <c r="K146" s="54">
        <f t="shared" si="35"/>
        <v>0</v>
      </c>
      <c r="L146" s="45">
        <f t="shared" si="28"/>
        <v>970684.61</v>
      </c>
      <c r="M146" s="68">
        <v>128.11000000000001</v>
      </c>
      <c r="N146" s="68">
        <v>21.2</v>
      </c>
      <c r="O146" s="45">
        <f t="shared" si="29"/>
        <v>0</v>
      </c>
      <c r="P146" s="45">
        <f t="shared" si="30"/>
        <v>0</v>
      </c>
      <c r="Q146" s="45">
        <f t="shared" si="31"/>
        <v>5610435.4100000001</v>
      </c>
      <c r="R146" s="45">
        <f t="shared" si="32"/>
        <v>2370077.83</v>
      </c>
      <c r="S146" s="45">
        <f t="shared" si="33"/>
        <v>0</v>
      </c>
      <c r="T146" s="6">
        <f>VLOOKUP($A146,'2324 Jun 24 Enroll'!$A$4:$AL$325,31,FALSE)</f>
        <v>669</v>
      </c>
      <c r="U146" s="45">
        <f t="shared" si="25"/>
        <v>7247310.4500000002</v>
      </c>
      <c r="V146" s="35">
        <v>0.1842</v>
      </c>
      <c r="W146" s="45">
        <f t="shared" si="26"/>
        <v>6120005.4500000002</v>
      </c>
      <c r="X146" s="35">
        <v>0.20250000000000001</v>
      </c>
      <c r="Y146" s="45">
        <f t="shared" si="27"/>
        <v>1239301.1000000001</v>
      </c>
    </row>
    <row r="147" spans="1:25">
      <c r="A147" t="s">
        <v>370</v>
      </c>
      <c r="B147" t="s">
        <v>371</v>
      </c>
      <c r="C147" s="6">
        <f>VLOOKUP($A147,'SpEd BEA Rate 2324'!$A$4:$AS$325,45,FALSE)</f>
        <v>10832.439999999999</v>
      </c>
      <c r="D147" s="6">
        <f>VLOOKUP($A147,'2324 Jun 24 Enroll'!$A$4:$AL$325,22,FALSE)</f>
        <v>154.22</v>
      </c>
      <c r="E147" s="6">
        <f>VLOOKUP($A147,'2324 Jun 24 Enroll'!$A$4:$AL$325,23,FALSE)</f>
        <v>0</v>
      </c>
      <c r="F147" s="6">
        <f>VLOOKUP($A147,'2324 Jun 24 Enroll'!$A$4:$AL$325,24,FALSE)</f>
        <v>0</v>
      </c>
      <c r="G147" s="6">
        <f>VLOOKUP($A147,'2324 Jun 24 Enroll'!$A$4:$AL$325,25,FALSE)</f>
        <v>1104</v>
      </c>
      <c r="H147" s="6">
        <f>VLOOKUP($A147,'2324 Jun 24 Enroll'!$A$4:$AL$325,26,FALSE)</f>
        <v>558.22</v>
      </c>
      <c r="I147" s="6">
        <f>VLOOKUP($A147,'2324 Jun 24 Enroll'!$A$4:$AL$325,27,FALSE)</f>
        <v>10827.1</v>
      </c>
      <c r="J147" s="54">
        <f t="shared" si="34"/>
        <v>0.1535</v>
      </c>
      <c r="K147" s="54">
        <f t="shared" si="35"/>
        <v>3.5000000000000031E-3</v>
      </c>
      <c r="L147" s="45">
        <f t="shared" si="28"/>
        <v>2004694.68</v>
      </c>
      <c r="M147" s="68">
        <v>126.3</v>
      </c>
      <c r="N147" s="68">
        <v>20.9</v>
      </c>
      <c r="O147" s="45">
        <f t="shared" si="29"/>
        <v>0</v>
      </c>
      <c r="P147" s="45">
        <f t="shared" si="30"/>
        <v>0</v>
      </c>
      <c r="Q147" s="45">
        <f t="shared" si="31"/>
        <v>13371021.810000001</v>
      </c>
      <c r="R147" s="45">
        <f t="shared" si="32"/>
        <v>6398030.9400000004</v>
      </c>
      <c r="S147" s="45">
        <f t="shared" si="33"/>
        <v>-450760.16</v>
      </c>
      <c r="T147" s="6">
        <f>VLOOKUP($A147,'2324 Jun 24 Enroll'!$A$4:$AL$325,31,FALSE)</f>
        <v>1662.11</v>
      </c>
      <c r="U147" s="45">
        <f t="shared" si="25"/>
        <v>18004706.850000001</v>
      </c>
      <c r="V147" s="35">
        <v>0.13589999999999999</v>
      </c>
      <c r="W147" s="45">
        <f t="shared" si="26"/>
        <v>15850609.08</v>
      </c>
      <c r="X147" s="35">
        <v>0.27210000000000001</v>
      </c>
      <c r="Y147" s="45">
        <f t="shared" si="27"/>
        <v>4312950.7300000004</v>
      </c>
    </row>
    <row r="148" spans="1:25">
      <c r="A148" t="s">
        <v>775</v>
      </c>
      <c r="B148" t="s">
        <v>776</v>
      </c>
      <c r="C148" s="6">
        <f>VLOOKUP($A148,'SpEd BEA Rate 2324'!$A$4:$AS$325,45,FALSE)</f>
        <v>10627.46</v>
      </c>
      <c r="D148" s="6">
        <f>VLOOKUP($A148,'2324 Jun 24 Enroll'!$A$4:$AL$325,22,FALSE)</f>
        <v>138.11000000000001</v>
      </c>
      <c r="E148" s="6">
        <f>VLOOKUP($A148,'2324 Jun 24 Enroll'!$A$4:$AL$325,23,FALSE)</f>
        <v>0</v>
      </c>
      <c r="F148" s="6">
        <f>VLOOKUP($A148,'2324 Jun 24 Enroll'!$A$4:$AL$325,24,FALSE)</f>
        <v>0</v>
      </c>
      <c r="G148" s="6">
        <f>VLOOKUP($A148,'2324 Jun 24 Enroll'!$A$4:$AL$325,25,FALSE)</f>
        <v>871.11</v>
      </c>
      <c r="H148" s="6">
        <f>VLOOKUP($A148,'2324 Jun 24 Enroll'!$A$4:$AL$325,26,FALSE)</f>
        <v>603</v>
      </c>
      <c r="I148" s="6">
        <f>VLOOKUP($A148,'2324 Jun 24 Enroll'!$A$4:$AL$325,27,FALSE)</f>
        <v>9222.82</v>
      </c>
      <c r="J148" s="54">
        <f t="shared" si="34"/>
        <v>0.1598</v>
      </c>
      <c r="K148" s="54">
        <f t="shared" si="35"/>
        <v>9.8000000000000032E-3</v>
      </c>
      <c r="L148" s="45">
        <f t="shared" si="28"/>
        <v>1761310.2</v>
      </c>
      <c r="M148" s="68">
        <v>132.33000000000001</v>
      </c>
      <c r="N148" s="68">
        <v>21.9</v>
      </c>
      <c r="O148" s="45">
        <f t="shared" si="29"/>
        <v>0</v>
      </c>
      <c r="P148" s="45">
        <f t="shared" si="30"/>
        <v>0</v>
      </c>
      <c r="Q148" s="45">
        <f t="shared" si="31"/>
        <v>10349531.77</v>
      </c>
      <c r="R148" s="45">
        <f t="shared" si="32"/>
        <v>6779654.1799999997</v>
      </c>
      <c r="S148" s="45">
        <f t="shared" si="33"/>
        <v>-1050475.73</v>
      </c>
      <c r="T148" s="6">
        <f>VLOOKUP($A148,'2324 Jun 24 Enroll'!$A$4:$AL$325,31,FALSE)</f>
        <v>1473.11</v>
      </c>
      <c r="U148" s="45">
        <f t="shared" si="25"/>
        <v>15655417.6</v>
      </c>
      <c r="V148" s="35">
        <v>0.14610000000000001</v>
      </c>
      <c r="W148" s="45">
        <f t="shared" si="26"/>
        <v>13659730.91</v>
      </c>
      <c r="X148" s="35">
        <v>0.2868</v>
      </c>
      <c r="Y148" s="45">
        <f t="shared" si="27"/>
        <v>3917610.82</v>
      </c>
    </row>
    <row r="149" spans="1:25">
      <c r="A149" t="s">
        <v>1015</v>
      </c>
      <c r="B149" t="s">
        <v>1016</v>
      </c>
      <c r="C149" s="6">
        <f>VLOOKUP($A149,'SpEd BEA Rate 2324'!$A$4:$AS$325,45,FALSE)</f>
        <v>10564.4</v>
      </c>
      <c r="D149" s="6">
        <f>VLOOKUP($A149,'2324 Jun 24 Enroll'!$A$4:$AL$325,22,FALSE)</f>
        <v>0</v>
      </c>
      <c r="E149" s="6">
        <f>VLOOKUP($A149,'2324 Jun 24 Enroll'!$A$4:$AL$325,23,FALSE)</f>
        <v>0</v>
      </c>
      <c r="F149" s="6">
        <f>VLOOKUP($A149,'2324 Jun 24 Enroll'!$A$4:$AL$325,24,FALSE)</f>
        <v>0</v>
      </c>
      <c r="G149" s="6">
        <f>VLOOKUP($A149,'2324 Jun 24 Enroll'!$A$4:$AL$325,25,FALSE)</f>
        <v>62.33</v>
      </c>
      <c r="H149" s="6">
        <f>VLOOKUP($A149,'2324 Jun 24 Enroll'!$A$4:$AL$325,26,FALSE)</f>
        <v>1.33</v>
      </c>
      <c r="I149" s="6">
        <f>VLOOKUP($A149,'2324 Jun 24 Enroll'!$A$4:$AL$325,27,FALSE)</f>
        <v>481.02</v>
      </c>
      <c r="J149" s="54">
        <f t="shared" si="34"/>
        <v>0.1323</v>
      </c>
      <c r="K149" s="54">
        <f t="shared" si="35"/>
        <v>0</v>
      </c>
      <c r="L149" s="45">
        <f t="shared" si="28"/>
        <v>0</v>
      </c>
      <c r="M149" s="68">
        <v>132.78</v>
      </c>
      <c r="N149" s="68">
        <v>21.98</v>
      </c>
      <c r="O149" s="45">
        <f t="shared" si="29"/>
        <v>0</v>
      </c>
      <c r="P149" s="45">
        <f t="shared" si="30"/>
        <v>0</v>
      </c>
      <c r="Q149" s="45">
        <f t="shared" si="31"/>
        <v>736126.52</v>
      </c>
      <c r="R149" s="45">
        <f t="shared" si="32"/>
        <v>14864.46</v>
      </c>
      <c r="S149" s="45">
        <f t="shared" si="33"/>
        <v>0</v>
      </c>
      <c r="T149" s="6">
        <f>VLOOKUP($A149,'2324 Jun 24 Enroll'!$A$4:$AL$325,31,FALSE)</f>
        <v>63.66</v>
      </c>
      <c r="U149" s="45">
        <f t="shared" si="25"/>
        <v>672529.7</v>
      </c>
      <c r="V149" s="35">
        <v>0.14399999999999999</v>
      </c>
      <c r="W149" s="45">
        <f t="shared" si="26"/>
        <v>587875.61</v>
      </c>
      <c r="X149" s="35">
        <v>9.98E-2</v>
      </c>
      <c r="Y149" s="45">
        <f t="shared" si="27"/>
        <v>58669.99</v>
      </c>
    </row>
    <row r="150" spans="1:25">
      <c r="A150" t="s">
        <v>901</v>
      </c>
      <c r="B150" t="s">
        <v>902</v>
      </c>
      <c r="C150" s="6">
        <f>VLOOKUP($A150,'SpEd BEA Rate 2324'!$A$4:$AS$325,45,FALSE)</f>
        <v>10689.099999999999</v>
      </c>
      <c r="D150" s="6">
        <f>VLOOKUP($A150,'2324 Jun 24 Enroll'!$A$4:$AL$325,22,FALSE)</f>
        <v>0</v>
      </c>
      <c r="E150" s="6">
        <f>VLOOKUP($A150,'2324 Jun 24 Enroll'!$A$4:$AL$325,23,FALSE)</f>
        <v>0</v>
      </c>
      <c r="F150" s="6">
        <f>VLOOKUP($A150,'2324 Jun 24 Enroll'!$A$4:$AL$325,24,FALSE)</f>
        <v>0</v>
      </c>
      <c r="G150" s="6">
        <f>VLOOKUP($A150,'2324 Jun 24 Enroll'!$A$4:$AL$325,25,FALSE)</f>
        <v>19.11</v>
      </c>
      <c r="H150" s="6">
        <f>VLOOKUP($A150,'2324 Jun 24 Enroll'!$A$4:$AL$325,26,FALSE)</f>
        <v>0.33</v>
      </c>
      <c r="I150" s="6">
        <f>VLOOKUP($A150,'2324 Jun 24 Enroll'!$A$4:$AL$325,27,FALSE)</f>
        <v>74.760000000000005</v>
      </c>
      <c r="J150" s="54">
        <f t="shared" si="34"/>
        <v>0.26</v>
      </c>
      <c r="K150" s="54">
        <f t="shared" si="35"/>
        <v>0.11000000000000001</v>
      </c>
      <c r="L150" s="45">
        <f t="shared" si="28"/>
        <v>0</v>
      </c>
      <c r="M150" s="68">
        <v>124.87</v>
      </c>
      <c r="N150" s="68">
        <v>20.67</v>
      </c>
      <c r="O150" s="45">
        <f t="shared" si="29"/>
        <v>0</v>
      </c>
      <c r="P150" s="45">
        <f t="shared" si="30"/>
        <v>0</v>
      </c>
      <c r="Q150" s="45">
        <f t="shared" si="31"/>
        <v>228385.94</v>
      </c>
      <c r="R150" s="45">
        <f t="shared" si="32"/>
        <v>3732.23</v>
      </c>
      <c r="S150" s="45">
        <f t="shared" si="33"/>
        <v>-98203.839999999997</v>
      </c>
      <c r="T150" s="6">
        <f>VLOOKUP($A150,'2324 Jun 24 Enroll'!$A$4:$AL$325,31,FALSE)</f>
        <v>19.440000000000001</v>
      </c>
      <c r="U150" s="45">
        <f t="shared" si="25"/>
        <v>207796.1</v>
      </c>
      <c r="V150" s="35">
        <v>9.3100000000000002E-2</v>
      </c>
      <c r="W150" s="45">
        <f t="shared" si="26"/>
        <v>190097.98</v>
      </c>
      <c r="X150" s="35">
        <v>0.1542</v>
      </c>
      <c r="Y150" s="45">
        <f t="shared" si="27"/>
        <v>29313.11</v>
      </c>
    </row>
    <row r="151" spans="1:25">
      <c r="A151" t="s">
        <v>420</v>
      </c>
      <c r="B151" t="s">
        <v>421</v>
      </c>
      <c r="C151" s="6">
        <f>VLOOKUP($A151,'SpEd BEA Rate 2324'!$A$4:$AS$325,45,FALSE)</f>
        <v>9556.3000000000011</v>
      </c>
      <c r="D151" s="6">
        <f>VLOOKUP($A151,'2324 Jun 24 Enroll'!$A$4:$AL$325,22,FALSE)</f>
        <v>0</v>
      </c>
      <c r="E151" s="6">
        <f>VLOOKUP($A151,'2324 Jun 24 Enroll'!$A$4:$AL$325,23,FALSE)</f>
        <v>0</v>
      </c>
      <c r="F151" s="6">
        <f>VLOOKUP($A151,'2324 Jun 24 Enroll'!$A$4:$AL$325,24,FALSE)</f>
        <v>0</v>
      </c>
      <c r="G151" s="6">
        <f>VLOOKUP($A151,'2324 Jun 24 Enroll'!$A$4:$AL$325,25,FALSE)</f>
        <v>8.33</v>
      </c>
      <c r="H151" s="6">
        <f>VLOOKUP($A151,'2324 Jun 24 Enroll'!$A$4:$AL$325,26,FALSE)</f>
        <v>0</v>
      </c>
      <c r="I151" s="6">
        <f>VLOOKUP($A151,'2324 Jun 24 Enroll'!$A$4:$AL$325,27,FALSE)</f>
        <v>44.4</v>
      </c>
      <c r="J151" s="54">
        <f t="shared" si="34"/>
        <v>0.18759999999999999</v>
      </c>
      <c r="K151" s="54">
        <f t="shared" si="35"/>
        <v>3.7599999999999995E-2</v>
      </c>
      <c r="L151" s="45">
        <f t="shared" si="28"/>
        <v>0</v>
      </c>
      <c r="M151" s="68">
        <v>116.99</v>
      </c>
      <c r="N151" s="68">
        <v>19.36</v>
      </c>
      <c r="O151" s="45">
        <f t="shared" si="29"/>
        <v>0</v>
      </c>
      <c r="P151" s="45">
        <f t="shared" si="30"/>
        <v>0</v>
      </c>
      <c r="Q151" s="45">
        <f t="shared" si="31"/>
        <v>88995.19</v>
      </c>
      <c r="R151" s="45">
        <f t="shared" si="32"/>
        <v>0</v>
      </c>
      <c r="S151" s="45">
        <f t="shared" si="33"/>
        <v>-17836.990000000002</v>
      </c>
      <c r="T151" s="6">
        <f>VLOOKUP($A151,'2324 Jun 24 Enroll'!$A$4:$AL$325,31,FALSE)</f>
        <v>8.33</v>
      </c>
      <c r="U151" s="45">
        <f t="shared" si="25"/>
        <v>79603.98</v>
      </c>
      <c r="V151" s="35">
        <v>0.28799999999999998</v>
      </c>
      <c r="W151" s="45">
        <f t="shared" si="26"/>
        <v>61804.33</v>
      </c>
      <c r="X151" s="35">
        <v>0.08</v>
      </c>
      <c r="Y151" s="45">
        <f t="shared" si="27"/>
        <v>4944.3500000000004</v>
      </c>
    </row>
    <row r="152" spans="1:25">
      <c r="A152" t="s">
        <v>440</v>
      </c>
      <c r="B152" t="s">
        <v>441</v>
      </c>
      <c r="C152" s="6">
        <f>VLOOKUP($A152,'SpEd BEA Rate 2324'!$A$4:$AS$325,45,FALSE)</f>
        <v>10234.149999999998</v>
      </c>
      <c r="D152" s="6">
        <f>VLOOKUP($A152,'2324 Jun 24 Enroll'!$A$4:$AL$325,22,FALSE)</f>
        <v>0.44</v>
      </c>
      <c r="E152" s="6">
        <f>VLOOKUP($A152,'2324 Jun 24 Enroll'!$A$4:$AL$325,23,FALSE)</f>
        <v>0</v>
      </c>
      <c r="F152" s="6">
        <f>VLOOKUP($A152,'2324 Jun 24 Enroll'!$A$4:$AL$325,24,FALSE)</f>
        <v>0</v>
      </c>
      <c r="G152" s="6">
        <f>VLOOKUP($A152,'2324 Jun 24 Enroll'!$A$4:$AL$325,25,FALSE)</f>
        <v>12.11</v>
      </c>
      <c r="H152" s="6">
        <f>VLOOKUP($A152,'2324 Jun 24 Enroll'!$A$4:$AL$325,26,FALSE)</f>
        <v>2.89</v>
      </c>
      <c r="I152" s="6">
        <f>VLOOKUP($A152,'2324 Jun 24 Enroll'!$A$4:$AL$325,27,FALSE)</f>
        <v>85.91</v>
      </c>
      <c r="J152" s="54">
        <f t="shared" si="34"/>
        <v>0.17460000000000001</v>
      </c>
      <c r="K152" s="54">
        <f t="shared" si="35"/>
        <v>2.4600000000000011E-2</v>
      </c>
      <c r="L152" s="45">
        <f t="shared" si="28"/>
        <v>5403.63</v>
      </c>
      <c r="M152" s="68">
        <v>128.11000000000001</v>
      </c>
      <c r="N152" s="68">
        <v>21.2</v>
      </c>
      <c r="O152" s="45">
        <f t="shared" si="29"/>
        <v>0</v>
      </c>
      <c r="P152" s="45">
        <f t="shared" si="30"/>
        <v>0</v>
      </c>
      <c r="Q152" s="45">
        <f t="shared" si="31"/>
        <v>138551.09</v>
      </c>
      <c r="R152" s="45">
        <f t="shared" si="32"/>
        <v>31290.03</v>
      </c>
      <c r="S152" s="45">
        <f t="shared" si="33"/>
        <v>-23929.5</v>
      </c>
      <c r="T152" s="6">
        <f>VLOOKUP($A152,'2324 Jun 24 Enroll'!$A$4:$AL$325,31,FALSE)</f>
        <v>15</v>
      </c>
      <c r="U152" s="45">
        <f t="shared" si="25"/>
        <v>153512.25</v>
      </c>
      <c r="V152" s="35">
        <v>0.4521</v>
      </c>
      <c r="W152" s="45">
        <f t="shared" si="26"/>
        <v>105717.41</v>
      </c>
      <c r="X152" s="35">
        <v>0.21199999999999999</v>
      </c>
      <c r="Y152" s="45">
        <f t="shared" si="27"/>
        <v>22412.09</v>
      </c>
    </row>
    <row r="153" spans="1:25">
      <c r="A153" t="s">
        <v>819</v>
      </c>
      <c r="B153" t="s">
        <v>820</v>
      </c>
      <c r="C153" s="6">
        <f>VLOOKUP($A153,'SpEd BEA Rate 2324'!$A$4:$AS$325,45,FALSE)</f>
        <v>9794.1299999999992</v>
      </c>
      <c r="D153" s="6">
        <f>VLOOKUP($A153,'2324 Jun 24 Enroll'!$A$4:$AL$325,22,FALSE)</f>
        <v>1.67</v>
      </c>
      <c r="E153" s="6">
        <f>VLOOKUP($A153,'2324 Jun 24 Enroll'!$A$4:$AL$325,23,FALSE)</f>
        <v>4</v>
      </c>
      <c r="F153" s="6">
        <f>VLOOKUP($A153,'2324 Jun 24 Enroll'!$A$4:$AL$325,24,FALSE)</f>
        <v>0</v>
      </c>
      <c r="G153" s="6">
        <f>VLOOKUP($A153,'2324 Jun 24 Enroll'!$A$4:$AL$325,25,FALSE)</f>
        <v>34.22</v>
      </c>
      <c r="H153" s="6">
        <f>VLOOKUP($A153,'2324 Jun 24 Enroll'!$A$4:$AL$325,26,FALSE)</f>
        <v>2</v>
      </c>
      <c r="I153" s="6">
        <f>VLOOKUP($A153,'2324 Jun 24 Enroll'!$A$4:$AL$325,27,FALSE)</f>
        <v>257.3</v>
      </c>
      <c r="J153" s="54">
        <f t="shared" si="34"/>
        <v>0.15629999999999999</v>
      </c>
      <c r="K153" s="54">
        <f t="shared" si="35"/>
        <v>6.3E-3</v>
      </c>
      <c r="L153" s="45">
        <f t="shared" si="28"/>
        <v>19627.439999999999</v>
      </c>
      <c r="M153" s="68">
        <v>123.93</v>
      </c>
      <c r="N153" s="68">
        <v>20.51</v>
      </c>
      <c r="O153" s="45">
        <f t="shared" si="29"/>
        <v>43795.66</v>
      </c>
      <c r="P153" s="45">
        <f t="shared" si="30"/>
        <v>0</v>
      </c>
      <c r="Q153" s="45">
        <f t="shared" si="31"/>
        <v>374671.89</v>
      </c>
      <c r="R153" s="45">
        <f t="shared" si="32"/>
        <v>20722.54</v>
      </c>
      <c r="S153" s="45">
        <f t="shared" si="33"/>
        <v>-17702.48</v>
      </c>
      <c r="T153" s="6">
        <f>VLOOKUP($A153,'2324 Jun 24 Enroll'!$A$4:$AL$325,31,FALSE)</f>
        <v>40.22</v>
      </c>
      <c r="U153" s="45">
        <f t="shared" si="25"/>
        <v>393919.91</v>
      </c>
      <c r="V153" s="35">
        <v>0.28660000000000002</v>
      </c>
      <c r="W153" s="45">
        <f t="shared" si="26"/>
        <v>306171.23</v>
      </c>
      <c r="X153" s="35">
        <v>0.12720000000000001</v>
      </c>
      <c r="Y153" s="45">
        <f t="shared" si="27"/>
        <v>38944.980000000003</v>
      </c>
    </row>
    <row r="154" spans="1:25">
      <c r="A154" t="s">
        <v>444</v>
      </c>
      <c r="B154" t="s">
        <v>445</v>
      </c>
      <c r="C154" s="6">
        <f>VLOOKUP($A154,'SpEd BEA Rate 2324'!$A$4:$AS$325,45,FALSE)</f>
        <v>9421.85</v>
      </c>
      <c r="D154" s="6">
        <f>VLOOKUP($A154,'2324 Jun 24 Enroll'!$A$4:$AL$325,22,FALSE)</f>
        <v>38.33</v>
      </c>
      <c r="E154" s="6">
        <f>VLOOKUP($A154,'2324 Jun 24 Enroll'!$A$4:$AL$325,23,FALSE)</f>
        <v>5.44</v>
      </c>
      <c r="F154" s="6">
        <f>VLOOKUP($A154,'2324 Jun 24 Enroll'!$A$4:$AL$325,24,FALSE)</f>
        <v>2.33</v>
      </c>
      <c r="G154" s="6">
        <f>VLOOKUP($A154,'2324 Jun 24 Enroll'!$A$4:$AL$325,25,FALSE)</f>
        <v>300.33</v>
      </c>
      <c r="H154" s="6">
        <f>VLOOKUP($A154,'2324 Jun 24 Enroll'!$A$4:$AL$325,26,FALSE)</f>
        <v>132.66999999999999</v>
      </c>
      <c r="I154" s="6">
        <f>VLOOKUP($A154,'2324 Jun 24 Enroll'!$A$4:$AL$325,27,FALSE)</f>
        <v>3266.78</v>
      </c>
      <c r="J154" s="54">
        <f t="shared" si="34"/>
        <v>0.13489999999999999</v>
      </c>
      <c r="K154" s="54">
        <f t="shared" si="35"/>
        <v>0</v>
      </c>
      <c r="L154" s="45">
        <f t="shared" si="28"/>
        <v>433367.41</v>
      </c>
      <c r="M154" s="68">
        <v>126.55</v>
      </c>
      <c r="N154" s="68">
        <v>20.95</v>
      </c>
      <c r="O154" s="45">
        <f t="shared" si="29"/>
        <v>57291.48</v>
      </c>
      <c r="P154" s="45">
        <f t="shared" si="30"/>
        <v>23221.27</v>
      </c>
      <c r="Q154" s="45">
        <f t="shared" si="31"/>
        <v>3162932</v>
      </c>
      <c r="R154" s="45">
        <f t="shared" si="32"/>
        <v>1322217.21</v>
      </c>
      <c r="S154" s="45">
        <f t="shared" si="33"/>
        <v>0</v>
      </c>
      <c r="T154" s="6">
        <f>VLOOKUP($A154,'2324 Jun 24 Enroll'!$A$4:$AL$325,31,FALSE)</f>
        <v>441.55</v>
      </c>
      <c r="U154" s="45">
        <f t="shared" si="25"/>
        <v>4160217.87</v>
      </c>
      <c r="V154" s="35">
        <v>0.16039999999999999</v>
      </c>
      <c r="W154" s="45">
        <f t="shared" si="26"/>
        <v>3585158.45</v>
      </c>
      <c r="X154" s="35">
        <v>0.24360000000000001</v>
      </c>
      <c r="Y154" s="45">
        <f t="shared" si="27"/>
        <v>873344.6</v>
      </c>
    </row>
    <row r="155" spans="1:25">
      <c r="A155" t="s">
        <v>532</v>
      </c>
      <c r="B155" t="s">
        <v>533</v>
      </c>
      <c r="C155" s="6">
        <f>VLOOKUP($A155,'SpEd BEA Rate 2324'!$A$4:$AS$325,45,FALSE)</f>
        <v>9420.5299999999988</v>
      </c>
      <c r="D155" s="6">
        <f>VLOOKUP($A155,'2324 Jun 24 Enroll'!$A$4:$AL$325,22,FALSE)</f>
        <v>1.44</v>
      </c>
      <c r="E155" s="6">
        <f>VLOOKUP($A155,'2324 Jun 24 Enroll'!$A$4:$AL$325,23,FALSE)</f>
        <v>1.78</v>
      </c>
      <c r="F155" s="6">
        <f>VLOOKUP($A155,'2324 Jun 24 Enroll'!$A$4:$AL$325,24,FALSE)</f>
        <v>0.22</v>
      </c>
      <c r="G155" s="6">
        <f>VLOOKUP($A155,'2324 Jun 24 Enroll'!$A$4:$AL$325,25,FALSE)</f>
        <v>54.67</v>
      </c>
      <c r="H155" s="6">
        <f>VLOOKUP($A155,'2324 Jun 24 Enroll'!$A$4:$AL$325,26,FALSE)</f>
        <v>18.559999999999999</v>
      </c>
      <c r="I155" s="6">
        <f>VLOOKUP($A155,'2324 Jun 24 Enroll'!$A$4:$AL$325,27,FALSE)</f>
        <v>568.05999999999995</v>
      </c>
      <c r="J155" s="54">
        <f t="shared" si="34"/>
        <v>0.13239999999999999</v>
      </c>
      <c r="K155" s="54">
        <f t="shared" si="35"/>
        <v>0</v>
      </c>
      <c r="L155" s="45">
        <f t="shared" si="28"/>
        <v>16278.68</v>
      </c>
      <c r="M155" s="68">
        <v>126.7</v>
      </c>
      <c r="N155" s="68">
        <v>20.97</v>
      </c>
      <c r="O155" s="45">
        <f t="shared" si="29"/>
        <v>18743.439999999999</v>
      </c>
      <c r="P155" s="45">
        <f t="shared" si="30"/>
        <v>2192.25</v>
      </c>
      <c r="Q155" s="45">
        <f t="shared" si="31"/>
        <v>575676.39</v>
      </c>
      <c r="R155" s="45">
        <f t="shared" si="32"/>
        <v>184946.54</v>
      </c>
      <c r="S155" s="45">
        <f t="shared" si="33"/>
        <v>0</v>
      </c>
      <c r="T155" s="6">
        <f>VLOOKUP($A155,'2324 Jun 24 Enroll'!$A$4:$AL$325,31,FALSE)</f>
        <v>74.45</v>
      </c>
      <c r="U155" s="45">
        <f t="shared" si="25"/>
        <v>701358.46</v>
      </c>
      <c r="V155" s="35">
        <v>0.26379999999999998</v>
      </c>
      <c r="W155" s="45">
        <f t="shared" si="26"/>
        <v>554960.01</v>
      </c>
      <c r="X155" s="35">
        <v>0.245</v>
      </c>
      <c r="Y155" s="45">
        <f t="shared" si="27"/>
        <v>135965.20000000001</v>
      </c>
    </row>
    <row r="156" spans="1:25">
      <c r="A156" t="s">
        <v>386</v>
      </c>
      <c r="B156" t="s">
        <v>387</v>
      </c>
      <c r="C156" s="6">
        <f>VLOOKUP($A156,'SpEd BEA Rate 2324'!$A$4:$AS$325,45,FALSE)</f>
        <v>9821.8099999999977</v>
      </c>
      <c r="D156" s="6">
        <f>VLOOKUP($A156,'2324 Jun 24 Enroll'!$A$4:$AL$325,22,FALSE)</f>
        <v>16.11</v>
      </c>
      <c r="E156" s="6">
        <f>VLOOKUP($A156,'2324 Jun 24 Enroll'!$A$4:$AL$325,23,FALSE)</f>
        <v>7.22</v>
      </c>
      <c r="F156" s="6">
        <f>VLOOKUP($A156,'2324 Jun 24 Enroll'!$A$4:$AL$325,24,FALSE)</f>
        <v>1.78</v>
      </c>
      <c r="G156" s="6">
        <f>VLOOKUP($A156,'2324 Jun 24 Enroll'!$A$4:$AL$325,25,FALSE)</f>
        <v>93.78</v>
      </c>
      <c r="H156" s="6">
        <f>VLOOKUP($A156,'2324 Jun 24 Enroll'!$A$4:$AL$325,26,FALSE)</f>
        <v>30.22</v>
      </c>
      <c r="I156" s="6">
        <f>VLOOKUP($A156,'2324 Jun 24 Enroll'!$A$4:$AL$325,27,FALSE)</f>
        <v>940.71</v>
      </c>
      <c r="J156" s="54">
        <f t="shared" si="34"/>
        <v>0.1414</v>
      </c>
      <c r="K156" s="54">
        <f t="shared" si="35"/>
        <v>0</v>
      </c>
      <c r="L156" s="45">
        <f t="shared" si="28"/>
        <v>189875.23</v>
      </c>
      <c r="M156" s="68">
        <v>131.69999999999999</v>
      </c>
      <c r="N156" s="68">
        <v>21.8</v>
      </c>
      <c r="O156" s="45">
        <f t="shared" si="29"/>
        <v>79265.69</v>
      </c>
      <c r="P156" s="45">
        <f t="shared" si="30"/>
        <v>18492.990000000002</v>
      </c>
      <c r="Q156" s="45">
        <f t="shared" si="31"/>
        <v>1029575.66</v>
      </c>
      <c r="R156" s="45">
        <f t="shared" si="32"/>
        <v>313965.21000000002</v>
      </c>
      <c r="S156" s="45">
        <f t="shared" si="33"/>
        <v>0</v>
      </c>
      <c r="T156" s="6">
        <f>VLOOKUP($A156,'2324 Jun 24 Enroll'!$A$4:$AL$325,31,FALSE)</f>
        <v>133</v>
      </c>
      <c r="U156" s="45">
        <f t="shared" si="25"/>
        <v>1306300.73</v>
      </c>
      <c r="V156" s="35">
        <v>0.20699999999999999</v>
      </c>
      <c r="W156" s="45">
        <f t="shared" si="26"/>
        <v>1082270.7</v>
      </c>
      <c r="X156" s="35">
        <v>0.186</v>
      </c>
      <c r="Y156" s="45">
        <f t="shared" si="27"/>
        <v>201302.35</v>
      </c>
    </row>
    <row r="157" spans="1:25">
      <c r="A157" t="s">
        <v>616</v>
      </c>
      <c r="B157" t="s">
        <v>617</v>
      </c>
      <c r="C157" s="6">
        <f>VLOOKUP($A157,'SpEd BEA Rate 2324'!$A$4:$AS$325,45,FALSE)</f>
        <v>9426.57</v>
      </c>
      <c r="D157" s="6">
        <f>VLOOKUP($A157,'2324 Jun 24 Enroll'!$A$4:$AL$325,22,FALSE)</f>
        <v>10.220000000000001</v>
      </c>
      <c r="E157" s="6">
        <f>VLOOKUP($A157,'2324 Jun 24 Enroll'!$A$4:$AL$325,23,FALSE)</f>
        <v>0</v>
      </c>
      <c r="F157" s="6">
        <f>VLOOKUP($A157,'2324 Jun 24 Enroll'!$A$4:$AL$325,24,FALSE)</f>
        <v>0</v>
      </c>
      <c r="G157" s="6">
        <f>VLOOKUP($A157,'2324 Jun 24 Enroll'!$A$4:$AL$325,25,FALSE)</f>
        <v>60.11</v>
      </c>
      <c r="H157" s="6">
        <f>VLOOKUP($A157,'2324 Jun 24 Enroll'!$A$4:$AL$325,26,FALSE)</f>
        <v>30</v>
      </c>
      <c r="I157" s="6">
        <f>VLOOKUP($A157,'2324 Jun 24 Enroll'!$A$4:$AL$325,27,FALSE)</f>
        <v>809.29</v>
      </c>
      <c r="J157" s="54">
        <f t="shared" si="34"/>
        <v>0.1113</v>
      </c>
      <c r="K157" s="54">
        <f t="shared" si="35"/>
        <v>0</v>
      </c>
      <c r="L157" s="45">
        <f t="shared" si="28"/>
        <v>115607.45</v>
      </c>
      <c r="M157" s="68">
        <v>122.27</v>
      </c>
      <c r="N157" s="68">
        <v>20.239999999999998</v>
      </c>
      <c r="O157" s="45">
        <f t="shared" si="29"/>
        <v>0</v>
      </c>
      <c r="P157" s="45">
        <f t="shared" si="30"/>
        <v>0</v>
      </c>
      <c r="Q157" s="45">
        <f t="shared" si="31"/>
        <v>633410.23</v>
      </c>
      <c r="R157" s="45">
        <f t="shared" si="32"/>
        <v>299157.73</v>
      </c>
      <c r="S157" s="45">
        <f t="shared" si="33"/>
        <v>0</v>
      </c>
      <c r="T157" s="6">
        <f>VLOOKUP($A157,'2324 Jun 24 Enroll'!$A$4:$AL$325,31,FALSE)</f>
        <v>85.11</v>
      </c>
      <c r="U157" s="45">
        <f t="shared" si="25"/>
        <v>802295.37</v>
      </c>
      <c r="V157" s="35">
        <v>0.1958</v>
      </c>
      <c r="W157" s="45">
        <f t="shared" si="26"/>
        <v>670927.72</v>
      </c>
      <c r="X157" s="35">
        <v>0.17899999999999999</v>
      </c>
      <c r="Y157" s="45">
        <f t="shared" si="27"/>
        <v>120096.06</v>
      </c>
    </row>
    <row r="158" spans="1:25">
      <c r="A158" t="s">
        <v>456</v>
      </c>
      <c r="B158" t="s">
        <v>457</v>
      </c>
      <c r="C158" s="6">
        <f>VLOOKUP($A158,'SpEd BEA Rate 2324'!$A$4:$AS$325,45,FALSE)</f>
        <v>9356.4699999999993</v>
      </c>
      <c r="D158" s="6">
        <f>VLOOKUP($A158,'2324 Jun 24 Enroll'!$A$4:$AL$325,22,FALSE)</f>
        <v>0</v>
      </c>
      <c r="E158" s="6">
        <f>VLOOKUP($A158,'2324 Jun 24 Enroll'!$A$4:$AL$325,23,FALSE)</f>
        <v>1</v>
      </c>
      <c r="F158" s="6">
        <f>VLOOKUP($A158,'2324 Jun 24 Enroll'!$A$4:$AL$325,24,FALSE)</f>
        <v>0</v>
      </c>
      <c r="G158" s="6">
        <f>VLOOKUP($A158,'2324 Jun 24 Enroll'!$A$4:$AL$325,25,FALSE)</f>
        <v>4.22</v>
      </c>
      <c r="H158" s="6">
        <f>VLOOKUP($A158,'2324 Jun 24 Enroll'!$A$4:$AL$325,26,FALSE)</f>
        <v>0</v>
      </c>
      <c r="I158" s="6">
        <f>VLOOKUP($A158,'2324 Jun 24 Enroll'!$A$4:$AL$325,27,FALSE)</f>
        <v>58.9</v>
      </c>
      <c r="J158" s="54">
        <f t="shared" si="34"/>
        <v>8.8599999999999998E-2</v>
      </c>
      <c r="K158" s="54">
        <f t="shared" si="35"/>
        <v>0</v>
      </c>
      <c r="L158" s="45">
        <f t="shared" si="28"/>
        <v>0</v>
      </c>
      <c r="M158" s="68">
        <v>118.46</v>
      </c>
      <c r="N158" s="68">
        <v>19.61</v>
      </c>
      <c r="O158" s="45">
        <f t="shared" si="29"/>
        <v>10459.64</v>
      </c>
      <c r="P158" s="45">
        <f t="shared" si="30"/>
        <v>0</v>
      </c>
      <c r="Q158" s="45">
        <f t="shared" si="31"/>
        <v>44139.67</v>
      </c>
      <c r="R158" s="45">
        <f t="shared" si="32"/>
        <v>0</v>
      </c>
      <c r="S158" s="45">
        <f t="shared" si="33"/>
        <v>0</v>
      </c>
      <c r="T158" s="6">
        <f>VLOOKUP($A158,'2324 Jun 24 Enroll'!$A$4:$AL$325,31,FALSE)</f>
        <v>5.22</v>
      </c>
      <c r="U158" s="45">
        <f t="shared" si="25"/>
        <v>48840.77</v>
      </c>
      <c r="V158" s="35">
        <v>0.51180000000000003</v>
      </c>
      <c r="W158" s="45">
        <f t="shared" si="26"/>
        <v>32306.37</v>
      </c>
      <c r="X158" s="35">
        <v>0.16250000000000001</v>
      </c>
      <c r="Y158" s="45">
        <f t="shared" si="27"/>
        <v>5249.79</v>
      </c>
    </row>
    <row r="159" spans="1:25">
      <c r="A159" t="s">
        <v>602</v>
      </c>
      <c r="B159" t="s">
        <v>603</v>
      </c>
      <c r="C159" s="6">
        <f>VLOOKUP($A159,'SpEd BEA Rate 2324'!$A$4:$AS$325,45,FALSE)</f>
        <v>9424.2199999999993</v>
      </c>
      <c r="D159" s="6">
        <f>VLOOKUP($A159,'2324 Jun 24 Enroll'!$A$4:$AL$325,22,FALSE)</f>
        <v>1</v>
      </c>
      <c r="E159" s="6">
        <f>VLOOKUP($A159,'2324 Jun 24 Enroll'!$A$4:$AL$325,23,FALSE)</f>
        <v>0</v>
      </c>
      <c r="F159" s="6">
        <f>VLOOKUP($A159,'2324 Jun 24 Enroll'!$A$4:$AL$325,24,FALSE)</f>
        <v>0</v>
      </c>
      <c r="G159" s="6">
        <f>VLOOKUP($A159,'2324 Jun 24 Enroll'!$A$4:$AL$325,25,FALSE)</f>
        <v>52.89</v>
      </c>
      <c r="H159" s="6">
        <f>VLOOKUP($A159,'2324 Jun 24 Enroll'!$A$4:$AL$325,26,FALSE)</f>
        <v>68</v>
      </c>
      <c r="I159" s="6">
        <f>VLOOKUP($A159,'2324 Jun 24 Enroll'!$A$4:$AL$325,27,FALSE)</f>
        <v>618.85</v>
      </c>
      <c r="J159" s="54">
        <f t="shared" si="34"/>
        <v>0.1953</v>
      </c>
      <c r="K159" s="54">
        <f t="shared" si="35"/>
        <v>4.5300000000000007E-2</v>
      </c>
      <c r="L159" s="45">
        <f t="shared" si="28"/>
        <v>11309.06</v>
      </c>
      <c r="M159" s="68">
        <v>137.34</v>
      </c>
      <c r="N159" s="68">
        <v>22.73</v>
      </c>
      <c r="O159" s="45">
        <f t="shared" si="29"/>
        <v>0</v>
      </c>
      <c r="P159" s="45">
        <f t="shared" si="30"/>
        <v>0</v>
      </c>
      <c r="Q159" s="45">
        <f t="shared" si="31"/>
        <v>557058.44999999995</v>
      </c>
      <c r="R159" s="45">
        <f t="shared" si="32"/>
        <v>677752.14</v>
      </c>
      <c r="S159" s="45">
        <f t="shared" si="33"/>
        <v>-286415.35999999999</v>
      </c>
      <c r="T159" s="6">
        <f>VLOOKUP($A159,'2324 Jun 24 Enroll'!$A$4:$AL$325,31,FALSE)</f>
        <v>119.89</v>
      </c>
      <c r="U159" s="45">
        <f t="shared" si="25"/>
        <v>1129869.74</v>
      </c>
      <c r="V159" s="35">
        <v>0.1779</v>
      </c>
      <c r="W159" s="45">
        <f t="shared" si="26"/>
        <v>959223.82</v>
      </c>
      <c r="X159" s="35">
        <v>0.30380000000000001</v>
      </c>
      <c r="Y159" s="45">
        <f t="shared" si="27"/>
        <v>291412.2</v>
      </c>
    </row>
    <row r="160" spans="1:25">
      <c r="A160" t="s">
        <v>598</v>
      </c>
      <c r="B160" t="s">
        <v>599</v>
      </c>
      <c r="C160" s="6">
        <f>VLOOKUP($A160,'SpEd BEA Rate 2324'!$A$4:$AS$325,45,FALSE)</f>
        <v>9415.61</v>
      </c>
      <c r="D160" s="6">
        <f>VLOOKUP($A160,'2324 Jun 24 Enroll'!$A$4:$AL$325,22,FALSE)</f>
        <v>5.56</v>
      </c>
      <c r="E160" s="6">
        <f>VLOOKUP($A160,'2324 Jun 24 Enroll'!$A$4:$AL$325,23,FALSE)</f>
        <v>3.56</v>
      </c>
      <c r="F160" s="6">
        <f>VLOOKUP($A160,'2324 Jun 24 Enroll'!$A$4:$AL$325,24,FALSE)</f>
        <v>0</v>
      </c>
      <c r="G160" s="6">
        <f>VLOOKUP($A160,'2324 Jun 24 Enroll'!$A$4:$AL$325,25,FALSE)</f>
        <v>28.78</v>
      </c>
      <c r="H160" s="6">
        <f>VLOOKUP($A160,'2324 Jun 24 Enroll'!$A$4:$AL$325,26,FALSE)</f>
        <v>21.89</v>
      </c>
      <c r="I160" s="6">
        <f>VLOOKUP($A160,'2324 Jun 24 Enroll'!$A$4:$AL$325,27,FALSE)</f>
        <v>433.95</v>
      </c>
      <c r="J160" s="54">
        <f t="shared" si="34"/>
        <v>0.125</v>
      </c>
      <c r="K160" s="54">
        <f t="shared" si="35"/>
        <v>0</v>
      </c>
      <c r="L160" s="45">
        <f t="shared" si="28"/>
        <v>62820.95</v>
      </c>
      <c r="M160" s="68">
        <v>138.21</v>
      </c>
      <c r="N160" s="68">
        <v>22.88</v>
      </c>
      <c r="O160" s="45">
        <f t="shared" si="29"/>
        <v>37460.47</v>
      </c>
      <c r="P160" s="45">
        <f t="shared" si="30"/>
        <v>0</v>
      </c>
      <c r="Q160" s="45">
        <f t="shared" si="31"/>
        <v>302840.52</v>
      </c>
      <c r="R160" s="45">
        <f t="shared" si="32"/>
        <v>217973.32</v>
      </c>
      <c r="S160" s="45">
        <f t="shared" si="33"/>
        <v>0</v>
      </c>
      <c r="T160" s="6">
        <f>VLOOKUP($A160,'2324 Jun 24 Enroll'!$A$4:$AL$325,31,FALSE)</f>
        <v>54.23</v>
      </c>
      <c r="U160" s="45">
        <f t="shared" si="25"/>
        <v>510608.53</v>
      </c>
      <c r="V160" s="35">
        <v>0.21790000000000001</v>
      </c>
      <c r="W160" s="45">
        <f t="shared" si="26"/>
        <v>419253.25</v>
      </c>
      <c r="X160" s="35">
        <v>0.32590000000000002</v>
      </c>
      <c r="Y160" s="45">
        <f t="shared" si="27"/>
        <v>136634.63</v>
      </c>
    </row>
    <row r="161" spans="1:25">
      <c r="A161" t="s">
        <v>317</v>
      </c>
      <c r="B161" t="s">
        <v>318</v>
      </c>
      <c r="C161" s="6">
        <f>VLOOKUP($A161,'SpEd BEA Rate 2324'!$A$4:$AS$325,45,FALSE)</f>
        <v>9629.6200000000008</v>
      </c>
      <c r="D161" s="6">
        <f>VLOOKUP($A161,'2324 Jun 24 Enroll'!$A$4:$AL$325,22,FALSE)</f>
        <v>7.78</v>
      </c>
      <c r="E161" s="6">
        <f>VLOOKUP($A161,'2324 Jun 24 Enroll'!$A$4:$AL$325,23,FALSE)</f>
        <v>0</v>
      </c>
      <c r="F161" s="6">
        <f>VLOOKUP($A161,'2324 Jun 24 Enroll'!$A$4:$AL$325,24,FALSE)</f>
        <v>0</v>
      </c>
      <c r="G161" s="6">
        <f>VLOOKUP($A161,'2324 Jun 24 Enroll'!$A$4:$AL$325,25,FALSE)</f>
        <v>48.56</v>
      </c>
      <c r="H161" s="6">
        <f>VLOOKUP($A161,'2324 Jun 24 Enroll'!$A$4:$AL$325,26,FALSE)</f>
        <v>19.670000000000002</v>
      </c>
      <c r="I161" s="6">
        <f>VLOOKUP($A161,'2324 Jun 24 Enroll'!$A$4:$AL$325,27,FALSE)</f>
        <v>627.74</v>
      </c>
      <c r="J161" s="54">
        <f t="shared" si="34"/>
        <v>0.1087</v>
      </c>
      <c r="K161" s="54">
        <f t="shared" si="35"/>
        <v>0</v>
      </c>
      <c r="L161" s="45">
        <f t="shared" si="28"/>
        <v>89902.13</v>
      </c>
      <c r="M161" s="68">
        <v>136.36000000000001</v>
      </c>
      <c r="N161" s="68">
        <v>22.57</v>
      </c>
      <c r="O161" s="45">
        <f t="shared" si="29"/>
        <v>0</v>
      </c>
      <c r="P161" s="45">
        <f t="shared" si="30"/>
        <v>0</v>
      </c>
      <c r="Q161" s="45">
        <f t="shared" si="31"/>
        <v>522632.07</v>
      </c>
      <c r="R161" s="45">
        <f t="shared" si="32"/>
        <v>200335.55</v>
      </c>
      <c r="S161" s="45">
        <f t="shared" si="33"/>
        <v>0</v>
      </c>
      <c r="T161" s="6">
        <f>VLOOKUP($A161,'2324 Jun 24 Enroll'!$A$4:$AL$325,31,FALSE)</f>
        <v>69.12</v>
      </c>
      <c r="U161" s="45">
        <f t="shared" ref="U161:U225" si="36">ROUND(T161*C161,2)</f>
        <v>665599.32999999996</v>
      </c>
      <c r="V161" s="35">
        <v>0.19220000000000001</v>
      </c>
      <c r="W161" s="45">
        <f t="shared" ref="W161:W225" si="37">ROUND(U161/(1+V161),2)</f>
        <v>558295.03</v>
      </c>
      <c r="X161" s="35">
        <v>0.2155</v>
      </c>
      <c r="Y161" s="45">
        <f t="shared" ref="Y161:Y225" si="38">ROUND(X161*W161,2)</f>
        <v>120312.58</v>
      </c>
    </row>
    <row r="162" spans="1:25">
      <c r="A162" t="s">
        <v>883</v>
      </c>
      <c r="B162" t="s">
        <v>884</v>
      </c>
      <c r="C162" s="6">
        <f>VLOOKUP($A162,'SpEd BEA Rate 2324'!$A$4:$AS$325,45,FALSE)</f>
        <v>9516.77</v>
      </c>
      <c r="D162" s="6">
        <f>VLOOKUP($A162,'2324 Jun 24 Enroll'!$A$4:$AL$325,22,FALSE)</f>
        <v>11.89</v>
      </c>
      <c r="E162" s="6">
        <f>VLOOKUP($A162,'2324 Jun 24 Enroll'!$A$4:$AL$325,23,FALSE)</f>
        <v>4.22</v>
      </c>
      <c r="F162" s="6">
        <f>VLOOKUP($A162,'2324 Jun 24 Enroll'!$A$4:$AL$325,24,FALSE)</f>
        <v>0.89</v>
      </c>
      <c r="G162" s="6">
        <f>VLOOKUP($A162,'2324 Jun 24 Enroll'!$A$4:$AL$325,25,FALSE)</f>
        <v>72.11</v>
      </c>
      <c r="H162" s="6">
        <f>VLOOKUP($A162,'2324 Jun 24 Enroll'!$A$4:$AL$325,26,FALSE)</f>
        <v>42.33</v>
      </c>
      <c r="I162" s="6">
        <f>VLOOKUP($A162,'2324 Jun 24 Enroll'!$A$4:$AL$325,27,FALSE)</f>
        <v>804.71</v>
      </c>
      <c r="J162" s="54">
        <f t="shared" si="34"/>
        <v>0.14860000000000001</v>
      </c>
      <c r="K162" s="54">
        <f t="shared" si="35"/>
        <v>0</v>
      </c>
      <c r="L162" s="45">
        <f t="shared" si="28"/>
        <v>135785.26999999999</v>
      </c>
      <c r="M162" s="68">
        <v>121.02</v>
      </c>
      <c r="N162" s="68">
        <v>20.03</v>
      </c>
      <c r="O162" s="45">
        <f t="shared" si="29"/>
        <v>44895.54</v>
      </c>
      <c r="P162" s="45">
        <f t="shared" si="30"/>
        <v>8960.2900000000009</v>
      </c>
      <c r="Q162" s="45">
        <f t="shared" si="31"/>
        <v>767160.44</v>
      </c>
      <c r="R162" s="45">
        <f t="shared" si="32"/>
        <v>426167.7</v>
      </c>
      <c r="S162" s="45">
        <f t="shared" si="33"/>
        <v>0</v>
      </c>
      <c r="T162" s="6">
        <f>VLOOKUP($A162,'2324 Jun 24 Enroll'!$A$4:$AL$325,31,FALSE)</f>
        <v>109.89</v>
      </c>
      <c r="U162" s="45">
        <f t="shared" si="36"/>
        <v>1045797.86</v>
      </c>
      <c r="V162" s="35">
        <v>0.20169999999999999</v>
      </c>
      <c r="W162" s="45">
        <f t="shared" si="37"/>
        <v>870265.34</v>
      </c>
      <c r="X162" s="35">
        <v>0.20200000000000001</v>
      </c>
      <c r="Y162" s="45">
        <f t="shared" si="38"/>
        <v>175793.6</v>
      </c>
    </row>
    <row r="163" spans="1:25">
      <c r="A163" t="s">
        <v>345</v>
      </c>
      <c r="B163" t="s">
        <v>346</v>
      </c>
      <c r="C163" s="6">
        <f>VLOOKUP($A163,'SpEd BEA Rate 2324'!$A$4:$AS$325,45,FALSE)</f>
        <v>9505.89</v>
      </c>
      <c r="D163" s="6">
        <f>VLOOKUP($A163,'2324 Jun 24 Enroll'!$A$4:$AL$325,22,FALSE)</f>
        <v>2.11</v>
      </c>
      <c r="E163" s="6">
        <f>VLOOKUP($A163,'2324 Jun 24 Enroll'!$A$4:$AL$325,23,FALSE)</f>
        <v>1</v>
      </c>
      <c r="F163" s="6">
        <f>VLOOKUP($A163,'2324 Jun 24 Enroll'!$A$4:$AL$325,24,FALSE)</f>
        <v>0</v>
      </c>
      <c r="G163" s="6">
        <f>VLOOKUP($A163,'2324 Jun 24 Enroll'!$A$4:$AL$325,25,FALSE)</f>
        <v>28.22</v>
      </c>
      <c r="H163" s="6">
        <f>VLOOKUP($A163,'2324 Jun 24 Enroll'!$A$4:$AL$325,26,FALSE)</f>
        <v>8.11</v>
      </c>
      <c r="I163" s="6">
        <f>VLOOKUP($A163,'2324 Jun 24 Enroll'!$A$4:$AL$325,27,FALSE)</f>
        <v>328.83</v>
      </c>
      <c r="J163" s="54">
        <f t="shared" si="34"/>
        <v>0.1135</v>
      </c>
      <c r="K163" s="54">
        <f t="shared" si="35"/>
        <v>0</v>
      </c>
      <c r="L163" s="45">
        <f t="shared" ref="L163:L226" si="39">ROUND(D163*$L$1*C163,2)</f>
        <v>24068.91</v>
      </c>
      <c r="M163" s="68">
        <v>147.01</v>
      </c>
      <c r="N163" s="68">
        <v>24.33</v>
      </c>
      <c r="O163" s="45">
        <f t="shared" ref="O163:O226" si="40">ROUND(+E163*(($C163*O$1)-$N163),2)</f>
        <v>10622.27</v>
      </c>
      <c r="P163" s="45">
        <f t="shared" ref="P163:P226" si="41">ROUND(+F163*(($C163*P$1)-$N163),2)</f>
        <v>0</v>
      </c>
      <c r="Q163" s="45">
        <f t="shared" ref="Q163:Q226" si="42">ROUND(+G163*(($C163*Q$1)-$N163),2)</f>
        <v>299760.37</v>
      </c>
      <c r="R163" s="45">
        <f t="shared" ref="R163:R226" si="43">ROUND(+H163*(($C163*R$1)-$N163),2)</f>
        <v>81521.02</v>
      </c>
      <c r="S163" s="45">
        <f t="shared" ref="S163:S226" si="44">IF($J163&lt;K$1,0,ROUND(((((O163+P163+Q163+R163)*-1)/$J163)*$K163),2))</f>
        <v>0</v>
      </c>
      <c r="T163" s="6">
        <f>VLOOKUP($A163,'2324 Jun 24 Enroll'!$A$4:$AL$325,31,FALSE)</f>
        <v>36</v>
      </c>
      <c r="U163" s="45">
        <f t="shared" si="36"/>
        <v>342212.04</v>
      </c>
      <c r="V163" s="35">
        <v>0.25519999999999998</v>
      </c>
      <c r="W163" s="45">
        <f t="shared" si="37"/>
        <v>272635.46999999997</v>
      </c>
      <c r="X163" s="35">
        <v>0.28999999999999998</v>
      </c>
      <c r="Y163" s="45">
        <f t="shared" si="38"/>
        <v>79064.289999999994</v>
      </c>
    </row>
    <row r="164" spans="1:25">
      <c r="A164" t="s">
        <v>821</v>
      </c>
      <c r="B164" t="s">
        <v>822</v>
      </c>
      <c r="C164" s="6">
        <f>VLOOKUP($A164,'SpEd BEA Rate 2324'!$A$4:$AS$325,45,FALSE)</f>
        <v>9521.6299999999992</v>
      </c>
      <c r="D164" s="6">
        <f>VLOOKUP($A164,'2324 Jun 24 Enroll'!$A$4:$AL$325,22,FALSE)</f>
        <v>8.56</v>
      </c>
      <c r="E164" s="6">
        <f>VLOOKUP($A164,'2324 Jun 24 Enroll'!$A$4:$AL$325,23,FALSE)</f>
        <v>0</v>
      </c>
      <c r="F164" s="6">
        <f>VLOOKUP($A164,'2324 Jun 24 Enroll'!$A$4:$AL$325,24,FALSE)</f>
        <v>0</v>
      </c>
      <c r="G164" s="6">
        <f>VLOOKUP($A164,'2324 Jun 24 Enroll'!$A$4:$AL$325,25,FALSE)</f>
        <v>87.11</v>
      </c>
      <c r="H164" s="6">
        <f>VLOOKUP($A164,'2324 Jun 24 Enroll'!$A$4:$AL$325,26,FALSE)</f>
        <v>48.89</v>
      </c>
      <c r="I164" s="6">
        <f>VLOOKUP($A164,'2324 Jun 24 Enroll'!$A$4:$AL$325,27,FALSE)</f>
        <v>851.05</v>
      </c>
      <c r="J164" s="54">
        <f t="shared" si="34"/>
        <v>0.1598</v>
      </c>
      <c r="K164" s="54">
        <f t="shared" si="35"/>
        <v>9.8000000000000032E-3</v>
      </c>
      <c r="L164" s="45">
        <f t="shared" si="39"/>
        <v>97806.18</v>
      </c>
      <c r="M164" s="68">
        <v>126</v>
      </c>
      <c r="N164" s="68">
        <v>20.86</v>
      </c>
      <c r="O164" s="45">
        <f t="shared" si="40"/>
        <v>0</v>
      </c>
      <c r="P164" s="45">
        <f t="shared" si="41"/>
        <v>0</v>
      </c>
      <c r="Q164" s="45">
        <f t="shared" si="42"/>
        <v>927143.58</v>
      </c>
      <c r="R164" s="45">
        <f t="shared" si="43"/>
        <v>492423.39</v>
      </c>
      <c r="S164" s="45">
        <f t="shared" si="44"/>
        <v>-87057.3</v>
      </c>
      <c r="T164" s="6">
        <f>VLOOKUP($A164,'2324 Jun 24 Enroll'!$A$4:$AL$325,31,FALSE)</f>
        <v>150.66999999999999</v>
      </c>
      <c r="U164" s="45">
        <f t="shared" si="36"/>
        <v>1434623.99</v>
      </c>
      <c r="V164" s="35">
        <v>0.20699999999999999</v>
      </c>
      <c r="W164" s="45">
        <f t="shared" si="37"/>
        <v>1188586.57</v>
      </c>
      <c r="X164" s="35">
        <v>0.31830000000000003</v>
      </c>
      <c r="Y164" s="45">
        <f t="shared" si="38"/>
        <v>378327.11</v>
      </c>
    </row>
    <row r="165" spans="1:25">
      <c r="A165" t="s">
        <v>659</v>
      </c>
      <c r="B165" t="s">
        <v>660</v>
      </c>
      <c r="C165" s="6">
        <f>VLOOKUP($A165,'SpEd BEA Rate 2324'!$A$4:$AS$325,45,FALSE)</f>
        <v>9418.4500000000007</v>
      </c>
      <c r="D165" s="6">
        <f>VLOOKUP($A165,'2324 Jun 24 Enroll'!$A$4:$AL$325,22,FALSE)</f>
        <v>11</v>
      </c>
      <c r="E165" s="6">
        <f>VLOOKUP($A165,'2324 Jun 24 Enroll'!$A$4:$AL$325,23,FALSE)</f>
        <v>2.89</v>
      </c>
      <c r="F165" s="6">
        <f>VLOOKUP($A165,'2324 Jun 24 Enroll'!$A$4:$AL$325,24,FALSE)</f>
        <v>0.22</v>
      </c>
      <c r="G165" s="6">
        <f>VLOOKUP($A165,'2324 Jun 24 Enroll'!$A$4:$AL$325,25,FALSE)</f>
        <v>91.11</v>
      </c>
      <c r="H165" s="6">
        <f>VLOOKUP($A165,'2324 Jun 24 Enroll'!$A$4:$AL$325,26,FALSE)</f>
        <v>60.11</v>
      </c>
      <c r="I165" s="6">
        <f>VLOOKUP($A165,'2324 Jun 24 Enroll'!$A$4:$AL$325,27,FALSE)</f>
        <v>847.51</v>
      </c>
      <c r="J165" s="54">
        <f t="shared" si="34"/>
        <v>0.18210000000000001</v>
      </c>
      <c r="K165" s="54">
        <f t="shared" si="35"/>
        <v>3.2100000000000017E-2</v>
      </c>
      <c r="L165" s="45">
        <f t="shared" si="39"/>
        <v>124323.54</v>
      </c>
      <c r="M165" s="68">
        <v>129.18</v>
      </c>
      <c r="N165" s="68">
        <v>21.38</v>
      </c>
      <c r="O165" s="45">
        <f t="shared" si="40"/>
        <v>30423.85</v>
      </c>
      <c r="P165" s="45">
        <f t="shared" si="41"/>
        <v>2191.6799999999998</v>
      </c>
      <c r="Q165" s="45">
        <f t="shared" si="42"/>
        <v>959140.85</v>
      </c>
      <c r="R165" s="45">
        <f t="shared" si="43"/>
        <v>598826.46</v>
      </c>
      <c r="S165" s="45">
        <f t="shared" si="44"/>
        <v>-280382.81</v>
      </c>
      <c r="T165" s="6">
        <f>VLOOKUP($A165,'2324 Jun 24 Enroll'!$A$4:$AL$325,31,FALSE)</f>
        <v>154.33000000000001</v>
      </c>
      <c r="U165" s="45">
        <f t="shared" si="36"/>
        <v>1453549.39</v>
      </c>
      <c r="V165" s="35">
        <v>0.18090000000000001</v>
      </c>
      <c r="W165" s="45">
        <f t="shared" si="37"/>
        <v>1230882.71</v>
      </c>
      <c r="X165" s="35">
        <v>0.27189999999999998</v>
      </c>
      <c r="Y165" s="45">
        <f t="shared" si="38"/>
        <v>334677.01</v>
      </c>
    </row>
    <row r="166" spans="1:25">
      <c r="A166" t="s">
        <v>687</v>
      </c>
      <c r="B166" t="s">
        <v>688</v>
      </c>
      <c r="C166" s="6">
        <f>VLOOKUP($A166,'SpEd BEA Rate 2324'!$A$4:$AS$325,45,FALSE)</f>
        <v>9611.9000000000015</v>
      </c>
      <c r="D166" s="6">
        <f>VLOOKUP($A166,'2324 Jun 24 Enroll'!$A$4:$AL$325,22,FALSE)</f>
        <v>4.33</v>
      </c>
      <c r="E166" s="6">
        <f>VLOOKUP($A166,'2324 Jun 24 Enroll'!$A$4:$AL$325,23,FALSE)</f>
        <v>2.44</v>
      </c>
      <c r="F166" s="6">
        <f>VLOOKUP($A166,'2324 Jun 24 Enroll'!$A$4:$AL$325,24,FALSE)</f>
        <v>1</v>
      </c>
      <c r="G166" s="6">
        <f>VLOOKUP($A166,'2324 Jun 24 Enroll'!$A$4:$AL$325,25,FALSE)</f>
        <v>39.11</v>
      </c>
      <c r="H166" s="6">
        <f>VLOOKUP($A166,'2324 Jun 24 Enroll'!$A$4:$AL$325,26,FALSE)</f>
        <v>11.89</v>
      </c>
      <c r="I166" s="6">
        <f>VLOOKUP($A166,'2324 Jun 24 Enroll'!$A$4:$AL$325,27,FALSE)</f>
        <v>271.44</v>
      </c>
      <c r="J166" s="54">
        <f t="shared" si="34"/>
        <v>0.2006</v>
      </c>
      <c r="K166" s="54">
        <f t="shared" si="35"/>
        <v>5.0600000000000006E-2</v>
      </c>
      <c r="L166" s="45">
        <f t="shared" si="39"/>
        <v>49943.43</v>
      </c>
      <c r="M166" s="68">
        <v>130.91999999999999</v>
      </c>
      <c r="N166" s="68">
        <v>21.67</v>
      </c>
      <c r="O166" s="45">
        <f t="shared" si="40"/>
        <v>26214.53</v>
      </c>
      <c r="P166" s="45">
        <f t="shared" si="41"/>
        <v>10166.94</v>
      </c>
      <c r="Q166" s="45">
        <f t="shared" si="42"/>
        <v>420184.46</v>
      </c>
      <c r="R166" s="45">
        <f t="shared" si="43"/>
        <v>120884.96</v>
      </c>
      <c r="S166" s="45">
        <f t="shared" si="44"/>
        <v>-145658.1</v>
      </c>
      <c r="T166" s="6">
        <f>VLOOKUP($A166,'2324 Jun 24 Enroll'!$A$4:$AL$325,31,FALSE)</f>
        <v>54.44</v>
      </c>
      <c r="U166" s="45">
        <f t="shared" si="36"/>
        <v>523271.84</v>
      </c>
      <c r="V166" s="35">
        <v>0.21149999999999999</v>
      </c>
      <c r="W166" s="45">
        <f t="shared" si="37"/>
        <v>431920.63</v>
      </c>
      <c r="X166" s="35">
        <v>0.21859999999999999</v>
      </c>
      <c r="Y166" s="45">
        <f t="shared" si="38"/>
        <v>94417.85</v>
      </c>
    </row>
    <row r="167" spans="1:25">
      <c r="A167" t="s">
        <v>376</v>
      </c>
      <c r="B167" t="s">
        <v>377</v>
      </c>
      <c r="C167" s="6">
        <f>VLOOKUP($A167,'SpEd BEA Rate 2324'!$A$4:$AS$325,45,FALSE)</f>
        <v>9624.8000000000011</v>
      </c>
      <c r="D167" s="6">
        <f>VLOOKUP($A167,'2324 Jun 24 Enroll'!$A$4:$AL$325,22,FALSE)</f>
        <v>28.44</v>
      </c>
      <c r="E167" s="6">
        <f>VLOOKUP($A167,'2324 Jun 24 Enroll'!$A$4:$AL$325,23,FALSE)</f>
        <v>0</v>
      </c>
      <c r="F167" s="6">
        <f>VLOOKUP($A167,'2324 Jun 24 Enroll'!$A$4:$AL$325,24,FALSE)</f>
        <v>0</v>
      </c>
      <c r="G167" s="6">
        <f>VLOOKUP($A167,'2324 Jun 24 Enroll'!$A$4:$AL$325,25,FALSE)</f>
        <v>246.78</v>
      </c>
      <c r="H167" s="6">
        <f>VLOOKUP($A167,'2324 Jun 24 Enroll'!$A$4:$AL$325,26,FALSE)</f>
        <v>153.22</v>
      </c>
      <c r="I167" s="6">
        <f>VLOOKUP($A167,'2324 Jun 24 Enroll'!$A$4:$AL$325,27,FALSE)</f>
        <v>2938.35</v>
      </c>
      <c r="J167" s="54">
        <f t="shared" si="34"/>
        <v>0.1361</v>
      </c>
      <c r="K167" s="54">
        <f t="shared" si="35"/>
        <v>0</v>
      </c>
      <c r="L167" s="45">
        <f t="shared" si="39"/>
        <v>328475.17</v>
      </c>
      <c r="M167" s="68">
        <v>121.45</v>
      </c>
      <c r="N167" s="68">
        <v>20.100000000000001</v>
      </c>
      <c r="O167" s="45">
        <f t="shared" si="40"/>
        <v>0</v>
      </c>
      <c r="P167" s="45">
        <f t="shared" si="41"/>
        <v>0</v>
      </c>
      <c r="Q167" s="45">
        <f t="shared" si="42"/>
        <v>2655272.84</v>
      </c>
      <c r="R167" s="45">
        <f t="shared" si="43"/>
        <v>1560114.85</v>
      </c>
      <c r="S167" s="45">
        <f t="shared" si="44"/>
        <v>0</v>
      </c>
      <c r="T167" s="6">
        <f>VLOOKUP($A167,'2324 Jun 24 Enroll'!$A$4:$AL$325,31,FALSE)</f>
        <v>412.34</v>
      </c>
      <c r="U167" s="45">
        <f t="shared" si="36"/>
        <v>3968690.03</v>
      </c>
      <c r="V167" s="35">
        <v>0.1585</v>
      </c>
      <c r="W167" s="45">
        <f t="shared" si="37"/>
        <v>3425714.31</v>
      </c>
      <c r="X167" s="35">
        <v>0.2586</v>
      </c>
      <c r="Y167" s="45">
        <f t="shared" si="38"/>
        <v>885889.72</v>
      </c>
    </row>
    <row r="168" spans="1:25">
      <c r="A168" t="s">
        <v>871</v>
      </c>
      <c r="B168" t="s">
        <v>872</v>
      </c>
      <c r="C168" s="6">
        <f>VLOOKUP($A168,'SpEd BEA Rate 2324'!$A$4:$AS$325,45,FALSE)</f>
        <v>9414.92</v>
      </c>
      <c r="D168" s="6">
        <f>VLOOKUP($A168,'2324 Jun 24 Enroll'!$A$4:$AL$325,22,FALSE)</f>
        <v>0.89</v>
      </c>
      <c r="E168" s="6">
        <f>VLOOKUP($A168,'2324 Jun 24 Enroll'!$A$4:$AL$325,23,FALSE)</f>
        <v>0</v>
      </c>
      <c r="F168" s="6">
        <f>VLOOKUP($A168,'2324 Jun 24 Enroll'!$A$4:$AL$325,24,FALSE)</f>
        <v>0</v>
      </c>
      <c r="G168" s="6">
        <f>VLOOKUP($A168,'2324 Jun 24 Enroll'!$A$4:$AL$325,25,FALSE)</f>
        <v>40.56</v>
      </c>
      <c r="H168" s="6">
        <f>VLOOKUP($A168,'2324 Jun 24 Enroll'!$A$4:$AL$325,26,FALSE)</f>
        <v>16.440000000000001</v>
      </c>
      <c r="I168" s="6">
        <f>VLOOKUP($A168,'2324 Jun 24 Enroll'!$A$4:$AL$325,27,FALSE)</f>
        <v>335.22</v>
      </c>
      <c r="J168" s="54">
        <f t="shared" si="34"/>
        <v>0.17</v>
      </c>
      <c r="K168" s="54">
        <f t="shared" si="35"/>
        <v>2.0000000000000018E-2</v>
      </c>
      <c r="L168" s="45">
        <f t="shared" si="39"/>
        <v>10055.129999999999</v>
      </c>
      <c r="M168" s="68">
        <v>123.14</v>
      </c>
      <c r="N168" s="68">
        <v>20.38</v>
      </c>
      <c r="O168" s="45">
        <f t="shared" si="40"/>
        <v>0</v>
      </c>
      <c r="P168" s="45">
        <f t="shared" si="41"/>
        <v>0</v>
      </c>
      <c r="Q168" s="45">
        <f t="shared" si="42"/>
        <v>426866.84</v>
      </c>
      <c r="R168" s="45">
        <f t="shared" si="43"/>
        <v>163733.10999999999</v>
      </c>
      <c r="S168" s="45">
        <f t="shared" si="44"/>
        <v>-69482.350000000006</v>
      </c>
      <c r="T168" s="6">
        <f>VLOOKUP($A168,'2324 Jun 24 Enroll'!$A$4:$AL$325,31,FALSE)</f>
        <v>57</v>
      </c>
      <c r="U168" s="45">
        <f t="shared" si="36"/>
        <v>536650.43999999994</v>
      </c>
      <c r="V168" s="35">
        <v>0.21840000000000001</v>
      </c>
      <c r="W168" s="45">
        <f t="shared" si="37"/>
        <v>440455.06</v>
      </c>
      <c r="X168" s="35">
        <v>0.2213</v>
      </c>
      <c r="Y168" s="45">
        <f t="shared" si="38"/>
        <v>97472.7</v>
      </c>
    </row>
    <row r="169" spans="1:25">
      <c r="A169" t="s">
        <v>374</v>
      </c>
      <c r="B169" t="s">
        <v>375</v>
      </c>
      <c r="C169" s="6">
        <f>VLOOKUP($A169,'SpEd BEA Rate 2324'!$A$4:$AS$325,45,FALSE)</f>
        <v>9418.11</v>
      </c>
      <c r="D169" s="6">
        <f>VLOOKUP($A169,'2324 Jun 24 Enroll'!$A$4:$AL$325,22,FALSE)</f>
        <v>48.44</v>
      </c>
      <c r="E169" s="6">
        <f>VLOOKUP($A169,'2324 Jun 24 Enroll'!$A$4:$AL$325,23,FALSE)</f>
        <v>0</v>
      </c>
      <c r="F169" s="6">
        <f>VLOOKUP($A169,'2324 Jun 24 Enroll'!$A$4:$AL$325,24,FALSE)</f>
        <v>0</v>
      </c>
      <c r="G169" s="6">
        <f>VLOOKUP($A169,'2324 Jun 24 Enroll'!$A$4:$AL$325,25,FALSE)</f>
        <v>302.22000000000003</v>
      </c>
      <c r="H169" s="6">
        <f>VLOOKUP($A169,'2324 Jun 24 Enroll'!$A$4:$AL$325,26,FALSE)</f>
        <v>230.44</v>
      </c>
      <c r="I169" s="6">
        <f>VLOOKUP($A169,'2324 Jun 24 Enroll'!$A$4:$AL$325,27,FALSE)</f>
        <v>3348.67</v>
      </c>
      <c r="J169" s="54">
        <f t="shared" si="34"/>
        <v>0.15909999999999999</v>
      </c>
      <c r="K169" s="54">
        <f t="shared" si="35"/>
        <v>9.099999999999997E-3</v>
      </c>
      <c r="L169" s="45">
        <f t="shared" si="39"/>
        <v>547455.9</v>
      </c>
      <c r="M169" s="68">
        <v>130.28</v>
      </c>
      <c r="N169" s="68">
        <v>21.56</v>
      </c>
      <c r="O169" s="45">
        <f t="shared" si="40"/>
        <v>0</v>
      </c>
      <c r="P169" s="45">
        <f t="shared" si="41"/>
        <v>0</v>
      </c>
      <c r="Q169" s="45">
        <f t="shared" si="42"/>
        <v>3181386.29</v>
      </c>
      <c r="R169" s="45">
        <f t="shared" si="43"/>
        <v>2295559.54</v>
      </c>
      <c r="S169" s="45">
        <f t="shared" si="44"/>
        <v>-313263.40000000002</v>
      </c>
      <c r="T169" s="6">
        <f>VLOOKUP($A169,'2324 Jun 24 Enroll'!$A$4:$AL$325,31,FALSE)</f>
        <v>521.77</v>
      </c>
      <c r="U169" s="45">
        <f t="shared" si="36"/>
        <v>4914087.25</v>
      </c>
      <c r="V169" s="35">
        <v>0.1386</v>
      </c>
      <c r="W169" s="45">
        <f t="shared" si="37"/>
        <v>4315903.08</v>
      </c>
      <c r="X169" s="35">
        <v>0.28139999999999998</v>
      </c>
      <c r="Y169" s="45">
        <f t="shared" si="38"/>
        <v>1214495.1299999999</v>
      </c>
    </row>
    <row r="170" spans="1:25">
      <c r="A170" t="s">
        <v>783</v>
      </c>
      <c r="B170" t="s">
        <v>784</v>
      </c>
      <c r="C170" s="6">
        <f>VLOOKUP($A170,'SpEd BEA Rate 2324'!$A$4:$AS$325,45,FALSE)</f>
        <v>9439.44</v>
      </c>
      <c r="D170" s="6">
        <f>VLOOKUP($A170,'2324 Jun 24 Enroll'!$A$4:$AL$325,22,FALSE)</f>
        <v>0.89</v>
      </c>
      <c r="E170" s="6">
        <f>VLOOKUP($A170,'2324 Jun 24 Enroll'!$A$4:$AL$325,23,FALSE)</f>
        <v>0</v>
      </c>
      <c r="F170" s="6">
        <f>VLOOKUP($A170,'2324 Jun 24 Enroll'!$A$4:$AL$325,24,FALSE)</f>
        <v>0</v>
      </c>
      <c r="G170" s="6">
        <f>VLOOKUP($A170,'2324 Jun 24 Enroll'!$A$4:$AL$325,25,FALSE)</f>
        <v>12</v>
      </c>
      <c r="H170" s="6">
        <f>VLOOKUP($A170,'2324 Jun 24 Enroll'!$A$4:$AL$325,26,FALSE)</f>
        <v>2.33</v>
      </c>
      <c r="I170" s="6">
        <f>VLOOKUP($A170,'2324 Jun 24 Enroll'!$A$4:$AL$325,27,FALSE)</f>
        <v>61.3</v>
      </c>
      <c r="J170" s="54">
        <f t="shared" si="34"/>
        <v>0.23380000000000001</v>
      </c>
      <c r="K170" s="54">
        <f t="shared" si="35"/>
        <v>8.3800000000000013E-2</v>
      </c>
      <c r="L170" s="45">
        <f t="shared" si="39"/>
        <v>10081.32</v>
      </c>
      <c r="M170" s="68">
        <v>131.35</v>
      </c>
      <c r="N170" s="68">
        <v>21.74</v>
      </c>
      <c r="O170" s="45">
        <f t="shared" si="40"/>
        <v>0</v>
      </c>
      <c r="P170" s="45">
        <f t="shared" si="41"/>
        <v>0</v>
      </c>
      <c r="Q170" s="45">
        <f t="shared" si="42"/>
        <v>126605.19</v>
      </c>
      <c r="R170" s="45">
        <f t="shared" si="43"/>
        <v>23262.87</v>
      </c>
      <c r="S170" s="45">
        <f t="shared" si="44"/>
        <v>-53716.61</v>
      </c>
      <c r="T170" s="6">
        <f>VLOOKUP($A170,'2324 Jun 24 Enroll'!$A$4:$AL$325,31,FALSE)</f>
        <v>14.33</v>
      </c>
      <c r="U170" s="45">
        <f t="shared" si="36"/>
        <v>135267.18</v>
      </c>
      <c r="V170" s="35">
        <v>0.1943</v>
      </c>
      <c r="W170" s="45">
        <f t="shared" si="37"/>
        <v>113260.64</v>
      </c>
      <c r="X170" s="35">
        <v>0.122</v>
      </c>
      <c r="Y170" s="45">
        <f t="shared" si="38"/>
        <v>13817.8</v>
      </c>
    </row>
    <row r="171" spans="1:25">
      <c r="A171" t="s">
        <v>719</v>
      </c>
      <c r="B171" t="s">
        <v>720</v>
      </c>
      <c r="C171" s="6">
        <f>VLOOKUP($A171,'SpEd BEA Rate 2324'!$A$4:$AS$325,45,FALSE)</f>
        <v>9427.68</v>
      </c>
      <c r="D171" s="6">
        <f>VLOOKUP($A171,'2324 Jun 24 Enroll'!$A$4:$AL$325,22,FALSE)</f>
        <v>1.89</v>
      </c>
      <c r="E171" s="6">
        <f>VLOOKUP($A171,'2324 Jun 24 Enroll'!$A$4:$AL$325,23,FALSE)</f>
        <v>0.78</v>
      </c>
      <c r="F171" s="6">
        <f>VLOOKUP($A171,'2324 Jun 24 Enroll'!$A$4:$AL$325,24,FALSE)</f>
        <v>0.11</v>
      </c>
      <c r="G171" s="6">
        <f>VLOOKUP($A171,'2324 Jun 24 Enroll'!$A$4:$AL$325,25,FALSE)</f>
        <v>44.89</v>
      </c>
      <c r="H171" s="6">
        <f>VLOOKUP($A171,'2324 Jun 24 Enroll'!$A$4:$AL$325,26,FALSE)</f>
        <v>37.22</v>
      </c>
      <c r="I171" s="6">
        <f>VLOOKUP($A171,'2324 Jun 24 Enroll'!$A$4:$AL$325,27,FALSE)</f>
        <v>729.17</v>
      </c>
      <c r="J171" s="54">
        <f t="shared" si="34"/>
        <v>0.1138</v>
      </c>
      <c r="K171" s="54">
        <f t="shared" si="35"/>
        <v>0</v>
      </c>
      <c r="L171" s="45">
        <f t="shared" si="39"/>
        <v>21381.98</v>
      </c>
      <c r="M171" s="68">
        <v>132.58000000000001</v>
      </c>
      <c r="N171" s="68">
        <v>21.94</v>
      </c>
      <c r="O171" s="45">
        <f t="shared" si="40"/>
        <v>8218.91</v>
      </c>
      <c r="P171" s="45">
        <f t="shared" si="41"/>
        <v>1096.8499999999999</v>
      </c>
      <c r="Q171" s="45">
        <f t="shared" si="42"/>
        <v>473008.7</v>
      </c>
      <c r="R171" s="45">
        <f t="shared" si="43"/>
        <v>371135.54</v>
      </c>
      <c r="S171" s="45">
        <f t="shared" si="44"/>
        <v>0</v>
      </c>
      <c r="T171" s="6">
        <f>VLOOKUP($A171,'2324 Jun 24 Enroll'!$A$4:$AL$325,31,FALSE)</f>
        <v>83</v>
      </c>
      <c r="U171" s="45">
        <f t="shared" si="36"/>
        <v>782497.44</v>
      </c>
      <c r="V171" s="35">
        <v>0.26400000000000001</v>
      </c>
      <c r="W171" s="45">
        <f t="shared" si="37"/>
        <v>619064.43000000005</v>
      </c>
      <c r="X171" s="35">
        <v>0.2601</v>
      </c>
      <c r="Y171" s="45">
        <f t="shared" si="38"/>
        <v>161018.66</v>
      </c>
    </row>
    <row r="172" spans="1:25">
      <c r="A172" t="s">
        <v>319</v>
      </c>
      <c r="B172" t="s">
        <v>320</v>
      </c>
      <c r="C172" s="6">
        <f>VLOOKUP($A172,'SpEd BEA Rate 2324'!$A$4:$AS$325,45,FALSE)</f>
        <v>9503.23</v>
      </c>
      <c r="D172" s="6">
        <f>VLOOKUP($A172,'2324 Jun 24 Enroll'!$A$4:$AL$325,22,FALSE)</f>
        <v>0</v>
      </c>
      <c r="E172" s="6">
        <f>VLOOKUP($A172,'2324 Jun 24 Enroll'!$A$4:$AL$325,23,FALSE)</f>
        <v>0</v>
      </c>
      <c r="F172" s="6">
        <f>VLOOKUP($A172,'2324 Jun 24 Enroll'!$A$4:$AL$325,24,FALSE)</f>
        <v>0</v>
      </c>
      <c r="G172" s="6">
        <f>VLOOKUP($A172,'2324 Jun 24 Enroll'!$A$4:$AL$325,25,FALSE)</f>
        <v>12</v>
      </c>
      <c r="H172" s="6">
        <f>VLOOKUP($A172,'2324 Jun 24 Enroll'!$A$4:$AL$325,26,FALSE)</f>
        <v>1.22</v>
      </c>
      <c r="I172" s="6">
        <f>VLOOKUP($A172,'2324 Jun 24 Enroll'!$A$4:$AL$325,27,FALSE)</f>
        <v>102.34</v>
      </c>
      <c r="J172" s="54">
        <f t="shared" si="34"/>
        <v>0.12920000000000001</v>
      </c>
      <c r="K172" s="54">
        <f t="shared" si="35"/>
        <v>0</v>
      </c>
      <c r="L172" s="45">
        <f t="shared" si="39"/>
        <v>0</v>
      </c>
      <c r="M172" s="68">
        <v>133.02000000000001</v>
      </c>
      <c r="N172" s="68">
        <v>22.02</v>
      </c>
      <c r="O172" s="45">
        <f t="shared" si="40"/>
        <v>0</v>
      </c>
      <c r="P172" s="45">
        <f t="shared" si="41"/>
        <v>0</v>
      </c>
      <c r="Q172" s="45">
        <f t="shared" si="42"/>
        <v>127459.17</v>
      </c>
      <c r="R172" s="45">
        <f t="shared" si="43"/>
        <v>12262.71</v>
      </c>
      <c r="S172" s="45">
        <f t="shared" si="44"/>
        <v>0</v>
      </c>
      <c r="T172" s="6">
        <f>VLOOKUP($A172,'2324 Jun 24 Enroll'!$A$4:$AL$325,31,FALSE)</f>
        <v>13.22</v>
      </c>
      <c r="U172" s="45">
        <f t="shared" si="36"/>
        <v>125632.7</v>
      </c>
      <c r="V172" s="35">
        <v>0.3513</v>
      </c>
      <c r="W172" s="45">
        <f t="shared" si="37"/>
        <v>92971.73</v>
      </c>
      <c r="X172" s="35">
        <v>0.16</v>
      </c>
      <c r="Y172" s="45">
        <f t="shared" si="38"/>
        <v>14875.48</v>
      </c>
    </row>
    <row r="173" spans="1:25">
      <c r="A173" t="s">
        <v>414</v>
      </c>
      <c r="B173" t="s">
        <v>415</v>
      </c>
      <c r="C173" s="6">
        <f>VLOOKUP($A173,'SpEd BEA Rate 2324'!$A$4:$AS$325,45,FALSE)</f>
        <v>9524.9599999999991</v>
      </c>
      <c r="D173" s="6">
        <f>VLOOKUP($A173,'2324 Jun 24 Enroll'!$A$4:$AL$325,22,FALSE)</f>
        <v>0.22</v>
      </c>
      <c r="E173" s="6">
        <f>VLOOKUP($A173,'2324 Jun 24 Enroll'!$A$4:$AL$325,23,FALSE)</f>
        <v>0</v>
      </c>
      <c r="F173" s="6">
        <f>VLOOKUP($A173,'2324 Jun 24 Enroll'!$A$4:$AL$325,24,FALSE)</f>
        <v>0</v>
      </c>
      <c r="G173" s="6">
        <f>VLOOKUP($A173,'2324 Jun 24 Enroll'!$A$4:$AL$325,25,FALSE)</f>
        <v>15</v>
      </c>
      <c r="H173" s="6">
        <f>VLOOKUP($A173,'2324 Jun 24 Enroll'!$A$4:$AL$325,26,FALSE)</f>
        <v>3.33</v>
      </c>
      <c r="I173" s="6">
        <f>VLOOKUP($A173,'2324 Jun 24 Enroll'!$A$4:$AL$325,27,FALSE)</f>
        <v>86.38</v>
      </c>
      <c r="J173" s="54">
        <f t="shared" si="34"/>
        <v>0.2122</v>
      </c>
      <c r="K173" s="54">
        <f t="shared" si="35"/>
        <v>6.2200000000000005E-2</v>
      </c>
      <c r="L173" s="45">
        <f t="shared" si="39"/>
        <v>2514.59</v>
      </c>
      <c r="M173" s="68">
        <v>130.61000000000001</v>
      </c>
      <c r="N173" s="68">
        <v>21.62</v>
      </c>
      <c r="O173" s="45">
        <f t="shared" si="40"/>
        <v>0</v>
      </c>
      <c r="P173" s="45">
        <f t="shared" si="41"/>
        <v>0</v>
      </c>
      <c r="Q173" s="45">
        <f t="shared" si="42"/>
        <v>159695.03</v>
      </c>
      <c r="R173" s="45">
        <f t="shared" si="43"/>
        <v>33549.21</v>
      </c>
      <c r="S173" s="45">
        <f t="shared" si="44"/>
        <v>-56643.69</v>
      </c>
      <c r="T173" s="6">
        <f>VLOOKUP($A173,'2324 Jun 24 Enroll'!$A$4:$AL$325,31,FALSE)</f>
        <v>18.329999999999998</v>
      </c>
      <c r="U173" s="45">
        <f t="shared" si="36"/>
        <v>174592.52</v>
      </c>
      <c r="V173" s="35">
        <v>0.26800000000000002</v>
      </c>
      <c r="W173" s="45">
        <f t="shared" si="37"/>
        <v>137691.26</v>
      </c>
      <c r="X173" s="35">
        <v>0.156</v>
      </c>
      <c r="Y173" s="45">
        <f t="shared" si="38"/>
        <v>21479.84</v>
      </c>
    </row>
    <row r="174" spans="1:25">
      <c r="A174" t="s">
        <v>653</v>
      </c>
      <c r="B174" t="s">
        <v>654</v>
      </c>
      <c r="C174" s="6">
        <f>VLOOKUP($A174,'SpEd BEA Rate 2324'!$A$4:$AS$325,45,FALSE)</f>
        <v>9720.0300000000007</v>
      </c>
      <c r="D174" s="6">
        <f>VLOOKUP($A174,'2324 Jun 24 Enroll'!$A$4:$AL$325,22,FALSE)</f>
        <v>1.78</v>
      </c>
      <c r="E174" s="6">
        <f>VLOOKUP($A174,'2324 Jun 24 Enroll'!$A$4:$AL$325,23,FALSE)</f>
        <v>0</v>
      </c>
      <c r="F174" s="6">
        <f>VLOOKUP($A174,'2324 Jun 24 Enroll'!$A$4:$AL$325,24,FALSE)</f>
        <v>0</v>
      </c>
      <c r="G174" s="6">
        <f>VLOOKUP($A174,'2324 Jun 24 Enroll'!$A$4:$AL$325,25,FALSE)</f>
        <v>23.33</v>
      </c>
      <c r="H174" s="6">
        <f>VLOOKUP($A174,'2324 Jun 24 Enroll'!$A$4:$AL$325,26,FALSE)</f>
        <v>10.67</v>
      </c>
      <c r="I174" s="6">
        <f>VLOOKUP($A174,'2324 Jun 24 Enroll'!$A$4:$AL$325,27,FALSE)</f>
        <v>212.14</v>
      </c>
      <c r="J174" s="54">
        <f t="shared" si="34"/>
        <v>0.1603</v>
      </c>
      <c r="K174" s="54">
        <f t="shared" si="35"/>
        <v>1.0300000000000004E-2</v>
      </c>
      <c r="L174" s="45">
        <f t="shared" si="39"/>
        <v>20761.98</v>
      </c>
      <c r="M174" s="68">
        <v>123.32</v>
      </c>
      <c r="N174" s="68">
        <v>20.41</v>
      </c>
      <c r="O174" s="45">
        <f t="shared" si="40"/>
        <v>0</v>
      </c>
      <c r="P174" s="45">
        <f t="shared" si="41"/>
        <v>0</v>
      </c>
      <c r="Q174" s="45">
        <f t="shared" si="42"/>
        <v>253504.33</v>
      </c>
      <c r="R174" s="45">
        <f t="shared" si="43"/>
        <v>109717.71</v>
      </c>
      <c r="S174" s="45">
        <f t="shared" si="44"/>
        <v>-23338.66</v>
      </c>
      <c r="T174" s="6">
        <f>VLOOKUP($A174,'2324 Jun 24 Enroll'!$A$4:$AL$325,31,FALSE)</f>
        <v>34</v>
      </c>
      <c r="U174" s="45">
        <f t="shared" si="36"/>
        <v>330481.02</v>
      </c>
      <c r="V174" s="35">
        <v>0.22850000000000001</v>
      </c>
      <c r="W174" s="45">
        <f t="shared" si="37"/>
        <v>269011.82</v>
      </c>
      <c r="X174" s="35">
        <v>0.2437</v>
      </c>
      <c r="Y174" s="45">
        <f t="shared" si="38"/>
        <v>65558.179999999993</v>
      </c>
    </row>
    <row r="175" spans="1:25">
      <c r="A175" t="s">
        <v>877</v>
      </c>
      <c r="B175" t="s">
        <v>878</v>
      </c>
      <c r="C175" s="6">
        <f>VLOOKUP($A175,'SpEd BEA Rate 2324'!$A$4:$AS$325,45,FALSE)</f>
        <v>9431.869999999999</v>
      </c>
      <c r="D175" s="6">
        <f>VLOOKUP($A175,'2324 Jun 24 Enroll'!$A$4:$AL$325,22,FALSE)</f>
        <v>0</v>
      </c>
      <c r="E175" s="6">
        <f>VLOOKUP($A175,'2324 Jun 24 Enroll'!$A$4:$AL$325,23,FALSE)</f>
        <v>0</v>
      </c>
      <c r="F175" s="6">
        <f>VLOOKUP($A175,'2324 Jun 24 Enroll'!$A$4:$AL$325,24,FALSE)</f>
        <v>0</v>
      </c>
      <c r="G175" s="6">
        <f>VLOOKUP($A175,'2324 Jun 24 Enroll'!$A$4:$AL$325,25,FALSE)</f>
        <v>33.78</v>
      </c>
      <c r="H175" s="6">
        <f>VLOOKUP($A175,'2324 Jun 24 Enroll'!$A$4:$AL$325,26,FALSE)</f>
        <v>8.11</v>
      </c>
      <c r="I175" s="6">
        <f>VLOOKUP($A175,'2324 Jun 24 Enroll'!$A$4:$AL$325,27,FALSE)</f>
        <v>225.65</v>
      </c>
      <c r="J175" s="54">
        <f t="shared" si="34"/>
        <v>0.18559999999999999</v>
      </c>
      <c r="K175" s="54">
        <f t="shared" si="35"/>
        <v>3.5599999999999993E-2</v>
      </c>
      <c r="L175" s="45">
        <f t="shared" si="39"/>
        <v>0</v>
      </c>
      <c r="M175" s="68">
        <v>127.49</v>
      </c>
      <c r="N175" s="68">
        <v>21.1</v>
      </c>
      <c r="O175" s="45">
        <f t="shared" si="40"/>
        <v>0</v>
      </c>
      <c r="P175" s="45">
        <f t="shared" si="41"/>
        <v>0</v>
      </c>
      <c r="Q175" s="45">
        <f t="shared" si="42"/>
        <v>356128.84</v>
      </c>
      <c r="R175" s="45">
        <f t="shared" si="43"/>
        <v>80910.89</v>
      </c>
      <c r="S175" s="45">
        <f t="shared" si="44"/>
        <v>-83828.740000000005</v>
      </c>
      <c r="T175" s="6">
        <f>VLOOKUP($A175,'2324 Jun 24 Enroll'!$A$4:$AL$325,31,FALSE)</f>
        <v>41.89</v>
      </c>
      <c r="U175" s="45">
        <f t="shared" si="36"/>
        <v>395101.03</v>
      </c>
      <c r="V175" s="35">
        <v>0.25790000000000002</v>
      </c>
      <c r="W175" s="45">
        <f t="shared" si="37"/>
        <v>314095.74</v>
      </c>
      <c r="X175" s="35">
        <v>0.16850000000000001</v>
      </c>
      <c r="Y175" s="45">
        <f t="shared" si="38"/>
        <v>52925.13</v>
      </c>
    </row>
    <row r="176" spans="1:25">
      <c r="A176" t="s">
        <v>498</v>
      </c>
      <c r="B176" t="s">
        <v>499</v>
      </c>
      <c r="C176" s="6">
        <f>VLOOKUP($A176,'SpEd BEA Rate 2324'!$A$4:$AS$325,45,FALSE)</f>
        <v>9598.01</v>
      </c>
      <c r="D176" s="6">
        <f>VLOOKUP($A176,'2324 Jun 24 Enroll'!$A$4:$AL$325,22,FALSE)</f>
        <v>2.78</v>
      </c>
      <c r="E176" s="6">
        <f>VLOOKUP($A176,'2324 Jun 24 Enroll'!$A$4:$AL$325,23,FALSE)</f>
        <v>0</v>
      </c>
      <c r="F176" s="6">
        <f>VLOOKUP($A176,'2324 Jun 24 Enroll'!$A$4:$AL$325,24,FALSE)</f>
        <v>0</v>
      </c>
      <c r="G176" s="6">
        <f>VLOOKUP($A176,'2324 Jun 24 Enroll'!$A$4:$AL$325,25,FALSE)</f>
        <v>32</v>
      </c>
      <c r="H176" s="6">
        <f>VLOOKUP($A176,'2324 Jun 24 Enroll'!$A$4:$AL$325,26,FALSE)</f>
        <v>0.22</v>
      </c>
      <c r="I176" s="6">
        <f>VLOOKUP($A176,'2324 Jun 24 Enroll'!$A$4:$AL$325,27,FALSE)</f>
        <v>109.59</v>
      </c>
      <c r="J176" s="54">
        <f t="shared" si="34"/>
        <v>0.29399999999999998</v>
      </c>
      <c r="K176" s="54">
        <f t="shared" si="35"/>
        <v>0.14399999999999999</v>
      </c>
      <c r="L176" s="45">
        <f t="shared" si="39"/>
        <v>32018.959999999999</v>
      </c>
      <c r="M176" s="68">
        <v>119.58</v>
      </c>
      <c r="N176" s="68">
        <v>19.79</v>
      </c>
      <c r="O176" s="45">
        <f t="shared" si="40"/>
        <v>0</v>
      </c>
      <c r="P176" s="45">
        <f t="shared" si="41"/>
        <v>0</v>
      </c>
      <c r="Q176" s="45">
        <f t="shared" si="42"/>
        <v>343359.4</v>
      </c>
      <c r="R176" s="45">
        <f t="shared" si="43"/>
        <v>2233.9</v>
      </c>
      <c r="S176" s="45">
        <f t="shared" si="44"/>
        <v>-169270.19</v>
      </c>
      <c r="T176" s="6">
        <f>VLOOKUP($A176,'2324 Jun 24 Enroll'!$A$4:$AL$325,31,FALSE)</f>
        <v>32.22</v>
      </c>
      <c r="U176" s="45">
        <f t="shared" si="36"/>
        <v>309247.88</v>
      </c>
      <c r="V176" s="35">
        <v>0.18129999999999999</v>
      </c>
      <c r="W176" s="45">
        <f t="shared" si="37"/>
        <v>261786.07</v>
      </c>
      <c r="X176" s="35">
        <v>0.1138</v>
      </c>
      <c r="Y176" s="45">
        <f t="shared" si="38"/>
        <v>29791.25</v>
      </c>
    </row>
    <row r="177" spans="1:25">
      <c r="A177" t="s">
        <v>424</v>
      </c>
      <c r="B177" t="s">
        <v>425</v>
      </c>
      <c r="C177" s="6">
        <f>VLOOKUP($A177,'SpEd BEA Rate 2324'!$A$4:$AS$325,45,FALSE)</f>
        <v>9416.8799999999992</v>
      </c>
      <c r="D177" s="6">
        <f>VLOOKUP($A177,'2324 Jun 24 Enroll'!$A$4:$AL$325,22,FALSE)</f>
        <v>3.89</v>
      </c>
      <c r="E177" s="6">
        <f>VLOOKUP($A177,'2324 Jun 24 Enroll'!$A$4:$AL$325,23,FALSE)</f>
        <v>0</v>
      </c>
      <c r="F177" s="6">
        <f>VLOOKUP($A177,'2324 Jun 24 Enroll'!$A$4:$AL$325,24,FALSE)</f>
        <v>0</v>
      </c>
      <c r="G177" s="6">
        <f>VLOOKUP($A177,'2324 Jun 24 Enroll'!$A$4:$AL$325,25,FALSE)</f>
        <v>65.11</v>
      </c>
      <c r="H177" s="6">
        <f>VLOOKUP($A177,'2324 Jun 24 Enroll'!$A$4:$AL$325,26,FALSE)</f>
        <v>17</v>
      </c>
      <c r="I177" s="6">
        <f>VLOOKUP($A177,'2324 Jun 24 Enroll'!$A$4:$AL$325,27,FALSE)</f>
        <v>638.17999999999995</v>
      </c>
      <c r="J177" s="54">
        <f t="shared" si="34"/>
        <v>0.12870000000000001</v>
      </c>
      <c r="K177" s="54">
        <f t="shared" si="35"/>
        <v>0</v>
      </c>
      <c r="L177" s="45">
        <f t="shared" si="39"/>
        <v>43958</v>
      </c>
      <c r="M177" s="68">
        <v>128.35</v>
      </c>
      <c r="N177" s="68">
        <v>21.24</v>
      </c>
      <c r="O177" s="45">
        <f t="shared" si="40"/>
        <v>0</v>
      </c>
      <c r="P177" s="45">
        <f t="shared" si="41"/>
        <v>0</v>
      </c>
      <c r="Q177" s="45">
        <f t="shared" si="42"/>
        <v>685326.09</v>
      </c>
      <c r="R177" s="45">
        <f t="shared" si="43"/>
        <v>169331.1</v>
      </c>
      <c r="S177" s="45">
        <f t="shared" si="44"/>
        <v>0</v>
      </c>
      <c r="T177" s="6">
        <f>VLOOKUP($A177,'2324 Jun 24 Enroll'!$A$4:$AL$325,31,FALSE)</f>
        <v>82.11</v>
      </c>
      <c r="U177" s="45">
        <f t="shared" si="36"/>
        <v>773220.02</v>
      </c>
      <c r="V177" s="35">
        <v>0.20369999999999999</v>
      </c>
      <c r="W177" s="45">
        <f t="shared" si="37"/>
        <v>642369.38</v>
      </c>
      <c r="X177" s="35">
        <v>0.17119999999999999</v>
      </c>
      <c r="Y177" s="45">
        <f t="shared" si="38"/>
        <v>109973.64</v>
      </c>
    </row>
    <row r="178" spans="1:25">
      <c r="A178" t="s">
        <v>779</v>
      </c>
      <c r="B178" t="s">
        <v>780</v>
      </c>
      <c r="C178" s="6">
        <f>VLOOKUP($A178,'SpEd BEA Rate 2324'!$A$4:$AS$325,45,FALSE)</f>
        <v>9356.4699999999993</v>
      </c>
      <c r="D178" s="6">
        <f>VLOOKUP($A178,'2324 Jun 24 Enroll'!$A$4:$AL$325,22,FALSE)</f>
        <v>7.67</v>
      </c>
      <c r="E178" s="6">
        <f>VLOOKUP($A178,'2324 Jun 24 Enroll'!$A$4:$AL$325,23,FALSE)</f>
        <v>0</v>
      </c>
      <c r="F178" s="6">
        <f>VLOOKUP($A178,'2324 Jun 24 Enroll'!$A$4:$AL$325,24,FALSE)</f>
        <v>0</v>
      </c>
      <c r="G178" s="6">
        <f>VLOOKUP($A178,'2324 Jun 24 Enroll'!$A$4:$AL$325,25,FALSE)</f>
        <v>26.56</v>
      </c>
      <c r="H178" s="6">
        <f>VLOOKUP($A178,'2324 Jun 24 Enroll'!$A$4:$AL$325,26,FALSE)</f>
        <v>7.33</v>
      </c>
      <c r="I178" s="6">
        <f>VLOOKUP($A178,'2324 Jun 24 Enroll'!$A$4:$AL$325,27,FALSE)</f>
        <v>213.4</v>
      </c>
      <c r="J178" s="54">
        <f t="shared" si="34"/>
        <v>0.1588</v>
      </c>
      <c r="K178" s="54">
        <f t="shared" si="35"/>
        <v>8.8000000000000023E-3</v>
      </c>
      <c r="L178" s="45">
        <f t="shared" si="39"/>
        <v>86116.95</v>
      </c>
      <c r="M178" s="68">
        <v>145.79</v>
      </c>
      <c r="N178" s="68">
        <v>24.13</v>
      </c>
      <c r="O178" s="45">
        <f t="shared" si="40"/>
        <v>0</v>
      </c>
      <c r="P178" s="45">
        <f t="shared" si="41"/>
        <v>0</v>
      </c>
      <c r="Q178" s="45">
        <f t="shared" si="42"/>
        <v>277687.89</v>
      </c>
      <c r="R178" s="45">
        <f t="shared" si="43"/>
        <v>72521.03</v>
      </c>
      <c r="S178" s="45">
        <f t="shared" si="44"/>
        <v>-19407.04</v>
      </c>
      <c r="T178" s="6">
        <f>VLOOKUP($A178,'2324 Jun 24 Enroll'!$A$4:$AL$325,31,FALSE)</f>
        <v>32.89</v>
      </c>
      <c r="U178" s="45">
        <f t="shared" si="36"/>
        <v>307734.3</v>
      </c>
      <c r="V178" s="35">
        <v>0.34100000000000003</v>
      </c>
      <c r="W178" s="45">
        <f t="shared" si="37"/>
        <v>229481.21</v>
      </c>
      <c r="X178" s="35">
        <v>0.1454</v>
      </c>
      <c r="Y178" s="45">
        <f t="shared" si="38"/>
        <v>33366.57</v>
      </c>
    </row>
    <row r="179" spans="1:25">
      <c r="A179" t="s">
        <v>490</v>
      </c>
      <c r="B179" t="s">
        <v>491</v>
      </c>
      <c r="C179" s="6">
        <f>VLOOKUP($A179,'SpEd BEA Rate 2324'!$A$4:$AS$325,45,FALSE)</f>
        <v>9759.1299999999992</v>
      </c>
      <c r="D179" s="6">
        <f>VLOOKUP($A179,'2324 Jun 24 Enroll'!$A$4:$AL$325,22,FALSE)</f>
        <v>0.78</v>
      </c>
      <c r="E179" s="6">
        <f>VLOOKUP($A179,'2324 Jun 24 Enroll'!$A$4:$AL$325,23,FALSE)</f>
        <v>2.44</v>
      </c>
      <c r="F179" s="6">
        <f>VLOOKUP($A179,'2324 Jun 24 Enroll'!$A$4:$AL$325,24,FALSE)</f>
        <v>0</v>
      </c>
      <c r="G179" s="6">
        <f>VLOOKUP($A179,'2324 Jun 24 Enroll'!$A$4:$AL$325,25,FALSE)</f>
        <v>31.44</v>
      </c>
      <c r="H179" s="6">
        <f>VLOOKUP($A179,'2324 Jun 24 Enroll'!$A$4:$AL$325,26,FALSE)</f>
        <v>1.33</v>
      </c>
      <c r="I179" s="6">
        <f>VLOOKUP($A179,'2324 Jun 24 Enroll'!$A$4:$AL$325,27,FALSE)</f>
        <v>234.2</v>
      </c>
      <c r="J179" s="54">
        <f t="shared" si="34"/>
        <v>0.15029999999999999</v>
      </c>
      <c r="K179" s="54">
        <f t="shared" si="35"/>
        <v>2.9999999999999472E-4</v>
      </c>
      <c r="L179" s="45">
        <f t="shared" si="39"/>
        <v>9134.5499999999993</v>
      </c>
      <c r="M179" s="68">
        <v>124.16</v>
      </c>
      <c r="N179" s="68">
        <v>20.55</v>
      </c>
      <c r="O179" s="45">
        <f t="shared" si="40"/>
        <v>26619.61</v>
      </c>
      <c r="P179" s="45">
        <f t="shared" si="41"/>
        <v>0</v>
      </c>
      <c r="Q179" s="45">
        <f t="shared" si="42"/>
        <v>343000.2</v>
      </c>
      <c r="R179" s="45">
        <f t="shared" si="43"/>
        <v>13731.09</v>
      </c>
      <c r="S179" s="45">
        <f t="shared" si="44"/>
        <v>-765.17</v>
      </c>
      <c r="T179" s="6">
        <f>VLOOKUP($A179,'2324 Jun 24 Enroll'!$A$4:$AL$325,31,FALSE)</f>
        <v>34.21</v>
      </c>
      <c r="U179" s="45">
        <f t="shared" si="36"/>
        <v>333859.84000000003</v>
      </c>
      <c r="V179" s="35">
        <v>0.24579999999999999</v>
      </c>
      <c r="W179" s="45">
        <f t="shared" si="37"/>
        <v>267988.31</v>
      </c>
      <c r="X179" s="35">
        <v>9.7699999999999995E-2</v>
      </c>
      <c r="Y179" s="45">
        <f t="shared" si="38"/>
        <v>26182.46</v>
      </c>
    </row>
    <row r="180" spans="1:25">
      <c r="A180" t="s">
        <v>759</v>
      </c>
      <c r="B180" t="s">
        <v>760</v>
      </c>
      <c r="C180" s="6">
        <f>VLOOKUP($A180,'SpEd BEA Rate 2324'!$A$4:$AS$325,45,FALSE)</f>
        <v>9437.5</v>
      </c>
      <c r="D180" s="6">
        <f>VLOOKUP($A180,'2324 Jun 24 Enroll'!$A$4:$AL$325,22,FALSE)</f>
        <v>112.33</v>
      </c>
      <c r="E180" s="6">
        <f>VLOOKUP($A180,'2324 Jun 24 Enroll'!$A$4:$AL$325,23,FALSE)</f>
        <v>0</v>
      </c>
      <c r="F180" s="6">
        <f>VLOOKUP($A180,'2324 Jun 24 Enroll'!$A$4:$AL$325,24,FALSE)</f>
        <v>0</v>
      </c>
      <c r="G180" s="6">
        <f>VLOOKUP($A180,'2324 Jun 24 Enroll'!$A$4:$AL$325,25,FALSE)</f>
        <v>488</v>
      </c>
      <c r="H180" s="6">
        <f>VLOOKUP($A180,'2324 Jun 24 Enroll'!$A$4:$AL$325,26,FALSE)</f>
        <v>130</v>
      </c>
      <c r="I180" s="6">
        <f>VLOOKUP($A180,'2324 Jun 24 Enroll'!$A$4:$AL$325,27,FALSE)</f>
        <v>4425.8500000000004</v>
      </c>
      <c r="J180" s="54">
        <f t="shared" si="34"/>
        <v>0.1396</v>
      </c>
      <c r="K180" s="54">
        <f t="shared" si="35"/>
        <v>0</v>
      </c>
      <c r="L180" s="45">
        <f t="shared" si="39"/>
        <v>1272137.25</v>
      </c>
      <c r="M180" s="68">
        <v>128.69</v>
      </c>
      <c r="N180" s="68">
        <v>21.3</v>
      </c>
      <c r="O180" s="45">
        <f t="shared" si="40"/>
        <v>0</v>
      </c>
      <c r="P180" s="45">
        <f t="shared" si="41"/>
        <v>0</v>
      </c>
      <c r="Q180" s="45">
        <f t="shared" si="42"/>
        <v>5147765.5999999996</v>
      </c>
      <c r="R180" s="45">
        <f t="shared" si="43"/>
        <v>1297718.5</v>
      </c>
      <c r="S180" s="45">
        <f t="shared" si="44"/>
        <v>0</v>
      </c>
      <c r="T180" s="6">
        <f>VLOOKUP($A180,'2324 Jun 24 Enroll'!$A$4:$AL$325,31,FALSE)</f>
        <v>619</v>
      </c>
      <c r="U180" s="45">
        <f t="shared" si="36"/>
        <v>5841812.5</v>
      </c>
      <c r="V180" s="35">
        <v>0.15140000000000001</v>
      </c>
      <c r="W180" s="45">
        <f t="shared" si="37"/>
        <v>5073660.33</v>
      </c>
      <c r="X180" s="35">
        <v>0.18990000000000001</v>
      </c>
      <c r="Y180" s="45">
        <f t="shared" si="38"/>
        <v>963488.1</v>
      </c>
    </row>
    <row r="181" spans="1:25">
      <c r="A181" t="s">
        <v>574</v>
      </c>
      <c r="B181" t="s">
        <v>575</v>
      </c>
      <c r="C181" s="6">
        <f>VLOOKUP($A181,'SpEd BEA Rate 2324'!$A$4:$AS$325,45,FALSE)</f>
        <v>9526.5399999999991</v>
      </c>
      <c r="D181" s="6">
        <f>VLOOKUP($A181,'2324 Jun 24 Enroll'!$A$4:$AL$325,22,FALSE)</f>
        <v>2.11</v>
      </c>
      <c r="E181" s="6">
        <f>VLOOKUP($A181,'2324 Jun 24 Enroll'!$A$4:$AL$325,23,FALSE)</f>
        <v>0</v>
      </c>
      <c r="F181" s="6">
        <f>VLOOKUP($A181,'2324 Jun 24 Enroll'!$A$4:$AL$325,24,FALSE)</f>
        <v>0</v>
      </c>
      <c r="G181" s="6">
        <f>VLOOKUP($A181,'2324 Jun 24 Enroll'!$A$4:$AL$325,25,FALSE)</f>
        <v>118.56</v>
      </c>
      <c r="H181" s="6">
        <f>VLOOKUP($A181,'2324 Jun 24 Enroll'!$A$4:$AL$325,26,FALSE)</f>
        <v>34.44</v>
      </c>
      <c r="I181" s="6">
        <f>VLOOKUP($A181,'2324 Jun 24 Enroll'!$A$4:$AL$325,27,FALSE)</f>
        <v>876.1</v>
      </c>
      <c r="J181" s="54">
        <f t="shared" si="34"/>
        <v>0.17460000000000001</v>
      </c>
      <c r="K181" s="54">
        <f t="shared" si="35"/>
        <v>2.4600000000000011E-2</v>
      </c>
      <c r="L181" s="45">
        <f t="shared" si="39"/>
        <v>24121.200000000001</v>
      </c>
      <c r="M181" s="68">
        <v>116.17</v>
      </c>
      <c r="N181" s="68">
        <v>19.23</v>
      </c>
      <c r="O181" s="45">
        <f t="shared" si="40"/>
        <v>0</v>
      </c>
      <c r="P181" s="45">
        <f t="shared" si="41"/>
        <v>0</v>
      </c>
      <c r="Q181" s="45">
        <f t="shared" si="42"/>
        <v>1262722.6599999999</v>
      </c>
      <c r="R181" s="45">
        <f t="shared" si="43"/>
        <v>347117.4</v>
      </c>
      <c r="S181" s="45">
        <f t="shared" si="44"/>
        <v>-226815.95</v>
      </c>
      <c r="T181" s="6">
        <f>VLOOKUP($A181,'2324 Jun 24 Enroll'!$A$4:$AL$325,31,FALSE)</f>
        <v>150</v>
      </c>
      <c r="U181" s="45">
        <f t="shared" si="36"/>
        <v>1428981</v>
      </c>
      <c r="V181" s="35">
        <v>5.7500000000000002E-2</v>
      </c>
      <c r="W181" s="45">
        <f t="shared" si="37"/>
        <v>1351282.27</v>
      </c>
      <c r="X181" s="35">
        <v>0.20180000000000001</v>
      </c>
      <c r="Y181" s="45">
        <f t="shared" si="38"/>
        <v>272688.76</v>
      </c>
    </row>
    <row r="182" spans="1:25">
      <c r="A182" t="s">
        <v>691</v>
      </c>
      <c r="B182" t="s">
        <v>692</v>
      </c>
      <c r="C182" s="6">
        <f>VLOOKUP($A182,'SpEd BEA Rate 2324'!$A$4:$AS$325,45,FALSE)</f>
        <v>9759.1299999999992</v>
      </c>
      <c r="D182" s="6">
        <f>VLOOKUP($A182,'2324 Jun 24 Enroll'!$A$4:$AL$325,22,FALSE)</f>
        <v>17.22</v>
      </c>
      <c r="E182" s="6">
        <f>VLOOKUP($A182,'2324 Jun 24 Enroll'!$A$4:$AL$325,23,FALSE)</f>
        <v>0</v>
      </c>
      <c r="F182" s="6">
        <f>VLOOKUP($A182,'2324 Jun 24 Enroll'!$A$4:$AL$325,24,FALSE)</f>
        <v>0</v>
      </c>
      <c r="G182" s="6">
        <f>VLOOKUP($A182,'2324 Jun 24 Enroll'!$A$4:$AL$325,25,FALSE)</f>
        <v>95.67</v>
      </c>
      <c r="H182" s="6">
        <f>VLOOKUP($A182,'2324 Jun 24 Enroll'!$A$4:$AL$325,26,FALSE)</f>
        <v>24.22</v>
      </c>
      <c r="I182" s="6">
        <f>VLOOKUP($A182,'2324 Jun 24 Enroll'!$A$4:$AL$325,27,FALSE)</f>
        <v>736.83</v>
      </c>
      <c r="J182" s="54">
        <f t="shared" si="34"/>
        <v>0.16270000000000001</v>
      </c>
      <c r="K182" s="54">
        <f t="shared" si="35"/>
        <v>1.2700000000000017E-2</v>
      </c>
      <c r="L182" s="45">
        <f t="shared" si="39"/>
        <v>201662.66</v>
      </c>
      <c r="M182" s="68">
        <v>128.77000000000001</v>
      </c>
      <c r="N182" s="68">
        <v>21.31</v>
      </c>
      <c r="O182" s="45">
        <f t="shared" si="40"/>
        <v>0</v>
      </c>
      <c r="P182" s="45">
        <f t="shared" si="41"/>
        <v>0</v>
      </c>
      <c r="Q182" s="45">
        <f t="shared" si="42"/>
        <v>1043655.96</v>
      </c>
      <c r="R182" s="45">
        <f t="shared" si="43"/>
        <v>250031.97</v>
      </c>
      <c r="S182" s="45">
        <f t="shared" si="44"/>
        <v>-100982.39999999999</v>
      </c>
      <c r="T182" s="6">
        <f>VLOOKUP($A182,'2324 Jun 24 Enroll'!$A$4:$AL$325,31,FALSE)</f>
        <v>119.89</v>
      </c>
      <c r="U182" s="45">
        <f t="shared" si="36"/>
        <v>1170022.1000000001</v>
      </c>
      <c r="V182" s="35">
        <v>0.2031</v>
      </c>
      <c r="W182" s="45">
        <f t="shared" si="37"/>
        <v>972506.11</v>
      </c>
      <c r="X182" s="35">
        <v>0.1794</v>
      </c>
      <c r="Y182" s="45">
        <f t="shared" si="38"/>
        <v>174467.6</v>
      </c>
    </row>
    <row r="183" spans="1:25">
      <c r="A183" t="s">
        <v>633</v>
      </c>
      <c r="B183" t="s">
        <v>634</v>
      </c>
      <c r="C183" s="6">
        <f>VLOOKUP($A183,'SpEd BEA Rate 2324'!$A$4:$AS$325,45,FALSE)</f>
        <v>10234.289999999999</v>
      </c>
      <c r="D183" s="6">
        <f>VLOOKUP($A183,'2324 Jun 24 Enroll'!$A$4:$AL$325,22,FALSE)</f>
        <v>29.67</v>
      </c>
      <c r="E183" s="6">
        <f>VLOOKUP($A183,'2324 Jun 24 Enroll'!$A$4:$AL$325,23,FALSE)</f>
        <v>5.1100000000000003</v>
      </c>
      <c r="F183" s="6">
        <f>VLOOKUP($A183,'2324 Jun 24 Enroll'!$A$4:$AL$325,24,FALSE)</f>
        <v>1</v>
      </c>
      <c r="G183" s="6">
        <f>VLOOKUP($A183,'2324 Jun 24 Enroll'!$A$4:$AL$325,25,FALSE)</f>
        <v>256.33</v>
      </c>
      <c r="H183" s="6">
        <f>VLOOKUP($A183,'2324 Jun 24 Enroll'!$A$4:$AL$325,26,FALSE)</f>
        <v>70.67</v>
      </c>
      <c r="I183" s="6">
        <f>VLOOKUP($A183,'2324 Jun 24 Enroll'!$A$4:$AL$325,27,FALSE)</f>
        <v>2322.42</v>
      </c>
      <c r="J183" s="54">
        <f t="shared" si="34"/>
        <v>0.1434</v>
      </c>
      <c r="K183" s="54">
        <f t="shared" si="35"/>
        <v>0</v>
      </c>
      <c r="L183" s="45">
        <f t="shared" si="39"/>
        <v>364381.66</v>
      </c>
      <c r="M183" s="68">
        <v>130.61000000000001</v>
      </c>
      <c r="N183" s="68">
        <v>21.62</v>
      </c>
      <c r="O183" s="45">
        <f t="shared" si="40"/>
        <v>58462.41</v>
      </c>
      <c r="P183" s="45">
        <f t="shared" si="41"/>
        <v>10826.73</v>
      </c>
      <c r="Q183" s="45">
        <f t="shared" si="42"/>
        <v>2932616.37</v>
      </c>
      <c r="R183" s="45">
        <f t="shared" si="43"/>
        <v>765124.83</v>
      </c>
      <c r="S183" s="45">
        <f t="shared" si="44"/>
        <v>0</v>
      </c>
      <c r="T183" s="6">
        <f>VLOOKUP($A183,'2324 Jun 24 Enroll'!$A$4:$AL$325,31,FALSE)</f>
        <v>331.22</v>
      </c>
      <c r="U183" s="45">
        <f t="shared" si="36"/>
        <v>3389801.53</v>
      </c>
      <c r="V183" s="35">
        <v>0.16320000000000001</v>
      </c>
      <c r="W183" s="45">
        <f t="shared" si="37"/>
        <v>2914203.52</v>
      </c>
      <c r="X183" s="35">
        <v>0.18029999999999999</v>
      </c>
      <c r="Y183" s="45">
        <f t="shared" si="38"/>
        <v>525430.89</v>
      </c>
    </row>
    <row r="184" spans="1:25">
      <c r="A184" t="s">
        <v>506</v>
      </c>
      <c r="B184" t="s">
        <v>507</v>
      </c>
      <c r="C184" s="6">
        <f>VLOOKUP($A184,'SpEd BEA Rate 2324'!$A$4:$AS$325,45,FALSE)</f>
        <v>9356.4699999999993</v>
      </c>
      <c r="D184" s="6">
        <f>VLOOKUP($A184,'2324 Jun 24 Enroll'!$A$4:$AL$325,22,FALSE)</f>
        <v>6.67</v>
      </c>
      <c r="E184" s="6">
        <f>VLOOKUP($A184,'2324 Jun 24 Enroll'!$A$4:$AL$325,23,FALSE)</f>
        <v>1</v>
      </c>
      <c r="F184" s="6">
        <f>VLOOKUP($A184,'2324 Jun 24 Enroll'!$A$4:$AL$325,24,FALSE)</f>
        <v>0</v>
      </c>
      <c r="G184" s="6">
        <f>VLOOKUP($A184,'2324 Jun 24 Enroll'!$A$4:$AL$325,25,FALSE)</f>
        <v>46.44</v>
      </c>
      <c r="H184" s="6">
        <f>VLOOKUP($A184,'2324 Jun 24 Enroll'!$A$4:$AL$325,26,FALSE)</f>
        <v>6.44</v>
      </c>
      <c r="I184" s="6">
        <f>VLOOKUP($A184,'2324 Jun 24 Enroll'!$A$4:$AL$325,27,FALSE)</f>
        <v>321.79000000000002</v>
      </c>
      <c r="J184" s="54">
        <f t="shared" si="34"/>
        <v>0.16739999999999999</v>
      </c>
      <c r="K184" s="54">
        <f t="shared" si="35"/>
        <v>1.7399999999999999E-2</v>
      </c>
      <c r="L184" s="45">
        <f t="shared" si="39"/>
        <v>74889.19</v>
      </c>
      <c r="M184" s="68">
        <v>123.89</v>
      </c>
      <c r="N184" s="68">
        <v>20.51</v>
      </c>
      <c r="O184" s="45">
        <f t="shared" si="40"/>
        <v>10458.74</v>
      </c>
      <c r="P184" s="45">
        <f t="shared" si="41"/>
        <v>0</v>
      </c>
      <c r="Q184" s="45">
        <f t="shared" si="42"/>
        <v>485703.72</v>
      </c>
      <c r="R184" s="45">
        <f t="shared" si="43"/>
        <v>63738.92</v>
      </c>
      <c r="S184" s="45">
        <f t="shared" si="44"/>
        <v>-58197.63</v>
      </c>
      <c r="T184" s="6">
        <f>VLOOKUP($A184,'2324 Jun 24 Enroll'!$A$4:$AL$325,31,FALSE)</f>
        <v>53.88</v>
      </c>
      <c r="U184" s="45">
        <f t="shared" si="36"/>
        <v>504126.6</v>
      </c>
      <c r="V184" s="35">
        <v>0.25269999999999998</v>
      </c>
      <c r="W184" s="45">
        <f t="shared" si="37"/>
        <v>402432.03</v>
      </c>
      <c r="X184" s="35">
        <v>0.1232</v>
      </c>
      <c r="Y184" s="45">
        <f t="shared" si="38"/>
        <v>49579.63</v>
      </c>
    </row>
    <row r="185" spans="1:25">
      <c r="A185" t="s">
        <v>620</v>
      </c>
      <c r="B185" t="s">
        <v>1032</v>
      </c>
      <c r="C185" s="6">
        <f>VLOOKUP($A185,'SpEd BEA Rate 2324'!$A$4:$AS$325,45,FALSE)</f>
        <v>9368.75</v>
      </c>
      <c r="D185" s="6">
        <f>VLOOKUP($A185,'2324 Jun 24 Enroll'!$A$4:$AL$325,22,FALSE)</f>
        <v>7.44</v>
      </c>
      <c r="E185" s="6">
        <f>VLOOKUP($A185,'2324 Jun 24 Enroll'!$A$4:$AL$325,23,FALSE)</f>
        <v>0</v>
      </c>
      <c r="F185" s="6">
        <f>VLOOKUP($A185,'2324 Jun 24 Enroll'!$A$4:$AL$325,24,FALSE)</f>
        <v>0</v>
      </c>
      <c r="G185" s="6">
        <f>VLOOKUP($A185,'2324 Jun 24 Enroll'!$A$4:$AL$325,25,FALSE)</f>
        <v>17.440000000000001</v>
      </c>
      <c r="H185" s="6">
        <f>VLOOKUP($A185,'2324 Jun 24 Enroll'!$A$4:$AL$325,26,FALSE)</f>
        <v>1.56</v>
      </c>
      <c r="I185" s="6">
        <f>VLOOKUP($A185,'2324 Jun 24 Enroll'!$A$4:$AL$325,27,FALSE)</f>
        <v>125.6</v>
      </c>
      <c r="J185" s="54">
        <f t="shared" si="34"/>
        <v>0.15129999999999999</v>
      </c>
      <c r="K185" s="54">
        <f t="shared" si="35"/>
        <v>1.2999999999999956E-3</v>
      </c>
      <c r="L185" s="45">
        <f t="shared" si="39"/>
        <v>83644.2</v>
      </c>
      <c r="M185" s="68">
        <v>116.4</v>
      </c>
      <c r="N185" s="68">
        <v>19.27</v>
      </c>
      <c r="O185" s="45">
        <f t="shared" si="40"/>
        <v>0</v>
      </c>
      <c r="P185" s="45">
        <f t="shared" si="41"/>
        <v>0</v>
      </c>
      <c r="Q185" s="45">
        <f t="shared" si="42"/>
        <v>182661.85</v>
      </c>
      <c r="R185" s="45">
        <f t="shared" si="43"/>
        <v>15462.1</v>
      </c>
      <c r="S185" s="45">
        <f t="shared" si="44"/>
        <v>-1702.32</v>
      </c>
      <c r="T185" s="6">
        <f>VLOOKUP($A185,'2324 Jun 24 Enroll'!$A$4:$AL$325,31,FALSE)</f>
        <v>19</v>
      </c>
      <c r="U185" s="45">
        <f t="shared" si="36"/>
        <v>178006.25</v>
      </c>
      <c r="V185" s="35">
        <v>0.22589999999999999</v>
      </c>
      <c r="W185" s="45">
        <f t="shared" si="37"/>
        <v>145204.54</v>
      </c>
      <c r="X185" s="35">
        <v>0.1094</v>
      </c>
      <c r="Y185" s="45">
        <f t="shared" si="38"/>
        <v>15885.38</v>
      </c>
    </row>
    <row r="186" spans="1:25">
      <c r="A186" t="s">
        <v>657</v>
      </c>
      <c r="B186" t="s">
        <v>658</v>
      </c>
      <c r="C186" s="6">
        <f>VLOOKUP($A186,'SpEd BEA Rate 2324'!$A$4:$AS$325,45,FALSE)</f>
        <v>9522.02</v>
      </c>
      <c r="D186" s="6">
        <f>VLOOKUP($A186,'2324 Jun 24 Enroll'!$A$4:$AL$325,22,FALSE)</f>
        <v>36.89</v>
      </c>
      <c r="E186" s="6">
        <f>VLOOKUP($A186,'2324 Jun 24 Enroll'!$A$4:$AL$325,23,FALSE)</f>
        <v>0</v>
      </c>
      <c r="F186" s="6">
        <f>VLOOKUP($A186,'2324 Jun 24 Enroll'!$A$4:$AL$325,24,FALSE)</f>
        <v>0</v>
      </c>
      <c r="G186" s="6">
        <f>VLOOKUP($A186,'2324 Jun 24 Enroll'!$A$4:$AL$325,25,FALSE)</f>
        <v>754.11</v>
      </c>
      <c r="H186" s="6">
        <f>VLOOKUP($A186,'2324 Jun 24 Enroll'!$A$4:$AL$325,26,FALSE)</f>
        <v>161.88999999999999</v>
      </c>
      <c r="I186" s="6">
        <f>VLOOKUP($A186,'2324 Jun 24 Enroll'!$A$4:$AL$325,27,FALSE)</f>
        <v>5822.51</v>
      </c>
      <c r="J186" s="54">
        <f t="shared" si="34"/>
        <v>0.1573</v>
      </c>
      <c r="K186" s="54">
        <f t="shared" si="35"/>
        <v>7.3000000000000009E-3</v>
      </c>
      <c r="L186" s="45">
        <f t="shared" si="39"/>
        <v>421520.78</v>
      </c>
      <c r="M186" s="68">
        <v>128.80000000000001</v>
      </c>
      <c r="N186" s="68">
        <v>21.32</v>
      </c>
      <c r="O186" s="45">
        <f t="shared" si="40"/>
        <v>0</v>
      </c>
      <c r="P186" s="45">
        <f t="shared" si="41"/>
        <v>0</v>
      </c>
      <c r="Q186" s="45">
        <f t="shared" si="42"/>
        <v>8026250.9400000004</v>
      </c>
      <c r="R186" s="45">
        <f t="shared" si="43"/>
        <v>1630559.51</v>
      </c>
      <c r="S186" s="45">
        <f t="shared" si="44"/>
        <v>-448154.59</v>
      </c>
      <c r="T186" s="6">
        <f>VLOOKUP($A186,'2324 Jun 24 Enroll'!$A$4:$AL$325,31,FALSE)</f>
        <v>916</v>
      </c>
      <c r="U186" s="45">
        <f t="shared" si="36"/>
        <v>8722170.3200000003</v>
      </c>
      <c r="V186" s="35">
        <v>8.9099999999999999E-2</v>
      </c>
      <c r="W186" s="45">
        <f t="shared" si="37"/>
        <v>8008603.7300000004</v>
      </c>
      <c r="X186" s="35">
        <v>0.18490000000000001</v>
      </c>
      <c r="Y186" s="45">
        <f t="shared" si="38"/>
        <v>1480790.83</v>
      </c>
    </row>
    <row r="187" spans="1:25">
      <c r="A187" t="s">
        <v>655</v>
      </c>
      <c r="B187" t="s">
        <v>656</v>
      </c>
      <c r="C187" s="6">
        <f>VLOOKUP($A187,'SpEd BEA Rate 2324'!$A$4:$AS$325,45,FALSE)</f>
        <v>9531.42</v>
      </c>
      <c r="D187" s="6">
        <f>VLOOKUP($A187,'2324 Jun 24 Enroll'!$A$4:$AL$325,22,FALSE)</f>
        <v>12.22</v>
      </c>
      <c r="E187" s="6">
        <f>VLOOKUP($A187,'2324 Jun 24 Enroll'!$A$4:$AL$325,23,FALSE)</f>
        <v>0</v>
      </c>
      <c r="F187" s="6">
        <f>VLOOKUP($A187,'2324 Jun 24 Enroll'!$A$4:$AL$325,24,FALSE)</f>
        <v>0</v>
      </c>
      <c r="G187" s="6">
        <f>VLOOKUP($A187,'2324 Jun 24 Enroll'!$A$4:$AL$325,25,FALSE)</f>
        <v>127.33</v>
      </c>
      <c r="H187" s="6">
        <f>VLOOKUP($A187,'2324 Jun 24 Enroll'!$A$4:$AL$325,26,FALSE)</f>
        <v>27.89</v>
      </c>
      <c r="I187" s="6">
        <f>VLOOKUP($A187,'2324 Jun 24 Enroll'!$A$4:$AL$325,27,FALSE)</f>
        <v>1051.31</v>
      </c>
      <c r="J187" s="54">
        <f t="shared" si="34"/>
        <v>0.14760000000000001</v>
      </c>
      <c r="K187" s="54">
        <f t="shared" si="35"/>
        <v>0</v>
      </c>
      <c r="L187" s="45">
        <f t="shared" si="39"/>
        <v>139768.74</v>
      </c>
      <c r="M187" s="68">
        <v>130.31</v>
      </c>
      <c r="N187" s="68">
        <v>21.57</v>
      </c>
      <c r="O187" s="45">
        <f t="shared" si="40"/>
        <v>0</v>
      </c>
      <c r="P187" s="45">
        <f t="shared" si="41"/>
        <v>0</v>
      </c>
      <c r="Q187" s="45">
        <f t="shared" si="42"/>
        <v>1356525.49</v>
      </c>
      <c r="R187" s="45">
        <f t="shared" si="43"/>
        <v>281179.59000000003</v>
      </c>
      <c r="S187" s="45">
        <f t="shared" si="44"/>
        <v>0</v>
      </c>
      <c r="T187" s="6">
        <f>VLOOKUP($A187,'2324 Jun 24 Enroll'!$A$4:$AL$325,31,FALSE)</f>
        <v>155.22</v>
      </c>
      <c r="U187" s="45">
        <f t="shared" si="36"/>
        <v>1479467.01</v>
      </c>
      <c r="V187" s="35">
        <v>0.18859999999999999</v>
      </c>
      <c r="W187" s="45">
        <f t="shared" si="37"/>
        <v>1244713.96</v>
      </c>
      <c r="X187" s="35">
        <v>0.17949999999999999</v>
      </c>
      <c r="Y187" s="45">
        <f t="shared" si="38"/>
        <v>223426.16</v>
      </c>
    </row>
    <row r="188" spans="1:25">
      <c r="A188" t="s">
        <v>349</v>
      </c>
      <c r="B188" t="s">
        <v>350</v>
      </c>
      <c r="C188" s="6">
        <f>VLOOKUP($A188,'SpEd BEA Rate 2324'!$A$4:$AS$325,45,FALSE)</f>
        <v>9425.74</v>
      </c>
      <c r="D188" s="6">
        <f>VLOOKUP($A188,'2324 Jun 24 Enroll'!$A$4:$AL$325,22,FALSE)</f>
        <v>7.11</v>
      </c>
      <c r="E188" s="6">
        <f>VLOOKUP($A188,'2324 Jun 24 Enroll'!$A$4:$AL$325,23,FALSE)</f>
        <v>3.33</v>
      </c>
      <c r="F188" s="6">
        <f>VLOOKUP($A188,'2324 Jun 24 Enroll'!$A$4:$AL$325,24,FALSE)</f>
        <v>3.44</v>
      </c>
      <c r="G188" s="6">
        <f>VLOOKUP($A188,'2324 Jun 24 Enroll'!$A$4:$AL$325,25,FALSE)</f>
        <v>70.11</v>
      </c>
      <c r="H188" s="6">
        <f>VLOOKUP($A188,'2324 Jun 24 Enroll'!$A$4:$AL$325,26,FALSE)</f>
        <v>35.89</v>
      </c>
      <c r="I188" s="6">
        <f>VLOOKUP($A188,'2324 Jun 24 Enroll'!$A$4:$AL$325,27,FALSE)</f>
        <v>1009.42</v>
      </c>
      <c r="J188" s="54">
        <f t="shared" si="34"/>
        <v>0.11169999999999999</v>
      </c>
      <c r="K188" s="54">
        <f t="shared" si="35"/>
        <v>0</v>
      </c>
      <c r="L188" s="45">
        <f t="shared" si="39"/>
        <v>80420.41</v>
      </c>
      <c r="M188" s="68">
        <v>131.13</v>
      </c>
      <c r="N188" s="68">
        <v>21.7</v>
      </c>
      <c r="O188" s="45">
        <f t="shared" si="40"/>
        <v>35081.980000000003</v>
      </c>
      <c r="P188" s="45">
        <f t="shared" si="41"/>
        <v>34295.370000000003</v>
      </c>
      <c r="Q188" s="45">
        <f t="shared" si="42"/>
        <v>738617.88</v>
      </c>
      <c r="R188" s="45">
        <f t="shared" si="43"/>
        <v>357808.38</v>
      </c>
      <c r="S188" s="45">
        <f t="shared" si="44"/>
        <v>0</v>
      </c>
      <c r="T188" s="6">
        <f>VLOOKUP($A188,'2324 Jun 24 Enroll'!$A$4:$AL$325,31,FALSE)</f>
        <v>112.77</v>
      </c>
      <c r="U188" s="45">
        <f t="shared" si="36"/>
        <v>1062940.7</v>
      </c>
      <c r="V188" s="35">
        <v>0.15479999999999999</v>
      </c>
      <c r="W188" s="45">
        <f t="shared" si="37"/>
        <v>920454.36</v>
      </c>
      <c r="X188" s="35">
        <v>0.21299999999999999</v>
      </c>
      <c r="Y188" s="45">
        <f t="shared" si="38"/>
        <v>196056.78</v>
      </c>
    </row>
    <row r="189" spans="1:25">
      <c r="A189" t="s">
        <v>683</v>
      </c>
      <c r="B189" t="s">
        <v>684</v>
      </c>
      <c r="C189" s="6">
        <f>VLOOKUP($A189,'SpEd BEA Rate 2324'!$A$4:$AS$325,45,FALSE)</f>
        <v>9520.01</v>
      </c>
      <c r="D189" s="6">
        <f>VLOOKUP($A189,'2324 Jun 24 Enroll'!$A$4:$AL$325,22,FALSE)</f>
        <v>0</v>
      </c>
      <c r="E189" s="6">
        <f>VLOOKUP($A189,'2324 Jun 24 Enroll'!$A$4:$AL$325,23,FALSE)</f>
        <v>0.89</v>
      </c>
      <c r="F189" s="6">
        <f>VLOOKUP($A189,'2324 Jun 24 Enroll'!$A$4:$AL$325,24,FALSE)</f>
        <v>0.89</v>
      </c>
      <c r="G189" s="6">
        <f>VLOOKUP($A189,'2324 Jun 24 Enroll'!$A$4:$AL$325,25,FALSE)</f>
        <v>20.440000000000001</v>
      </c>
      <c r="H189" s="6">
        <f>VLOOKUP($A189,'2324 Jun 24 Enroll'!$A$4:$AL$325,26,FALSE)</f>
        <v>15.11</v>
      </c>
      <c r="I189" s="6">
        <f>VLOOKUP($A189,'2324 Jun 24 Enroll'!$A$4:$AL$325,27,FALSE)</f>
        <v>233.92</v>
      </c>
      <c r="J189" s="54">
        <f t="shared" si="34"/>
        <v>0.15959999999999999</v>
      </c>
      <c r="K189" s="54">
        <f t="shared" si="35"/>
        <v>9.5999999999999974E-3</v>
      </c>
      <c r="L189" s="45">
        <f t="shared" si="39"/>
        <v>0</v>
      </c>
      <c r="M189" s="68">
        <v>125.25</v>
      </c>
      <c r="N189" s="68">
        <v>20.73</v>
      </c>
      <c r="O189" s="45">
        <f t="shared" si="40"/>
        <v>9471.1</v>
      </c>
      <c r="P189" s="45">
        <f t="shared" si="41"/>
        <v>8962.73</v>
      </c>
      <c r="Q189" s="45">
        <f t="shared" si="42"/>
        <v>217515.96</v>
      </c>
      <c r="R189" s="45">
        <f t="shared" si="43"/>
        <v>152164.96</v>
      </c>
      <c r="S189" s="45">
        <f t="shared" si="44"/>
        <v>-23345.25</v>
      </c>
      <c r="T189" s="6">
        <f>VLOOKUP($A189,'2324 Jun 24 Enroll'!$A$4:$AL$325,31,FALSE)</f>
        <v>37.33</v>
      </c>
      <c r="U189" s="45">
        <f t="shared" si="36"/>
        <v>355381.97</v>
      </c>
      <c r="V189" s="35">
        <v>0.29799999999999999</v>
      </c>
      <c r="W189" s="45">
        <f t="shared" si="37"/>
        <v>273791.96000000002</v>
      </c>
      <c r="X189" s="35">
        <v>0.2039</v>
      </c>
      <c r="Y189" s="45">
        <f t="shared" si="38"/>
        <v>55826.18</v>
      </c>
    </row>
    <row r="190" spans="1:25">
      <c r="A190" t="s">
        <v>823</v>
      </c>
      <c r="B190" t="s">
        <v>824</v>
      </c>
      <c r="C190" s="6">
        <f>VLOOKUP($A190,'SpEd BEA Rate 2324'!$A$4:$AS$325,45,FALSE)</f>
        <v>9435.41</v>
      </c>
      <c r="D190" s="6">
        <f>VLOOKUP($A190,'2324 Jun 24 Enroll'!$A$4:$AL$325,22,FALSE)</f>
        <v>8.7799999999999994</v>
      </c>
      <c r="E190" s="6">
        <f>VLOOKUP($A190,'2324 Jun 24 Enroll'!$A$4:$AL$325,23,FALSE)</f>
        <v>0</v>
      </c>
      <c r="F190" s="6">
        <f>VLOOKUP($A190,'2324 Jun 24 Enroll'!$A$4:$AL$325,24,FALSE)</f>
        <v>0</v>
      </c>
      <c r="G190" s="6">
        <f>VLOOKUP($A190,'2324 Jun 24 Enroll'!$A$4:$AL$325,25,FALSE)</f>
        <v>102.11</v>
      </c>
      <c r="H190" s="6">
        <f>VLOOKUP($A190,'2324 Jun 24 Enroll'!$A$4:$AL$325,26,FALSE)</f>
        <v>27.78</v>
      </c>
      <c r="I190" s="6">
        <f>VLOOKUP($A190,'2324 Jun 24 Enroll'!$A$4:$AL$325,27,FALSE)</f>
        <v>1096.46</v>
      </c>
      <c r="J190" s="54">
        <f t="shared" si="34"/>
        <v>0.11849999999999999</v>
      </c>
      <c r="K190" s="54">
        <f>IF(J190&lt;$K$1,0,J190-$K$1)</f>
        <v>0</v>
      </c>
      <c r="L190" s="45">
        <f t="shared" si="39"/>
        <v>99411.48</v>
      </c>
      <c r="M190" s="68">
        <v>125.84</v>
      </c>
      <c r="N190" s="68">
        <v>20.83</v>
      </c>
      <c r="O190" s="45">
        <f t="shared" si="40"/>
        <v>0</v>
      </c>
      <c r="P190" s="45">
        <f t="shared" si="41"/>
        <v>0</v>
      </c>
      <c r="Q190" s="45">
        <f t="shared" si="42"/>
        <v>1076936.73</v>
      </c>
      <c r="R190" s="45">
        <f t="shared" si="43"/>
        <v>277263.96999999997</v>
      </c>
      <c r="S190" s="45">
        <f t="shared" si="44"/>
        <v>0</v>
      </c>
      <c r="T190" s="6">
        <f>VLOOKUP($A190,'2324 Jun 24 Enroll'!$A$4:$AL$325,31,FALSE)</f>
        <v>129.88999999999999</v>
      </c>
      <c r="U190" s="45">
        <f>ROUND(T190*$C$33,2)</f>
        <v>1230692.1599999999</v>
      </c>
      <c r="V190" s="35">
        <v>0.1933</v>
      </c>
      <c r="W190" s="45">
        <f>ROUND(U190/(1+V190),2)</f>
        <v>1031335.09</v>
      </c>
      <c r="X190" s="35">
        <v>0.19939999999999999</v>
      </c>
      <c r="Y190" s="45">
        <f>ROUND(X190*W190,2)</f>
        <v>205648.22</v>
      </c>
    </row>
    <row r="191" spans="1:25">
      <c r="A191" t="s">
        <v>671</v>
      </c>
      <c r="B191" t="s">
        <v>672</v>
      </c>
      <c r="C191" s="6">
        <f>VLOOKUP($A191,'SpEd BEA Rate 2324'!$A$4:$AS$325,45,FALSE)</f>
        <v>9417.85</v>
      </c>
      <c r="D191" s="6">
        <f>VLOOKUP($A191,'2324 Jun 24 Enroll'!$A$4:$AL$325,22,FALSE)</f>
        <v>14.89</v>
      </c>
      <c r="E191" s="6">
        <f>VLOOKUP($A191,'2324 Jun 24 Enroll'!$A$4:$AL$325,23,FALSE)</f>
        <v>0</v>
      </c>
      <c r="F191" s="6">
        <f>VLOOKUP($A191,'2324 Jun 24 Enroll'!$A$4:$AL$325,24,FALSE)</f>
        <v>0</v>
      </c>
      <c r="G191" s="6">
        <f>VLOOKUP($A191,'2324 Jun 24 Enroll'!$A$4:$AL$325,25,FALSE)</f>
        <v>43.44</v>
      </c>
      <c r="H191" s="6">
        <f>VLOOKUP($A191,'2324 Jun 24 Enroll'!$A$4:$AL$325,26,FALSE)</f>
        <v>12.44</v>
      </c>
      <c r="I191" s="6">
        <f>VLOOKUP($A191,'2324 Jun 24 Enroll'!$A$4:$AL$325,27,FALSE)</f>
        <v>477.92</v>
      </c>
      <c r="J191" s="54">
        <f t="shared" si="34"/>
        <v>0.1169</v>
      </c>
      <c r="K191" s="54">
        <f t="shared" si="35"/>
        <v>0</v>
      </c>
      <c r="L191" s="45">
        <f t="shared" si="39"/>
        <v>168278.14</v>
      </c>
      <c r="M191" s="68">
        <v>124.3</v>
      </c>
      <c r="N191" s="68">
        <v>20.57</v>
      </c>
      <c r="O191" s="45">
        <f t="shared" si="40"/>
        <v>0</v>
      </c>
      <c r="P191" s="45">
        <f t="shared" si="41"/>
        <v>0</v>
      </c>
      <c r="Q191" s="45">
        <f t="shared" si="42"/>
        <v>457311.21</v>
      </c>
      <c r="R191" s="45">
        <f t="shared" si="43"/>
        <v>123931.65</v>
      </c>
      <c r="S191" s="45">
        <f t="shared" si="44"/>
        <v>0</v>
      </c>
      <c r="T191" s="6">
        <f>VLOOKUP($A191,'2324 Jun 24 Enroll'!$A$4:$AL$325,31,FALSE)</f>
        <v>55.88</v>
      </c>
      <c r="U191" s="45">
        <f t="shared" si="36"/>
        <v>526269.46</v>
      </c>
      <c r="V191" s="35">
        <v>0.25059999999999999</v>
      </c>
      <c r="W191" s="45">
        <f t="shared" si="37"/>
        <v>420813.58</v>
      </c>
      <c r="X191" s="35">
        <v>0.19020000000000001</v>
      </c>
      <c r="Y191" s="45">
        <f t="shared" si="38"/>
        <v>80038.740000000005</v>
      </c>
    </row>
    <row r="192" spans="1:25">
      <c r="A192" t="s">
        <v>1093</v>
      </c>
      <c r="B192" t="s">
        <v>1094</v>
      </c>
      <c r="C192" s="6">
        <f>VLOOKUP($A192,'SpEd BEA Rate 2324'!$A$4:$AS$325,45,FALSE)</f>
        <v>9369.58</v>
      </c>
      <c r="D192" s="6">
        <f>VLOOKUP($A192,'2324 Jun 24 Enroll'!$A$4:$AL$325,22,FALSE)</f>
        <v>0</v>
      </c>
      <c r="E192" s="6">
        <f>VLOOKUP($A192,'2324 Jun 24 Enroll'!$A$4:$AL$325,23,FALSE)</f>
        <v>0</v>
      </c>
      <c r="F192" s="6">
        <f>VLOOKUP($A192,'2324 Jun 24 Enroll'!$A$4:$AL$325,24,FALSE)</f>
        <v>0</v>
      </c>
      <c r="G192" s="6">
        <f>VLOOKUP($A192,'2324 Jun 24 Enroll'!$A$4:$AL$325,25,FALSE)</f>
        <v>11</v>
      </c>
      <c r="H192" s="6">
        <f>VLOOKUP($A192,'2324 Jun 24 Enroll'!$A$4:$AL$325,26,FALSE)</f>
        <v>0</v>
      </c>
      <c r="I192" s="6">
        <f>VLOOKUP($A192,'2324 Jun 24 Enroll'!$A$4:$AL$325,27,FALSE)</f>
        <v>168</v>
      </c>
      <c r="J192" s="54">
        <f t="shared" si="34"/>
        <v>6.5500000000000003E-2</v>
      </c>
      <c r="K192" s="54">
        <f t="shared" si="35"/>
        <v>0</v>
      </c>
      <c r="L192" s="45">
        <f t="shared" si="39"/>
        <v>0</v>
      </c>
      <c r="M192" s="47">
        <v>128.80000000000001</v>
      </c>
      <c r="N192" s="47">
        <v>21.32</v>
      </c>
      <c r="O192" s="45">
        <f t="shared" si="40"/>
        <v>0</v>
      </c>
      <c r="P192" s="45">
        <f t="shared" si="41"/>
        <v>0</v>
      </c>
      <c r="Q192" s="45">
        <f t="shared" si="42"/>
        <v>115198.71</v>
      </c>
      <c r="R192" s="45">
        <f t="shared" si="43"/>
        <v>0</v>
      </c>
      <c r="S192" s="45">
        <f t="shared" si="44"/>
        <v>0</v>
      </c>
      <c r="T192" s="6">
        <f>VLOOKUP($A192,'2324 Jun 24 Enroll'!$A$4:$AL$325,31,FALSE)</f>
        <v>11</v>
      </c>
      <c r="U192" s="45">
        <f t="shared" si="36"/>
        <v>103065.38</v>
      </c>
      <c r="V192" s="35">
        <v>8.9099999999999999E-2</v>
      </c>
      <c r="W192" s="45">
        <f t="shared" si="37"/>
        <v>94633.53</v>
      </c>
      <c r="X192" s="35">
        <v>0.18490000000000001</v>
      </c>
      <c r="Y192" s="45">
        <f t="shared" si="38"/>
        <v>17497.740000000002</v>
      </c>
    </row>
    <row r="193" spans="1:25">
      <c r="A193" t="s">
        <v>773</v>
      </c>
      <c r="B193" t="s">
        <v>774</v>
      </c>
      <c r="C193" s="6">
        <f>VLOOKUP($A193,'SpEd BEA Rate 2324'!$A$4:$AS$325,45,FALSE)</f>
        <v>9423.81</v>
      </c>
      <c r="D193" s="6">
        <f>VLOOKUP($A193,'2324 Jun 24 Enroll'!$A$4:$AL$325,22,FALSE)</f>
        <v>5.67</v>
      </c>
      <c r="E193" s="6">
        <f>VLOOKUP($A193,'2324 Jun 24 Enroll'!$A$4:$AL$325,23,FALSE)</f>
        <v>0</v>
      </c>
      <c r="F193" s="6">
        <f>VLOOKUP($A193,'2324 Jun 24 Enroll'!$A$4:$AL$325,24,FALSE)</f>
        <v>0</v>
      </c>
      <c r="G193" s="6">
        <f>VLOOKUP($A193,'2324 Jun 24 Enroll'!$A$4:$AL$325,25,FALSE)</f>
        <v>27.78</v>
      </c>
      <c r="H193" s="6">
        <f>VLOOKUP($A193,'2324 Jun 24 Enroll'!$A$4:$AL$325,26,FALSE)</f>
        <v>60.33</v>
      </c>
      <c r="I193" s="6">
        <f>VLOOKUP($A193,'2324 Jun 24 Enroll'!$A$4:$AL$325,27,FALSE)</f>
        <v>539.75</v>
      </c>
      <c r="J193" s="54">
        <f t="shared" si="34"/>
        <v>0.16320000000000001</v>
      </c>
      <c r="K193" s="54">
        <f t="shared" si="35"/>
        <v>1.3200000000000017E-2</v>
      </c>
      <c r="L193" s="45">
        <f t="shared" si="39"/>
        <v>64119.6</v>
      </c>
      <c r="M193" s="68">
        <v>120.67</v>
      </c>
      <c r="N193" s="68">
        <v>19.97</v>
      </c>
      <c r="O193" s="45">
        <f t="shared" si="40"/>
        <v>0</v>
      </c>
      <c r="P193" s="45">
        <f t="shared" si="41"/>
        <v>0</v>
      </c>
      <c r="Q193" s="45">
        <f t="shared" si="42"/>
        <v>292653.89</v>
      </c>
      <c r="R193" s="45">
        <f t="shared" si="43"/>
        <v>601445.97</v>
      </c>
      <c r="S193" s="45">
        <f t="shared" si="44"/>
        <v>-72316.899999999994</v>
      </c>
      <c r="T193" s="6">
        <f>VLOOKUP($A193,'2324 Jun 24 Enroll'!$A$4:$AL$325,31,FALSE)</f>
        <v>88.11</v>
      </c>
      <c r="U193" s="45">
        <f t="shared" si="36"/>
        <v>830331.9</v>
      </c>
      <c r="V193" s="35">
        <v>0.1547</v>
      </c>
      <c r="W193" s="45">
        <f t="shared" si="37"/>
        <v>719088.85</v>
      </c>
      <c r="X193" s="35">
        <v>0.26889999999999997</v>
      </c>
      <c r="Y193" s="45">
        <f t="shared" si="38"/>
        <v>193362.99</v>
      </c>
    </row>
    <row r="194" spans="1:25">
      <c r="A194" t="s">
        <v>717</v>
      </c>
      <c r="B194" t="s">
        <v>718</v>
      </c>
      <c r="C194" s="6">
        <f>VLOOKUP($A194,'SpEd BEA Rate 2324'!$A$4:$AS$325,45,FALSE)</f>
        <v>9426.58</v>
      </c>
      <c r="D194" s="6">
        <f>VLOOKUP($A194,'2324 Jun 24 Enroll'!$A$4:$AL$325,22,FALSE)</f>
        <v>1</v>
      </c>
      <c r="E194" s="6">
        <f>VLOOKUP($A194,'2324 Jun 24 Enroll'!$A$4:$AL$325,23,FALSE)</f>
        <v>1.44</v>
      </c>
      <c r="F194" s="6">
        <f>VLOOKUP($A194,'2324 Jun 24 Enroll'!$A$4:$AL$325,24,FALSE)</f>
        <v>0</v>
      </c>
      <c r="G194" s="6">
        <f>VLOOKUP($A194,'2324 Jun 24 Enroll'!$A$4:$AL$325,25,FALSE)</f>
        <v>54.78</v>
      </c>
      <c r="H194" s="6">
        <f>VLOOKUP($A194,'2324 Jun 24 Enroll'!$A$4:$AL$325,26,FALSE)</f>
        <v>17.440000000000001</v>
      </c>
      <c r="I194" s="6">
        <f>VLOOKUP($A194,'2324 Jun 24 Enroll'!$A$4:$AL$325,27,FALSE)</f>
        <v>499.33</v>
      </c>
      <c r="J194" s="54">
        <f t="shared" si="34"/>
        <v>0.14749999999999999</v>
      </c>
      <c r="K194" s="54">
        <f t="shared" si="35"/>
        <v>0</v>
      </c>
      <c r="L194" s="45">
        <f t="shared" si="39"/>
        <v>11311.9</v>
      </c>
      <c r="M194" s="68">
        <v>125.57</v>
      </c>
      <c r="N194" s="68">
        <v>20.78</v>
      </c>
      <c r="O194" s="45">
        <f t="shared" si="40"/>
        <v>15173.27</v>
      </c>
      <c r="P194" s="45">
        <f t="shared" si="41"/>
        <v>0</v>
      </c>
      <c r="Q194" s="45">
        <f t="shared" si="42"/>
        <v>577216.29</v>
      </c>
      <c r="R194" s="45">
        <f t="shared" si="43"/>
        <v>173901.13</v>
      </c>
      <c r="S194" s="45">
        <f t="shared" si="44"/>
        <v>0</v>
      </c>
      <c r="T194" s="6">
        <f>VLOOKUP($A194,'2324 Jun 24 Enroll'!$A$4:$AL$325,31,FALSE)</f>
        <v>73.66</v>
      </c>
      <c r="U194" s="45">
        <f t="shared" si="36"/>
        <v>694361.88</v>
      </c>
      <c r="V194" s="35">
        <v>0.2044</v>
      </c>
      <c r="W194" s="45">
        <f t="shared" si="37"/>
        <v>576520.99</v>
      </c>
      <c r="X194" s="35">
        <v>0.20449999999999999</v>
      </c>
      <c r="Y194" s="45">
        <f t="shared" si="38"/>
        <v>117898.54</v>
      </c>
    </row>
    <row r="195" spans="1:25">
      <c r="A195" t="s">
        <v>879</v>
      </c>
      <c r="B195" t="s">
        <v>880</v>
      </c>
      <c r="C195" s="6">
        <f>VLOOKUP($A195,'SpEd BEA Rate 2324'!$A$4:$AS$325,45,FALSE)</f>
        <v>9420.19</v>
      </c>
      <c r="D195" s="6">
        <f>VLOOKUP($A195,'2324 Jun 24 Enroll'!$A$4:$AL$325,22,FALSE)</f>
        <v>5.33</v>
      </c>
      <c r="E195" s="6">
        <f>VLOOKUP($A195,'2324 Jun 24 Enroll'!$A$4:$AL$325,23,FALSE)</f>
        <v>0</v>
      </c>
      <c r="F195" s="6">
        <f>VLOOKUP($A195,'2324 Jun 24 Enroll'!$A$4:$AL$325,24,FALSE)</f>
        <v>0</v>
      </c>
      <c r="G195" s="6">
        <f>VLOOKUP($A195,'2324 Jun 24 Enroll'!$A$4:$AL$325,25,FALSE)</f>
        <v>34.56</v>
      </c>
      <c r="H195" s="6">
        <f>VLOOKUP($A195,'2324 Jun 24 Enroll'!$A$4:$AL$325,26,FALSE)</f>
        <v>16.11</v>
      </c>
      <c r="I195" s="6">
        <f>VLOOKUP($A195,'2324 Jun 24 Enroll'!$A$4:$AL$325,27,FALSE)</f>
        <v>338.38</v>
      </c>
      <c r="J195" s="54">
        <f t="shared" si="34"/>
        <v>0.1497</v>
      </c>
      <c r="K195" s="54">
        <f t="shared" si="35"/>
        <v>0</v>
      </c>
      <c r="L195" s="45">
        <f t="shared" si="39"/>
        <v>60251.54</v>
      </c>
      <c r="M195" s="68">
        <v>120.01</v>
      </c>
      <c r="N195" s="68">
        <v>19.86</v>
      </c>
      <c r="O195" s="45">
        <f t="shared" si="40"/>
        <v>0</v>
      </c>
      <c r="P195" s="45">
        <f t="shared" si="41"/>
        <v>0</v>
      </c>
      <c r="Q195" s="45">
        <f t="shared" si="42"/>
        <v>363942.82</v>
      </c>
      <c r="R195" s="45">
        <f t="shared" si="43"/>
        <v>160544.87</v>
      </c>
      <c r="S195" s="45">
        <f t="shared" si="44"/>
        <v>0</v>
      </c>
      <c r="T195" s="6">
        <f>VLOOKUP($A195,'2324 Jun 24 Enroll'!$A$4:$AL$325,31,FALSE)</f>
        <v>50.67</v>
      </c>
      <c r="U195" s="45">
        <f t="shared" si="36"/>
        <v>477321.03</v>
      </c>
      <c r="V195" s="35">
        <v>0.1905</v>
      </c>
      <c r="W195" s="45">
        <f t="shared" si="37"/>
        <v>400941.65</v>
      </c>
      <c r="X195" s="35">
        <v>0.23530000000000001</v>
      </c>
      <c r="Y195" s="45">
        <f t="shared" si="38"/>
        <v>94341.57</v>
      </c>
    </row>
    <row r="196" spans="1:25">
      <c r="A196" t="s">
        <v>635</v>
      </c>
      <c r="B196" t="s">
        <v>636</v>
      </c>
      <c r="C196" s="6">
        <f>VLOOKUP($A196,'SpEd BEA Rate 2324'!$A$4:$AS$325,45,FALSE)</f>
        <v>9417.66</v>
      </c>
      <c r="D196" s="6">
        <f>VLOOKUP($A196,'2324 Jun 24 Enroll'!$A$4:$AL$325,22,FALSE)</f>
        <v>0</v>
      </c>
      <c r="E196" s="6">
        <f>VLOOKUP($A196,'2324 Jun 24 Enroll'!$A$4:$AL$325,23,FALSE)</f>
        <v>0</v>
      </c>
      <c r="F196" s="6">
        <f>VLOOKUP($A196,'2324 Jun 24 Enroll'!$A$4:$AL$325,24,FALSE)</f>
        <v>0</v>
      </c>
      <c r="G196" s="6">
        <f>VLOOKUP($A196,'2324 Jun 24 Enroll'!$A$4:$AL$325,25,FALSE)</f>
        <v>6.78</v>
      </c>
      <c r="H196" s="6">
        <f>VLOOKUP($A196,'2324 Jun 24 Enroll'!$A$4:$AL$325,26,FALSE)</f>
        <v>0</v>
      </c>
      <c r="I196" s="6">
        <f>VLOOKUP($A196,'2324 Jun 24 Enroll'!$A$4:$AL$325,27,FALSE)</f>
        <v>58.03</v>
      </c>
      <c r="J196" s="54">
        <f t="shared" ref="J196:J259" si="45">ROUND((E196+F196+G196+H196)/I196,4)</f>
        <v>0.1168</v>
      </c>
      <c r="K196" s="54">
        <f t="shared" si="35"/>
        <v>0</v>
      </c>
      <c r="L196" s="45">
        <f t="shared" si="39"/>
        <v>0</v>
      </c>
      <c r="M196" s="68">
        <v>119.74</v>
      </c>
      <c r="N196" s="68">
        <v>19.82</v>
      </c>
      <c r="O196" s="45">
        <f t="shared" si="40"/>
        <v>0</v>
      </c>
      <c r="P196" s="45">
        <f t="shared" si="41"/>
        <v>0</v>
      </c>
      <c r="Q196" s="45">
        <f t="shared" si="42"/>
        <v>71379.56</v>
      </c>
      <c r="R196" s="45">
        <f t="shared" si="43"/>
        <v>0</v>
      </c>
      <c r="S196" s="45">
        <f t="shared" si="44"/>
        <v>0</v>
      </c>
      <c r="T196" s="6">
        <f>VLOOKUP($A196,'2324 Jun 24 Enroll'!$A$4:$AL$325,31,FALSE)</f>
        <v>6.78</v>
      </c>
      <c r="U196" s="45">
        <f t="shared" si="36"/>
        <v>63851.73</v>
      </c>
      <c r="V196" s="35">
        <v>0.30719999999999997</v>
      </c>
      <c r="W196" s="45">
        <f t="shared" si="37"/>
        <v>48846.18</v>
      </c>
      <c r="X196" s="35">
        <v>9.8699999999999996E-2</v>
      </c>
      <c r="Y196" s="45">
        <f t="shared" si="38"/>
        <v>4821.12</v>
      </c>
    </row>
    <row r="197" spans="1:25">
      <c r="A197" t="s">
        <v>621</v>
      </c>
      <c r="B197" t="s">
        <v>622</v>
      </c>
      <c r="C197" s="6">
        <f>VLOOKUP($A197,'SpEd BEA Rate 2324'!$A$4:$AS$325,45,FALSE)</f>
        <v>9441.34</v>
      </c>
      <c r="D197" s="6">
        <f>VLOOKUP($A197,'2324 Jun 24 Enroll'!$A$4:$AL$325,22,FALSE)</f>
        <v>16.670000000000002</v>
      </c>
      <c r="E197" s="6">
        <f>VLOOKUP($A197,'2324 Jun 24 Enroll'!$A$4:$AL$325,23,FALSE)</f>
        <v>0</v>
      </c>
      <c r="F197" s="6">
        <f>VLOOKUP($A197,'2324 Jun 24 Enroll'!$A$4:$AL$325,24,FALSE)</f>
        <v>0</v>
      </c>
      <c r="G197" s="6">
        <f>VLOOKUP($A197,'2324 Jun 24 Enroll'!$A$4:$AL$325,25,FALSE)</f>
        <v>91.56</v>
      </c>
      <c r="H197" s="6">
        <f>VLOOKUP($A197,'2324 Jun 24 Enroll'!$A$4:$AL$325,26,FALSE)</f>
        <v>87</v>
      </c>
      <c r="I197" s="6">
        <f>VLOOKUP($A197,'2324 Jun 24 Enroll'!$A$4:$AL$325,27,FALSE)</f>
        <v>1143.56</v>
      </c>
      <c r="J197" s="54">
        <f t="shared" si="45"/>
        <v>0.15609999999999999</v>
      </c>
      <c r="K197" s="54">
        <f t="shared" ref="K197:K259" si="46">IF(J197&lt;$K$1,0,J197-$K$1)</f>
        <v>6.0999999999999943E-3</v>
      </c>
      <c r="L197" s="45">
        <f t="shared" si="39"/>
        <v>188864.57</v>
      </c>
      <c r="M197" s="68">
        <v>122.32</v>
      </c>
      <c r="N197" s="68">
        <v>20.25</v>
      </c>
      <c r="O197" s="45">
        <f t="shared" si="40"/>
        <v>0</v>
      </c>
      <c r="P197" s="45">
        <f t="shared" si="41"/>
        <v>0</v>
      </c>
      <c r="Q197" s="45">
        <f t="shared" si="42"/>
        <v>966328.89</v>
      </c>
      <c r="R197" s="45">
        <f t="shared" si="43"/>
        <v>868918.62</v>
      </c>
      <c r="S197" s="45">
        <f t="shared" si="44"/>
        <v>-71716.91</v>
      </c>
      <c r="T197" s="6">
        <f>VLOOKUP($A197,'2324 Jun 24 Enroll'!$A$4:$AL$325,31,FALSE)</f>
        <v>178.56</v>
      </c>
      <c r="U197" s="45">
        <f t="shared" si="36"/>
        <v>1685845.67</v>
      </c>
      <c r="V197" s="35">
        <v>0.14410000000000001</v>
      </c>
      <c r="W197" s="45">
        <f t="shared" si="37"/>
        <v>1473512.52</v>
      </c>
      <c r="X197" s="35">
        <v>0.26640000000000003</v>
      </c>
      <c r="Y197" s="45">
        <f t="shared" si="38"/>
        <v>392543.74</v>
      </c>
    </row>
    <row r="198" spans="1:25">
      <c r="A198" t="s">
        <v>418</v>
      </c>
      <c r="B198" t="s">
        <v>419</v>
      </c>
      <c r="C198" s="6">
        <f>VLOOKUP($A198,'SpEd BEA Rate 2324'!$A$4:$AS$325,45,FALSE)</f>
        <v>9459.83</v>
      </c>
      <c r="D198" s="6">
        <f>VLOOKUP($A198,'2324 Jun 24 Enroll'!$A$4:$AL$325,22,FALSE)</f>
        <v>4.8899999999999997</v>
      </c>
      <c r="E198" s="6">
        <f>VLOOKUP($A198,'2324 Jun 24 Enroll'!$A$4:$AL$325,23,FALSE)</f>
        <v>0.67</v>
      </c>
      <c r="F198" s="6">
        <f>VLOOKUP($A198,'2324 Jun 24 Enroll'!$A$4:$AL$325,24,FALSE)</f>
        <v>0.67</v>
      </c>
      <c r="G198" s="6">
        <f>VLOOKUP($A198,'2324 Jun 24 Enroll'!$A$4:$AL$325,25,FALSE)</f>
        <v>36.78</v>
      </c>
      <c r="H198" s="6">
        <f>VLOOKUP($A198,'2324 Jun 24 Enroll'!$A$4:$AL$325,26,FALSE)</f>
        <v>8.7799999999999994</v>
      </c>
      <c r="I198" s="6">
        <f>VLOOKUP($A198,'2324 Jun 24 Enroll'!$A$4:$AL$325,27,FALSE)</f>
        <v>363.98</v>
      </c>
      <c r="J198" s="54">
        <f t="shared" si="45"/>
        <v>0.12889999999999999</v>
      </c>
      <c r="K198" s="54">
        <f t="shared" si="46"/>
        <v>0</v>
      </c>
      <c r="L198" s="45">
        <f t="shared" si="39"/>
        <v>55510.28</v>
      </c>
      <c r="M198" s="68">
        <v>123.03</v>
      </c>
      <c r="N198" s="68">
        <v>20.36</v>
      </c>
      <c r="O198" s="45">
        <f t="shared" si="40"/>
        <v>7085.02</v>
      </c>
      <c r="P198" s="45">
        <f t="shared" si="41"/>
        <v>6704.73</v>
      </c>
      <c r="Q198" s="45">
        <f t="shared" si="42"/>
        <v>388935.61</v>
      </c>
      <c r="R198" s="45">
        <f t="shared" si="43"/>
        <v>87861.99</v>
      </c>
      <c r="S198" s="45">
        <f t="shared" si="44"/>
        <v>0</v>
      </c>
      <c r="T198" s="6">
        <f>VLOOKUP($A198,'2324 Jun 24 Enroll'!$A$4:$AL$325,31,FALSE)</f>
        <v>46.9</v>
      </c>
      <c r="U198" s="45">
        <f t="shared" si="36"/>
        <v>443666.03</v>
      </c>
      <c r="V198" s="35">
        <v>0.22789999999999999</v>
      </c>
      <c r="W198" s="45">
        <f t="shared" si="37"/>
        <v>361320.98</v>
      </c>
      <c r="X198" s="35">
        <v>0.23630000000000001</v>
      </c>
      <c r="Y198" s="45">
        <f t="shared" si="38"/>
        <v>85380.15</v>
      </c>
    </row>
    <row r="199" spans="1:25">
      <c r="A199" t="s">
        <v>753</v>
      </c>
      <c r="B199" t="s">
        <v>754</v>
      </c>
      <c r="C199" s="6">
        <f>VLOOKUP($A199,'SpEd BEA Rate 2324'!$A$4:$AS$325,45,FALSE)</f>
        <v>9414.7000000000007</v>
      </c>
      <c r="D199" s="6">
        <f>VLOOKUP($A199,'2324 Jun 24 Enroll'!$A$4:$AL$325,22,FALSE)</f>
        <v>3.22</v>
      </c>
      <c r="E199" s="6">
        <f>VLOOKUP($A199,'2324 Jun 24 Enroll'!$A$4:$AL$325,23,FALSE)</f>
        <v>0.11</v>
      </c>
      <c r="F199" s="6">
        <f>VLOOKUP($A199,'2324 Jun 24 Enroll'!$A$4:$AL$325,24,FALSE)</f>
        <v>0.67</v>
      </c>
      <c r="G199" s="6">
        <f>VLOOKUP($A199,'2324 Jun 24 Enroll'!$A$4:$AL$325,25,FALSE)</f>
        <v>34.22</v>
      </c>
      <c r="H199" s="6">
        <f>VLOOKUP($A199,'2324 Jun 24 Enroll'!$A$4:$AL$325,26,FALSE)</f>
        <v>12.78</v>
      </c>
      <c r="I199" s="6">
        <f>VLOOKUP($A199,'2324 Jun 24 Enroll'!$A$4:$AL$325,27,FALSE)</f>
        <v>255.72</v>
      </c>
      <c r="J199" s="54">
        <f t="shared" si="45"/>
        <v>0.18679999999999999</v>
      </c>
      <c r="K199" s="54">
        <f t="shared" si="46"/>
        <v>3.6799999999999999E-2</v>
      </c>
      <c r="L199" s="45">
        <f t="shared" si="39"/>
        <v>36378.400000000001</v>
      </c>
      <c r="M199" s="68">
        <v>119.81</v>
      </c>
      <c r="N199" s="68">
        <v>19.829999999999998</v>
      </c>
      <c r="O199" s="45">
        <f t="shared" si="40"/>
        <v>1157.71</v>
      </c>
      <c r="P199" s="45">
        <f t="shared" si="41"/>
        <v>6673.03</v>
      </c>
      <c r="Q199" s="45">
        <f t="shared" si="42"/>
        <v>360152.98</v>
      </c>
      <c r="R199" s="45">
        <f t="shared" si="43"/>
        <v>127285.63</v>
      </c>
      <c r="S199" s="45">
        <f t="shared" si="44"/>
        <v>-97569.12</v>
      </c>
      <c r="T199" s="6">
        <f>VLOOKUP($A199,'2324 Jun 24 Enroll'!$A$4:$AL$325,31,FALSE)</f>
        <v>47.78</v>
      </c>
      <c r="U199" s="45">
        <f t="shared" si="36"/>
        <v>449834.37</v>
      </c>
      <c r="V199" s="35">
        <v>0.29220000000000002</v>
      </c>
      <c r="W199" s="45">
        <f t="shared" si="37"/>
        <v>348115.13</v>
      </c>
      <c r="X199" s="35">
        <v>0.2409</v>
      </c>
      <c r="Y199" s="45">
        <f t="shared" si="38"/>
        <v>83860.929999999993</v>
      </c>
    </row>
    <row r="200" spans="1:25">
      <c r="A200" t="s">
        <v>795</v>
      </c>
      <c r="B200" t="s">
        <v>796</v>
      </c>
      <c r="C200" s="6">
        <f>VLOOKUP($A200,'SpEd BEA Rate 2324'!$A$4:$AS$325,45,FALSE)</f>
        <v>9823.7599999999984</v>
      </c>
      <c r="D200" s="6">
        <f>VLOOKUP($A200,'2324 Jun 24 Enroll'!$A$4:$AL$325,22,FALSE)</f>
        <v>47.33</v>
      </c>
      <c r="E200" s="6">
        <f>VLOOKUP($A200,'2324 Jun 24 Enroll'!$A$4:$AL$325,23,FALSE)</f>
        <v>0</v>
      </c>
      <c r="F200" s="6">
        <f>VLOOKUP($A200,'2324 Jun 24 Enroll'!$A$4:$AL$325,24,FALSE)</f>
        <v>0</v>
      </c>
      <c r="G200" s="6">
        <f>VLOOKUP($A200,'2324 Jun 24 Enroll'!$A$4:$AL$325,25,FALSE)</f>
        <v>289.89</v>
      </c>
      <c r="H200" s="6">
        <f>VLOOKUP($A200,'2324 Jun 24 Enroll'!$A$4:$AL$325,26,FALSE)</f>
        <v>108.78</v>
      </c>
      <c r="I200" s="6">
        <f>VLOOKUP($A200,'2324 Jun 24 Enroll'!$A$4:$AL$325,27,FALSE)</f>
        <v>3013.19</v>
      </c>
      <c r="J200" s="54">
        <f t="shared" si="45"/>
        <v>0.1323</v>
      </c>
      <c r="K200" s="54">
        <f t="shared" si="46"/>
        <v>0</v>
      </c>
      <c r="L200" s="45">
        <f t="shared" si="39"/>
        <v>557950.27</v>
      </c>
      <c r="M200" s="68">
        <v>125.97</v>
      </c>
      <c r="N200" s="68">
        <v>20.85</v>
      </c>
      <c r="O200" s="45">
        <f t="shared" si="40"/>
        <v>0</v>
      </c>
      <c r="P200" s="45">
        <f t="shared" si="41"/>
        <v>0</v>
      </c>
      <c r="Q200" s="45">
        <f t="shared" si="42"/>
        <v>3183502.75</v>
      </c>
      <c r="R200" s="45">
        <f t="shared" si="43"/>
        <v>1130478.27</v>
      </c>
      <c r="S200" s="45">
        <f t="shared" si="44"/>
        <v>0</v>
      </c>
      <c r="T200" s="6">
        <f>VLOOKUP($A200,'2324 Jun 24 Enroll'!$A$4:$AL$325,31,FALSE)</f>
        <v>398.67</v>
      </c>
      <c r="U200" s="45">
        <f t="shared" si="36"/>
        <v>3916438.4</v>
      </c>
      <c r="V200" s="35">
        <v>0.16170000000000001</v>
      </c>
      <c r="W200" s="45">
        <f t="shared" si="37"/>
        <v>3371299.3</v>
      </c>
      <c r="X200" s="35">
        <v>0.23139999999999999</v>
      </c>
      <c r="Y200" s="45">
        <f t="shared" si="38"/>
        <v>780118.66</v>
      </c>
    </row>
    <row r="201" spans="1:25">
      <c r="A201" t="s">
        <v>705</v>
      </c>
      <c r="B201" t="s">
        <v>706</v>
      </c>
      <c r="C201" s="6">
        <f>VLOOKUP($A201,'SpEd BEA Rate 2324'!$A$4:$AS$325,45,FALSE)</f>
        <v>10226.809999999998</v>
      </c>
      <c r="D201" s="6">
        <f>VLOOKUP($A201,'2324 Jun 24 Enroll'!$A$4:$AL$325,22,FALSE)</f>
        <v>350.33</v>
      </c>
      <c r="E201" s="6">
        <f>VLOOKUP($A201,'2324 Jun 24 Enroll'!$A$4:$AL$325,23,FALSE)</f>
        <v>3.67</v>
      </c>
      <c r="F201" s="6">
        <f>VLOOKUP($A201,'2324 Jun 24 Enroll'!$A$4:$AL$325,24,FALSE)</f>
        <v>15.89</v>
      </c>
      <c r="G201" s="6">
        <f>VLOOKUP($A201,'2324 Jun 24 Enroll'!$A$4:$AL$325,25,FALSE)</f>
        <v>1519.78</v>
      </c>
      <c r="H201" s="6">
        <f>VLOOKUP($A201,'2324 Jun 24 Enroll'!$A$4:$AL$325,26,FALSE)</f>
        <v>1228</v>
      </c>
      <c r="I201" s="6">
        <f>VLOOKUP($A201,'2324 Jun 24 Enroll'!$A$4:$AL$325,27,FALSE)</f>
        <v>22844.52</v>
      </c>
      <c r="J201" s="54">
        <f t="shared" si="45"/>
        <v>0.1211</v>
      </c>
      <c r="K201" s="54">
        <f t="shared" si="46"/>
        <v>0</v>
      </c>
      <c r="L201" s="45">
        <f t="shared" si="39"/>
        <v>4299310.0199999996</v>
      </c>
      <c r="M201" s="68">
        <v>132.25</v>
      </c>
      <c r="N201" s="68">
        <v>21.89</v>
      </c>
      <c r="O201" s="45">
        <f t="shared" si="40"/>
        <v>41955.94</v>
      </c>
      <c r="P201" s="45">
        <f t="shared" si="41"/>
        <v>171906.42</v>
      </c>
      <c r="Q201" s="45">
        <f t="shared" si="42"/>
        <v>17374333.469999999</v>
      </c>
      <c r="R201" s="45">
        <f t="shared" si="43"/>
        <v>13285153.119999999</v>
      </c>
      <c r="S201" s="45">
        <f t="shared" si="44"/>
        <v>0</v>
      </c>
      <c r="T201" s="6">
        <f>VLOOKUP($A201,'2324 Jun 24 Enroll'!$A$4:$AL$325,31,FALSE)</f>
        <v>2781.45</v>
      </c>
      <c r="U201" s="45">
        <f t="shared" si="36"/>
        <v>28445360.670000002</v>
      </c>
      <c r="V201" s="35">
        <v>0.12379999999999999</v>
      </c>
      <c r="W201" s="45">
        <f t="shared" si="37"/>
        <v>25311764.260000002</v>
      </c>
      <c r="X201" s="35">
        <v>0.30649999999999999</v>
      </c>
      <c r="Y201" s="45">
        <f t="shared" si="38"/>
        <v>7758055.75</v>
      </c>
    </row>
    <row r="202" spans="1:25">
      <c r="A202" t="s">
        <v>809</v>
      </c>
      <c r="B202" t="s">
        <v>810</v>
      </c>
      <c r="C202" s="6">
        <f>VLOOKUP($A202,'SpEd BEA Rate 2324'!$A$4:$AS$325,45,FALSE)</f>
        <v>10228.879999999997</v>
      </c>
      <c r="D202" s="6">
        <f>VLOOKUP($A202,'2324 Jun 24 Enroll'!$A$4:$AL$325,22,FALSE)</f>
        <v>387.89</v>
      </c>
      <c r="E202" s="6">
        <f>VLOOKUP($A202,'2324 Jun 24 Enroll'!$A$4:$AL$325,23,FALSE)</f>
        <v>16</v>
      </c>
      <c r="F202" s="6">
        <f>VLOOKUP($A202,'2324 Jun 24 Enroll'!$A$4:$AL$325,24,FALSE)</f>
        <v>3.11</v>
      </c>
      <c r="G202" s="6">
        <f>VLOOKUP($A202,'2324 Jun 24 Enroll'!$A$4:$AL$325,25,FALSE)</f>
        <v>2586</v>
      </c>
      <c r="H202" s="6">
        <f>VLOOKUP($A202,'2324 Jun 24 Enroll'!$A$4:$AL$325,26,FALSE)</f>
        <v>1516.78</v>
      </c>
      <c r="I202" s="6">
        <f>VLOOKUP($A202,'2324 Jun 24 Enroll'!$A$4:$AL$325,27,FALSE)</f>
        <v>27268.3</v>
      </c>
      <c r="J202" s="54">
        <f t="shared" si="45"/>
        <v>0.1512</v>
      </c>
      <c r="K202" s="54">
        <f t="shared" si="46"/>
        <v>1.2000000000000066E-3</v>
      </c>
      <c r="L202" s="45">
        <f t="shared" si="39"/>
        <v>4761216.32</v>
      </c>
      <c r="M202" s="68">
        <v>130.47</v>
      </c>
      <c r="N202" s="68">
        <v>21.6</v>
      </c>
      <c r="O202" s="45">
        <f t="shared" si="40"/>
        <v>182955.93</v>
      </c>
      <c r="P202" s="45">
        <f t="shared" si="41"/>
        <v>33653.35</v>
      </c>
      <c r="Q202" s="45">
        <f t="shared" si="42"/>
        <v>29570252.120000001</v>
      </c>
      <c r="R202" s="45">
        <f t="shared" si="43"/>
        <v>16413095.789999999</v>
      </c>
      <c r="S202" s="45">
        <f t="shared" si="44"/>
        <v>-366666.33</v>
      </c>
      <c r="T202" s="6">
        <f>VLOOKUP($A202,'2324 Jun 24 Enroll'!$A$4:$AL$325,31,FALSE)</f>
        <v>4160.7700000000004</v>
      </c>
      <c r="U202" s="45">
        <f t="shared" si="36"/>
        <v>42560017.039999999</v>
      </c>
      <c r="V202" s="35">
        <v>0.13100000000000001</v>
      </c>
      <c r="W202" s="45">
        <f t="shared" si="37"/>
        <v>37630430.630000003</v>
      </c>
      <c r="X202" s="35">
        <v>0.28100000000000003</v>
      </c>
      <c r="Y202" s="45">
        <f t="shared" si="38"/>
        <v>10574151.01</v>
      </c>
    </row>
    <row r="203" spans="1:25">
      <c r="A203" t="s">
        <v>361</v>
      </c>
      <c r="B203" t="s">
        <v>362</v>
      </c>
      <c r="C203" s="6">
        <f>VLOOKUP($A203,'SpEd BEA Rate 2324'!$A$4:$AS$325,45,FALSE)</f>
        <v>9859.0300000000007</v>
      </c>
      <c r="D203" s="6">
        <f>VLOOKUP($A203,'2324 Jun 24 Enroll'!$A$4:$AL$325,22,FALSE)</f>
        <v>3</v>
      </c>
      <c r="E203" s="6">
        <f>VLOOKUP($A203,'2324 Jun 24 Enroll'!$A$4:$AL$325,23,FALSE)</f>
        <v>0</v>
      </c>
      <c r="F203" s="6">
        <f>VLOOKUP($A203,'2324 Jun 24 Enroll'!$A$4:$AL$325,24,FALSE)</f>
        <v>0</v>
      </c>
      <c r="G203" s="6">
        <f>VLOOKUP($A203,'2324 Jun 24 Enroll'!$A$4:$AL$325,25,FALSE)</f>
        <v>24.67</v>
      </c>
      <c r="H203" s="6">
        <f>VLOOKUP($A203,'2324 Jun 24 Enroll'!$A$4:$AL$325,26,FALSE)</f>
        <v>6</v>
      </c>
      <c r="I203" s="6">
        <f>VLOOKUP($A203,'2324 Jun 24 Enroll'!$A$4:$AL$325,27,FALSE)</f>
        <v>177.65</v>
      </c>
      <c r="J203" s="54">
        <f t="shared" si="45"/>
        <v>0.1726</v>
      </c>
      <c r="K203" s="54">
        <f t="shared" si="46"/>
        <v>2.2600000000000009E-2</v>
      </c>
      <c r="L203" s="45">
        <f t="shared" si="39"/>
        <v>35492.51</v>
      </c>
      <c r="M203" s="68">
        <v>120.93</v>
      </c>
      <c r="N203" s="68">
        <v>20.02</v>
      </c>
      <c r="O203" s="45">
        <f t="shared" si="40"/>
        <v>0</v>
      </c>
      <c r="P203" s="45">
        <f t="shared" si="41"/>
        <v>0</v>
      </c>
      <c r="Q203" s="45">
        <f t="shared" si="42"/>
        <v>271915.05</v>
      </c>
      <c r="R203" s="45">
        <f t="shared" si="43"/>
        <v>62583.31</v>
      </c>
      <c r="S203" s="45">
        <f t="shared" si="44"/>
        <v>-43798.74</v>
      </c>
      <c r="T203" s="6">
        <f>VLOOKUP($A203,'2324 Jun 24 Enroll'!$A$4:$AL$325,31,FALSE)</f>
        <v>27.67</v>
      </c>
      <c r="U203" s="45">
        <f t="shared" si="36"/>
        <v>272799.35999999999</v>
      </c>
      <c r="V203" s="35">
        <v>0.40329999999999999</v>
      </c>
      <c r="W203" s="45">
        <f t="shared" si="37"/>
        <v>194398.46</v>
      </c>
      <c r="X203" s="35">
        <v>0.1089</v>
      </c>
      <c r="Y203" s="45">
        <f t="shared" si="38"/>
        <v>21169.99</v>
      </c>
    </row>
    <row r="204" spans="1:25">
      <c r="A204" t="s">
        <v>837</v>
      </c>
      <c r="B204" t="s">
        <v>838</v>
      </c>
      <c r="C204" s="6">
        <f>VLOOKUP($A204,'SpEd BEA Rate 2324'!$A$4:$AS$325,45,FALSE)</f>
        <v>10023.370000000001</v>
      </c>
      <c r="D204" s="6">
        <f>VLOOKUP($A204,'2324 Jun 24 Enroll'!$A$4:$AL$325,22,FALSE)</f>
        <v>62</v>
      </c>
      <c r="E204" s="6">
        <f>VLOOKUP($A204,'2324 Jun 24 Enroll'!$A$4:$AL$325,23,FALSE)</f>
        <v>0</v>
      </c>
      <c r="F204" s="6">
        <f>VLOOKUP($A204,'2324 Jun 24 Enroll'!$A$4:$AL$325,24,FALSE)</f>
        <v>0</v>
      </c>
      <c r="G204" s="6">
        <f>VLOOKUP($A204,'2324 Jun 24 Enroll'!$A$4:$AL$325,25,FALSE)</f>
        <v>266.77999999999997</v>
      </c>
      <c r="H204" s="6">
        <f>VLOOKUP($A204,'2324 Jun 24 Enroll'!$A$4:$AL$325,26,FALSE)</f>
        <v>242.22</v>
      </c>
      <c r="I204" s="6">
        <f>VLOOKUP($A204,'2324 Jun 24 Enroll'!$A$4:$AL$325,27,FALSE)</f>
        <v>5526.54</v>
      </c>
      <c r="J204" s="54">
        <f t="shared" si="45"/>
        <v>9.2100000000000001E-2</v>
      </c>
      <c r="K204" s="54">
        <f t="shared" si="46"/>
        <v>0</v>
      </c>
      <c r="L204" s="45">
        <f t="shared" si="39"/>
        <v>745738.73</v>
      </c>
      <c r="M204" s="68">
        <v>129.65</v>
      </c>
      <c r="N204" s="68">
        <v>21.46</v>
      </c>
      <c r="O204" s="45">
        <f t="shared" si="40"/>
        <v>0</v>
      </c>
      <c r="P204" s="45">
        <f t="shared" si="41"/>
        <v>0</v>
      </c>
      <c r="Q204" s="45">
        <f t="shared" si="42"/>
        <v>2989193.71</v>
      </c>
      <c r="R204" s="45">
        <f t="shared" si="43"/>
        <v>2568334.2799999998</v>
      </c>
      <c r="S204" s="45">
        <f t="shared" si="44"/>
        <v>0</v>
      </c>
      <c r="T204" s="6">
        <f>VLOOKUP($A204,'2324 Jun 24 Enroll'!$A$4:$AL$325,31,FALSE)</f>
        <v>509</v>
      </c>
      <c r="U204" s="45">
        <f t="shared" si="36"/>
        <v>5101895.33</v>
      </c>
      <c r="V204" s="35">
        <v>0.15040000000000001</v>
      </c>
      <c r="W204" s="45">
        <f t="shared" si="37"/>
        <v>4434888.1500000004</v>
      </c>
      <c r="X204" s="35">
        <v>0.32569999999999999</v>
      </c>
      <c r="Y204" s="45">
        <f t="shared" si="38"/>
        <v>1444443.07</v>
      </c>
    </row>
    <row r="205" spans="1:25">
      <c r="A205" t="s">
        <v>805</v>
      </c>
      <c r="B205" t="s">
        <v>806</v>
      </c>
      <c r="C205" s="6">
        <f>VLOOKUP($A205,'SpEd BEA Rate 2324'!$A$4:$AS$325,45,FALSE)</f>
        <v>10230.399999999998</v>
      </c>
      <c r="D205" s="6">
        <f>VLOOKUP($A205,'2324 Jun 24 Enroll'!$A$4:$AL$325,22,FALSE)</f>
        <v>182.44</v>
      </c>
      <c r="E205" s="6">
        <f>VLOOKUP($A205,'2324 Jun 24 Enroll'!$A$4:$AL$325,23,FALSE)</f>
        <v>0</v>
      </c>
      <c r="F205" s="6">
        <f>VLOOKUP($A205,'2324 Jun 24 Enroll'!$A$4:$AL$325,24,FALSE)</f>
        <v>0</v>
      </c>
      <c r="G205" s="6">
        <f>VLOOKUP($A205,'2324 Jun 24 Enroll'!$A$4:$AL$325,25,FALSE)</f>
        <v>787.89</v>
      </c>
      <c r="H205" s="6">
        <f>VLOOKUP($A205,'2324 Jun 24 Enroll'!$A$4:$AL$325,26,FALSE)</f>
        <v>516.55999999999995</v>
      </c>
      <c r="I205" s="6">
        <f>VLOOKUP($A205,'2324 Jun 24 Enroll'!$A$4:$AL$325,27,FALSE)</f>
        <v>10393.09</v>
      </c>
      <c r="J205" s="54">
        <f t="shared" si="45"/>
        <v>0.1255</v>
      </c>
      <c r="K205" s="54">
        <f t="shared" si="46"/>
        <v>0</v>
      </c>
      <c r="L205" s="45">
        <f t="shared" si="39"/>
        <v>2239721.0099999998</v>
      </c>
      <c r="M205" s="68">
        <v>135.26</v>
      </c>
      <c r="N205" s="68">
        <v>22.39</v>
      </c>
      <c r="O205" s="45">
        <f t="shared" si="40"/>
        <v>0</v>
      </c>
      <c r="P205" s="45">
        <f t="shared" si="41"/>
        <v>0</v>
      </c>
      <c r="Q205" s="45">
        <f t="shared" si="42"/>
        <v>9010040.5800000001</v>
      </c>
      <c r="R205" s="45">
        <f t="shared" si="43"/>
        <v>5590126.5700000003</v>
      </c>
      <c r="S205" s="45">
        <f t="shared" si="44"/>
        <v>0</v>
      </c>
      <c r="T205" s="6">
        <f>VLOOKUP($A205,'2324 Jun 24 Enroll'!$A$4:$AL$325,31,FALSE)</f>
        <v>1302.45</v>
      </c>
      <c r="U205" s="45">
        <f t="shared" si="36"/>
        <v>13324584.48</v>
      </c>
      <c r="V205" s="35">
        <v>0.14219999999999999</v>
      </c>
      <c r="W205" s="45">
        <f t="shared" si="37"/>
        <v>11665719.210000001</v>
      </c>
      <c r="X205" s="35">
        <v>0.26200000000000001</v>
      </c>
      <c r="Y205" s="45">
        <f t="shared" si="38"/>
        <v>3056418.43</v>
      </c>
    </row>
    <row r="206" spans="1:25">
      <c r="A206" t="s">
        <v>430</v>
      </c>
      <c r="B206" t="s">
        <v>431</v>
      </c>
      <c r="C206" s="6">
        <f>VLOOKUP($A206,'SpEd BEA Rate 2324'!$A$4:$AS$325,45,FALSE)</f>
        <v>10361.599999999999</v>
      </c>
      <c r="D206" s="6">
        <f>VLOOKUP($A206,'2324 Jun 24 Enroll'!$A$4:$AL$325,22,FALSE)</f>
        <v>25.11</v>
      </c>
      <c r="E206" s="6">
        <f>VLOOKUP($A206,'2324 Jun 24 Enroll'!$A$4:$AL$325,23,FALSE)</f>
        <v>0</v>
      </c>
      <c r="F206" s="6">
        <f>VLOOKUP($A206,'2324 Jun 24 Enroll'!$A$4:$AL$325,24,FALSE)</f>
        <v>0</v>
      </c>
      <c r="G206" s="6">
        <f>VLOOKUP($A206,'2324 Jun 24 Enroll'!$A$4:$AL$325,25,FALSE)</f>
        <v>79.78</v>
      </c>
      <c r="H206" s="6">
        <f>VLOOKUP($A206,'2324 Jun 24 Enroll'!$A$4:$AL$325,26,FALSE)</f>
        <v>79.67</v>
      </c>
      <c r="I206" s="6">
        <f>VLOOKUP($A206,'2324 Jun 24 Enroll'!$A$4:$AL$325,27,FALSE)</f>
        <v>1401.59</v>
      </c>
      <c r="J206" s="54">
        <f t="shared" si="45"/>
        <v>0.1138</v>
      </c>
      <c r="K206" s="54">
        <f t="shared" si="46"/>
        <v>0</v>
      </c>
      <c r="L206" s="45">
        <f t="shared" si="39"/>
        <v>312215.73</v>
      </c>
      <c r="M206" s="68">
        <v>126.45</v>
      </c>
      <c r="N206" s="68">
        <v>20.93</v>
      </c>
      <c r="O206" s="45">
        <f t="shared" si="40"/>
        <v>0</v>
      </c>
      <c r="P206" s="45">
        <f t="shared" si="41"/>
        <v>0</v>
      </c>
      <c r="Q206" s="45">
        <f t="shared" si="42"/>
        <v>924176.47</v>
      </c>
      <c r="R206" s="45">
        <f t="shared" si="43"/>
        <v>873371.7</v>
      </c>
      <c r="S206" s="45">
        <f t="shared" si="44"/>
        <v>0</v>
      </c>
      <c r="T206" s="6">
        <f>VLOOKUP($A206,'2324 Jun 24 Enroll'!$A$4:$AL$325,31,FALSE)</f>
        <v>159.44999999999999</v>
      </c>
      <c r="U206" s="45">
        <f t="shared" si="36"/>
        <v>1652157.12</v>
      </c>
      <c r="V206" s="35">
        <v>0.1646</v>
      </c>
      <c r="W206" s="45">
        <f t="shared" si="37"/>
        <v>1418647.71</v>
      </c>
      <c r="X206" s="35">
        <v>0.34050000000000002</v>
      </c>
      <c r="Y206" s="45">
        <f t="shared" si="38"/>
        <v>483049.55</v>
      </c>
    </row>
    <row r="207" spans="1:25">
      <c r="A207" t="s">
        <v>673</v>
      </c>
      <c r="B207" t="s">
        <v>674</v>
      </c>
      <c r="C207" s="6">
        <f>VLOOKUP($A207,'SpEd BEA Rate 2324'!$A$4:$AS$325,45,FALSE)</f>
        <v>9823.0399999999991</v>
      </c>
      <c r="D207" s="6">
        <f>VLOOKUP($A207,'2324 Jun 24 Enroll'!$A$4:$AL$325,22,FALSE)</f>
        <v>61.33</v>
      </c>
      <c r="E207" s="6">
        <f>VLOOKUP($A207,'2324 Jun 24 Enroll'!$A$4:$AL$325,23,FALSE)</f>
        <v>0</v>
      </c>
      <c r="F207" s="6">
        <f>VLOOKUP($A207,'2324 Jun 24 Enroll'!$A$4:$AL$325,24,FALSE)</f>
        <v>0</v>
      </c>
      <c r="G207" s="6">
        <f>VLOOKUP($A207,'2324 Jun 24 Enroll'!$A$4:$AL$325,25,FALSE)</f>
        <v>250</v>
      </c>
      <c r="H207" s="6">
        <f>VLOOKUP($A207,'2324 Jun 24 Enroll'!$A$4:$AL$325,26,FALSE)</f>
        <v>154</v>
      </c>
      <c r="I207" s="6">
        <f>VLOOKUP($A207,'2324 Jun 24 Enroll'!$A$4:$AL$325,27,FALSE)</f>
        <v>2788.3</v>
      </c>
      <c r="J207" s="54">
        <f t="shared" si="45"/>
        <v>0.1449</v>
      </c>
      <c r="K207" s="54">
        <f t="shared" si="46"/>
        <v>0</v>
      </c>
      <c r="L207" s="45">
        <f t="shared" si="39"/>
        <v>722936.45</v>
      </c>
      <c r="M207" s="68">
        <v>131.29</v>
      </c>
      <c r="N207" s="68">
        <v>21.73</v>
      </c>
      <c r="O207" s="45">
        <f t="shared" si="40"/>
        <v>0</v>
      </c>
      <c r="P207" s="45">
        <f t="shared" si="41"/>
        <v>0</v>
      </c>
      <c r="Q207" s="45">
        <f t="shared" si="42"/>
        <v>2745018.7</v>
      </c>
      <c r="R207" s="45">
        <f t="shared" si="43"/>
        <v>1600166.63</v>
      </c>
      <c r="S207" s="45">
        <f t="shared" si="44"/>
        <v>0</v>
      </c>
      <c r="T207" s="6">
        <f>VLOOKUP($A207,'2324 Jun 24 Enroll'!$A$4:$AL$325,31,FALSE)</f>
        <v>404</v>
      </c>
      <c r="U207" s="45">
        <f t="shared" si="36"/>
        <v>3968508.16</v>
      </c>
      <c r="V207" s="35">
        <v>0.18260000000000001</v>
      </c>
      <c r="W207" s="45">
        <f t="shared" si="37"/>
        <v>3355748.49</v>
      </c>
      <c r="X207" s="35">
        <v>0.26069999999999999</v>
      </c>
      <c r="Y207" s="45">
        <f t="shared" si="38"/>
        <v>874843.63</v>
      </c>
    </row>
    <row r="208" spans="1:25">
      <c r="A208" t="s">
        <v>388</v>
      </c>
      <c r="B208" t="s">
        <v>389</v>
      </c>
      <c r="C208" s="6">
        <f>VLOOKUP($A208,'SpEd BEA Rate 2324'!$A$4:$AS$325,45,FALSE)</f>
        <v>9812.4499999999989</v>
      </c>
      <c r="D208" s="6">
        <f>VLOOKUP($A208,'2324 Jun 24 Enroll'!$A$4:$AL$325,22,FALSE)</f>
        <v>244.78</v>
      </c>
      <c r="E208" s="6">
        <f>VLOOKUP($A208,'2324 Jun 24 Enroll'!$A$4:$AL$325,23,FALSE)</f>
        <v>0</v>
      </c>
      <c r="F208" s="6">
        <f>VLOOKUP($A208,'2324 Jun 24 Enroll'!$A$4:$AL$325,24,FALSE)</f>
        <v>0</v>
      </c>
      <c r="G208" s="6">
        <f>VLOOKUP($A208,'2324 Jun 24 Enroll'!$A$4:$AL$325,25,FALSE)</f>
        <v>1070.44</v>
      </c>
      <c r="H208" s="6">
        <f>VLOOKUP($A208,'2324 Jun 24 Enroll'!$A$4:$AL$325,26,FALSE)</f>
        <v>836.89</v>
      </c>
      <c r="I208" s="6">
        <f>VLOOKUP($A208,'2324 Jun 24 Enroll'!$A$4:$AL$325,27,FALSE)</f>
        <v>11795.58</v>
      </c>
      <c r="J208" s="54">
        <f t="shared" si="45"/>
        <v>0.16170000000000001</v>
      </c>
      <c r="K208" s="54">
        <f t="shared" si="46"/>
        <v>1.1700000000000016E-2</v>
      </c>
      <c r="L208" s="45">
        <f t="shared" si="39"/>
        <v>2882269.81</v>
      </c>
      <c r="M208" s="68">
        <v>137.02000000000001</v>
      </c>
      <c r="N208" s="68">
        <v>22.68</v>
      </c>
      <c r="O208" s="45">
        <f t="shared" si="40"/>
        <v>0</v>
      </c>
      <c r="P208" s="45">
        <f t="shared" si="41"/>
        <v>0</v>
      </c>
      <c r="Q208" s="45">
        <f t="shared" si="42"/>
        <v>11739798.08</v>
      </c>
      <c r="R208" s="45">
        <f t="shared" si="43"/>
        <v>8685677.0899999999</v>
      </c>
      <c r="S208" s="45">
        <f t="shared" si="44"/>
        <v>-1477910.08</v>
      </c>
      <c r="T208" s="6">
        <f>VLOOKUP($A208,'2324 Jun 24 Enroll'!$A$4:$AL$325,31,FALSE)</f>
        <v>1905.66</v>
      </c>
      <c r="U208" s="45">
        <f t="shared" si="36"/>
        <v>18699193.469999999</v>
      </c>
      <c r="V208" s="35">
        <v>0.161</v>
      </c>
      <c r="W208" s="45">
        <f t="shared" si="37"/>
        <v>16106109.789999999</v>
      </c>
      <c r="X208" s="35">
        <v>0.34210000000000002</v>
      </c>
      <c r="Y208" s="45">
        <f t="shared" si="38"/>
        <v>5509900.1600000001</v>
      </c>
    </row>
    <row r="209" spans="1:25">
      <c r="A209" t="s">
        <v>689</v>
      </c>
      <c r="B209" t="s">
        <v>690</v>
      </c>
      <c r="C209" s="6">
        <f>VLOOKUP($A209,'SpEd BEA Rate 2324'!$A$4:$AS$325,45,FALSE)</f>
        <v>10326.450000000001</v>
      </c>
      <c r="D209" s="6">
        <f>VLOOKUP($A209,'2324 Jun 24 Enroll'!$A$4:$AL$325,22,FALSE)</f>
        <v>110</v>
      </c>
      <c r="E209" s="6">
        <f>VLOOKUP($A209,'2324 Jun 24 Enroll'!$A$4:$AL$325,23,FALSE)</f>
        <v>1</v>
      </c>
      <c r="F209" s="6">
        <f>VLOOKUP($A209,'2324 Jun 24 Enroll'!$A$4:$AL$325,24,FALSE)</f>
        <v>8.11</v>
      </c>
      <c r="G209" s="6">
        <f>VLOOKUP($A209,'2324 Jun 24 Enroll'!$A$4:$AL$325,25,FALSE)</f>
        <v>838.78</v>
      </c>
      <c r="H209" s="6">
        <f>VLOOKUP($A209,'2324 Jun 24 Enroll'!$A$4:$AL$325,26,FALSE)</f>
        <v>363</v>
      </c>
      <c r="I209" s="6">
        <f>VLOOKUP($A209,'2324 Jun 24 Enroll'!$A$4:$AL$325,27,FALSE)</f>
        <v>8882.43</v>
      </c>
      <c r="J209" s="54">
        <f t="shared" si="45"/>
        <v>0.1363</v>
      </c>
      <c r="K209" s="54">
        <f t="shared" si="46"/>
        <v>0</v>
      </c>
      <c r="L209" s="45">
        <f t="shared" si="39"/>
        <v>1363091.4</v>
      </c>
      <c r="M209" s="68">
        <v>126.61</v>
      </c>
      <c r="N209" s="68">
        <v>20.96</v>
      </c>
      <c r="O209" s="45">
        <f t="shared" si="40"/>
        <v>11544.66</v>
      </c>
      <c r="P209" s="45">
        <f t="shared" si="41"/>
        <v>88602.37</v>
      </c>
      <c r="Q209" s="45">
        <f t="shared" si="42"/>
        <v>9683433.2699999996</v>
      </c>
      <c r="R209" s="45">
        <f t="shared" si="43"/>
        <v>3965802.95</v>
      </c>
      <c r="S209" s="45">
        <f t="shared" si="44"/>
        <v>0</v>
      </c>
      <c r="T209" s="6">
        <f>VLOOKUP($A209,'2324 Jun 24 Enroll'!$A$4:$AL$325,31,FALSE)</f>
        <v>1210.8900000000001</v>
      </c>
      <c r="U209" s="45">
        <f t="shared" si="36"/>
        <v>12504195.039999999</v>
      </c>
      <c r="V209" s="35">
        <v>0.1545</v>
      </c>
      <c r="W209" s="45">
        <f t="shared" si="37"/>
        <v>10830831.560000001</v>
      </c>
      <c r="X209" s="35">
        <v>0.22309999999999999</v>
      </c>
      <c r="Y209" s="45">
        <f t="shared" si="38"/>
        <v>2416358.52</v>
      </c>
    </row>
    <row r="210" spans="1:25">
      <c r="A210" t="s">
        <v>472</v>
      </c>
      <c r="B210" t="s">
        <v>473</v>
      </c>
      <c r="C210" s="6">
        <f>VLOOKUP($A210,'SpEd BEA Rate 2324'!$A$4:$AS$325,45,FALSE)</f>
        <v>9821.3299999999981</v>
      </c>
      <c r="D210" s="6">
        <f>VLOOKUP($A210,'2324 Jun 24 Enroll'!$A$4:$AL$325,22,FALSE)</f>
        <v>128.78</v>
      </c>
      <c r="E210" s="6">
        <f>VLOOKUP($A210,'2324 Jun 24 Enroll'!$A$4:$AL$325,23,FALSE)</f>
        <v>0</v>
      </c>
      <c r="F210" s="6">
        <f>VLOOKUP($A210,'2324 Jun 24 Enroll'!$A$4:$AL$325,24,FALSE)</f>
        <v>0</v>
      </c>
      <c r="G210" s="6">
        <f>VLOOKUP($A210,'2324 Jun 24 Enroll'!$A$4:$AL$325,25,FALSE)</f>
        <v>500.44</v>
      </c>
      <c r="H210" s="6">
        <f>VLOOKUP($A210,'2324 Jun 24 Enroll'!$A$4:$AL$325,26,FALSE)</f>
        <v>529.44000000000005</v>
      </c>
      <c r="I210" s="6">
        <f>VLOOKUP($A210,'2324 Jun 24 Enroll'!$A$4:$AL$325,27,FALSE)</f>
        <v>7172.54</v>
      </c>
      <c r="J210" s="54">
        <f t="shared" si="45"/>
        <v>0.14360000000000001</v>
      </c>
      <c r="K210" s="54">
        <f t="shared" si="46"/>
        <v>0</v>
      </c>
      <c r="L210" s="45">
        <f t="shared" si="39"/>
        <v>1517749.05</v>
      </c>
      <c r="M210" s="68">
        <v>137.75</v>
      </c>
      <c r="N210" s="68">
        <v>22.8</v>
      </c>
      <c r="O210" s="45">
        <f t="shared" si="40"/>
        <v>0</v>
      </c>
      <c r="P210" s="45">
        <f t="shared" si="41"/>
        <v>0</v>
      </c>
      <c r="Q210" s="45">
        <f t="shared" si="42"/>
        <v>5493374.7199999997</v>
      </c>
      <c r="R210" s="45">
        <f t="shared" si="43"/>
        <v>5499722.0199999996</v>
      </c>
      <c r="S210" s="45">
        <f t="shared" si="44"/>
        <v>0</v>
      </c>
      <c r="T210" s="6">
        <f>VLOOKUP($A210,'2324 Jun 24 Enroll'!$A$4:$AL$325,31,FALSE)</f>
        <v>1019.11</v>
      </c>
      <c r="U210" s="45">
        <f t="shared" si="36"/>
        <v>10009015.619999999</v>
      </c>
      <c r="V210" s="35">
        <v>0.14860000000000001</v>
      </c>
      <c r="W210" s="45">
        <f t="shared" si="37"/>
        <v>8714100.3100000005</v>
      </c>
      <c r="X210" s="35">
        <v>0.30259999999999998</v>
      </c>
      <c r="Y210" s="45">
        <f t="shared" si="38"/>
        <v>2636886.75</v>
      </c>
    </row>
    <row r="211" spans="1:25">
      <c r="A211" t="s">
        <v>339</v>
      </c>
      <c r="B211" t="s">
        <v>340</v>
      </c>
      <c r="C211" s="6">
        <f>VLOOKUP($A211,'SpEd BEA Rate 2324'!$A$4:$AS$325,45,FALSE)</f>
        <v>9826.5499999999993</v>
      </c>
      <c r="D211" s="6">
        <f>VLOOKUP($A211,'2324 Jun 24 Enroll'!$A$4:$AL$325,22,FALSE)</f>
        <v>297.33</v>
      </c>
      <c r="E211" s="6">
        <f>VLOOKUP($A211,'2324 Jun 24 Enroll'!$A$4:$AL$325,23,FALSE)</f>
        <v>6.78</v>
      </c>
      <c r="F211" s="6">
        <f>VLOOKUP($A211,'2324 Jun 24 Enroll'!$A$4:$AL$325,24,FALSE)</f>
        <v>3.67</v>
      </c>
      <c r="G211" s="6">
        <f>VLOOKUP($A211,'2324 Jun 24 Enroll'!$A$4:$AL$325,25,FALSE)</f>
        <v>1571.11</v>
      </c>
      <c r="H211" s="6">
        <f>VLOOKUP($A211,'2324 Jun 24 Enroll'!$A$4:$AL$325,26,FALSE)</f>
        <v>1233.1099999999999</v>
      </c>
      <c r="I211" s="6">
        <f>VLOOKUP($A211,'2324 Jun 24 Enroll'!$A$4:$AL$325,27,FALSE)</f>
        <v>20617.13</v>
      </c>
      <c r="J211" s="54">
        <f t="shared" si="45"/>
        <v>0.13650000000000001</v>
      </c>
      <c r="K211" s="54">
        <f t="shared" si="46"/>
        <v>0</v>
      </c>
      <c r="L211" s="45">
        <f t="shared" si="39"/>
        <v>3506073.73</v>
      </c>
      <c r="M211" s="68">
        <v>132.9</v>
      </c>
      <c r="N211" s="68">
        <v>22</v>
      </c>
      <c r="O211" s="45">
        <f t="shared" si="40"/>
        <v>74469.73</v>
      </c>
      <c r="P211" s="45">
        <f t="shared" si="41"/>
        <v>38146.5</v>
      </c>
      <c r="Q211" s="45">
        <f t="shared" si="42"/>
        <v>17256657.469999999</v>
      </c>
      <c r="R211" s="45">
        <f t="shared" si="43"/>
        <v>12817121.67</v>
      </c>
      <c r="S211" s="45">
        <f t="shared" si="44"/>
        <v>0</v>
      </c>
      <c r="T211" s="6">
        <f>VLOOKUP($A211,'2324 Jun 24 Enroll'!$A$4:$AL$325,31,FALSE)</f>
        <v>2799.34</v>
      </c>
      <c r="U211" s="45">
        <f t="shared" si="36"/>
        <v>27507854.48</v>
      </c>
      <c r="V211" s="35">
        <v>0.13819999999999999</v>
      </c>
      <c r="W211" s="45">
        <f t="shared" si="37"/>
        <v>24167856.690000001</v>
      </c>
      <c r="X211" s="35">
        <v>0.31209999999999999</v>
      </c>
      <c r="Y211" s="45">
        <f t="shared" si="38"/>
        <v>7542788.0700000003</v>
      </c>
    </row>
    <row r="212" spans="1:25">
      <c r="A212" t="s">
        <v>442</v>
      </c>
      <c r="B212" t="s">
        <v>443</v>
      </c>
      <c r="C212" s="6">
        <f>VLOOKUP($A212,'SpEd BEA Rate 2324'!$A$4:$AS$325,45,FALSE)</f>
        <v>9421.0399999999991</v>
      </c>
      <c r="D212" s="6">
        <f>VLOOKUP($A212,'2324 Jun 24 Enroll'!$A$4:$AL$325,22,FALSE)</f>
        <v>23</v>
      </c>
      <c r="E212" s="6">
        <f>VLOOKUP($A212,'2324 Jun 24 Enroll'!$A$4:$AL$325,23,FALSE)</f>
        <v>2.11</v>
      </c>
      <c r="F212" s="6">
        <f>VLOOKUP($A212,'2324 Jun 24 Enroll'!$A$4:$AL$325,24,FALSE)</f>
        <v>0</v>
      </c>
      <c r="G212" s="6">
        <f>VLOOKUP($A212,'2324 Jun 24 Enroll'!$A$4:$AL$325,25,FALSE)</f>
        <v>138.78</v>
      </c>
      <c r="H212" s="6">
        <f>VLOOKUP($A212,'2324 Jun 24 Enroll'!$A$4:$AL$325,26,FALSE)</f>
        <v>89.22</v>
      </c>
      <c r="I212" s="6">
        <f>VLOOKUP($A212,'2324 Jun 24 Enroll'!$A$4:$AL$325,27,FALSE)</f>
        <v>1978.96</v>
      </c>
      <c r="J212" s="54">
        <f t="shared" si="45"/>
        <v>0.1163</v>
      </c>
      <c r="K212" s="54">
        <f t="shared" si="46"/>
        <v>0</v>
      </c>
      <c r="L212" s="45">
        <f t="shared" si="39"/>
        <v>260020.7</v>
      </c>
      <c r="M212" s="68">
        <v>128.25</v>
      </c>
      <c r="N212" s="68">
        <v>21.23</v>
      </c>
      <c r="O212" s="45">
        <f t="shared" si="40"/>
        <v>22219.01</v>
      </c>
      <c r="P212" s="45">
        <f t="shared" si="41"/>
        <v>0</v>
      </c>
      <c r="Q212" s="45">
        <f t="shared" si="42"/>
        <v>1461399.86</v>
      </c>
      <c r="R212" s="45">
        <f t="shared" si="43"/>
        <v>889083.76</v>
      </c>
      <c r="S212" s="45">
        <f t="shared" si="44"/>
        <v>0</v>
      </c>
      <c r="T212" s="6">
        <f>VLOOKUP($A212,'2324 Jun 24 Enroll'!$A$4:$AL$325,31,FALSE)</f>
        <v>230.11</v>
      </c>
      <c r="U212" s="45">
        <f t="shared" si="36"/>
        <v>2167875.5099999998</v>
      </c>
      <c r="V212" s="35">
        <v>0.19139999999999999</v>
      </c>
      <c r="W212" s="45">
        <f t="shared" si="37"/>
        <v>1819603.42</v>
      </c>
      <c r="X212" s="35">
        <v>0.23530000000000001</v>
      </c>
      <c r="Y212" s="45">
        <f t="shared" si="38"/>
        <v>428152.68</v>
      </c>
    </row>
    <row r="213" spans="1:25">
      <c r="A213" t="s">
        <v>873</v>
      </c>
      <c r="B213" t="s">
        <v>874</v>
      </c>
      <c r="C213" s="6">
        <f>VLOOKUP($A213,'SpEd BEA Rate 2324'!$A$4:$AS$325,45,FALSE)</f>
        <v>9822.8599999999988</v>
      </c>
      <c r="D213" s="6">
        <f>VLOOKUP($A213,'2324 Jun 24 Enroll'!$A$4:$AL$325,22,FALSE)</f>
        <v>56.89</v>
      </c>
      <c r="E213" s="6">
        <f>VLOOKUP($A213,'2324 Jun 24 Enroll'!$A$4:$AL$325,23,FALSE)</f>
        <v>0</v>
      </c>
      <c r="F213" s="6">
        <f>VLOOKUP($A213,'2324 Jun 24 Enroll'!$A$4:$AL$325,24,FALSE)</f>
        <v>0</v>
      </c>
      <c r="G213" s="6">
        <f>VLOOKUP($A213,'2324 Jun 24 Enroll'!$A$4:$AL$325,25,FALSE)</f>
        <v>372.22</v>
      </c>
      <c r="H213" s="6">
        <f>VLOOKUP($A213,'2324 Jun 24 Enroll'!$A$4:$AL$325,26,FALSE)</f>
        <v>202.33</v>
      </c>
      <c r="I213" s="6">
        <f>VLOOKUP($A213,'2324 Jun 24 Enroll'!$A$4:$AL$325,27,FALSE)</f>
        <v>4321.68</v>
      </c>
      <c r="J213" s="54">
        <f t="shared" si="45"/>
        <v>0.13289999999999999</v>
      </c>
      <c r="K213" s="54">
        <f t="shared" si="46"/>
        <v>0</v>
      </c>
      <c r="L213" s="45">
        <f t="shared" si="39"/>
        <v>670587.01</v>
      </c>
      <c r="M213" s="68">
        <v>128.07</v>
      </c>
      <c r="N213" s="68">
        <v>21.2</v>
      </c>
      <c r="O213" s="45">
        <f t="shared" si="40"/>
        <v>0</v>
      </c>
      <c r="P213" s="45">
        <f t="shared" si="41"/>
        <v>0</v>
      </c>
      <c r="Q213" s="45">
        <f t="shared" si="42"/>
        <v>4087125.68</v>
      </c>
      <c r="R213" s="45">
        <f t="shared" si="43"/>
        <v>2102417.42</v>
      </c>
      <c r="S213" s="45">
        <f t="shared" si="44"/>
        <v>0</v>
      </c>
      <c r="T213" s="6">
        <f>VLOOKUP($A213,'2324 Jun 24 Enroll'!$A$4:$AL$325,31,FALSE)</f>
        <v>574.54999999999995</v>
      </c>
      <c r="U213" s="45">
        <f t="shared" si="36"/>
        <v>5643724.21</v>
      </c>
      <c r="V213" s="35">
        <v>0.1502</v>
      </c>
      <c r="W213" s="45">
        <f t="shared" si="37"/>
        <v>4906732.92</v>
      </c>
      <c r="X213" s="35">
        <v>0.25130000000000002</v>
      </c>
      <c r="Y213" s="45">
        <f t="shared" si="38"/>
        <v>1233061.98</v>
      </c>
    </row>
    <row r="214" spans="1:25">
      <c r="A214" t="s">
        <v>468</v>
      </c>
      <c r="B214" t="s">
        <v>469</v>
      </c>
      <c r="C214" s="6">
        <f>VLOOKUP($A214,'SpEd BEA Rate 2324'!$A$4:$AS$325,45,FALSE)</f>
        <v>10223.239999999998</v>
      </c>
      <c r="D214" s="6">
        <f>VLOOKUP($A214,'2324 Jun 24 Enroll'!$A$4:$AL$325,22,FALSE)</f>
        <v>48.22</v>
      </c>
      <c r="E214" s="6">
        <f>VLOOKUP($A214,'2324 Jun 24 Enroll'!$A$4:$AL$325,23,FALSE)</f>
        <v>0</v>
      </c>
      <c r="F214" s="6">
        <f>VLOOKUP($A214,'2324 Jun 24 Enroll'!$A$4:$AL$325,24,FALSE)</f>
        <v>0</v>
      </c>
      <c r="G214" s="6">
        <f>VLOOKUP($A214,'2324 Jun 24 Enroll'!$A$4:$AL$325,25,FALSE)</f>
        <v>192</v>
      </c>
      <c r="H214" s="6">
        <f>VLOOKUP($A214,'2324 Jun 24 Enroll'!$A$4:$AL$325,26,FALSE)</f>
        <v>232.22</v>
      </c>
      <c r="I214" s="6">
        <f>VLOOKUP($A214,'2324 Jun 24 Enroll'!$A$4:$AL$325,27,FALSE)</f>
        <v>3893.2</v>
      </c>
      <c r="J214" s="54">
        <f t="shared" si="45"/>
        <v>0.109</v>
      </c>
      <c r="K214" s="54">
        <f t="shared" si="46"/>
        <v>0</v>
      </c>
      <c r="L214" s="45">
        <f t="shared" si="39"/>
        <v>591557.56000000006</v>
      </c>
      <c r="M214" s="68">
        <v>131.26</v>
      </c>
      <c r="N214" s="68">
        <v>21.73</v>
      </c>
      <c r="O214" s="45">
        <f t="shared" si="40"/>
        <v>0</v>
      </c>
      <c r="P214" s="45">
        <f t="shared" si="41"/>
        <v>0</v>
      </c>
      <c r="Q214" s="45">
        <f t="shared" si="42"/>
        <v>2194233.37</v>
      </c>
      <c r="R214" s="45">
        <f t="shared" si="43"/>
        <v>2511437.1</v>
      </c>
      <c r="S214" s="45">
        <f t="shared" si="44"/>
        <v>0</v>
      </c>
      <c r="T214" s="6">
        <f>VLOOKUP($A214,'2324 Jun 24 Enroll'!$A$4:$AL$325,31,FALSE)</f>
        <v>421.22</v>
      </c>
      <c r="U214" s="45">
        <f t="shared" si="36"/>
        <v>4306233.1500000004</v>
      </c>
      <c r="V214" s="35">
        <v>0.1497</v>
      </c>
      <c r="W214" s="45">
        <f t="shared" si="37"/>
        <v>3745527.66</v>
      </c>
      <c r="X214" s="35">
        <v>0.3014</v>
      </c>
      <c r="Y214" s="45">
        <f t="shared" si="38"/>
        <v>1128902.04</v>
      </c>
    </row>
    <row r="215" spans="1:25">
      <c r="A215" t="s">
        <v>995</v>
      </c>
      <c r="B215" t="s">
        <v>996</v>
      </c>
      <c r="C215" s="6">
        <f>VLOOKUP($A215,'SpEd BEA Rate 2324'!$A$4:$AS$325,45,FALSE)</f>
        <v>10223.119999999999</v>
      </c>
      <c r="D215" s="6">
        <f>VLOOKUP($A215,'2324 Jun 24 Enroll'!$A$4:$AL$325,22,FALSE)</f>
        <v>0</v>
      </c>
      <c r="E215" s="6">
        <f>VLOOKUP($A215,'2324 Jun 24 Enroll'!$A$4:$AL$325,23,FALSE)</f>
        <v>1.67</v>
      </c>
      <c r="F215" s="6">
        <f>VLOOKUP($A215,'2324 Jun 24 Enroll'!$A$4:$AL$325,24,FALSE)</f>
        <v>0</v>
      </c>
      <c r="G215" s="6">
        <f>VLOOKUP($A215,'2324 Jun 24 Enroll'!$A$4:$AL$325,25,FALSE)</f>
        <v>137.88999999999999</v>
      </c>
      <c r="H215" s="6">
        <f>VLOOKUP($A215,'2324 Jun 24 Enroll'!$A$4:$AL$325,26,FALSE)</f>
        <v>0</v>
      </c>
      <c r="I215" s="6">
        <f>VLOOKUP($A215,'2324 Jun 24 Enroll'!$A$4:$AL$325,27,FALSE)</f>
        <v>644.65</v>
      </c>
      <c r="J215" s="54">
        <f t="shared" si="45"/>
        <v>0.2165</v>
      </c>
      <c r="K215" s="54">
        <f t="shared" si="46"/>
        <v>6.6500000000000004E-2</v>
      </c>
      <c r="L215" s="45">
        <f t="shared" si="39"/>
        <v>0</v>
      </c>
      <c r="M215" s="68">
        <v>132.25</v>
      </c>
      <c r="N215" s="68">
        <v>21.89</v>
      </c>
      <c r="O215" s="45">
        <f t="shared" si="40"/>
        <v>19084.77</v>
      </c>
      <c r="P215" s="45">
        <f t="shared" si="41"/>
        <v>0</v>
      </c>
      <c r="Q215" s="45">
        <f t="shared" si="42"/>
        <v>1575807.53</v>
      </c>
      <c r="R215" s="45">
        <f t="shared" si="43"/>
        <v>0</v>
      </c>
      <c r="S215" s="45">
        <f t="shared" si="44"/>
        <v>-489886.09</v>
      </c>
      <c r="T215" s="6">
        <f>VLOOKUP($A215,'2324 Jun 24 Enroll'!$A$4:$AL$325,31,FALSE)</f>
        <v>139.56</v>
      </c>
      <c r="U215" s="45">
        <f t="shared" si="36"/>
        <v>1426738.63</v>
      </c>
      <c r="V215" s="35">
        <v>0.14399999999999999</v>
      </c>
      <c r="W215" s="45">
        <f t="shared" si="37"/>
        <v>1247149.1499999999</v>
      </c>
      <c r="X215" s="35">
        <v>0.1275</v>
      </c>
      <c r="Y215" s="45">
        <f t="shared" si="38"/>
        <v>159011.51999999999</v>
      </c>
    </row>
    <row r="216" spans="1:25">
      <c r="A216" t="s">
        <v>1033</v>
      </c>
      <c r="B216" t="s">
        <v>1034</v>
      </c>
      <c r="C216" s="6">
        <f>VLOOKUP($A216,'SpEd BEA Rate 2324'!$A$4:$AS$325,45,FALSE)</f>
        <v>10161.779999999999</v>
      </c>
      <c r="D216" s="6">
        <f>VLOOKUP($A216,'2324 Jun 24 Enroll'!$A$4:$AL$325,22,FALSE)</f>
        <v>0</v>
      </c>
      <c r="E216" s="6">
        <f>VLOOKUP($A216,'2324 Jun 24 Enroll'!$A$4:$AL$325,23,FALSE)</f>
        <v>0</v>
      </c>
      <c r="F216" s="6">
        <f>VLOOKUP($A216,'2324 Jun 24 Enroll'!$A$4:$AL$325,24,FALSE)</f>
        <v>0</v>
      </c>
      <c r="G216" s="6">
        <f>VLOOKUP($A216,'2324 Jun 24 Enroll'!$A$4:$AL$325,25,FALSE)</f>
        <v>30.56</v>
      </c>
      <c r="H216" s="6">
        <f>VLOOKUP($A216,'2324 Jun 24 Enroll'!$A$4:$AL$325,26,FALSE)</f>
        <v>6.44</v>
      </c>
      <c r="I216" s="6">
        <f>VLOOKUP($A216,'2324 Jun 24 Enroll'!$A$4:$AL$325,27,FALSE)</f>
        <v>250.6</v>
      </c>
      <c r="J216" s="54">
        <f t="shared" si="45"/>
        <v>0.14760000000000001</v>
      </c>
      <c r="K216" s="54">
        <f t="shared" si="46"/>
        <v>0</v>
      </c>
      <c r="L216" s="45">
        <f t="shared" si="39"/>
        <v>0</v>
      </c>
      <c r="M216" s="68">
        <v>130.47</v>
      </c>
      <c r="N216" s="68">
        <v>21.6</v>
      </c>
      <c r="O216" s="45">
        <f t="shared" si="40"/>
        <v>0</v>
      </c>
      <c r="P216" s="45">
        <f t="shared" si="41"/>
        <v>0</v>
      </c>
      <c r="Q216" s="45">
        <f t="shared" si="42"/>
        <v>347149.18</v>
      </c>
      <c r="R216" s="45">
        <f t="shared" si="43"/>
        <v>69229.27</v>
      </c>
      <c r="S216" s="45">
        <f t="shared" si="44"/>
        <v>0</v>
      </c>
      <c r="T216" s="6">
        <f>VLOOKUP($A216,'2324 Jun 24 Enroll'!$A$4:$AL$325,31,FALSE)</f>
        <v>37</v>
      </c>
      <c r="U216" s="45">
        <f t="shared" si="36"/>
        <v>375985.86</v>
      </c>
      <c r="V216" s="35">
        <v>0.14399999999999999</v>
      </c>
      <c r="W216" s="45">
        <f t="shared" si="37"/>
        <v>328658.96999999997</v>
      </c>
      <c r="X216" s="35">
        <v>0.08</v>
      </c>
      <c r="Y216" s="45">
        <f t="shared" si="38"/>
        <v>26292.720000000001</v>
      </c>
    </row>
    <row r="217" spans="1:25">
      <c r="A217" t="s">
        <v>910</v>
      </c>
      <c r="B217" t="s">
        <v>905</v>
      </c>
      <c r="C217" s="6">
        <f>VLOOKUP($A217,'SpEd BEA Rate 2324'!$A$4:$AS$325,45,FALSE)</f>
        <v>10362.009999999998</v>
      </c>
      <c r="D217" s="6">
        <f>VLOOKUP($A217,'2324 Jun 24 Enroll'!$A$4:$AL$325,22,FALSE)</f>
        <v>0</v>
      </c>
      <c r="E217" s="6">
        <f>VLOOKUP($A217,'2324 Jun 24 Enroll'!$A$4:$AL$325,23,FALSE)</f>
        <v>0</v>
      </c>
      <c r="F217" s="6">
        <f>VLOOKUP($A217,'2324 Jun 24 Enroll'!$A$4:$AL$325,24,FALSE)</f>
        <v>0</v>
      </c>
      <c r="G217" s="6">
        <f>VLOOKUP($A217,'2324 Jun 24 Enroll'!$A$4:$AL$325,25,FALSE)</f>
        <v>22.44</v>
      </c>
      <c r="H217" s="6">
        <f>VLOOKUP($A217,'2324 Jun 24 Enroll'!$A$4:$AL$325,26,FALSE)</f>
        <v>0.89</v>
      </c>
      <c r="I217" s="6">
        <f>VLOOKUP($A217,'2324 Jun 24 Enroll'!$A$4:$AL$325,27,FALSE)</f>
        <v>153.19999999999999</v>
      </c>
      <c r="J217" s="54">
        <f t="shared" si="45"/>
        <v>0.15229999999999999</v>
      </c>
      <c r="K217" s="54">
        <f t="shared" si="46"/>
        <v>2.2999999999999965E-3</v>
      </c>
      <c r="L217" s="45">
        <f t="shared" si="39"/>
        <v>0</v>
      </c>
      <c r="M217" s="68">
        <v>130.47</v>
      </c>
      <c r="N217" s="68">
        <v>21.6</v>
      </c>
      <c r="O217" s="45">
        <f t="shared" si="40"/>
        <v>0</v>
      </c>
      <c r="P217" s="45">
        <f t="shared" si="41"/>
        <v>0</v>
      </c>
      <c r="Q217" s="45">
        <f t="shared" si="42"/>
        <v>259941.62</v>
      </c>
      <c r="R217" s="45">
        <f t="shared" si="43"/>
        <v>9756.2999999999993</v>
      </c>
      <c r="S217" s="45">
        <f t="shared" si="44"/>
        <v>-4072.92</v>
      </c>
      <c r="T217" s="6">
        <f>VLOOKUP($A217,'2324 Jun 24 Enroll'!$A$4:$AL$325,31,FALSE)</f>
        <v>23.33</v>
      </c>
      <c r="U217" s="45">
        <f t="shared" si="36"/>
        <v>241745.69</v>
      </c>
      <c r="V217" s="35">
        <v>0.36749999999999999</v>
      </c>
      <c r="W217" s="45">
        <f t="shared" si="37"/>
        <v>176779.3</v>
      </c>
      <c r="X217" s="35">
        <v>0.15190000000000001</v>
      </c>
      <c r="Y217" s="45">
        <f t="shared" si="38"/>
        <v>26852.78</v>
      </c>
    </row>
    <row r="218" spans="1:25">
      <c r="A218" t="s">
        <v>757</v>
      </c>
      <c r="B218" t="s">
        <v>758</v>
      </c>
      <c r="C218" s="6">
        <f>VLOOKUP($A218,'SpEd BEA Rate 2324'!$A$4:$AS$325,45,FALSE)</f>
        <v>10564.4</v>
      </c>
      <c r="D218" s="6">
        <f>VLOOKUP($A218,'2324 Jun 24 Enroll'!$A$4:$AL$325,22,FALSE)</f>
        <v>0</v>
      </c>
      <c r="E218" s="6">
        <f>VLOOKUP($A218,'2324 Jun 24 Enroll'!$A$4:$AL$325,23,FALSE)</f>
        <v>0</v>
      </c>
      <c r="F218" s="6">
        <f>VLOOKUP($A218,'2324 Jun 24 Enroll'!$A$4:$AL$325,24,FALSE)</f>
        <v>0</v>
      </c>
      <c r="G218" s="6">
        <f>VLOOKUP($A218,'2324 Jun 24 Enroll'!$A$4:$AL$325,25,FALSE)</f>
        <v>1</v>
      </c>
      <c r="H218" s="6">
        <f>VLOOKUP($A218,'2324 Jun 24 Enroll'!$A$4:$AL$325,26,FALSE)</f>
        <v>0</v>
      </c>
      <c r="I218" s="6">
        <f>VLOOKUP($A218,'2324 Jun 24 Enroll'!$A$4:$AL$325,27,FALSE)</f>
        <v>9.9700000000000006</v>
      </c>
      <c r="J218" s="54">
        <f t="shared" si="45"/>
        <v>0.1003</v>
      </c>
      <c r="K218" s="54">
        <f t="shared" si="46"/>
        <v>0</v>
      </c>
      <c r="L218" s="45">
        <f t="shared" si="39"/>
        <v>0</v>
      </c>
      <c r="M218" s="68">
        <v>118.09</v>
      </c>
      <c r="N218" s="68">
        <v>19.55</v>
      </c>
      <c r="O218" s="45">
        <f t="shared" si="40"/>
        <v>0</v>
      </c>
      <c r="P218" s="45">
        <f t="shared" si="41"/>
        <v>0</v>
      </c>
      <c r="Q218" s="45">
        <f t="shared" si="42"/>
        <v>11812.58</v>
      </c>
      <c r="R218" s="45">
        <f t="shared" si="43"/>
        <v>0</v>
      </c>
      <c r="S218" s="45">
        <f t="shared" si="44"/>
        <v>0</v>
      </c>
      <c r="T218" s="6">
        <f>VLOOKUP($A218,'2324 Jun 24 Enroll'!$A$4:$AL$325,31,FALSE)</f>
        <v>1</v>
      </c>
      <c r="U218" s="45">
        <f t="shared" si="36"/>
        <v>10564.4</v>
      </c>
      <c r="V218" s="35">
        <v>0.5403</v>
      </c>
      <c r="W218" s="45">
        <f t="shared" si="37"/>
        <v>6858.66</v>
      </c>
      <c r="X218" s="35">
        <v>0</v>
      </c>
      <c r="Y218" s="45">
        <f t="shared" si="38"/>
        <v>0</v>
      </c>
    </row>
    <row r="219" spans="1:25">
      <c r="A219" t="s">
        <v>663</v>
      </c>
      <c r="B219" t="s">
        <v>664</v>
      </c>
      <c r="C219" s="6">
        <f>VLOOKUP($A219,'SpEd BEA Rate 2324'!$A$4:$AS$325,45,FALSE)</f>
        <v>10291.209999999999</v>
      </c>
      <c r="D219" s="6">
        <f>VLOOKUP($A219,'2324 Jun 24 Enroll'!$A$4:$AL$325,22,FALSE)</f>
        <v>8.33</v>
      </c>
      <c r="E219" s="6">
        <f>VLOOKUP($A219,'2324 Jun 24 Enroll'!$A$4:$AL$325,23,FALSE)</f>
        <v>0</v>
      </c>
      <c r="F219" s="6">
        <f>VLOOKUP($A219,'2324 Jun 24 Enroll'!$A$4:$AL$325,24,FALSE)</f>
        <v>0</v>
      </c>
      <c r="G219" s="6">
        <f>VLOOKUP($A219,'2324 Jun 24 Enroll'!$A$4:$AL$325,25,FALSE)</f>
        <v>109</v>
      </c>
      <c r="H219" s="6">
        <f>VLOOKUP($A219,'2324 Jun 24 Enroll'!$A$4:$AL$325,26,FALSE)</f>
        <v>5.44</v>
      </c>
      <c r="I219" s="6">
        <f>VLOOKUP($A219,'2324 Jun 24 Enroll'!$A$4:$AL$325,27,FALSE)</f>
        <v>755.74</v>
      </c>
      <c r="J219" s="54">
        <f t="shared" si="45"/>
        <v>0.15140000000000001</v>
      </c>
      <c r="K219" s="54">
        <f t="shared" si="46"/>
        <v>1.4000000000000123E-3</v>
      </c>
      <c r="L219" s="45">
        <f t="shared" si="39"/>
        <v>102870.94</v>
      </c>
      <c r="M219" s="68">
        <v>130.61000000000001</v>
      </c>
      <c r="N219" s="68">
        <v>21.62</v>
      </c>
      <c r="O219" s="45">
        <f t="shared" si="40"/>
        <v>0</v>
      </c>
      <c r="P219" s="45">
        <f t="shared" si="41"/>
        <v>0</v>
      </c>
      <c r="Q219" s="45">
        <f t="shared" si="42"/>
        <v>1253994.3400000001</v>
      </c>
      <c r="R219" s="45">
        <f t="shared" si="43"/>
        <v>59225.62</v>
      </c>
      <c r="S219" s="45">
        <f t="shared" si="44"/>
        <v>-12143.38</v>
      </c>
      <c r="T219" s="6">
        <f>VLOOKUP($A219,'2324 Jun 24 Enroll'!$A$4:$AL$325,31,FALSE)</f>
        <v>114.44</v>
      </c>
      <c r="U219" s="45">
        <f t="shared" si="36"/>
        <v>1177726.07</v>
      </c>
      <c r="V219" s="35">
        <v>0.26690000000000003</v>
      </c>
      <c r="W219" s="45">
        <f t="shared" si="37"/>
        <v>929612.5</v>
      </c>
      <c r="X219" s="35">
        <v>0.1384</v>
      </c>
      <c r="Y219" s="45">
        <f t="shared" si="38"/>
        <v>128658.37</v>
      </c>
    </row>
    <row r="220" spans="1:25">
      <c r="A220" t="s">
        <v>562</v>
      </c>
      <c r="B220" t="s">
        <v>563</v>
      </c>
      <c r="C220" s="6">
        <f>VLOOKUP($A220,'SpEd BEA Rate 2324'!$A$4:$AS$325,45,FALSE)</f>
        <v>10238.759999999998</v>
      </c>
      <c r="D220" s="6">
        <f>VLOOKUP($A220,'2324 Jun 24 Enroll'!$A$4:$AL$325,22,FALSE)</f>
        <v>2.2200000000000002</v>
      </c>
      <c r="E220" s="6">
        <f>VLOOKUP($A220,'2324 Jun 24 Enroll'!$A$4:$AL$325,23,FALSE)</f>
        <v>0</v>
      </c>
      <c r="F220" s="6">
        <f>VLOOKUP($A220,'2324 Jun 24 Enroll'!$A$4:$AL$325,24,FALSE)</f>
        <v>0</v>
      </c>
      <c r="G220" s="6">
        <f>VLOOKUP($A220,'2324 Jun 24 Enroll'!$A$4:$AL$325,25,FALSE)</f>
        <v>36.56</v>
      </c>
      <c r="H220" s="6">
        <f>VLOOKUP($A220,'2324 Jun 24 Enroll'!$A$4:$AL$325,26,FALSE)</f>
        <v>8</v>
      </c>
      <c r="I220" s="6">
        <f>VLOOKUP($A220,'2324 Jun 24 Enroll'!$A$4:$AL$325,27,FALSE)</f>
        <v>219.49</v>
      </c>
      <c r="J220" s="54">
        <f t="shared" si="45"/>
        <v>0.20300000000000001</v>
      </c>
      <c r="K220" s="54">
        <f t="shared" si="46"/>
        <v>5.3000000000000019E-2</v>
      </c>
      <c r="L220" s="45">
        <f t="shared" si="39"/>
        <v>27276.06</v>
      </c>
      <c r="M220" s="68">
        <v>120.57</v>
      </c>
      <c r="N220" s="68">
        <v>19.96</v>
      </c>
      <c r="O220" s="45">
        <f t="shared" si="40"/>
        <v>0</v>
      </c>
      <c r="P220" s="45">
        <f t="shared" si="41"/>
        <v>0</v>
      </c>
      <c r="Q220" s="45">
        <f t="shared" si="42"/>
        <v>418518.82</v>
      </c>
      <c r="R220" s="45">
        <f t="shared" si="43"/>
        <v>86665</v>
      </c>
      <c r="S220" s="45">
        <f t="shared" si="44"/>
        <v>-131895.28</v>
      </c>
      <c r="T220" s="6">
        <f>VLOOKUP($A220,'2324 Jun 24 Enroll'!$A$4:$AL$325,31,FALSE)</f>
        <v>44.56</v>
      </c>
      <c r="U220" s="45">
        <f t="shared" si="36"/>
        <v>456239.15</v>
      </c>
      <c r="V220" s="35">
        <v>0.2641</v>
      </c>
      <c r="W220" s="45">
        <f t="shared" si="37"/>
        <v>360920.14</v>
      </c>
      <c r="X220" s="35">
        <v>0.1575</v>
      </c>
      <c r="Y220" s="45">
        <f t="shared" si="38"/>
        <v>56844.92</v>
      </c>
    </row>
    <row r="221" spans="1:25">
      <c r="A221" t="s">
        <v>743</v>
      </c>
      <c r="B221" t="s">
        <v>744</v>
      </c>
      <c r="C221" s="6">
        <f>VLOOKUP($A221,'SpEd BEA Rate 2324'!$A$4:$AS$325,45,FALSE)</f>
        <v>10237.139999999998</v>
      </c>
      <c r="D221" s="6">
        <f>VLOOKUP($A221,'2324 Jun 24 Enroll'!$A$4:$AL$325,22,FALSE)</f>
        <v>8.89</v>
      </c>
      <c r="E221" s="6">
        <f>VLOOKUP($A221,'2324 Jun 24 Enroll'!$A$4:$AL$325,23,FALSE)</f>
        <v>0</v>
      </c>
      <c r="F221" s="6">
        <f>VLOOKUP($A221,'2324 Jun 24 Enroll'!$A$4:$AL$325,24,FALSE)</f>
        <v>0</v>
      </c>
      <c r="G221" s="6">
        <f>VLOOKUP($A221,'2324 Jun 24 Enroll'!$A$4:$AL$325,25,FALSE)</f>
        <v>112.44</v>
      </c>
      <c r="H221" s="6">
        <f>VLOOKUP($A221,'2324 Jun 24 Enroll'!$A$4:$AL$325,26,FALSE)</f>
        <v>24.11</v>
      </c>
      <c r="I221" s="6">
        <f>VLOOKUP($A221,'2324 Jun 24 Enroll'!$A$4:$AL$325,27,FALSE)</f>
        <v>783.3</v>
      </c>
      <c r="J221" s="54">
        <f t="shared" si="45"/>
        <v>0.17430000000000001</v>
      </c>
      <c r="K221" s="54">
        <f t="shared" si="46"/>
        <v>2.4300000000000016E-2</v>
      </c>
      <c r="L221" s="45">
        <f t="shared" si="39"/>
        <v>109209.81</v>
      </c>
      <c r="M221" s="68">
        <v>130.15</v>
      </c>
      <c r="N221" s="68">
        <v>21.54</v>
      </c>
      <c r="O221" s="45">
        <f t="shared" si="40"/>
        <v>0</v>
      </c>
      <c r="P221" s="45">
        <f t="shared" si="41"/>
        <v>0</v>
      </c>
      <c r="Q221" s="45">
        <f t="shared" si="42"/>
        <v>1286769.75</v>
      </c>
      <c r="R221" s="45">
        <f t="shared" si="43"/>
        <v>261107.16</v>
      </c>
      <c r="S221" s="45">
        <f t="shared" si="44"/>
        <v>-215796.95</v>
      </c>
      <c r="T221" s="6">
        <f>VLOOKUP($A221,'2324 Jun 24 Enroll'!$A$4:$AL$325,31,FALSE)</f>
        <v>136.55000000000001</v>
      </c>
      <c r="U221" s="45">
        <f t="shared" si="36"/>
        <v>1397881.47</v>
      </c>
      <c r="V221" s="35">
        <v>0.20860000000000001</v>
      </c>
      <c r="W221" s="45">
        <f t="shared" si="37"/>
        <v>1156612.17</v>
      </c>
      <c r="X221" s="35">
        <v>0.14849999999999999</v>
      </c>
      <c r="Y221" s="45">
        <f t="shared" si="38"/>
        <v>171756.91</v>
      </c>
    </row>
    <row r="222" spans="1:25">
      <c r="A222" t="s">
        <v>402</v>
      </c>
      <c r="B222" t="s">
        <v>403</v>
      </c>
      <c r="C222" s="6">
        <f>VLOOKUP($A222,'SpEd BEA Rate 2324'!$A$4:$AS$325,45,FALSE)</f>
        <v>10012.56</v>
      </c>
      <c r="D222" s="6">
        <f>VLOOKUP($A222,'2324 Jun 24 Enroll'!$A$4:$AL$325,22,FALSE)</f>
        <v>1.89</v>
      </c>
      <c r="E222" s="6">
        <f>VLOOKUP($A222,'2324 Jun 24 Enroll'!$A$4:$AL$325,23,FALSE)</f>
        <v>2.67</v>
      </c>
      <c r="F222" s="6">
        <f>VLOOKUP($A222,'2324 Jun 24 Enroll'!$A$4:$AL$325,24,FALSE)</f>
        <v>1</v>
      </c>
      <c r="G222" s="6">
        <f>VLOOKUP($A222,'2324 Jun 24 Enroll'!$A$4:$AL$325,25,FALSE)</f>
        <v>89.67</v>
      </c>
      <c r="H222" s="6">
        <f>VLOOKUP($A222,'2324 Jun 24 Enroll'!$A$4:$AL$325,26,FALSE)</f>
        <v>20.56</v>
      </c>
      <c r="I222" s="6">
        <f>VLOOKUP($A222,'2324 Jun 24 Enroll'!$A$4:$AL$325,27,FALSE)</f>
        <v>531.09</v>
      </c>
      <c r="J222" s="54">
        <f t="shared" si="45"/>
        <v>0.2145</v>
      </c>
      <c r="K222" s="54">
        <f t="shared" si="46"/>
        <v>6.4500000000000002E-2</v>
      </c>
      <c r="L222" s="45">
        <f t="shared" si="39"/>
        <v>22708.49</v>
      </c>
      <c r="M222" s="68">
        <v>120.39</v>
      </c>
      <c r="N222" s="68">
        <v>19.93</v>
      </c>
      <c r="O222" s="45">
        <f t="shared" si="40"/>
        <v>29888.35</v>
      </c>
      <c r="P222" s="45">
        <f t="shared" si="41"/>
        <v>10593.38</v>
      </c>
      <c r="Q222" s="45">
        <f t="shared" si="42"/>
        <v>1003778.28</v>
      </c>
      <c r="R222" s="45">
        <f t="shared" si="43"/>
        <v>217799.97</v>
      </c>
      <c r="S222" s="45">
        <f t="shared" si="44"/>
        <v>-379500.55</v>
      </c>
      <c r="T222" s="6">
        <f>VLOOKUP($A222,'2324 Jun 24 Enroll'!$A$4:$AL$325,31,FALSE)</f>
        <v>113.9</v>
      </c>
      <c r="U222" s="45">
        <f t="shared" si="36"/>
        <v>1140430.58</v>
      </c>
      <c r="V222" s="35">
        <v>0.23150000000000001</v>
      </c>
      <c r="W222" s="45">
        <f t="shared" si="37"/>
        <v>926050</v>
      </c>
      <c r="X222" s="35">
        <v>0.22689999999999999</v>
      </c>
      <c r="Y222" s="45">
        <f t="shared" si="38"/>
        <v>210120.75</v>
      </c>
    </row>
    <row r="223" spans="1:25">
      <c r="A223" t="s">
        <v>355</v>
      </c>
      <c r="B223" t="s">
        <v>356</v>
      </c>
      <c r="C223" s="6">
        <f>VLOOKUP($A223,'SpEd BEA Rate 2324'!$A$4:$AS$325,45,FALSE)</f>
        <v>10329.369999999999</v>
      </c>
      <c r="D223" s="6">
        <f>VLOOKUP($A223,'2324 Jun 24 Enroll'!$A$4:$AL$325,22,FALSE)</f>
        <v>46.89</v>
      </c>
      <c r="E223" s="6">
        <f>VLOOKUP($A223,'2324 Jun 24 Enroll'!$A$4:$AL$325,23,FALSE)</f>
        <v>0</v>
      </c>
      <c r="F223" s="6">
        <f>VLOOKUP($A223,'2324 Jun 24 Enroll'!$A$4:$AL$325,24,FALSE)</f>
        <v>0</v>
      </c>
      <c r="G223" s="6">
        <f>VLOOKUP($A223,'2324 Jun 24 Enroll'!$A$4:$AL$325,25,FALSE)</f>
        <v>397.22</v>
      </c>
      <c r="H223" s="6">
        <f>VLOOKUP($A223,'2324 Jun 24 Enroll'!$A$4:$AL$325,26,FALSE)</f>
        <v>133</v>
      </c>
      <c r="I223" s="6">
        <f>VLOOKUP($A223,'2324 Jun 24 Enroll'!$A$4:$AL$325,27,FALSE)</f>
        <v>3307.13</v>
      </c>
      <c r="J223" s="54">
        <f t="shared" si="45"/>
        <v>0.1603</v>
      </c>
      <c r="K223" s="54">
        <f t="shared" si="46"/>
        <v>1.0300000000000004E-2</v>
      </c>
      <c r="L223" s="45">
        <f t="shared" si="39"/>
        <v>581212.99</v>
      </c>
      <c r="M223" s="68">
        <v>126.91</v>
      </c>
      <c r="N223" s="68">
        <v>21.01</v>
      </c>
      <c r="O223" s="45">
        <f t="shared" si="40"/>
        <v>0</v>
      </c>
      <c r="P223" s="45">
        <f t="shared" si="41"/>
        <v>0</v>
      </c>
      <c r="Q223" s="45">
        <f t="shared" si="42"/>
        <v>4587050.6399999997</v>
      </c>
      <c r="R223" s="45">
        <f t="shared" si="43"/>
        <v>1453440.25</v>
      </c>
      <c r="S223" s="45">
        <f t="shared" si="44"/>
        <v>-388128.86</v>
      </c>
      <c r="T223" s="6">
        <f>VLOOKUP($A223,'2324 Jun 24 Enroll'!$A$4:$AL$325,31,FALSE)</f>
        <v>530.22</v>
      </c>
      <c r="U223" s="45">
        <f t="shared" si="36"/>
        <v>5476838.5599999996</v>
      </c>
      <c r="V223" s="35">
        <v>0.1401</v>
      </c>
      <c r="W223" s="45">
        <f t="shared" si="37"/>
        <v>4803822.96</v>
      </c>
      <c r="X223" s="35">
        <v>0.2127</v>
      </c>
      <c r="Y223" s="45">
        <f t="shared" si="38"/>
        <v>1021773.14</v>
      </c>
    </row>
    <row r="224" spans="1:25">
      <c r="A224" t="s">
        <v>749</v>
      </c>
      <c r="B224" t="s">
        <v>750</v>
      </c>
      <c r="C224" s="6">
        <f>VLOOKUP($A224,'SpEd BEA Rate 2324'!$A$4:$AS$325,45,FALSE)</f>
        <v>10222.729999999998</v>
      </c>
      <c r="D224" s="6">
        <f>VLOOKUP($A224,'2324 Jun 24 Enroll'!$A$4:$AL$325,22,FALSE)</f>
        <v>81</v>
      </c>
      <c r="E224" s="6">
        <f>VLOOKUP($A224,'2324 Jun 24 Enroll'!$A$4:$AL$325,23,FALSE)</f>
        <v>8</v>
      </c>
      <c r="F224" s="6">
        <f>VLOOKUP($A224,'2324 Jun 24 Enroll'!$A$4:$AL$325,24,FALSE)</f>
        <v>0.56000000000000005</v>
      </c>
      <c r="G224" s="6">
        <f>VLOOKUP($A224,'2324 Jun 24 Enroll'!$A$4:$AL$325,25,FALSE)</f>
        <v>540.44000000000005</v>
      </c>
      <c r="H224" s="6">
        <f>VLOOKUP($A224,'2324 Jun 24 Enroll'!$A$4:$AL$325,26,FALSE)</f>
        <v>200.89</v>
      </c>
      <c r="I224" s="6">
        <f>VLOOKUP($A224,'2324 Jun 24 Enroll'!$A$4:$AL$325,27,FALSE)</f>
        <v>4377.5</v>
      </c>
      <c r="J224" s="54">
        <f t="shared" si="45"/>
        <v>0.17130000000000001</v>
      </c>
      <c r="K224" s="54">
        <f t="shared" si="46"/>
        <v>2.1300000000000013E-2</v>
      </c>
      <c r="L224" s="45">
        <f t="shared" si="39"/>
        <v>993649.36</v>
      </c>
      <c r="M224" s="68">
        <v>129.24</v>
      </c>
      <c r="N224" s="68">
        <v>21.39</v>
      </c>
      <c r="O224" s="45">
        <f t="shared" si="40"/>
        <v>91424.54</v>
      </c>
      <c r="P224" s="45">
        <f t="shared" si="41"/>
        <v>6056.23</v>
      </c>
      <c r="Q224" s="45">
        <f t="shared" si="42"/>
        <v>6176184.8499999996</v>
      </c>
      <c r="R224" s="45">
        <f t="shared" si="43"/>
        <v>2172565.85</v>
      </c>
      <c r="S224" s="45">
        <f t="shared" si="44"/>
        <v>-1050231.93</v>
      </c>
      <c r="T224" s="6">
        <f>VLOOKUP($A224,'2324 Jun 24 Enroll'!$A$4:$AL$325,31,FALSE)</f>
        <v>749.89</v>
      </c>
      <c r="U224" s="45">
        <f t="shared" si="36"/>
        <v>7665923</v>
      </c>
      <c r="V224" s="35">
        <v>0.1376</v>
      </c>
      <c r="W224" s="45">
        <f t="shared" si="37"/>
        <v>6738680.5599999996</v>
      </c>
      <c r="X224" s="35">
        <v>0.2429</v>
      </c>
      <c r="Y224" s="45">
        <f t="shared" si="38"/>
        <v>1636825.51</v>
      </c>
    </row>
    <row r="225" spans="1:25">
      <c r="A225" t="s">
        <v>321</v>
      </c>
      <c r="B225" t="s">
        <v>322</v>
      </c>
      <c r="C225" s="6">
        <f>VLOOKUP($A225,'SpEd BEA Rate 2324'!$A$4:$AS$325,45,FALSE)</f>
        <v>10422.879999999997</v>
      </c>
      <c r="D225" s="6">
        <f>VLOOKUP($A225,'2324 Jun 24 Enroll'!$A$4:$AL$325,22,FALSE)</f>
        <v>41.44</v>
      </c>
      <c r="E225" s="6">
        <f>VLOOKUP($A225,'2324 Jun 24 Enroll'!$A$4:$AL$325,23,FALSE)</f>
        <v>0</v>
      </c>
      <c r="F225" s="6">
        <f>VLOOKUP($A225,'2324 Jun 24 Enroll'!$A$4:$AL$325,24,FALSE)</f>
        <v>0</v>
      </c>
      <c r="G225" s="6">
        <f>VLOOKUP($A225,'2324 Jun 24 Enroll'!$A$4:$AL$325,25,FALSE)</f>
        <v>262.56</v>
      </c>
      <c r="H225" s="6">
        <f>VLOOKUP($A225,'2324 Jun 24 Enroll'!$A$4:$AL$325,26,FALSE)</f>
        <v>100.89</v>
      </c>
      <c r="I225" s="6">
        <f>VLOOKUP($A225,'2324 Jun 24 Enroll'!$A$4:$AL$325,27,FALSE)</f>
        <v>2569.7199999999998</v>
      </c>
      <c r="J225" s="54">
        <f t="shared" si="45"/>
        <v>0.1414</v>
      </c>
      <c r="K225" s="54">
        <f t="shared" si="46"/>
        <v>0</v>
      </c>
      <c r="L225" s="45">
        <f t="shared" si="39"/>
        <v>518308.98</v>
      </c>
      <c r="M225" s="68">
        <v>123.93</v>
      </c>
      <c r="N225" s="68">
        <v>20.51</v>
      </c>
      <c r="O225" s="45">
        <f t="shared" si="40"/>
        <v>0</v>
      </c>
      <c r="P225" s="45">
        <f t="shared" si="41"/>
        <v>0</v>
      </c>
      <c r="Q225" s="45">
        <f t="shared" si="42"/>
        <v>3059642.03</v>
      </c>
      <c r="R225" s="45">
        <f t="shared" si="43"/>
        <v>1112588.97</v>
      </c>
      <c r="S225" s="45">
        <f t="shared" si="44"/>
        <v>0</v>
      </c>
      <c r="T225" s="6">
        <f>VLOOKUP($A225,'2324 Jun 24 Enroll'!$A$4:$AL$325,31,FALSE)</f>
        <v>363.45</v>
      </c>
      <c r="U225" s="45">
        <f t="shared" si="36"/>
        <v>3788195.74</v>
      </c>
      <c r="V225" s="35">
        <v>0.19400000000000001</v>
      </c>
      <c r="W225" s="45">
        <f t="shared" si="37"/>
        <v>3172693.25</v>
      </c>
      <c r="X225" s="35">
        <v>0.2412</v>
      </c>
      <c r="Y225" s="45">
        <f t="shared" si="38"/>
        <v>765253.61</v>
      </c>
    </row>
    <row r="226" spans="1:25">
      <c r="A226" t="s">
        <v>538</v>
      </c>
      <c r="B226" t="s">
        <v>539</v>
      </c>
      <c r="C226" s="6">
        <f>VLOOKUP($A226,'SpEd BEA Rate 2324'!$A$4:$AS$325,45,FALSE)</f>
        <v>10327.66</v>
      </c>
      <c r="D226" s="6">
        <f>VLOOKUP($A226,'2324 Jun 24 Enroll'!$A$4:$AL$325,22,FALSE)</f>
        <v>4.5599999999999996</v>
      </c>
      <c r="E226" s="6">
        <f>VLOOKUP($A226,'2324 Jun 24 Enroll'!$A$4:$AL$325,23,FALSE)</f>
        <v>0</v>
      </c>
      <c r="F226" s="6">
        <f>VLOOKUP($A226,'2324 Jun 24 Enroll'!$A$4:$AL$325,24,FALSE)</f>
        <v>0</v>
      </c>
      <c r="G226" s="6">
        <f>VLOOKUP($A226,'2324 Jun 24 Enroll'!$A$4:$AL$325,25,FALSE)</f>
        <v>59.11</v>
      </c>
      <c r="H226" s="6">
        <f>VLOOKUP($A226,'2324 Jun 24 Enroll'!$A$4:$AL$325,26,FALSE)</f>
        <v>22.78</v>
      </c>
      <c r="I226" s="6">
        <f>VLOOKUP($A226,'2324 Jun 24 Enroll'!$A$4:$AL$325,27,FALSE)</f>
        <v>513.73</v>
      </c>
      <c r="J226" s="54">
        <f t="shared" si="45"/>
        <v>0.15939999999999999</v>
      </c>
      <c r="K226" s="54">
        <f t="shared" si="46"/>
        <v>9.3999999999999917E-3</v>
      </c>
      <c r="L226" s="45">
        <f t="shared" si="39"/>
        <v>56512.959999999999</v>
      </c>
      <c r="M226" s="68">
        <v>133.51</v>
      </c>
      <c r="N226" s="68">
        <v>22.1</v>
      </c>
      <c r="O226" s="45">
        <f t="shared" si="40"/>
        <v>0</v>
      </c>
      <c r="P226" s="45">
        <f t="shared" si="41"/>
        <v>0</v>
      </c>
      <c r="Q226" s="45">
        <f t="shared" si="42"/>
        <v>682417.81</v>
      </c>
      <c r="R226" s="45">
        <f t="shared" si="43"/>
        <v>248876.5</v>
      </c>
      <c r="S226" s="45">
        <f t="shared" si="44"/>
        <v>-54919.49</v>
      </c>
      <c r="T226" s="6">
        <f>VLOOKUP($A226,'2324 Jun 24 Enroll'!$A$4:$AL$325,31,FALSE)</f>
        <v>81.89</v>
      </c>
      <c r="U226" s="45">
        <f t="shared" ref="U226:U288" si="47">ROUND(T226*C226,2)</f>
        <v>845732.08</v>
      </c>
      <c r="V226" s="35">
        <v>0.2016</v>
      </c>
      <c r="W226" s="45">
        <f t="shared" ref="W226:W284" si="48">ROUND(U226/(1+V226),2)</f>
        <v>703838.28</v>
      </c>
      <c r="X226" s="35">
        <v>0.2006</v>
      </c>
      <c r="Y226" s="45">
        <f t="shared" ref="Y226:Y284" si="49">ROUND(X226*W226,2)</f>
        <v>141189.96</v>
      </c>
    </row>
    <row r="227" spans="1:25">
      <c r="A227" t="s">
        <v>404</v>
      </c>
      <c r="B227" t="s">
        <v>405</v>
      </c>
      <c r="C227" s="6">
        <f>VLOOKUP($A227,'SpEd BEA Rate 2324'!$A$4:$AS$325,45,FALSE)</f>
        <v>10363.099999999999</v>
      </c>
      <c r="D227" s="6">
        <f>VLOOKUP($A227,'2324 Jun 24 Enroll'!$A$4:$AL$325,22,FALSE)</f>
        <v>6.44</v>
      </c>
      <c r="E227" s="6">
        <f>VLOOKUP($A227,'2324 Jun 24 Enroll'!$A$4:$AL$325,23,FALSE)</f>
        <v>0</v>
      </c>
      <c r="F227" s="6">
        <f>VLOOKUP($A227,'2324 Jun 24 Enroll'!$A$4:$AL$325,24,FALSE)</f>
        <v>0</v>
      </c>
      <c r="G227" s="6">
        <f>VLOOKUP($A227,'2324 Jun 24 Enroll'!$A$4:$AL$325,25,FALSE)</f>
        <v>36.78</v>
      </c>
      <c r="H227" s="6">
        <f>VLOOKUP($A227,'2324 Jun 24 Enroll'!$A$4:$AL$325,26,FALSE)</f>
        <v>1.78</v>
      </c>
      <c r="I227" s="6">
        <f>VLOOKUP($A227,'2324 Jun 24 Enroll'!$A$4:$AL$325,27,FALSE)</f>
        <v>420.2</v>
      </c>
      <c r="J227" s="54">
        <f t="shared" si="45"/>
        <v>9.1800000000000007E-2</v>
      </c>
      <c r="K227" s="54">
        <f t="shared" si="46"/>
        <v>0</v>
      </c>
      <c r="L227" s="45">
        <f t="shared" ref="L227:L290" si="50">ROUND(D227*$L$1*C227,2)</f>
        <v>80086.039999999994</v>
      </c>
      <c r="M227" s="68">
        <v>127.25</v>
      </c>
      <c r="N227" s="68">
        <v>21.06</v>
      </c>
      <c r="O227" s="45">
        <f t="shared" ref="O227:O290" si="51">ROUND(+E227*(($C227*O$1)-$N227),2)</f>
        <v>0</v>
      </c>
      <c r="P227" s="45">
        <f t="shared" ref="P227:P290" si="52">ROUND(+F227*(($C227*P$1)-$N227),2)</f>
        <v>0</v>
      </c>
      <c r="Q227" s="45">
        <f t="shared" ref="Q227:Q290" si="53">ROUND(+G227*(($C227*Q$1)-$N227),2)</f>
        <v>426118.81</v>
      </c>
      <c r="R227" s="45">
        <f t="shared" ref="R227:R290" si="54">ROUND(+H227*(($C227*R$1)-$N227),2)</f>
        <v>19515.61</v>
      </c>
      <c r="S227" s="45">
        <f t="shared" ref="S227:S290" si="55">IF($J227&lt;K$1,0,ROUND(((((O227+P227+Q227+R227)*-1)/$J227)*$K227),2))</f>
        <v>0</v>
      </c>
      <c r="T227" s="6">
        <f>VLOOKUP($A227,'2324 Jun 24 Enroll'!$A$4:$AL$325,31,FALSE)</f>
        <v>38.56</v>
      </c>
      <c r="U227" s="45">
        <f t="shared" si="47"/>
        <v>399601.14</v>
      </c>
      <c r="V227" s="35">
        <v>0.18820000000000001</v>
      </c>
      <c r="W227" s="45">
        <f t="shared" si="48"/>
        <v>336307.98</v>
      </c>
      <c r="X227" s="35">
        <v>0.18970000000000001</v>
      </c>
      <c r="Y227" s="45">
        <f t="shared" si="49"/>
        <v>63797.62</v>
      </c>
    </row>
    <row r="228" spans="1:25">
      <c r="A228" t="s">
        <v>610</v>
      </c>
      <c r="B228" t="s">
        <v>611</v>
      </c>
      <c r="C228" s="6">
        <f>VLOOKUP($A228,'SpEd BEA Rate 2324'!$A$4:$AS$325,45,FALSE)</f>
        <v>10242.009999999998</v>
      </c>
      <c r="D228" s="6">
        <f>VLOOKUP($A228,'2324 Jun 24 Enroll'!$A$4:$AL$325,22,FALSE)</f>
        <v>147.11000000000001</v>
      </c>
      <c r="E228" s="6">
        <f>VLOOKUP($A228,'2324 Jun 24 Enroll'!$A$4:$AL$325,23,FALSE)</f>
        <v>14</v>
      </c>
      <c r="F228" s="6">
        <f>VLOOKUP($A228,'2324 Jun 24 Enroll'!$A$4:$AL$325,24,FALSE)</f>
        <v>0.44</v>
      </c>
      <c r="G228" s="6">
        <f>VLOOKUP($A228,'2324 Jun 24 Enroll'!$A$4:$AL$325,25,FALSE)</f>
        <v>551.78</v>
      </c>
      <c r="H228" s="6">
        <f>VLOOKUP($A228,'2324 Jun 24 Enroll'!$A$4:$AL$325,26,FALSE)</f>
        <v>361.67</v>
      </c>
      <c r="I228" s="6">
        <f>VLOOKUP($A228,'2324 Jun 24 Enroll'!$A$4:$AL$325,27,FALSE)</f>
        <v>6404.8</v>
      </c>
      <c r="J228" s="54">
        <f t="shared" si="45"/>
        <v>0.1449</v>
      </c>
      <c r="K228" s="54">
        <f t="shared" si="46"/>
        <v>0</v>
      </c>
      <c r="L228" s="45">
        <f t="shared" si="50"/>
        <v>1808042.51</v>
      </c>
      <c r="M228" s="68">
        <v>128.11000000000001</v>
      </c>
      <c r="N228" s="68">
        <v>21.2</v>
      </c>
      <c r="O228" s="45">
        <f t="shared" si="51"/>
        <v>160297.92000000001</v>
      </c>
      <c r="P228" s="45">
        <f t="shared" si="52"/>
        <v>4767.55</v>
      </c>
      <c r="Q228" s="45">
        <f t="shared" si="53"/>
        <v>6317798.9000000004</v>
      </c>
      <c r="R228" s="45">
        <f t="shared" si="54"/>
        <v>3918814.02</v>
      </c>
      <c r="S228" s="45">
        <f t="shared" si="55"/>
        <v>0</v>
      </c>
      <c r="T228" s="6">
        <f>VLOOKUP($A228,'2324 Jun 24 Enroll'!$A$4:$AL$325,31,FALSE)</f>
        <v>926.89</v>
      </c>
      <c r="U228" s="45">
        <f t="shared" si="47"/>
        <v>9493216.6500000004</v>
      </c>
      <c r="V228" s="35">
        <v>0.10639999999999999</v>
      </c>
      <c r="W228" s="45">
        <f t="shared" si="48"/>
        <v>8580275.3499999996</v>
      </c>
      <c r="X228" s="35">
        <v>0.2923</v>
      </c>
      <c r="Y228" s="45">
        <f t="shared" si="49"/>
        <v>2508014.48</v>
      </c>
    </row>
    <row r="229" spans="1:25">
      <c r="A229" t="s">
        <v>458</v>
      </c>
      <c r="B229" t="s">
        <v>459</v>
      </c>
      <c r="C229" s="6">
        <f>VLOOKUP($A229,'SpEd BEA Rate 2324'!$A$4:$AS$325,45,FALSE)</f>
        <v>10622.64</v>
      </c>
      <c r="D229" s="6">
        <f>VLOOKUP($A229,'2324 Jun 24 Enroll'!$A$4:$AL$325,22,FALSE)</f>
        <v>243.89</v>
      </c>
      <c r="E229" s="6">
        <f>VLOOKUP($A229,'2324 Jun 24 Enroll'!$A$4:$AL$325,23,FALSE)</f>
        <v>2.2200000000000002</v>
      </c>
      <c r="F229" s="6">
        <f>VLOOKUP($A229,'2324 Jun 24 Enroll'!$A$4:$AL$325,24,FALSE)</f>
        <v>4.33</v>
      </c>
      <c r="G229" s="6">
        <f>VLOOKUP($A229,'2324 Jun 24 Enroll'!$A$4:$AL$325,25,FALSE)</f>
        <v>1454.67</v>
      </c>
      <c r="H229" s="6">
        <f>VLOOKUP($A229,'2324 Jun 24 Enroll'!$A$4:$AL$325,26,FALSE)</f>
        <v>1114.67</v>
      </c>
      <c r="I229" s="6">
        <f>VLOOKUP($A229,'2324 Jun 24 Enroll'!$A$4:$AL$325,27,FALSE)</f>
        <v>19889.580000000002</v>
      </c>
      <c r="J229" s="54">
        <f t="shared" si="45"/>
        <v>0.1295</v>
      </c>
      <c r="K229" s="54">
        <f t="shared" si="46"/>
        <v>0</v>
      </c>
      <c r="L229" s="45">
        <f t="shared" si="50"/>
        <v>3108906.8</v>
      </c>
      <c r="M229" s="68">
        <v>131.58000000000001</v>
      </c>
      <c r="N229" s="68">
        <v>21.78</v>
      </c>
      <c r="O229" s="45">
        <f t="shared" si="51"/>
        <v>26363.78</v>
      </c>
      <c r="P229" s="45">
        <f t="shared" si="52"/>
        <v>48661.49</v>
      </c>
      <c r="Q229" s="45">
        <f t="shared" si="53"/>
        <v>17275045.300000001</v>
      </c>
      <c r="R229" s="45">
        <f t="shared" si="54"/>
        <v>12526904.9</v>
      </c>
      <c r="S229" s="45">
        <f t="shared" si="55"/>
        <v>0</v>
      </c>
      <c r="T229" s="6">
        <f>VLOOKUP($A229,'2324 Jun 24 Enroll'!$A$4:$AL$325,31,FALSE)</f>
        <v>2571</v>
      </c>
      <c r="U229" s="45">
        <f t="shared" si="47"/>
        <v>27310807.440000001</v>
      </c>
      <c r="V229" s="35">
        <v>0.1187</v>
      </c>
      <c r="W229" s="45">
        <f t="shared" si="48"/>
        <v>24412986</v>
      </c>
      <c r="X229" s="35">
        <v>0.309</v>
      </c>
      <c r="Y229" s="45">
        <f t="shared" si="49"/>
        <v>7543612.6699999999</v>
      </c>
    </row>
    <row r="230" spans="1:25">
      <c r="A230" t="s">
        <v>546</v>
      </c>
      <c r="B230" t="s">
        <v>547</v>
      </c>
      <c r="C230" s="6">
        <f>VLOOKUP($A230,'SpEd BEA Rate 2324'!$A$4:$AS$325,45,FALSE)</f>
        <v>10625.009999999998</v>
      </c>
      <c r="D230" s="6">
        <f>VLOOKUP($A230,'2324 Jun 24 Enroll'!$A$4:$AL$325,22,FALSE)</f>
        <v>199.89</v>
      </c>
      <c r="E230" s="6">
        <f>VLOOKUP($A230,'2324 Jun 24 Enroll'!$A$4:$AL$325,23,FALSE)</f>
        <v>0</v>
      </c>
      <c r="F230" s="6">
        <f>VLOOKUP($A230,'2324 Jun 24 Enroll'!$A$4:$AL$325,24,FALSE)</f>
        <v>0</v>
      </c>
      <c r="G230" s="6">
        <f>VLOOKUP($A230,'2324 Jun 24 Enroll'!$A$4:$AL$325,25,FALSE)</f>
        <v>855.67</v>
      </c>
      <c r="H230" s="6">
        <f>VLOOKUP($A230,'2324 Jun 24 Enroll'!$A$4:$AL$325,26,FALSE)</f>
        <v>567.33000000000004</v>
      </c>
      <c r="I230" s="6">
        <f>VLOOKUP($A230,'2324 Jun 24 Enroll'!$A$4:$AL$325,27,FALSE)</f>
        <v>9494.01</v>
      </c>
      <c r="J230" s="54">
        <f t="shared" si="45"/>
        <v>0.14990000000000001</v>
      </c>
      <c r="K230" s="54">
        <f t="shared" si="46"/>
        <v>0</v>
      </c>
      <c r="L230" s="45">
        <f t="shared" si="50"/>
        <v>2548599.9</v>
      </c>
      <c r="M230" s="68">
        <v>139.66999999999999</v>
      </c>
      <c r="N230" s="68">
        <v>23.12</v>
      </c>
      <c r="O230" s="45">
        <f t="shared" si="51"/>
        <v>0</v>
      </c>
      <c r="P230" s="45">
        <f t="shared" si="52"/>
        <v>0</v>
      </c>
      <c r="Q230" s="45">
        <f t="shared" si="53"/>
        <v>10162699.49</v>
      </c>
      <c r="R230" s="45">
        <f t="shared" si="54"/>
        <v>6376443.4699999997</v>
      </c>
      <c r="S230" s="45">
        <f t="shared" si="55"/>
        <v>0</v>
      </c>
      <c r="T230" s="6">
        <f>VLOOKUP($A230,'2324 Jun 24 Enroll'!$A$4:$AL$325,31,FALSE)</f>
        <v>1427</v>
      </c>
      <c r="U230" s="45">
        <f t="shared" si="47"/>
        <v>15161889.27</v>
      </c>
      <c r="V230" s="35">
        <v>0.13489999999999999</v>
      </c>
      <c r="W230" s="45">
        <f t="shared" si="48"/>
        <v>13359669.810000001</v>
      </c>
      <c r="X230" s="35">
        <v>0.28499999999999998</v>
      </c>
      <c r="Y230" s="45">
        <f t="shared" si="49"/>
        <v>3807505.9</v>
      </c>
    </row>
    <row r="231" spans="1:25">
      <c r="A231" t="s">
        <v>612</v>
      </c>
      <c r="B231" t="s">
        <v>613</v>
      </c>
      <c r="C231" s="6">
        <f>VLOOKUP($A231,'SpEd BEA Rate 2324'!$A$4:$AS$325,45,FALSE)</f>
        <v>10631.48</v>
      </c>
      <c r="D231" s="6">
        <f>VLOOKUP($A231,'2324 Jun 24 Enroll'!$A$4:$AL$325,22,FALSE)</f>
        <v>225.56</v>
      </c>
      <c r="E231" s="6">
        <f>VLOOKUP($A231,'2324 Jun 24 Enroll'!$A$4:$AL$325,23,FALSE)</f>
        <v>0</v>
      </c>
      <c r="F231" s="6">
        <f>VLOOKUP($A231,'2324 Jun 24 Enroll'!$A$4:$AL$325,24,FALSE)</f>
        <v>0</v>
      </c>
      <c r="G231" s="6">
        <f>VLOOKUP($A231,'2324 Jun 24 Enroll'!$A$4:$AL$325,25,FALSE)</f>
        <v>1285.67</v>
      </c>
      <c r="H231" s="6">
        <f>VLOOKUP($A231,'2324 Jun 24 Enroll'!$A$4:$AL$325,26,FALSE)</f>
        <v>808.56</v>
      </c>
      <c r="I231" s="6">
        <f>VLOOKUP($A231,'2324 Jun 24 Enroll'!$A$4:$AL$325,27,FALSE)</f>
        <v>14806.97</v>
      </c>
      <c r="J231" s="54">
        <f t="shared" si="45"/>
        <v>0.1414</v>
      </c>
      <c r="K231" s="54">
        <f t="shared" si="46"/>
        <v>0</v>
      </c>
      <c r="L231" s="45">
        <f t="shared" si="50"/>
        <v>2877643.95</v>
      </c>
      <c r="M231" s="68">
        <v>134.11000000000001</v>
      </c>
      <c r="N231" s="68">
        <v>22.2</v>
      </c>
      <c r="O231" s="45">
        <f t="shared" si="51"/>
        <v>0</v>
      </c>
      <c r="P231" s="45">
        <f t="shared" si="52"/>
        <v>0</v>
      </c>
      <c r="Q231" s="45">
        <f t="shared" si="53"/>
        <v>15280262</v>
      </c>
      <c r="R231" s="45">
        <f t="shared" si="54"/>
        <v>9094010.8000000007</v>
      </c>
      <c r="S231" s="45">
        <f t="shared" si="55"/>
        <v>0</v>
      </c>
      <c r="T231" s="6">
        <f>VLOOKUP($A231,'2324 Jun 24 Enroll'!$A$4:$AL$325,31,FALSE)</f>
        <v>2088.7800000000002</v>
      </c>
      <c r="U231" s="45">
        <f t="shared" si="47"/>
        <v>22206822.789999999</v>
      </c>
      <c r="V231" s="35">
        <v>0.12859999999999999</v>
      </c>
      <c r="W231" s="45">
        <f t="shared" si="48"/>
        <v>19676433.449999999</v>
      </c>
      <c r="X231" s="35">
        <v>0.26579999999999998</v>
      </c>
      <c r="Y231" s="45">
        <f t="shared" si="49"/>
        <v>5229996.01</v>
      </c>
    </row>
    <row r="232" spans="1:25">
      <c r="A232" t="s">
        <v>309</v>
      </c>
      <c r="B232" t="s">
        <v>310</v>
      </c>
      <c r="C232" s="6">
        <f>VLOOKUP($A232,'SpEd BEA Rate 2324'!$A$4:$AS$325,45,FALSE)</f>
        <v>10633.289999999999</v>
      </c>
      <c r="D232" s="6">
        <f>VLOOKUP($A232,'2324 Jun 24 Enroll'!$A$4:$AL$325,22,FALSE)</f>
        <v>338</v>
      </c>
      <c r="E232" s="6">
        <f>VLOOKUP($A232,'2324 Jun 24 Enroll'!$A$4:$AL$325,23,FALSE)</f>
        <v>0</v>
      </c>
      <c r="F232" s="6">
        <f>VLOOKUP($A232,'2324 Jun 24 Enroll'!$A$4:$AL$325,24,FALSE)</f>
        <v>0</v>
      </c>
      <c r="G232" s="6">
        <f>VLOOKUP($A232,'2324 Jun 24 Enroll'!$A$4:$AL$325,25,FALSE)</f>
        <v>1684.89</v>
      </c>
      <c r="H232" s="6">
        <f>VLOOKUP($A232,'2324 Jun 24 Enroll'!$A$4:$AL$325,26,FALSE)</f>
        <v>1298.1099999999999</v>
      </c>
      <c r="I232" s="6">
        <f>VLOOKUP($A232,'2324 Jun 24 Enroll'!$A$4:$AL$325,27,FALSE)</f>
        <v>20086.47</v>
      </c>
      <c r="J232" s="54">
        <f t="shared" si="45"/>
        <v>0.14849999999999999</v>
      </c>
      <c r="K232" s="54">
        <f t="shared" si="46"/>
        <v>0</v>
      </c>
      <c r="L232" s="45">
        <f t="shared" si="50"/>
        <v>4312862.42</v>
      </c>
      <c r="M232" s="68">
        <v>132.5</v>
      </c>
      <c r="N232" s="68">
        <v>21.93</v>
      </c>
      <c r="O232" s="45">
        <f t="shared" si="51"/>
        <v>0</v>
      </c>
      <c r="P232" s="45">
        <f t="shared" si="52"/>
        <v>0</v>
      </c>
      <c r="Q232" s="45">
        <f t="shared" si="53"/>
        <v>20028885.23</v>
      </c>
      <c r="R232" s="45">
        <f t="shared" si="54"/>
        <v>14602903.33</v>
      </c>
      <c r="S232" s="45">
        <f t="shared" si="55"/>
        <v>0</v>
      </c>
      <c r="T232" s="6">
        <f>VLOOKUP($A232,'2324 Jun 24 Enroll'!$A$4:$AL$325,31,FALSE)</f>
        <v>3020.22</v>
      </c>
      <c r="U232" s="45">
        <f t="shared" si="47"/>
        <v>32114875.120000001</v>
      </c>
      <c r="V232" s="35">
        <v>0.1258</v>
      </c>
      <c r="W232" s="45">
        <f t="shared" si="48"/>
        <v>28526270.309999999</v>
      </c>
      <c r="X232" s="35">
        <v>0.30280000000000001</v>
      </c>
      <c r="Y232" s="45">
        <f t="shared" si="49"/>
        <v>8637754.6500000004</v>
      </c>
    </row>
    <row r="233" spans="1:25">
      <c r="A233" t="s">
        <v>323</v>
      </c>
      <c r="B233" t="s">
        <v>324</v>
      </c>
      <c r="C233" s="6">
        <f>VLOOKUP($A233,'SpEd BEA Rate 2324'!$A$4:$AS$325,45,FALSE)</f>
        <v>10458.74</v>
      </c>
      <c r="D233" s="6">
        <f>VLOOKUP($A233,'2324 Jun 24 Enroll'!$A$4:$AL$325,22,FALSE)</f>
        <v>79.22</v>
      </c>
      <c r="E233" s="6">
        <f>VLOOKUP($A233,'2324 Jun 24 Enroll'!$A$4:$AL$325,23,FALSE)</f>
        <v>0</v>
      </c>
      <c r="F233" s="6">
        <f>VLOOKUP($A233,'2324 Jun 24 Enroll'!$A$4:$AL$325,24,FALSE)</f>
        <v>0</v>
      </c>
      <c r="G233" s="6">
        <f>VLOOKUP($A233,'2324 Jun 24 Enroll'!$A$4:$AL$325,25,FALSE)</f>
        <v>555.11</v>
      </c>
      <c r="H233" s="6">
        <f>VLOOKUP($A233,'2324 Jun 24 Enroll'!$A$4:$AL$325,26,FALSE)</f>
        <v>307.77999999999997</v>
      </c>
      <c r="I233" s="6">
        <f>VLOOKUP($A233,'2324 Jun 24 Enroll'!$A$4:$AL$325,27,FALSE)</f>
        <v>5514.59</v>
      </c>
      <c r="J233" s="54">
        <f t="shared" si="45"/>
        <v>0.1565</v>
      </c>
      <c r="K233" s="54">
        <f t="shared" si="46"/>
        <v>6.5000000000000058E-3</v>
      </c>
      <c r="L233" s="45">
        <f t="shared" si="50"/>
        <v>994249.66</v>
      </c>
      <c r="M233" s="68">
        <v>130.74</v>
      </c>
      <c r="N233" s="68">
        <v>21.64</v>
      </c>
      <c r="O233" s="45">
        <f t="shared" si="51"/>
        <v>0</v>
      </c>
      <c r="P233" s="45">
        <f t="shared" si="52"/>
        <v>0</v>
      </c>
      <c r="Q233" s="45">
        <f t="shared" si="53"/>
        <v>6490428.7199999997</v>
      </c>
      <c r="R233" s="45">
        <f t="shared" si="54"/>
        <v>3405470.1</v>
      </c>
      <c r="S233" s="45">
        <f t="shared" si="55"/>
        <v>-411011.77</v>
      </c>
      <c r="T233" s="6">
        <f>VLOOKUP($A233,'2324 Jun 24 Enroll'!$A$4:$AL$325,31,FALSE)</f>
        <v>860.89</v>
      </c>
      <c r="U233" s="45">
        <f t="shared" si="47"/>
        <v>9003824.6799999997</v>
      </c>
      <c r="V233" s="35">
        <v>0.1087</v>
      </c>
      <c r="W233" s="45">
        <f t="shared" si="48"/>
        <v>8121064.9199999999</v>
      </c>
      <c r="X233" s="35">
        <v>0.24149999999999999</v>
      </c>
      <c r="Y233" s="45">
        <f t="shared" si="49"/>
        <v>1961237.18</v>
      </c>
    </row>
    <row r="234" spans="1:25">
      <c r="A234" t="s">
        <v>578</v>
      </c>
      <c r="B234" t="s">
        <v>579</v>
      </c>
      <c r="C234" s="6">
        <f>VLOOKUP($A234,'SpEd BEA Rate 2324'!$A$4:$AS$325,45,FALSE)</f>
        <v>10627.279999999999</v>
      </c>
      <c r="D234" s="6">
        <f>VLOOKUP($A234,'2324 Jun 24 Enroll'!$A$4:$AL$325,22,FALSE)</f>
        <v>160</v>
      </c>
      <c r="E234" s="6">
        <f>VLOOKUP($A234,'2324 Jun 24 Enroll'!$A$4:$AL$325,23,FALSE)</f>
        <v>0</v>
      </c>
      <c r="F234" s="6">
        <f>VLOOKUP($A234,'2324 Jun 24 Enroll'!$A$4:$AL$325,24,FALSE)</f>
        <v>0</v>
      </c>
      <c r="G234" s="6">
        <f>VLOOKUP($A234,'2324 Jun 24 Enroll'!$A$4:$AL$325,25,FALSE)</f>
        <v>766.67</v>
      </c>
      <c r="H234" s="6">
        <f>VLOOKUP($A234,'2324 Jun 24 Enroll'!$A$4:$AL$325,26,FALSE)</f>
        <v>775.67</v>
      </c>
      <c r="I234" s="6">
        <f>VLOOKUP($A234,'2324 Jun 24 Enroll'!$A$4:$AL$325,27,FALSE)</f>
        <v>9454.4</v>
      </c>
      <c r="J234" s="54">
        <f t="shared" si="45"/>
        <v>0.16309999999999999</v>
      </c>
      <c r="K234" s="54">
        <f t="shared" si="46"/>
        <v>1.3100000000000001E-2</v>
      </c>
      <c r="L234" s="45">
        <f t="shared" si="50"/>
        <v>2040437.76</v>
      </c>
      <c r="M234" s="68">
        <v>131.69999999999999</v>
      </c>
      <c r="N234" s="68">
        <v>21.8</v>
      </c>
      <c r="O234" s="45">
        <f t="shared" si="51"/>
        <v>0</v>
      </c>
      <c r="P234" s="45">
        <f t="shared" si="52"/>
        <v>0</v>
      </c>
      <c r="Q234" s="45">
        <f t="shared" si="53"/>
        <v>9108617.3599999994</v>
      </c>
      <c r="R234" s="45">
        <f t="shared" si="54"/>
        <v>8720948.4100000001</v>
      </c>
      <c r="S234" s="45">
        <f t="shared" si="55"/>
        <v>-1432049.73</v>
      </c>
      <c r="T234" s="6">
        <f>VLOOKUP($A234,'2324 Jun 24 Enroll'!$A$4:$AL$325,31,FALSE)</f>
        <v>1542.34</v>
      </c>
      <c r="U234" s="45">
        <f t="shared" si="47"/>
        <v>16390879.039999999</v>
      </c>
      <c r="V234" s="35">
        <v>0.1419</v>
      </c>
      <c r="W234" s="45">
        <f t="shared" si="48"/>
        <v>14354040.67</v>
      </c>
      <c r="X234" s="35">
        <v>0.30230000000000001</v>
      </c>
      <c r="Y234" s="45">
        <f t="shared" si="49"/>
        <v>4339226.49</v>
      </c>
    </row>
    <row r="235" spans="1:25">
      <c r="A235" t="s">
        <v>512</v>
      </c>
      <c r="B235" t="s">
        <v>513</v>
      </c>
      <c r="C235" s="6">
        <f>VLOOKUP($A235,'SpEd BEA Rate 2324'!$A$4:$AS$325,45,FALSE)</f>
        <v>10564.4</v>
      </c>
      <c r="D235" s="6">
        <f>VLOOKUP($A235,'2324 Jun 24 Enroll'!$A$4:$AL$325,22,FALSE)</f>
        <v>0</v>
      </c>
      <c r="E235" s="6">
        <f>VLOOKUP($A235,'2324 Jun 24 Enroll'!$A$4:$AL$325,23,FALSE)</f>
        <v>0</v>
      </c>
      <c r="F235" s="6">
        <f>VLOOKUP($A235,'2324 Jun 24 Enroll'!$A$4:$AL$325,24,FALSE)</f>
        <v>0</v>
      </c>
      <c r="G235" s="6">
        <f>VLOOKUP($A235,'2324 Jun 24 Enroll'!$A$4:$AL$325,25,FALSE)</f>
        <v>5.67</v>
      </c>
      <c r="H235" s="6">
        <f>VLOOKUP($A235,'2324 Jun 24 Enroll'!$A$4:$AL$325,26,FALSE)</f>
        <v>1</v>
      </c>
      <c r="I235" s="6">
        <f>VLOOKUP($A235,'2324 Jun 24 Enroll'!$A$4:$AL$325,27,FALSE)</f>
        <v>23.98</v>
      </c>
      <c r="J235" s="54">
        <f t="shared" si="45"/>
        <v>0.27810000000000001</v>
      </c>
      <c r="K235" s="54">
        <f t="shared" si="46"/>
        <v>0.12810000000000002</v>
      </c>
      <c r="L235" s="45">
        <f t="shared" si="50"/>
        <v>0</v>
      </c>
      <c r="M235" s="68">
        <v>148.63</v>
      </c>
      <c r="N235" s="68">
        <v>24.6</v>
      </c>
      <c r="O235" s="45">
        <f t="shared" si="51"/>
        <v>0</v>
      </c>
      <c r="P235" s="45">
        <f t="shared" si="52"/>
        <v>0</v>
      </c>
      <c r="Q235" s="45">
        <f t="shared" si="53"/>
        <v>66948.679999999993</v>
      </c>
      <c r="R235" s="45">
        <f t="shared" si="54"/>
        <v>11173.66</v>
      </c>
      <c r="S235" s="45">
        <f t="shared" si="55"/>
        <v>-35985.160000000003</v>
      </c>
      <c r="T235" s="6">
        <f>VLOOKUP($A235,'2324 Jun 24 Enroll'!$A$4:$AL$325,31,FALSE)</f>
        <v>6.67</v>
      </c>
      <c r="U235" s="45">
        <f t="shared" si="47"/>
        <v>70464.55</v>
      </c>
      <c r="V235" s="35">
        <v>0.44629999999999997</v>
      </c>
      <c r="W235" s="45">
        <f t="shared" si="48"/>
        <v>48720.56</v>
      </c>
      <c r="X235" s="35">
        <v>9.2499999999999999E-2</v>
      </c>
      <c r="Y235" s="45">
        <f t="shared" si="49"/>
        <v>4506.6499999999996</v>
      </c>
    </row>
    <row r="236" spans="1:25">
      <c r="A236" t="s">
        <v>594</v>
      </c>
      <c r="B236" t="s">
        <v>595</v>
      </c>
      <c r="C236" s="6">
        <f>VLOOKUP($A236,'SpEd BEA Rate 2324'!$A$4:$AS$325,45,FALSE)</f>
        <v>10648.31</v>
      </c>
      <c r="D236" s="6">
        <f>VLOOKUP($A236,'2324 Jun 24 Enroll'!$A$4:$AL$325,22,FALSE)</f>
        <v>68.44</v>
      </c>
      <c r="E236" s="6">
        <f>VLOOKUP($A236,'2324 Jun 24 Enroll'!$A$4:$AL$325,23,FALSE)</f>
        <v>5.67</v>
      </c>
      <c r="F236" s="6">
        <f>VLOOKUP($A236,'2324 Jun 24 Enroll'!$A$4:$AL$325,24,FALSE)</f>
        <v>1.89</v>
      </c>
      <c r="G236" s="6">
        <f>VLOOKUP($A236,'2324 Jun 24 Enroll'!$A$4:$AL$325,25,FALSE)</f>
        <v>600.22</v>
      </c>
      <c r="H236" s="6">
        <f>VLOOKUP($A236,'2324 Jun 24 Enroll'!$A$4:$AL$325,26,FALSE)</f>
        <v>154.33000000000001</v>
      </c>
      <c r="I236" s="6">
        <f>VLOOKUP($A236,'2324 Jun 24 Enroll'!$A$4:$AL$325,27,FALSE)</f>
        <v>5540.54</v>
      </c>
      <c r="J236" s="54">
        <f t="shared" si="45"/>
        <v>0.1376</v>
      </c>
      <c r="K236" s="54">
        <f t="shared" si="46"/>
        <v>0</v>
      </c>
      <c r="L236" s="45">
        <f t="shared" si="50"/>
        <v>874524.4</v>
      </c>
      <c r="M236" s="68">
        <v>132.16999999999999</v>
      </c>
      <c r="N236" s="68">
        <v>21.88</v>
      </c>
      <c r="O236" s="45">
        <f t="shared" si="51"/>
        <v>67496.97</v>
      </c>
      <c r="P236" s="45">
        <f t="shared" si="52"/>
        <v>21291.47</v>
      </c>
      <c r="Q236" s="45">
        <f t="shared" si="53"/>
        <v>7145155.25</v>
      </c>
      <c r="R236" s="45">
        <f t="shared" si="54"/>
        <v>1738578.16</v>
      </c>
      <c r="S236" s="45">
        <f t="shared" si="55"/>
        <v>0</v>
      </c>
      <c r="T236" s="6">
        <f>VLOOKUP($A236,'2324 Jun 24 Enroll'!$A$4:$AL$325,31,FALSE)</f>
        <v>759.11</v>
      </c>
      <c r="U236" s="45">
        <f t="shared" si="47"/>
        <v>8083238.5999999996</v>
      </c>
      <c r="V236" s="35">
        <v>0.1762</v>
      </c>
      <c r="W236" s="45">
        <f t="shared" si="48"/>
        <v>6872333.4500000002</v>
      </c>
      <c r="X236" s="35">
        <v>0.20150000000000001</v>
      </c>
      <c r="Y236" s="45">
        <f t="shared" si="49"/>
        <v>1384775.19</v>
      </c>
    </row>
    <row r="237" spans="1:25">
      <c r="A237" t="s">
        <v>767</v>
      </c>
      <c r="B237" t="s">
        <v>768</v>
      </c>
      <c r="C237" s="6">
        <f>VLOOKUP($A237,'SpEd BEA Rate 2324'!$A$4:$AS$325,45,FALSE)</f>
        <v>10835.849999999999</v>
      </c>
      <c r="D237" s="6">
        <f>VLOOKUP($A237,'2324 Jun 24 Enroll'!$A$4:$AL$325,22,FALSE)</f>
        <v>125.22</v>
      </c>
      <c r="E237" s="6">
        <f>VLOOKUP($A237,'2324 Jun 24 Enroll'!$A$4:$AL$325,23,FALSE)</f>
        <v>4.22</v>
      </c>
      <c r="F237" s="6">
        <f>VLOOKUP($A237,'2324 Jun 24 Enroll'!$A$4:$AL$325,24,FALSE)</f>
        <v>1.33</v>
      </c>
      <c r="G237" s="6">
        <f>VLOOKUP($A237,'2324 Jun 24 Enroll'!$A$4:$AL$325,25,FALSE)</f>
        <v>794.33</v>
      </c>
      <c r="H237" s="6">
        <f>VLOOKUP($A237,'2324 Jun 24 Enroll'!$A$4:$AL$325,26,FALSE)</f>
        <v>421.56</v>
      </c>
      <c r="I237" s="6">
        <f>VLOOKUP($A237,'2324 Jun 24 Enroll'!$A$4:$AL$325,27,FALSE)</f>
        <v>9488.32</v>
      </c>
      <c r="J237" s="54">
        <f t="shared" si="45"/>
        <v>0.12870000000000001</v>
      </c>
      <c r="K237" s="54">
        <f t="shared" si="46"/>
        <v>0</v>
      </c>
      <c r="L237" s="45">
        <f t="shared" si="50"/>
        <v>1628238.16</v>
      </c>
      <c r="M237" s="68">
        <v>128.47</v>
      </c>
      <c r="N237" s="68">
        <v>21.26</v>
      </c>
      <c r="O237" s="45">
        <f t="shared" si="51"/>
        <v>51124.84</v>
      </c>
      <c r="P237" s="45">
        <f t="shared" si="52"/>
        <v>15248.11</v>
      </c>
      <c r="Q237" s="45">
        <f t="shared" si="53"/>
        <v>9623222.1600000001</v>
      </c>
      <c r="R237" s="45">
        <f t="shared" si="54"/>
        <v>4833076.22</v>
      </c>
      <c r="S237" s="45">
        <f t="shared" si="55"/>
        <v>0</v>
      </c>
      <c r="T237" s="6">
        <f>VLOOKUP($A237,'2324 Jun 24 Enroll'!$A$4:$AL$325,31,FALSE)</f>
        <v>1220.44</v>
      </c>
      <c r="U237" s="45">
        <f t="shared" si="47"/>
        <v>13224504.77</v>
      </c>
      <c r="V237" s="35">
        <v>0.15640000000000001</v>
      </c>
      <c r="W237" s="45">
        <f t="shared" si="48"/>
        <v>11435925.949999999</v>
      </c>
      <c r="X237" s="35">
        <v>0.2361</v>
      </c>
      <c r="Y237" s="45">
        <f t="shared" si="49"/>
        <v>2700022.12</v>
      </c>
    </row>
    <row r="238" spans="1:25">
      <c r="A238" t="s">
        <v>550</v>
      </c>
      <c r="B238" t="s">
        <v>551</v>
      </c>
      <c r="C238" s="6">
        <f>VLOOKUP($A238,'SpEd BEA Rate 2324'!$A$4:$AS$325,45,FALSE)</f>
        <v>10323.519999999999</v>
      </c>
      <c r="D238" s="6">
        <f>VLOOKUP($A238,'2324 Jun 24 Enroll'!$A$4:$AL$325,22,FALSE)</f>
        <v>36.89</v>
      </c>
      <c r="E238" s="6">
        <f>VLOOKUP($A238,'2324 Jun 24 Enroll'!$A$4:$AL$325,23,FALSE)</f>
        <v>2.11</v>
      </c>
      <c r="F238" s="6">
        <f>VLOOKUP($A238,'2324 Jun 24 Enroll'!$A$4:$AL$325,24,FALSE)</f>
        <v>0.44</v>
      </c>
      <c r="G238" s="6">
        <f>VLOOKUP($A238,'2324 Jun 24 Enroll'!$A$4:$AL$325,25,FALSE)</f>
        <v>275.67</v>
      </c>
      <c r="H238" s="6">
        <f>VLOOKUP($A238,'2324 Jun 24 Enroll'!$A$4:$AL$325,26,FALSE)</f>
        <v>177.11</v>
      </c>
      <c r="I238" s="6">
        <f>VLOOKUP($A238,'2324 Jun 24 Enroll'!$A$4:$AL$325,27,FALSE)</f>
        <v>2593.62</v>
      </c>
      <c r="J238" s="54">
        <f t="shared" si="45"/>
        <v>0.17560000000000001</v>
      </c>
      <c r="K238" s="54">
        <f t="shared" si="46"/>
        <v>2.5600000000000012E-2</v>
      </c>
      <c r="L238" s="45">
        <f t="shared" si="50"/>
        <v>457001.58</v>
      </c>
      <c r="M238" s="68">
        <v>133.52000000000001</v>
      </c>
      <c r="N238" s="68">
        <v>22.1</v>
      </c>
      <c r="O238" s="45">
        <f t="shared" si="51"/>
        <v>24349.91</v>
      </c>
      <c r="P238" s="45">
        <f t="shared" si="52"/>
        <v>4805.17</v>
      </c>
      <c r="Q238" s="45">
        <f t="shared" si="53"/>
        <v>3181298.62</v>
      </c>
      <c r="R238" s="45">
        <f t="shared" si="54"/>
        <v>1934188.41</v>
      </c>
      <c r="S238" s="45">
        <f t="shared" si="55"/>
        <v>-750016.16</v>
      </c>
      <c r="T238" s="6">
        <f>VLOOKUP($A238,'2324 Jun 24 Enroll'!$A$4:$AL$325,31,FALSE)</f>
        <v>455.33</v>
      </c>
      <c r="U238" s="45">
        <f t="shared" si="47"/>
        <v>4700608.3600000003</v>
      </c>
      <c r="V238" s="35">
        <v>0.1772</v>
      </c>
      <c r="W238" s="45">
        <f t="shared" si="48"/>
        <v>3993041.42</v>
      </c>
      <c r="X238" s="35">
        <v>0.27479999999999999</v>
      </c>
      <c r="Y238" s="45">
        <f t="shared" si="49"/>
        <v>1097287.78</v>
      </c>
    </row>
    <row r="239" spans="1:25">
      <c r="A239" t="s">
        <v>801</v>
      </c>
      <c r="B239" t="s">
        <v>802</v>
      </c>
      <c r="C239" s="6">
        <f>VLOOKUP($A239,'SpEd BEA Rate 2324'!$A$4:$AS$325,45,FALSE)</f>
        <v>10627.47</v>
      </c>
      <c r="D239" s="6">
        <f>VLOOKUP($A239,'2324 Jun 24 Enroll'!$A$4:$AL$325,22,FALSE)</f>
        <v>35</v>
      </c>
      <c r="E239" s="6">
        <f>VLOOKUP($A239,'2324 Jun 24 Enroll'!$A$4:$AL$325,23,FALSE)</f>
        <v>2</v>
      </c>
      <c r="F239" s="6">
        <f>VLOOKUP($A239,'2324 Jun 24 Enroll'!$A$4:$AL$325,24,FALSE)</f>
        <v>0</v>
      </c>
      <c r="G239" s="6">
        <f>VLOOKUP($A239,'2324 Jun 24 Enroll'!$A$4:$AL$325,25,FALSE)</f>
        <v>153.56</v>
      </c>
      <c r="H239" s="6">
        <f>VLOOKUP($A239,'2324 Jun 24 Enroll'!$A$4:$AL$325,26,FALSE)</f>
        <v>159.56</v>
      </c>
      <c r="I239" s="6">
        <f>VLOOKUP($A239,'2324 Jun 24 Enroll'!$A$4:$AL$325,27,FALSE)</f>
        <v>2062.89</v>
      </c>
      <c r="J239" s="54">
        <f t="shared" si="45"/>
        <v>0.15279999999999999</v>
      </c>
      <c r="K239" s="54">
        <f t="shared" si="46"/>
        <v>2.7999999999999969E-3</v>
      </c>
      <c r="L239" s="45">
        <f t="shared" si="50"/>
        <v>446353.74</v>
      </c>
      <c r="M239" s="68">
        <v>127.03</v>
      </c>
      <c r="N239" s="68">
        <v>21.03</v>
      </c>
      <c r="O239" s="45">
        <f t="shared" si="51"/>
        <v>23763.47</v>
      </c>
      <c r="P239" s="45">
        <f t="shared" si="52"/>
        <v>0</v>
      </c>
      <c r="Q239" s="45">
        <f t="shared" si="53"/>
        <v>1824559.44</v>
      </c>
      <c r="R239" s="45">
        <f t="shared" si="54"/>
        <v>1794106.71</v>
      </c>
      <c r="S239" s="45">
        <f t="shared" si="55"/>
        <v>-66746.09</v>
      </c>
      <c r="T239" s="6">
        <f>VLOOKUP($A239,'2324 Jun 24 Enroll'!$A$4:$AL$325,31,FALSE)</f>
        <v>315.12</v>
      </c>
      <c r="U239" s="45">
        <f t="shared" si="47"/>
        <v>3348928.35</v>
      </c>
      <c r="V239" s="35">
        <v>0.1598</v>
      </c>
      <c r="W239" s="45">
        <f t="shared" si="48"/>
        <v>2887505.04</v>
      </c>
      <c r="X239" s="35">
        <v>0.29859999999999998</v>
      </c>
      <c r="Y239" s="45">
        <f t="shared" si="49"/>
        <v>862209</v>
      </c>
    </row>
    <row r="240" spans="1:25">
      <c r="A240" t="s">
        <v>422</v>
      </c>
      <c r="B240" t="s">
        <v>423</v>
      </c>
      <c r="C240" s="6">
        <f>VLOOKUP($A240,'SpEd BEA Rate 2324'!$A$4:$AS$325,45,FALSE)</f>
        <v>10208.539999999999</v>
      </c>
      <c r="D240" s="6">
        <f>VLOOKUP($A240,'2324 Jun 24 Enroll'!$A$4:$AL$325,22,FALSE)</f>
        <v>3.11</v>
      </c>
      <c r="E240" s="6">
        <f>VLOOKUP($A240,'2324 Jun 24 Enroll'!$A$4:$AL$325,23,FALSE)</f>
        <v>1.33</v>
      </c>
      <c r="F240" s="6">
        <f>VLOOKUP($A240,'2324 Jun 24 Enroll'!$A$4:$AL$325,24,FALSE)</f>
        <v>0</v>
      </c>
      <c r="G240" s="6">
        <f>VLOOKUP($A240,'2324 Jun 24 Enroll'!$A$4:$AL$325,25,FALSE)</f>
        <v>63.33</v>
      </c>
      <c r="H240" s="6">
        <f>VLOOKUP($A240,'2324 Jun 24 Enroll'!$A$4:$AL$325,26,FALSE)</f>
        <v>17.559999999999999</v>
      </c>
      <c r="I240" s="6">
        <f>VLOOKUP($A240,'2324 Jun 24 Enroll'!$A$4:$AL$325,27,FALSE)</f>
        <v>442.95</v>
      </c>
      <c r="J240" s="54">
        <f t="shared" si="45"/>
        <v>0.18559999999999999</v>
      </c>
      <c r="K240" s="54">
        <f t="shared" si="46"/>
        <v>3.5599999999999993E-2</v>
      </c>
      <c r="L240" s="45">
        <f t="shared" si="50"/>
        <v>38098.269999999997</v>
      </c>
      <c r="M240" s="68">
        <v>127.29</v>
      </c>
      <c r="N240" s="68">
        <v>21.07</v>
      </c>
      <c r="O240" s="45">
        <f t="shared" si="51"/>
        <v>15178.62</v>
      </c>
      <c r="P240" s="45">
        <f t="shared" si="52"/>
        <v>0</v>
      </c>
      <c r="Q240" s="45">
        <f t="shared" si="53"/>
        <v>722753.3</v>
      </c>
      <c r="R240" s="45">
        <f t="shared" si="54"/>
        <v>189647.69</v>
      </c>
      <c r="S240" s="45">
        <f t="shared" si="55"/>
        <v>-177919.35999999999</v>
      </c>
      <c r="T240" s="6">
        <f>VLOOKUP($A240,'2324 Jun 24 Enroll'!$A$4:$AL$325,31,FALSE)</f>
        <v>82.22</v>
      </c>
      <c r="U240" s="45">
        <f t="shared" si="47"/>
        <v>839346.16</v>
      </c>
      <c r="V240" s="35">
        <v>0.24379999999999999</v>
      </c>
      <c r="W240" s="45">
        <f t="shared" si="48"/>
        <v>674824.06</v>
      </c>
      <c r="X240" s="35">
        <v>0.14810000000000001</v>
      </c>
      <c r="Y240" s="45">
        <f t="shared" si="49"/>
        <v>99941.440000000002</v>
      </c>
    </row>
    <row r="241" spans="1:25">
      <c r="A241" t="s">
        <v>488</v>
      </c>
      <c r="B241" t="s">
        <v>489</v>
      </c>
      <c r="C241" s="6">
        <f>VLOOKUP($A241,'SpEd BEA Rate 2324'!$A$4:$AS$325,45,FALSE)</f>
        <v>10233.339999999998</v>
      </c>
      <c r="D241" s="6">
        <f>VLOOKUP($A241,'2324 Jun 24 Enroll'!$A$4:$AL$325,22,FALSE)</f>
        <v>54.89</v>
      </c>
      <c r="E241" s="6">
        <f>VLOOKUP($A241,'2324 Jun 24 Enroll'!$A$4:$AL$325,23,FALSE)</f>
        <v>0</v>
      </c>
      <c r="F241" s="6">
        <f>VLOOKUP($A241,'2324 Jun 24 Enroll'!$A$4:$AL$325,24,FALSE)</f>
        <v>0</v>
      </c>
      <c r="G241" s="6">
        <f>VLOOKUP($A241,'2324 Jun 24 Enroll'!$A$4:$AL$325,25,FALSE)</f>
        <v>250.56</v>
      </c>
      <c r="H241" s="6">
        <f>VLOOKUP($A241,'2324 Jun 24 Enroll'!$A$4:$AL$325,26,FALSE)</f>
        <v>179.33</v>
      </c>
      <c r="I241" s="6">
        <f>VLOOKUP($A241,'2324 Jun 24 Enroll'!$A$4:$AL$325,27,FALSE)</f>
        <v>2266.5300000000002</v>
      </c>
      <c r="J241" s="54">
        <f t="shared" si="45"/>
        <v>0.18970000000000001</v>
      </c>
      <c r="K241" s="54">
        <f t="shared" si="46"/>
        <v>3.9700000000000013E-2</v>
      </c>
      <c r="L241" s="45">
        <f t="shared" si="50"/>
        <v>674049.64</v>
      </c>
      <c r="M241" s="68">
        <v>135.66</v>
      </c>
      <c r="N241" s="68">
        <v>22.45</v>
      </c>
      <c r="O241" s="45">
        <f t="shared" si="51"/>
        <v>0</v>
      </c>
      <c r="P241" s="45">
        <f t="shared" si="52"/>
        <v>0</v>
      </c>
      <c r="Q241" s="45">
        <f t="shared" si="53"/>
        <v>2866128.48</v>
      </c>
      <c r="R241" s="45">
        <f t="shared" si="54"/>
        <v>1941227.6</v>
      </c>
      <c r="S241" s="45">
        <f t="shared" si="55"/>
        <v>-1006072.94</v>
      </c>
      <c r="T241" s="6">
        <f>VLOOKUP($A241,'2324 Jun 24 Enroll'!$A$4:$AL$325,31,FALSE)</f>
        <v>423.45</v>
      </c>
      <c r="U241" s="45">
        <f t="shared" si="47"/>
        <v>4333307.82</v>
      </c>
      <c r="V241" s="35">
        <v>0.1646</v>
      </c>
      <c r="W241" s="45">
        <f t="shared" si="48"/>
        <v>3720855.07</v>
      </c>
      <c r="X241" s="35">
        <v>0.26579999999999998</v>
      </c>
      <c r="Y241" s="45">
        <f t="shared" si="49"/>
        <v>989003.28</v>
      </c>
    </row>
    <row r="242" spans="1:25">
      <c r="A242" t="s">
        <v>787</v>
      </c>
      <c r="B242" t="s">
        <v>788</v>
      </c>
      <c r="C242" s="6">
        <f>VLOOKUP($A242,'SpEd BEA Rate 2324'!$A$4:$AS$325,45,FALSE)</f>
        <v>10531.509999999998</v>
      </c>
      <c r="D242" s="6">
        <f>VLOOKUP($A242,'2324 Jun 24 Enroll'!$A$4:$AL$325,22,FALSE)</f>
        <v>71</v>
      </c>
      <c r="E242" s="6">
        <f>VLOOKUP($A242,'2324 Jun 24 Enroll'!$A$4:$AL$325,23,FALSE)</f>
        <v>11.44</v>
      </c>
      <c r="F242" s="6">
        <f>VLOOKUP($A242,'2324 Jun 24 Enroll'!$A$4:$AL$325,24,FALSE)</f>
        <v>0.33</v>
      </c>
      <c r="G242" s="6">
        <f>VLOOKUP($A242,'2324 Jun 24 Enroll'!$A$4:$AL$325,25,FALSE)</f>
        <v>478.89</v>
      </c>
      <c r="H242" s="6">
        <f>VLOOKUP($A242,'2324 Jun 24 Enroll'!$A$4:$AL$325,26,FALSE)</f>
        <v>225.56</v>
      </c>
      <c r="I242" s="6">
        <f>VLOOKUP($A242,'2324 Jun 24 Enroll'!$A$4:$AL$325,27,FALSE)</f>
        <v>4739.74</v>
      </c>
      <c r="J242" s="54">
        <f t="shared" si="45"/>
        <v>0.15110000000000001</v>
      </c>
      <c r="K242" s="54">
        <f t="shared" si="46"/>
        <v>1.1000000000000176E-3</v>
      </c>
      <c r="L242" s="45">
        <f t="shared" si="50"/>
        <v>897284.65</v>
      </c>
      <c r="M242" s="68">
        <v>131.01</v>
      </c>
      <c r="N242" s="68">
        <v>21.68</v>
      </c>
      <c r="O242" s="45">
        <f t="shared" si="51"/>
        <v>134690.10999999999</v>
      </c>
      <c r="P242" s="45">
        <f t="shared" si="52"/>
        <v>3676.77</v>
      </c>
      <c r="Q242" s="45">
        <f t="shared" si="53"/>
        <v>5638264.6699999999</v>
      </c>
      <c r="R242" s="45">
        <f t="shared" si="54"/>
        <v>2513126.5</v>
      </c>
      <c r="S242" s="45">
        <f t="shared" si="55"/>
        <v>-60349</v>
      </c>
      <c r="T242" s="6">
        <f>VLOOKUP($A242,'2324 Jun 24 Enroll'!$A$4:$AL$325,31,FALSE)</f>
        <v>716.22</v>
      </c>
      <c r="U242" s="45">
        <f t="shared" si="47"/>
        <v>7542878.0899999999</v>
      </c>
      <c r="V242" s="35">
        <v>0.1447</v>
      </c>
      <c r="W242" s="45">
        <f t="shared" si="48"/>
        <v>6589392.9299999997</v>
      </c>
      <c r="X242" s="35">
        <v>0.26500000000000001</v>
      </c>
      <c r="Y242" s="45">
        <f t="shared" si="49"/>
        <v>1746189.13</v>
      </c>
    </row>
    <row r="243" spans="1:25">
      <c r="A243" t="s">
        <v>781</v>
      </c>
      <c r="B243" t="s">
        <v>782</v>
      </c>
      <c r="C243" s="6">
        <f>VLOOKUP($A243,'SpEd BEA Rate 2324'!$A$4:$AS$325,45,FALSE)</f>
        <v>9525.4600000000009</v>
      </c>
      <c r="D243" s="6">
        <f>VLOOKUP($A243,'2324 Jun 24 Enroll'!$A$4:$AL$325,22,FALSE)</f>
        <v>397.56</v>
      </c>
      <c r="E243" s="6">
        <f>VLOOKUP($A243,'2324 Jun 24 Enroll'!$A$4:$AL$325,23,FALSE)</f>
        <v>0.44</v>
      </c>
      <c r="F243" s="6">
        <f>VLOOKUP($A243,'2324 Jun 24 Enroll'!$A$4:$AL$325,24,FALSE)</f>
        <v>0</v>
      </c>
      <c r="G243" s="6">
        <f>VLOOKUP($A243,'2324 Jun 24 Enroll'!$A$4:$AL$325,25,FALSE)</f>
        <v>3343</v>
      </c>
      <c r="H243" s="6">
        <f>VLOOKUP($A243,'2324 Jun 24 Enroll'!$A$4:$AL$325,26,FALSE)</f>
        <v>1508.78</v>
      </c>
      <c r="I243" s="6">
        <f>VLOOKUP($A243,'2324 Jun 24 Enroll'!$A$4:$AL$325,27,FALSE)</f>
        <v>28328.11</v>
      </c>
      <c r="J243" s="54">
        <f t="shared" si="45"/>
        <v>0.17130000000000001</v>
      </c>
      <c r="K243" s="54">
        <f t="shared" si="46"/>
        <v>2.1300000000000013E-2</v>
      </c>
      <c r="L243" s="45">
        <f t="shared" si="50"/>
        <v>4544330.25</v>
      </c>
      <c r="M243" s="68">
        <v>127.35</v>
      </c>
      <c r="N243" s="68">
        <v>21.08</v>
      </c>
      <c r="O243" s="45">
        <f t="shared" si="51"/>
        <v>4684.87</v>
      </c>
      <c r="P243" s="45">
        <f t="shared" si="52"/>
        <v>0</v>
      </c>
      <c r="Q243" s="45">
        <f t="shared" si="53"/>
        <v>35594375.869999997</v>
      </c>
      <c r="R243" s="45">
        <f t="shared" si="54"/>
        <v>15202327.869999999</v>
      </c>
      <c r="S243" s="45">
        <f t="shared" si="55"/>
        <v>-6316810.1399999997</v>
      </c>
      <c r="T243" s="6">
        <f>VLOOKUP($A243,'2324 Jun 24 Enroll'!$A$4:$AL$325,31,FALSE)</f>
        <v>4852.22</v>
      </c>
      <c r="U243" s="45">
        <f t="shared" si="47"/>
        <v>46219627.520000003</v>
      </c>
      <c r="V243" s="35">
        <v>0.1147</v>
      </c>
      <c r="W243" s="45">
        <f t="shared" si="48"/>
        <v>41463736.899999999</v>
      </c>
      <c r="X243" s="35">
        <v>0.2417</v>
      </c>
      <c r="Y243" s="45">
        <f t="shared" si="49"/>
        <v>10021785.210000001</v>
      </c>
    </row>
    <row r="244" spans="1:25">
      <c r="A244" t="s">
        <v>665</v>
      </c>
      <c r="B244" t="s">
        <v>666</v>
      </c>
      <c r="C244" s="6">
        <f>VLOOKUP($A244,'SpEd BEA Rate 2324'!$A$4:$AS$325,45,FALSE)</f>
        <v>9356.4699999999993</v>
      </c>
      <c r="D244" s="6">
        <f>VLOOKUP($A244,'2324 Jun 24 Enroll'!$A$4:$AL$325,22,FALSE)</f>
        <v>0</v>
      </c>
      <c r="E244" s="6">
        <f>VLOOKUP($A244,'2324 Jun 24 Enroll'!$A$4:$AL$325,23,FALSE)</f>
        <v>0</v>
      </c>
      <c r="F244" s="6">
        <f>VLOOKUP($A244,'2324 Jun 24 Enroll'!$A$4:$AL$325,24,FALSE)</f>
        <v>0</v>
      </c>
      <c r="G244" s="6">
        <f>VLOOKUP($A244,'2324 Jun 24 Enroll'!$A$4:$AL$325,25,FALSE)</f>
        <v>4.22</v>
      </c>
      <c r="H244" s="6">
        <f>VLOOKUP($A244,'2324 Jun 24 Enroll'!$A$4:$AL$325,26,FALSE)</f>
        <v>1.33</v>
      </c>
      <c r="I244" s="6">
        <f>VLOOKUP($A244,'2324 Jun 24 Enroll'!$A$4:$AL$325,27,FALSE)</f>
        <v>72.599999999999994</v>
      </c>
      <c r="J244" s="54">
        <f t="shared" si="45"/>
        <v>7.6399999999999996E-2</v>
      </c>
      <c r="K244" s="54">
        <f t="shared" si="46"/>
        <v>0</v>
      </c>
      <c r="L244" s="45">
        <f t="shared" si="50"/>
        <v>0</v>
      </c>
      <c r="M244" s="68">
        <v>117.81</v>
      </c>
      <c r="N244" s="68">
        <v>19.5</v>
      </c>
      <c r="O244" s="45">
        <f t="shared" si="51"/>
        <v>0</v>
      </c>
      <c r="P244" s="45">
        <f t="shared" si="52"/>
        <v>0</v>
      </c>
      <c r="Q244" s="45">
        <f t="shared" si="53"/>
        <v>44140.13</v>
      </c>
      <c r="R244" s="45">
        <f t="shared" si="54"/>
        <v>13164.82</v>
      </c>
      <c r="S244" s="45">
        <f t="shared" si="55"/>
        <v>0</v>
      </c>
      <c r="T244" s="6">
        <f>VLOOKUP($A244,'2324 Jun 24 Enroll'!$A$4:$AL$325,31,FALSE)</f>
        <v>5.55</v>
      </c>
      <c r="U244" s="45">
        <f t="shared" si="47"/>
        <v>51928.41</v>
      </c>
      <c r="V244" s="35">
        <v>0.22570000000000001</v>
      </c>
      <c r="W244" s="45">
        <f t="shared" si="48"/>
        <v>42366.33</v>
      </c>
      <c r="X244" s="35">
        <v>0.15</v>
      </c>
      <c r="Y244" s="45">
        <f t="shared" si="49"/>
        <v>6354.95</v>
      </c>
    </row>
    <row r="245" spans="1:25">
      <c r="A245" t="s">
        <v>492</v>
      </c>
      <c r="B245" t="s">
        <v>493</v>
      </c>
      <c r="C245" s="6">
        <f>VLOOKUP($A245,'SpEd BEA Rate 2324'!$A$4:$AS$325,45,FALSE)</f>
        <v>9356.4699999999993</v>
      </c>
      <c r="D245" s="6">
        <f>VLOOKUP($A245,'2324 Jun 24 Enroll'!$A$4:$AL$325,22,FALSE)</f>
        <v>0</v>
      </c>
      <c r="E245" s="6">
        <f>VLOOKUP($A245,'2324 Jun 24 Enroll'!$A$4:$AL$325,23,FALSE)</f>
        <v>0</v>
      </c>
      <c r="F245" s="6">
        <f>VLOOKUP($A245,'2324 Jun 24 Enroll'!$A$4:$AL$325,24,FALSE)</f>
        <v>0</v>
      </c>
      <c r="G245" s="6">
        <f>VLOOKUP($A245,'2324 Jun 24 Enroll'!$A$4:$AL$325,25,FALSE)</f>
        <v>7.11</v>
      </c>
      <c r="H245" s="6">
        <f>VLOOKUP($A245,'2324 Jun 24 Enroll'!$A$4:$AL$325,26,FALSE)</f>
        <v>1</v>
      </c>
      <c r="I245" s="6">
        <f>VLOOKUP($A245,'2324 Jun 24 Enroll'!$A$4:$AL$325,27,FALSE)</f>
        <v>37.6</v>
      </c>
      <c r="J245" s="54">
        <f t="shared" si="45"/>
        <v>0.2157</v>
      </c>
      <c r="K245" s="54">
        <f t="shared" si="46"/>
        <v>6.5700000000000008E-2</v>
      </c>
      <c r="L245" s="45">
        <f t="shared" si="50"/>
        <v>0</v>
      </c>
      <c r="M245" s="68">
        <v>122.65</v>
      </c>
      <c r="N245" s="68">
        <v>20.3</v>
      </c>
      <c r="O245" s="45">
        <f t="shared" si="51"/>
        <v>0</v>
      </c>
      <c r="P245" s="45">
        <f t="shared" si="52"/>
        <v>0</v>
      </c>
      <c r="Q245" s="45">
        <f t="shared" si="53"/>
        <v>74363.11</v>
      </c>
      <c r="R245" s="45">
        <f t="shared" si="54"/>
        <v>9897.56</v>
      </c>
      <c r="S245" s="45">
        <f t="shared" si="55"/>
        <v>-25664.93</v>
      </c>
      <c r="T245" s="6">
        <f>VLOOKUP($A245,'2324 Jun 24 Enroll'!$A$4:$AL$325,31,FALSE)</f>
        <v>8.11</v>
      </c>
      <c r="U245" s="45">
        <f t="shared" si="47"/>
        <v>75880.97</v>
      </c>
      <c r="V245" s="35">
        <v>0.2009</v>
      </c>
      <c r="W245" s="45">
        <f t="shared" si="48"/>
        <v>63186.75</v>
      </c>
      <c r="X245" s="35">
        <v>0.08</v>
      </c>
      <c r="Y245" s="45">
        <f t="shared" si="49"/>
        <v>5054.9399999999996</v>
      </c>
    </row>
    <row r="246" spans="1:25">
      <c r="A246" t="s">
        <v>623</v>
      </c>
      <c r="B246" t="s">
        <v>624</v>
      </c>
      <c r="C246" s="6">
        <f>VLOOKUP($A246,'SpEd BEA Rate 2324'!$A$4:$AS$325,45,FALSE)</f>
        <v>9633.4900000000016</v>
      </c>
      <c r="D246" s="6">
        <f>VLOOKUP($A246,'2324 Jun 24 Enroll'!$A$4:$AL$325,22,FALSE)</f>
        <v>12.11</v>
      </c>
      <c r="E246" s="6">
        <f>VLOOKUP($A246,'2324 Jun 24 Enroll'!$A$4:$AL$325,23,FALSE)</f>
        <v>0</v>
      </c>
      <c r="F246" s="6">
        <f>VLOOKUP($A246,'2324 Jun 24 Enroll'!$A$4:$AL$325,24,FALSE)</f>
        <v>0</v>
      </c>
      <c r="G246" s="6">
        <f>VLOOKUP($A246,'2324 Jun 24 Enroll'!$A$4:$AL$325,25,FALSE)</f>
        <v>137</v>
      </c>
      <c r="H246" s="6">
        <f>VLOOKUP($A246,'2324 Jun 24 Enroll'!$A$4:$AL$325,26,FALSE)</f>
        <v>54.33</v>
      </c>
      <c r="I246" s="6">
        <f>VLOOKUP($A246,'2324 Jun 24 Enroll'!$A$4:$AL$325,27,FALSE)</f>
        <v>1419.61</v>
      </c>
      <c r="J246" s="54">
        <f t="shared" si="45"/>
        <v>0.1348</v>
      </c>
      <c r="K246" s="54">
        <f t="shared" si="46"/>
        <v>0</v>
      </c>
      <c r="L246" s="45">
        <f t="shared" si="50"/>
        <v>139993.88</v>
      </c>
      <c r="M246" s="68">
        <v>125.93</v>
      </c>
      <c r="N246" s="68">
        <v>20.84</v>
      </c>
      <c r="O246" s="45">
        <f t="shared" si="51"/>
        <v>0</v>
      </c>
      <c r="P246" s="45">
        <f t="shared" si="52"/>
        <v>0</v>
      </c>
      <c r="Q246" s="45">
        <f t="shared" si="53"/>
        <v>1475307.63</v>
      </c>
      <c r="R246" s="45">
        <f t="shared" si="54"/>
        <v>553658.53</v>
      </c>
      <c r="S246" s="45">
        <f t="shared" si="55"/>
        <v>0</v>
      </c>
      <c r="T246" s="6">
        <f>VLOOKUP($A246,'2324 Jun 24 Enroll'!$A$4:$AL$325,31,FALSE)</f>
        <v>191.33</v>
      </c>
      <c r="U246" s="45">
        <f t="shared" si="47"/>
        <v>1843175.64</v>
      </c>
      <c r="V246" s="35">
        <v>0.14280000000000001</v>
      </c>
      <c r="W246" s="45">
        <f t="shared" si="48"/>
        <v>1612859.33</v>
      </c>
      <c r="X246" s="35">
        <v>0.2311</v>
      </c>
      <c r="Y246" s="45">
        <f t="shared" si="49"/>
        <v>372731.79</v>
      </c>
    </row>
    <row r="247" spans="1:25">
      <c r="A247" t="s">
        <v>584</v>
      </c>
      <c r="B247" t="s">
        <v>585</v>
      </c>
      <c r="C247" s="6">
        <f>VLOOKUP($A247,'SpEd BEA Rate 2324'!$A$4:$AS$325,45,FALSE)</f>
        <v>9416.65</v>
      </c>
      <c r="D247" s="6">
        <f>VLOOKUP($A247,'2324 Jun 24 Enroll'!$A$4:$AL$325,22,FALSE)</f>
        <v>31.33</v>
      </c>
      <c r="E247" s="6">
        <f>VLOOKUP($A247,'2324 Jun 24 Enroll'!$A$4:$AL$325,23,FALSE)</f>
        <v>0.89</v>
      </c>
      <c r="F247" s="6">
        <f>VLOOKUP($A247,'2324 Jun 24 Enroll'!$A$4:$AL$325,24,FALSE)</f>
        <v>0</v>
      </c>
      <c r="G247" s="6">
        <f>VLOOKUP($A247,'2324 Jun 24 Enroll'!$A$4:$AL$325,25,FALSE)</f>
        <v>173.89</v>
      </c>
      <c r="H247" s="6">
        <f>VLOOKUP($A247,'2324 Jun 24 Enroll'!$A$4:$AL$325,26,FALSE)</f>
        <v>36.33</v>
      </c>
      <c r="I247" s="6">
        <f>VLOOKUP($A247,'2324 Jun 24 Enroll'!$A$4:$AL$325,27,FALSE)</f>
        <v>1738.87</v>
      </c>
      <c r="J247" s="54">
        <f t="shared" si="45"/>
        <v>0.12139999999999999</v>
      </c>
      <c r="K247" s="54">
        <f t="shared" si="46"/>
        <v>0</v>
      </c>
      <c r="L247" s="45">
        <f t="shared" si="50"/>
        <v>354028.37</v>
      </c>
      <c r="M247" s="68">
        <v>134.11000000000001</v>
      </c>
      <c r="N247" s="68">
        <v>22.2</v>
      </c>
      <c r="O247" s="45">
        <f t="shared" si="51"/>
        <v>9366.76</v>
      </c>
      <c r="P247" s="45">
        <f t="shared" si="52"/>
        <v>0</v>
      </c>
      <c r="Q247" s="45">
        <f t="shared" si="53"/>
        <v>1830096.26</v>
      </c>
      <c r="R247" s="45">
        <f t="shared" si="54"/>
        <v>361826.78</v>
      </c>
      <c r="S247" s="45">
        <f t="shared" si="55"/>
        <v>0</v>
      </c>
      <c r="T247" s="6">
        <f>VLOOKUP($A247,'2324 Jun 24 Enroll'!$A$4:$AL$325,31,FALSE)</f>
        <v>211.11</v>
      </c>
      <c r="U247" s="45">
        <f t="shared" si="47"/>
        <v>1987948.98</v>
      </c>
      <c r="V247" s="35">
        <v>0.1762</v>
      </c>
      <c r="W247" s="45">
        <f t="shared" si="48"/>
        <v>1690145.37</v>
      </c>
      <c r="X247" s="35">
        <v>0.18149999999999999</v>
      </c>
      <c r="Y247" s="45">
        <f t="shared" si="49"/>
        <v>306761.38</v>
      </c>
    </row>
    <row r="248" spans="1:25">
      <c r="A248" t="s">
        <v>582</v>
      </c>
      <c r="B248" t="s">
        <v>583</v>
      </c>
      <c r="C248" s="6">
        <f>VLOOKUP($A248,'SpEd BEA Rate 2324'!$A$4:$AS$325,45,FALSE)</f>
        <v>9657.8100000000013</v>
      </c>
      <c r="D248" s="6">
        <f>VLOOKUP($A248,'2324 Jun 24 Enroll'!$A$4:$AL$325,22,FALSE)</f>
        <v>114.11</v>
      </c>
      <c r="E248" s="6">
        <f>VLOOKUP($A248,'2324 Jun 24 Enroll'!$A$4:$AL$325,23,FALSE)</f>
        <v>15.44</v>
      </c>
      <c r="F248" s="6">
        <f>VLOOKUP($A248,'2324 Jun 24 Enroll'!$A$4:$AL$325,24,FALSE)</f>
        <v>0</v>
      </c>
      <c r="G248" s="6">
        <f>VLOOKUP($A248,'2324 Jun 24 Enroll'!$A$4:$AL$325,25,FALSE)</f>
        <v>913.44</v>
      </c>
      <c r="H248" s="6">
        <f>VLOOKUP($A248,'2324 Jun 24 Enroll'!$A$4:$AL$325,26,FALSE)</f>
        <v>696.78</v>
      </c>
      <c r="I248" s="6">
        <f>VLOOKUP($A248,'2324 Jun 24 Enroll'!$A$4:$AL$325,27,FALSE)</f>
        <v>10339.11</v>
      </c>
      <c r="J248" s="54">
        <f t="shared" si="45"/>
        <v>0.15720000000000001</v>
      </c>
      <c r="K248" s="54">
        <f t="shared" si="46"/>
        <v>7.2000000000000119E-3</v>
      </c>
      <c r="L248" s="45">
        <f t="shared" si="50"/>
        <v>1322463.24</v>
      </c>
      <c r="M248" s="68">
        <v>126.86</v>
      </c>
      <c r="N248" s="68">
        <v>21</v>
      </c>
      <c r="O248" s="45">
        <f t="shared" si="51"/>
        <v>166686.34</v>
      </c>
      <c r="P248" s="45">
        <f t="shared" si="52"/>
        <v>0</v>
      </c>
      <c r="Q248" s="45">
        <f t="shared" si="53"/>
        <v>9861267.3200000003</v>
      </c>
      <c r="R248" s="45">
        <f t="shared" si="54"/>
        <v>7118498.5999999996</v>
      </c>
      <c r="S248" s="45">
        <f t="shared" si="55"/>
        <v>-785333.69</v>
      </c>
      <c r="T248" s="6">
        <f>VLOOKUP($A248,'2324 Jun 24 Enroll'!$A$4:$AL$325,31,FALSE)</f>
        <v>1625.66</v>
      </c>
      <c r="U248" s="45">
        <f t="shared" si="47"/>
        <v>15700315.4</v>
      </c>
      <c r="V248" s="35">
        <v>0.1285</v>
      </c>
      <c r="W248" s="45">
        <f t="shared" si="48"/>
        <v>13912552.41</v>
      </c>
      <c r="X248" s="35">
        <v>0.30659999999999998</v>
      </c>
      <c r="Y248" s="45">
        <f t="shared" si="49"/>
        <v>4265588.57</v>
      </c>
    </row>
    <row r="249" spans="1:25">
      <c r="A249" t="s">
        <v>372</v>
      </c>
      <c r="B249" t="s">
        <v>373</v>
      </c>
      <c r="C249" s="6">
        <f>VLOOKUP($A249,'SpEd BEA Rate 2324'!$A$4:$AS$325,45,FALSE)</f>
        <v>9622.9700000000012</v>
      </c>
      <c r="D249" s="6">
        <f>VLOOKUP($A249,'2324 Jun 24 Enroll'!$A$4:$AL$325,22,FALSE)</f>
        <v>230.44</v>
      </c>
      <c r="E249" s="6">
        <f>VLOOKUP($A249,'2324 Jun 24 Enroll'!$A$4:$AL$325,23,FALSE)</f>
        <v>0</v>
      </c>
      <c r="F249" s="6">
        <f>VLOOKUP($A249,'2324 Jun 24 Enroll'!$A$4:$AL$325,24,FALSE)</f>
        <v>0</v>
      </c>
      <c r="G249" s="6">
        <f>VLOOKUP($A249,'2324 Jun 24 Enroll'!$A$4:$AL$325,25,FALSE)</f>
        <v>1034.67</v>
      </c>
      <c r="H249" s="6">
        <f>VLOOKUP($A249,'2324 Jun 24 Enroll'!$A$4:$AL$325,26,FALSE)</f>
        <v>1143.56</v>
      </c>
      <c r="I249" s="6">
        <f>VLOOKUP($A249,'2324 Jun 24 Enroll'!$A$4:$AL$325,27,FALSE)</f>
        <v>14385.88</v>
      </c>
      <c r="J249" s="54">
        <f t="shared" si="45"/>
        <v>0.15140000000000001</v>
      </c>
      <c r="K249" s="54">
        <f t="shared" si="46"/>
        <v>1.4000000000000123E-3</v>
      </c>
      <c r="L249" s="45">
        <f t="shared" si="50"/>
        <v>2661020.65</v>
      </c>
      <c r="M249" s="68">
        <v>131.02000000000001</v>
      </c>
      <c r="N249" s="68">
        <v>21.69</v>
      </c>
      <c r="O249" s="45">
        <f t="shared" si="51"/>
        <v>0</v>
      </c>
      <c r="P249" s="45">
        <f t="shared" si="52"/>
        <v>0</v>
      </c>
      <c r="Q249" s="45">
        <f t="shared" si="53"/>
        <v>11128948.18</v>
      </c>
      <c r="R249" s="45">
        <f t="shared" si="54"/>
        <v>11639906.369999999</v>
      </c>
      <c r="S249" s="45">
        <f t="shared" si="55"/>
        <v>-210544.23</v>
      </c>
      <c r="T249" s="6">
        <f>VLOOKUP($A249,'2324 Jun 24 Enroll'!$A$4:$AL$325,31,FALSE)</f>
        <v>2166.5500000000002</v>
      </c>
      <c r="U249" s="45">
        <f t="shared" si="47"/>
        <v>20848645.649999999</v>
      </c>
      <c r="V249" s="35">
        <v>0.13370000000000001</v>
      </c>
      <c r="W249" s="45">
        <f t="shared" si="48"/>
        <v>18389914.129999999</v>
      </c>
      <c r="X249" s="35">
        <v>0.35780000000000001</v>
      </c>
      <c r="Y249" s="45">
        <f t="shared" si="49"/>
        <v>6579911.2800000003</v>
      </c>
    </row>
    <row r="250" spans="1:25">
      <c r="A250" t="s">
        <v>474</v>
      </c>
      <c r="B250" t="s">
        <v>475</v>
      </c>
      <c r="C250" s="6">
        <f>VLOOKUP($A250,'SpEd BEA Rate 2324'!$A$4:$AS$325,45,FALSE)</f>
        <v>9624.86</v>
      </c>
      <c r="D250" s="6">
        <f>VLOOKUP($A250,'2324 Jun 24 Enroll'!$A$4:$AL$325,22,FALSE)</f>
        <v>5.56</v>
      </c>
      <c r="E250" s="6">
        <f>VLOOKUP($A250,'2324 Jun 24 Enroll'!$A$4:$AL$325,23,FALSE)</f>
        <v>2.44</v>
      </c>
      <c r="F250" s="6">
        <f>VLOOKUP($A250,'2324 Jun 24 Enroll'!$A$4:$AL$325,24,FALSE)</f>
        <v>0.11</v>
      </c>
      <c r="G250" s="6">
        <f>VLOOKUP($A250,'2324 Jun 24 Enroll'!$A$4:$AL$325,25,FALSE)</f>
        <v>77.78</v>
      </c>
      <c r="H250" s="6">
        <f>VLOOKUP($A250,'2324 Jun 24 Enroll'!$A$4:$AL$325,26,FALSE)</f>
        <v>26.56</v>
      </c>
      <c r="I250" s="6">
        <f>VLOOKUP($A250,'2324 Jun 24 Enroll'!$A$4:$AL$325,27,FALSE)</f>
        <v>874.87</v>
      </c>
      <c r="J250" s="54">
        <f t="shared" si="45"/>
        <v>0.1222</v>
      </c>
      <c r="K250" s="54">
        <f t="shared" si="46"/>
        <v>0</v>
      </c>
      <c r="L250" s="45">
        <f t="shared" si="50"/>
        <v>64217.07</v>
      </c>
      <c r="M250" s="68">
        <v>127.78</v>
      </c>
      <c r="N250" s="68">
        <v>21.15</v>
      </c>
      <c r="O250" s="45">
        <f t="shared" si="51"/>
        <v>26251.21</v>
      </c>
      <c r="P250" s="45">
        <f t="shared" si="52"/>
        <v>1119.93</v>
      </c>
      <c r="Q250" s="45">
        <f t="shared" si="53"/>
        <v>836811.16</v>
      </c>
      <c r="R250" s="45">
        <f t="shared" si="54"/>
        <v>270412.71000000002</v>
      </c>
      <c r="S250" s="45">
        <f t="shared" si="55"/>
        <v>0</v>
      </c>
      <c r="T250" s="6">
        <f>VLOOKUP($A250,'2324 Jun 24 Enroll'!$A$4:$AL$325,31,FALSE)</f>
        <v>106.89</v>
      </c>
      <c r="U250" s="45">
        <f t="shared" si="47"/>
        <v>1028801.29</v>
      </c>
      <c r="V250" s="35">
        <v>0.17019999999999999</v>
      </c>
      <c r="W250" s="45">
        <f t="shared" si="48"/>
        <v>879167.06</v>
      </c>
      <c r="X250" s="35">
        <v>0.22</v>
      </c>
      <c r="Y250" s="45">
        <f t="shared" si="49"/>
        <v>193416.75</v>
      </c>
    </row>
    <row r="251" spans="1:25">
      <c r="A251" t="s">
        <v>378</v>
      </c>
      <c r="B251" t="s">
        <v>379</v>
      </c>
      <c r="C251" s="6">
        <f>VLOOKUP($A251,'SpEd BEA Rate 2324'!$A$4:$AS$325,45,FALSE)</f>
        <v>9420.81</v>
      </c>
      <c r="D251" s="6">
        <f>VLOOKUP($A251,'2324 Jun 24 Enroll'!$A$4:$AL$325,22,FALSE)</f>
        <v>102.22</v>
      </c>
      <c r="E251" s="6">
        <f>VLOOKUP($A251,'2324 Jun 24 Enroll'!$A$4:$AL$325,23,FALSE)</f>
        <v>0</v>
      </c>
      <c r="F251" s="6">
        <f>VLOOKUP($A251,'2324 Jun 24 Enroll'!$A$4:$AL$325,24,FALSE)</f>
        <v>0</v>
      </c>
      <c r="G251" s="6">
        <f>VLOOKUP($A251,'2324 Jun 24 Enroll'!$A$4:$AL$325,25,FALSE)</f>
        <v>641.33000000000004</v>
      </c>
      <c r="H251" s="6">
        <f>VLOOKUP($A251,'2324 Jun 24 Enroll'!$A$4:$AL$325,26,FALSE)</f>
        <v>184.67</v>
      </c>
      <c r="I251" s="6">
        <f>VLOOKUP($A251,'2324 Jun 24 Enroll'!$A$4:$AL$325,27,FALSE)</f>
        <v>5415.66</v>
      </c>
      <c r="J251" s="54">
        <f t="shared" si="45"/>
        <v>0.1525</v>
      </c>
      <c r="K251" s="54">
        <f t="shared" si="46"/>
        <v>2.5000000000000022E-3</v>
      </c>
      <c r="L251" s="45">
        <f t="shared" si="50"/>
        <v>1155594.24</v>
      </c>
      <c r="M251" s="68">
        <v>123.05</v>
      </c>
      <c r="N251" s="68">
        <v>20.37</v>
      </c>
      <c r="O251" s="45">
        <f t="shared" si="51"/>
        <v>0</v>
      </c>
      <c r="P251" s="45">
        <f t="shared" si="52"/>
        <v>0</v>
      </c>
      <c r="Q251" s="45">
        <f t="shared" si="53"/>
        <v>6753805.9500000002</v>
      </c>
      <c r="R251" s="45">
        <f t="shared" si="54"/>
        <v>1840363.71</v>
      </c>
      <c r="S251" s="45">
        <f t="shared" si="55"/>
        <v>-140888.03</v>
      </c>
      <c r="T251" s="6">
        <f>VLOOKUP($A251,'2324 Jun 24 Enroll'!$A$4:$AL$325,31,FALSE)</f>
        <v>826</v>
      </c>
      <c r="U251" s="45">
        <f t="shared" si="47"/>
        <v>7781589.0599999996</v>
      </c>
      <c r="V251" s="35">
        <v>0.14180000000000001</v>
      </c>
      <c r="W251" s="45">
        <f t="shared" si="48"/>
        <v>6815194.4800000004</v>
      </c>
      <c r="X251" s="35">
        <v>0.2051</v>
      </c>
      <c r="Y251" s="45">
        <f t="shared" si="49"/>
        <v>1397796.39</v>
      </c>
    </row>
    <row r="252" spans="1:25">
      <c r="A252" t="s">
        <v>434</v>
      </c>
      <c r="B252" t="s">
        <v>435</v>
      </c>
      <c r="C252" s="6">
        <f>VLOOKUP($A252,'SpEd BEA Rate 2324'!$A$4:$AS$325,45,FALSE)</f>
        <v>9623.9600000000009</v>
      </c>
      <c r="D252" s="6">
        <f>VLOOKUP($A252,'2324 Jun 24 Enroll'!$A$4:$AL$325,22,FALSE)</f>
        <v>66.89</v>
      </c>
      <c r="E252" s="6">
        <f>VLOOKUP($A252,'2324 Jun 24 Enroll'!$A$4:$AL$325,23,FALSE)</f>
        <v>0</v>
      </c>
      <c r="F252" s="6">
        <f>VLOOKUP($A252,'2324 Jun 24 Enroll'!$A$4:$AL$325,24,FALSE)</f>
        <v>0</v>
      </c>
      <c r="G252" s="6">
        <f>VLOOKUP($A252,'2324 Jun 24 Enroll'!$A$4:$AL$325,25,FALSE)</f>
        <v>293.22000000000003</v>
      </c>
      <c r="H252" s="6">
        <f>VLOOKUP($A252,'2324 Jun 24 Enroll'!$A$4:$AL$325,26,FALSE)</f>
        <v>275.22000000000003</v>
      </c>
      <c r="I252" s="6">
        <f>VLOOKUP($A252,'2324 Jun 24 Enroll'!$A$4:$AL$325,27,FALSE)</f>
        <v>3502.61</v>
      </c>
      <c r="J252" s="54">
        <f t="shared" si="45"/>
        <v>0.1623</v>
      </c>
      <c r="K252" s="54">
        <f t="shared" si="46"/>
        <v>1.2300000000000005E-2</v>
      </c>
      <c r="L252" s="45">
        <f t="shared" si="50"/>
        <v>772496.02</v>
      </c>
      <c r="M252" s="68">
        <v>123.99</v>
      </c>
      <c r="N252" s="68">
        <v>20.52</v>
      </c>
      <c r="O252" s="45">
        <f t="shared" si="51"/>
        <v>0</v>
      </c>
      <c r="P252" s="45">
        <f t="shared" si="52"/>
        <v>0</v>
      </c>
      <c r="Q252" s="45">
        <f t="shared" si="53"/>
        <v>3154553.18</v>
      </c>
      <c r="R252" s="45">
        <f t="shared" si="54"/>
        <v>2801981.13</v>
      </c>
      <c r="S252" s="45">
        <f t="shared" si="55"/>
        <v>-451419.42</v>
      </c>
      <c r="T252" s="6">
        <f>VLOOKUP($A252,'2324 Jun 24 Enroll'!$A$4:$AL$325,31,FALSE)</f>
        <v>566.22</v>
      </c>
      <c r="U252" s="45">
        <f t="shared" si="47"/>
        <v>5449278.6299999999</v>
      </c>
      <c r="V252" s="35">
        <v>0.16980000000000001</v>
      </c>
      <c r="W252" s="45">
        <f t="shared" si="48"/>
        <v>4658299.3899999997</v>
      </c>
      <c r="X252" s="35">
        <v>0.29570000000000002</v>
      </c>
      <c r="Y252" s="45">
        <f t="shared" si="49"/>
        <v>1377459.13</v>
      </c>
    </row>
    <row r="253" spans="1:25">
      <c r="A253" t="s">
        <v>554</v>
      </c>
      <c r="B253" t="s">
        <v>555</v>
      </c>
      <c r="C253" s="6">
        <f>VLOOKUP($A253,'SpEd BEA Rate 2324'!$A$4:$AS$325,45,FALSE)</f>
        <v>9415.6</v>
      </c>
      <c r="D253" s="6">
        <f>VLOOKUP($A253,'2324 Jun 24 Enroll'!$A$4:$AL$325,22,FALSE)</f>
        <v>1</v>
      </c>
      <c r="E253" s="6">
        <f>VLOOKUP($A253,'2324 Jun 24 Enroll'!$A$4:$AL$325,23,FALSE)</f>
        <v>0</v>
      </c>
      <c r="F253" s="6">
        <f>VLOOKUP($A253,'2324 Jun 24 Enroll'!$A$4:$AL$325,24,FALSE)</f>
        <v>0</v>
      </c>
      <c r="G253" s="6">
        <f>VLOOKUP($A253,'2324 Jun 24 Enroll'!$A$4:$AL$325,25,FALSE)</f>
        <v>31</v>
      </c>
      <c r="H253" s="6">
        <f>VLOOKUP($A253,'2324 Jun 24 Enroll'!$A$4:$AL$325,26,FALSE)</f>
        <v>33.22</v>
      </c>
      <c r="I253" s="6">
        <f>VLOOKUP($A253,'2324 Jun 24 Enroll'!$A$4:$AL$325,27,FALSE)</f>
        <v>594.04</v>
      </c>
      <c r="J253" s="54">
        <f t="shared" si="45"/>
        <v>0.1081</v>
      </c>
      <c r="K253" s="54">
        <f t="shared" si="46"/>
        <v>0</v>
      </c>
      <c r="L253" s="45">
        <f t="shared" si="50"/>
        <v>11298.72</v>
      </c>
      <c r="M253" s="68">
        <v>129.26</v>
      </c>
      <c r="N253" s="68">
        <v>21.39</v>
      </c>
      <c r="O253" s="45">
        <f t="shared" si="51"/>
        <v>0</v>
      </c>
      <c r="P253" s="45">
        <f t="shared" si="52"/>
        <v>0</v>
      </c>
      <c r="Q253" s="45">
        <f t="shared" si="53"/>
        <v>326246.53999999998</v>
      </c>
      <c r="R253" s="45">
        <f t="shared" si="54"/>
        <v>330842.83</v>
      </c>
      <c r="S253" s="45">
        <f t="shared" si="55"/>
        <v>0</v>
      </c>
      <c r="T253" s="6">
        <f>VLOOKUP($A253,'2324 Jun 24 Enroll'!$A$4:$AL$325,31,FALSE)</f>
        <v>64.22</v>
      </c>
      <c r="U253" s="45">
        <f t="shared" si="47"/>
        <v>604669.82999999996</v>
      </c>
      <c r="V253" s="35">
        <v>0.20730000000000001</v>
      </c>
      <c r="W253" s="45">
        <f t="shared" si="48"/>
        <v>500844.72</v>
      </c>
      <c r="X253" s="35">
        <v>0.24629999999999999</v>
      </c>
      <c r="Y253" s="45">
        <f t="shared" si="49"/>
        <v>123358.05</v>
      </c>
    </row>
    <row r="254" spans="1:25">
      <c r="A254" t="s">
        <v>867</v>
      </c>
      <c r="B254" t="s">
        <v>868</v>
      </c>
      <c r="C254" s="6">
        <f>VLOOKUP($A254,'SpEd BEA Rate 2324'!$A$4:$AS$325,45,FALSE)</f>
        <v>9450.77</v>
      </c>
      <c r="D254" s="6">
        <f>VLOOKUP($A254,'2324 Jun 24 Enroll'!$A$4:$AL$325,22,FALSE)</f>
        <v>50.89</v>
      </c>
      <c r="E254" s="6">
        <f>VLOOKUP($A254,'2324 Jun 24 Enroll'!$A$4:$AL$325,23,FALSE)</f>
        <v>0</v>
      </c>
      <c r="F254" s="6">
        <f>VLOOKUP($A254,'2324 Jun 24 Enroll'!$A$4:$AL$325,24,FALSE)</f>
        <v>0</v>
      </c>
      <c r="G254" s="6">
        <f>VLOOKUP($A254,'2324 Jun 24 Enroll'!$A$4:$AL$325,25,FALSE)</f>
        <v>372.22</v>
      </c>
      <c r="H254" s="6">
        <f>VLOOKUP($A254,'2324 Jun 24 Enroll'!$A$4:$AL$325,26,FALSE)</f>
        <v>79.22</v>
      </c>
      <c r="I254" s="6">
        <f>VLOOKUP($A254,'2324 Jun 24 Enroll'!$A$4:$AL$325,27,FALSE)</f>
        <v>3163.81</v>
      </c>
      <c r="J254" s="54">
        <f t="shared" si="45"/>
        <v>0.14269999999999999</v>
      </c>
      <c r="K254" s="54">
        <f t="shared" si="46"/>
        <v>0</v>
      </c>
      <c r="L254" s="45">
        <f t="shared" si="50"/>
        <v>577139.62</v>
      </c>
      <c r="M254" s="68">
        <v>128.63999999999999</v>
      </c>
      <c r="N254" s="68">
        <v>21.29</v>
      </c>
      <c r="O254" s="45">
        <f t="shared" si="51"/>
        <v>0</v>
      </c>
      <c r="P254" s="45">
        <f t="shared" si="52"/>
        <v>0</v>
      </c>
      <c r="Q254" s="45">
        <f t="shared" si="53"/>
        <v>3931972.92</v>
      </c>
      <c r="R254" s="45">
        <f t="shared" si="54"/>
        <v>791924.81</v>
      </c>
      <c r="S254" s="45">
        <f t="shared" si="55"/>
        <v>0</v>
      </c>
      <c r="T254" s="6">
        <f>VLOOKUP($A254,'2324 Jun 24 Enroll'!$A$4:$AL$325,31,FALSE)</f>
        <v>465.33</v>
      </c>
      <c r="U254" s="45">
        <f t="shared" si="47"/>
        <v>4397726.8</v>
      </c>
      <c r="V254" s="35">
        <v>0.1444</v>
      </c>
      <c r="W254" s="45">
        <f t="shared" si="48"/>
        <v>3842823.14</v>
      </c>
      <c r="X254" s="35">
        <v>0.19670000000000001</v>
      </c>
      <c r="Y254" s="45">
        <f t="shared" si="49"/>
        <v>755883.31</v>
      </c>
    </row>
    <row r="255" spans="1:25">
      <c r="A255" t="s">
        <v>428</v>
      </c>
      <c r="B255" t="s">
        <v>429</v>
      </c>
      <c r="C255" s="6">
        <f>VLOOKUP($A255,'SpEd BEA Rate 2324'!$A$4:$AS$325,45,FALSE)</f>
        <v>9451.66</v>
      </c>
      <c r="D255" s="6">
        <f>VLOOKUP($A255,'2324 Jun 24 Enroll'!$A$4:$AL$325,22,FALSE)</f>
        <v>41.44</v>
      </c>
      <c r="E255" s="6">
        <f>VLOOKUP($A255,'2324 Jun 24 Enroll'!$A$4:$AL$325,23,FALSE)</f>
        <v>0</v>
      </c>
      <c r="F255" s="6">
        <f>VLOOKUP($A255,'2324 Jun 24 Enroll'!$A$4:$AL$325,24,FALSE)</f>
        <v>0</v>
      </c>
      <c r="G255" s="6">
        <f>VLOOKUP($A255,'2324 Jun 24 Enroll'!$A$4:$AL$325,25,FALSE)</f>
        <v>185.78</v>
      </c>
      <c r="H255" s="6">
        <f>VLOOKUP($A255,'2324 Jun 24 Enroll'!$A$4:$AL$325,26,FALSE)</f>
        <v>137.56</v>
      </c>
      <c r="I255" s="6">
        <f>VLOOKUP($A255,'2324 Jun 24 Enroll'!$A$4:$AL$325,27,FALSE)</f>
        <v>2659.92</v>
      </c>
      <c r="J255" s="54">
        <f t="shared" si="45"/>
        <v>0.1216</v>
      </c>
      <c r="K255" s="54">
        <f t="shared" si="46"/>
        <v>0</v>
      </c>
      <c r="L255" s="45">
        <f t="shared" si="50"/>
        <v>470012.15</v>
      </c>
      <c r="M255" s="68">
        <v>124.73</v>
      </c>
      <c r="N255" s="68">
        <v>20.64</v>
      </c>
      <c r="O255" s="45">
        <f t="shared" si="51"/>
        <v>0</v>
      </c>
      <c r="P255" s="45">
        <f t="shared" si="52"/>
        <v>0</v>
      </c>
      <c r="Q255" s="45">
        <f t="shared" si="53"/>
        <v>1962806.42</v>
      </c>
      <c r="R255" s="45">
        <f t="shared" si="54"/>
        <v>1375341.33</v>
      </c>
      <c r="S255" s="45">
        <f t="shared" si="55"/>
        <v>0</v>
      </c>
      <c r="T255" s="6">
        <f>VLOOKUP($A255,'2324 Jun 24 Enroll'!$A$4:$AL$325,31,FALSE)</f>
        <v>323.33999999999997</v>
      </c>
      <c r="U255" s="45">
        <f t="shared" si="47"/>
        <v>3056099.74</v>
      </c>
      <c r="V255" s="35">
        <v>0.1837</v>
      </c>
      <c r="W255" s="45">
        <f t="shared" si="48"/>
        <v>2581819.5</v>
      </c>
      <c r="X255" s="35">
        <v>0.22409999999999999</v>
      </c>
      <c r="Y255" s="45">
        <f t="shared" si="49"/>
        <v>578585.75</v>
      </c>
    </row>
    <row r="256" spans="1:25">
      <c r="A256" t="s">
        <v>731</v>
      </c>
      <c r="B256" t="s">
        <v>732</v>
      </c>
      <c r="C256" s="6">
        <f>VLOOKUP($A256,'SpEd BEA Rate 2324'!$A$4:$AS$325,45,FALSE)</f>
        <v>9429.2799999999988</v>
      </c>
      <c r="D256" s="6">
        <f>VLOOKUP($A256,'2324 Jun 24 Enroll'!$A$4:$AL$325,22,FALSE)</f>
        <v>11.78</v>
      </c>
      <c r="E256" s="6">
        <f>VLOOKUP($A256,'2324 Jun 24 Enroll'!$A$4:$AL$325,23,FALSE)</f>
        <v>0</v>
      </c>
      <c r="F256" s="6">
        <f>VLOOKUP($A256,'2324 Jun 24 Enroll'!$A$4:$AL$325,24,FALSE)</f>
        <v>0</v>
      </c>
      <c r="G256" s="6">
        <f>VLOOKUP($A256,'2324 Jun 24 Enroll'!$A$4:$AL$325,25,FALSE)</f>
        <v>119.56</v>
      </c>
      <c r="H256" s="6">
        <f>VLOOKUP($A256,'2324 Jun 24 Enroll'!$A$4:$AL$325,26,FALSE)</f>
        <v>85.33</v>
      </c>
      <c r="I256" s="6">
        <f>VLOOKUP($A256,'2324 Jun 24 Enroll'!$A$4:$AL$325,27,FALSE)</f>
        <v>1508.91</v>
      </c>
      <c r="J256" s="54">
        <f t="shared" si="45"/>
        <v>0.1358</v>
      </c>
      <c r="K256" s="54">
        <f t="shared" si="46"/>
        <v>0</v>
      </c>
      <c r="L256" s="45">
        <f t="shared" si="50"/>
        <v>133292.29999999999</v>
      </c>
      <c r="M256" s="68">
        <v>130.94</v>
      </c>
      <c r="N256" s="68">
        <v>21.67</v>
      </c>
      <c r="O256" s="45">
        <f t="shared" si="51"/>
        <v>0</v>
      </c>
      <c r="P256" s="45">
        <f t="shared" si="52"/>
        <v>0</v>
      </c>
      <c r="Q256" s="45">
        <f t="shared" si="53"/>
        <v>1260057.6200000001</v>
      </c>
      <c r="R256" s="45">
        <f t="shared" si="54"/>
        <v>851027.39</v>
      </c>
      <c r="S256" s="45">
        <f t="shared" si="55"/>
        <v>0</v>
      </c>
      <c r="T256" s="6">
        <f>VLOOKUP($A256,'2324 Jun 24 Enroll'!$A$4:$AL$325,31,FALSE)</f>
        <v>204.89</v>
      </c>
      <c r="U256" s="45">
        <f t="shared" si="47"/>
        <v>1931965.18</v>
      </c>
      <c r="V256" s="35">
        <v>0.21479999999999999</v>
      </c>
      <c r="W256" s="45">
        <f t="shared" si="48"/>
        <v>1590356.59</v>
      </c>
      <c r="X256" s="35">
        <v>0.2671</v>
      </c>
      <c r="Y256" s="45">
        <f t="shared" si="49"/>
        <v>424784.25</v>
      </c>
    </row>
    <row r="257" spans="1:25">
      <c r="A257" t="s">
        <v>912</v>
      </c>
      <c r="B257" t="s">
        <v>907</v>
      </c>
      <c r="C257" s="6">
        <f>VLOOKUP($A257,'SpEd BEA Rate 2324'!$A$4:$AS$325,45,FALSE)</f>
        <v>9471.43</v>
      </c>
      <c r="D257" s="6">
        <f>VLOOKUP($A257,'2324 Jun 24 Enroll'!$A$4:$AL$325,22,FALSE)</f>
        <v>0</v>
      </c>
      <c r="E257" s="6">
        <f>VLOOKUP($A257,'2324 Jun 24 Enroll'!$A$4:$AL$325,23,FALSE)</f>
        <v>0</v>
      </c>
      <c r="F257" s="6">
        <f>VLOOKUP($A257,'2324 Jun 24 Enroll'!$A$4:$AL$325,24,FALSE)</f>
        <v>0</v>
      </c>
      <c r="G257" s="6">
        <f>VLOOKUP($A257,'2324 Jun 24 Enroll'!$A$4:$AL$325,25,FALSE)</f>
        <v>93.78</v>
      </c>
      <c r="H257" s="6">
        <f>VLOOKUP($A257,'2324 Jun 24 Enroll'!$A$4:$AL$325,26,FALSE)</f>
        <v>2.89</v>
      </c>
      <c r="I257" s="6">
        <f>VLOOKUP($A257,'2324 Jun 24 Enroll'!$A$4:$AL$325,27,FALSE)</f>
        <v>762.68</v>
      </c>
      <c r="J257" s="54">
        <f t="shared" si="45"/>
        <v>0.1268</v>
      </c>
      <c r="K257" s="54">
        <f t="shared" si="46"/>
        <v>0</v>
      </c>
      <c r="L257" s="45">
        <f t="shared" si="50"/>
        <v>0</v>
      </c>
      <c r="M257" s="68">
        <v>127.35</v>
      </c>
      <c r="N257" s="68">
        <v>21.08</v>
      </c>
      <c r="O257" s="45">
        <f t="shared" si="51"/>
        <v>0</v>
      </c>
      <c r="P257" s="45">
        <f t="shared" si="52"/>
        <v>0</v>
      </c>
      <c r="Q257" s="45">
        <f t="shared" si="53"/>
        <v>992841.51</v>
      </c>
      <c r="R257" s="45">
        <f t="shared" si="54"/>
        <v>28953.86</v>
      </c>
      <c r="S257" s="45">
        <f t="shared" si="55"/>
        <v>0</v>
      </c>
      <c r="T257" s="6">
        <f>VLOOKUP($A257,'2324 Jun 24 Enroll'!$A$4:$AL$325,31,FALSE)</f>
        <v>96.67</v>
      </c>
      <c r="U257" s="45">
        <f t="shared" si="47"/>
        <v>915603.14</v>
      </c>
      <c r="V257" s="35">
        <v>0.42970000000000003</v>
      </c>
      <c r="W257" s="45">
        <f t="shared" si="48"/>
        <v>640416.27</v>
      </c>
      <c r="X257" s="35">
        <v>0.1027</v>
      </c>
      <c r="Y257" s="45">
        <f t="shared" si="49"/>
        <v>65770.75</v>
      </c>
    </row>
    <row r="258" spans="1:25">
      <c r="A258" t="s">
        <v>1017</v>
      </c>
      <c r="B258" t="s">
        <v>1018</v>
      </c>
      <c r="C258" s="6">
        <f>VLOOKUP($A258,'SpEd BEA Rate 2324'!$A$4:$AS$325,45,FALSE)</f>
        <v>9657.380000000001</v>
      </c>
      <c r="D258" s="6">
        <f>VLOOKUP($A258,'2324 Jun 24 Enroll'!$A$4:$AL$325,22,FALSE)</f>
        <v>0</v>
      </c>
      <c r="E258" s="6">
        <f>VLOOKUP($A258,'2324 Jun 24 Enroll'!$A$4:$AL$325,23,FALSE)</f>
        <v>0</v>
      </c>
      <c r="F258" s="6">
        <f>VLOOKUP($A258,'2324 Jun 24 Enroll'!$A$4:$AL$325,24,FALSE)</f>
        <v>0</v>
      </c>
      <c r="G258" s="6">
        <f>VLOOKUP($A258,'2324 Jun 24 Enroll'!$A$4:$AL$325,25,FALSE)</f>
        <v>1.78</v>
      </c>
      <c r="H258" s="6">
        <f>VLOOKUP($A258,'2324 Jun 24 Enroll'!$A$4:$AL$325,26,FALSE)</f>
        <v>0</v>
      </c>
      <c r="I258" s="6">
        <f>VLOOKUP($A258,'2324 Jun 24 Enroll'!$A$4:$AL$325,27,FALSE)</f>
        <v>27.69</v>
      </c>
      <c r="J258" s="54">
        <f t="shared" si="45"/>
        <v>6.4299999999999996E-2</v>
      </c>
      <c r="K258" s="54">
        <f t="shared" si="46"/>
        <v>0</v>
      </c>
      <c r="L258" s="45">
        <f t="shared" si="50"/>
        <v>0</v>
      </c>
      <c r="M258" s="68">
        <v>127.35</v>
      </c>
      <c r="N258" s="68">
        <v>21.08</v>
      </c>
      <c r="O258" s="45">
        <f t="shared" si="51"/>
        <v>0</v>
      </c>
      <c r="P258" s="45">
        <f t="shared" si="52"/>
        <v>0</v>
      </c>
      <c r="Q258" s="45">
        <f t="shared" si="53"/>
        <v>19215.43</v>
      </c>
      <c r="R258" s="45">
        <f t="shared" si="54"/>
        <v>0</v>
      </c>
      <c r="S258" s="45">
        <f t="shared" si="55"/>
        <v>0</v>
      </c>
      <c r="T258" s="6">
        <f>VLOOKUP($A258,'2324 Jun 24 Enroll'!$A$4:$AL$325,31,FALSE)</f>
        <v>1.78</v>
      </c>
      <c r="U258" s="45">
        <f t="shared" si="47"/>
        <v>17190.14</v>
      </c>
      <c r="V258" s="35">
        <v>0.14399999999999999</v>
      </c>
      <c r="W258" s="45">
        <f t="shared" si="48"/>
        <v>15026.35</v>
      </c>
      <c r="X258" s="35">
        <v>0.13</v>
      </c>
      <c r="Y258" s="45">
        <f t="shared" si="49"/>
        <v>1953.43</v>
      </c>
    </row>
    <row r="259" spans="1:25">
      <c r="A259" t="s">
        <v>908</v>
      </c>
      <c r="B259" t="s">
        <v>903</v>
      </c>
      <c r="C259" s="6">
        <f>VLOOKUP($A259,'SpEd BEA Rate 2324'!$A$4:$AS$325,45,FALSE)</f>
        <v>9576.880000000001</v>
      </c>
      <c r="D259" s="6">
        <f>VLOOKUP($A259,'2324 Jun 24 Enroll'!$A$4:$AL$325,22,FALSE)</f>
        <v>0</v>
      </c>
      <c r="E259" s="6">
        <f>VLOOKUP($A259,'2324 Jun 24 Enroll'!$A$4:$AL$325,23,FALSE)</f>
        <v>0</v>
      </c>
      <c r="F259" s="6">
        <f>VLOOKUP($A259,'2324 Jun 24 Enroll'!$A$4:$AL$325,24,FALSE)</f>
        <v>0</v>
      </c>
      <c r="G259" s="6">
        <f>VLOOKUP($A259,'2324 Jun 24 Enroll'!$A$4:$AL$325,25,FALSE)</f>
        <v>97.78</v>
      </c>
      <c r="H259" s="6">
        <f>VLOOKUP($A259,'2324 Jun 24 Enroll'!$A$4:$AL$325,26,FALSE)</f>
        <v>0</v>
      </c>
      <c r="I259" s="6">
        <f>VLOOKUP($A259,'2324 Jun 24 Enroll'!$A$4:$AL$325,27,FALSE)</f>
        <v>428.2</v>
      </c>
      <c r="J259" s="54">
        <f t="shared" si="45"/>
        <v>0.22839999999999999</v>
      </c>
      <c r="K259" s="54">
        <f t="shared" si="46"/>
        <v>7.8399999999999997E-2</v>
      </c>
      <c r="L259" s="45">
        <f t="shared" si="50"/>
        <v>0</v>
      </c>
      <c r="M259" s="68">
        <v>127.35</v>
      </c>
      <c r="N259" s="68">
        <v>21.08</v>
      </c>
      <c r="O259" s="45">
        <f t="shared" si="51"/>
        <v>0</v>
      </c>
      <c r="P259" s="45">
        <f t="shared" si="52"/>
        <v>0</v>
      </c>
      <c r="Q259" s="45">
        <f t="shared" si="53"/>
        <v>1046737.4</v>
      </c>
      <c r="R259" s="45">
        <f t="shared" si="54"/>
        <v>0</v>
      </c>
      <c r="S259" s="45">
        <f t="shared" si="55"/>
        <v>-359300.4</v>
      </c>
      <c r="T259" s="6">
        <f>VLOOKUP($A259,'2324 Jun 24 Enroll'!$A$4:$AL$325,31,FALSE)</f>
        <v>97.78</v>
      </c>
      <c r="U259" s="45">
        <f t="shared" si="47"/>
        <v>936427.33</v>
      </c>
      <c r="V259" s="35">
        <v>1</v>
      </c>
      <c r="W259" s="45">
        <f t="shared" si="48"/>
        <v>468213.67</v>
      </c>
      <c r="X259" s="35">
        <v>0.12620000000000001</v>
      </c>
      <c r="Y259" s="45">
        <f t="shared" si="49"/>
        <v>59088.57</v>
      </c>
    </row>
    <row r="260" spans="1:25">
      <c r="A260" t="s">
        <v>661</v>
      </c>
      <c r="B260" t="s">
        <v>662</v>
      </c>
      <c r="C260" s="6">
        <f>VLOOKUP($A260,'SpEd BEA Rate 2324'!$A$4:$AS$325,45,FALSE)</f>
        <v>9456.39</v>
      </c>
      <c r="D260" s="6">
        <f>VLOOKUP($A260,'2324 Jun 24 Enroll'!$A$4:$AL$325,22,FALSE)</f>
        <v>0</v>
      </c>
      <c r="E260" s="6">
        <f>VLOOKUP($A260,'2324 Jun 24 Enroll'!$A$4:$AL$325,23,FALSE)</f>
        <v>0</v>
      </c>
      <c r="F260" s="6">
        <f>VLOOKUP($A260,'2324 Jun 24 Enroll'!$A$4:$AL$325,24,FALSE)</f>
        <v>0</v>
      </c>
      <c r="G260" s="6">
        <f>VLOOKUP($A260,'2324 Jun 24 Enroll'!$A$4:$AL$325,25,FALSE)</f>
        <v>3.78</v>
      </c>
      <c r="H260" s="6">
        <f>VLOOKUP($A260,'2324 Jun 24 Enroll'!$A$4:$AL$325,26,FALSE)</f>
        <v>1.89</v>
      </c>
      <c r="I260" s="6">
        <f>VLOOKUP($A260,'2324 Jun 24 Enroll'!$A$4:$AL$325,27,FALSE)</f>
        <v>39.5</v>
      </c>
      <c r="J260" s="54">
        <f t="shared" ref="J260:J321" si="56">ROUND((E260+F260+G260+H260)/I260,4)</f>
        <v>0.14349999999999999</v>
      </c>
      <c r="K260" s="54">
        <f t="shared" ref="K260:K319" si="57">IF(J260&lt;$K$1,0,J260-$K$1)</f>
        <v>0</v>
      </c>
      <c r="L260" s="45">
        <f t="shared" si="50"/>
        <v>0</v>
      </c>
      <c r="M260" s="68">
        <v>120.74</v>
      </c>
      <c r="N260" s="68">
        <v>19.98</v>
      </c>
      <c r="O260" s="45">
        <f t="shared" si="51"/>
        <v>0</v>
      </c>
      <c r="P260" s="45">
        <f t="shared" si="52"/>
        <v>0</v>
      </c>
      <c r="Q260" s="45">
        <f t="shared" si="53"/>
        <v>39959.050000000003</v>
      </c>
      <c r="R260" s="45">
        <f t="shared" si="54"/>
        <v>18907.169999999998</v>
      </c>
      <c r="S260" s="45">
        <f t="shared" si="55"/>
        <v>0</v>
      </c>
      <c r="T260" s="6">
        <f>VLOOKUP($A260,'2324 Jun 24 Enroll'!$A$4:$AL$325,31,FALSE)</f>
        <v>5.67</v>
      </c>
      <c r="U260" s="45">
        <f t="shared" si="47"/>
        <v>53617.73</v>
      </c>
      <c r="V260" s="35">
        <v>0.27239999999999998</v>
      </c>
      <c r="W260" s="45">
        <f t="shared" si="48"/>
        <v>42139.05</v>
      </c>
      <c r="X260" s="35">
        <v>9.2499999999999999E-2</v>
      </c>
      <c r="Y260" s="45">
        <f t="shared" si="49"/>
        <v>3897.86</v>
      </c>
    </row>
    <row r="261" spans="1:25">
      <c r="A261" t="s">
        <v>380</v>
      </c>
      <c r="B261" t="s">
        <v>381</v>
      </c>
      <c r="C261" s="6">
        <f>VLOOKUP($A261,'SpEd BEA Rate 2324'!$A$4:$AS$325,45,FALSE)</f>
        <v>9445.9599999999991</v>
      </c>
      <c r="D261" s="6">
        <f>VLOOKUP($A261,'2324 Jun 24 Enroll'!$A$4:$AL$325,22,FALSE)</f>
        <v>0.33</v>
      </c>
      <c r="E261" s="6">
        <f>VLOOKUP($A261,'2324 Jun 24 Enroll'!$A$4:$AL$325,23,FALSE)</f>
        <v>0.67</v>
      </c>
      <c r="F261" s="6">
        <f>VLOOKUP($A261,'2324 Jun 24 Enroll'!$A$4:$AL$325,24,FALSE)</f>
        <v>1.22</v>
      </c>
      <c r="G261" s="6">
        <f>VLOOKUP($A261,'2324 Jun 24 Enroll'!$A$4:$AL$325,25,FALSE)</f>
        <v>81.56</v>
      </c>
      <c r="H261" s="6">
        <f>VLOOKUP($A261,'2324 Jun 24 Enroll'!$A$4:$AL$325,26,FALSE)</f>
        <v>47.11</v>
      </c>
      <c r="I261" s="6">
        <f>VLOOKUP($A261,'2324 Jun 24 Enroll'!$A$4:$AL$325,27,FALSE)</f>
        <v>832.4</v>
      </c>
      <c r="J261" s="54">
        <f t="shared" si="56"/>
        <v>0.15679999999999999</v>
      </c>
      <c r="K261" s="54">
        <f t="shared" si="57"/>
        <v>6.8000000000000005E-3</v>
      </c>
      <c r="L261" s="45">
        <f t="shared" si="50"/>
        <v>3740.6</v>
      </c>
      <c r="M261" s="68">
        <v>123.44</v>
      </c>
      <c r="N261" s="68">
        <v>20.43</v>
      </c>
      <c r="O261" s="45">
        <f t="shared" si="51"/>
        <v>7074.56</v>
      </c>
      <c r="P261" s="45">
        <f t="shared" si="52"/>
        <v>12190.59</v>
      </c>
      <c r="Q261" s="45">
        <f t="shared" si="53"/>
        <v>861195.73</v>
      </c>
      <c r="R261" s="45">
        <f t="shared" si="54"/>
        <v>470736.67</v>
      </c>
      <c r="S261" s="45">
        <f t="shared" si="55"/>
        <v>-58597.85</v>
      </c>
      <c r="T261" s="6">
        <f>VLOOKUP($A261,'2324 Jun 24 Enroll'!$A$4:$AL$325,31,FALSE)</f>
        <v>129.78</v>
      </c>
      <c r="U261" s="45">
        <f t="shared" si="47"/>
        <v>1225896.69</v>
      </c>
      <c r="V261" s="35">
        <v>0.15110000000000001</v>
      </c>
      <c r="W261" s="45">
        <f t="shared" si="48"/>
        <v>1064978.45</v>
      </c>
      <c r="X261" s="35">
        <v>0.22800000000000001</v>
      </c>
      <c r="Y261" s="45">
        <f t="shared" si="49"/>
        <v>242815.09</v>
      </c>
    </row>
    <row r="262" spans="1:25">
      <c r="A262" t="s">
        <v>863</v>
      </c>
      <c r="B262" t="s">
        <v>864</v>
      </c>
      <c r="C262" s="6">
        <f>VLOOKUP($A262,'SpEd BEA Rate 2324'!$A$4:$AS$325,45,FALSE)</f>
        <v>9441.25</v>
      </c>
      <c r="D262" s="6">
        <f>VLOOKUP($A262,'2324 Jun 24 Enroll'!$A$4:$AL$325,22,FALSE)</f>
        <v>5.33</v>
      </c>
      <c r="E262" s="6">
        <f>VLOOKUP($A262,'2324 Jun 24 Enroll'!$A$4:$AL$325,23,FALSE)</f>
        <v>0</v>
      </c>
      <c r="F262" s="6">
        <f>VLOOKUP($A262,'2324 Jun 24 Enroll'!$A$4:$AL$325,24,FALSE)</f>
        <v>0</v>
      </c>
      <c r="G262" s="6">
        <f>VLOOKUP($A262,'2324 Jun 24 Enroll'!$A$4:$AL$325,25,FALSE)</f>
        <v>58.33</v>
      </c>
      <c r="H262" s="6">
        <f>VLOOKUP($A262,'2324 Jun 24 Enroll'!$A$4:$AL$325,26,FALSE)</f>
        <v>8.33</v>
      </c>
      <c r="I262" s="6">
        <f>VLOOKUP($A262,'2324 Jun 24 Enroll'!$A$4:$AL$325,27,FALSE)</f>
        <v>412.16</v>
      </c>
      <c r="J262" s="54">
        <f t="shared" si="56"/>
        <v>0.16170000000000001</v>
      </c>
      <c r="K262" s="54">
        <f t="shared" si="57"/>
        <v>1.1700000000000016E-2</v>
      </c>
      <c r="L262" s="45">
        <f t="shared" si="50"/>
        <v>60386.239999999998</v>
      </c>
      <c r="M262" s="68">
        <v>132.97</v>
      </c>
      <c r="N262" s="68">
        <v>22.01</v>
      </c>
      <c r="O262" s="45">
        <f t="shared" si="51"/>
        <v>0</v>
      </c>
      <c r="P262" s="45">
        <f t="shared" si="52"/>
        <v>0</v>
      </c>
      <c r="Q262" s="45">
        <f t="shared" si="53"/>
        <v>615509.24</v>
      </c>
      <c r="R262" s="45">
        <f t="shared" si="54"/>
        <v>83181.009999999995</v>
      </c>
      <c r="S262" s="45">
        <f t="shared" si="55"/>
        <v>-50554.58</v>
      </c>
      <c r="T262" s="6">
        <f>VLOOKUP($A262,'2324 Jun 24 Enroll'!$A$4:$AL$325,31,FALSE)</f>
        <v>66.66</v>
      </c>
      <c r="U262" s="45">
        <f t="shared" si="47"/>
        <v>629353.73</v>
      </c>
      <c r="V262" s="35">
        <v>0.41049999999999998</v>
      </c>
      <c r="W262" s="45">
        <f t="shared" si="48"/>
        <v>446191.94</v>
      </c>
      <c r="X262" s="35">
        <v>0.13170000000000001</v>
      </c>
      <c r="Y262" s="45">
        <f t="shared" si="49"/>
        <v>58763.48</v>
      </c>
    </row>
    <row r="263" spans="1:25">
      <c r="A263" t="s">
        <v>839</v>
      </c>
      <c r="B263" t="s">
        <v>840</v>
      </c>
      <c r="C263" s="6">
        <f>VLOOKUP($A263,'SpEd BEA Rate 2324'!$A$4:$AS$325,45,FALSE)</f>
        <v>9522.19</v>
      </c>
      <c r="D263" s="6">
        <f>VLOOKUP($A263,'2324 Jun 24 Enroll'!$A$4:$AL$325,22,FALSE)</f>
        <v>9.67</v>
      </c>
      <c r="E263" s="6">
        <f>VLOOKUP($A263,'2324 Jun 24 Enroll'!$A$4:$AL$325,23,FALSE)</f>
        <v>0</v>
      </c>
      <c r="F263" s="6">
        <f>VLOOKUP($A263,'2324 Jun 24 Enroll'!$A$4:$AL$325,24,FALSE)</f>
        <v>0</v>
      </c>
      <c r="G263" s="6">
        <f>VLOOKUP($A263,'2324 Jun 24 Enroll'!$A$4:$AL$325,25,FALSE)</f>
        <v>90.78</v>
      </c>
      <c r="H263" s="6">
        <f>VLOOKUP($A263,'2324 Jun 24 Enroll'!$A$4:$AL$325,26,FALSE)</f>
        <v>6.11</v>
      </c>
      <c r="I263" s="6">
        <f>VLOOKUP($A263,'2324 Jun 24 Enroll'!$A$4:$AL$325,27,FALSE)</f>
        <v>1004.7</v>
      </c>
      <c r="J263" s="54">
        <f t="shared" si="56"/>
        <v>9.64E-2</v>
      </c>
      <c r="K263" s="54">
        <f t="shared" si="57"/>
        <v>0</v>
      </c>
      <c r="L263" s="45">
        <f t="shared" si="50"/>
        <v>110495.49</v>
      </c>
      <c r="M263" s="68">
        <v>144.37</v>
      </c>
      <c r="N263" s="68">
        <v>23.9</v>
      </c>
      <c r="O263" s="45">
        <f t="shared" si="51"/>
        <v>0</v>
      </c>
      <c r="P263" s="45">
        <f t="shared" si="52"/>
        <v>0</v>
      </c>
      <c r="Q263" s="45">
        <f t="shared" si="53"/>
        <v>965985.7</v>
      </c>
      <c r="R263" s="45">
        <f t="shared" si="54"/>
        <v>61525.39</v>
      </c>
      <c r="S263" s="45">
        <f t="shared" si="55"/>
        <v>0</v>
      </c>
      <c r="T263" s="6">
        <f>VLOOKUP($A263,'2324 Jun 24 Enroll'!$A$4:$AL$325,31,FALSE)</f>
        <v>97.67</v>
      </c>
      <c r="U263" s="45">
        <f t="shared" si="47"/>
        <v>930032.3</v>
      </c>
      <c r="V263" s="35">
        <v>0.20730000000000001</v>
      </c>
      <c r="W263" s="45">
        <f t="shared" si="48"/>
        <v>770340.68</v>
      </c>
      <c r="X263" s="35">
        <v>0.14219999999999999</v>
      </c>
      <c r="Y263" s="45">
        <f t="shared" si="49"/>
        <v>109542.44</v>
      </c>
    </row>
    <row r="264" spans="1:25">
      <c r="A264" t="s">
        <v>400</v>
      </c>
      <c r="B264" t="s">
        <v>401</v>
      </c>
      <c r="C264" s="6">
        <f>VLOOKUP($A264,'SpEd BEA Rate 2324'!$A$4:$AS$325,45,FALSE)</f>
        <v>9623.09</v>
      </c>
      <c r="D264" s="6">
        <f>VLOOKUP($A264,'2324 Jun 24 Enroll'!$A$4:$AL$325,22,FALSE)</f>
        <v>31.89</v>
      </c>
      <c r="E264" s="6">
        <f>VLOOKUP($A264,'2324 Jun 24 Enroll'!$A$4:$AL$325,23,FALSE)</f>
        <v>4.5599999999999996</v>
      </c>
      <c r="F264" s="6">
        <f>VLOOKUP($A264,'2324 Jun 24 Enroll'!$A$4:$AL$325,24,FALSE)</f>
        <v>3.78</v>
      </c>
      <c r="G264" s="6">
        <f>VLOOKUP($A264,'2324 Jun 24 Enroll'!$A$4:$AL$325,25,FALSE)</f>
        <v>189.33</v>
      </c>
      <c r="H264" s="6">
        <f>VLOOKUP($A264,'2324 Jun 24 Enroll'!$A$4:$AL$325,26,FALSE)</f>
        <v>93.33</v>
      </c>
      <c r="I264" s="6">
        <f>VLOOKUP($A264,'2324 Jun 24 Enroll'!$A$4:$AL$325,27,FALSE)</f>
        <v>1691.4</v>
      </c>
      <c r="J264" s="54">
        <f t="shared" si="56"/>
        <v>0.17199999999999999</v>
      </c>
      <c r="K264" s="54">
        <f t="shared" si="57"/>
        <v>2.1999999999999992E-2</v>
      </c>
      <c r="L264" s="45">
        <f t="shared" si="50"/>
        <v>368256.41</v>
      </c>
      <c r="M264" s="68">
        <v>124.22</v>
      </c>
      <c r="N264" s="68">
        <v>20.56</v>
      </c>
      <c r="O264" s="45">
        <f t="shared" si="51"/>
        <v>49053.29</v>
      </c>
      <c r="P264" s="45">
        <f t="shared" si="52"/>
        <v>38480.080000000002</v>
      </c>
      <c r="Q264" s="45">
        <f t="shared" si="53"/>
        <v>2036679.76</v>
      </c>
      <c r="R264" s="45">
        <f t="shared" si="54"/>
        <v>950091.5</v>
      </c>
      <c r="S264" s="45">
        <f t="shared" si="55"/>
        <v>-393225.01</v>
      </c>
      <c r="T264" s="6">
        <f>VLOOKUP($A264,'2324 Jun 24 Enroll'!$A$4:$AL$325,31,FALSE)</f>
        <v>291</v>
      </c>
      <c r="U264" s="45">
        <f t="shared" si="47"/>
        <v>2800319.19</v>
      </c>
      <c r="V264" s="35">
        <v>0.19059999999999999</v>
      </c>
      <c r="W264" s="45">
        <f t="shared" si="48"/>
        <v>2352023.5099999998</v>
      </c>
      <c r="X264" s="35">
        <v>0.24690000000000001</v>
      </c>
      <c r="Y264" s="45">
        <f t="shared" si="49"/>
        <v>580714.6</v>
      </c>
    </row>
    <row r="265" spans="1:25">
      <c r="A265" t="s">
        <v>560</v>
      </c>
      <c r="B265" t="s">
        <v>561</v>
      </c>
      <c r="C265" s="6">
        <f>VLOOKUP($A265,'SpEd BEA Rate 2324'!$A$4:$AS$325,45,FALSE)</f>
        <v>9475.9599999999991</v>
      </c>
      <c r="D265" s="6">
        <f>VLOOKUP($A265,'2324 Jun 24 Enroll'!$A$4:$AL$325,22,FALSE)</f>
        <v>0.89</v>
      </c>
      <c r="E265" s="6">
        <f>VLOOKUP($A265,'2324 Jun 24 Enroll'!$A$4:$AL$325,23,FALSE)</f>
        <v>0</v>
      </c>
      <c r="F265" s="6">
        <f>VLOOKUP($A265,'2324 Jun 24 Enroll'!$A$4:$AL$325,24,FALSE)</f>
        <v>0</v>
      </c>
      <c r="G265" s="6">
        <f>VLOOKUP($A265,'2324 Jun 24 Enroll'!$A$4:$AL$325,25,FALSE)</f>
        <v>7.44</v>
      </c>
      <c r="H265" s="6">
        <f>VLOOKUP($A265,'2324 Jun 24 Enroll'!$A$4:$AL$325,26,FALSE)</f>
        <v>8.67</v>
      </c>
      <c r="I265" s="6">
        <f>VLOOKUP($A265,'2324 Jun 24 Enroll'!$A$4:$AL$325,27,FALSE)</f>
        <v>246.01</v>
      </c>
      <c r="J265" s="54">
        <f t="shared" si="56"/>
        <v>6.5500000000000003E-2</v>
      </c>
      <c r="K265" s="54">
        <f t="shared" si="57"/>
        <v>0</v>
      </c>
      <c r="L265" s="45">
        <f t="shared" si="50"/>
        <v>10120.33</v>
      </c>
      <c r="M265" s="68">
        <v>118.33</v>
      </c>
      <c r="N265" s="68">
        <v>19.59</v>
      </c>
      <c r="O265" s="45">
        <f t="shared" si="51"/>
        <v>0</v>
      </c>
      <c r="P265" s="45">
        <f t="shared" si="52"/>
        <v>0</v>
      </c>
      <c r="Q265" s="45">
        <f t="shared" si="53"/>
        <v>78815.53</v>
      </c>
      <c r="R265" s="45">
        <f t="shared" si="54"/>
        <v>86916.12</v>
      </c>
      <c r="S265" s="45">
        <f t="shared" si="55"/>
        <v>0</v>
      </c>
      <c r="T265" s="6">
        <f>VLOOKUP($A265,'2324 Jun 24 Enroll'!$A$4:$AL$325,31,FALSE)</f>
        <v>16.11</v>
      </c>
      <c r="U265" s="45">
        <f t="shared" si="47"/>
        <v>152657.72</v>
      </c>
      <c r="V265" s="35">
        <v>0.2944</v>
      </c>
      <c r="W265" s="45">
        <f t="shared" si="48"/>
        <v>117937.05</v>
      </c>
      <c r="X265" s="35">
        <v>0.3347</v>
      </c>
      <c r="Y265" s="45">
        <f t="shared" si="49"/>
        <v>39473.53</v>
      </c>
    </row>
    <row r="266" spans="1:25">
      <c r="A266" t="s">
        <v>803</v>
      </c>
      <c r="B266" t="s">
        <v>804</v>
      </c>
      <c r="C266" s="6">
        <f>VLOOKUP($A266,'SpEd BEA Rate 2324'!$A$4:$AS$325,45,FALSE)</f>
        <v>9356.4699999999993</v>
      </c>
      <c r="D266" s="6">
        <f>VLOOKUP($A266,'2324 Jun 24 Enroll'!$A$4:$AL$325,22,FALSE)</f>
        <v>0</v>
      </c>
      <c r="E266" s="6">
        <f>VLOOKUP($A266,'2324 Jun 24 Enroll'!$A$4:$AL$325,23,FALSE)</f>
        <v>0</v>
      </c>
      <c r="F266" s="6">
        <f>VLOOKUP($A266,'2324 Jun 24 Enroll'!$A$4:$AL$325,24,FALSE)</f>
        <v>0</v>
      </c>
      <c r="G266" s="6">
        <f>VLOOKUP($A266,'2324 Jun 24 Enroll'!$A$4:$AL$325,25,FALSE)</f>
        <v>12.11</v>
      </c>
      <c r="H266" s="6">
        <f>VLOOKUP($A266,'2324 Jun 24 Enroll'!$A$4:$AL$325,26,FALSE)</f>
        <v>0.67</v>
      </c>
      <c r="I266" s="6">
        <f>VLOOKUP($A266,'2324 Jun 24 Enroll'!$A$4:$AL$325,27,FALSE)</f>
        <v>82</v>
      </c>
      <c r="J266" s="54">
        <f t="shared" si="56"/>
        <v>0.15590000000000001</v>
      </c>
      <c r="K266" s="54">
        <f t="shared" si="57"/>
        <v>5.9000000000000163E-3</v>
      </c>
      <c r="L266" s="45">
        <f t="shared" si="50"/>
        <v>0</v>
      </c>
      <c r="M266" s="68">
        <v>134.91</v>
      </c>
      <c r="N266" s="68">
        <v>22.33</v>
      </c>
      <c r="O266" s="45">
        <f t="shared" si="51"/>
        <v>0</v>
      </c>
      <c r="P266" s="45">
        <f t="shared" si="52"/>
        <v>0</v>
      </c>
      <c r="Q266" s="45">
        <f t="shared" si="53"/>
        <v>126633.26</v>
      </c>
      <c r="R266" s="45">
        <f t="shared" si="54"/>
        <v>6630</v>
      </c>
      <c r="S266" s="45">
        <f t="shared" si="55"/>
        <v>-5043.32</v>
      </c>
      <c r="T266" s="6">
        <f>VLOOKUP($A266,'2324 Jun 24 Enroll'!$A$4:$AL$325,31,FALSE)</f>
        <v>12.78</v>
      </c>
      <c r="U266" s="45">
        <f t="shared" si="47"/>
        <v>119575.69</v>
      </c>
      <c r="V266" s="35">
        <v>0.39679999999999999</v>
      </c>
      <c r="W266" s="45">
        <f t="shared" si="48"/>
        <v>85606.88</v>
      </c>
      <c r="X266" s="35">
        <v>0.14000000000000001</v>
      </c>
      <c r="Y266" s="45">
        <f t="shared" si="49"/>
        <v>11984.96</v>
      </c>
    </row>
    <row r="267" spans="1:25">
      <c r="A267" t="s">
        <v>462</v>
      </c>
      <c r="B267" t="s">
        <v>463</v>
      </c>
      <c r="C267" s="6">
        <f>VLOOKUP($A267,'SpEd BEA Rate 2324'!$A$4:$AS$325,45,FALSE)</f>
        <v>9356.4699999999993</v>
      </c>
      <c r="D267" s="6">
        <f>VLOOKUP($A267,'2324 Jun 24 Enroll'!$A$4:$AL$325,22,FALSE)</f>
        <v>0</v>
      </c>
      <c r="E267" s="6">
        <f>VLOOKUP($A267,'2324 Jun 24 Enroll'!$A$4:$AL$325,23,FALSE)</f>
        <v>0</v>
      </c>
      <c r="F267" s="6">
        <f>VLOOKUP($A267,'2324 Jun 24 Enroll'!$A$4:$AL$325,24,FALSE)</f>
        <v>0</v>
      </c>
      <c r="G267" s="6">
        <f>VLOOKUP($A267,'2324 Jun 24 Enroll'!$A$4:$AL$325,25,FALSE)</f>
        <v>4.78</v>
      </c>
      <c r="H267" s="6">
        <f>VLOOKUP($A267,'2324 Jun 24 Enroll'!$A$4:$AL$325,26,FALSE)</f>
        <v>0</v>
      </c>
      <c r="I267" s="6">
        <f>VLOOKUP($A267,'2324 Jun 24 Enroll'!$A$4:$AL$325,27,FALSE)</f>
        <v>34.799999999999997</v>
      </c>
      <c r="J267" s="54">
        <f t="shared" si="56"/>
        <v>0.13739999999999999</v>
      </c>
      <c r="K267" s="54">
        <f t="shared" si="57"/>
        <v>0</v>
      </c>
      <c r="L267" s="45">
        <f t="shared" si="50"/>
        <v>0</v>
      </c>
      <c r="M267" s="68">
        <v>119.09</v>
      </c>
      <c r="N267" s="68">
        <v>19.71</v>
      </c>
      <c r="O267" s="45">
        <f t="shared" si="51"/>
        <v>0</v>
      </c>
      <c r="P267" s="45">
        <f t="shared" si="52"/>
        <v>0</v>
      </c>
      <c r="Q267" s="45">
        <f t="shared" si="53"/>
        <v>49996.58</v>
      </c>
      <c r="R267" s="45">
        <f t="shared" si="54"/>
        <v>0</v>
      </c>
      <c r="S267" s="45">
        <f t="shared" si="55"/>
        <v>0</v>
      </c>
      <c r="T267" s="6">
        <f>VLOOKUP($A267,'2324 Jun 24 Enroll'!$A$4:$AL$325,31,FALSE)</f>
        <v>4.78</v>
      </c>
      <c r="U267" s="45">
        <f t="shared" si="47"/>
        <v>44723.93</v>
      </c>
      <c r="V267" s="35">
        <v>0.25309999999999999</v>
      </c>
      <c r="W267" s="45">
        <f t="shared" si="48"/>
        <v>35690.629999999997</v>
      </c>
      <c r="X267" s="35">
        <v>0.08</v>
      </c>
      <c r="Y267" s="45">
        <f t="shared" si="49"/>
        <v>2855.25</v>
      </c>
    </row>
    <row r="268" spans="1:25">
      <c r="A268" t="s">
        <v>396</v>
      </c>
      <c r="B268" t="s">
        <v>397</v>
      </c>
      <c r="C268" s="6">
        <f>VLOOKUP($A268,'SpEd BEA Rate 2324'!$A$4:$AS$325,45,FALSE)</f>
        <v>9420.2099999999991</v>
      </c>
      <c r="D268" s="6">
        <f>VLOOKUP($A268,'2324 Jun 24 Enroll'!$A$4:$AL$325,22,FALSE)</f>
        <v>0.22</v>
      </c>
      <c r="E268" s="6">
        <f>VLOOKUP($A268,'2324 Jun 24 Enroll'!$A$4:$AL$325,23,FALSE)</f>
        <v>1.44</v>
      </c>
      <c r="F268" s="6">
        <f>VLOOKUP($A268,'2324 Jun 24 Enroll'!$A$4:$AL$325,24,FALSE)</f>
        <v>0</v>
      </c>
      <c r="G268" s="6">
        <f>VLOOKUP($A268,'2324 Jun 24 Enroll'!$A$4:$AL$325,25,FALSE)</f>
        <v>19.329999999999998</v>
      </c>
      <c r="H268" s="6">
        <f>VLOOKUP($A268,'2324 Jun 24 Enroll'!$A$4:$AL$325,26,FALSE)</f>
        <v>2.2200000000000002</v>
      </c>
      <c r="I268" s="6">
        <f>VLOOKUP($A268,'2324 Jun 24 Enroll'!$A$4:$AL$325,27,FALSE)</f>
        <v>112.14</v>
      </c>
      <c r="J268" s="54">
        <f t="shared" si="56"/>
        <v>0.20499999999999999</v>
      </c>
      <c r="K268" s="54">
        <f t="shared" si="57"/>
        <v>5.4999999999999993E-2</v>
      </c>
      <c r="L268" s="45">
        <f t="shared" si="50"/>
        <v>2486.94</v>
      </c>
      <c r="M268" s="68">
        <v>133.46</v>
      </c>
      <c r="N268" s="68">
        <v>22.09</v>
      </c>
      <c r="O268" s="45">
        <f t="shared" si="51"/>
        <v>15161.11</v>
      </c>
      <c r="P268" s="45">
        <f t="shared" si="52"/>
        <v>0</v>
      </c>
      <c r="Q268" s="45">
        <f t="shared" si="53"/>
        <v>203516.78</v>
      </c>
      <c r="R268" s="45">
        <f t="shared" si="54"/>
        <v>22118.6</v>
      </c>
      <c r="S268" s="45">
        <f t="shared" si="55"/>
        <v>-64603.94</v>
      </c>
      <c r="T268" s="6">
        <f>VLOOKUP($A268,'2324 Jun 24 Enroll'!$A$4:$AL$325,31,FALSE)</f>
        <v>22.99</v>
      </c>
      <c r="U268" s="45">
        <f t="shared" si="47"/>
        <v>216570.63</v>
      </c>
      <c r="V268" s="35">
        <v>0.30880000000000002</v>
      </c>
      <c r="W268" s="45">
        <f t="shared" si="48"/>
        <v>165472.67000000001</v>
      </c>
      <c r="X268" s="35">
        <v>0.16569999999999999</v>
      </c>
      <c r="Y268" s="45">
        <f t="shared" si="49"/>
        <v>27418.82</v>
      </c>
    </row>
    <row r="269" spans="1:25">
      <c r="A269" t="s">
        <v>576</v>
      </c>
      <c r="B269" t="s">
        <v>577</v>
      </c>
      <c r="C269" s="6">
        <f>VLOOKUP($A269,'SpEd BEA Rate 2324'!$A$4:$AS$325,45,FALSE)</f>
        <v>9444.57</v>
      </c>
      <c r="D269" s="6">
        <f>VLOOKUP($A269,'2324 Jun 24 Enroll'!$A$4:$AL$325,22,FALSE)</f>
        <v>5.33</v>
      </c>
      <c r="E269" s="6">
        <f>VLOOKUP($A269,'2324 Jun 24 Enroll'!$A$4:$AL$325,23,FALSE)</f>
        <v>0</v>
      </c>
      <c r="F269" s="6">
        <f>VLOOKUP($A269,'2324 Jun 24 Enroll'!$A$4:$AL$325,24,FALSE)</f>
        <v>0</v>
      </c>
      <c r="G269" s="6">
        <f>VLOOKUP($A269,'2324 Jun 24 Enroll'!$A$4:$AL$325,25,FALSE)</f>
        <v>72.44</v>
      </c>
      <c r="H269" s="6">
        <f>VLOOKUP($A269,'2324 Jun 24 Enroll'!$A$4:$AL$325,26,FALSE)</f>
        <v>14.22</v>
      </c>
      <c r="I269" s="6">
        <f>VLOOKUP($A269,'2324 Jun 24 Enroll'!$A$4:$AL$325,27,FALSE)</f>
        <v>497.29</v>
      </c>
      <c r="J269" s="54">
        <f t="shared" si="56"/>
        <v>0.17430000000000001</v>
      </c>
      <c r="K269" s="54">
        <f t="shared" si="57"/>
        <v>2.4300000000000016E-2</v>
      </c>
      <c r="L269" s="45">
        <f t="shared" si="50"/>
        <v>60407.47</v>
      </c>
      <c r="M269" s="68">
        <v>128.28</v>
      </c>
      <c r="N269" s="68">
        <v>21.23</v>
      </c>
      <c r="O269" s="45">
        <f t="shared" si="51"/>
        <v>0</v>
      </c>
      <c r="P269" s="45">
        <f t="shared" si="52"/>
        <v>0</v>
      </c>
      <c r="Q269" s="45">
        <f t="shared" si="53"/>
        <v>764726.51</v>
      </c>
      <c r="R269" s="45">
        <f t="shared" si="54"/>
        <v>142058</v>
      </c>
      <c r="S269" s="45">
        <f t="shared" si="55"/>
        <v>-126419.18</v>
      </c>
      <c r="T269" s="6">
        <f>VLOOKUP($A269,'2324 Jun 24 Enroll'!$A$4:$AL$325,31,FALSE)</f>
        <v>86.66</v>
      </c>
      <c r="U269" s="45">
        <f t="shared" si="47"/>
        <v>818466.44</v>
      </c>
      <c r="V269" s="35">
        <v>0.25159999999999999</v>
      </c>
      <c r="W269" s="45">
        <f t="shared" si="48"/>
        <v>653936.11</v>
      </c>
      <c r="X269" s="35">
        <v>0.20330000000000001</v>
      </c>
      <c r="Y269" s="45">
        <f t="shared" si="49"/>
        <v>132945.21</v>
      </c>
    </row>
    <row r="270" spans="1:25">
      <c r="A270" t="s">
        <v>639</v>
      </c>
      <c r="B270" t="s">
        <v>640</v>
      </c>
      <c r="C270" s="6">
        <f>VLOOKUP($A270,'SpEd BEA Rate 2324'!$A$4:$AS$325,45,FALSE)</f>
        <v>9473.57</v>
      </c>
      <c r="D270" s="6">
        <f>VLOOKUP($A270,'2324 Jun 24 Enroll'!$A$4:$AL$325,22,FALSE)</f>
        <v>1.22</v>
      </c>
      <c r="E270" s="6">
        <f>VLOOKUP($A270,'2324 Jun 24 Enroll'!$A$4:$AL$325,23,FALSE)</f>
        <v>0</v>
      </c>
      <c r="F270" s="6">
        <f>VLOOKUP($A270,'2324 Jun 24 Enroll'!$A$4:$AL$325,24,FALSE)</f>
        <v>0</v>
      </c>
      <c r="G270" s="6">
        <f>VLOOKUP($A270,'2324 Jun 24 Enroll'!$A$4:$AL$325,25,FALSE)</f>
        <v>31</v>
      </c>
      <c r="H270" s="6">
        <f>VLOOKUP($A270,'2324 Jun 24 Enroll'!$A$4:$AL$325,26,FALSE)</f>
        <v>6.78</v>
      </c>
      <c r="I270" s="6">
        <f>VLOOKUP($A270,'2324 Jun 24 Enroll'!$A$4:$AL$325,27,FALSE)</f>
        <v>260.45</v>
      </c>
      <c r="J270" s="54">
        <f t="shared" si="56"/>
        <v>0.14510000000000001</v>
      </c>
      <c r="K270" s="54">
        <f t="shared" si="57"/>
        <v>0</v>
      </c>
      <c r="L270" s="45">
        <f t="shared" si="50"/>
        <v>13869.31</v>
      </c>
      <c r="M270" s="68">
        <v>141.58000000000001</v>
      </c>
      <c r="N270" s="68">
        <v>23.43</v>
      </c>
      <c r="O270" s="45">
        <f t="shared" si="51"/>
        <v>0</v>
      </c>
      <c r="P270" s="45">
        <f t="shared" si="52"/>
        <v>0</v>
      </c>
      <c r="Q270" s="45">
        <f t="shared" si="53"/>
        <v>328196.02</v>
      </c>
      <c r="R270" s="45">
        <f t="shared" si="54"/>
        <v>67925.8</v>
      </c>
      <c r="S270" s="45">
        <f t="shared" si="55"/>
        <v>0</v>
      </c>
      <c r="T270" s="6">
        <f>VLOOKUP($A270,'2324 Jun 24 Enroll'!$A$4:$AL$325,31,FALSE)</f>
        <v>37.78</v>
      </c>
      <c r="U270" s="45">
        <f t="shared" si="47"/>
        <v>357911.47</v>
      </c>
      <c r="V270" s="35">
        <v>0.27189999999999998</v>
      </c>
      <c r="W270" s="45">
        <f t="shared" si="48"/>
        <v>281399.06</v>
      </c>
      <c r="X270" s="35">
        <v>0.20699999999999999</v>
      </c>
      <c r="Y270" s="45">
        <f t="shared" si="49"/>
        <v>58249.61</v>
      </c>
    </row>
    <row r="271" spans="1:25">
      <c r="A271" t="s">
        <v>528</v>
      </c>
      <c r="B271" t="s">
        <v>529</v>
      </c>
      <c r="C271" s="6">
        <f>VLOOKUP($A271,'SpEd BEA Rate 2324'!$A$4:$AS$325,45,FALSE)</f>
        <v>9565.64</v>
      </c>
      <c r="D271" s="6">
        <f>VLOOKUP($A271,'2324 Jun 24 Enroll'!$A$4:$AL$325,22,FALSE)</f>
        <v>7.89</v>
      </c>
      <c r="E271" s="6">
        <f>VLOOKUP($A271,'2324 Jun 24 Enroll'!$A$4:$AL$325,23,FALSE)</f>
        <v>1.78</v>
      </c>
      <c r="F271" s="6">
        <f>VLOOKUP($A271,'2324 Jun 24 Enroll'!$A$4:$AL$325,24,FALSE)</f>
        <v>1.33</v>
      </c>
      <c r="G271" s="6">
        <f>VLOOKUP($A271,'2324 Jun 24 Enroll'!$A$4:$AL$325,25,FALSE)</f>
        <v>104.78</v>
      </c>
      <c r="H271" s="6">
        <f>VLOOKUP($A271,'2324 Jun 24 Enroll'!$A$4:$AL$325,26,FALSE)</f>
        <v>26.89</v>
      </c>
      <c r="I271" s="6">
        <f>VLOOKUP($A271,'2324 Jun 24 Enroll'!$A$4:$AL$325,27,FALSE)</f>
        <v>1097.79</v>
      </c>
      <c r="J271" s="54">
        <f t="shared" si="56"/>
        <v>0.12280000000000001</v>
      </c>
      <c r="K271" s="54">
        <f t="shared" si="57"/>
        <v>0</v>
      </c>
      <c r="L271" s="45">
        <f t="shared" si="50"/>
        <v>90567.48</v>
      </c>
      <c r="M271" s="68">
        <v>127.65</v>
      </c>
      <c r="N271" s="68">
        <v>21.13</v>
      </c>
      <c r="O271" s="45">
        <f t="shared" si="51"/>
        <v>19032.45</v>
      </c>
      <c r="P271" s="45">
        <f t="shared" si="52"/>
        <v>13457.54</v>
      </c>
      <c r="Q271" s="45">
        <f t="shared" si="53"/>
        <v>1120348.29</v>
      </c>
      <c r="R271" s="45">
        <f t="shared" si="54"/>
        <v>272085.08</v>
      </c>
      <c r="S271" s="45">
        <f t="shared" si="55"/>
        <v>0</v>
      </c>
      <c r="T271" s="6">
        <f>VLOOKUP($A271,'2324 Jun 24 Enroll'!$A$4:$AL$325,31,FALSE)</f>
        <v>134.78</v>
      </c>
      <c r="U271" s="45">
        <f t="shared" si="47"/>
        <v>1289256.96</v>
      </c>
      <c r="V271" s="35">
        <v>0.20169999999999999</v>
      </c>
      <c r="W271" s="45">
        <f t="shared" si="48"/>
        <v>1072860.9099999999</v>
      </c>
      <c r="X271" s="35">
        <v>0.1986</v>
      </c>
      <c r="Y271" s="45">
        <f t="shared" si="49"/>
        <v>213070.18</v>
      </c>
    </row>
    <row r="272" spans="1:25">
      <c r="A272" t="s">
        <v>893</v>
      </c>
      <c r="B272" t="s">
        <v>894</v>
      </c>
      <c r="C272" s="6">
        <f>VLOOKUP($A272,'SpEd BEA Rate 2324'!$A$4:$AS$325,45,FALSE)</f>
        <v>9822.2899999999991</v>
      </c>
      <c r="D272" s="6">
        <f>VLOOKUP($A272,'2324 Jun 24 Enroll'!$A$4:$AL$325,22,FALSE)</f>
        <v>75.78</v>
      </c>
      <c r="E272" s="6">
        <f>VLOOKUP($A272,'2324 Jun 24 Enroll'!$A$4:$AL$325,23,FALSE)</f>
        <v>3.89</v>
      </c>
      <c r="F272" s="6">
        <f>VLOOKUP($A272,'2324 Jun 24 Enroll'!$A$4:$AL$325,24,FALSE)</f>
        <v>0</v>
      </c>
      <c r="G272" s="6">
        <f>VLOOKUP($A272,'2324 Jun 24 Enroll'!$A$4:$AL$325,25,FALSE)</f>
        <v>615.66999999999996</v>
      </c>
      <c r="H272" s="6">
        <f>VLOOKUP($A272,'2324 Jun 24 Enroll'!$A$4:$AL$325,26,FALSE)</f>
        <v>255.56</v>
      </c>
      <c r="I272" s="6">
        <f>VLOOKUP($A272,'2324 Jun 24 Enroll'!$A$4:$AL$325,27,FALSE)</f>
        <v>5717.86</v>
      </c>
      <c r="J272" s="54">
        <f t="shared" si="56"/>
        <v>0.15310000000000001</v>
      </c>
      <c r="K272" s="54">
        <f t="shared" si="57"/>
        <v>3.1000000000000194E-3</v>
      </c>
      <c r="L272" s="45">
        <f t="shared" si="50"/>
        <v>893199.76</v>
      </c>
      <c r="M272" s="68">
        <v>130.33000000000001</v>
      </c>
      <c r="N272" s="68">
        <v>21.57</v>
      </c>
      <c r="O272" s="45">
        <f t="shared" si="51"/>
        <v>42709.85</v>
      </c>
      <c r="P272" s="45">
        <f t="shared" si="52"/>
        <v>0</v>
      </c>
      <c r="Q272" s="45">
        <f t="shared" si="53"/>
        <v>6759684</v>
      </c>
      <c r="R272" s="45">
        <f t="shared" si="54"/>
        <v>2655283.0699999998</v>
      </c>
      <c r="S272" s="45">
        <f t="shared" si="55"/>
        <v>-191500.97</v>
      </c>
      <c r="T272" s="6">
        <f>VLOOKUP($A272,'2324 Jun 24 Enroll'!$A$4:$AL$325,31,FALSE)</f>
        <v>873.12</v>
      </c>
      <c r="U272" s="45">
        <f t="shared" si="47"/>
        <v>8576037.8399999999</v>
      </c>
      <c r="V272" s="35">
        <v>0.14369999999999999</v>
      </c>
      <c r="W272" s="45">
        <f t="shared" si="48"/>
        <v>7498502.96</v>
      </c>
      <c r="X272" s="35">
        <v>0.2492</v>
      </c>
      <c r="Y272" s="45">
        <f t="shared" si="49"/>
        <v>1868626.94</v>
      </c>
    </row>
    <row r="273" spans="1:25">
      <c r="A273" t="s">
        <v>637</v>
      </c>
      <c r="B273" t="s">
        <v>638</v>
      </c>
      <c r="C273" s="6">
        <f>VLOOKUP($A273,'SpEd BEA Rate 2324'!$A$4:$AS$325,45,FALSE)</f>
        <v>9522.9700000000012</v>
      </c>
      <c r="D273" s="6">
        <f>VLOOKUP($A273,'2324 Jun 24 Enroll'!$A$4:$AL$325,22,FALSE)</f>
        <v>354.11</v>
      </c>
      <c r="E273" s="6">
        <f>VLOOKUP($A273,'2324 Jun 24 Enroll'!$A$4:$AL$325,23,FALSE)</f>
        <v>6.78</v>
      </c>
      <c r="F273" s="6">
        <f>VLOOKUP($A273,'2324 Jun 24 Enroll'!$A$4:$AL$325,24,FALSE)</f>
        <v>1.44</v>
      </c>
      <c r="G273" s="6">
        <f>VLOOKUP($A273,'2324 Jun 24 Enroll'!$A$4:$AL$325,25,FALSE)</f>
        <v>1525.67</v>
      </c>
      <c r="H273" s="6">
        <f>VLOOKUP($A273,'2324 Jun 24 Enroll'!$A$4:$AL$325,26,FALSE)</f>
        <v>954.22</v>
      </c>
      <c r="I273" s="6">
        <f>VLOOKUP($A273,'2324 Jun 24 Enroll'!$A$4:$AL$325,27,FALSE)</f>
        <v>14855.65</v>
      </c>
      <c r="J273" s="54">
        <f t="shared" si="56"/>
        <v>0.16750000000000001</v>
      </c>
      <c r="K273" s="54">
        <f t="shared" si="57"/>
        <v>1.7500000000000016E-2</v>
      </c>
      <c r="L273" s="45">
        <f t="shared" si="50"/>
        <v>4046614.69</v>
      </c>
      <c r="M273" s="68">
        <v>126.3</v>
      </c>
      <c r="N273" s="68">
        <v>20.9</v>
      </c>
      <c r="O273" s="45">
        <f t="shared" si="51"/>
        <v>72171.92</v>
      </c>
      <c r="P273" s="45">
        <f t="shared" si="52"/>
        <v>14505.77</v>
      </c>
      <c r="Q273" s="45">
        <f t="shared" si="53"/>
        <v>16240492.289999999</v>
      </c>
      <c r="R273" s="45">
        <f t="shared" si="54"/>
        <v>9612285.7400000002</v>
      </c>
      <c r="S273" s="45">
        <f t="shared" si="55"/>
        <v>-2710092.39</v>
      </c>
      <c r="T273" s="6">
        <f>VLOOKUP($A273,'2324 Jun 24 Enroll'!$A$4:$AL$325,31,FALSE)</f>
        <v>2487.11</v>
      </c>
      <c r="U273" s="45">
        <f t="shared" si="47"/>
        <v>23684673.920000002</v>
      </c>
      <c r="V273" s="35">
        <v>0.12659999999999999</v>
      </c>
      <c r="W273" s="45">
        <f t="shared" si="48"/>
        <v>21023143.899999999</v>
      </c>
      <c r="X273" s="35">
        <v>0.26100000000000001</v>
      </c>
      <c r="Y273" s="45">
        <f t="shared" si="49"/>
        <v>5487040.5599999996</v>
      </c>
    </row>
    <row r="274" spans="1:25">
      <c r="A274" t="s">
        <v>311</v>
      </c>
      <c r="B274" t="s">
        <v>312</v>
      </c>
      <c r="C274" s="6">
        <f>VLOOKUP($A274,'SpEd BEA Rate 2324'!$A$4:$AS$325,45,FALSE)</f>
        <v>9431.27</v>
      </c>
      <c r="D274" s="6">
        <f>VLOOKUP($A274,'2324 Jun 24 Enroll'!$A$4:$AL$325,22,FALSE)</f>
        <v>91.44</v>
      </c>
      <c r="E274" s="6">
        <f>VLOOKUP($A274,'2324 Jun 24 Enroll'!$A$4:$AL$325,23,FALSE)</f>
        <v>0</v>
      </c>
      <c r="F274" s="6">
        <f>VLOOKUP($A274,'2324 Jun 24 Enroll'!$A$4:$AL$325,24,FALSE)</f>
        <v>0</v>
      </c>
      <c r="G274" s="6">
        <f>VLOOKUP($A274,'2324 Jun 24 Enroll'!$A$4:$AL$325,25,FALSE)</f>
        <v>501</v>
      </c>
      <c r="H274" s="6">
        <f>VLOOKUP($A274,'2324 Jun 24 Enroll'!$A$4:$AL$325,26,FALSE)</f>
        <v>357.67</v>
      </c>
      <c r="I274" s="6">
        <f>VLOOKUP($A274,'2324 Jun 24 Enroll'!$A$4:$AL$325,27,FALSE)</f>
        <v>6241.75</v>
      </c>
      <c r="J274" s="54">
        <f t="shared" si="56"/>
        <v>0.1376</v>
      </c>
      <c r="K274" s="54">
        <f t="shared" si="57"/>
        <v>0</v>
      </c>
      <c r="L274" s="45">
        <f t="shared" si="50"/>
        <v>1034874.39</v>
      </c>
      <c r="M274" s="68">
        <v>125.45</v>
      </c>
      <c r="N274" s="68">
        <v>20.76</v>
      </c>
      <c r="O274" s="45">
        <f t="shared" si="51"/>
        <v>0</v>
      </c>
      <c r="P274" s="45">
        <f t="shared" si="52"/>
        <v>0</v>
      </c>
      <c r="Q274" s="45">
        <f t="shared" si="53"/>
        <v>5281673.46</v>
      </c>
      <c r="R274" s="45">
        <f t="shared" si="54"/>
        <v>3568254.05</v>
      </c>
      <c r="S274" s="45">
        <f t="shared" si="55"/>
        <v>0</v>
      </c>
      <c r="T274" s="6">
        <f>VLOOKUP($A274,'2324 Jun 24 Enroll'!$A$4:$AL$325,31,FALSE)</f>
        <v>857.67</v>
      </c>
      <c r="U274" s="45">
        <f t="shared" si="47"/>
        <v>8088917.3399999999</v>
      </c>
      <c r="V274" s="35">
        <v>0.14199999999999999</v>
      </c>
      <c r="W274" s="45">
        <f t="shared" si="48"/>
        <v>7083115.0099999998</v>
      </c>
      <c r="X274" s="35">
        <v>0.26790000000000003</v>
      </c>
      <c r="Y274" s="45">
        <f t="shared" si="49"/>
        <v>1897566.51</v>
      </c>
    </row>
    <row r="275" spans="1:25">
      <c r="A275" t="s">
        <v>313</v>
      </c>
      <c r="B275" t="s">
        <v>314</v>
      </c>
      <c r="C275" s="6">
        <f>VLOOKUP($A275,'SpEd BEA Rate 2324'!$A$4:$AS$325,45,FALSE)</f>
        <v>9634.25</v>
      </c>
      <c r="D275" s="6">
        <f>VLOOKUP($A275,'2324 Jun 24 Enroll'!$A$4:$AL$325,22,FALSE)</f>
        <v>148.44</v>
      </c>
      <c r="E275" s="6">
        <f>VLOOKUP($A275,'2324 Jun 24 Enroll'!$A$4:$AL$325,23,FALSE)</f>
        <v>0</v>
      </c>
      <c r="F275" s="6">
        <f>VLOOKUP($A275,'2324 Jun 24 Enroll'!$A$4:$AL$325,24,FALSE)</f>
        <v>0</v>
      </c>
      <c r="G275" s="6">
        <f>VLOOKUP($A275,'2324 Jun 24 Enroll'!$A$4:$AL$325,25,FALSE)</f>
        <v>879.33</v>
      </c>
      <c r="H275" s="6">
        <f>VLOOKUP($A275,'2324 Jun 24 Enroll'!$A$4:$AL$325,26,FALSE)</f>
        <v>658.89</v>
      </c>
      <c r="I275" s="6">
        <f>VLOOKUP($A275,'2324 Jun 24 Enroll'!$A$4:$AL$325,27,FALSE)</f>
        <v>9514.58</v>
      </c>
      <c r="J275" s="54">
        <f t="shared" si="56"/>
        <v>0.16170000000000001</v>
      </c>
      <c r="K275" s="54">
        <f t="shared" si="57"/>
        <v>1.1700000000000016E-2</v>
      </c>
      <c r="L275" s="45">
        <f t="shared" si="50"/>
        <v>1716129.68</v>
      </c>
      <c r="M275" s="68">
        <v>123.89</v>
      </c>
      <c r="N275" s="68">
        <v>20.51</v>
      </c>
      <c r="O275" s="45">
        <f t="shared" si="51"/>
        <v>0</v>
      </c>
      <c r="P275" s="45">
        <f t="shared" si="52"/>
        <v>0</v>
      </c>
      <c r="Q275" s="45">
        <f t="shared" si="53"/>
        <v>9470252.1999999993</v>
      </c>
      <c r="R275" s="45">
        <f t="shared" si="54"/>
        <v>6715271.8099999996</v>
      </c>
      <c r="S275" s="45">
        <f t="shared" si="55"/>
        <v>-1171123.26</v>
      </c>
      <c r="T275" s="6">
        <f>VLOOKUP($A275,'2324 Jun 24 Enroll'!$A$4:$AL$325,31,FALSE)</f>
        <v>1537.22</v>
      </c>
      <c r="U275" s="45">
        <f t="shared" si="47"/>
        <v>14809961.789999999</v>
      </c>
      <c r="V275" s="35">
        <v>0.1507</v>
      </c>
      <c r="W275" s="45">
        <f t="shared" si="48"/>
        <v>12870393.49</v>
      </c>
      <c r="X275" s="35">
        <v>0.26700000000000002</v>
      </c>
      <c r="Y275" s="45">
        <f t="shared" si="49"/>
        <v>3436395.06</v>
      </c>
    </row>
    <row r="276" spans="1:25">
      <c r="A276" t="s">
        <v>715</v>
      </c>
      <c r="B276" t="s">
        <v>716</v>
      </c>
      <c r="C276" s="6">
        <f>VLOOKUP($A276,'SpEd BEA Rate 2324'!$A$4:$AS$325,45,FALSE)</f>
        <v>9413.35</v>
      </c>
      <c r="D276" s="6">
        <f>VLOOKUP($A276,'2324 Jun 24 Enroll'!$A$4:$AL$325,22,FALSE)</f>
        <v>15.78</v>
      </c>
      <c r="E276" s="6">
        <f>VLOOKUP($A276,'2324 Jun 24 Enroll'!$A$4:$AL$325,23,FALSE)</f>
        <v>0</v>
      </c>
      <c r="F276" s="6">
        <f>VLOOKUP($A276,'2324 Jun 24 Enroll'!$A$4:$AL$325,24,FALSE)</f>
        <v>0</v>
      </c>
      <c r="G276" s="6">
        <f>VLOOKUP($A276,'2324 Jun 24 Enroll'!$A$4:$AL$325,25,FALSE)</f>
        <v>96.67</v>
      </c>
      <c r="H276" s="6">
        <f>VLOOKUP($A276,'2324 Jun 24 Enroll'!$A$4:$AL$325,26,FALSE)</f>
        <v>35.33</v>
      </c>
      <c r="I276" s="6">
        <f>VLOOKUP($A276,'2324 Jun 24 Enroll'!$A$4:$AL$325,27,FALSE)</f>
        <v>935.68</v>
      </c>
      <c r="J276" s="54">
        <f t="shared" si="56"/>
        <v>0.1411</v>
      </c>
      <c r="K276" s="54">
        <f t="shared" si="57"/>
        <v>0</v>
      </c>
      <c r="L276" s="45">
        <f t="shared" si="50"/>
        <v>178251.2</v>
      </c>
      <c r="M276" s="68">
        <v>133.71</v>
      </c>
      <c r="N276" s="68">
        <v>22.13</v>
      </c>
      <c r="O276" s="45">
        <f t="shared" si="51"/>
        <v>0</v>
      </c>
      <c r="P276" s="45">
        <f t="shared" si="52"/>
        <v>0</v>
      </c>
      <c r="Q276" s="45">
        <f t="shared" si="53"/>
        <v>1017047.86</v>
      </c>
      <c r="R276" s="45">
        <f t="shared" si="54"/>
        <v>351746.22</v>
      </c>
      <c r="S276" s="45">
        <f t="shared" si="55"/>
        <v>0</v>
      </c>
      <c r="T276" s="6">
        <f>VLOOKUP($A276,'2324 Jun 24 Enroll'!$A$4:$AL$325,31,FALSE)</f>
        <v>132</v>
      </c>
      <c r="U276" s="45">
        <f t="shared" si="47"/>
        <v>1242562.2</v>
      </c>
      <c r="V276" s="35">
        <v>0.2049</v>
      </c>
      <c r="W276" s="45">
        <f t="shared" si="48"/>
        <v>1031257.53</v>
      </c>
      <c r="X276" s="35">
        <v>0.2258</v>
      </c>
      <c r="Y276" s="45">
        <f t="shared" si="49"/>
        <v>232857.95</v>
      </c>
    </row>
    <row r="277" spans="1:25">
      <c r="A277" t="s">
        <v>496</v>
      </c>
      <c r="B277" t="s">
        <v>497</v>
      </c>
      <c r="C277" s="6">
        <f>VLOOKUP($A277,'SpEd BEA Rate 2324'!$A$4:$AS$325,45,FALSE)</f>
        <v>9356.4699999999993</v>
      </c>
      <c r="D277" s="6">
        <f>VLOOKUP($A277,'2324 Jun 24 Enroll'!$A$4:$AL$325,22,FALSE)</f>
        <v>6.22</v>
      </c>
      <c r="E277" s="6">
        <f>VLOOKUP($A277,'2324 Jun 24 Enroll'!$A$4:$AL$325,23,FALSE)</f>
        <v>1.56</v>
      </c>
      <c r="F277" s="6">
        <f>VLOOKUP($A277,'2324 Jun 24 Enroll'!$A$4:$AL$325,24,FALSE)</f>
        <v>0.11</v>
      </c>
      <c r="G277" s="6">
        <f>VLOOKUP($A277,'2324 Jun 24 Enroll'!$A$4:$AL$325,25,FALSE)</f>
        <v>71.44</v>
      </c>
      <c r="H277" s="6">
        <f>VLOOKUP($A277,'2324 Jun 24 Enroll'!$A$4:$AL$325,26,FALSE)</f>
        <v>11.78</v>
      </c>
      <c r="I277" s="6">
        <f>VLOOKUP($A277,'2324 Jun 24 Enroll'!$A$4:$AL$325,27,FALSE)</f>
        <v>567.22</v>
      </c>
      <c r="J277" s="54">
        <f t="shared" si="56"/>
        <v>0.1497</v>
      </c>
      <c r="K277" s="54">
        <f t="shared" si="57"/>
        <v>0</v>
      </c>
      <c r="L277" s="45">
        <f t="shared" si="50"/>
        <v>69836.69</v>
      </c>
      <c r="M277" s="68">
        <v>127.43</v>
      </c>
      <c r="N277" s="68">
        <v>21.09</v>
      </c>
      <c r="O277" s="45">
        <f t="shared" si="51"/>
        <v>16314.72</v>
      </c>
      <c r="P277" s="45">
        <f t="shared" si="52"/>
        <v>1088.6400000000001</v>
      </c>
      <c r="Q277" s="45">
        <f t="shared" si="53"/>
        <v>747130.69</v>
      </c>
      <c r="R277" s="45">
        <f t="shared" si="54"/>
        <v>116583.93</v>
      </c>
      <c r="S277" s="45">
        <f t="shared" si="55"/>
        <v>0</v>
      </c>
      <c r="T277" s="6">
        <f>VLOOKUP($A277,'2324 Jun 24 Enroll'!$A$4:$AL$325,31,FALSE)</f>
        <v>84.89</v>
      </c>
      <c r="U277" s="45">
        <f t="shared" si="47"/>
        <v>794270.74</v>
      </c>
      <c r="V277" s="35">
        <v>0.1968</v>
      </c>
      <c r="W277" s="45">
        <f t="shared" si="48"/>
        <v>663662.05000000005</v>
      </c>
      <c r="X277" s="35">
        <v>0.17319999999999999</v>
      </c>
      <c r="Y277" s="45">
        <f t="shared" si="49"/>
        <v>114946.27</v>
      </c>
    </row>
    <row r="278" spans="1:25">
      <c r="A278" t="s">
        <v>735</v>
      </c>
      <c r="B278" t="s">
        <v>736</v>
      </c>
      <c r="C278" s="6">
        <f>VLOOKUP($A278,'SpEd BEA Rate 2324'!$A$4:$AS$325,45,FALSE)</f>
        <v>9415.24</v>
      </c>
      <c r="D278" s="6">
        <f>VLOOKUP($A278,'2324 Jun 24 Enroll'!$A$4:$AL$325,22,FALSE)</f>
        <v>25.22</v>
      </c>
      <c r="E278" s="6">
        <f>VLOOKUP($A278,'2324 Jun 24 Enroll'!$A$4:$AL$325,23,FALSE)</f>
        <v>6.78</v>
      </c>
      <c r="F278" s="6">
        <f>VLOOKUP($A278,'2324 Jun 24 Enroll'!$A$4:$AL$325,24,FALSE)</f>
        <v>0</v>
      </c>
      <c r="G278" s="6">
        <f>VLOOKUP($A278,'2324 Jun 24 Enroll'!$A$4:$AL$325,25,FALSE)</f>
        <v>191.22</v>
      </c>
      <c r="H278" s="6">
        <f>VLOOKUP($A278,'2324 Jun 24 Enroll'!$A$4:$AL$325,26,FALSE)</f>
        <v>116.78</v>
      </c>
      <c r="I278" s="6">
        <f>VLOOKUP($A278,'2324 Jun 24 Enroll'!$A$4:$AL$325,27,FALSE)</f>
        <v>2135.17</v>
      </c>
      <c r="J278" s="54">
        <f t="shared" si="56"/>
        <v>0.1474</v>
      </c>
      <c r="K278" s="54">
        <f t="shared" si="57"/>
        <v>0</v>
      </c>
      <c r="L278" s="45">
        <f t="shared" si="50"/>
        <v>284942.82</v>
      </c>
      <c r="M278" s="68">
        <v>121.04</v>
      </c>
      <c r="N278" s="68">
        <v>20.03</v>
      </c>
      <c r="O278" s="45">
        <f t="shared" si="51"/>
        <v>71359.759999999995</v>
      </c>
      <c r="P278" s="45">
        <f t="shared" si="52"/>
        <v>0</v>
      </c>
      <c r="Q278" s="45">
        <f t="shared" si="53"/>
        <v>2012597.92</v>
      </c>
      <c r="R278" s="45">
        <f t="shared" si="54"/>
        <v>1163143.33</v>
      </c>
      <c r="S278" s="45">
        <f t="shared" si="55"/>
        <v>0</v>
      </c>
      <c r="T278" s="6">
        <f>VLOOKUP($A278,'2324 Jun 24 Enroll'!$A$4:$AL$325,31,FALSE)</f>
        <v>314.77999999999997</v>
      </c>
      <c r="U278" s="45">
        <f t="shared" si="47"/>
        <v>2963729.25</v>
      </c>
      <c r="V278" s="35">
        <v>0.1348</v>
      </c>
      <c r="W278" s="45">
        <f t="shared" si="48"/>
        <v>2611675.41</v>
      </c>
      <c r="X278" s="35">
        <v>0.2102</v>
      </c>
      <c r="Y278" s="45">
        <f t="shared" si="49"/>
        <v>548974.17000000004</v>
      </c>
    </row>
    <row r="279" spans="1:25">
      <c r="A279" t="s">
        <v>817</v>
      </c>
      <c r="B279" t="s">
        <v>818</v>
      </c>
      <c r="C279" s="6">
        <f>VLOOKUP($A279,'SpEd BEA Rate 2324'!$A$4:$AS$325,45,FALSE)</f>
        <v>9416.36</v>
      </c>
      <c r="D279" s="6">
        <f>VLOOKUP($A279,'2324 Jun 24 Enroll'!$A$4:$AL$325,22,FALSE)</f>
        <v>16.22</v>
      </c>
      <c r="E279" s="6">
        <f>VLOOKUP($A279,'2324 Jun 24 Enroll'!$A$4:$AL$325,23,FALSE)</f>
        <v>0</v>
      </c>
      <c r="F279" s="6">
        <f>VLOOKUP($A279,'2324 Jun 24 Enroll'!$A$4:$AL$325,24,FALSE)</f>
        <v>0</v>
      </c>
      <c r="G279" s="6">
        <f>VLOOKUP($A279,'2324 Jun 24 Enroll'!$A$4:$AL$325,25,FALSE)</f>
        <v>116.11</v>
      </c>
      <c r="H279" s="6">
        <f>VLOOKUP($A279,'2324 Jun 24 Enroll'!$A$4:$AL$325,26,FALSE)</f>
        <v>81.78</v>
      </c>
      <c r="I279" s="6">
        <f>VLOOKUP($A279,'2324 Jun 24 Enroll'!$A$4:$AL$325,27,FALSE)</f>
        <v>1261.8900000000001</v>
      </c>
      <c r="J279" s="54">
        <f t="shared" si="56"/>
        <v>0.15679999999999999</v>
      </c>
      <c r="K279" s="54">
        <f t="shared" si="57"/>
        <v>6.8000000000000005E-3</v>
      </c>
      <c r="L279" s="45">
        <f t="shared" si="50"/>
        <v>183280.03</v>
      </c>
      <c r="M279" s="68">
        <v>126.22</v>
      </c>
      <c r="N279" s="68">
        <v>20.89</v>
      </c>
      <c r="O279" s="45">
        <f t="shared" si="51"/>
        <v>0</v>
      </c>
      <c r="P279" s="45">
        <f t="shared" si="52"/>
        <v>0</v>
      </c>
      <c r="Q279" s="45">
        <f t="shared" si="53"/>
        <v>1222108.05</v>
      </c>
      <c r="R279" s="45">
        <f t="shared" si="54"/>
        <v>814565.73</v>
      </c>
      <c r="S279" s="45">
        <f t="shared" si="55"/>
        <v>-88325.14</v>
      </c>
      <c r="T279" s="6">
        <f>VLOOKUP($A279,'2324 Jun 24 Enroll'!$A$4:$AL$325,31,FALSE)</f>
        <v>197.89</v>
      </c>
      <c r="U279" s="45">
        <f t="shared" si="47"/>
        <v>1863403.48</v>
      </c>
      <c r="V279" s="35">
        <v>0.18959999999999999</v>
      </c>
      <c r="W279" s="45">
        <f t="shared" si="48"/>
        <v>1566411.8</v>
      </c>
      <c r="X279" s="35">
        <v>0.29270000000000002</v>
      </c>
      <c r="Y279" s="45">
        <f t="shared" si="49"/>
        <v>458488.73</v>
      </c>
    </row>
    <row r="280" spans="1:25">
      <c r="A280" t="s">
        <v>932</v>
      </c>
      <c r="B280" t="s">
        <v>1019</v>
      </c>
      <c r="C280" s="6">
        <f>VLOOKUP($A280,'SpEd BEA Rate 2324'!$A$4:$AS$325,45,FALSE)</f>
        <v>9457.1500000000015</v>
      </c>
      <c r="D280" s="6">
        <f>VLOOKUP($A280,'2324 Jun 24 Enroll'!$A$4:$AL$325,22,FALSE)</f>
        <v>0</v>
      </c>
      <c r="E280" s="6">
        <f>VLOOKUP($A280,'2324 Jun 24 Enroll'!$A$4:$AL$325,23,FALSE)</f>
        <v>0</v>
      </c>
      <c r="F280" s="6">
        <f>VLOOKUP($A280,'2324 Jun 24 Enroll'!$A$4:$AL$325,24,FALSE)</f>
        <v>0</v>
      </c>
      <c r="G280" s="6">
        <f>VLOOKUP($A280,'2324 Jun 24 Enroll'!$A$4:$AL$325,25,FALSE)</f>
        <v>21.11</v>
      </c>
      <c r="H280" s="6">
        <f>VLOOKUP($A280,'2324 Jun 24 Enroll'!$A$4:$AL$325,26,FALSE)</f>
        <v>9.89</v>
      </c>
      <c r="I280" s="6">
        <f>VLOOKUP($A280,'2324 Jun 24 Enroll'!$A$4:$AL$325,27,FALSE)</f>
        <v>131.4</v>
      </c>
      <c r="J280" s="54">
        <f t="shared" si="56"/>
        <v>0.2359</v>
      </c>
      <c r="K280" s="54">
        <f t="shared" si="57"/>
        <v>8.5900000000000004E-2</v>
      </c>
      <c r="L280" s="45">
        <f t="shared" si="50"/>
        <v>0</v>
      </c>
      <c r="M280" s="68">
        <v>126.3</v>
      </c>
      <c r="N280" s="68">
        <v>20.9</v>
      </c>
      <c r="O280" s="45">
        <f t="shared" si="51"/>
        <v>0</v>
      </c>
      <c r="P280" s="45">
        <f t="shared" si="52"/>
        <v>0</v>
      </c>
      <c r="Q280" s="45">
        <f t="shared" si="53"/>
        <v>223156.09</v>
      </c>
      <c r="R280" s="45">
        <f t="shared" si="54"/>
        <v>98936.39</v>
      </c>
      <c r="S280" s="45">
        <f t="shared" si="55"/>
        <v>-117285.9</v>
      </c>
      <c r="T280" s="6">
        <f>VLOOKUP($A280,'2324 Jun 24 Enroll'!$A$4:$AL$325,31,FALSE)</f>
        <v>31</v>
      </c>
      <c r="U280" s="45">
        <f t="shared" si="47"/>
        <v>293171.65000000002</v>
      </c>
      <c r="V280" s="35">
        <v>0.14399999999999999</v>
      </c>
      <c r="W280" s="45">
        <f t="shared" si="48"/>
        <v>256268.92</v>
      </c>
      <c r="X280" s="35">
        <v>0.22040000000000001</v>
      </c>
      <c r="Y280" s="45">
        <f t="shared" si="49"/>
        <v>56481.67</v>
      </c>
    </row>
    <row r="281" spans="1:25">
      <c r="A281" t="s">
        <v>851</v>
      </c>
      <c r="B281" t="s">
        <v>852</v>
      </c>
      <c r="C281" s="6">
        <f>VLOOKUP($A281,'SpEd BEA Rate 2324'!$A$4:$AS$325,45,FALSE)</f>
        <v>9532.56</v>
      </c>
      <c r="D281" s="6">
        <f>VLOOKUP($A281,'2324 Jun 24 Enroll'!$A$4:$AL$325,22,FALSE)</f>
        <v>53.78</v>
      </c>
      <c r="E281" s="6">
        <f>VLOOKUP($A281,'2324 Jun 24 Enroll'!$A$4:$AL$325,23,FALSE)</f>
        <v>4.1100000000000003</v>
      </c>
      <c r="F281" s="6">
        <f>VLOOKUP($A281,'2324 Jun 24 Enroll'!$A$4:$AL$325,24,FALSE)</f>
        <v>3.33</v>
      </c>
      <c r="G281" s="6">
        <f>VLOOKUP($A281,'2324 Jun 24 Enroll'!$A$4:$AL$325,25,FALSE)</f>
        <v>591.89</v>
      </c>
      <c r="H281" s="6">
        <f>VLOOKUP($A281,'2324 Jun 24 Enroll'!$A$4:$AL$325,26,FALSE)</f>
        <v>248</v>
      </c>
      <c r="I281" s="6">
        <f>VLOOKUP($A281,'2324 Jun 24 Enroll'!$A$4:$AL$325,27,FALSE)</f>
        <v>5343.21</v>
      </c>
      <c r="J281" s="54">
        <f t="shared" si="56"/>
        <v>0.15859999999999999</v>
      </c>
      <c r="K281" s="54">
        <f t="shared" si="57"/>
        <v>8.5999999999999965E-3</v>
      </c>
      <c r="L281" s="45">
        <f t="shared" si="50"/>
        <v>615193.29</v>
      </c>
      <c r="M281" s="68">
        <v>128.4</v>
      </c>
      <c r="N281" s="68">
        <v>21.25</v>
      </c>
      <c r="O281" s="45">
        <f t="shared" si="51"/>
        <v>43792.94</v>
      </c>
      <c r="P281" s="45">
        <f t="shared" si="52"/>
        <v>33577.269999999997</v>
      </c>
      <c r="Q281" s="45">
        <f t="shared" si="53"/>
        <v>6306716.5099999998</v>
      </c>
      <c r="R281" s="45">
        <f t="shared" si="54"/>
        <v>2500649.37</v>
      </c>
      <c r="S281" s="45">
        <f t="shared" si="55"/>
        <v>-481770.05</v>
      </c>
      <c r="T281" s="6">
        <f>VLOOKUP($A281,'2324 Jun 24 Enroll'!$A$4:$AL$325,31,FALSE)</f>
        <v>846.33</v>
      </c>
      <c r="U281" s="45">
        <f t="shared" si="47"/>
        <v>8067691.5</v>
      </c>
      <c r="V281" s="35">
        <v>0.17810000000000001</v>
      </c>
      <c r="W281" s="45">
        <f t="shared" si="48"/>
        <v>6848053.2199999997</v>
      </c>
      <c r="X281" s="35">
        <v>0.24990000000000001</v>
      </c>
      <c r="Y281" s="45">
        <f t="shared" si="49"/>
        <v>1711328.5</v>
      </c>
    </row>
    <row r="282" spans="1:25">
      <c r="A282" t="s">
        <v>392</v>
      </c>
      <c r="B282" t="s">
        <v>393</v>
      </c>
      <c r="C282" s="6">
        <f>VLOOKUP($A282,'SpEd BEA Rate 2324'!$A$4:$AS$325,45,FALSE)</f>
        <v>9421.11</v>
      </c>
      <c r="D282" s="6">
        <f>VLOOKUP($A282,'2324 Jun 24 Enroll'!$A$4:$AL$325,22,FALSE)</f>
        <v>22.56</v>
      </c>
      <c r="E282" s="6">
        <f>VLOOKUP($A282,'2324 Jun 24 Enroll'!$A$4:$AL$325,23,FALSE)</f>
        <v>2</v>
      </c>
      <c r="F282" s="6">
        <f>VLOOKUP($A282,'2324 Jun 24 Enroll'!$A$4:$AL$325,24,FALSE)</f>
        <v>0</v>
      </c>
      <c r="G282" s="6">
        <f>VLOOKUP($A282,'2324 Jun 24 Enroll'!$A$4:$AL$325,25,FALSE)</f>
        <v>129.88999999999999</v>
      </c>
      <c r="H282" s="6">
        <f>VLOOKUP($A282,'2324 Jun 24 Enroll'!$A$4:$AL$325,26,FALSE)</f>
        <v>105.11</v>
      </c>
      <c r="I282" s="6">
        <f>VLOOKUP($A282,'2324 Jun 24 Enroll'!$A$4:$AL$325,27,FALSE)</f>
        <v>1506.26</v>
      </c>
      <c r="J282" s="54">
        <f t="shared" si="56"/>
        <v>0.1573</v>
      </c>
      <c r="K282" s="54">
        <f t="shared" si="57"/>
        <v>7.3000000000000009E-3</v>
      </c>
      <c r="L282" s="45">
        <f t="shared" si="50"/>
        <v>255048.29</v>
      </c>
      <c r="M282" s="68">
        <v>138.51</v>
      </c>
      <c r="N282" s="68">
        <v>22.93</v>
      </c>
      <c r="O282" s="45">
        <f t="shared" si="51"/>
        <v>21057.43</v>
      </c>
      <c r="P282" s="45">
        <f t="shared" si="52"/>
        <v>0</v>
      </c>
      <c r="Q282" s="45">
        <f t="shared" si="53"/>
        <v>1367574.56</v>
      </c>
      <c r="R282" s="45">
        <f t="shared" si="54"/>
        <v>1047257.87</v>
      </c>
      <c r="S282" s="45">
        <f t="shared" si="55"/>
        <v>-113045.11</v>
      </c>
      <c r="T282" s="6">
        <f>VLOOKUP($A282,'2324 Jun 24 Enroll'!$A$4:$AL$325,31,FALSE)</f>
        <v>237</v>
      </c>
      <c r="U282" s="45">
        <f t="shared" si="47"/>
        <v>2232803.0699999998</v>
      </c>
      <c r="V282" s="35">
        <v>0.13969999999999999</v>
      </c>
      <c r="W282" s="45">
        <f t="shared" si="48"/>
        <v>1959114.74</v>
      </c>
      <c r="X282" s="35">
        <v>0.30059999999999998</v>
      </c>
      <c r="Y282" s="45">
        <f t="shared" si="49"/>
        <v>588909.89</v>
      </c>
    </row>
    <row r="283" spans="1:25">
      <c r="A283" t="s">
        <v>827</v>
      </c>
      <c r="B283" t="s">
        <v>828</v>
      </c>
      <c r="C283" s="6">
        <f>VLOOKUP($A283,'SpEd BEA Rate 2324'!$A$4:$AS$325,45,FALSE)</f>
        <v>9426.06</v>
      </c>
      <c r="D283" s="6">
        <f>VLOOKUP($A283,'2324 Jun 24 Enroll'!$A$4:$AL$325,22,FALSE)</f>
        <v>1</v>
      </c>
      <c r="E283" s="6">
        <f>VLOOKUP($A283,'2324 Jun 24 Enroll'!$A$4:$AL$325,23,FALSE)</f>
        <v>1.33</v>
      </c>
      <c r="F283" s="6">
        <f>VLOOKUP($A283,'2324 Jun 24 Enroll'!$A$4:$AL$325,24,FALSE)</f>
        <v>0.67</v>
      </c>
      <c r="G283" s="6">
        <f>VLOOKUP($A283,'2324 Jun 24 Enroll'!$A$4:$AL$325,25,FALSE)</f>
        <v>12.78</v>
      </c>
      <c r="H283" s="6">
        <f>VLOOKUP($A283,'2324 Jun 24 Enroll'!$A$4:$AL$325,26,FALSE)</f>
        <v>1</v>
      </c>
      <c r="I283" s="6">
        <f>VLOOKUP($A283,'2324 Jun 24 Enroll'!$A$4:$AL$325,27,FALSE)</f>
        <v>241</v>
      </c>
      <c r="J283" s="54">
        <f t="shared" si="56"/>
        <v>6.5500000000000003E-2</v>
      </c>
      <c r="K283" s="54">
        <f t="shared" si="57"/>
        <v>0</v>
      </c>
      <c r="L283" s="45">
        <f t="shared" si="50"/>
        <v>11311.27</v>
      </c>
      <c r="M283" s="68">
        <v>122.22</v>
      </c>
      <c r="N283" s="68">
        <v>20.23</v>
      </c>
      <c r="O283" s="45">
        <f t="shared" si="51"/>
        <v>14014.15</v>
      </c>
      <c r="P283" s="45">
        <f t="shared" si="52"/>
        <v>6680.83</v>
      </c>
      <c r="Q283" s="45">
        <f t="shared" si="53"/>
        <v>134662.31</v>
      </c>
      <c r="R283" s="45">
        <f t="shared" si="54"/>
        <v>9971.39</v>
      </c>
      <c r="S283" s="45">
        <f t="shared" si="55"/>
        <v>0</v>
      </c>
      <c r="T283" s="6">
        <f>VLOOKUP($A283,'2324 Jun 24 Enroll'!$A$4:$AL$325,31,FALSE)</f>
        <v>15.78</v>
      </c>
      <c r="U283" s="45">
        <f t="shared" si="47"/>
        <v>148743.23000000001</v>
      </c>
      <c r="V283" s="35">
        <v>0.37890000000000001</v>
      </c>
      <c r="W283" s="45">
        <f t="shared" si="48"/>
        <v>107870.93</v>
      </c>
      <c r="X283" s="35">
        <v>0.1167</v>
      </c>
      <c r="Y283" s="45">
        <f t="shared" si="49"/>
        <v>12588.54</v>
      </c>
    </row>
    <row r="284" spans="1:25">
      <c r="A284" t="s">
        <v>398</v>
      </c>
      <c r="B284" t="s">
        <v>399</v>
      </c>
      <c r="C284" s="6">
        <f>VLOOKUP($A284,'SpEd BEA Rate 2324'!$A$4:$AS$325,45,FALSE)</f>
        <v>9513.6</v>
      </c>
      <c r="D284" s="6">
        <f>VLOOKUP($A284,'2324 Jun 24 Enroll'!$A$4:$AL$325,22,FALSE)</f>
        <v>7.78</v>
      </c>
      <c r="E284" s="6">
        <f>VLOOKUP($A284,'2324 Jun 24 Enroll'!$A$4:$AL$325,23,FALSE)</f>
        <v>1</v>
      </c>
      <c r="F284" s="6">
        <f>VLOOKUP($A284,'2324 Jun 24 Enroll'!$A$4:$AL$325,24,FALSE)</f>
        <v>0</v>
      </c>
      <c r="G284" s="6">
        <f>VLOOKUP($A284,'2324 Jun 24 Enroll'!$A$4:$AL$325,25,FALSE)</f>
        <v>65.22</v>
      </c>
      <c r="H284" s="6">
        <f>VLOOKUP($A284,'2324 Jun 24 Enroll'!$A$4:$AL$325,26,FALSE)</f>
        <v>45</v>
      </c>
      <c r="I284" s="6">
        <f>VLOOKUP($A284,'2324 Jun 24 Enroll'!$A$4:$AL$325,27,FALSE)</f>
        <v>783.62</v>
      </c>
      <c r="J284" s="54">
        <f t="shared" si="56"/>
        <v>0.1419</v>
      </c>
      <c r="K284" s="54">
        <f t="shared" si="57"/>
        <v>0</v>
      </c>
      <c r="L284" s="45">
        <f t="shared" si="50"/>
        <v>88818.97</v>
      </c>
      <c r="M284" s="68">
        <v>134.43</v>
      </c>
      <c r="N284" s="68">
        <v>22.25</v>
      </c>
      <c r="O284" s="45">
        <f t="shared" si="51"/>
        <v>10632.98</v>
      </c>
      <c r="P284" s="45">
        <f t="shared" si="52"/>
        <v>0</v>
      </c>
      <c r="Q284" s="45">
        <f t="shared" si="53"/>
        <v>693483.09</v>
      </c>
      <c r="R284" s="45">
        <f t="shared" si="54"/>
        <v>452797.47</v>
      </c>
      <c r="S284" s="45">
        <f t="shared" si="55"/>
        <v>0</v>
      </c>
      <c r="T284" s="6">
        <f>VLOOKUP($A284,'2324 Jun 24 Enroll'!$A$4:$AL$325,31,FALSE)</f>
        <v>111.22</v>
      </c>
      <c r="U284" s="45">
        <f t="shared" si="47"/>
        <v>1058102.5900000001</v>
      </c>
      <c r="V284" s="35">
        <v>0.2029</v>
      </c>
      <c r="W284" s="45">
        <f t="shared" si="48"/>
        <v>879626.39</v>
      </c>
      <c r="X284" s="35">
        <v>0.2089</v>
      </c>
      <c r="Y284" s="45">
        <f t="shared" si="49"/>
        <v>183753.95</v>
      </c>
    </row>
    <row r="285" spans="1:25">
      <c r="A285" t="s">
        <v>699</v>
      </c>
      <c r="B285" t="s">
        <v>700</v>
      </c>
      <c r="C285" s="6">
        <f>VLOOKUP($A285,'SpEd BEA Rate 2324'!$A$4:$AS$325,45,FALSE)</f>
        <v>9408.11</v>
      </c>
      <c r="D285" s="6">
        <f>VLOOKUP($A285,'2324 Jun 24 Enroll'!$A$4:$AL$325,22,FALSE)</f>
        <v>0</v>
      </c>
      <c r="E285" s="6">
        <f>VLOOKUP($A285,'2324 Jun 24 Enroll'!$A$4:$AL$325,23,FALSE)</f>
        <v>0</v>
      </c>
      <c r="F285" s="6">
        <f>VLOOKUP($A285,'2324 Jun 24 Enroll'!$A$4:$AL$325,24,FALSE)</f>
        <v>0</v>
      </c>
      <c r="G285" s="6">
        <f>VLOOKUP($A285,'2324 Jun 24 Enroll'!$A$4:$AL$325,25,FALSE)</f>
        <v>34.67</v>
      </c>
      <c r="H285" s="6">
        <f>VLOOKUP($A285,'2324 Jun 24 Enroll'!$A$4:$AL$325,26,FALSE)</f>
        <v>7.44</v>
      </c>
      <c r="I285" s="6">
        <f>VLOOKUP($A285,'2324 Jun 24 Enroll'!$A$4:$AL$325,27,FALSE)</f>
        <v>269.74</v>
      </c>
      <c r="J285" s="54">
        <f t="shared" si="56"/>
        <v>0.15609999999999999</v>
      </c>
      <c r="K285" s="54">
        <f t="shared" si="57"/>
        <v>6.0999999999999943E-3</v>
      </c>
      <c r="L285" s="45">
        <f t="shared" si="50"/>
        <v>0</v>
      </c>
      <c r="M285" s="68">
        <v>122.22</v>
      </c>
      <c r="N285" s="68">
        <v>20.23</v>
      </c>
      <c r="O285" s="45">
        <f t="shared" si="51"/>
        <v>0</v>
      </c>
      <c r="P285" s="45">
        <f t="shared" si="52"/>
        <v>0</v>
      </c>
      <c r="Q285" s="45">
        <f t="shared" si="53"/>
        <v>364619.3</v>
      </c>
      <c r="R285" s="45">
        <f t="shared" si="54"/>
        <v>74045.61</v>
      </c>
      <c r="S285" s="45">
        <f t="shared" si="55"/>
        <v>-17141.93</v>
      </c>
      <c r="T285" s="6">
        <f>VLOOKUP($A285,'2324 Jun 24 Enroll'!$A$4:$AL$325,31,FALSE)</f>
        <v>42.11</v>
      </c>
      <c r="U285" s="45">
        <f t="shared" si="47"/>
        <v>396175.51</v>
      </c>
      <c r="V285" s="35">
        <v>0.22389999999999999</v>
      </c>
      <c r="W285" s="45">
        <f t="shared" ref="W285:W321" si="58">ROUND(U285/(1+V285),2)</f>
        <v>323699.25</v>
      </c>
      <c r="X285" s="35">
        <v>0.15379999999999999</v>
      </c>
      <c r="Y285" s="45">
        <f t="shared" ref="Y285:Y321" si="59">ROUND(X285*W285,2)</f>
        <v>49784.94</v>
      </c>
    </row>
    <row r="286" spans="1:25">
      <c r="A286" t="s">
        <v>335</v>
      </c>
      <c r="B286" t="s">
        <v>336</v>
      </c>
      <c r="C286" s="6">
        <f>VLOOKUP($A286,'SpEd BEA Rate 2324'!$A$4:$AS$325,45,FALSE)</f>
        <v>9930.9500000000025</v>
      </c>
      <c r="D286" s="6">
        <f>VLOOKUP($A286,'2324 Jun 24 Enroll'!$A$4:$AL$325,22,FALSE)</f>
        <v>95.33</v>
      </c>
      <c r="E286" s="6">
        <f>VLOOKUP($A286,'2324 Jun 24 Enroll'!$A$4:$AL$325,23,FALSE)</f>
        <v>44.67</v>
      </c>
      <c r="F286" s="6">
        <f>VLOOKUP($A286,'2324 Jun 24 Enroll'!$A$4:$AL$325,24,FALSE)</f>
        <v>6.22</v>
      </c>
      <c r="G286" s="6">
        <f>VLOOKUP($A286,'2324 Jun 24 Enroll'!$A$4:$AL$325,25,FALSE)</f>
        <v>1382</v>
      </c>
      <c r="H286" s="6">
        <f>VLOOKUP($A286,'2324 Jun 24 Enroll'!$A$4:$AL$325,26,FALSE)</f>
        <v>319.77999999999997</v>
      </c>
      <c r="I286" s="6">
        <f>VLOOKUP($A286,'2324 Jun 24 Enroll'!$A$4:$AL$325,27,FALSE)</f>
        <v>11167.02</v>
      </c>
      <c r="J286" s="54">
        <f t="shared" si="56"/>
        <v>0.157</v>
      </c>
      <c r="K286" s="54">
        <f t="shared" si="57"/>
        <v>7.0000000000000062E-3</v>
      </c>
      <c r="L286" s="45">
        <f t="shared" si="50"/>
        <v>1136060.96</v>
      </c>
      <c r="M286" s="68">
        <v>132.09</v>
      </c>
      <c r="N286" s="68">
        <v>21.86</v>
      </c>
      <c r="O286" s="45">
        <f t="shared" si="51"/>
        <v>495872.91</v>
      </c>
      <c r="P286" s="45">
        <f t="shared" si="52"/>
        <v>65340.77</v>
      </c>
      <c r="Q286" s="45">
        <f t="shared" si="53"/>
        <v>15341311.130000001</v>
      </c>
      <c r="R286" s="45">
        <f t="shared" si="54"/>
        <v>3359271.95</v>
      </c>
      <c r="S286" s="45">
        <f t="shared" si="55"/>
        <v>-858806.22</v>
      </c>
      <c r="T286" s="6">
        <f>VLOOKUP($A286,'2324 Jun 24 Enroll'!$A$4:$AL$325,31,FALSE)</f>
        <v>1752.67</v>
      </c>
      <c r="U286" s="45">
        <f t="shared" si="47"/>
        <v>17405678.140000001</v>
      </c>
      <c r="V286" s="35">
        <v>0.13300000000000001</v>
      </c>
      <c r="W286" s="45">
        <f t="shared" si="58"/>
        <v>15362469.67</v>
      </c>
      <c r="X286" s="35">
        <v>0.20469999999999999</v>
      </c>
      <c r="Y286" s="45">
        <f t="shared" si="59"/>
        <v>3144697.54</v>
      </c>
    </row>
    <row r="287" spans="1:25">
      <c r="A287" t="s">
        <v>466</v>
      </c>
      <c r="B287" t="s">
        <v>467</v>
      </c>
      <c r="C287" s="6">
        <f>VLOOKUP($A287,'SpEd BEA Rate 2324'!$A$4:$AS$325,45,FALSE)</f>
        <v>9925.4300000000021</v>
      </c>
      <c r="D287" s="6">
        <f>VLOOKUP($A287,'2324 Jun 24 Enroll'!$A$4:$AL$325,22,FALSE)</f>
        <v>51.89</v>
      </c>
      <c r="E287" s="6">
        <f>VLOOKUP($A287,'2324 Jun 24 Enroll'!$A$4:$AL$325,23,FALSE)</f>
        <v>8.2200000000000006</v>
      </c>
      <c r="F287" s="6">
        <f>VLOOKUP($A287,'2324 Jun 24 Enroll'!$A$4:$AL$325,24,FALSE)</f>
        <v>0.89</v>
      </c>
      <c r="G287" s="6">
        <f>VLOOKUP($A287,'2324 Jun 24 Enroll'!$A$4:$AL$325,25,FALSE)</f>
        <v>484.33</v>
      </c>
      <c r="H287" s="6">
        <f>VLOOKUP($A287,'2324 Jun 24 Enroll'!$A$4:$AL$325,26,FALSE)</f>
        <v>189.78</v>
      </c>
      <c r="I287" s="6">
        <f>VLOOKUP($A287,'2324 Jun 24 Enroll'!$A$4:$AL$325,27,FALSE)</f>
        <v>4619.3900000000003</v>
      </c>
      <c r="J287" s="54">
        <f t="shared" si="56"/>
        <v>0.1479</v>
      </c>
      <c r="K287" s="54">
        <f t="shared" si="57"/>
        <v>0</v>
      </c>
      <c r="L287" s="45">
        <f t="shared" si="50"/>
        <v>618036.68000000005</v>
      </c>
      <c r="M287" s="68">
        <v>132.49</v>
      </c>
      <c r="N287" s="68">
        <v>21.93</v>
      </c>
      <c r="O287" s="45">
        <f t="shared" si="51"/>
        <v>91197.21</v>
      </c>
      <c r="P287" s="45">
        <f t="shared" si="52"/>
        <v>9344.1299999999992</v>
      </c>
      <c r="Q287" s="45">
        <f t="shared" si="53"/>
        <v>5373424.1799999997</v>
      </c>
      <c r="R287" s="45">
        <f t="shared" si="54"/>
        <v>1992505.12</v>
      </c>
      <c r="S287" s="45">
        <f t="shared" si="55"/>
        <v>0</v>
      </c>
      <c r="T287" s="6">
        <f>VLOOKUP($A287,'2324 Jun 24 Enroll'!$A$4:$AL$325,31,FALSE)</f>
        <v>683.22</v>
      </c>
      <c r="U287" s="45">
        <f t="shared" si="47"/>
        <v>6781252.2800000003</v>
      </c>
      <c r="V287" s="35">
        <v>0.1399</v>
      </c>
      <c r="W287" s="45">
        <f t="shared" si="58"/>
        <v>5948988.75</v>
      </c>
      <c r="X287" s="35">
        <v>0.25629999999999997</v>
      </c>
      <c r="Y287" s="45">
        <f t="shared" si="59"/>
        <v>1524725.82</v>
      </c>
    </row>
    <row r="288" spans="1:25">
      <c r="A288" t="s">
        <v>343</v>
      </c>
      <c r="B288" t="s">
        <v>344</v>
      </c>
      <c r="C288" s="6">
        <f>VLOOKUP($A288,'SpEd BEA Rate 2324'!$A$4:$AS$325,45,FALSE)</f>
        <v>10326.209999999999</v>
      </c>
      <c r="D288" s="6">
        <f>VLOOKUP($A288,'2324 Jun 24 Enroll'!$A$4:$AL$325,22,FALSE)</f>
        <v>17</v>
      </c>
      <c r="E288" s="6">
        <f>VLOOKUP($A288,'2324 Jun 24 Enroll'!$A$4:$AL$325,23,FALSE)</f>
        <v>15.67</v>
      </c>
      <c r="F288" s="6">
        <f>VLOOKUP($A288,'2324 Jun 24 Enroll'!$A$4:$AL$325,24,FALSE)</f>
        <v>3.56</v>
      </c>
      <c r="G288" s="6">
        <f>VLOOKUP($A288,'2324 Jun 24 Enroll'!$A$4:$AL$325,25,FALSE)</f>
        <v>253.33</v>
      </c>
      <c r="H288" s="6">
        <f>VLOOKUP($A288,'2324 Jun 24 Enroll'!$A$4:$AL$325,26,FALSE)</f>
        <v>52.56</v>
      </c>
      <c r="I288" s="6">
        <f>VLOOKUP($A288,'2324 Jun 24 Enroll'!$A$4:$AL$325,27,FALSE)</f>
        <v>2023.99</v>
      </c>
      <c r="J288" s="54">
        <f t="shared" si="56"/>
        <v>0.16059999999999999</v>
      </c>
      <c r="K288" s="54">
        <f t="shared" si="57"/>
        <v>1.0599999999999998E-2</v>
      </c>
      <c r="L288" s="45">
        <f t="shared" si="50"/>
        <v>210654.68</v>
      </c>
      <c r="M288" s="68">
        <v>130.55000000000001</v>
      </c>
      <c r="N288" s="68">
        <v>21.61</v>
      </c>
      <c r="O288" s="45">
        <f t="shared" si="51"/>
        <v>180890.49</v>
      </c>
      <c r="P288" s="45">
        <f t="shared" si="52"/>
        <v>38890.050000000003</v>
      </c>
      <c r="Q288" s="45">
        <f t="shared" si="53"/>
        <v>2924376.97</v>
      </c>
      <c r="R288" s="45">
        <f t="shared" si="54"/>
        <v>574174.51</v>
      </c>
      <c r="S288" s="45">
        <f t="shared" si="55"/>
        <v>-245419.17</v>
      </c>
      <c r="T288" s="6">
        <f>VLOOKUP($A288,'2324 Jun 24 Enroll'!$A$4:$AL$325,31,FALSE)</f>
        <v>325.12</v>
      </c>
      <c r="U288" s="45">
        <f t="shared" si="47"/>
        <v>3357257.4</v>
      </c>
      <c r="V288" s="35">
        <v>0.1419</v>
      </c>
      <c r="W288" s="45">
        <f t="shared" si="58"/>
        <v>2940062.53</v>
      </c>
      <c r="X288" s="35">
        <v>0.19040000000000001</v>
      </c>
      <c r="Y288" s="45">
        <f t="shared" si="59"/>
        <v>559787.91</v>
      </c>
    </row>
    <row r="289" spans="1:25">
      <c r="A289" t="s">
        <v>566</v>
      </c>
      <c r="B289" t="s">
        <v>567</v>
      </c>
      <c r="C289" s="6">
        <f>VLOOKUP($A289,'SpEd BEA Rate 2324'!$A$4:$AS$325,45,FALSE)</f>
        <v>10239.659999999998</v>
      </c>
      <c r="D289" s="6">
        <f>VLOOKUP($A289,'2324 Jun 24 Enroll'!$A$4:$AL$325,22,FALSE)</f>
        <v>45.33</v>
      </c>
      <c r="E289" s="6">
        <f>VLOOKUP($A289,'2324 Jun 24 Enroll'!$A$4:$AL$325,23,FALSE)</f>
        <v>12.89</v>
      </c>
      <c r="F289" s="6">
        <f>VLOOKUP($A289,'2324 Jun 24 Enroll'!$A$4:$AL$325,24,FALSE)</f>
        <v>0</v>
      </c>
      <c r="G289" s="6">
        <f>VLOOKUP($A289,'2324 Jun 24 Enroll'!$A$4:$AL$325,25,FALSE)</f>
        <v>367.78</v>
      </c>
      <c r="H289" s="6">
        <f>VLOOKUP($A289,'2324 Jun 24 Enroll'!$A$4:$AL$325,26,FALSE)</f>
        <v>107.89</v>
      </c>
      <c r="I289" s="6">
        <f>VLOOKUP($A289,'2324 Jun 24 Enroll'!$A$4:$AL$325,27,FALSE)</f>
        <v>3498.9</v>
      </c>
      <c r="J289" s="54">
        <f t="shared" si="56"/>
        <v>0.1396</v>
      </c>
      <c r="K289" s="54">
        <f t="shared" si="57"/>
        <v>0</v>
      </c>
      <c r="L289" s="45">
        <f t="shared" si="50"/>
        <v>556996.55000000005</v>
      </c>
      <c r="M289" s="68">
        <v>128.84</v>
      </c>
      <c r="N289" s="68">
        <v>21.33</v>
      </c>
      <c r="O289" s="45">
        <f t="shared" si="51"/>
        <v>147552.98000000001</v>
      </c>
      <c r="P289" s="45">
        <f t="shared" si="52"/>
        <v>0</v>
      </c>
      <c r="Q289" s="45">
        <f t="shared" si="53"/>
        <v>4210010.47</v>
      </c>
      <c r="R289" s="45">
        <f t="shared" si="54"/>
        <v>1168741.04</v>
      </c>
      <c r="S289" s="45">
        <f t="shared" si="55"/>
        <v>0</v>
      </c>
      <c r="T289" s="6">
        <f>VLOOKUP($A289,'2324 Jun 24 Enroll'!$A$4:$AL$325,31,FALSE)</f>
        <v>488.56</v>
      </c>
      <c r="U289" s="45">
        <f t="shared" ref="U289:U324" si="60">ROUND(T289*C289,2)</f>
        <v>5002688.29</v>
      </c>
      <c r="V289" s="35">
        <v>0.14910000000000001</v>
      </c>
      <c r="W289" s="45">
        <f t="shared" si="58"/>
        <v>4353570.87</v>
      </c>
      <c r="X289" s="35">
        <v>0.17879999999999999</v>
      </c>
      <c r="Y289" s="45">
        <f t="shared" si="59"/>
        <v>778418.47</v>
      </c>
    </row>
    <row r="290" spans="1:25">
      <c r="A290" t="s">
        <v>588</v>
      </c>
      <c r="B290" t="s">
        <v>589</v>
      </c>
      <c r="C290" s="6">
        <f>VLOOKUP($A290,'SpEd BEA Rate 2324'!$A$4:$AS$325,45,FALSE)</f>
        <v>10240.969999999998</v>
      </c>
      <c r="D290" s="6">
        <f>VLOOKUP($A290,'2324 Jun 24 Enroll'!$A$4:$AL$325,22,FALSE)</f>
        <v>23.78</v>
      </c>
      <c r="E290" s="6">
        <f>VLOOKUP($A290,'2324 Jun 24 Enroll'!$A$4:$AL$325,23,FALSE)</f>
        <v>2.2200000000000002</v>
      </c>
      <c r="F290" s="6">
        <f>VLOOKUP($A290,'2324 Jun 24 Enroll'!$A$4:$AL$325,24,FALSE)</f>
        <v>0.89</v>
      </c>
      <c r="G290" s="6">
        <f>VLOOKUP($A290,'2324 Jun 24 Enroll'!$A$4:$AL$325,25,FALSE)</f>
        <v>171.44</v>
      </c>
      <c r="H290" s="6">
        <f>VLOOKUP($A290,'2324 Jun 24 Enroll'!$A$4:$AL$325,26,FALSE)</f>
        <v>39.56</v>
      </c>
      <c r="I290" s="6">
        <f>VLOOKUP($A290,'2324 Jun 24 Enroll'!$A$4:$AL$325,27,FALSE)</f>
        <v>1864.31</v>
      </c>
      <c r="J290" s="54">
        <f t="shared" si="56"/>
        <v>0.1148</v>
      </c>
      <c r="K290" s="54">
        <f t="shared" si="57"/>
        <v>0</v>
      </c>
      <c r="L290" s="45">
        <f t="shared" si="50"/>
        <v>292236.32</v>
      </c>
      <c r="M290" s="68">
        <v>129.81</v>
      </c>
      <c r="N290" s="68">
        <v>21.49</v>
      </c>
      <c r="O290" s="45">
        <f t="shared" si="51"/>
        <v>25415.439999999999</v>
      </c>
      <c r="P290" s="45">
        <f t="shared" si="52"/>
        <v>9642.2000000000007</v>
      </c>
      <c r="Q290" s="45">
        <f t="shared" si="53"/>
        <v>1962713.08</v>
      </c>
      <c r="R290" s="45">
        <f t="shared" si="54"/>
        <v>428590.6</v>
      </c>
      <c r="S290" s="45">
        <f t="shared" si="55"/>
        <v>0</v>
      </c>
      <c r="T290" s="6">
        <f>VLOOKUP($A290,'2324 Jun 24 Enroll'!$A$4:$AL$325,31,FALSE)</f>
        <v>214.11</v>
      </c>
      <c r="U290" s="45">
        <f t="shared" si="60"/>
        <v>2192694.09</v>
      </c>
      <c r="V290" s="35">
        <v>0.26550000000000001</v>
      </c>
      <c r="W290" s="45">
        <f t="shared" si="58"/>
        <v>1732670.16</v>
      </c>
      <c r="X290" s="35">
        <v>0.21149999999999999</v>
      </c>
      <c r="Y290" s="45">
        <f t="shared" si="59"/>
        <v>366459.74</v>
      </c>
    </row>
    <row r="291" spans="1:25">
      <c r="A291" t="s">
        <v>625</v>
      </c>
      <c r="B291" t="s">
        <v>626</v>
      </c>
      <c r="C291" s="6">
        <f>VLOOKUP($A291,'SpEd BEA Rate 2324'!$A$4:$AS$325,45,FALSE)</f>
        <v>9812.4499999999989</v>
      </c>
      <c r="D291" s="6">
        <f>VLOOKUP($A291,'2324 Jun 24 Enroll'!$A$4:$AL$325,22,FALSE)</f>
        <v>26.44</v>
      </c>
      <c r="E291" s="6">
        <f>VLOOKUP($A291,'2324 Jun 24 Enroll'!$A$4:$AL$325,23,FALSE)</f>
        <v>6.78</v>
      </c>
      <c r="F291" s="6">
        <f>VLOOKUP($A291,'2324 Jun 24 Enroll'!$A$4:$AL$325,24,FALSE)</f>
        <v>0.44</v>
      </c>
      <c r="G291" s="6">
        <f>VLOOKUP($A291,'2324 Jun 24 Enroll'!$A$4:$AL$325,25,FALSE)</f>
        <v>180.56</v>
      </c>
      <c r="H291" s="6">
        <f>VLOOKUP($A291,'2324 Jun 24 Enroll'!$A$4:$AL$325,26,FALSE)</f>
        <v>121.11</v>
      </c>
      <c r="I291" s="6">
        <f>VLOOKUP($A291,'2324 Jun 24 Enroll'!$A$4:$AL$325,27,FALSE)</f>
        <v>1927.05</v>
      </c>
      <c r="J291" s="54">
        <f t="shared" si="56"/>
        <v>0.1603</v>
      </c>
      <c r="K291" s="54">
        <f t="shared" si="57"/>
        <v>1.0300000000000004E-2</v>
      </c>
      <c r="L291" s="45">
        <f t="shared" ref="L291:L321" si="61">ROUND(D291*$L$1*C291,2)</f>
        <v>311329.40999999997</v>
      </c>
      <c r="M291" s="68">
        <v>129.49</v>
      </c>
      <c r="N291" s="68">
        <v>21.43</v>
      </c>
      <c r="O291" s="45">
        <f t="shared" ref="O291:O320" si="62">ROUND(+E291*(($C291*O$1)-$N291),2)</f>
        <v>74366.52</v>
      </c>
      <c r="P291" s="45">
        <f t="shared" ref="P291:P320" si="63">ROUND(+F291*(($C291*P$1)-$N291),2)</f>
        <v>4567.1000000000004</v>
      </c>
      <c r="Q291" s="45">
        <f t="shared" ref="Q291:Q320" si="64">ROUND(+G291*(($C291*Q$1)-$N291),2)</f>
        <v>1980474.89</v>
      </c>
      <c r="R291" s="45">
        <f t="shared" ref="R291:R320" si="65">ROUND(+H291*(($C291*R$1)-$N291),2)</f>
        <v>1257093.58</v>
      </c>
      <c r="S291" s="45">
        <f t="shared" ref="S291:S320" si="66">IF($J291&lt;K$1,0,ROUND(((((O291+P291+Q291+R291)*-1)/$J291)*$K291),2))</f>
        <v>-213100.26</v>
      </c>
      <c r="T291" s="6">
        <f>VLOOKUP($A291,'2324 Jun 24 Enroll'!$A$4:$AL$325,31,FALSE)</f>
        <v>308.89</v>
      </c>
      <c r="U291" s="45">
        <f t="shared" si="60"/>
        <v>3030967.68</v>
      </c>
      <c r="V291" s="35">
        <v>0.15629999999999999</v>
      </c>
      <c r="W291" s="45">
        <f t="shared" si="58"/>
        <v>2621264.1</v>
      </c>
      <c r="X291" s="35">
        <v>0.2485</v>
      </c>
      <c r="Y291" s="45">
        <f t="shared" si="59"/>
        <v>651384.13</v>
      </c>
    </row>
    <row r="292" spans="1:25">
      <c r="A292" t="s">
        <v>606</v>
      </c>
      <c r="B292" t="s">
        <v>607</v>
      </c>
      <c r="C292" s="6">
        <f>VLOOKUP($A292,'SpEd BEA Rate 2324'!$A$4:$AS$325,45,FALSE)</f>
        <v>10023.880000000001</v>
      </c>
      <c r="D292" s="6">
        <f>VLOOKUP($A292,'2324 Jun 24 Enroll'!$A$4:$AL$325,22,FALSE)</f>
        <v>36.22</v>
      </c>
      <c r="E292" s="6">
        <f>VLOOKUP($A292,'2324 Jun 24 Enroll'!$A$4:$AL$325,23,FALSE)</f>
        <v>0</v>
      </c>
      <c r="F292" s="6">
        <f>VLOOKUP($A292,'2324 Jun 24 Enroll'!$A$4:$AL$325,24,FALSE)</f>
        <v>0</v>
      </c>
      <c r="G292" s="6">
        <f>VLOOKUP($A292,'2324 Jun 24 Enroll'!$A$4:$AL$325,25,FALSE)</f>
        <v>216.22</v>
      </c>
      <c r="H292" s="6">
        <f>VLOOKUP($A292,'2324 Jun 24 Enroll'!$A$4:$AL$325,26,FALSE)</f>
        <v>76.56</v>
      </c>
      <c r="I292" s="6">
        <f>VLOOKUP($A292,'2324 Jun 24 Enroll'!$A$4:$AL$325,27,FALSE)</f>
        <v>1560.7</v>
      </c>
      <c r="J292" s="54">
        <f t="shared" si="56"/>
        <v>0.18759999999999999</v>
      </c>
      <c r="K292" s="54">
        <f t="shared" si="57"/>
        <v>3.7599999999999995E-2</v>
      </c>
      <c r="L292" s="45">
        <f t="shared" si="61"/>
        <v>435677.92</v>
      </c>
      <c r="M292" s="68">
        <v>131.97999999999999</v>
      </c>
      <c r="N292" s="68">
        <v>21.84</v>
      </c>
      <c r="O292" s="45">
        <f t="shared" si="62"/>
        <v>0</v>
      </c>
      <c r="P292" s="45">
        <f t="shared" si="63"/>
        <v>0</v>
      </c>
      <c r="Q292" s="45">
        <f t="shared" si="64"/>
        <v>2422724.69</v>
      </c>
      <c r="R292" s="45">
        <f t="shared" si="65"/>
        <v>811801.88</v>
      </c>
      <c r="S292" s="45">
        <f t="shared" si="66"/>
        <v>-648284.64</v>
      </c>
      <c r="T292" s="6">
        <f>VLOOKUP($A292,'2324 Jun 24 Enroll'!$A$4:$AL$325,31,FALSE)</f>
        <v>292.77999999999997</v>
      </c>
      <c r="U292" s="45">
        <f t="shared" si="60"/>
        <v>2934791.59</v>
      </c>
      <c r="V292" s="35">
        <v>0.1431</v>
      </c>
      <c r="W292" s="45">
        <f t="shared" si="58"/>
        <v>2567397.0699999998</v>
      </c>
      <c r="X292" s="35">
        <v>0.19489999999999999</v>
      </c>
      <c r="Y292" s="45">
        <f t="shared" si="59"/>
        <v>500385.69</v>
      </c>
    </row>
    <row r="293" spans="1:25">
      <c r="A293" t="s">
        <v>1020</v>
      </c>
      <c r="B293" t="s">
        <v>1021</v>
      </c>
      <c r="C293" s="6">
        <f>VLOOKUP($A293,'SpEd BEA Rate 2324'!$A$4:$AS$325,45,FALSE)</f>
        <v>10060.020000000002</v>
      </c>
      <c r="D293" s="6">
        <f>VLOOKUP($A293,'2324 Jun 24 Enroll'!$A$4:$AL$325,22,FALSE)</f>
        <v>0</v>
      </c>
      <c r="E293" s="6">
        <f>VLOOKUP($A293,'2324 Jun 24 Enroll'!$A$4:$AL$325,23,FALSE)</f>
        <v>0</v>
      </c>
      <c r="F293" s="6">
        <f>VLOOKUP($A293,'2324 Jun 24 Enroll'!$A$4:$AL$325,24,FALSE)</f>
        <v>0</v>
      </c>
      <c r="G293" s="6">
        <f>VLOOKUP($A293,'2324 Jun 24 Enroll'!$A$4:$AL$325,25,FALSE)</f>
        <v>22.11</v>
      </c>
      <c r="H293" s="6">
        <f>VLOOKUP($A293,'2324 Jun 24 Enroll'!$A$4:$AL$325,26,FALSE)</f>
        <v>0</v>
      </c>
      <c r="I293" s="6">
        <f>VLOOKUP($A293,'2324 Jun 24 Enroll'!$A$4:$AL$325,27,FALSE)</f>
        <v>74.95</v>
      </c>
      <c r="J293" s="54">
        <f t="shared" si="56"/>
        <v>0.29499999999999998</v>
      </c>
      <c r="K293" s="54">
        <f t="shared" si="57"/>
        <v>0.14499999999999999</v>
      </c>
      <c r="L293" s="45">
        <f t="shared" si="61"/>
        <v>0</v>
      </c>
      <c r="M293" s="68">
        <v>132.09</v>
      </c>
      <c r="N293" s="68">
        <v>21.86</v>
      </c>
      <c r="O293" s="45">
        <f t="shared" si="62"/>
        <v>0</v>
      </c>
      <c r="P293" s="45">
        <f t="shared" si="63"/>
        <v>0</v>
      </c>
      <c r="Q293" s="45">
        <f t="shared" si="64"/>
        <v>248634.96</v>
      </c>
      <c r="R293" s="45">
        <f t="shared" si="65"/>
        <v>0</v>
      </c>
      <c r="S293" s="45">
        <f t="shared" si="66"/>
        <v>-122210.4</v>
      </c>
      <c r="T293" s="6">
        <f>VLOOKUP($A293,'2324 Jun 24 Enroll'!$A$4:$AL$325,31,FALSE)</f>
        <v>22.11</v>
      </c>
      <c r="U293" s="45">
        <f t="shared" si="60"/>
        <v>222427.04</v>
      </c>
      <c r="V293" s="35">
        <v>0.14399999999999999</v>
      </c>
      <c r="W293" s="45">
        <f t="shared" si="58"/>
        <v>194429.23</v>
      </c>
      <c r="X293" s="35">
        <v>0.13</v>
      </c>
      <c r="Y293" s="45">
        <f t="shared" si="59"/>
        <v>25275.8</v>
      </c>
    </row>
    <row r="294" spans="1:25">
      <c r="A294" t="s">
        <v>897</v>
      </c>
      <c r="B294" t="s">
        <v>898</v>
      </c>
      <c r="C294" s="6">
        <f>VLOOKUP($A294,'SpEd BEA Rate 2324'!$A$4:$AS$325,45,FALSE)</f>
        <v>9919.7100000000028</v>
      </c>
      <c r="D294" s="6">
        <f>VLOOKUP($A294,'2324 Jun 24 Enroll'!$A$4:$AL$325,22,FALSE)</f>
        <v>15.89</v>
      </c>
      <c r="E294" s="6">
        <f>VLOOKUP($A294,'2324 Jun 24 Enroll'!$A$4:$AL$325,23,FALSE)</f>
        <v>0</v>
      </c>
      <c r="F294" s="6">
        <f>VLOOKUP($A294,'2324 Jun 24 Enroll'!$A$4:$AL$325,24,FALSE)</f>
        <v>0</v>
      </c>
      <c r="G294" s="6">
        <f>VLOOKUP($A294,'2324 Jun 24 Enroll'!$A$4:$AL$325,25,FALSE)</f>
        <v>111.78</v>
      </c>
      <c r="H294" s="6">
        <f>VLOOKUP($A294,'2324 Jun 24 Enroll'!$A$4:$AL$325,26,FALSE)</f>
        <v>28.11</v>
      </c>
      <c r="I294" s="6">
        <f>VLOOKUP($A294,'2324 Jun 24 Enroll'!$A$4:$AL$325,27,FALSE)</f>
        <v>399.28</v>
      </c>
      <c r="J294" s="54">
        <f t="shared" si="56"/>
        <v>0.35039999999999999</v>
      </c>
      <c r="K294" s="54">
        <f t="shared" si="57"/>
        <v>0.20039999999999999</v>
      </c>
      <c r="L294" s="45">
        <f t="shared" si="61"/>
        <v>189149.03</v>
      </c>
      <c r="M294" s="68">
        <v>132.09</v>
      </c>
      <c r="N294" s="68">
        <v>21.86</v>
      </c>
      <c r="O294" s="45">
        <f t="shared" si="62"/>
        <v>0</v>
      </c>
      <c r="P294" s="45">
        <f t="shared" si="63"/>
        <v>0</v>
      </c>
      <c r="Q294" s="45">
        <f t="shared" si="64"/>
        <v>1239440.7</v>
      </c>
      <c r="R294" s="45">
        <f t="shared" si="65"/>
        <v>294959.15000000002</v>
      </c>
      <c r="S294" s="45">
        <f t="shared" si="66"/>
        <v>-877550.6</v>
      </c>
      <c r="T294" s="6">
        <f>VLOOKUP($A294,'2324 Jun 24 Enroll'!$A$4:$AL$325,31,FALSE)</f>
        <v>139.88999999999999</v>
      </c>
      <c r="U294" s="45">
        <f t="shared" si="60"/>
        <v>1387668.23</v>
      </c>
      <c r="V294" s="35">
        <v>0</v>
      </c>
      <c r="W294" s="45">
        <f t="shared" si="58"/>
        <v>1387668.23</v>
      </c>
      <c r="X294" s="35">
        <v>0.17130000000000001</v>
      </c>
      <c r="Y294" s="45">
        <f t="shared" si="59"/>
        <v>237707.57</v>
      </c>
    </row>
    <row r="295" spans="1:25">
      <c r="A295" t="s">
        <v>540</v>
      </c>
      <c r="B295" t="s">
        <v>541</v>
      </c>
      <c r="C295" s="6">
        <f>VLOOKUP($A295,'SpEd BEA Rate 2324'!$A$4:$AS$325,45,FALSE)</f>
        <v>9532.0299999999988</v>
      </c>
      <c r="D295" s="6">
        <f>VLOOKUP($A295,'2324 Jun 24 Enroll'!$A$4:$AL$325,22,FALSE)</f>
        <v>0.33</v>
      </c>
      <c r="E295" s="6">
        <f>VLOOKUP($A295,'2324 Jun 24 Enroll'!$A$4:$AL$325,23,FALSE)</f>
        <v>0.22</v>
      </c>
      <c r="F295" s="6">
        <f>VLOOKUP($A295,'2324 Jun 24 Enroll'!$A$4:$AL$325,24,FALSE)</f>
        <v>0.78</v>
      </c>
      <c r="G295" s="6">
        <f>VLOOKUP($A295,'2324 Jun 24 Enroll'!$A$4:$AL$325,25,FALSE)</f>
        <v>11.78</v>
      </c>
      <c r="H295" s="6">
        <f>VLOOKUP($A295,'2324 Jun 24 Enroll'!$A$4:$AL$325,26,FALSE)</f>
        <v>0.33</v>
      </c>
      <c r="I295" s="6">
        <f>VLOOKUP($A295,'2324 Jun 24 Enroll'!$A$4:$AL$325,27,FALSE)</f>
        <v>76.849999999999994</v>
      </c>
      <c r="J295" s="54">
        <f t="shared" si="56"/>
        <v>0.1706</v>
      </c>
      <c r="K295" s="54">
        <f t="shared" si="57"/>
        <v>2.0600000000000007E-2</v>
      </c>
      <c r="L295" s="45">
        <f t="shared" si="61"/>
        <v>3774.68</v>
      </c>
      <c r="M295" s="68">
        <v>122.68</v>
      </c>
      <c r="N295" s="68">
        <v>20.309999999999999</v>
      </c>
      <c r="O295" s="45">
        <f t="shared" si="62"/>
        <v>2344.2199999999998</v>
      </c>
      <c r="P295" s="45">
        <f t="shared" si="63"/>
        <v>7865.24</v>
      </c>
      <c r="Q295" s="45">
        <f t="shared" si="64"/>
        <v>125522.54</v>
      </c>
      <c r="R295" s="45">
        <f t="shared" si="65"/>
        <v>3327.6</v>
      </c>
      <c r="S295" s="45">
        <f t="shared" si="66"/>
        <v>-16791.490000000002</v>
      </c>
      <c r="T295" s="6">
        <f>VLOOKUP($A295,'2324 Jun 24 Enroll'!$A$4:$AL$325,31,FALSE)</f>
        <v>13.11</v>
      </c>
      <c r="U295" s="45">
        <f t="shared" si="60"/>
        <v>124964.91</v>
      </c>
      <c r="V295" s="35">
        <v>0.25090000000000001</v>
      </c>
      <c r="W295" s="45">
        <f t="shared" si="58"/>
        <v>99900</v>
      </c>
      <c r="X295" s="35">
        <v>0.14499999999999999</v>
      </c>
      <c r="Y295" s="45">
        <f t="shared" si="59"/>
        <v>14485.5</v>
      </c>
    </row>
    <row r="296" spans="1:25">
      <c r="A296" t="s">
        <v>552</v>
      </c>
      <c r="B296" t="s">
        <v>553</v>
      </c>
      <c r="C296" s="6">
        <f>VLOOKUP($A296,'SpEd BEA Rate 2324'!$A$4:$AS$325,45,FALSE)</f>
        <v>9356.4699999999993</v>
      </c>
      <c r="D296" s="6">
        <f>VLOOKUP($A296,'2324 Jun 24 Enroll'!$A$4:$AL$325,22,FALSE)</f>
        <v>0</v>
      </c>
      <c r="E296" s="6">
        <f>VLOOKUP($A296,'2324 Jun 24 Enroll'!$A$4:$AL$325,23,FALSE)</f>
        <v>0</v>
      </c>
      <c r="F296" s="6">
        <f>VLOOKUP($A296,'2324 Jun 24 Enroll'!$A$4:$AL$325,24,FALSE)</f>
        <v>0</v>
      </c>
      <c r="G296" s="6">
        <f>VLOOKUP($A296,'2324 Jun 24 Enroll'!$A$4:$AL$325,25,FALSE)</f>
        <v>5.56</v>
      </c>
      <c r="H296" s="6">
        <f>VLOOKUP($A296,'2324 Jun 24 Enroll'!$A$4:$AL$325,26,FALSE)</f>
        <v>2.11</v>
      </c>
      <c r="I296" s="6">
        <f>VLOOKUP($A296,'2324 Jun 24 Enroll'!$A$4:$AL$325,27,FALSE)</f>
        <v>24.2</v>
      </c>
      <c r="J296" s="54">
        <f t="shared" si="56"/>
        <v>0.31690000000000002</v>
      </c>
      <c r="K296" s="54">
        <f t="shared" si="57"/>
        <v>0.16690000000000002</v>
      </c>
      <c r="L296" s="45">
        <f t="shared" si="61"/>
        <v>0</v>
      </c>
      <c r="M296" s="68">
        <v>129.1</v>
      </c>
      <c r="N296" s="68">
        <v>21.37</v>
      </c>
      <c r="O296" s="45">
        <f t="shared" si="62"/>
        <v>0</v>
      </c>
      <c r="P296" s="45">
        <f t="shared" si="63"/>
        <v>0</v>
      </c>
      <c r="Q296" s="45">
        <f t="shared" si="64"/>
        <v>58145.79</v>
      </c>
      <c r="R296" s="45">
        <f t="shared" si="65"/>
        <v>20881.59</v>
      </c>
      <c r="S296" s="45">
        <f t="shared" si="66"/>
        <v>-41620.92</v>
      </c>
      <c r="T296" s="6">
        <f>VLOOKUP($A296,'2324 Jun 24 Enroll'!$A$4:$AL$325,31,FALSE)</f>
        <v>7.67</v>
      </c>
      <c r="U296" s="45">
        <f t="shared" si="60"/>
        <v>71764.12</v>
      </c>
      <c r="V296" s="35">
        <v>0.2974</v>
      </c>
      <c r="W296" s="45">
        <f t="shared" si="58"/>
        <v>55313.8</v>
      </c>
      <c r="X296" s="35">
        <v>0.1671</v>
      </c>
      <c r="Y296" s="45">
        <f t="shared" si="59"/>
        <v>9242.94</v>
      </c>
    </row>
    <row r="297" spans="1:25">
      <c r="A297" t="s">
        <v>815</v>
      </c>
      <c r="B297" t="s">
        <v>816</v>
      </c>
      <c r="C297" s="6">
        <f>VLOOKUP($A297,'SpEd BEA Rate 2324'!$A$4:$AS$325,45,FALSE)</f>
        <v>9513.52</v>
      </c>
      <c r="D297" s="6">
        <f>VLOOKUP($A297,'2324 Jun 24 Enroll'!$A$4:$AL$325,22,FALSE)</f>
        <v>0.44</v>
      </c>
      <c r="E297" s="6">
        <f>VLOOKUP($A297,'2324 Jun 24 Enroll'!$A$4:$AL$325,23,FALSE)</f>
        <v>0.89</v>
      </c>
      <c r="F297" s="6">
        <f>VLOOKUP($A297,'2324 Jun 24 Enroll'!$A$4:$AL$325,24,FALSE)</f>
        <v>0</v>
      </c>
      <c r="G297" s="6">
        <f>VLOOKUP($A297,'2324 Jun 24 Enroll'!$A$4:$AL$325,25,FALSE)</f>
        <v>34</v>
      </c>
      <c r="H297" s="6">
        <f>VLOOKUP($A297,'2324 Jun 24 Enroll'!$A$4:$AL$325,26,FALSE)</f>
        <v>4.78</v>
      </c>
      <c r="I297" s="6">
        <f>VLOOKUP($A297,'2324 Jun 24 Enroll'!$A$4:$AL$325,27,FALSE)</f>
        <v>196.87</v>
      </c>
      <c r="J297" s="54">
        <f t="shared" si="56"/>
        <v>0.20150000000000001</v>
      </c>
      <c r="K297" s="54">
        <f t="shared" si="57"/>
        <v>5.1500000000000018E-2</v>
      </c>
      <c r="L297" s="45">
        <f t="shared" si="61"/>
        <v>5023.1400000000003</v>
      </c>
      <c r="M297" s="68">
        <v>118.78</v>
      </c>
      <c r="N297" s="68">
        <v>19.66</v>
      </c>
      <c r="O297" s="45">
        <f t="shared" si="62"/>
        <v>9465.58</v>
      </c>
      <c r="P297" s="45">
        <f t="shared" si="63"/>
        <v>0</v>
      </c>
      <c r="Q297" s="45">
        <f t="shared" si="64"/>
        <v>361606.40000000002</v>
      </c>
      <c r="R297" s="45">
        <f t="shared" si="65"/>
        <v>48109.13</v>
      </c>
      <c r="S297" s="45">
        <f t="shared" si="66"/>
        <v>-107135.62</v>
      </c>
      <c r="T297" s="6">
        <f>VLOOKUP($A297,'2324 Jun 24 Enroll'!$A$4:$AL$325,31,FALSE)</f>
        <v>39.67</v>
      </c>
      <c r="U297" s="45">
        <f t="shared" si="60"/>
        <v>377401.34</v>
      </c>
      <c r="V297" s="35">
        <v>0.1913</v>
      </c>
      <c r="W297" s="45">
        <f t="shared" si="58"/>
        <v>316797.90000000002</v>
      </c>
      <c r="X297" s="35">
        <v>0.1492</v>
      </c>
      <c r="Y297" s="45">
        <f t="shared" si="59"/>
        <v>47266.25</v>
      </c>
    </row>
    <row r="298" spans="1:25">
      <c r="A298" t="s">
        <v>703</v>
      </c>
      <c r="B298" t="s">
        <v>704</v>
      </c>
      <c r="C298" s="6">
        <f>VLOOKUP($A298,'SpEd BEA Rate 2324'!$A$4:$AS$325,45,FALSE)</f>
        <v>9419.61</v>
      </c>
      <c r="D298" s="6">
        <f>VLOOKUP($A298,'2324 Jun 24 Enroll'!$A$4:$AL$325,22,FALSE)</f>
        <v>36.11</v>
      </c>
      <c r="E298" s="6">
        <f>VLOOKUP($A298,'2324 Jun 24 Enroll'!$A$4:$AL$325,23,FALSE)</f>
        <v>0</v>
      </c>
      <c r="F298" s="6">
        <f>VLOOKUP($A298,'2324 Jun 24 Enroll'!$A$4:$AL$325,24,FALSE)</f>
        <v>0</v>
      </c>
      <c r="G298" s="6">
        <f>VLOOKUP($A298,'2324 Jun 24 Enroll'!$A$4:$AL$325,25,FALSE)</f>
        <v>266.56</v>
      </c>
      <c r="H298" s="6">
        <f>VLOOKUP($A298,'2324 Jun 24 Enroll'!$A$4:$AL$325,26,FALSE)</f>
        <v>88.78</v>
      </c>
      <c r="I298" s="6">
        <f>VLOOKUP($A298,'2324 Jun 24 Enroll'!$A$4:$AL$325,27,FALSE)</f>
        <v>2621.2800000000002</v>
      </c>
      <c r="J298" s="54">
        <f t="shared" si="56"/>
        <v>0.1356</v>
      </c>
      <c r="K298" s="54">
        <f t="shared" si="57"/>
        <v>0</v>
      </c>
      <c r="L298" s="45">
        <f t="shared" si="61"/>
        <v>408170.54</v>
      </c>
      <c r="M298" s="68">
        <v>129.25</v>
      </c>
      <c r="N298" s="68">
        <v>21.39</v>
      </c>
      <c r="O298" s="45">
        <f t="shared" si="62"/>
        <v>0</v>
      </c>
      <c r="P298" s="45">
        <f t="shared" si="63"/>
        <v>0</v>
      </c>
      <c r="Q298" s="45">
        <f t="shared" si="64"/>
        <v>2806496.47</v>
      </c>
      <c r="R298" s="45">
        <f t="shared" si="65"/>
        <v>884550.35</v>
      </c>
      <c r="S298" s="45">
        <f t="shared" si="66"/>
        <v>0</v>
      </c>
      <c r="T298" s="6">
        <f>VLOOKUP($A298,'2324 Jun 24 Enroll'!$A$4:$AL$325,31,FALSE)</f>
        <v>355.34</v>
      </c>
      <c r="U298" s="45">
        <f t="shared" si="60"/>
        <v>3347164.22</v>
      </c>
      <c r="V298" s="35">
        <v>0.2011</v>
      </c>
      <c r="W298" s="45">
        <f t="shared" si="58"/>
        <v>2786749</v>
      </c>
      <c r="X298" s="35">
        <v>0.19819999999999999</v>
      </c>
      <c r="Y298" s="45">
        <f t="shared" si="59"/>
        <v>552333.65</v>
      </c>
    </row>
    <row r="299" spans="1:25">
      <c r="A299" t="s">
        <v>390</v>
      </c>
      <c r="B299" t="s">
        <v>391</v>
      </c>
      <c r="C299" s="6">
        <f>VLOOKUP($A299,'SpEd BEA Rate 2324'!$A$4:$AS$325,45,FALSE)</f>
        <v>9619.5400000000009</v>
      </c>
      <c r="D299" s="6">
        <f>VLOOKUP($A299,'2324 Jun 24 Enroll'!$A$4:$AL$325,22,FALSE)</f>
        <v>2.44</v>
      </c>
      <c r="E299" s="6">
        <f>VLOOKUP($A299,'2324 Jun 24 Enroll'!$A$4:$AL$325,23,FALSE)</f>
        <v>0</v>
      </c>
      <c r="F299" s="6">
        <f>VLOOKUP($A299,'2324 Jun 24 Enroll'!$A$4:$AL$325,24,FALSE)</f>
        <v>0</v>
      </c>
      <c r="G299" s="6">
        <f>VLOOKUP($A299,'2324 Jun 24 Enroll'!$A$4:$AL$325,25,FALSE)</f>
        <v>50</v>
      </c>
      <c r="H299" s="6">
        <f>VLOOKUP($A299,'2324 Jun 24 Enroll'!$A$4:$AL$325,26,FALSE)</f>
        <v>16.440000000000001</v>
      </c>
      <c r="I299" s="6">
        <f>VLOOKUP($A299,'2324 Jun 24 Enroll'!$A$4:$AL$325,27,FALSE)</f>
        <v>528.47</v>
      </c>
      <c r="J299" s="54">
        <f t="shared" si="56"/>
        <v>0.12570000000000001</v>
      </c>
      <c r="K299" s="54">
        <f t="shared" si="57"/>
        <v>0</v>
      </c>
      <c r="L299" s="45">
        <f t="shared" si="61"/>
        <v>28166.01</v>
      </c>
      <c r="M299" s="68">
        <v>122.75</v>
      </c>
      <c r="N299" s="68">
        <v>20.32</v>
      </c>
      <c r="O299" s="45">
        <f t="shared" si="62"/>
        <v>0</v>
      </c>
      <c r="P299" s="45">
        <f t="shared" si="63"/>
        <v>0</v>
      </c>
      <c r="Q299" s="45">
        <f t="shared" si="64"/>
        <v>537678.24</v>
      </c>
      <c r="R299" s="45">
        <f t="shared" si="65"/>
        <v>167299.89000000001</v>
      </c>
      <c r="S299" s="45">
        <f t="shared" si="66"/>
        <v>0</v>
      </c>
      <c r="T299" s="6">
        <f>VLOOKUP($A299,'2324 Jun 24 Enroll'!$A$4:$AL$325,31,FALSE)</f>
        <v>66.44</v>
      </c>
      <c r="U299" s="45">
        <f t="shared" si="60"/>
        <v>639122.24</v>
      </c>
      <c r="V299" s="35">
        <v>0.23530000000000001</v>
      </c>
      <c r="W299" s="45">
        <f t="shared" si="58"/>
        <v>517382.21</v>
      </c>
      <c r="X299" s="35">
        <v>0.20699999999999999</v>
      </c>
      <c r="Y299" s="45">
        <f t="shared" si="59"/>
        <v>107098.12</v>
      </c>
    </row>
    <row r="300" spans="1:25">
      <c r="A300" t="s">
        <v>679</v>
      </c>
      <c r="B300" t="s">
        <v>680</v>
      </c>
      <c r="C300" s="6">
        <f>VLOOKUP($A300,'SpEd BEA Rate 2324'!$A$4:$AS$325,45,FALSE)</f>
        <v>9412.27</v>
      </c>
      <c r="D300" s="6">
        <f>VLOOKUP($A300,'2324 Jun 24 Enroll'!$A$4:$AL$325,22,FALSE)</f>
        <v>0.33</v>
      </c>
      <c r="E300" s="6">
        <f>VLOOKUP($A300,'2324 Jun 24 Enroll'!$A$4:$AL$325,23,FALSE)</f>
        <v>0</v>
      </c>
      <c r="F300" s="6">
        <f>VLOOKUP($A300,'2324 Jun 24 Enroll'!$A$4:$AL$325,24,FALSE)</f>
        <v>0</v>
      </c>
      <c r="G300" s="6">
        <f>VLOOKUP($A300,'2324 Jun 24 Enroll'!$A$4:$AL$325,25,FALSE)</f>
        <v>17.559999999999999</v>
      </c>
      <c r="H300" s="6">
        <f>VLOOKUP($A300,'2324 Jun 24 Enroll'!$A$4:$AL$325,26,FALSE)</f>
        <v>2.78</v>
      </c>
      <c r="I300" s="6">
        <f>VLOOKUP($A300,'2324 Jun 24 Enroll'!$A$4:$AL$325,27,FALSE)</f>
        <v>171.42</v>
      </c>
      <c r="J300" s="54">
        <f t="shared" si="56"/>
        <v>0.1187</v>
      </c>
      <c r="K300" s="54">
        <f t="shared" si="57"/>
        <v>0</v>
      </c>
      <c r="L300" s="45">
        <f t="shared" si="61"/>
        <v>3727.26</v>
      </c>
      <c r="M300" s="68">
        <v>125.45</v>
      </c>
      <c r="N300" s="68">
        <v>20.76</v>
      </c>
      <c r="O300" s="45">
        <f t="shared" si="62"/>
        <v>0</v>
      </c>
      <c r="P300" s="45">
        <f t="shared" si="63"/>
        <v>0</v>
      </c>
      <c r="Q300" s="45">
        <f t="shared" si="64"/>
        <v>184748.45</v>
      </c>
      <c r="R300" s="45">
        <f t="shared" si="65"/>
        <v>27678.36</v>
      </c>
      <c r="S300" s="45">
        <f t="shared" si="66"/>
        <v>0</v>
      </c>
      <c r="T300" s="6">
        <f>VLOOKUP($A300,'2324 Jun 24 Enroll'!$A$4:$AL$325,31,FALSE)</f>
        <v>20.34</v>
      </c>
      <c r="U300" s="45">
        <f t="shared" si="60"/>
        <v>191445.57</v>
      </c>
      <c r="V300" s="35">
        <v>0.24840000000000001</v>
      </c>
      <c r="W300" s="45">
        <f t="shared" si="58"/>
        <v>153352.75</v>
      </c>
      <c r="X300" s="35">
        <v>0.2036</v>
      </c>
      <c r="Y300" s="45">
        <f t="shared" si="59"/>
        <v>31222.62</v>
      </c>
    </row>
    <row r="301" spans="1:25">
      <c r="A301" t="s">
        <v>476</v>
      </c>
      <c r="B301" t="s">
        <v>477</v>
      </c>
      <c r="C301" s="6">
        <f>VLOOKUP($A301,'SpEd BEA Rate 2324'!$A$4:$AS$325,45,FALSE)</f>
        <v>9424.51</v>
      </c>
      <c r="D301" s="6">
        <f>VLOOKUP($A301,'2324 Jun 24 Enroll'!$A$4:$AL$325,22,FALSE)</f>
        <v>0.33</v>
      </c>
      <c r="E301" s="6">
        <f>VLOOKUP($A301,'2324 Jun 24 Enroll'!$A$4:$AL$325,23,FALSE)</f>
        <v>0</v>
      </c>
      <c r="F301" s="6">
        <f>VLOOKUP($A301,'2324 Jun 24 Enroll'!$A$4:$AL$325,24,FALSE)</f>
        <v>0</v>
      </c>
      <c r="G301" s="6">
        <f>VLOOKUP($A301,'2324 Jun 24 Enroll'!$A$4:$AL$325,25,FALSE)</f>
        <v>13.44</v>
      </c>
      <c r="H301" s="6">
        <f>VLOOKUP($A301,'2324 Jun 24 Enroll'!$A$4:$AL$325,26,FALSE)</f>
        <v>5</v>
      </c>
      <c r="I301" s="6">
        <f>VLOOKUP($A301,'2324 Jun 24 Enroll'!$A$4:$AL$325,27,FALSE)</f>
        <v>111.03</v>
      </c>
      <c r="J301" s="54">
        <f t="shared" si="56"/>
        <v>0.1661</v>
      </c>
      <c r="K301" s="54">
        <f t="shared" si="57"/>
        <v>1.6100000000000003E-2</v>
      </c>
      <c r="L301" s="45">
        <f t="shared" si="61"/>
        <v>3732.11</v>
      </c>
      <c r="M301" s="68">
        <v>132.12</v>
      </c>
      <c r="N301" s="68">
        <v>21.87</v>
      </c>
      <c r="O301" s="45">
        <f t="shared" si="62"/>
        <v>0</v>
      </c>
      <c r="P301" s="45">
        <f t="shared" si="63"/>
        <v>0</v>
      </c>
      <c r="Q301" s="45">
        <f t="shared" si="64"/>
        <v>141571.32999999999</v>
      </c>
      <c r="R301" s="45">
        <f t="shared" si="65"/>
        <v>49840.55</v>
      </c>
      <c r="S301" s="45">
        <f t="shared" si="66"/>
        <v>-18553.47</v>
      </c>
      <c r="T301" s="6">
        <f>VLOOKUP($A301,'2324 Jun 24 Enroll'!$A$4:$AL$325,31,FALSE)</f>
        <v>18.440000000000001</v>
      </c>
      <c r="U301" s="45">
        <f t="shared" si="60"/>
        <v>173787.96</v>
      </c>
      <c r="V301" s="35">
        <v>0.27939999999999998</v>
      </c>
      <c r="W301" s="45">
        <f t="shared" si="58"/>
        <v>135835.51999999999</v>
      </c>
      <c r="X301" s="35">
        <v>0.13600000000000001</v>
      </c>
      <c r="Y301" s="45">
        <f t="shared" si="59"/>
        <v>18473.63</v>
      </c>
    </row>
    <row r="302" spans="1:25">
      <c r="A302" t="s">
        <v>797</v>
      </c>
      <c r="B302" t="s">
        <v>798</v>
      </c>
      <c r="C302" s="6">
        <f>VLOOKUP($A302,'SpEd BEA Rate 2324'!$A$4:$AS$325,45,FALSE)</f>
        <v>9556.3000000000011</v>
      </c>
      <c r="D302" s="6">
        <f>VLOOKUP($A302,'2324 Jun 24 Enroll'!$A$4:$AL$325,22,FALSE)</f>
        <v>0</v>
      </c>
      <c r="E302" s="6">
        <f>VLOOKUP($A302,'2324 Jun 24 Enroll'!$A$4:$AL$325,23,FALSE)</f>
        <v>0</v>
      </c>
      <c r="F302" s="6">
        <f>VLOOKUP($A302,'2324 Jun 24 Enroll'!$A$4:$AL$325,24,FALSE)</f>
        <v>0</v>
      </c>
      <c r="G302" s="6">
        <f>VLOOKUP($A302,'2324 Jun 24 Enroll'!$A$4:$AL$325,25,FALSE)</f>
        <v>7.33</v>
      </c>
      <c r="H302" s="6">
        <f>VLOOKUP($A302,'2324 Jun 24 Enroll'!$A$4:$AL$325,26,FALSE)</f>
        <v>0.11</v>
      </c>
      <c r="I302" s="6">
        <f>VLOOKUP($A302,'2324 Jun 24 Enroll'!$A$4:$AL$325,27,FALSE)</f>
        <v>30.3</v>
      </c>
      <c r="J302" s="54">
        <f t="shared" si="56"/>
        <v>0.2455</v>
      </c>
      <c r="K302" s="54">
        <f t="shared" si="57"/>
        <v>9.5500000000000002E-2</v>
      </c>
      <c r="L302" s="45">
        <f t="shared" si="61"/>
        <v>0</v>
      </c>
      <c r="M302" s="68">
        <v>121.75</v>
      </c>
      <c r="N302" s="68">
        <v>20.149999999999999</v>
      </c>
      <c r="O302" s="45">
        <f t="shared" si="62"/>
        <v>0</v>
      </c>
      <c r="P302" s="45">
        <f t="shared" si="63"/>
        <v>0</v>
      </c>
      <c r="Q302" s="45">
        <f t="shared" si="64"/>
        <v>78305.7</v>
      </c>
      <c r="R302" s="45">
        <f t="shared" si="65"/>
        <v>1112.05</v>
      </c>
      <c r="S302" s="45">
        <f t="shared" si="66"/>
        <v>-30893.67</v>
      </c>
      <c r="T302" s="6">
        <f>VLOOKUP($A302,'2324 Jun 24 Enroll'!$A$4:$AL$325,31,FALSE)</f>
        <v>7.44</v>
      </c>
      <c r="U302" s="45">
        <f t="shared" si="60"/>
        <v>71098.87</v>
      </c>
      <c r="V302" s="35">
        <v>0.2949</v>
      </c>
      <c r="W302" s="45">
        <f t="shared" si="58"/>
        <v>54906.84</v>
      </c>
      <c r="X302" s="35">
        <v>0.1133</v>
      </c>
      <c r="Y302" s="45">
        <f t="shared" si="59"/>
        <v>6220.94</v>
      </c>
    </row>
    <row r="303" spans="1:25">
      <c r="A303" t="s">
        <v>394</v>
      </c>
      <c r="B303" t="s">
        <v>395</v>
      </c>
      <c r="C303" s="6">
        <f>VLOOKUP($A303,'SpEd BEA Rate 2324'!$A$4:$AS$325,45,FALSE)</f>
        <v>9500.2999999999993</v>
      </c>
      <c r="D303" s="6">
        <f>VLOOKUP($A303,'2324 Jun 24 Enroll'!$A$4:$AL$325,22,FALSE)</f>
        <v>3</v>
      </c>
      <c r="E303" s="6">
        <f>VLOOKUP($A303,'2324 Jun 24 Enroll'!$A$4:$AL$325,23,FALSE)</f>
        <v>0.89</v>
      </c>
      <c r="F303" s="6">
        <f>VLOOKUP($A303,'2324 Jun 24 Enroll'!$A$4:$AL$325,24,FALSE)</f>
        <v>0</v>
      </c>
      <c r="G303" s="6">
        <f>VLOOKUP($A303,'2324 Jun 24 Enroll'!$A$4:$AL$325,25,FALSE)</f>
        <v>25.44</v>
      </c>
      <c r="H303" s="6">
        <f>VLOOKUP($A303,'2324 Jun 24 Enroll'!$A$4:$AL$325,26,FALSE)</f>
        <v>1</v>
      </c>
      <c r="I303" s="6">
        <f>VLOOKUP($A303,'2324 Jun 24 Enroll'!$A$4:$AL$325,27,FALSE)</f>
        <v>142.03</v>
      </c>
      <c r="J303" s="54">
        <f t="shared" si="56"/>
        <v>0.19239999999999999</v>
      </c>
      <c r="K303" s="54">
        <f t="shared" si="57"/>
        <v>4.2399999999999993E-2</v>
      </c>
      <c r="L303" s="45">
        <f t="shared" si="61"/>
        <v>34201.08</v>
      </c>
      <c r="M303" s="68">
        <v>131.04</v>
      </c>
      <c r="N303" s="68">
        <v>21.69</v>
      </c>
      <c r="O303" s="45">
        <f t="shared" si="62"/>
        <v>9450.59</v>
      </c>
      <c r="P303" s="45">
        <f t="shared" si="63"/>
        <v>0</v>
      </c>
      <c r="Q303" s="45">
        <f t="shared" si="64"/>
        <v>270138.34999999998</v>
      </c>
      <c r="R303" s="45">
        <f t="shared" si="65"/>
        <v>10048.629999999999</v>
      </c>
      <c r="S303" s="45">
        <f t="shared" si="66"/>
        <v>-63828.65</v>
      </c>
      <c r="T303" s="6">
        <f>VLOOKUP($A303,'2324 Jun 24 Enroll'!$A$4:$AL$325,31,FALSE)</f>
        <v>27.33</v>
      </c>
      <c r="U303" s="45">
        <f t="shared" si="60"/>
        <v>259643.2</v>
      </c>
      <c r="V303" s="35">
        <v>0.1784</v>
      </c>
      <c r="W303" s="45">
        <f t="shared" si="58"/>
        <v>220335.37</v>
      </c>
      <c r="X303" s="35">
        <v>0.1089</v>
      </c>
      <c r="Y303" s="45">
        <f t="shared" si="59"/>
        <v>23994.52</v>
      </c>
    </row>
    <row r="304" spans="1:25">
      <c r="A304" s="34" t="s">
        <v>448</v>
      </c>
      <c r="B304" s="34" t="s">
        <v>449</v>
      </c>
      <c r="C304" s="6">
        <f>VLOOKUP($A304,'SpEd BEA Rate 2324'!$A$4:$AS$325,45,FALSE)</f>
        <v>9404.7199999999993</v>
      </c>
      <c r="D304" s="6">
        <f>VLOOKUP($A304,'2324 Jun 24 Enroll'!$A$4:$AL$325,22,FALSE)</f>
        <v>0</v>
      </c>
      <c r="E304" s="6">
        <f>VLOOKUP($A304,'2324 Jun 24 Enroll'!$A$4:$AL$325,23,FALSE)</f>
        <v>0</v>
      </c>
      <c r="F304" s="6">
        <f>VLOOKUP($A304,'2324 Jun 24 Enroll'!$A$4:$AL$325,24,FALSE)</f>
        <v>0</v>
      </c>
      <c r="G304" s="6">
        <f>VLOOKUP($A304,'2324 Jun 24 Enroll'!$A$4:$AL$325,25,FALSE)</f>
        <v>16.78</v>
      </c>
      <c r="H304" s="6">
        <f>VLOOKUP($A304,'2324 Jun 24 Enroll'!$A$4:$AL$325,26,FALSE)</f>
        <v>4.5599999999999996</v>
      </c>
      <c r="I304" s="6">
        <f>VLOOKUP($A304,'2324 Jun 24 Enroll'!$A$4:$AL$325,27,FALSE)</f>
        <v>77.47</v>
      </c>
      <c r="J304" s="54">
        <f t="shared" si="56"/>
        <v>0.27550000000000002</v>
      </c>
      <c r="K304" s="54">
        <f t="shared" si="57"/>
        <v>0.12550000000000003</v>
      </c>
      <c r="L304" s="45">
        <f t="shared" si="61"/>
        <v>0</v>
      </c>
      <c r="M304" s="68">
        <v>136.38999999999999</v>
      </c>
      <c r="N304" s="68">
        <v>22.57</v>
      </c>
      <c r="O304" s="45">
        <f t="shared" si="62"/>
        <v>0</v>
      </c>
      <c r="P304" s="45">
        <f t="shared" si="63"/>
        <v>0</v>
      </c>
      <c r="Q304" s="45">
        <f t="shared" si="64"/>
        <v>176369.82</v>
      </c>
      <c r="R304" s="45">
        <f t="shared" si="65"/>
        <v>45355.74</v>
      </c>
      <c r="S304" s="45">
        <f t="shared" si="66"/>
        <v>-101003.84</v>
      </c>
      <c r="T304" s="6">
        <f>VLOOKUP($A304,'2324 Jun 24 Enroll'!$A$4:$AL$325,31,FALSE)</f>
        <v>21.34</v>
      </c>
      <c r="U304" s="45">
        <f t="shared" si="60"/>
        <v>200696.72</v>
      </c>
      <c r="V304" s="35">
        <v>0.2616</v>
      </c>
      <c r="W304" s="45">
        <f t="shared" si="58"/>
        <v>159081.1</v>
      </c>
      <c r="X304" s="35">
        <v>0.15479999999999999</v>
      </c>
      <c r="Y304" s="45">
        <f t="shared" si="59"/>
        <v>24625.75</v>
      </c>
    </row>
    <row r="305" spans="1:25">
      <c r="A305" t="s">
        <v>739</v>
      </c>
      <c r="B305" t="s">
        <v>740</v>
      </c>
      <c r="C305" s="6">
        <f>VLOOKUP($A305,'SpEd BEA Rate 2324'!$A$4:$AS$325,45,FALSE)</f>
        <v>9605.1</v>
      </c>
      <c r="D305" s="6">
        <f>VLOOKUP($A305,'2324 Jun 24 Enroll'!$A$4:$AL$325,22,FALSE)</f>
        <v>0</v>
      </c>
      <c r="E305" s="6">
        <f>VLOOKUP($A305,'2324 Jun 24 Enroll'!$A$4:$AL$325,23,FALSE)</f>
        <v>0</v>
      </c>
      <c r="F305" s="6">
        <f>VLOOKUP($A305,'2324 Jun 24 Enroll'!$A$4:$AL$325,24,FALSE)</f>
        <v>0</v>
      </c>
      <c r="G305" s="6">
        <f>VLOOKUP($A305,'2324 Jun 24 Enroll'!$A$4:$AL$325,25,FALSE)</f>
        <v>27.22</v>
      </c>
      <c r="H305" s="6">
        <f>VLOOKUP($A305,'2324 Jun 24 Enroll'!$A$4:$AL$325,26,FALSE)</f>
        <v>3</v>
      </c>
      <c r="I305" s="6">
        <f>VLOOKUP($A305,'2324 Jun 24 Enroll'!$A$4:$AL$325,27,FALSE)</f>
        <v>146.88999999999999</v>
      </c>
      <c r="J305" s="54">
        <f t="shared" si="56"/>
        <v>0.20569999999999999</v>
      </c>
      <c r="K305" s="54">
        <f t="shared" si="57"/>
        <v>5.57E-2</v>
      </c>
      <c r="L305" s="45">
        <f t="shared" si="61"/>
        <v>0</v>
      </c>
      <c r="M305" s="68">
        <v>125.51</v>
      </c>
      <c r="N305" s="68">
        <v>20.77</v>
      </c>
      <c r="O305" s="45">
        <f t="shared" si="62"/>
        <v>0</v>
      </c>
      <c r="P305" s="45">
        <f t="shared" si="63"/>
        <v>0</v>
      </c>
      <c r="Q305" s="45">
        <f t="shared" si="64"/>
        <v>292259.56</v>
      </c>
      <c r="R305" s="45">
        <f t="shared" si="65"/>
        <v>30481.91</v>
      </c>
      <c r="S305" s="45">
        <f t="shared" si="66"/>
        <v>-87392.8</v>
      </c>
      <c r="T305" s="6">
        <f>VLOOKUP($A305,'2324 Jun 24 Enroll'!$A$4:$AL$325,31,FALSE)</f>
        <v>30.22</v>
      </c>
      <c r="U305" s="45">
        <f t="shared" si="60"/>
        <v>290266.12</v>
      </c>
      <c r="V305" s="35">
        <v>0.1845</v>
      </c>
      <c r="W305" s="45">
        <f t="shared" si="58"/>
        <v>245053.71</v>
      </c>
      <c r="X305" s="35">
        <v>0.16569999999999999</v>
      </c>
      <c r="Y305" s="45">
        <f t="shared" si="59"/>
        <v>40605.4</v>
      </c>
    </row>
    <row r="306" spans="1:25">
      <c r="A306" t="s">
        <v>785</v>
      </c>
      <c r="B306" t="s">
        <v>786</v>
      </c>
      <c r="C306" s="6">
        <f>VLOOKUP($A306,'SpEd BEA Rate 2324'!$A$4:$AS$325,45,FALSE)</f>
        <v>9418.94</v>
      </c>
      <c r="D306" s="6">
        <f>VLOOKUP($A306,'2324 Jun 24 Enroll'!$A$4:$AL$325,22,FALSE)</f>
        <v>0.44</v>
      </c>
      <c r="E306" s="6">
        <f>VLOOKUP($A306,'2324 Jun 24 Enroll'!$A$4:$AL$325,23,FALSE)</f>
        <v>0</v>
      </c>
      <c r="F306" s="6">
        <f>VLOOKUP($A306,'2324 Jun 24 Enroll'!$A$4:$AL$325,24,FALSE)</f>
        <v>0</v>
      </c>
      <c r="G306" s="6">
        <f>VLOOKUP($A306,'2324 Jun 24 Enroll'!$A$4:$AL$325,25,FALSE)</f>
        <v>18.329999999999998</v>
      </c>
      <c r="H306" s="6">
        <f>VLOOKUP($A306,'2324 Jun 24 Enroll'!$A$4:$AL$325,26,FALSE)</f>
        <v>3.56</v>
      </c>
      <c r="I306" s="6">
        <f>VLOOKUP($A306,'2324 Jun 24 Enroll'!$A$4:$AL$325,27,FALSE)</f>
        <v>132.41999999999999</v>
      </c>
      <c r="J306" s="54">
        <f t="shared" si="56"/>
        <v>0.1653</v>
      </c>
      <c r="K306" s="54">
        <f t="shared" si="57"/>
        <v>1.5300000000000008E-2</v>
      </c>
      <c r="L306" s="45">
        <f t="shared" si="61"/>
        <v>4973.2</v>
      </c>
      <c r="M306" s="68">
        <v>138.86000000000001</v>
      </c>
      <c r="N306" s="68">
        <v>22.98</v>
      </c>
      <c r="O306" s="45">
        <f t="shared" si="62"/>
        <v>0</v>
      </c>
      <c r="P306" s="45">
        <f t="shared" si="63"/>
        <v>0</v>
      </c>
      <c r="Q306" s="45">
        <f t="shared" si="64"/>
        <v>192945.85</v>
      </c>
      <c r="R306" s="45">
        <f t="shared" si="65"/>
        <v>35461.5</v>
      </c>
      <c r="S306" s="45">
        <f t="shared" si="66"/>
        <v>-21141.15</v>
      </c>
      <c r="T306" s="6">
        <f>VLOOKUP($A306,'2324 Jun 24 Enroll'!$A$4:$AL$325,31,FALSE)</f>
        <v>21.89</v>
      </c>
      <c r="U306" s="45">
        <f t="shared" si="60"/>
        <v>206180.6</v>
      </c>
      <c r="V306" s="35">
        <v>0.22420000000000001</v>
      </c>
      <c r="W306" s="45">
        <f t="shared" si="58"/>
        <v>168420.68</v>
      </c>
      <c r="X306" s="35">
        <v>0.16170000000000001</v>
      </c>
      <c r="Y306" s="45">
        <f t="shared" si="59"/>
        <v>27233.62</v>
      </c>
    </row>
    <row r="307" spans="1:25">
      <c r="A307" t="s">
        <v>645</v>
      </c>
      <c r="B307" t="s">
        <v>646</v>
      </c>
      <c r="C307" s="6">
        <f>VLOOKUP($A307,'SpEd BEA Rate 2324'!$A$4:$AS$325,45,FALSE)</f>
        <v>9514.2999999999993</v>
      </c>
      <c r="D307" s="6">
        <f>VLOOKUP($A307,'2324 Jun 24 Enroll'!$A$4:$AL$325,22,FALSE)</f>
        <v>2.67</v>
      </c>
      <c r="E307" s="6">
        <f>VLOOKUP($A307,'2324 Jun 24 Enroll'!$A$4:$AL$325,23,FALSE)</f>
        <v>0</v>
      </c>
      <c r="F307" s="6">
        <f>VLOOKUP($A307,'2324 Jun 24 Enroll'!$A$4:$AL$325,24,FALSE)</f>
        <v>0</v>
      </c>
      <c r="G307" s="6">
        <f>VLOOKUP($A307,'2324 Jun 24 Enroll'!$A$4:$AL$325,25,FALSE)</f>
        <v>20.67</v>
      </c>
      <c r="H307" s="6">
        <f>VLOOKUP($A307,'2324 Jun 24 Enroll'!$A$4:$AL$325,26,FALSE)</f>
        <v>5.33</v>
      </c>
      <c r="I307" s="6">
        <f>VLOOKUP($A307,'2324 Jun 24 Enroll'!$A$4:$AL$325,27,FALSE)</f>
        <v>152.53</v>
      </c>
      <c r="J307" s="54">
        <f t="shared" si="56"/>
        <v>0.17050000000000001</v>
      </c>
      <c r="K307" s="54">
        <f t="shared" si="57"/>
        <v>2.0500000000000018E-2</v>
      </c>
      <c r="L307" s="45">
        <f t="shared" si="61"/>
        <v>30483.82</v>
      </c>
      <c r="M307" s="68">
        <v>121.22</v>
      </c>
      <c r="N307" s="68">
        <v>20.059999999999999</v>
      </c>
      <c r="O307" s="45">
        <f t="shared" si="62"/>
        <v>0</v>
      </c>
      <c r="P307" s="45">
        <f t="shared" si="63"/>
        <v>0</v>
      </c>
      <c r="Q307" s="45">
        <f t="shared" si="64"/>
        <v>219845.21</v>
      </c>
      <c r="R307" s="45">
        <f t="shared" si="65"/>
        <v>53646.97</v>
      </c>
      <c r="S307" s="45">
        <f t="shared" si="66"/>
        <v>-32883.22</v>
      </c>
      <c r="T307" s="6">
        <f>VLOOKUP($A307,'2324 Jun 24 Enroll'!$A$4:$AL$325,31,FALSE)</f>
        <v>26</v>
      </c>
      <c r="U307" s="45">
        <f t="shared" si="60"/>
        <v>247371.8</v>
      </c>
      <c r="V307" s="35">
        <v>0.28260000000000002</v>
      </c>
      <c r="W307" s="45">
        <f t="shared" si="58"/>
        <v>192867.46</v>
      </c>
      <c r="X307" s="35">
        <v>0.23250000000000001</v>
      </c>
      <c r="Y307" s="45">
        <f t="shared" si="59"/>
        <v>44841.68</v>
      </c>
    </row>
    <row r="308" spans="1:25">
      <c r="A308" t="s">
        <v>1035</v>
      </c>
      <c r="B308" t="s">
        <v>1036</v>
      </c>
      <c r="C308" s="6">
        <f>VLOOKUP($A308,'SpEd BEA Rate 2324'!$A$4:$AS$325,45,FALSE)</f>
        <v>9356.4699999999993</v>
      </c>
      <c r="D308" s="6">
        <f>VLOOKUP($A308,'2324 Jun 24 Enroll'!$A$4:$AL$325,22,FALSE)</f>
        <v>0</v>
      </c>
      <c r="E308" s="6">
        <f>VLOOKUP($A308,'2324 Jun 24 Enroll'!$A$4:$AL$325,23,FALSE)</f>
        <v>0</v>
      </c>
      <c r="F308" s="6">
        <f>VLOOKUP($A308,'2324 Jun 24 Enroll'!$A$4:$AL$325,24,FALSE)</f>
        <v>0</v>
      </c>
      <c r="G308" s="6">
        <f>VLOOKUP($A308,'2324 Jun 24 Enroll'!$A$4:$AL$325,25,FALSE)</f>
        <v>25.56</v>
      </c>
      <c r="H308" s="6">
        <f>VLOOKUP($A308,'2324 Jun 24 Enroll'!$A$4:$AL$325,26,FALSE)</f>
        <v>0</v>
      </c>
      <c r="I308" s="6">
        <f>VLOOKUP($A308,'2324 Jun 24 Enroll'!$A$4:$AL$325,27,FALSE)</f>
        <v>102.4</v>
      </c>
      <c r="J308" s="54">
        <f t="shared" si="56"/>
        <v>0.24959999999999999</v>
      </c>
      <c r="K308" s="54">
        <f t="shared" si="57"/>
        <v>9.9599999999999994E-2</v>
      </c>
      <c r="L308" s="45">
        <f t="shared" si="61"/>
        <v>0</v>
      </c>
      <c r="M308" s="68">
        <v>129.25</v>
      </c>
      <c r="N308" s="68">
        <v>21.39</v>
      </c>
      <c r="O308" s="45">
        <f t="shared" si="62"/>
        <v>0</v>
      </c>
      <c r="P308" s="45">
        <f t="shared" si="63"/>
        <v>0</v>
      </c>
      <c r="Q308" s="45">
        <f t="shared" si="64"/>
        <v>267302.81</v>
      </c>
      <c r="R308" s="45">
        <f t="shared" si="65"/>
        <v>0</v>
      </c>
      <c r="S308" s="45">
        <f t="shared" si="66"/>
        <v>-106664.1</v>
      </c>
      <c r="T308" s="6">
        <f>VLOOKUP($A308,'2324 Jun 24 Enroll'!$A$4:$AL$325,31,FALSE)</f>
        <v>25.56</v>
      </c>
      <c r="U308" s="45">
        <f t="shared" si="60"/>
        <v>239151.37</v>
      </c>
      <c r="V308" s="35">
        <v>0.14399999999999999</v>
      </c>
      <c r="W308" s="45">
        <f t="shared" si="58"/>
        <v>209048.4</v>
      </c>
      <c r="X308" s="35">
        <v>0.08</v>
      </c>
      <c r="Y308" s="45">
        <f t="shared" si="59"/>
        <v>16723.87</v>
      </c>
    </row>
    <row r="309" spans="1:25">
      <c r="A309" t="s">
        <v>835</v>
      </c>
      <c r="B309" t="s">
        <v>836</v>
      </c>
      <c r="C309" s="6">
        <f>VLOOKUP($A309,'SpEd BEA Rate 2324'!$A$4:$AS$325,45,FALSE)</f>
        <v>9356.4699999999993</v>
      </c>
      <c r="D309" s="6">
        <f>VLOOKUP($A309,'2324 Jun 24 Enroll'!$A$4:$AL$325,22,FALSE)</f>
        <v>11.67</v>
      </c>
      <c r="E309" s="6">
        <f>VLOOKUP($A309,'2324 Jun 24 Enroll'!$A$4:$AL$325,23,FALSE)</f>
        <v>2.44</v>
      </c>
      <c r="F309" s="6">
        <f>VLOOKUP($A309,'2324 Jun 24 Enroll'!$A$4:$AL$325,24,FALSE)</f>
        <v>0.44</v>
      </c>
      <c r="G309" s="6">
        <f>VLOOKUP($A309,'2324 Jun 24 Enroll'!$A$4:$AL$325,25,FALSE)</f>
        <v>55.22</v>
      </c>
      <c r="H309" s="6">
        <f>VLOOKUP($A309,'2324 Jun 24 Enroll'!$A$4:$AL$325,26,FALSE)</f>
        <v>18.11</v>
      </c>
      <c r="I309" s="6">
        <f>VLOOKUP($A309,'2324 Jun 24 Enroll'!$A$4:$AL$325,27,FALSE)</f>
        <v>560.5</v>
      </c>
      <c r="J309" s="54">
        <f t="shared" si="56"/>
        <v>0.13600000000000001</v>
      </c>
      <c r="K309" s="54">
        <f t="shared" si="57"/>
        <v>0</v>
      </c>
      <c r="L309" s="45">
        <f t="shared" si="61"/>
        <v>131028.01</v>
      </c>
      <c r="M309" s="68">
        <v>134.66999999999999</v>
      </c>
      <c r="N309" s="68">
        <v>22.29</v>
      </c>
      <c r="O309" s="45">
        <f t="shared" si="62"/>
        <v>25514.97</v>
      </c>
      <c r="P309" s="45">
        <f t="shared" si="63"/>
        <v>4354.05</v>
      </c>
      <c r="Q309" s="45">
        <f t="shared" si="64"/>
        <v>577433.13</v>
      </c>
      <c r="R309" s="45">
        <f t="shared" si="65"/>
        <v>179208.74</v>
      </c>
      <c r="S309" s="45">
        <f t="shared" si="66"/>
        <v>0</v>
      </c>
      <c r="T309" s="6">
        <f>VLOOKUP($A309,'2324 Jun 24 Enroll'!$A$4:$AL$325,31,FALSE)</f>
        <v>76.209999999999994</v>
      </c>
      <c r="U309" s="45">
        <f t="shared" si="60"/>
        <v>713056.58</v>
      </c>
      <c r="V309" s="35">
        <v>0.24679999999999999</v>
      </c>
      <c r="W309" s="45">
        <f t="shared" si="58"/>
        <v>571909.35</v>
      </c>
      <c r="X309" s="35">
        <v>0.18410000000000001</v>
      </c>
      <c r="Y309" s="45">
        <f t="shared" si="59"/>
        <v>105288.51</v>
      </c>
    </row>
    <row r="310" spans="1:25">
      <c r="A310" t="s">
        <v>614</v>
      </c>
      <c r="B310" t="s">
        <v>615</v>
      </c>
      <c r="C310" s="6">
        <f>VLOOKUP($A310,'SpEd BEA Rate 2324'!$A$4:$AS$325,45,FALSE)</f>
        <v>9420.0499999999993</v>
      </c>
      <c r="D310" s="6">
        <f>VLOOKUP($A310,'2324 Jun 24 Enroll'!$A$4:$AL$325,22,FALSE)</f>
        <v>14.78</v>
      </c>
      <c r="E310" s="6">
        <f>VLOOKUP($A310,'2324 Jun 24 Enroll'!$A$4:$AL$325,23,FALSE)</f>
        <v>2</v>
      </c>
      <c r="F310" s="6">
        <f>VLOOKUP($A310,'2324 Jun 24 Enroll'!$A$4:$AL$325,24,FALSE)</f>
        <v>0.33</v>
      </c>
      <c r="G310" s="6">
        <f>VLOOKUP($A310,'2324 Jun 24 Enroll'!$A$4:$AL$325,25,FALSE)</f>
        <v>150.56</v>
      </c>
      <c r="H310" s="6">
        <f>VLOOKUP($A310,'2324 Jun 24 Enroll'!$A$4:$AL$325,26,FALSE)</f>
        <v>37</v>
      </c>
      <c r="I310" s="6">
        <f>VLOOKUP($A310,'2324 Jun 24 Enroll'!$A$4:$AL$325,27,FALSE)</f>
        <v>1303</v>
      </c>
      <c r="J310" s="54">
        <f t="shared" si="56"/>
        <v>0.1457</v>
      </c>
      <c r="K310" s="54">
        <f t="shared" si="57"/>
        <v>0</v>
      </c>
      <c r="L310" s="45">
        <f t="shared" si="61"/>
        <v>167074.01</v>
      </c>
      <c r="M310" s="68">
        <v>129.56</v>
      </c>
      <c r="N310" s="68">
        <v>21.44</v>
      </c>
      <c r="O310" s="45">
        <f t="shared" si="62"/>
        <v>21058.03</v>
      </c>
      <c r="P310" s="45">
        <f t="shared" si="63"/>
        <v>3288.06</v>
      </c>
      <c r="Q310" s="45">
        <f t="shared" si="64"/>
        <v>1585248.65</v>
      </c>
      <c r="R310" s="45">
        <f t="shared" si="65"/>
        <v>368661.08</v>
      </c>
      <c r="S310" s="45">
        <f t="shared" si="66"/>
        <v>0</v>
      </c>
      <c r="T310" s="6">
        <f>VLOOKUP($A310,'2324 Jun 24 Enroll'!$A$4:$AL$325,31,FALSE)</f>
        <v>189.89</v>
      </c>
      <c r="U310" s="45">
        <f t="shared" si="60"/>
        <v>1788773.29</v>
      </c>
      <c r="V310" s="35">
        <v>0.27160000000000001</v>
      </c>
      <c r="W310" s="45">
        <f t="shared" si="58"/>
        <v>1406710.67</v>
      </c>
      <c r="X310" s="35">
        <v>0.16600000000000001</v>
      </c>
      <c r="Y310" s="45">
        <f t="shared" si="59"/>
        <v>233513.97</v>
      </c>
    </row>
    <row r="311" spans="1:25">
      <c r="A311" t="s">
        <v>891</v>
      </c>
      <c r="B311" t="s">
        <v>892</v>
      </c>
      <c r="C311" s="6">
        <f>VLOOKUP($A311,'SpEd BEA Rate 2324'!$A$4:$AS$325,45,FALSE)</f>
        <v>9429.9500000000007</v>
      </c>
      <c r="D311" s="6">
        <f>VLOOKUP($A311,'2324 Jun 24 Enroll'!$A$4:$AL$325,22,FALSE)</f>
        <v>267.22000000000003</v>
      </c>
      <c r="E311" s="6">
        <f>VLOOKUP($A311,'2324 Jun 24 Enroll'!$A$4:$AL$325,23,FALSE)</f>
        <v>0</v>
      </c>
      <c r="F311" s="6">
        <f>VLOOKUP($A311,'2324 Jun 24 Enroll'!$A$4:$AL$325,24,FALSE)</f>
        <v>0</v>
      </c>
      <c r="G311" s="6">
        <f>VLOOKUP($A311,'2324 Jun 24 Enroll'!$A$4:$AL$325,25,FALSE)</f>
        <v>1178.67</v>
      </c>
      <c r="H311" s="6">
        <f>VLOOKUP($A311,'2324 Jun 24 Enroll'!$A$4:$AL$325,26,FALSE)</f>
        <v>886.44</v>
      </c>
      <c r="I311" s="6">
        <f>VLOOKUP($A311,'2324 Jun 24 Enroll'!$A$4:$AL$325,27,FALSE)</f>
        <v>15031.2</v>
      </c>
      <c r="J311" s="54">
        <f t="shared" si="56"/>
        <v>0.13739999999999999</v>
      </c>
      <c r="K311" s="54">
        <f t="shared" si="57"/>
        <v>0</v>
      </c>
      <c r="L311" s="45">
        <f t="shared" si="61"/>
        <v>3023845.49</v>
      </c>
      <c r="M311" s="68">
        <v>129.80000000000001</v>
      </c>
      <c r="N311" s="68">
        <v>21.48</v>
      </c>
      <c r="O311" s="45">
        <f t="shared" si="62"/>
        <v>0</v>
      </c>
      <c r="P311" s="45">
        <f t="shared" si="63"/>
        <v>0</v>
      </c>
      <c r="Q311" s="45">
        <f t="shared" si="64"/>
        <v>12423257.23</v>
      </c>
      <c r="R311" s="45">
        <f t="shared" si="65"/>
        <v>8841589.2400000002</v>
      </c>
      <c r="S311" s="45">
        <f t="shared" si="66"/>
        <v>0</v>
      </c>
      <c r="T311" s="6">
        <f>VLOOKUP($A311,'2324 Jun 24 Enroll'!$A$4:$AL$325,31,FALSE)</f>
        <v>2065.11</v>
      </c>
      <c r="U311" s="45">
        <f t="shared" si="60"/>
        <v>19473884.039999999</v>
      </c>
      <c r="V311" s="35">
        <v>0.1226</v>
      </c>
      <c r="W311" s="45">
        <f t="shared" si="58"/>
        <v>17347126.350000001</v>
      </c>
      <c r="X311" s="35">
        <v>0.33279999999999998</v>
      </c>
      <c r="Y311" s="45">
        <f t="shared" si="59"/>
        <v>5773123.6500000004</v>
      </c>
    </row>
    <row r="312" spans="1:25">
      <c r="A312" t="s">
        <v>436</v>
      </c>
      <c r="B312" t="s">
        <v>437</v>
      </c>
      <c r="C312" s="6">
        <f>VLOOKUP($A312,'SpEd BEA Rate 2324'!$A$4:$AS$325,45,FALSE)</f>
        <v>9418.39</v>
      </c>
      <c r="D312" s="6">
        <f>VLOOKUP($A312,'2324 Jun 24 Enroll'!$A$4:$AL$325,22,FALSE)</f>
        <v>54.44</v>
      </c>
      <c r="E312" s="6">
        <f>VLOOKUP($A312,'2324 Jun 24 Enroll'!$A$4:$AL$325,23,FALSE)</f>
        <v>2.56</v>
      </c>
      <c r="F312" s="6">
        <f>VLOOKUP($A312,'2324 Jun 24 Enroll'!$A$4:$AL$325,24,FALSE)</f>
        <v>4.8899999999999997</v>
      </c>
      <c r="G312" s="6">
        <f>VLOOKUP($A312,'2324 Jun 24 Enroll'!$A$4:$AL$325,25,FALSE)</f>
        <v>295.33</v>
      </c>
      <c r="H312" s="6">
        <f>VLOOKUP($A312,'2324 Jun 24 Enroll'!$A$4:$AL$325,26,FALSE)</f>
        <v>104.67</v>
      </c>
      <c r="I312" s="6">
        <f>VLOOKUP($A312,'2324 Jun 24 Enroll'!$A$4:$AL$325,27,FALSE)</f>
        <v>3433.29</v>
      </c>
      <c r="J312" s="54">
        <f t="shared" si="56"/>
        <v>0.1187</v>
      </c>
      <c r="K312" s="54">
        <f t="shared" si="57"/>
        <v>0</v>
      </c>
      <c r="L312" s="45">
        <f t="shared" si="61"/>
        <v>615284.57999999996</v>
      </c>
      <c r="M312" s="68">
        <v>129.49</v>
      </c>
      <c r="N312" s="68">
        <v>21.43</v>
      </c>
      <c r="O312" s="45">
        <f t="shared" si="62"/>
        <v>26949.55</v>
      </c>
      <c r="P312" s="45">
        <f t="shared" si="63"/>
        <v>48714.49</v>
      </c>
      <c r="Q312" s="45">
        <f t="shared" si="64"/>
        <v>3108988.17</v>
      </c>
      <c r="R312" s="45">
        <f t="shared" si="65"/>
        <v>1042729.18</v>
      </c>
      <c r="S312" s="45">
        <f t="shared" si="66"/>
        <v>0</v>
      </c>
      <c r="T312" s="6">
        <f>VLOOKUP($A312,'2324 Jun 24 Enroll'!$A$4:$AL$325,31,FALSE)</f>
        <v>407.45</v>
      </c>
      <c r="U312" s="45">
        <f t="shared" si="60"/>
        <v>3837523.01</v>
      </c>
      <c r="V312" s="35">
        <v>0.15659999999999999</v>
      </c>
      <c r="W312" s="45">
        <f t="shared" si="58"/>
        <v>3317934.47</v>
      </c>
      <c r="X312" s="35">
        <v>0.22989999999999999</v>
      </c>
      <c r="Y312" s="45">
        <f t="shared" si="59"/>
        <v>762793.13</v>
      </c>
    </row>
    <row r="313" spans="1:25">
      <c r="A313" t="s">
        <v>751</v>
      </c>
      <c r="B313" t="s">
        <v>752</v>
      </c>
      <c r="C313" s="6">
        <f>VLOOKUP($A313,'SpEd BEA Rate 2324'!$A$4:$AS$325,45,FALSE)</f>
        <v>9421.25</v>
      </c>
      <c r="D313" s="6">
        <f>VLOOKUP($A313,'2324 Jun 24 Enroll'!$A$4:$AL$325,22,FALSE)</f>
        <v>44.67</v>
      </c>
      <c r="E313" s="6">
        <f>VLOOKUP($A313,'2324 Jun 24 Enroll'!$A$4:$AL$325,23,FALSE)</f>
        <v>0.56000000000000005</v>
      </c>
      <c r="F313" s="6">
        <f>VLOOKUP($A313,'2324 Jun 24 Enroll'!$A$4:$AL$325,24,FALSE)</f>
        <v>0</v>
      </c>
      <c r="G313" s="6">
        <f>VLOOKUP($A313,'2324 Jun 24 Enroll'!$A$4:$AL$325,25,FALSE)</f>
        <v>380</v>
      </c>
      <c r="H313" s="6">
        <f>VLOOKUP($A313,'2324 Jun 24 Enroll'!$A$4:$AL$325,26,FALSE)</f>
        <v>81.11</v>
      </c>
      <c r="I313" s="6">
        <f>VLOOKUP($A313,'2324 Jun 24 Enroll'!$A$4:$AL$325,27,FALSE)</f>
        <v>3713.64</v>
      </c>
      <c r="J313" s="54">
        <f t="shared" si="56"/>
        <v>0.12429999999999999</v>
      </c>
      <c r="K313" s="54">
        <f t="shared" si="57"/>
        <v>0</v>
      </c>
      <c r="L313" s="45">
        <f t="shared" si="61"/>
        <v>505016.69</v>
      </c>
      <c r="M313" s="68">
        <v>125.46</v>
      </c>
      <c r="N313" s="68">
        <v>20.77</v>
      </c>
      <c r="O313" s="45">
        <f t="shared" si="62"/>
        <v>5897.38</v>
      </c>
      <c r="P313" s="45">
        <f t="shared" si="63"/>
        <v>0</v>
      </c>
      <c r="Q313" s="45">
        <f t="shared" si="64"/>
        <v>4001791.4</v>
      </c>
      <c r="R313" s="45">
        <f t="shared" si="65"/>
        <v>808322.39</v>
      </c>
      <c r="S313" s="45">
        <f t="shared" si="66"/>
        <v>0</v>
      </c>
      <c r="T313" s="6">
        <f>VLOOKUP($A313,'2324 Jun 24 Enroll'!$A$4:$AL$325,31,FALSE)</f>
        <v>461.67</v>
      </c>
      <c r="U313" s="45">
        <f t="shared" si="60"/>
        <v>4349508.49</v>
      </c>
      <c r="V313" s="35">
        <v>0.13869999999999999</v>
      </c>
      <c r="W313" s="45">
        <f t="shared" si="58"/>
        <v>3819714.14</v>
      </c>
      <c r="X313" s="35">
        <v>0.1938</v>
      </c>
      <c r="Y313" s="45">
        <f t="shared" si="59"/>
        <v>740260.6</v>
      </c>
    </row>
    <row r="314" spans="1:25">
      <c r="A314" t="s">
        <v>568</v>
      </c>
      <c r="B314" t="s">
        <v>569</v>
      </c>
      <c r="C314" s="6">
        <f>VLOOKUP($A314,'SpEd BEA Rate 2324'!$A$4:$AS$325,45,FALSE)</f>
        <v>9423.119999999999</v>
      </c>
      <c r="D314" s="6">
        <f>VLOOKUP($A314,'2324 Jun 24 Enroll'!$A$4:$AL$325,22,FALSE)</f>
        <v>4.22</v>
      </c>
      <c r="E314" s="6">
        <f>VLOOKUP($A314,'2324 Jun 24 Enroll'!$A$4:$AL$325,23,FALSE)</f>
        <v>6.78</v>
      </c>
      <c r="F314" s="6">
        <f>VLOOKUP($A314,'2324 Jun 24 Enroll'!$A$4:$AL$325,24,FALSE)</f>
        <v>1</v>
      </c>
      <c r="G314" s="6">
        <f>VLOOKUP($A314,'2324 Jun 24 Enroll'!$A$4:$AL$325,25,FALSE)</f>
        <v>39.56</v>
      </c>
      <c r="H314" s="6">
        <f>VLOOKUP($A314,'2324 Jun 24 Enroll'!$A$4:$AL$325,26,FALSE)</f>
        <v>38.33</v>
      </c>
      <c r="I314" s="6">
        <f>VLOOKUP($A314,'2324 Jun 24 Enroll'!$A$4:$AL$325,27,FALSE)</f>
        <v>758.23</v>
      </c>
      <c r="J314" s="54">
        <f t="shared" si="56"/>
        <v>0.113</v>
      </c>
      <c r="K314" s="54">
        <f t="shared" si="57"/>
        <v>0</v>
      </c>
      <c r="L314" s="45">
        <f t="shared" si="61"/>
        <v>47718.68</v>
      </c>
      <c r="M314" s="68">
        <v>130.94999999999999</v>
      </c>
      <c r="N314" s="68">
        <v>21.67</v>
      </c>
      <c r="O314" s="45">
        <f t="shared" si="62"/>
        <v>71408.479999999996</v>
      </c>
      <c r="P314" s="45">
        <f t="shared" si="63"/>
        <v>9966.84</v>
      </c>
      <c r="Q314" s="45">
        <f t="shared" si="64"/>
        <v>416654.8</v>
      </c>
      <c r="R314" s="45">
        <f t="shared" si="65"/>
        <v>382028.87</v>
      </c>
      <c r="S314" s="45">
        <f t="shared" si="66"/>
        <v>0</v>
      </c>
      <c r="T314" s="6">
        <f>VLOOKUP($A314,'2324 Jun 24 Enroll'!$A$4:$AL$325,31,FALSE)</f>
        <v>85.67</v>
      </c>
      <c r="U314" s="45">
        <f t="shared" si="60"/>
        <v>807278.69</v>
      </c>
      <c r="V314" s="35">
        <v>0.21229999999999999</v>
      </c>
      <c r="W314" s="45">
        <f t="shared" si="58"/>
        <v>665906.69999999995</v>
      </c>
      <c r="X314" s="35">
        <v>0.2571</v>
      </c>
      <c r="Y314" s="45">
        <f t="shared" si="59"/>
        <v>171204.61</v>
      </c>
    </row>
    <row r="315" spans="1:25">
      <c r="A315" t="s">
        <v>484</v>
      </c>
      <c r="B315" t="s">
        <v>485</v>
      </c>
      <c r="C315" s="6">
        <f>VLOOKUP($A315,'SpEd BEA Rate 2324'!$A$4:$AS$325,45,FALSE)</f>
        <v>9421.82</v>
      </c>
      <c r="D315" s="6">
        <f>VLOOKUP($A315,'2324 Jun 24 Enroll'!$A$4:$AL$325,22,FALSE)</f>
        <v>35.89</v>
      </c>
      <c r="E315" s="6">
        <f>VLOOKUP($A315,'2324 Jun 24 Enroll'!$A$4:$AL$325,23,FALSE)</f>
        <v>7.89</v>
      </c>
      <c r="F315" s="6">
        <f>VLOOKUP($A315,'2324 Jun 24 Enroll'!$A$4:$AL$325,24,FALSE)</f>
        <v>1.33</v>
      </c>
      <c r="G315" s="6">
        <f>VLOOKUP($A315,'2324 Jun 24 Enroll'!$A$4:$AL$325,25,FALSE)</f>
        <v>308.22000000000003</v>
      </c>
      <c r="H315" s="6">
        <f>VLOOKUP($A315,'2324 Jun 24 Enroll'!$A$4:$AL$325,26,FALSE)</f>
        <v>263.22000000000003</v>
      </c>
      <c r="I315" s="6">
        <f>VLOOKUP($A315,'2324 Jun 24 Enroll'!$A$4:$AL$325,27,FALSE)</f>
        <v>3589.08</v>
      </c>
      <c r="J315" s="54">
        <f t="shared" si="56"/>
        <v>0.1618</v>
      </c>
      <c r="K315" s="54">
        <f t="shared" si="57"/>
        <v>1.1800000000000005E-2</v>
      </c>
      <c r="L315" s="45">
        <f t="shared" si="61"/>
        <v>405778.94</v>
      </c>
      <c r="M315" s="68">
        <v>131.97</v>
      </c>
      <c r="N315" s="68">
        <v>21.84</v>
      </c>
      <c r="O315" s="45">
        <f t="shared" si="62"/>
        <v>83086.42</v>
      </c>
      <c r="P315" s="45">
        <f t="shared" si="63"/>
        <v>13253.83</v>
      </c>
      <c r="Q315" s="45">
        <f t="shared" si="64"/>
        <v>3245741.04</v>
      </c>
      <c r="R315" s="45">
        <f t="shared" si="65"/>
        <v>2623063.42</v>
      </c>
      <c r="S315" s="45">
        <f t="shared" si="66"/>
        <v>-435035.28</v>
      </c>
      <c r="T315" s="6">
        <f>VLOOKUP($A315,'2324 Jun 24 Enroll'!$A$4:$AL$325,31,FALSE)</f>
        <v>580.66</v>
      </c>
      <c r="U315" s="45">
        <f t="shared" si="60"/>
        <v>5470874</v>
      </c>
      <c r="V315" s="35">
        <v>0.18410000000000001</v>
      </c>
      <c r="W315" s="45">
        <f t="shared" si="58"/>
        <v>4620280.38</v>
      </c>
      <c r="X315" s="35">
        <v>0.32190000000000002</v>
      </c>
      <c r="Y315" s="45">
        <f t="shared" si="59"/>
        <v>1487268.25</v>
      </c>
    </row>
    <row r="316" spans="1:25">
      <c r="A316" t="s">
        <v>807</v>
      </c>
      <c r="B316" t="s">
        <v>808</v>
      </c>
      <c r="C316" s="6">
        <f>VLOOKUP($A316,'SpEd BEA Rate 2324'!$A$4:$AS$325,45,FALSE)</f>
        <v>9425.41</v>
      </c>
      <c r="D316" s="6">
        <f>VLOOKUP($A316,'2324 Jun 24 Enroll'!$A$4:$AL$325,22,FALSE)</f>
        <v>60</v>
      </c>
      <c r="E316" s="6">
        <f>VLOOKUP($A316,'2324 Jun 24 Enroll'!$A$4:$AL$325,23,FALSE)</f>
        <v>0</v>
      </c>
      <c r="F316" s="6">
        <f>VLOOKUP($A316,'2324 Jun 24 Enroll'!$A$4:$AL$325,24,FALSE)</f>
        <v>0</v>
      </c>
      <c r="G316" s="6">
        <f>VLOOKUP($A316,'2324 Jun 24 Enroll'!$A$4:$AL$325,25,FALSE)</f>
        <v>472.67</v>
      </c>
      <c r="H316" s="6">
        <f>VLOOKUP($A316,'2324 Jun 24 Enroll'!$A$4:$AL$325,26,FALSE)</f>
        <v>382.78</v>
      </c>
      <c r="I316" s="6">
        <f>VLOOKUP($A316,'2324 Jun 24 Enroll'!$A$4:$AL$325,27,FALSE)</f>
        <v>6158.31</v>
      </c>
      <c r="J316" s="54">
        <f t="shared" si="56"/>
        <v>0.1389</v>
      </c>
      <c r="K316" s="54">
        <f t="shared" si="57"/>
        <v>0</v>
      </c>
      <c r="L316" s="45">
        <f t="shared" si="61"/>
        <v>678629.52</v>
      </c>
      <c r="M316" s="68">
        <v>138.44</v>
      </c>
      <c r="N316" s="68">
        <v>22.91</v>
      </c>
      <c r="O316" s="45">
        <f t="shared" si="62"/>
        <v>0</v>
      </c>
      <c r="P316" s="45">
        <f t="shared" si="63"/>
        <v>0</v>
      </c>
      <c r="Q316" s="45">
        <f t="shared" si="64"/>
        <v>4978892.7</v>
      </c>
      <c r="R316" s="45">
        <f t="shared" si="65"/>
        <v>3815560.46</v>
      </c>
      <c r="S316" s="45">
        <f t="shared" si="66"/>
        <v>0</v>
      </c>
      <c r="T316" s="6">
        <f>VLOOKUP($A316,'2324 Jun 24 Enroll'!$A$4:$AL$325,31,FALSE)</f>
        <v>855.45</v>
      </c>
      <c r="U316" s="45">
        <f t="shared" si="60"/>
        <v>8062966.9800000004</v>
      </c>
      <c r="V316" s="35">
        <v>0.17369999999999999</v>
      </c>
      <c r="W316" s="45">
        <f t="shared" si="58"/>
        <v>6869700.0800000001</v>
      </c>
      <c r="X316" s="35">
        <v>0.30359999999999998</v>
      </c>
      <c r="Y316" s="45">
        <f t="shared" si="59"/>
        <v>2085640.94</v>
      </c>
    </row>
    <row r="317" spans="1:25">
      <c r="A317" t="s">
        <v>825</v>
      </c>
      <c r="B317" t="s">
        <v>826</v>
      </c>
      <c r="C317" s="6">
        <f>VLOOKUP($A317,'SpEd BEA Rate 2324'!$A$4:$AS$325,45,FALSE)</f>
        <v>9442.26</v>
      </c>
      <c r="D317" s="6">
        <f>VLOOKUP($A317,'2324 Jun 24 Enroll'!$A$4:$AL$325,22,FALSE)</f>
        <v>33.11</v>
      </c>
      <c r="E317" s="6">
        <f>VLOOKUP($A317,'2324 Jun 24 Enroll'!$A$4:$AL$325,23,FALSE)</f>
        <v>0</v>
      </c>
      <c r="F317" s="6">
        <f>VLOOKUP($A317,'2324 Jun 24 Enroll'!$A$4:$AL$325,24,FALSE)</f>
        <v>0</v>
      </c>
      <c r="G317" s="6">
        <f>VLOOKUP($A317,'2324 Jun 24 Enroll'!$A$4:$AL$325,25,FALSE)</f>
        <v>450.44</v>
      </c>
      <c r="H317" s="6">
        <f>VLOOKUP($A317,'2324 Jun 24 Enroll'!$A$4:$AL$325,26,FALSE)</f>
        <v>50.11</v>
      </c>
      <c r="I317" s="6">
        <f>VLOOKUP($A317,'2324 Jun 24 Enroll'!$A$4:$AL$325,27,FALSE)</f>
        <v>3989.91</v>
      </c>
      <c r="J317" s="54">
        <f t="shared" si="56"/>
        <v>0.1255</v>
      </c>
      <c r="K317" s="54">
        <f t="shared" si="57"/>
        <v>0</v>
      </c>
      <c r="L317" s="45">
        <f t="shared" si="61"/>
        <v>375159.87</v>
      </c>
      <c r="M317" s="68">
        <v>137.56</v>
      </c>
      <c r="N317" s="68">
        <v>22.77</v>
      </c>
      <c r="O317" s="45">
        <f t="shared" si="62"/>
        <v>0</v>
      </c>
      <c r="P317" s="45">
        <f t="shared" si="63"/>
        <v>0</v>
      </c>
      <c r="Q317" s="45">
        <f t="shared" si="64"/>
        <v>4753295.67</v>
      </c>
      <c r="R317" s="45">
        <f t="shared" si="65"/>
        <v>500399.74</v>
      </c>
      <c r="S317" s="45">
        <f t="shared" si="66"/>
        <v>0</v>
      </c>
      <c r="T317" s="6">
        <f>VLOOKUP($A317,'2324 Jun 24 Enroll'!$A$4:$AL$325,31,FALSE)</f>
        <v>500.55</v>
      </c>
      <c r="U317" s="45">
        <f t="shared" si="60"/>
        <v>4726323.24</v>
      </c>
      <c r="V317" s="35">
        <v>0.20050000000000001</v>
      </c>
      <c r="W317" s="45">
        <f t="shared" si="58"/>
        <v>3936962.3</v>
      </c>
      <c r="X317" s="35">
        <v>0.15770000000000001</v>
      </c>
      <c r="Y317" s="45">
        <f t="shared" si="59"/>
        <v>620858.94999999995</v>
      </c>
    </row>
    <row r="318" spans="1:25">
      <c r="A318" t="s">
        <v>500</v>
      </c>
      <c r="B318" t="s">
        <v>501</v>
      </c>
      <c r="C318" s="6">
        <f>VLOOKUP($A318,'SpEd BEA Rate 2324'!$A$4:$AS$325,45,FALSE)</f>
        <v>9424.36</v>
      </c>
      <c r="D318" s="6">
        <f>VLOOKUP($A318,'2324 Jun 24 Enroll'!$A$4:$AL$325,22,FALSE)</f>
        <v>13.78</v>
      </c>
      <c r="E318" s="6">
        <f>VLOOKUP($A318,'2324 Jun 24 Enroll'!$A$4:$AL$325,23,FALSE)</f>
        <v>4.33</v>
      </c>
      <c r="F318" s="6">
        <f>VLOOKUP($A318,'2324 Jun 24 Enroll'!$A$4:$AL$325,24,FALSE)</f>
        <v>2.56</v>
      </c>
      <c r="G318" s="6">
        <f>VLOOKUP($A318,'2324 Jun 24 Enroll'!$A$4:$AL$325,25,FALSE)</f>
        <v>92.56</v>
      </c>
      <c r="H318" s="6">
        <f>VLOOKUP($A318,'2324 Jun 24 Enroll'!$A$4:$AL$325,26,FALSE)</f>
        <v>44.89</v>
      </c>
      <c r="I318" s="6">
        <f>VLOOKUP($A318,'2324 Jun 24 Enroll'!$A$4:$AL$325,27,FALSE)</f>
        <v>1094.68</v>
      </c>
      <c r="J318" s="54">
        <f t="shared" si="56"/>
        <v>0.13189999999999999</v>
      </c>
      <c r="K318" s="54">
        <f t="shared" si="57"/>
        <v>0</v>
      </c>
      <c r="L318" s="45">
        <f t="shared" si="61"/>
        <v>155841.22</v>
      </c>
      <c r="M318" s="68">
        <v>128.47999999999999</v>
      </c>
      <c r="N318" s="68">
        <v>21.27</v>
      </c>
      <c r="O318" s="45">
        <f t="shared" si="62"/>
        <v>45612.28</v>
      </c>
      <c r="P318" s="45">
        <f t="shared" si="63"/>
        <v>25519.49</v>
      </c>
      <c r="Q318" s="45">
        <f t="shared" si="64"/>
        <v>975028.26</v>
      </c>
      <c r="R318" s="45">
        <f t="shared" si="65"/>
        <v>447488.28</v>
      </c>
      <c r="S318" s="45">
        <f t="shared" si="66"/>
        <v>0</v>
      </c>
      <c r="T318" s="6">
        <f>VLOOKUP($A318,'2324 Jun 24 Enroll'!$A$4:$AL$325,31,FALSE)</f>
        <v>144.34</v>
      </c>
      <c r="U318" s="45">
        <f t="shared" si="60"/>
        <v>1360312.12</v>
      </c>
      <c r="V318" s="35">
        <v>0.19489999999999999</v>
      </c>
      <c r="W318" s="45">
        <f t="shared" si="58"/>
        <v>1138431.77</v>
      </c>
      <c r="X318" s="35">
        <v>0.2099</v>
      </c>
      <c r="Y318" s="45">
        <f t="shared" si="59"/>
        <v>238956.83</v>
      </c>
    </row>
    <row r="319" spans="1:25">
      <c r="A319" t="s">
        <v>486</v>
      </c>
      <c r="B319" t="s">
        <v>487</v>
      </c>
      <c r="C319" s="6">
        <f>VLOOKUP($A319,'SpEd BEA Rate 2324'!$A$4:$AS$325,45,FALSE)</f>
        <v>9416.0299999999988</v>
      </c>
      <c r="D319" s="6">
        <f>VLOOKUP($A319,'2324 Jun 24 Enroll'!$A$4:$AL$325,22,FALSE)</f>
        <v>17.440000000000001</v>
      </c>
      <c r="E319" s="6">
        <f>VLOOKUP($A319,'2324 Jun 24 Enroll'!$A$4:$AL$325,23,FALSE)</f>
        <v>0</v>
      </c>
      <c r="F319" s="6">
        <f>VLOOKUP($A319,'2324 Jun 24 Enroll'!$A$4:$AL$325,24,FALSE)</f>
        <v>0</v>
      </c>
      <c r="G319" s="6">
        <f>VLOOKUP($A319,'2324 Jun 24 Enroll'!$A$4:$AL$325,25,FALSE)</f>
        <v>106.56</v>
      </c>
      <c r="H319" s="6">
        <f>VLOOKUP($A319,'2324 Jun 24 Enroll'!$A$4:$AL$325,26,FALSE)</f>
        <v>87</v>
      </c>
      <c r="I319" s="6">
        <f>VLOOKUP($A319,'2324 Jun 24 Enroll'!$A$4:$AL$325,27,FALSE)</f>
        <v>1373.01</v>
      </c>
      <c r="J319" s="54">
        <f t="shared" si="56"/>
        <v>0.14099999999999999</v>
      </c>
      <c r="K319" s="54">
        <f t="shared" si="57"/>
        <v>0</v>
      </c>
      <c r="L319" s="45">
        <f t="shared" si="61"/>
        <v>197058.68</v>
      </c>
      <c r="M319" s="68">
        <v>130.63999999999999</v>
      </c>
      <c r="N319" s="68">
        <v>21.62</v>
      </c>
      <c r="O319" s="45">
        <f t="shared" si="62"/>
        <v>0</v>
      </c>
      <c r="P319" s="45">
        <f t="shared" si="63"/>
        <v>0</v>
      </c>
      <c r="Q319" s="45">
        <f t="shared" si="64"/>
        <v>1121472.99</v>
      </c>
      <c r="R319" s="45">
        <f t="shared" si="65"/>
        <v>866465.35</v>
      </c>
      <c r="S319" s="45">
        <f t="shared" si="66"/>
        <v>0</v>
      </c>
      <c r="T319" s="6">
        <f>VLOOKUP($A319,'2324 Jun 24 Enroll'!$A$4:$AL$325,31,FALSE)</f>
        <v>193.56</v>
      </c>
      <c r="U319" s="45">
        <f t="shared" si="60"/>
        <v>1822566.77</v>
      </c>
      <c r="V319" s="35">
        <v>0.13159999999999999</v>
      </c>
      <c r="W319" s="45">
        <f t="shared" si="58"/>
        <v>1610610.44</v>
      </c>
      <c r="X319" s="35">
        <v>0.26040000000000002</v>
      </c>
      <c r="Y319" s="45">
        <f t="shared" si="59"/>
        <v>419402.96</v>
      </c>
    </row>
    <row r="320" spans="1:25">
      <c r="A320" t="s">
        <v>895</v>
      </c>
      <c r="B320" t="s">
        <v>896</v>
      </c>
      <c r="C320" s="6">
        <f>VLOOKUP($A320,'SpEd BEA Rate 2324'!$A$4:$AS$325,45,FALSE)</f>
        <v>9422.43</v>
      </c>
      <c r="D320" s="6">
        <f>VLOOKUP($A320,'2324 Jun 24 Enroll'!$A$4:$AL$325,22,FALSE)</f>
        <v>6.67</v>
      </c>
      <c r="E320" s="6">
        <f>VLOOKUP($A320,'2324 Jun 24 Enroll'!$A$4:$AL$325,23,FALSE)</f>
        <v>6.33</v>
      </c>
      <c r="F320" s="6">
        <f>VLOOKUP($A320,'2324 Jun 24 Enroll'!$A$4:$AL$325,24,FALSE)</f>
        <v>3.33</v>
      </c>
      <c r="G320" s="6">
        <f>VLOOKUP($A320,'2324 Jun 24 Enroll'!$A$4:$AL$325,25,FALSE)</f>
        <v>106.44</v>
      </c>
      <c r="H320" s="6">
        <f>VLOOKUP($A320,'2324 Jun 24 Enroll'!$A$4:$AL$325,26,FALSE)</f>
        <v>38.56</v>
      </c>
      <c r="I320" s="6">
        <f>VLOOKUP($A320,'2324 Jun 24 Enroll'!$A$4:$AL$325,27,FALSE)</f>
        <v>1344.47</v>
      </c>
      <c r="J320" s="54">
        <f t="shared" si="56"/>
        <v>0.115</v>
      </c>
      <c r="K320" s="54">
        <f t="shared" ref="K320:K321" si="67">IF(J320&lt;$K$1,0,J320-$K$1)</f>
        <v>0</v>
      </c>
      <c r="L320" s="45">
        <f t="shared" si="61"/>
        <v>75417.13</v>
      </c>
      <c r="M320" s="68">
        <v>130.29</v>
      </c>
      <c r="N320" s="68">
        <v>21.57</v>
      </c>
      <c r="O320" s="45">
        <f t="shared" si="62"/>
        <v>66664.72</v>
      </c>
      <c r="P320" s="45">
        <f t="shared" si="63"/>
        <v>33187.47</v>
      </c>
      <c r="Q320" s="45">
        <f t="shared" si="64"/>
        <v>1120978.3500000001</v>
      </c>
      <c r="R320" s="45">
        <f t="shared" si="65"/>
        <v>384296.9</v>
      </c>
      <c r="S320" s="45">
        <f t="shared" si="66"/>
        <v>0</v>
      </c>
      <c r="T320" s="6">
        <f>VLOOKUP($A320,'2324 Jun 24 Enroll'!$A$4:$AL$325,31,FALSE)</f>
        <v>154.66</v>
      </c>
      <c r="U320" s="45">
        <f t="shared" si="60"/>
        <v>1457273.02</v>
      </c>
      <c r="V320" s="35">
        <v>0.24149999999999999</v>
      </c>
      <c r="W320" s="45">
        <f t="shared" si="58"/>
        <v>1173800.26</v>
      </c>
      <c r="X320" s="35">
        <v>0.17860000000000001</v>
      </c>
      <c r="Y320" s="45">
        <f t="shared" si="59"/>
        <v>209640.73</v>
      </c>
    </row>
    <row r="321" spans="1:25">
      <c r="A321" t="s">
        <v>853</v>
      </c>
      <c r="B321" t="s">
        <v>854</v>
      </c>
      <c r="C321" s="6">
        <f>VLOOKUP($A321,'SpEd BEA Rate 2324'!$A$4:$AS$325,45,FALSE)</f>
        <v>9419.57</v>
      </c>
      <c r="D321" s="6">
        <f>VLOOKUP($A321,'2324 Jun 24 Enroll'!$A$4:$AL$325,22,FALSE)</f>
        <v>14.22</v>
      </c>
      <c r="E321" s="6">
        <f>VLOOKUP($A321,'2324 Jun 24 Enroll'!$A$4:$AL$325,23,FALSE)</f>
        <v>14.33</v>
      </c>
      <c r="F321" s="6">
        <f>VLOOKUP($A321,'2324 Jun 24 Enroll'!$A$4:$AL$325,24,FALSE)</f>
        <v>0</v>
      </c>
      <c r="G321" s="6">
        <f>VLOOKUP($A321,'2324 Jun 24 Enroll'!$A$4:$AL$325,25,FALSE)</f>
        <v>264.67</v>
      </c>
      <c r="H321" s="6">
        <f>VLOOKUP($A321,'2324 Jun 24 Enroll'!$A$4:$AL$325,26,FALSE)</f>
        <v>111.67</v>
      </c>
      <c r="I321" s="6">
        <f>VLOOKUP($A321,'2324 Jun 24 Enroll'!$A$4:$AL$325,27,FALSE)</f>
        <v>3161.51</v>
      </c>
      <c r="J321" s="54">
        <f t="shared" si="56"/>
        <v>0.1236</v>
      </c>
      <c r="K321" s="54">
        <f t="shared" si="67"/>
        <v>0</v>
      </c>
      <c r="L321" s="45">
        <f t="shared" si="61"/>
        <v>160735.54</v>
      </c>
      <c r="M321" s="68">
        <v>139.77000000000001</v>
      </c>
      <c r="N321" s="68">
        <v>23.13</v>
      </c>
      <c r="O321" s="45">
        <f t="shared" ref="O321:O324" si="68">ROUND(+E321*(($C321*O$1)-$N321),2)</f>
        <v>150848.88</v>
      </c>
      <c r="P321" s="45">
        <f t="shared" ref="P321:P324" si="69">ROUND(+F321*(($C321*P$1)-$N321),2)</f>
        <v>0</v>
      </c>
      <c r="Q321" s="45">
        <f t="shared" ref="Q321:Q324" si="70">ROUND(+G321*(($C321*Q$1)-$N321),2)</f>
        <v>2786125.09</v>
      </c>
      <c r="R321" s="45">
        <f t="shared" ref="R321:R324" si="71">ROUND(+H321*(($C321*R$1)-$N321),2)</f>
        <v>1112413.46</v>
      </c>
      <c r="S321" s="45">
        <f t="shared" ref="S321:S324" si="72">IF($J321&lt;K$1,0,ROUND(((((O321+P321+Q321+R321)*-1)/$J321)*$K321),2))</f>
        <v>0</v>
      </c>
      <c r="T321" s="6">
        <f>VLOOKUP($A321,'2324 Jun 24 Enroll'!$A$4:$AL$325,31,FALSE)</f>
        <v>390.67</v>
      </c>
      <c r="U321" s="45">
        <f t="shared" si="60"/>
        <v>3679943.41</v>
      </c>
      <c r="V321" s="35">
        <v>0.1658</v>
      </c>
      <c r="W321" s="45">
        <f t="shared" si="58"/>
        <v>3156582.1</v>
      </c>
      <c r="X321" s="35">
        <v>0.25819999999999999</v>
      </c>
      <c r="Y321" s="45">
        <f t="shared" si="59"/>
        <v>815029.5</v>
      </c>
    </row>
    <row r="322" spans="1:25">
      <c r="A322" s="8" t="s">
        <v>869</v>
      </c>
      <c r="B322" t="s">
        <v>870</v>
      </c>
      <c r="C322" s="6">
        <f>VLOOKUP($A322,'SpEd BEA Rate 2324'!$A$4:$AS$325,45,FALSE)</f>
        <v>9523.09</v>
      </c>
      <c r="D322" s="6">
        <f>VLOOKUP($A322,'2324 Jun 24 Enroll'!$A$4:$AL$325,22,FALSE)</f>
        <v>61.89</v>
      </c>
      <c r="E322" s="6">
        <f>VLOOKUP($A322,'2324 Jun 24 Enroll'!$A$4:$AL$325,23,FALSE)</f>
        <v>8.89</v>
      </c>
      <c r="F322" s="6">
        <f>VLOOKUP($A322,'2324 Jun 24 Enroll'!$A$4:$AL$325,24,FALSE)</f>
        <v>5.44</v>
      </c>
      <c r="G322" s="6">
        <f>VLOOKUP($A322,'2324 Jun 24 Enroll'!$A$4:$AL$325,25,FALSE)</f>
        <v>554.44000000000005</v>
      </c>
      <c r="H322" s="6">
        <f>VLOOKUP($A322,'2324 Jun 24 Enroll'!$A$4:$AL$325,26,FALSE)</f>
        <v>185.89</v>
      </c>
      <c r="I322" s="6">
        <f>VLOOKUP($A322,'2324 Jun 24 Enroll'!$A$4:$AL$325,27,FALSE)</f>
        <v>5445.42</v>
      </c>
      <c r="J322" s="54">
        <f t="shared" ref="J322:J324" si="73">ROUND((E322+F322+G322+H322)/I322,4)</f>
        <v>0.1386</v>
      </c>
      <c r="K322" s="54">
        <f t="shared" ref="K322:K324" si="74">IF(J322&lt;$K$1,0,J322-$K$1)</f>
        <v>0</v>
      </c>
      <c r="L322" s="45">
        <f t="shared" ref="L322:L324" si="75">ROUND(D322*$L$1*C322,2)</f>
        <v>707260.85</v>
      </c>
      <c r="M322" s="68">
        <v>126.16</v>
      </c>
      <c r="N322" s="68">
        <v>20.88</v>
      </c>
      <c r="O322" s="45">
        <f t="shared" si="68"/>
        <v>94633.88</v>
      </c>
      <c r="P322" s="45">
        <f t="shared" si="69"/>
        <v>54800.36</v>
      </c>
      <c r="Q322" s="45">
        <f t="shared" si="70"/>
        <v>5902003.1500000004</v>
      </c>
      <c r="R322" s="45">
        <f t="shared" si="71"/>
        <v>1872580.65</v>
      </c>
      <c r="S322" s="45">
        <f t="shared" si="72"/>
        <v>0</v>
      </c>
      <c r="T322" s="6">
        <f>VLOOKUP($A322,'2324 Jun 24 Enroll'!$A$4:$AL$325,31,FALSE)</f>
        <v>754.66</v>
      </c>
      <c r="U322" s="45">
        <f t="shared" si="60"/>
        <v>7186695.0999999996</v>
      </c>
      <c r="V322" s="35">
        <v>0.18590000000000001</v>
      </c>
      <c r="W322" s="45">
        <f t="shared" ref="W322:W324" si="76">ROUND(U322/(1+V322),2)</f>
        <v>6060118.9800000004</v>
      </c>
      <c r="X322" s="35">
        <v>0.22850000000000001</v>
      </c>
      <c r="Y322" s="45">
        <f t="shared" ref="Y322:Y324" si="77">ROUND(X322*W322,2)</f>
        <v>1384737.19</v>
      </c>
    </row>
    <row r="323" spans="1:25">
      <c r="A323" t="s">
        <v>604</v>
      </c>
      <c r="B323" t="s">
        <v>605</v>
      </c>
      <c r="C323" s="6">
        <f>VLOOKUP($A323,'SpEd BEA Rate 2324'!$A$4:$AS$325,45,FALSE)</f>
        <v>9419.8799999999992</v>
      </c>
      <c r="D323" s="6">
        <f>VLOOKUP($A323,'2324 Jun 24 Enroll'!$A$4:$AL$325,22,FALSE)</f>
        <v>7.56</v>
      </c>
      <c r="E323" s="6">
        <f>VLOOKUP($A323,'2324 Jun 24 Enroll'!$A$4:$AL$325,23,FALSE)</f>
        <v>0</v>
      </c>
      <c r="F323" s="6">
        <f>VLOOKUP($A323,'2324 Jun 24 Enroll'!$A$4:$AL$325,24,FALSE)</f>
        <v>0</v>
      </c>
      <c r="G323" s="6">
        <f>VLOOKUP($A323,'2324 Jun 24 Enroll'!$A$4:$AL$325,25,FALSE)</f>
        <v>92</v>
      </c>
      <c r="H323" s="6">
        <f>VLOOKUP($A323,'2324 Jun 24 Enroll'!$A$4:$AL$325,26,FALSE)</f>
        <v>26.44</v>
      </c>
      <c r="I323" s="6">
        <f>VLOOKUP($A323,'2324 Jun 24 Enroll'!$A$4:$AL$325,27,FALSE)</f>
        <v>870.62</v>
      </c>
      <c r="J323" s="54">
        <f t="shared" si="73"/>
        <v>0.13600000000000001</v>
      </c>
      <c r="K323" s="54">
        <f t="shared" si="74"/>
        <v>0</v>
      </c>
      <c r="L323" s="45">
        <f t="shared" si="75"/>
        <v>85457.15</v>
      </c>
      <c r="M323" s="68">
        <v>137.38</v>
      </c>
      <c r="N323" s="68">
        <v>22.74</v>
      </c>
      <c r="O323" s="45">
        <f t="shared" si="68"/>
        <v>0</v>
      </c>
      <c r="P323" s="45">
        <f t="shared" si="69"/>
        <v>0</v>
      </c>
      <c r="Q323" s="45">
        <f t="shared" si="70"/>
        <v>968532.36</v>
      </c>
      <c r="R323" s="45">
        <f t="shared" si="71"/>
        <v>263404.08</v>
      </c>
      <c r="S323" s="45">
        <f t="shared" si="72"/>
        <v>0</v>
      </c>
      <c r="T323" s="6">
        <f>VLOOKUP($A323,'2324 Jun 24 Enroll'!$A$4:$AL$325,31,FALSE)</f>
        <v>118.44</v>
      </c>
      <c r="U323" s="45">
        <f t="shared" si="60"/>
        <v>1115690.5900000001</v>
      </c>
      <c r="V323" s="35">
        <v>0.23930000000000001</v>
      </c>
      <c r="W323" s="45">
        <f t="shared" si="76"/>
        <v>900258.69</v>
      </c>
      <c r="X323" s="35">
        <v>0.20830000000000001</v>
      </c>
      <c r="Y323" s="45">
        <f t="shared" si="77"/>
        <v>187523.89</v>
      </c>
    </row>
    <row r="324" spans="1:25">
      <c r="A324" t="s">
        <v>993</v>
      </c>
      <c r="B324" t="s">
        <v>994</v>
      </c>
      <c r="C324" s="6">
        <f>VLOOKUP($A324,'SpEd BEA Rate 2324'!$A$4:$AS$325,45,FALSE)</f>
        <v>9532.2899999999991</v>
      </c>
      <c r="D324" s="6">
        <f>VLOOKUP($A324,'2324 Jun 24 Enroll'!$A$4:$AL$325,22,FALSE)</f>
        <v>0</v>
      </c>
      <c r="E324" s="6">
        <f>VLOOKUP($A324,'2324 Jun 24 Enroll'!$A$4:$AL$325,23,FALSE)</f>
        <v>0</v>
      </c>
      <c r="F324" s="6">
        <f>VLOOKUP($A324,'2324 Jun 24 Enroll'!$A$4:$AL$325,24,FALSE)</f>
        <v>0</v>
      </c>
      <c r="G324" s="6">
        <f>VLOOKUP($A324,'2324 Jun 24 Enroll'!$A$4:$AL$325,25,FALSE)</f>
        <v>22.11</v>
      </c>
      <c r="H324" s="6">
        <f>VLOOKUP($A324,'2324 Jun 24 Enroll'!$A$4:$AL$325,26,FALSE)</f>
        <v>0</v>
      </c>
      <c r="I324" s="6">
        <f>VLOOKUP($A324,'2324 Jun 24 Enroll'!$A$4:$AL$325,27,FALSE)</f>
        <v>138.6</v>
      </c>
      <c r="J324" s="54">
        <f t="shared" si="73"/>
        <v>0.1595</v>
      </c>
      <c r="K324" s="54">
        <f t="shared" si="74"/>
        <v>9.5000000000000084E-3</v>
      </c>
      <c r="L324" s="45">
        <f t="shared" si="75"/>
        <v>0</v>
      </c>
      <c r="M324" s="68">
        <v>137.56</v>
      </c>
      <c r="N324" s="68">
        <v>22.77</v>
      </c>
      <c r="O324" s="45">
        <f t="shared" si="68"/>
        <v>0</v>
      </c>
      <c r="P324" s="45">
        <f t="shared" si="69"/>
        <v>0</v>
      </c>
      <c r="Q324" s="45">
        <f t="shared" si="70"/>
        <v>235546.56</v>
      </c>
      <c r="R324" s="45">
        <f t="shared" si="71"/>
        <v>0</v>
      </c>
      <c r="S324" s="45">
        <f t="shared" si="72"/>
        <v>-14029.42</v>
      </c>
      <c r="T324" s="6">
        <f>VLOOKUP($A324,'2324 Jun 24 Enroll'!$A$4:$AL$325,31,FALSE)</f>
        <v>22.11</v>
      </c>
      <c r="U324" s="45">
        <f t="shared" si="60"/>
        <v>210758.93</v>
      </c>
      <c r="V324" s="35">
        <v>0.14399999999999999</v>
      </c>
      <c r="W324" s="45">
        <f t="shared" si="76"/>
        <v>184229.83</v>
      </c>
      <c r="X324" s="35">
        <v>0</v>
      </c>
      <c r="Y324" s="45">
        <f t="shared" si="77"/>
        <v>0</v>
      </c>
    </row>
    <row r="325" spans="1:25">
      <c r="C325" s="6"/>
      <c r="D325" s="7">
        <f t="shared" ref="D325:I325" si="78">SUM(D33:D324)</f>
        <v>14446.489999999994</v>
      </c>
      <c r="E325" s="7">
        <f t="shared" si="78"/>
        <v>519.77</v>
      </c>
      <c r="F325" s="7">
        <f t="shared" si="78"/>
        <v>167.17</v>
      </c>
      <c r="G325" s="7">
        <f t="shared" si="78"/>
        <v>97603.779999999984</v>
      </c>
      <c r="H325" s="7">
        <f t="shared" si="78"/>
        <v>51436.959999999977</v>
      </c>
      <c r="I325" s="7">
        <f t="shared" si="78"/>
        <v>1070264.3400000005</v>
      </c>
      <c r="L325" s="7">
        <f>SUM(L33:L324)</f>
        <v>174694662.91000012</v>
      </c>
      <c r="O325" s="7">
        <f t="shared" ref="O325:U325" si="79">SUM(O33:O324)</f>
        <v>5716687.0700000012</v>
      </c>
      <c r="P325" s="7">
        <f t="shared" si="79"/>
        <v>1743971.5400000005</v>
      </c>
      <c r="Q325" s="7">
        <f t="shared" si="79"/>
        <v>1096204674.1800003</v>
      </c>
      <c r="R325" s="7">
        <f t="shared" si="79"/>
        <v>546890666.11000025</v>
      </c>
      <c r="S325" s="7">
        <f t="shared" si="79"/>
        <v>-49213950.469999976</v>
      </c>
      <c r="T325" s="7">
        <f t="shared" si="79"/>
        <v>149728.63000000009</v>
      </c>
      <c r="U325" s="7">
        <f t="shared" si="79"/>
        <v>1504431775.4900002</v>
      </c>
      <c r="W325" s="7">
        <f>SUM(W33:W324)</f>
        <v>1316171820.4400005</v>
      </c>
      <c r="Y325" s="7">
        <f t="shared" ref="Y325" si="80">SUM(Y33:Y324)</f>
        <v>336620686.3299998</v>
      </c>
    </row>
    <row r="326" spans="1:25">
      <c r="C326" s="6"/>
      <c r="T326" s="7"/>
    </row>
    <row r="327" spans="1:25">
      <c r="C327" s="54"/>
      <c r="L327" s="6"/>
      <c r="O327" s="6"/>
      <c r="P327" s="6"/>
      <c r="Q327" s="6"/>
      <c r="R327" s="6"/>
      <c r="S327" s="6"/>
      <c r="T327" s="7"/>
      <c r="U327" s="6"/>
    </row>
    <row r="328" spans="1:25">
      <c r="T328" s="54"/>
    </row>
    <row r="329" spans="1:25">
      <c r="T329" s="7"/>
    </row>
  </sheetData>
  <autoFilter ref="A2:Y325" xr:uid="{BCD020A8-A76D-4978-9D65-8509B011E495}"/>
  <phoneticPr fontId="14" type="noConversion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FA404-D89C-47E8-8A16-D6C0A6C90880}">
  <dimension ref="A1:K380"/>
  <sheetViews>
    <sheetView workbookViewId="0">
      <pane xSplit="2" ySplit="2" topLeftCell="C3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/>
  <cols>
    <col min="1" max="1" width="11.42578125" customWidth="1"/>
    <col min="2" max="2" width="53.5703125" customWidth="1"/>
    <col min="3" max="3" width="12.42578125" style="6" customWidth="1"/>
    <col min="4" max="4" width="11.42578125" customWidth="1"/>
    <col min="5" max="5" width="11.42578125" bestFit="1" customWidth="1"/>
    <col min="6" max="6" width="11.42578125" customWidth="1"/>
    <col min="8" max="8" width="10" bestFit="1" customWidth="1"/>
    <col min="10" max="11" width="9.5703125" bestFit="1" customWidth="1"/>
  </cols>
  <sheetData>
    <row r="1" spans="1:11">
      <c r="A1">
        <v>1</v>
      </c>
      <c r="B1">
        <f>1+A1</f>
        <v>2</v>
      </c>
      <c r="C1">
        <f>1+B1</f>
        <v>3</v>
      </c>
      <c r="D1">
        <f t="shared" ref="D1:F1" si="0">1+C1</f>
        <v>4</v>
      </c>
      <c r="E1">
        <f t="shared" si="0"/>
        <v>5</v>
      </c>
      <c r="F1">
        <f t="shared" si="0"/>
        <v>6</v>
      </c>
    </row>
    <row r="2" spans="1:11" ht="60">
      <c r="A2" s="24" t="s">
        <v>292</v>
      </c>
      <c r="B2" s="24" t="s">
        <v>293</v>
      </c>
      <c r="C2" s="125" t="s">
        <v>1182</v>
      </c>
      <c r="D2" s="125" t="s">
        <v>1192</v>
      </c>
      <c r="E2" s="125" t="s">
        <v>1183</v>
      </c>
      <c r="F2" s="125" t="s">
        <v>1188</v>
      </c>
      <c r="G2" s="25" t="s">
        <v>1185</v>
      </c>
      <c r="H2" s="25" t="s">
        <v>1186</v>
      </c>
      <c r="I2" s="25" t="s">
        <v>1189</v>
      </c>
      <c r="J2" s="25" t="s">
        <v>1190</v>
      </c>
      <c r="K2" s="25" t="s">
        <v>1191</v>
      </c>
    </row>
    <row r="3" spans="1:11">
      <c r="A3" t="s">
        <v>859</v>
      </c>
      <c r="B3" t="s">
        <v>860</v>
      </c>
      <c r="C3" s="6">
        <v>9127.16</v>
      </c>
      <c r="D3" s="6">
        <f>SUM(I3:K3)</f>
        <v>13.450000000000001</v>
      </c>
      <c r="E3" s="6">
        <v>7871.23</v>
      </c>
      <c r="F3" s="6">
        <f>SUM(G3:H3)</f>
        <v>4</v>
      </c>
      <c r="G3" s="6">
        <v>1</v>
      </c>
      <c r="H3" s="6">
        <v>3</v>
      </c>
      <c r="I3" s="6">
        <v>1.89</v>
      </c>
      <c r="J3" s="6">
        <v>11.56</v>
      </c>
      <c r="K3" s="6">
        <v>0</v>
      </c>
    </row>
    <row r="4" spans="1:11">
      <c r="A4" t="s">
        <v>337</v>
      </c>
      <c r="B4" t="s">
        <v>338</v>
      </c>
      <c r="C4" s="6">
        <v>10768.17</v>
      </c>
      <c r="D4" s="6">
        <f t="shared" ref="D4:D67" si="1">SUM(I4:K4)</f>
        <v>0</v>
      </c>
      <c r="E4" s="6">
        <v>8423.27</v>
      </c>
      <c r="F4" s="6">
        <f t="shared" ref="F4:F67" si="2">SUM(G4:H4)</f>
        <v>1.56</v>
      </c>
      <c r="G4" s="6">
        <v>0</v>
      </c>
      <c r="H4" s="6">
        <v>1.56</v>
      </c>
      <c r="I4" s="6">
        <v>0</v>
      </c>
      <c r="J4" s="6">
        <v>0</v>
      </c>
      <c r="K4" s="6">
        <v>0</v>
      </c>
    </row>
    <row r="5" spans="1:11">
      <c r="A5" t="s">
        <v>675</v>
      </c>
      <c r="B5" t="s">
        <v>676</v>
      </c>
      <c r="C5" s="6">
        <v>9264.36</v>
      </c>
      <c r="D5" s="6">
        <f t="shared" si="1"/>
        <v>620.54999999999995</v>
      </c>
      <c r="E5" s="6">
        <v>8098.07</v>
      </c>
      <c r="F5" s="6">
        <f t="shared" si="2"/>
        <v>632.22</v>
      </c>
      <c r="G5" s="6">
        <v>51.11</v>
      </c>
      <c r="H5" s="6">
        <v>581.11</v>
      </c>
      <c r="I5" s="6">
        <v>58.22</v>
      </c>
      <c r="J5" s="6">
        <v>394.33</v>
      </c>
      <c r="K5" s="6">
        <v>168</v>
      </c>
    </row>
    <row r="6" spans="1:11">
      <c r="A6" t="s">
        <v>556</v>
      </c>
      <c r="B6" t="s">
        <v>557</v>
      </c>
      <c r="C6" s="6">
        <v>9344.4500000000007</v>
      </c>
      <c r="D6" s="6">
        <f t="shared" si="1"/>
        <v>24.34</v>
      </c>
      <c r="E6" s="6">
        <v>8172.69</v>
      </c>
      <c r="F6" s="6">
        <f t="shared" si="2"/>
        <v>29.89</v>
      </c>
      <c r="G6" s="6">
        <v>2</v>
      </c>
      <c r="H6" s="6">
        <v>27.89</v>
      </c>
      <c r="I6" s="6">
        <v>0</v>
      </c>
      <c r="J6" s="6">
        <v>21.56</v>
      </c>
      <c r="K6" s="6">
        <v>2.78</v>
      </c>
    </row>
    <row r="7" spans="1:11">
      <c r="A7" t="s">
        <v>729</v>
      </c>
      <c r="B7" t="s">
        <v>730</v>
      </c>
      <c r="C7" s="6">
        <v>9517.69</v>
      </c>
      <c r="D7" s="6">
        <f t="shared" si="1"/>
        <v>33.450000000000003</v>
      </c>
      <c r="E7" s="6">
        <v>8098.15</v>
      </c>
      <c r="F7" s="6">
        <f t="shared" si="2"/>
        <v>32.770000000000003</v>
      </c>
      <c r="G7" s="6">
        <v>4.33</v>
      </c>
      <c r="H7" s="6">
        <v>28.44</v>
      </c>
      <c r="I7" s="6">
        <v>2.89</v>
      </c>
      <c r="J7" s="6">
        <v>25.67</v>
      </c>
      <c r="K7" s="6">
        <v>4.8899999999999997</v>
      </c>
    </row>
    <row r="8" spans="1:11">
      <c r="A8" t="s">
        <v>384</v>
      </c>
      <c r="B8" t="s">
        <v>385</v>
      </c>
      <c r="C8" s="6">
        <v>9270.76</v>
      </c>
      <c r="D8" s="6">
        <f t="shared" si="1"/>
        <v>486.78</v>
      </c>
      <c r="E8" s="6">
        <v>8027.48</v>
      </c>
      <c r="F8" s="6">
        <f t="shared" si="2"/>
        <v>407</v>
      </c>
      <c r="G8" s="6">
        <v>33.22</v>
      </c>
      <c r="H8" s="6">
        <v>373.78</v>
      </c>
      <c r="I8" s="6">
        <v>36.56</v>
      </c>
      <c r="J8" s="6">
        <v>294.77999999999997</v>
      </c>
      <c r="K8" s="6">
        <v>155.44</v>
      </c>
    </row>
    <row r="9" spans="1:11">
      <c r="A9" t="s">
        <v>325</v>
      </c>
      <c r="B9" t="s">
        <v>326</v>
      </c>
      <c r="C9" s="6">
        <v>9374.16</v>
      </c>
      <c r="D9" s="6">
        <f t="shared" si="1"/>
        <v>97.67</v>
      </c>
      <c r="E9" s="6">
        <v>8025.2</v>
      </c>
      <c r="F9" s="6">
        <f t="shared" si="2"/>
        <v>88.88</v>
      </c>
      <c r="G9" s="6">
        <v>8.44</v>
      </c>
      <c r="H9" s="6">
        <v>80.44</v>
      </c>
      <c r="I9" s="6">
        <v>5.22</v>
      </c>
      <c r="J9" s="6">
        <v>59.67</v>
      </c>
      <c r="K9" s="6">
        <v>32.78</v>
      </c>
    </row>
    <row r="10" spans="1:11">
      <c r="A10" t="s">
        <v>524</v>
      </c>
      <c r="B10" t="s">
        <v>525</v>
      </c>
      <c r="C10" s="6">
        <v>9267.92</v>
      </c>
      <c r="D10" s="6">
        <f t="shared" si="1"/>
        <v>2638.12</v>
      </c>
      <c r="E10" s="6">
        <v>8055.25</v>
      </c>
      <c r="F10" s="6">
        <f t="shared" si="2"/>
        <v>2300.66</v>
      </c>
      <c r="G10" s="6">
        <v>262.22000000000003</v>
      </c>
      <c r="H10" s="6">
        <v>2038.44</v>
      </c>
      <c r="I10" s="6">
        <v>247.67</v>
      </c>
      <c r="J10" s="6">
        <v>1197.78</v>
      </c>
      <c r="K10" s="6">
        <v>1192.67</v>
      </c>
    </row>
    <row r="11" spans="1:11">
      <c r="A11" t="s">
        <v>685</v>
      </c>
      <c r="B11" t="s">
        <v>686</v>
      </c>
      <c r="C11" s="6">
        <v>9496.7900000000009</v>
      </c>
      <c r="D11" s="6">
        <f t="shared" si="1"/>
        <v>35.450000000000003</v>
      </c>
      <c r="E11" s="6">
        <v>8215.58</v>
      </c>
      <c r="F11" s="6">
        <f t="shared" si="2"/>
        <v>17.78</v>
      </c>
      <c r="G11" s="6">
        <v>1.67</v>
      </c>
      <c r="H11" s="6">
        <v>16.11</v>
      </c>
      <c r="I11" s="6">
        <v>3.78</v>
      </c>
      <c r="J11" s="6">
        <v>31.67</v>
      </c>
      <c r="K11" s="6">
        <v>0</v>
      </c>
    </row>
    <row r="12" spans="1:11">
      <c r="A12" t="s">
        <v>530</v>
      </c>
      <c r="B12" t="s">
        <v>531</v>
      </c>
      <c r="C12" s="6">
        <v>9131.4599999999991</v>
      </c>
      <c r="D12" s="6">
        <f t="shared" si="1"/>
        <v>185.67000000000002</v>
      </c>
      <c r="E12" s="6">
        <v>8080.83</v>
      </c>
      <c r="F12" s="6">
        <f t="shared" si="2"/>
        <v>201.34</v>
      </c>
      <c r="G12" s="6">
        <v>10.78</v>
      </c>
      <c r="H12" s="6">
        <v>190.56</v>
      </c>
      <c r="I12" s="6">
        <v>14</v>
      </c>
      <c r="J12" s="6">
        <v>119</v>
      </c>
      <c r="K12" s="6">
        <v>52.67</v>
      </c>
    </row>
    <row r="13" spans="1:11">
      <c r="A13" t="s">
        <v>470</v>
      </c>
      <c r="B13" t="s">
        <v>471</v>
      </c>
      <c r="C13" s="6">
        <v>9215.15</v>
      </c>
      <c r="D13" s="6">
        <f t="shared" si="1"/>
        <v>117.56</v>
      </c>
      <c r="E13" s="6">
        <v>8045.87</v>
      </c>
      <c r="F13" s="6">
        <f t="shared" si="2"/>
        <v>145.88</v>
      </c>
      <c r="G13" s="6">
        <v>7.44</v>
      </c>
      <c r="H13" s="6">
        <v>138.44</v>
      </c>
      <c r="I13" s="6">
        <v>7.78</v>
      </c>
      <c r="J13" s="6">
        <v>66.67</v>
      </c>
      <c r="K13" s="6">
        <v>43.11</v>
      </c>
    </row>
    <row r="14" spans="1:11">
      <c r="A14" t="s">
        <v>701</v>
      </c>
      <c r="B14" t="s">
        <v>702</v>
      </c>
      <c r="C14" s="6">
        <v>8975.7000000000007</v>
      </c>
      <c r="D14" s="6">
        <f t="shared" si="1"/>
        <v>328.89</v>
      </c>
      <c r="E14" s="6">
        <v>8011.42</v>
      </c>
      <c r="F14" s="6">
        <f t="shared" si="2"/>
        <v>361.12</v>
      </c>
      <c r="G14" s="6">
        <v>25.56</v>
      </c>
      <c r="H14" s="6">
        <v>335.56</v>
      </c>
      <c r="I14" s="6">
        <v>15.56</v>
      </c>
      <c r="J14" s="6">
        <v>138.88999999999999</v>
      </c>
      <c r="K14" s="6">
        <v>174.44</v>
      </c>
    </row>
    <row r="15" spans="1:11">
      <c r="A15" t="s">
        <v>725</v>
      </c>
      <c r="B15" t="s">
        <v>726</v>
      </c>
      <c r="C15" s="6">
        <v>9377.9500000000007</v>
      </c>
      <c r="D15" s="6">
        <f t="shared" si="1"/>
        <v>2053.4499999999998</v>
      </c>
      <c r="E15" s="6">
        <v>8373</v>
      </c>
      <c r="F15" s="6">
        <f t="shared" si="2"/>
        <v>1599.55</v>
      </c>
      <c r="G15" s="6">
        <v>166.33</v>
      </c>
      <c r="H15" s="6">
        <v>1433.22</v>
      </c>
      <c r="I15" s="6">
        <v>150.56</v>
      </c>
      <c r="J15" s="6">
        <v>1207.33</v>
      </c>
      <c r="K15" s="6">
        <v>695.56</v>
      </c>
    </row>
    <row r="16" spans="1:11">
      <c r="A16" t="s">
        <v>572</v>
      </c>
      <c r="B16" t="s">
        <v>573</v>
      </c>
      <c r="C16" s="6">
        <v>9273.56</v>
      </c>
      <c r="D16" s="6">
        <f t="shared" si="1"/>
        <v>84</v>
      </c>
      <c r="E16" s="6">
        <v>7953.3</v>
      </c>
      <c r="F16" s="6">
        <f t="shared" si="2"/>
        <v>82</v>
      </c>
      <c r="G16" s="6">
        <v>3.67</v>
      </c>
      <c r="H16" s="6">
        <v>78.33</v>
      </c>
      <c r="I16" s="6">
        <v>4</v>
      </c>
      <c r="J16" s="6">
        <v>68.11</v>
      </c>
      <c r="K16" s="6">
        <v>11.89</v>
      </c>
    </row>
    <row r="17" spans="1:11">
      <c r="A17" t="s">
        <v>793</v>
      </c>
      <c r="B17" t="s">
        <v>794</v>
      </c>
      <c r="C17" s="6">
        <v>8903.77</v>
      </c>
      <c r="D17" s="6">
        <f t="shared" si="1"/>
        <v>0</v>
      </c>
      <c r="E17" s="6">
        <v>8408.74</v>
      </c>
      <c r="F17" s="6">
        <f t="shared" si="2"/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</row>
    <row r="18" spans="1:11">
      <c r="A18" t="s">
        <v>450</v>
      </c>
      <c r="B18" t="s">
        <v>451</v>
      </c>
      <c r="C18" s="6">
        <v>9614.91</v>
      </c>
      <c r="D18" s="6">
        <f t="shared" si="1"/>
        <v>26.9</v>
      </c>
      <c r="E18" s="6">
        <v>8073.55</v>
      </c>
      <c r="F18" s="6">
        <f t="shared" si="2"/>
        <v>37.22</v>
      </c>
      <c r="G18" s="6">
        <v>6</v>
      </c>
      <c r="H18" s="6">
        <v>31.22</v>
      </c>
      <c r="I18" s="6">
        <v>4.5599999999999996</v>
      </c>
      <c r="J18" s="6">
        <v>17.78</v>
      </c>
      <c r="K18" s="6">
        <v>4.5599999999999996</v>
      </c>
    </row>
    <row r="19" spans="1:11">
      <c r="A19" t="s">
        <v>542</v>
      </c>
      <c r="B19" t="s">
        <v>543</v>
      </c>
      <c r="C19" s="6">
        <v>9154.49</v>
      </c>
      <c r="D19" s="6">
        <f t="shared" si="1"/>
        <v>133.44999999999999</v>
      </c>
      <c r="E19" s="6">
        <v>8003.34</v>
      </c>
      <c r="F19" s="6">
        <f t="shared" si="2"/>
        <v>141.11000000000001</v>
      </c>
      <c r="G19" s="6">
        <v>11.89</v>
      </c>
      <c r="H19" s="6">
        <v>129.22</v>
      </c>
      <c r="I19" s="6">
        <v>10.56</v>
      </c>
      <c r="J19" s="6">
        <v>105.89</v>
      </c>
      <c r="K19" s="6">
        <v>17</v>
      </c>
    </row>
    <row r="20" spans="1:11">
      <c r="A20" t="s">
        <v>365</v>
      </c>
      <c r="B20" t="s">
        <v>1007</v>
      </c>
      <c r="C20" s="6">
        <v>9478.23</v>
      </c>
      <c r="D20" s="6">
        <f t="shared" si="1"/>
        <v>191.99</v>
      </c>
      <c r="E20" s="6">
        <v>8059.5</v>
      </c>
      <c r="F20" s="6">
        <f t="shared" si="2"/>
        <v>205.78</v>
      </c>
      <c r="G20" s="6">
        <v>20.78</v>
      </c>
      <c r="H20" s="6">
        <v>185</v>
      </c>
      <c r="I20" s="6">
        <v>18.329999999999998</v>
      </c>
      <c r="J20" s="6">
        <v>145.33000000000001</v>
      </c>
      <c r="K20" s="6">
        <v>28.33</v>
      </c>
    </row>
    <row r="21" spans="1:11">
      <c r="A21" t="s">
        <v>363</v>
      </c>
      <c r="B21" t="s">
        <v>364</v>
      </c>
      <c r="C21" s="6">
        <v>9263.33</v>
      </c>
      <c r="D21" s="6">
        <f t="shared" si="1"/>
        <v>128.88</v>
      </c>
      <c r="E21" s="6">
        <v>7999.93</v>
      </c>
      <c r="F21" s="6">
        <f t="shared" si="2"/>
        <v>139.78</v>
      </c>
      <c r="G21" s="6">
        <v>15.11</v>
      </c>
      <c r="H21" s="6">
        <v>124.67</v>
      </c>
      <c r="I21" s="6">
        <v>8.2200000000000006</v>
      </c>
      <c r="J21" s="6">
        <v>80.33</v>
      </c>
      <c r="K21" s="6">
        <v>40.33</v>
      </c>
    </row>
    <row r="22" spans="1:11">
      <c r="A22" t="s">
        <v>865</v>
      </c>
      <c r="B22" t="s">
        <v>866</v>
      </c>
      <c r="C22" s="6">
        <v>9339.69</v>
      </c>
      <c r="D22" s="6">
        <f t="shared" si="1"/>
        <v>1090.23</v>
      </c>
      <c r="E22" s="6">
        <v>8373.83</v>
      </c>
      <c r="F22" s="6">
        <f t="shared" si="2"/>
        <v>945.78</v>
      </c>
      <c r="G22" s="6">
        <v>103.67</v>
      </c>
      <c r="H22" s="6">
        <v>842.11</v>
      </c>
      <c r="I22" s="6">
        <v>104.67</v>
      </c>
      <c r="J22" s="6">
        <v>798.67</v>
      </c>
      <c r="K22" s="6">
        <v>186.89</v>
      </c>
    </row>
    <row r="23" spans="1:11">
      <c r="A23" t="s">
        <v>1029</v>
      </c>
      <c r="B23" t="s">
        <v>1030</v>
      </c>
      <c r="C23" s="6">
        <v>8513.66</v>
      </c>
      <c r="D23" s="6">
        <f t="shared" si="1"/>
        <v>28.549999999999997</v>
      </c>
      <c r="E23" s="6" t="s">
        <v>1184</v>
      </c>
      <c r="F23" s="6">
        <f t="shared" si="2"/>
        <v>0</v>
      </c>
      <c r="G23" s="6" t="s">
        <v>1184</v>
      </c>
      <c r="H23" s="6" t="s">
        <v>1184</v>
      </c>
      <c r="I23" s="6">
        <v>0</v>
      </c>
      <c r="J23" s="6">
        <v>27.33</v>
      </c>
      <c r="K23" s="6">
        <v>1.22</v>
      </c>
    </row>
    <row r="24" spans="1:11">
      <c r="A24" t="s">
        <v>695</v>
      </c>
      <c r="B24" t="s">
        <v>696</v>
      </c>
      <c r="C24" s="6">
        <v>9404.9500000000007</v>
      </c>
      <c r="D24" s="6">
        <f t="shared" si="1"/>
        <v>622.22</v>
      </c>
      <c r="E24" s="6">
        <v>8419.56</v>
      </c>
      <c r="F24" s="6">
        <f t="shared" si="2"/>
        <v>568.66999999999996</v>
      </c>
      <c r="G24" s="6">
        <v>52.78</v>
      </c>
      <c r="H24" s="6">
        <v>515.89</v>
      </c>
      <c r="I24" s="6">
        <v>30.78</v>
      </c>
      <c r="J24" s="6">
        <v>397.11</v>
      </c>
      <c r="K24" s="6">
        <v>194.33</v>
      </c>
    </row>
    <row r="25" spans="1:11">
      <c r="A25" t="s">
        <v>412</v>
      </c>
      <c r="B25" t="s">
        <v>413</v>
      </c>
      <c r="C25" s="6">
        <v>9032.3700000000008</v>
      </c>
      <c r="D25" s="6">
        <f t="shared" si="1"/>
        <v>37.67</v>
      </c>
      <c r="E25" s="6">
        <v>7869.89</v>
      </c>
      <c r="F25" s="6">
        <f t="shared" si="2"/>
        <v>35.67</v>
      </c>
      <c r="G25" s="6">
        <v>0</v>
      </c>
      <c r="H25" s="6">
        <v>35.67</v>
      </c>
      <c r="I25" s="6">
        <v>0</v>
      </c>
      <c r="J25" s="6">
        <v>29.67</v>
      </c>
      <c r="K25" s="6">
        <v>8</v>
      </c>
    </row>
    <row r="26" spans="1:11">
      <c r="A26" t="s">
        <v>755</v>
      </c>
      <c r="B26" t="s">
        <v>756</v>
      </c>
      <c r="C26" s="6">
        <v>9508.8700000000008</v>
      </c>
      <c r="D26" s="6">
        <f t="shared" si="1"/>
        <v>444.65999999999997</v>
      </c>
      <c r="E26" s="6">
        <v>8404.66</v>
      </c>
      <c r="F26" s="6">
        <f t="shared" si="2"/>
        <v>442.78</v>
      </c>
      <c r="G26" s="6">
        <v>28.78</v>
      </c>
      <c r="H26" s="6">
        <v>414</v>
      </c>
      <c r="I26" s="6">
        <v>31</v>
      </c>
      <c r="J26" s="6">
        <v>358.44</v>
      </c>
      <c r="K26" s="6">
        <v>55.22</v>
      </c>
    </row>
    <row r="27" spans="1:11">
      <c r="A27" t="s">
        <v>359</v>
      </c>
      <c r="B27" t="s">
        <v>360</v>
      </c>
      <c r="C27" s="6">
        <v>9279.98</v>
      </c>
      <c r="D27" s="6">
        <f t="shared" si="1"/>
        <v>77.44</v>
      </c>
      <c r="E27" s="6">
        <v>8219.32</v>
      </c>
      <c r="F27" s="6">
        <f t="shared" si="2"/>
        <v>71.45</v>
      </c>
      <c r="G27" s="6">
        <v>7.56</v>
      </c>
      <c r="H27" s="6">
        <v>63.89</v>
      </c>
      <c r="I27" s="6">
        <v>3</v>
      </c>
      <c r="J27" s="6">
        <v>53.22</v>
      </c>
      <c r="K27" s="6">
        <v>21.22</v>
      </c>
    </row>
    <row r="28" spans="1:11">
      <c r="A28" t="s">
        <v>711</v>
      </c>
      <c r="B28" t="s">
        <v>712</v>
      </c>
      <c r="C28" s="6">
        <v>8908.9599999999991</v>
      </c>
      <c r="D28" s="6">
        <f t="shared" si="1"/>
        <v>585.22</v>
      </c>
      <c r="E28" s="6">
        <v>7747.17</v>
      </c>
      <c r="F28" s="6">
        <f t="shared" si="2"/>
        <v>566.2299999999999</v>
      </c>
      <c r="G28" s="6">
        <v>11.67</v>
      </c>
      <c r="H28" s="6">
        <v>554.55999999999995</v>
      </c>
      <c r="I28" s="6">
        <v>8.44</v>
      </c>
      <c r="J28" s="6">
        <v>511.11</v>
      </c>
      <c r="K28" s="6">
        <v>65.67</v>
      </c>
    </row>
    <row r="29" spans="1:11">
      <c r="A29" t="s">
        <v>920</v>
      </c>
      <c r="B29" t="s">
        <v>1008</v>
      </c>
      <c r="C29" s="6">
        <v>9316.64</v>
      </c>
      <c r="D29" s="6">
        <f t="shared" si="1"/>
        <v>31.67</v>
      </c>
      <c r="E29" s="6">
        <v>8066.71</v>
      </c>
      <c r="F29" s="6">
        <f t="shared" si="2"/>
        <v>28</v>
      </c>
      <c r="G29" s="6">
        <v>0</v>
      </c>
      <c r="H29" s="6">
        <v>28</v>
      </c>
      <c r="I29" s="6">
        <v>0</v>
      </c>
      <c r="J29" s="6">
        <v>30.89</v>
      </c>
      <c r="K29" s="6">
        <v>0.78</v>
      </c>
    </row>
    <row r="30" spans="1:11">
      <c r="A30" t="s">
        <v>841</v>
      </c>
      <c r="B30" t="s">
        <v>842</v>
      </c>
      <c r="C30" s="6">
        <v>9673.39</v>
      </c>
      <c r="D30" s="6">
        <f t="shared" si="1"/>
        <v>3386.1099999999997</v>
      </c>
      <c r="E30" s="6">
        <v>8408.01</v>
      </c>
      <c r="F30" s="6">
        <f t="shared" si="2"/>
        <v>2988.78</v>
      </c>
      <c r="G30" s="6">
        <v>246.78</v>
      </c>
      <c r="H30" s="6">
        <v>2742</v>
      </c>
      <c r="I30" s="6">
        <v>258.22000000000003</v>
      </c>
      <c r="J30" s="6">
        <v>2016.78</v>
      </c>
      <c r="K30" s="6">
        <v>1111.1099999999999</v>
      </c>
    </row>
    <row r="31" spans="1:11">
      <c r="A31" t="s">
        <v>504</v>
      </c>
      <c r="B31" t="s">
        <v>505</v>
      </c>
      <c r="C31" s="6">
        <v>9681.7099999999991</v>
      </c>
      <c r="D31" s="6">
        <f t="shared" si="1"/>
        <v>210.44</v>
      </c>
      <c r="E31" s="6">
        <v>8356.7099999999991</v>
      </c>
      <c r="F31" s="6">
        <f t="shared" si="2"/>
        <v>176.89</v>
      </c>
      <c r="G31" s="6">
        <v>11.67</v>
      </c>
      <c r="H31" s="6">
        <v>165.22</v>
      </c>
      <c r="I31" s="6">
        <v>9.7799999999999994</v>
      </c>
      <c r="J31" s="6">
        <v>134.33000000000001</v>
      </c>
      <c r="K31" s="6">
        <v>66.33</v>
      </c>
    </row>
    <row r="32" spans="1:11">
      <c r="A32" t="s">
        <v>536</v>
      </c>
      <c r="B32" t="s">
        <v>537</v>
      </c>
      <c r="C32" s="6">
        <v>9820.4</v>
      </c>
      <c r="D32" s="6">
        <f t="shared" si="1"/>
        <v>281.67</v>
      </c>
      <c r="E32" s="6">
        <v>8389.31</v>
      </c>
      <c r="F32" s="6">
        <f t="shared" si="2"/>
        <v>220.45</v>
      </c>
      <c r="G32" s="6">
        <v>14.78</v>
      </c>
      <c r="H32" s="6">
        <v>205.67</v>
      </c>
      <c r="I32" s="6">
        <v>8.7799999999999994</v>
      </c>
      <c r="J32" s="6">
        <v>139.11000000000001</v>
      </c>
      <c r="K32" s="6">
        <v>133.78</v>
      </c>
    </row>
    <row r="33" spans="1:11">
      <c r="A33" t="s">
        <v>494</v>
      </c>
      <c r="B33" t="s">
        <v>495</v>
      </c>
      <c r="C33" s="126">
        <v>9229.6</v>
      </c>
      <c r="D33" s="6">
        <f t="shared" si="1"/>
        <v>21.67</v>
      </c>
      <c r="E33" s="126">
        <v>8079.3</v>
      </c>
      <c r="F33" s="6">
        <f t="shared" si="2"/>
        <v>14.33</v>
      </c>
      <c r="G33" s="6">
        <v>0</v>
      </c>
      <c r="H33" s="6">
        <v>14.33</v>
      </c>
      <c r="I33" s="6">
        <v>0</v>
      </c>
      <c r="J33" s="6">
        <v>19.78</v>
      </c>
      <c r="K33" s="6">
        <v>1.89</v>
      </c>
    </row>
    <row r="34" spans="1:11">
      <c r="A34" t="s">
        <v>857</v>
      </c>
      <c r="B34" t="s">
        <v>858</v>
      </c>
      <c r="C34" s="6">
        <v>9625.51</v>
      </c>
      <c r="D34" s="6">
        <f t="shared" si="1"/>
        <v>481.65999999999997</v>
      </c>
      <c r="E34" s="6">
        <v>8356.5300000000007</v>
      </c>
      <c r="F34" s="6">
        <f t="shared" si="2"/>
        <v>454.22999999999996</v>
      </c>
      <c r="G34" s="6">
        <v>35.56</v>
      </c>
      <c r="H34" s="6">
        <v>418.66999999999996</v>
      </c>
      <c r="I34" s="6">
        <v>39.33</v>
      </c>
      <c r="J34" s="6">
        <v>303.33</v>
      </c>
      <c r="K34" s="6">
        <v>139</v>
      </c>
    </row>
    <row r="35" spans="1:11">
      <c r="A35" t="s">
        <v>460</v>
      </c>
      <c r="B35" t="s">
        <v>461</v>
      </c>
      <c r="C35" s="6">
        <v>9627.7999999999993</v>
      </c>
      <c r="D35" s="6">
        <f t="shared" si="1"/>
        <v>3355.11</v>
      </c>
      <c r="E35" s="6">
        <v>8370.5400000000009</v>
      </c>
      <c r="F35" s="6">
        <f t="shared" si="2"/>
        <v>3531.55</v>
      </c>
      <c r="G35" s="6">
        <v>201.44</v>
      </c>
      <c r="H35" s="6">
        <v>3330.11</v>
      </c>
      <c r="I35" s="6">
        <v>220.56</v>
      </c>
      <c r="J35" s="6">
        <v>2421.44</v>
      </c>
      <c r="K35" s="6">
        <v>713.11</v>
      </c>
    </row>
    <row r="36" spans="1:11">
      <c r="A36" t="s">
        <v>357</v>
      </c>
      <c r="B36" t="s">
        <v>358</v>
      </c>
      <c r="C36" s="6">
        <v>9785.9500000000007</v>
      </c>
      <c r="D36" s="6">
        <f t="shared" si="1"/>
        <v>887.22</v>
      </c>
      <c r="E36" s="6">
        <v>8688.39</v>
      </c>
      <c r="F36" s="6">
        <f t="shared" si="2"/>
        <v>793.78</v>
      </c>
      <c r="G36" s="6">
        <v>68.67</v>
      </c>
      <c r="H36" s="6">
        <v>725.11</v>
      </c>
      <c r="I36" s="6">
        <v>57.11</v>
      </c>
      <c r="J36" s="6">
        <v>628.11</v>
      </c>
      <c r="K36" s="6">
        <v>202</v>
      </c>
    </row>
    <row r="37" spans="1:11">
      <c r="A37" t="s">
        <v>331</v>
      </c>
      <c r="B37" t="s">
        <v>332</v>
      </c>
      <c r="C37" s="6">
        <v>9625.9599999999991</v>
      </c>
      <c r="D37" s="6">
        <f t="shared" si="1"/>
        <v>1765</v>
      </c>
      <c r="E37" s="6">
        <v>8343.92</v>
      </c>
      <c r="F37" s="6">
        <f t="shared" si="2"/>
        <v>1922.1000000000001</v>
      </c>
      <c r="G37" s="6">
        <v>130</v>
      </c>
      <c r="H37" s="6">
        <v>1792.1000000000001</v>
      </c>
      <c r="I37" s="6">
        <v>102.22</v>
      </c>
      <c r="J37" s="6">
        <v>1052</v>
      </c>
      <c r="K37" s="6">
        <v>610.78</v>
      </c>
    </row>
    <row r="38" spans="1:11">
      <c r="A38" t="s">
        <v>727</v>
      </c>
      <c r="B38" t="s">
        <v>728</v>
      </c>
      <c r="C38" s="6">
        <v>9680.09</v>
      </c>
      <c r="D38" s="6">
        <f t="shared" si="1"/>
        <v>499.89</v>
      </c>
      <c r="E38" s="6">
        <v>8454.18</v>
      </c>
      <c r="F38" s="6">
        <f t="shared" si="2"/>
        <v>358.44</v>
      </c>
      <c r="G38" s="6">
        <v>27.11</v>
      </c>
      <c r="H38" s="6">
        <v>331.33</v>
      </c>
      <c r="I38" s="6">
        <v>42.67</v>
      </c>
      <c r="J38" s="6">
        <v>353.44</v>
      </c>
      <c r="K38" s="6">
        <v>103.78</v>
      </c>
    </row>
    <row r="39" spans="1:11">
      <c r="A39" t="s">
        <v>1023</v>
      </c>
      <c r="B39" t="s">
        <v>1024</v>
      </c>
      <c r="C39" s="126">
        <v>9229.6</v>
      </c>
      <c r="D39" s="6">
        <f t="shared" si="1"/>
        <v>1913.02</v>
      </c>
      <c r="E39" s="126">
        <v>8079.3</v>
      </c>
      <c r="F39" s="6">
        <f t="shared" si="2"/>
        <v>1576.1000000000004</v>
      </c>
      <c r="G39" s="6">
        <v>150.32999999999998</v>
      </c>
      <c r="H39" s="6">
        <v>1425.7700000000004</v>
      </c>
      <c r="I39" s="6">
        <v>91.45</v>
      </c>
      <c r="J39" s="6">
        <v>1379.78</v>
      </c>
      <c r="K39" s="6">
        <v>441.79</v>
      </c>
    </row>
    <row r="40" spans="1:11">
      <c r="A40" t="s">
        <v>426</v>
      </c>
      <c r="B40" t="s">
        <v>427</v>
      </c>
      <c r="C40" s="126">
        <v>9229.6</v>
      </c>
      <c r="D40" s="6">
        <f t="shared" si="1"/>
        <v>54.89</v>
      </c>
      <c r="E40" s="126">
        <v>8079.3</v>
      </c>
      <c r="F40" s="6">
        <f t="shared" si="2"/>
        <v>52.56</v>
      </c>
      <c r="G40" s="6">
        <v>6.56</v>
      </c>
      <c r="H40" s="6">
        <v>46</v>
      </c>
      <c r="I40" s="6">
        <v>4.8899999999999997</v>
      </c>
      <c r="J40" s="6">
        <v>35</v>
      </c>
      <c r="K40" s="6">
        <v>15</v>
      </c>
    </row>
    <row r="41" spans="1:11">
      <c r="A41" t="s">
        <v>791</v>
      </c>
      <c r="B41" t="s">
        <v>792</v>
      </c>
      <c r="C41" s="6">
        <v>8740.4699999999993</v>
      </c>
      <c r="D41" s="6">
        <f t="shared" si="1"/>
        <v>74.56</v>
      </c>
      <c r="E41" s="6">
        <v>8158.58</v>
      </c>
      <c r="F41" s="6">
        <f t="shared" si="2"/>
        <v>4.45</v>
      </c>
      <c r="G41" s="6">
        <v>0.89</v>
      </c>
      <c r="H41" s="6">
        <v>3.56</v>
      </c>
      <c r="I41" s="6">
        <v>0</v>
      </c>
      <c r="J41" s="6">
        <v>74.56</v>
      </c>
      <c r="K41" s="6">
        <v>0</v>
      </c>
    </row>
    <row r="42" spans="1:11">
      <c r="A42" t="s">
        <v>558</v>
      </c>
      <c r="B42" t="s">
        <v>559</v>
      </c>
      <c r="C42" s="6">
        <v>9304.18</v>
      </c>
      <c r="D42" s="6">
        <f t="shared" si="1"/>
        <v>1218.67</v>
      </c>
      <c r="E42" s="6">
        <v>8054.8</v>
      </c>
      <c r="F42" s="6">
        <f t="shared" si="2"/>
        <v>1183.1100000000001</v>
      </c>
      <c r="G42" s="6">
        <v>134.22</v>
      </c>
      <c r="H42" s="6">
        <v>1048.8900000000001</v>
      </c>
      <c r="I42" s="6">
        <v>130.56</v>
      </c>
      <c r="J42" s="6">
        <v>673</v>
      </c>
      <c r="K42" s="6">
        <v>415.11</v>
      </c>
    </row>
    <row r="43" spans="1:11">
      <c r="A43" t="s">
        <v>829</v>
      </c>
      <c r="B43" t="s">
        <v>830</v>
      </c>
      <c r="C43" s="126">
        <v>9229.6</v>
      </c>
      <c r="D43" s="6">
        <f t="shared" si="1"/>
        <v>101.44</v>
      </c>
      <c r="E43" s="126">
        <v>8079.3</v>
      </c>
      <c r="F43" s="6">
        <f t="shared" si="2"/>
        <v>100.89</v>
      </c>
      <c r="G43" s="6">
        <v>10.11</v>
      </c>
      <c r="H43" s="6">
        <v>90.78</v>
      </c>
      <c r="I43" s="6">
        <v>5.22</v>
      </c>
      <c r="J43" s="6">
        <v>55.22</v>
      </c>
      <c r="K43" s="6">
        <v>41</v>
      </c>
    </row>
    <row r="44" spans="1:11">
      <c r="A44" t="s">
        <v>366</v>
      </c>
      <c r="B44" t="s">
        <v>367</v>
      </c>
      <c r="C44" s="6">
        <v>9319.6299999999992</v>
      </c>
      <c r="D44" s="6">
        <f t="shared" si="1"/>
        <v>241.77999999999997</v>
      </c>
      <c r="E44" s="6">
        <v>8043.59</v>
      </c>
      <c r="F44" s="6">
        <f t="shared" si="2"/>
        <v>249.11</v>
      </c>
      <c r="G44" s="6">
        <v>18.670000000000002</v>
      </c>
      <c r="H44" s="6">
        <v>230.44</v>
      </c>
      <c r="I44" s="6">
        <v>17.89</v>
      </c>
      <c r="J44" s="6">
        <v>162</v>
      </c>
      <c r="K44" s="6">
        <v>61.89</v>
      </c>
    </row>
    <row r="45" spans="1:11">
      <c r="A45" t="s">
        <v>518</v>
      </c>
      <c r="B45" t="s">
        <v>519</v>
      </c>
      <c r="C45" s="126">
        <v>9229.6</v>
      </c>
      <c r="D45" s="6">
        <f t="shared" si="1"/>
        <v>203.44</v>
      </c>
      <c r="E45" s="126">
        <v>8079.3</v>
      </c>
      <c r="F45" s="6">
        <f t="shared" si="2"/>
        <v>188.33</v>
      </c>
      <c r="G45" s="6">
        <v>16.22</v>
      </c>
      <c r="H45" s="6">
        <v>172.11</v>
      </c>
      <c r="I45" s="6">
        <v>14.44</v>
      </c>
      <c r="J45" s="6">
        <v>131.78</v>
      </c>
      <c r="K45" s="6">
        <v>57.22</v>
      </c>
    </row>
    <row r="46" spans="1:11">
      <c r="A46" t="s">
        <v>889</v>
      </c>
      <c r="B46" t="s">
        <v>890</v>
      </c>
      <c r="C46" s="6">
        <v>9283.6299999999992</v>
      </c>
      <c r="D46" s="6">
        <f t="shared" si="1"/>
        <v>366.55</v>
      </c>
      <c r="E46" s="6">
        <v>8077.55</v>
      </c>
      <c r="F46" s="6">
        <f t="shared" si="2"/>
        <v>344.65999999999997</v>
      </c>
      <c r="G46" s="6">
        <v>26.22</v>
      </c>
      <c r="H46" s="6">
        <v>318.44</v>
      </c>
      <c r="I46" s="6">
        <v>31</v>
      </c>
      <c r="J46" s="6">
        <v>201.33</v>
      </c>
      <c r="K46" s="6">
        <v>134.22</v>
      </c>
    </row>
    <row r="47" spans="1:11">
      <c r="A47" t="s">
        <v>522</v>
      </c>
      <c r="B47" t="s">
        <v>523</v>
      </c>
      <c r="C47" s="6">
        <v>9303.85</v>
      </c>
      <c r="D47" s="6">
        <f t="shared" si="1"/>
        <v>822.45</v>
      </c>
      <c r="E47" s="6">
        <v>8048.43</v>
      </c>
      <c r="F47" s="6">
        <f t="shared" si="2"/>
        <v>708.67</v>
      </c>
      <c r="G47" s="6">
        <v>58.11</v>
      </c>
      <c r="H47" s="6">
        <v>650.55999999999995</v>
      </c>
      <c r="I47" s="6">
        <v>55.78</v>
      </c>
      <c r="J47" s="6">
        <v>438.56</v>
      </c>
      <c r="K47" s="6">
        <v>328.11</v>
      </c>
    </row>
    <row r="48" spans="1:11">
      <c r="A48" t="s">
        <v>669</v>
      </c>
      <c r="B48" t="s">
        <v>670</v>
      </c>
      <c r="C48" s="126">
        <v>9229.6</v>
      </c>
      <c r="D48" s="6">
        <f t="shared" si="1"/>
        <v>19</v>
      </c>
      <c r="E48" s="126">
        <v>8079.3</v>
      </c>
      <c r="F48" s="6">
        <f t="shared" si="2"/>
        <v>21.45</v>
      </c>
      <c r="G48" s="6">
        <v>5.56</v>
      </c>
      <c r="H48" s="6">
        <v>15.89</v>
      </c>
      <c r="I48" s="6">
        <v>2.11</v>
      </c>
      <c r="J48" s="6">
        <v>13</v>
      </c>
      <c r="K48" s="6">
        <v>3.89</v>
      </c>
    </row>
    <row r="49" spans="1:11">
      <c r="A49" t="s">
        <v>351</v>
      </c>
      <c r="B49" t="s">
        <v>352</v>
      </c>
      <c r="C49" s="6">
        <v>9287.94</v>
      </c>
      <c r="D49" s="6">
        <f t="shared" si="1"/>
        <v>86</v>
      </c>
      <c r="E49" s="6">
        <v>8038.97</v>
      </c>
      <c r="F49" s="6">
        <f t="shared" si="2"/>
        <v>86.33</v>
      </c>
      <c r="G49" s="6">
        <v>11.89</v>
      </c>
      <c r="H49" s="6">
        <v>74.44</v>
      </c>
      <c r="I49" s="6">
        <v>10.56</v>
      </c>
      <c r="J49" s="6">
        <v>56.33</v>
      </c>
      <c r="K49" s="6">
        <v>19.11</v>
      </c>
    </row>
    <row r="50" spans="1:11">
      <c r="A50" t="s">
        <v>677</v>
      </c>
      <c r="B50" t="s">
        <v>678</v>
      </c>
      <c r="C50" s="6">
        <v>8572.4699999999993</v>
      </c>
      <c r="D50" s="6">
        <f t="shared" si="1"/>
        <v>4</v>
      </c>
      <c r="E50" s="6">
        <v>8417.01</v>
      </c>
      <c r="F50" s="6">
        <f t="shared" si="2"/>
        <v>4.1099999999999994</v>
      </c>
      <c r="G50" s="6">
        <v>1</v>
      </c>
      <c r="H50" s="6">
        <v>3.11</v>
      </c>
      <c r="I50" s="6">
        <v>2</v>
      </c>
      <c r="J50" s="6">
        <v>2</v>
      </c>
      <c r="K50" s="6">
        <v>0</v>
      </c>
    </row>
    <row r="51" spans="1:11">
      <c r="A51" t="s">
        <v>438</v>
      </c>
      <c r="B51" t="s">
        <v>439</v>
      </c>
      <c r="C51" s="6">
        <v>9031.0400000000009</v>
      </c>
      <c r="D51" s="6">
        <f t="shared" si="1"/>
        <v>755.55</v>
      </c>
      <c r="E51" s="6">
        <v>8031.64</v>
      </c>
      <c r="F51" s="6">
        <f t="shared" si="2"/>
        <v>742.89</v>
      </c>
      <c r="G51" s="6">
        <v>68.67</v>
      </c>
      <c r="H51" s="6">
        <v>674.22</v>
      </c>
      <c r="I51" s="6">
        <v>67.22</v>
      </c>
      <c r="J51" s="6">
        <v>502.89</v>
      </c>
      <c r="K51" s="6">
        <v>185.44</v>
      </c>
    </row>
    <row r="52" spans="1:11">
      <c r="A52" t="s">
        <v>570</v>
      </c>
      <c r="B52" t="s">
        <v>571</v>
      </c>
      <c r="C52" s="6">
        <v>9371.2800000000007</v>
      </c>
      <c r="D52" s="6">
        <f t="shared" si="1"/>
        <v>10.66</v>
      </c>
      <c r="E52" s="6">
        <v>8026.01</v>
      </c>
      <c r="F52" s="6">
        <f t="shared" si="2"/>
        <v>13.219999999999999</v>
      </c>
      <c r="G52" s="6">
        <v>2.78</v>
      </c>
      <c r="H52" s="6">
        <v>10.44</v>
      </c>
      <c r="I52" s="6">
        <v>0.33</v>
      </c>
      <c r="J52" s="6">
        <v>7</v>
      </c>
      <c r="K52" s="6">
        <v>3.33</v>
      </c>
    </row>
    <row r="53" spans="1:11">
      <c r="A53" t="s">
        <v>861</v>
      </c>
      <c r="B53" t="s">
        <v>862</v>
      </c>
      <c r="C53" s="126">
        <v>9229.6</v>
      </c>
      <c r="D53" s="6">
        <f t="shared" si="1"/>
        <v>45.230000000000004</v>
      </c>
      <c r="E53" s="126">
        <v>8079.3</v>
      </c>
      <c r="F53" s="6">
        <f t="shared" si="2"/>
        <v>51.44</v>
      </c>
      <c r="G53" s="6">
        <v>1.1100000000000001</v>
      </c>
      <c r="H53" s="6">
        <v>50.33</v>
      </c>
      <c r="I53" s="6">
        <v>2.11</v>
      </c>
      <c r="J53" s="6">
        <v>36.56</v>
      </c>
      <c r="K53" s="6">
        <v>6.56</v>
      </c>
    </row>
    <row r="54" spans="1:11">
      <c r="A54" t="s">
        <v>520</v>
      </c>
      <c r="B54" t="s">
        <v>521</v>
      </c>
      <c r="C54" s="6">
        <v>9998.16</v>
      </c>
      <c r="D54" s="6">
        <f t="shared" si="1"/>
        <v>5.78</v>
      </c>
      <c r="E54" s="6">
        <v>8466.27</v>
      </c>
      <c r="F54" s="6">
        <f t="shared" si="2"/>
        <v>2.4500000000000002</v>
      </c>
      <c r="G54" s="6">
        <v>0.56000000000000005</v>
      </c>
      <c r="H54" s="6">
        <v>1.89</v>
      </c>
      <c r="I54" s="6">
        <v>1</v>
      </c>
      <c r="J54" s="6">
        <v>4.78</v>
      </c>
      <c r="K54" s="6">
        <v>0</v>
      </c>
    </row>
    <row r="55" spans="1:11">
      <c r="A55" t="s">
        <v>416</v>
      </c>
      <c r="B55" t="s">
        <v>417</v>
      </c>
      <c r="C55" s="6">
        <v>9257.3799999999992</v>
      </c>
      <c r="D55" s="6">
        <f t="shared" si="1"/>
        <v>30.21</v>
      </c>
      <c r="E55" s="6">
        <v>7925.46</v>
      </c>
      <c r="F55" s="6">
        <f t="shared" si="2"/>
        <v>21.549999999999997</v>
      </c>
      <c r="G55" s="6">
        <v>0.33</v>
      </c>
      <c r="H55" s="6">
        <v>21.22</v>
      </c>
      <c r="I55" s="6">
        <v>0.44</v>
      </c>
      <c r="J55" s="6">
        <v>25.44</v>
      </c>
      <c r="K55" s="6">
        <v>4.33</v>
      </c>
    </row>
    <row r="56" spans="1:11">
      <c r="A56" t="s">
        <v>667</v>
      </c>
      <c r="B56" t="s">
        <v>668</v>
      </c>
      <c r="C56" s="6">
        <v>10226.969999999999</v>
      </c>
      <c r="D56" s="6">
        <f t="shared" si="1"/>
        <v>7.22</v>
      </c>
      <c r="E56" s="6">
        <v>8435.74</v>
      </c>
      <c r="F56" s="6">
        <f t="shared" si="2"/>
        <v>11.89</v>
      </c>
      <c r="G56" s="6">
        <v>0</v>
      </c>
      <c r="H56" s="6">
        <v>11.89</v>
      </c>
      <c r="I56" s="6">
        <v>0</v>
      </c>
      <c r="J56" s="6">
        <v>5.89</v>
      </c>
      <c r="K56" s="6">
        <v>1.33</v>
      </c>
    </row>
    <row r="57" spans="1:11">
      <c r="A57" t="s">
        <v>510</v>
      </c>
      <c r="B57" t="s">
        <v>511</v>
      </c>
      <c r="C57" s="6">
        <v>9296.08</v>
      </c>
      <c r="D57" s="6">
        <f t="shared" si="1"/>
        <v>27.33</v>
      </c>
      <c r="E57" s="6">
        <v>8022.54</v>
      </c>
      <c r="F57" s="6">
        <f t="shared" si="2"/>
        <v>29</v>
      </c>
      <c r="G57" s="6">
        <v>5.67</v>
      </c>
      <c r="H57" s="6">
        <v>23.33</v>
      </c>
      <c r="I57" s="6">
        <v>1.44</v>
      </c>
      <c r="J57" s="6">
        <v>19.559999999999999</v>
      </c>
      <c r="K57" s="6">
        <v>6.33</v>
      </c>
    </row>
    <row r="58" spans="1:11">
      <c r="A58" t="s">
        <v>723</v>
      </c>
      <c r="B58" t="s">
        <v>724</v>
      </c>
      <c r="C58" s="6">
        <v>9043.26</v>
      </c>
      <c r="D58" s="6">
        <f t="shared" si="1"/>
        <v>74.11</v>
      </c>
      <c r="E58" s="6">
        <v>8067.06</v>
      </c>
      <c r="F58" s="6">
        <f t="shared" si="2"/>
        <v>37.44</v>
      </c>
      <c r="G58" s="6">
        <v>1.44</v>
      </c>
      <c r="H58" s="6">
        <v>36</v>
      </c>
      <c r="I58" s="6">
        <v>1</v>
      </c>
      <c r="J58" s="6">
        <v>59.78</v>
      </c>
      <c r="K58" s="6">
        <v>13.33</v>
      </c>
    </row>
    <row r="59" spans="1:11">
      <c r="A59" t="s">
        <v>681</v>
      </c>
      <c r="B59" t="s">
        <v>682</v>
      </c>
      <c r="C59" s="6">
        <v>9239.14</v>
      </c>
      <c r="D59" s="6">
        <f t="shared" si="1"/>
        <v>2502.66</v>
      </c>
      <c r="E59" s="6">
        <v>8078.42</v>
      </c>
      <c r="F59" s="6">
        <f t="shared" si="2"/>
        <v>2452.66</v>
      </c>
      <c r="G59" s="6">
        <v>171.44</v>
      </c>
      <c r="H59" s="6">
        <v>2281.2199999999998</v>
      </c>
      <c r="I59" s="6">
        <v>194</v>
      </c>
      <c r="J59" s="6">
        <v>1324.22</v>
      </c>
      <c r="K59" s="6">
        <v>984.44</v>
      </c>
    </row>
    <row r="60" spans="1:11">
      <c r="A60" t="s">
        <v>629</v>
      </c>
      <c r="B60" t="s">
        <v>630</v>
      </c>
      <c r="C60" s="6">
        <v>9235.35</v>
      </c>
      <c r="D60" s="6">
        <f t="shared" si="1"/>
        <v>323.11</v>
      </c>
      <c r="E60" s="6">
        <v>8050.34</v>
      </c>
      <c r="F60" s="6">
        <f t="shared" si="2"/>
        <v>314.77999999999997</v>
      </c>
      <c r="G60" s="6">
        <v>29.89</v>
      </c>
      <c r="H60" s="6">
        <v>284.89</v>
      </c>
      <c r="I60" s="6">
        <v>31.89</v>
      </c>
      <c r="J60" s="6">
        <v>175.22</v>
      </c>
      <c r="K60" s="6">
        <v>116</v>
      </c>
    </row>
    <row r="61" spans="1:11">
      <c r="A61" t="s">
        <v>789</v>
      </c>
      <c r="B61" t="s">
        <v>790</v>
      </c>
      <c r="C61" s="6">
        <v>10887.32</v>
      </c>
      <c r="D61" s="6">
        <f t="shared" si="1"/>
        <v>1</v>
      </c>
      <c r="E61" s="6">
        <v>9623.41</v>
      </c>
      <c r="F61" s="6">
        <f t="shared" si="2"/>
        <v>0.67</v>
      </c>
      <c r="G61" s="6">
        <v>0</v>
      </c>
      <c r="H61" s="6">
        <v>0.67</v>
      </c>
      <c r="I61" s="6">
        <v>0</v>
      </c>
      <c r="J61" s="6">
        <v>1</v>
      </c>
      <c r="K61" s="6">
        <v>0</v>
      </c>
    </row>
    <row r="62" spans="1:11">
      <c r="A62" t="s">
        <v>516</v>
      </c>
      <c r="B62" t="s">
        <v>517</v>
      </c>
      <c r="C62" s="126">
        <v>9229.6</v>
      </c>
      <c r="D62" s="6">
        <f t="shared" si="1"/>
        <v>12.11</v>
      </c>
      <c r="E62" s="126">
        <v>8079.3</v>
      </c>
      <c r="F62" s="6">
        <f t="shared" si="2"/>
        <v>5.45</v>
      </c>
      <c r="G62" s="6">
        <v>0.78</v>
      </c>
      <c r="H62" s="6">
        <v>4.67</v>
      </c>
      <c r="I62" s="6">
        <v>0</v>
      </c>
      <c r="J62" s="6">
        <v>12.11</v>
      </c>
      <c r="K62" s="6">
        <v>0</v>
      </c>
    </row>
    <row r="63" spans="1:11">
      <c r="A63" t="s">
        <v>693</v>
      </c>
      <c r="B63" t="s">
        <v>694</v>
      </c>
      <c r="C63" s="6">
        <v>9647.4</v>
      </c>
      <c r="D63" s="6">
        <f t="shared" si="1"/>
        <v>63.44</v>
      </c>
      <c r="E63" s="6">
        <v>8043.83</v>
      </c>
      <c r="F63" s="6">
        <f t="shared" si="2"/>
        <v>51.11</v>
      </c>
      <c r="G63" s="6">
        <v>12</v>
      </c>
      <c r="H63" s="6">
        <v>39.11</v>
      </c>
      <c r="I63" s="6">
        <v>0.44</v>
      </c>
      <c r="J63" s="6">
        <v>30.89</v>
      </c>
      <c r="K63" s="6">
        <v>32.11</v>
      </c>
    </row>
    <row r="64" spans="1:11">
      <c r="A64" t="s">
        <v>847</v>
      </c>
      <c r="B64" t="s">
        <v>848</v>
      </c>
      <c r="C64" s="6">
        <v>9223.2900000000009</v>
      </c>
      <c r="D64" s="6">
        <f t="shared" si="1"/>
        <v>304.11</v>
      </c>
      <c r="E64" s="6">
        <v>8084.68</v>
      </c>
      <c r="F64" s="6">
        <f t="shared" si="2"/>
        <v>336.66999999999996</v>
      </c>
      <c r="G64" s="6">
        <v>17.78</v>
      </c>
      <c r="H64" s="6">
        <v>318.89</v>
      </c>
      <c r="I64" s="6">
        <v>33.33</v>
      </c>
      <c r="J64" s="6">
        <v>146.11000000000001</v>
      </c>
      <c r="K64" s="6">
        <v>124.67</v>
      </c>
    </row>
    <row r="65" spans="1:11">
      <c r="A65" t="s">
        <v>713</v>
      </c>
      <c r="B65" t="s">
        <v>714</v>
      </c>
      <c r="C65" s="6">
        <v>9272.64</v>
      </c>
      <c r="D65" s="6">
        <f t="shared" si="1"/>
        <v>435.89000000000004</v>
      </c>
      <c r="E65" s="6">
        <v>8103.95</v>
      </c>
      <c r="F65" s="6">
        <f t="shared" si="2"/>
        <v>425.33</v>
      </c>
      <c r="G65" s="6">
        <v>39.44</v>
      </c>
      <c r="H65" s="6">
        <v>385.89</v>
      </c>
      <c r="I65" s="6">
        <v>30.22</v>
      </c>
      <c r="J65" s="6">
        <v>279</v>
      </c>
      <c r="K65" s="6">
        <v>126.67</v>
      </c>
    </row>
    <row r="66" spans="1:11">
      <c r="A66" t="s">
        <v>855</v>
      </c>
      <c r="B66" t="s">
        <v>856</v>
      </c>
      <c r="C66" s="6">
        <v>9223.4</v>
      </c>
      <c r="D66" s="6">
        <f t="shared" si="1"/>
        <v>138.12</v>
      </c>
      <c r="E66" s="6">
        <v>8064.54</v>
      </c>
      <c r="F66" s="6">
        <f t="shared" si="2"/>
        <v>143.88</v>
      </c>
      <c r="G66" s="6">
        <v>9.44</v>
      </c>
      <c r="H66" s="6">
        <v>134.44</v>
      </c>
      <c r="I66" s="6">
        <v>11.56</v>
      </c>
      <c r="J66" s="6">
        <v>45.78</v>
      </c>
      <c r="K66" s="6">
        <v>80.78</v>
      </c>
    </row>
    <row r="67" spans="1:11">
      <c r="A67" t="s">
        <v>408</v>
      </c>
      <c r="B67" t="s">
        <v>409</v>
      </c>
      <c r="C67" s="6">
        <v>9118.7199999999993</v>
      </c>
      <c r="D67" s="6">
        <f t="shared" si="1"/>
        <v>26.67</v>
      </c>
      <c r="E67" s="6">
        <v>8034.9</v>
      </c>
      <c r="F67" s="6">
        <f t="shared" si="2"/>
        <v>22</v>
      </c>
      <c r="G67" s="6">
        <v>0.33</v>
      </c>
      <c r="H67" s="6">
        <v>21.67</v>
      </c>
      <c r="I67" s="6">
        <v>0.89</v>
      </c>
      <c r="J67" s="6">
        <v>13.56</v>
      </c>
      <c r="K67" s="6">
        <v>12.22</v>
      </c>
    </row>
    <row r="68" spans="1:11">
      <c r="A68" t="s">
        <v>771</v>
      </c>
      <c r="B68" t="s">
        <v>772</v>
      </c>
      <c r="C68" s="6">
        <v>9333.66</v>
      </c>
      <c r="D68" s="6">
        <f t="shared" ref="D68:D131" si="3">SUM(I68:K68)</f>
        <v>104.11</v>
      </c>
      <c r="E68" s="6">
        <v>8078.56</v>
      </c>
      <c r="F68" s="6">
        <f t="shared" ref="F68:F131" si="4">SUM(G68:H68)</f>
        <v>86.23</v>
      </c>
      <c r="G68" s="6">
        <v>14.67</v>
      </c>
      <c r="H68" s="6">
        <v>71.56</v>
      </c>
      <c r="I68" s="6">
        <v>5.67</v>
      </c>
      <c r="J68" s="6">
        <v>57.44</v>
      </c>
      <c r="K68" s="6">
        <v>41</v>
      </c>
    </row>
    <row r="69" spans="1:11">
      <c r="A69" t="s">
        <v>741</v>
      </c>
      <c r="B69" t="s">
        <v>742</v>
      </c>
      <c r="C69" s="6">
        <v>9251.43</v>
      </c>
      <c r="D69" s="6">
        <f t="shared" si="3"/>
        <v>230.77999999999997</v>
      </c>
      <c r="E69" s="6">
        <v>8071.06</v>
      </c>
      <c r="F69" s="6">
        <f t="shared" si="4"/>
        <v>179.44</v>
      </c>
      <c r="G69" s="6">
        <v>11.22</v>
      </c>
      <c r="H69" s="6">
        <v>168.22</v>
      </c>
      <c r="I69" s="6">
        <v>15.22</v>
      </c>
      <c r="J69" s="6">
        <v>150.88999999999999</v>
      </c>
      <c r="K69" s="6">
        <v>64.67</v>
      </c>
    </row>
    <row r="70" spans="1:11">
      <c r="A70" t="s">
        <v>600</v>
      </c>
      <c r="B70" t="s">
        <v>601</v>
      </c>
      <c r="C70" s="6">
        <v>9492.09</v>
      </c>
      <c r="D70" s="6">
        <f t="shared" si="3"/>
        <v>1332.22</v>
      </c>
      <c r="E70" s="6">
        <v>8447.4699999999993</v>
      </c>
      <c r="F70" s="6">
        <f t="shared" si="4"/>
        <v>1141.45</v>
      </c>
      <c r="G70" s="6">
        <v>119.89</v>
      </c>
      <c r="H70" s="6">
        <v>1021.56</v>
      </c>
      <c r="I70" s="6">
        <v>132.33000000000001</v>
      </c>
      <c r="J70" s="6">
        <v>695.56</v>
      </c>
      <c r="K70" s="6">
        <v>504.33</v>
      </c>
    </row>
    <row r="71" spans="1:11">
      <c r="A71" t="s">
        <v>454</v>
      </c>
      <c r="B71" t="s">
        <v>455</v>
      </c>
      <c r="C71" s="6">
        <v>9243.42</v>
      </c>
      <c r="D71" s="6">
        <f t="shared" si="3"/>
        <v>342.89</v>
      </c>
      <c r="E71" s="6">
        <v>8021.6</v>
      </c>
      <c r="F71" s="6">
        <f t="shared" si="4"/>
        <v>315.45</v>
      </c>
      <c r="G71" s="6">
        <v>28.67</v>
      </c>
      <c r="H71" s="6">
        <v>286.77999999999997</v>
      </c>
      <c r="I71" s="6">
        <v>20.78</v>
      </c>
      <c r="J71" s="6">
        <v>229.33</v>
      </c>
      <c r="K71" s="6">
        <v>92.78</v>
      </c>
    </row>
    <row r="72" spans="1:11">
      <c r="A72" t="s">
        <v>881</v>
      </c>
      <c r="B72" t="s">
        <v>882</v>
      </c>
      <c r="C72" s="6">
        <v>9502.16</v>
      </c>
      <c r="D72" s="6">
        <f t="shared" si="3"/>
        <v>18.670000000000002</v>
      </c>
      <c r="E72" s="6">
        <v>8014.37</v>
      </c>
      <c r="F72" s="6">
        <f t="shared" si="4"/>
        <v>15.33</v>
      </c>
      <c r="G72" s="6">
        <v>1.44</v>
      </c>
      <c r="H72" s="6">
        <v>13.89</v>
      </c>
      <c r="I72" s="6">
        <v>1</v>
      </c>
      <c r="J72" s="6">
        <v>15.67</v>
      </c>
      <c r="K72" s="6">
        <v>2</v>
      </c>
    </row>
    <row r="73" spans="1:11">
      <c r="A73" t="s">
        <v>482</v>
      </c>
      <c r="B73" t="s">
        <v>483</v>
      </c>
      <c r="C73" s="6">
        <v>9223.59</v>
      </c>
      <c r="D73" s="6">
        <f t="shared" si="3"/>
        <v>104.89</v>
      </c>
      <c r="E73" s="6">
        <v>7998.22</v>
      </c>
      <c r="F73" s="6">
        <f t="shared" si="4"/>
        <v>114.89</v>
      </c>
      <c r="G73" s="6">
        <v>6.11</v>
      </c>
      <c r="H73" s="6">
        <v>108.78</v>
      </c>
      <c r="I73" s="6">
        <v>4.4400000000000004</v>
      </c>
      <c r="J73" s="6">
        <v>68.78</v>
      </c>
      <c r="K73" s="6">
        <v>31.67</v>
      </c>
    </row>
    <row r="74" spans="1:11">
      <c r="A74" t="s">
        <v>315</v>
      </c>
      <c r="B74" t="s">
        <v>316</v>
      </c>
      <c r="C74" s="6">
        <v>9193.34</v>
      </c>
      <c r="D74" s="6">
        <f t="shared" si="3"/>
        <v>614.78</v>
      </c>
      <c r="E74" s="6">
        <v>8027.91</v>
      </c>
      <c r="F74" s="6">
        <f t="shared" si="4"/>
        <v>606.33000000000004</v>
      </c>
      <c r="G74" s="6">
        <v>76.22</v>
      </c>
      <c r="H74" s="6">
        <v>530.11</v>
      </c>
      <c r="I74" s="6">
        <v>68.56</v>
      </c>
      <c r="J74" s="6">
        <v>290.89</v>
      </c>
      <c r="K74" s="6">
        <v>255.33</v>
      </c>
    </row>
    <row r="75" spans="1:11">
      <c r="A75" t="s">
        <v>508</v>
      </c>
      <c r="B75" t="s">
        <v>509</v>
      </c>
      <c r="C75" s="6">
        <v>9266.2000000000007</v>
      </c>
      <c r="D75" s="6">
        <f t="shared" si="3"/>
        <v>262.77000000000004</v>
      </c>
      <c r="E75" s="6">
        <v>8033.47</v>
      </c>
      <c r="F75" s="6">
        <f t="shared" si="4"/>
        <v>283.45</v>
      </c>
      <c r="G75" s="6">
        <v>25.89</v>
      </c>
      <c r="H75" s="6">
        <v>257.56</v>
      </c>
      <c r="I75" s="6">
        <v>14.33</v>
      </c>
      <c r="J75" s="6">
        <v>175.11</v>
      </c>
      <c r="K75" s="6">
        <v>73.33</v>
      </c>
    </row>
    <row r="76" spans="1:11">
      <c r="A76" t="s">
        <v>627</v>
      </c>
      <c r="B76" t="s">
        <v>628</v>
      </c>
      <c r="C76" s="6">
        <v>9290.91</v>
      </c>
      <c r="D76" s="6">
        <f t="shared" si="3"/>
        <v>99.56</v>
      </c>
      <c r="E76" s="6">
        <v>8188.67</v>
      </c>
      <c r="F76" s="6">
        <f t="shared" si="4"/>
        <v>136.76999999999998</v>
      </c>
      <c r="G76" s="6">
        <v>9.11</v>
      </c>
      <c r="H76" s="6">
        <v>127.66</v>
      </c>
      <c r="I76" s="6">
        <v>3.89</v>
      </c>
      <c r="J76" s="6">
        <v>70.89</v>
      </c>
      <c r="K76" s="6">
        <v>24.78</v>
      </c>
    </row>
    <row r="77" spans="1:11">
      <c r="A77" t="s">
        <v>580</v>
      </c>
      <c r="B77" t="s">
        <v>581</v>
      </c>
      <c r="C77" s="6">
        <v>9553.5400000000009</v>
      </c>
      <c r="D77" s="6">
        <f t="shared" si="3"/>
        <v>65.89</v>
      </c>
      <c r="E77" s="6">
        <v>8500.31</v>
      </c>
      <c r="F77" s="6">
        <f t="shared" si="4"/>
        <v>59.879999999999995</v>
      </c>
      <c r="G77" s="6">
        <v>9.5499999999999989</v>
      </c>
      <c r="H77" s="6">
        <v>50.33</v>
      </c>
      <c r="I77" s="6">
        <v>5.78</v>
      </c>
      <c r="J77" s="6">
        <v>46.78</v>
      </c>
      <c r="K77" s="6">
        <v>13.33</v>
      </c>
    </row>
    <row r="78" spans="1:11">
      <c r="A78" t="s">
        <v>596</v>
      </c>
      <c r="B78" t="s">
        <v>597</v>
      </c>
      <c r="C78" s="6">
        <v>9461.31</v>
      </c>
      <c r="D78" s="6">
        <f t="shared" si="3"/>
        <v>237.67000000000002</v>
      </c>
      <c r="E78" s="6">
        <v>8058.74</v>
      </c>
      <c r="F78" s="6">
        <f t="shared" si="4"/>
        <v>206.22000000000003</v>
      </c>
      <c r="G78" s="6">
        <v>30.89</v>
      </c>
      <c r="H78" s="6">
        <v>175.33</v>
      </c>
      <c r="I78" s="6">
        <v>24.78</v>
      </c>
      <c r="J78" s="6">
        <v>139</v>
      </c>
      <c r="K78" s="6">
        <v>73.89</v>
      </c>
    </row>
    <row r="79" spans="1:11">
      <c r="A79" t="s">
        <v>446</v>
      </c>
      <c r="B79" t="s">
        <v>447</v>
      </c>
      <c r="C79" s="6">
        <v>9273.9599999999991</v>
      </c>
      <c r="D79" s="6">
        <f t="shared" si="3"/>
        <v>271.65999999999997</v>
      </c>
      <c r="E79" s="6">
        <v>8021.63</v>
      </c>
      <c r="F79" s="6">
        <f t="shared" si="4"/>
        <v>279.11</v>
      </c>
      <c r="G79" s="6">
        <v>28.67</v>
      </c>
      <c r="H79" s="6">
        <v>250.44000000000003</v>
      </c>
      <c r="I79" s="6">
        <v>22.33</v>
      </c>
      <c r="J79" s="6">
        <v>118.44</v>
      </c>
      <c r="K79" s="6">
        <v>130.88999999999999</v>
      </c>
    </row>
    <row r="80" spans="1:11">
      <c r="A80" t="s">
        <v>811</v>
      </c>
      <c r="B80" t="s">
        <v>812</v>
      </c>
      <c r="C80" s="6">
        <v>9216.06</v>
      </c>
      <c r="D80" s="6">
        <f t="shared" si="3"/>
        <v>35.44</v>
      </c>
      <c r="E80" s="6">
        <v>7906.57</v>
      </c>
      <c r="F80" s="6">
        <f t="shared" si="4"/>
        <v>29.89</v>
      </c>
      <c r="G80" s="6">
        <v>0.67</v>
      </c>
      <c r="H80" s="6">
        <v>29.22</v>
      </c>
      <c r="I80" s="6">
        <v>0</v>
      </c>
      <c r="J80" s="6">
        <v>35.33</v>
      </c>
      <c r="K80" s="6">
        <v>0.11</v>
      </c>
    </row>
    <row r="81" spans="1:11">
      <c r="A81" t="s">
        <v>544</v>
      </c>
      <c r="B81" t="s">
        <v>545</v>
      </c>
      <c r="C81" s="126">
        <v>9229.6</v>
      </c>
      <c r="D81" s="6">
        <f t="shared" si="3"/>
        <v>36</v>
      </c>
      <c r="E81" s="126">
        <v>8079.3</v>
      </c>
      <c r="F81" s="6">
        <f t="shared" si="4"/>
        <v>37</v>
      </c>
      <c r="G81" s="6">
        <v>5.33</v>
      </c>
      <c r="H81" s="6">
        <v>31.67</v>
      </c>
      <c r="I81" s="6">
        <v>2.56</v>
      </c>
      <c r="J81" s="6">
        <v>15.11</v>
      </c>
      <c r="K81" s="6">
        <v>18.329999999999998</v>
      </c>
    </row>
    <row r="82" spans="1:11">
      <c r="A82" t="s">
        <v>406</v>
      </c>
      <c r="B82" t="s">
        <v>407</v>
      </c>
      <c r="C82" s="6">
        <v>10231.59</v>
      </c>
      <c r="D82" s="6">
        <f t="shared" si="3"/>
        <v>22.66</v>
      </c>
      <c r="E82" s="6">
        <v>8679.94</v>
      </c>
      <c r="F82" s="6">
        <f t="shared" si="4"/>
        <v>30.89</v>
      </c>
      <c r="G82" s="6">
        <v>5</v>
      </c>
      <c r="H82" s="6">
        <v>25.89</v>
      </c>
      <c r="I82" s="6">
        <v>2.33</v>
      </c>
      <c r="J82" s="6">
        <v>13</v>
      </c>
      <c r="K82" s="6">
        <v>7.33</v>
      </c>
    </row>
    <row r="83" spans="1:11">
      <c r="A83" t="s">
        <v>745</v>
      </c>
      <c r="B83" t="s">
        <v>746</v>
      </c>
      <c r="C83" s="6">
        <v>9861.5</v>
      </c>
      <c r="D83" s="6">
        <f t="shared" si="3"/>
        <v>10.23</v>
      </c>
      <c r="E83" s="6">
        <v>8526.39</v>
      </c>
      <c r="F83" s="6">
        <f t="shared" si="4"/>
        <v>9.2200000000000006</v>
      </c>
      <c r="G83" s="6">
        <v>0</v>
      </c>
      <c r="H83" s="6">
        <v>9.2200000000000006</v>
      </c>
      <c r="I83" s="6">
        <v>1.56</v>
      </c>
      <c r="J83" s="6">
        <v>8.67</v>
      </c>
      <c r="K83" s="6">
        <v>0</v>
      </c>
    </row>
    <row r="84" spans="1:11">
      <c r="A84" t="s">
        <v>885</v>
      </c>
      <c r="B84" t="s">
        <v>886</v>
      </c>
      <c r="C84" s="6">
        <v>9232.6200000000008</v>
      </c>
      <c r="D84" s="6">
        <f t="shared" si="3"/>
        <v>20.56</v>
      </c>
      <c r="E84" s="6">
        <v>8055.5</v>
      </c>
      <c r="F84" s="6">
        <f t="shared" si="4"/>
        <v>15.44</v>
      </c>
      <c r="G84" s="6">
        <v>0</v>
      </c>
      <c r="H84" s="6">
        <v>15.44</v>
      </c>
      <c r="I84" s="6">
        <v>1.1100000000000001</v>
      </c>
      <c r="J84" s="6">
        <v>13.67</v>
      </c>
      <c r="K84" s="6">
        <v>5.78</v>
      </c>
    </row>
    <row r="85" spans="1:11">
      <c r="A85" t="s">
        <v>651</v>
      </c>
      <c r="B85" t="s">
        <v>652</v>
      </c>
      <c r="C85" s="6">
        <v>8802.31</v>
      </c>
      <c r="D85" s="6">
        <f t="shared" si="3"/>
        <v>74.33</v>
      </c>
      <c r="E85" s="6">
        <v>8055.44</v>
      </c>
      <c r="F85" s="6">
        <f t="shared" si="4"/>
        <v>106</v>
      </c>
      <c r="G85" s="6">
        <v>9.11</v>
      </c>
      <c r="H85" s="6">
        <v>96.89</v>
      </c>
      <c r="I85" s="6">
        <v>6.89</v>
      </c>
      <c r="J85" s="6">
        <v>57</v>
      </c>
      <c r="K85" s="6">
        <v>10.44</v>
      </c>
    </row>
    <row r="86" spans="1:11">
      <c r="A86" t="s">
        <v>647</v>
      </c>
      <c r="B86" t="s">
        <v>648</v>
      </c>
      <c r="C86" s="6">
        <v>9409.66</v>
      </c>
      <c r="D86" s="6">
        <f t="shared" si="3"/>
        <v>72.22</v>
      </c>
      <c r="E86" s="6">
        <v>8107.11</v>
      </c>
      <c r="F86" s="6">
        <f t="shared" si="4"/>
        <v>54.55</v>
      </c>
      <c r="G86" s="6">
        <v>10.33</v>
      </c>
      <c r="H86" s="6">
        <v>44.22</v>
      </c>
      <c r="I86" s="6">
        <v>5</v>
      </c>
      <c r="J86" s="6">
        <v>56.11</v>
      </c>
      <c r="K86" s="6">
        <v>11.11</v>
      </c>
    </row>
    <row r="87" spans="1:11">
      <c r="A87" t="s">
        <v>643</v>
      </c>
      <c r="B87" t="s">
        <v>644</v>
      </c>
      <c r="C87" s="6">
        <v>10165.75</v>
      </c>
      <c r="D87" s="6">
        <f t="shared" si="3"/>
        <v>1160.56</v>
      </c>
      <c r="E87" s="6">
        <v>8827.39</v>
      </c>
      <c r="F87" s="6">
        <f t="shared" si="4"/>
        <v>999.55000000000007</v>
      </c>
      <c r="G87" s="6">
        <v>137.33000000000001</v>
      </c>
      <c r="H87" s="6">
        <v>862.22</v>
      </c>
      <c r="I87" s="6">
        <v>172</v>
      </c>
      <c r="J87" s="6">
        <v>573.78</v>
      </c>
      <c r="K87" s="6">
        <v>414.78</v>
      </c>
    </row>
    <row r="88" spans="1:11">
      <c r="A88" t="s">
        <v>410</v>
      </c>
      <c r="B88" t="s">
        <v>411</v>
      </c>
      <c r="C88" s="6">
        <v>10159.31</v>
      </c>
      <c r="D88" s="6">
        <f t="shared" si="3"/>
        <v>168.11</v>
      </c>
      <c r="E88" s="6">
        <v>8769.91</v>
      </c>
      <c r="F88" s="6">
        <f t="shared" si="4"/>
        <v>143.12</v>
      </c>
      <c r="G88" s="6">
        <v>8.56</v>
      </c>
      <c r="H88" s="6">
        <v>134.56</v>
      </c>
      <c r="I88" s="6">
        <v>8.56</v>
      </c>
      <c r="J88" s="6">
        <v>107.11</v>
      </c>
      <c r="K88" s="6">
        <v>52.44</v>
      </c>
    </row>
    <row r="89" spans="1:11">
      <c r="A89" t="s">
        <v>777</v>
      </c>
      <c r="B89" t="s">
        <v>778</v>
      </c>
      <c r="C89" s="6">
        <v>10499.6</v>
      </c>
      <c r="D89" s="6">
        <f t="shared" si="3"/>
        <v>182.89</v>
      </c>
      <c r="E89" s="6">
        <v>9396.8799999999992</v>
      </c>
      <c r="F89" s="6">
        <f t="shared" si="4"/>
        <v>208.55</v>
      </c>
      <c r="G89" s="6">
        <v>13.22</v>
      </c>
      <c r="H89" s="6">
        <v>195.33</v>
      </c>
      <c r="I89" s="6">
        <v>11.44</v>
      </c>
      <c r="J89" s="6">
        <v>106.67</v>
      </c>
      <c r="K89" s="6">
        <v>64.78</v>
      </c>
    </row>
    <row r="90" spans="1:11">
      <c r="A90" t="s">
        <v>707</v>
      </c>
      <c r="B90" t="s">
        <v>708</v>
      </c>
      <c r="C90" s="6">
        <v>9504.01</v>
      </c>
      <c r="D90" s="6">
        <f t="shared" si="3"/>
        <v>5.33</v>
      </c>
      <c r="E90" s="6">
        <v>8776.25</v>
      </c>
      <c r="F90" s="6">
        <f t="shared" si="4"/>
        <v>2.89</v>
      </c>
      <c r="G90" s="6">
        <v>0</v>
      </c>
      <c r="H90" s="6">
        <v>2.89</v>
      </c>
      <c r="I90" s="6">
        <v>0</v>
      </c>
      <c r="J90" s="6">
        <v>5.33</v>
      </c>
      <c r="K90" s="6">
        <v>0</v>
      </c>
    </row>
    <row r="91" spans="1:11">
      <c r="A91" t="s">
        <v>353</v>
      </c>
      <c r="B91" t="s">
        <v>354</v>
      </c>
      <c r="C91" s="6">
        <v>9647.2000000000007</v>
      </c>
      <c r="D91" s="6">
        <f t="shared" si="3"/>
        <v>8.23</v>
      </c>
      <c r="E91" s="6">
        <v>8350.81</v>
      </c>
      <c r="F91" s="6">
        <f t="shared" si="4"/>
        <v>16.34</v>
      </c>
      <c r="G91" s="6">
        <v>1.67</v>
      </c>
      <c r="H91" s="6">
        <v>14.67</v>
      </c>
      <c r="I91" s="6">
        <v>0</v>
      </c>
      <c r="J91" s="6">
        <v>7.56</v>
      </c>
      <c r="K91" s="6">
        <v>0.67</v>
      </c>
    </row>
    <row r="92" spans="1:11">
      <c r="A92" t="s">
        <v>709</v>
      </c>
      <c r="B92" t="s">
        <v>710</v>
      </c>
      <c r="C92" s="6">
        <v>9204.4599999999991</v>
      </c>
      <c r="D92" s="6">
        <f t="shared" si="3"/>
        <v>65.89</v>
      </c>
      <c r="E92" s="6">
        <v>8044.08</v>
      </c>
      <c r="F92" s="6">
        <f t="shared" si="4"/>
        <v>58.11</v>
      </c>
      <c r="G92" s="6">
        <v>0.78</v>
      </c>
      <c r="H92" s="6">
        <v>57.33</v>
      </c>
      <c r="I92" s="6">
        <v>1</v>
      </c>
      <c r="J92" s="6">
        <v>61.89</v>
      </c>
      <c r="K92" s="6">
        <v>3</v>
      </c>
    </row>
    <row r="93" spans="1:11">
      <c r="A93" t="s">
        <v>382</v>
      </c>
      <c r="B93" t="s">
        <v>383</v>
      </c>
      <c r="C93" s="6">
        <v>10226.91</v>
      </c>
      <c r="D93" s="6">
        <f t="shared" si="3"/>
        <v>126.34</v>
      </c>
      <c r="E93" s="6">
        <v>8727.2800000000007</v>
      </c>
      <c r="F93" s="6">
        <f t="shared" si="4"/>
        <v>134.56</v>
      </c>
      <c r="G93" s="6">
        <v>10.67</v>
      </c>
      <c r="H93" s="6">
        <v>123.89</v>
      </c>
      <c r="I93" s="6">
        <v>13.78</v>
      </c>
      <c r="J93" s="6">
        <v>72.89</v>
      </c>
      <c r="K93" s="6">
        <v>39.67</v>
      </c>
    </row>
    <row r="94" spans="1:11">
      <c r="A94" t="s">
        <v>697</v>
      </c>
      <c r="B94" t="s">
        <v>698</v>
      </c>
      <c r="C94" s="6">
        <v>9761</v>
      </c>
      <c r="D94" s="6">
        <f t="shared" si="3"/>
        <v>161.22</v>
      </c>
      <c r="E94" s="6">
        <v>8360.19</v>
      </c>
      <c r="F94" s="6">
        <f t="shared" si="4"/>
        <v>200.10999999999999</v>
      </c>
      <c r="G94" s="6">
        <v>17.22</v>
      </c>
      <c r="H94" s="6">
        <v>182.89</v>
      </c>
      <c r="I94" s="6">
        <v>9.33</v>
      </c>
      <c r="J94" s="6">
        <v>104.78</v>
      </c>
      <c r="K94" s="6">
        <v>47.11</v>
      </c>
    </row>
    <row r="95" spans="1:11">
      <c r="A95" t="s">
        <v>747</v>
      </c>
      <c r="B95" t="s">
        <v>748</v>
      </c>
      <c r="C95" s="6">
        <v>10533.94</v>
      </c>
      <c r="D95" s="6">
        <f t="shared" si="3"/>
        <v>7764.1200000000008</v>
      </c>
      <c r="E95" s="6">
        <v>9213.02</v>
      </c>
      <c r="F95" s="6">
        <f t="shared" si="4"/>
        <v>7656</v>
      </c>
      <c r="G95" s="6">
        <v>469.67</v>
      </c>
      <c r="H95" s="6">
        <v>7186.33</v>
      </c>
      <c r="I95" s="6">
        <v>458.89</v>
      </c>
      <c r="J95" s="6">
        <v>5165.5600000000004</v>
      </c>
      <c r="K95" s="6">
        <v>2139.67</v>
      </c>
    </row>
    <row r="96" spans="1:11">
      <c r="A96" t="s">
        <v>464</v>
      </c>
      <c r="B96" t="s">
        <v>465</v>
      </c>
      <c r="C96" s="6">
        <v>10045.879999999999</v>
      </c>
      <c r="D96" s="6">
        <f t="shared" si="3"/>
        <v>2942.11</v>
      </c>
      <c r="E96" s="6">
        <v>8761</v>
      </c>
      <c r="F96" s="6">
        <f t="shared" si="4"/>
        <v>3190.2200000000003</v>
      </c>
      <c r="G96" s="6">
        <v>274.22000000000003</v>
      </c>
      <c r="H96" s="6">
        <v>2916</v>
      </c>
      <c r="I96" s="6">
        <v>298.22000000000003</v>
      </c>
      <c r="J96" s="6">
        <v>1328.89</v>
      </c>
      <c r="K96" s="6">
        <v>1315</v>
      </c>
    </row>
    <row r="97" spans="1:11">
      <c r="A97" t="s">
        <v>452</v>
      </c>
      <c r="B97" t="s">
        <v>453</v>
      </c>
      <c r="C97" s="6">
        <v>10244.11</v>
      </c>
      <c r="D97" s="6">
        <f t="shared" si="3"/>
        <v>735.22</v>
      </c>
      <c r="E97" s="6">
        <v>8749.81</v>
      </c>
      <c r="F97" s="6">
        <f t="shared" si="4"/>
        <v>660.22</v>
      </c>
      <c r="G97" s="6">
        <v>47.33</v>
      </c>
      <c r="H97" s="6">
        <v>612.89</v>
      </c>
      <c r="I97" s="6">
        <v>86.33</v>
      </c>
      <c r="J97" s="6">
        <v>369.56</v>
      </c>
      <c r="K97" s="6">
        <v>279.33</v>
      </c>
    </row>
    <row r="98" spans="1:11">
      <c r="A98" t="s">
        <v>586</v>
      </c>
      <c r="B98" t="s">
        <v>587</v>
      </c>
      <c r="C98" s="6">
        <v>10319.81</v>
      </c>
      <c r="D98" s="6">
        <f t="shared" si="3"/>
        <v>451.54999999999995</v>
      </c>
      <c r="E98" s="6">
        <v>8992.6299999999992</v>
      </c>
      <c r="F98" s="6">
        <f t="shared" si="4"/>
        <v>437.66999999999996</v>
      </c>
      <c r="G98" s="6">
        <v>41.89</v>
      </c>
      <c r="H98" s="6">
        <v>395.78</v>
      </c>
      <c r="I98" s="6">
        <v>23.89</v>
      </c>
      <c r="J98" s="6">
        <v>318.33</v>
      </c>
      <c r="K98" s="6">
        <v>109.33</v>
      </c>
    </row>
    <row r="99" spans="1:11">
      <c r="A99" t="s">
        <v>502</v>
      </c>
      <c r="B99" t="s">
        <v>503</v>
      </c>
      <c r="C99" s="6">
        <v>10493.76</v>
      </c>
      <c r="D99" s="6">
        <f t="shared" si="3"/>
        <v>2761.66</v>
      </c>
      <c r="E99" s="6">
        <v>9145.24</v>
      </c>
      <c r="F99" s="6">
        <f t="shared" si="4"/>
        <v>2788.67</v>
      </c>
      <c r="G99" s="6">
        <v>239.44</v>
      </c>
      <c r="H99" s="6">
        <v>2549.23</v>
      </c>
      <c r="I99" s="6">
        <v>228.33</v>
      </c>
      <c r="J99" s="6">
        <v>1780.89</v>
      </c>
      <c r="K99" s="6">
        <v>752.44</v>
      </c>
    </row>
    <row r="100" spans="1:11">
      <c r="A100" t="s">
        <v>843</v>
      </c>
      <c r="B100" t="s">
        <v>844</v>
      </c>
      <c r="C100" s="6">
        <v>9871.2199999999993</v>
      </c>
      <c r="D100" s="6">
        <f t="shared" si="3"/>
        <v>187.11</v>
      </c>
      <c r="E100" s="6">
        <v>8574.84</v>
      </c>
      <c r="F100" s="6">
        <f t="shared" si="4"/>
        <v>183.89000000000001</v>
      </c>
      <c r="G100" s="6">
        <v>9.56</v>
      </c>
      <c r="H100" s="6">
        <v>174.33</v>
      </c>
      <c r="I100" s="6">
        <v>13.78</v>
      </c>
      <c r="J100" s="6">
        <v>128.22</v>
      </c>
      <c r="K100" s="6">
        <v>45.11</v>
      </c>
    </row>
    <row r="101" spans="1:11">
      <c r="A101" t="s">
        <v>721</v>
      </c>
      <c r="B101" t="s">
        <v>722</v>
      </c>
      <c r="C101" s="6">
        <v>10429.67</v>
      </c>
      <c r="D101" s="6">
        <f t="shared" si="3"/>
        <v>2211.4499999999998</v>
      </c>
      <c r="E101" s="6">
        <v>9163.9500000000007</v>
      </c>
      <c r="F101" s="6">
        <f t="shared" si="4"/>
        <v>2286.2299999999996</v>
      </c>
      <c r="G101" s="6">
        <v>277.77999999999997</v>
      </c>
      <c r="H101" s="6">
        <v>2008.4499999999998</v>
      </c>
      <c r="I101" s="6">
        <v>245.56</v>
      </c>
      <c r="J101" s="6">
        <v>1104.67</v>
      </c>
      <c r="K101" s="6">
        <v>861.22</v>
      </c>
    </row>
    <row r="102" spans="1:11">
      <c r="A102" t="s">
        <v>765</v>
      </c>
      <c r="B102" t="s">
        <v>766</v>
      </c>
      <c r="C102" s="6">
        <v>9966.33</v>
      </c>
      <c r="D102" s="6">
        <f t="shared" si="3"/>
        <v>13.450000000000001</v>
      </c>
      <c r="E102" s="6">
        <v>9045.36</v>
      </c>
      <c r="F102" s="6">
        <f t="shared" si="4"/>
        <v>22.56</v>
      </c>
      <c r="G102" s="6">
        <v>1</v>
      </c>
      <c r="H102" s="6">
        <v>21.56</v>
      </c>
      <c r="I102" s="6">
        <v>0.67</v>
      </c>
      <c r="J102" s="6">
        <v>12.56</v>
      </c>
      <c r="K102" s="6">
        <v>0.22</v>
      </c>
    </row>
    <row r="103" spans="1:11">
      <c r="A103" t="s">
        <v>333</v>
      </c>
      <c r="B103" t="s">
        <v>334</v>
      </c>
      <c r="C103" s="6">
        <v>10387.200000000001</v>
      </c>
      <c r="D103" s="6">
        <f t="shared" si="3"/>
        <v>1908</v>
      </c>
      <c r="E103" s="6">
        <v>9072.5400000000009</v>
      </c>
      <c r="F103" s="6">
        <f t="shared" si="4"/>
        <v>1815.33</v>
      </c>
      <c r="G103" s="6">
        <v>189.22</v>
      </c>
      <c r="H103" s="6">
        <v>1626.11</v>
      </c>
      <c r="I103" s="6">
        <v>163.78</v>
      </c>
      <c r="J103" s="6">
        <v>1234.44</v>
      </c>
      <c r="K103" s="6">
        <v>509.78</v>
      </c>
    </row>
    <row r="104" spans="1:11">
      <c r="A104" t="s">
        <v>833</v>
      </c>
      <c r="B104" t="s">
        <v>834</v>
      </c>
      <c r="C104" s="6">
        <v>10471.73</v>
      </c>
      <c r="D104" s="6">
        <f t="shared" si="3"/>
        <v>381</v>
      </c>
      <c r="E104" s="6">
        <v>9125.44</v>
      </c>
      <c r="F104" s="6">
        <f t="shared" si="4"/>
        <v>355.22</v>
      </c>
      <c r="G104" s="6">
        <v>38</v>
      </c>
      <c r="H104" s="6">
        <v>317.22000000000003</v>
      </c>
      <c r="I104" s="6">
        <v>32.89</v>
      </c>
      <c r="J104" s="6">
        <v>206.33</v>
      </c>
      <c r="K104" s="6">
        <v>141.78</v>
      </c>
    </row>
    <row r="105" spans="1:11">
      <c r="A105" t="s">
        <v>733</v>
      </c>
      <c r="B105" t="s">
        <v>734</v>
      </c>
      <c r="C105" s="6">
        <v>10498.37</v>
      </c>
      <c r="D105" s="6">
        <f t="shared" si="3"/>
        <v>321.55999999999995</v>
      </c>
      <c r="E105" s="6">
        <v>9093.39</v>
      </c>
      <c r="F105" s="6">
        <f t="shared" si="4"/>
        <v>352.78</v>
      </c>
      <c r="G105" s="6">
        <v>34.89</v>
      </c>
      <c r="H105" s="6">
        <v>317.89</v>
      </c>
      <c r="I105" s="6">
        <v>22.89</v>
      </c>
      <c r="J105" s="6">
        <v>229.89</v>
      </c>
      <c r="K105" s="6">
        <v>68.78</v>
      </c>
    </row>
    <row r="106" spans="1:11">
      <c r="A106" t="s">
        <v>327</v>
      </c>
      <c r="B106" t="s">
        <v>328</v>
      </c>
      <c r="C106" s="6">
        <v>10186</v>
      </c>
      <c r="D106" s="6">
        <f t="shared" si="3"/>
        <v>2117</v>
      </c>
      <c r="E106" s="6">
        <v>9134.51</v>
      </c>
      <c r="F106" s="6">
        <f t="shared" si="4"/>
        <v>1949.0000000000002</v>
      </c>
      <c r="G106" s="6">
        <v>203.67</v>
      </c>
      <c r="H106" s="6">
        <v>1745.3300000000002</v>
      </c>
      <c r="I106" s="6">
        <v>243</v>
      </c>
      <c r="J106" s="6">
        <v>1121.56</v>
      </c>
      <c r="K106" s="6">
        <v>752.44</v>
      </c>
    </row>
    <row r="107" spans="1:11">
      <c r="A107" t="s">
        <v>813</v>
      </c>
      <c r="B107" t="s">
        <v>814</v>
      </c>
      <c r="C107" s="6">
        <v>10700.5</v>
      </c>
      <c r="D107" s="6">
        <f t="shared" si="3"/>
        <v>1185.55</v>
      </c>
      <c r="E107" s="6">
        <v>9091.76</v>
      </c>
      <c r="F107" s="6">
        <f t="shared" si="4"/>
        <v>1073.21</v>
      </c>
      <c r="G107" s="6">
        <v>103.44</v>
      </c>
      <c r="H107" s="6">
        <v>969.7700000000001</v>
      </c>
      <c r="I107" s="6">
        <v>113.44</v>
      </c>
      <c r="J107" s="6">
        <v>578.78</v>
      </c>
      <c r="K107" s="6">
        <v>493.33</v>
      </c>
    </row>
    <row r="108" spans="1:11">
      <c r="A108" t="s">
        <v>769</v>
      </c>
      <c r="B108" t="s">
        <v>770</v>
      </c>
      <c r="C108" s="6">
        <v>10478.84</v>
      </c>
      <c r="D108" s="6">
        <f t="shared" si="3"/>
        <v>745.56</v>
      </c>
      <c r="E108" s="6">
        <v>9137.93</v>
      </c>
      <c r="F108" s="6">
        <f t="shared" si="4"/>
        <v>788.7700000000001</v>
      </c>
      <c r="G108" s="6">
        <v>74.33</v>
      </c>
      <c r="H108" s="6">
        <v>714.44</v>
      </c>
      <c r="I108" s="6">
        <v>69.78</v>
      </c>
      <c r="J108" s="6">
        <v>449.22</v>
      </c>
      <c r="K108" s="6">
        <v>226.56</v>
      </c>
    </row>
    <row r="109" spans="1:11">
      <c r="A109" t="s">
        <v>514</v>
      </c>
      <c r="B109" t="s">
        <v>515</v>
      </c>
      <c r="C109" s="6">
        <v>10432.620000000001</v>
      </c>
      <c r="D109" s="6">
        <f t="shared" si="3"/>
        <v>1873.77</v>
      </c>
      <c r="E109" s="6">
        <v>9090.89</v>
      </c>
      <c r="F109" s="6">
        <f t="shared" si="4"/>
        <v>1676.67</v>
      </c>
      <c r="G109" s="6">
        <v>145.66999999999999</v>
      </c>
      <c r="H109" s="6">
        <v>1531</v>
      </c>
      <c r="I109" s="6">
        <v>149.44</v>
      </c>
      <c r="J109" s="6">
        <v>1150.1099999999999</v>
      </c>
      <c r="K109" s="6">
        <v>574.22</v>
      </c>
    </row>
    <row r="110" spans="1:11">
      <c r="A110" t="s">
        <v>761</v>
      </c>
      <c r="B110" t="s">
        <v>762</v>
      </c>
      <c r="C110" s="6">
        <v>10385.06</v>
      </c>
      <c r="D110" s="6">
        <f t="shared" si="3"/>
        <v>1171.4499999999998</v>
      </c>
      <c r="E110" s="6">
        <v>9460.89</v>
      </c>
      <c r="F110" s="6">
        <f t="shared" si="4"/>
        <v>1126.99</v>
      </c>
      <c r="G110" s="6">
        <v>100.44</v>
      </c>
      <c r="H110" s="6">
        <v>1026.55</v>
      </c>
      <c r="I110" s="6">
        <v>110.78</v>
      </c>
      <c r="J110" s="6">
        <v>749.89</v>
      </c>
      <c r="K110" s="6">
        <v>310.77999999999997</v>
      </c>
    </row>
    <row r="111" spans="1:11">
      <c r="A111" t="s">
        <v>548</v>
      </c>
      <c r="B111" t="s">
        <v>549</v>
      </c>
      <c r="C111" s="6">
        <v>10485.1</v>
      </c>
      <c r="D111" s="6">
        <f t="shared" si="3"/>
        <v>2901.2200000000003</v>
      </c>
      <c r="E111" s="6">
        <v>9182.75</v>
      </c>
      <c r="F111" s="6">
        <f t="shared" si="4"/>
        <v>3277.6600000000003</v>
      </c>
      <c r="G111" s="6">
        <v>300</v>
      </c>
      <c r="H111" s="6">
        <v>2977.6600000000003</v>
      </c>
      <c r="I111" s="6">
        <v>262.89</v>
      </c>
      <c r="J111" s="6">
        <v>1775.11</v>
      </c>
      <c r="K111" s="6">
        <v>863.22</v>
      </c>
    </row>
    <row r="112" spans="1:11">
      <c r="A112" t="s">
        <v>526</v>
      </c>
      <c r="B112" t="s">
        <v>527</v>
      </c>
      <c r="C112" s="6">
        <v>10502.46</v>
      </c>
      <c r="D112" s="6">
        <f t="shared" si="3"/>
        <v>3243.45</v>
      </c>
      <c r="E112" s="6">
        <v>9123.02</v>
      </c>
      <c r="F112" s="6">
        <f t="shared" si="4"/>
        <v>2915.24</v>
      </c>
      <c r="G112" s="6">
        <v>295.23</v>
      </c>
      <c r="H112" s="6">
        <v>2620.0099999999998</v>
      </c>
      <c r="I112" s="6">
        <v>312.89</v>
      </c>
      <c r="J112" s="6">
        <v>1649.78</v>
      </c>
      <c r="K112" s="6">
        <v>1280.78</v>
      </c>
    </row>
    <row r="113" spans="1:11">
      <c r="A113" t="s">
        <v>641</v>
      </c>
      <c r="B113" t="s">
        <v>642</v>
      </c>
      <c r="C113" s="6">
        <v>10475.870000000001</v>
      </c>
      <c r="D113" s="6">
        <f t="shared" si="3"/>
        <v>2973.7799999999997</v>
      </c>
      <c r="E113" s="6">
        <v>9134.18</v>
      </c>
      <c r="F113" s="6">
        <f t="shared" si="4"/>
        <v>2910.8900000000003</v>
      </c>
      <c r="G113" s="6">
        <v>293.77999999999997</v>
      </c>
      <c r="H113" s="6">
        <v>2617.11</v>
      </c>
      <c r="I113" s="6">
        <v>265.11</v>
      </c>
      <c r="J113" s="6">
        <v>1905.89</v>
      </c>
      <c r="K113" s="6">
        <v>802.78</v>
      </c>
    </row>
    <row r="114" spans="1:11">
      <c r="A114" t="s">
        <v>911</v>
      </c>
      <c r="B114" t="s">
        <v>906</v>
      </c>
      <c r="C114" s="6">
        <v>9852.0400000000009</v>
      </c>
      <c r="D114" s="6">
        <f t="shared" si="3"/>
        <v>55.78</v>
      </c>
      <c r="E114" s="6">
        <v>8579.94</v>
      </c>
      <c r="F114" s="6">
        <f t="shared" si="4"/>
        <v>59.67</v>
      </c>
      <c r="G114" s="6">
        <v>0</v>
      </c>
      <c r="H114" s="6">
        <v>59.67</v>
      </c>
      <c r="I114" s="6">
        <v>0</v>
      </c>
      <c r="J114" s="6">
        <v>54.22</v>
      </c>
      <c r="K114" s="6">
        <v>1.56</v>
      </c>
    </row>
    <row r="115" spans="1:11">
      <c r="A115" t="s">
        <v>899</v>
      </c>
      <c r="B115" t="s">
        <v>900</v>
      </c>
      <c r="C115" s="6">
        <v>10474.700000000001</v>
      </c>
      <c r="D115" s="6">
        <f t="shared" si="3"/>
        <v>136.22999999999999</v>
      </c>
      <c r="E115" s="6">
        <v>9290.1299999999992</v>
      </c>
      <c r="F115" s="6">
        <f t="shared" si="4"/>
        <v>0</v>
      </c>
      <c r="G115" s="6">
        <v>0</v>
      </c>
      <c r="H115" s="6">
        <v>0</v>
      </c>
      <c r="I115" s="6">
        <v>0</v>
      </c>
      <c r="J115" s="6">
        <v>121.56</v>
      </c>
      <c r="K115" s="6">
        <v>14.67</v>
      </c>
    </row>
    <row r="116" spans="1:11">
      <c r="A116" t="s">
        <v>934</v>
      </c>
      <c r="B116" t="s">
        <v>1009</v>
      </c>
      <c r="C116" s="6">
        <v>9642.16</v>
      </c>
      <c r="D116" s="6">
        <f t="shared" si="3"/>
        <v>89</v>
      </c>
      <c r="E116" s="6">
        <v>8309.9599999999991</v>
      </c>
      <c r="F116" s="6">
        <f t="shared" si="4"/>
        <v>58.78</v>
      </c>
      <c r="G116" s="6">
        <v>0</v>
      </c>
      <c r="H116" s="6">
        <v>58.78</v>
      </c>
      <c r="I116" s="6">
        <v>0</v>
      </c>
      <c r="J116" s="6">
        <v>85.22</v>
      </c>
      <c r="K116" s="6">
        <v>3.78</v>
      </c>
    </row>
    <row r="117" spans="1:11">
      <c r="A117" t="s">
        <v>909</v>
      </c>
      <c r="B117" t="s">
        <v>904</v>
      </c>
      <c r="C117" s="6">
        <v>9401.8799999999992</v>
      </c>
      <c r="D117" s="6">
        <f t="shared" si="3"/>
        <v>22.11</v>
      </c>
      <c r="E117" s="6">
        <v>8136</v>
      </c>
      <c r="F117" s="6">
        <f t="shared" si="4"/>
        <v>40.56</v>
      </c>
      <c r="G117" s="6">
        <v>0</v>
      </c>
      <c r="H117" s="6">
        <v>40.56</v>
      </c>
      <c r="I117" s="6">
        <v>0</v>
      </c>
      <c r="J117" s="6">
        <v>22</v>
      </c>
      <c r="K117" s="6">
        <v>0.11</v>
      </c>
    </row>
    <row r="118" spans="1:11">
      <c r="A118" t="s">
        <v>933</v>
      </c>
      <c r="B118" t="s">
        <v>1010</v>
      </c>
      <c r="C118" s="6">
        <v>9626.64</v>
      </c>
      <c r="D118" s="6">
        <f t="shared" si="3"/>
        <v>32.78</v>
      </c>
      <c r="E118" s="6">
        <v>8217.3700000000008</v>
      </c>
      <c r="F118" s="6">
        <f t="shared" si="4"/>
        <v>39.44</v>
      </c>
      <c r="G118" s="6">
        <v>0</v>
      </c>
      <c r="H118" s="6">
        <v>39.44</v>
      </c>
      <c r="I118" s="6">
        <v>0</v>
      </c>
      <c r="J118" s="6">
        <v>28.11</v>
      </c>
      <c r="K118" s="6">
        <v>4.67</v>
      </c>
    </row>
    <row r="119" spans="1:11">
      <c r="A119" t="s">
        <v>997</v>
      </c>
      <c r="B119" t="s">
        <v>1011</v>
      </c>
      <c r="C119" s="6">
        <v>11781.4</v>
      </c>
      <c r="D119" s="6">
        <f t="shared" si="3"/>
        <v>34.67</v>
      </c>
      <c r="E119" s="6">
        <v>10936.38</v>
      </c>
      <c r="F119" s="6">
        <f t="shared" si="4"/>
        <v>6</v>
      </c>
      <c r="G119" s="6">
        <v>0</v>
      </c>
      <c r="H119" s="6">
        <v>6</v>
      </c>
      <c r="I119" s="6">
        <v>0</v>
      </c>
      <c r="J119" s="6">
        <v>30.78</v>
      </c>
      <c r="K119" s="6">
        <v>3.89</v>
      </c>
    </row>
    <row r="120" spans="1:11">
      <c r="A120" t="s">
        <v>1012</v>
      </c>
      <c r="B120" t="s">
        <v>1013</v>
      </c>
      <c r="C120" s="6">
        <v>12578.21</v>
      </c>
      <c r="D120" s="6">
        <f t="shared" si="3"/>
        <v>16.440000000000001</v>
      </c>
      <c r="E120" s="6" t="s">
        <v>1184</v>
      </c>
      <c r="F120" s="6">
        <f t="shared" si="4"/>
        <v>0</v>
      </c>
      <c r="G120" s="6" t="s">
        <v>1184</v>
      </c>
      <c r="H120" s="6" t="s">
        <v>1184</v>
      </c>
      <c r="I120" s="6">
        <v>0</v>
      </c>
      <c r="J120" s="6">
        <v>16.440000000000001</v>
      </c>
      <c r="K120" s="6">
        <v>0</v>
      </c>
    </row>
    <row r="121" spans="1:11">
      <c r="A121" t="s">
        <v>1014</v>
      </c>
      <c r="B121" t="s">
        <v>1031</v>
      </c>
      <c r="C121" s="6">
        <v>9850.36</v>
      </c>
      <c r="D121" s="6">
        <f t="shared" si="3"/>
        <v>23.89</v>
      </c>
      <c r="E121" s="6" t="s">
        <v>1184</v>
      </c>
      <c r="F121" s="6">
        <f t="shared" si="4"/>
        <v>0</v>
      </c>
      <c r="G121" s="6" t="s">
        <v>1184</v>
      </c>
      <c r="H121" s="6" t="s">
        <v>1184</v>
      </c>
      <c r="I121" s="6">
        <v>0</v>
      </c>
      <c r="J121" s="6">
        <v>19.670000000000002</v>
      </c>
      <c r="K121" s="6">
        <v>4.22</v>
      </c>
    </row>
    <row r="122" spans="1:11">
      <c r="A122" t="s">
        <v>347</v>
      </c>
      <c r="B122" t="s">
        <v>348</v>
      </c>
      <c r="C122" s="6">
        <v>10526.17</v>
      </c>
      <c r="D122" s="6">
        <f t="shared" si="3"/>
        <v>757.55</v>
      </c>
      <c r="E122" s="6">
        <v>9160.24</v>
      </c>
      <c r="F122" s="6">
        <f t="shared" si="4"/>
        <v>777.1099999999999</v>
      </c>
      <c r="G122" s="6">
        <v>102.44</v>
      </c>
      <c r="H122" s="6">
        <v>674.67</v>
      </c>
      <c r="I122" s="6">
        <v>85</v>
      </c>
      <c r="J122" s="6">
        <v>409.11</v>
      </c>
      <c r="K122" s="6">
        <v>263.44</v>
      </c>
    </row>
    <row r="123" spans="1:11">
      <c r="A123" t="s">
        <v>329</v>
      </c>
      <c r="B123" t="s">
        <v>330</v>
      </c>
      <c r="C123" s="6">
        <v>10393.120000000001</v>
      </c>
      <c r="D123" s="6">
        <f t="shared" si="3"/>
        <v>465.67</v>
      </c>
      <c r="E123" s="6">
        <v>8994.06</v>
      </c>
      <c r="F123" s="6">
        <f t="shared" si="4"/>
        <v>463.89</v>
      </c>
      <c r="G123" s="6">
        <v>41.22</v>
      </c>
      <c r="H123" s="6">
        <v>422.67</v>
      </c>
      <c r="I123" s="6">
        <v>35.78</v>
      </c>
      <c r="J123" s="6">
        <v>308.22000000000003</v>
      </c>
      <c r="K123" s="6">
        <v>121.67</v>
      </c>
    </row>
    <row r="124" spans="1:11">
      <c r="A124" t="s">
        <v>631</v>
      </c>
      <c r="B124" t="s">
        <v>632</v>
      </c>
      <c r="C124" s="6">
        <v>10443.19</v>
      </c>
      <c r="D124" s="6">
        <f t="shared" si="3"/>
        <v>741.23</v>
      </c>
      <c r="E124" s="6">
        <v>9097.07</v>
      </c>
      <c r="F124" s="6">
        <f t="shared" si="4"/>
        <v>823.22</v>
      </c>
      <c r="G124" s="6">
        <v>89</v>
      </c>
      <c r="H124" s="6">
        <v>734.22</v>
      </c>
      <c r="I124" s="6">
        <v>76.67</v>
      </c>
      <c r="J124" s="6">
        <v>466.56</v>
      </c>
      <c r="K124" s="6">
        <v>198</v>
      </c>
    </row>
    <row r="125" spans="1:11">
      <c r="A125" t="s">
        <v>370</v>
      </c>
      <c r="B125" t="s">
        <v>371</v>
      </c>
      <c r="C125" s="6">
        <v>10488.85</v>
      </c>
      <c r="D125" s="6">
        <f t="shared" si="3"/>
        <v>1801.4499999999998</v>
      </c>
      <c r="E125" s="6">
        <v>9108.0400000000009</v>
      </c>
      <c r="F125" s="6">
        <f t="shared" si="4"/>
        <v>1770.6699999999998</v>
      </c>
      <c r="G125" s="6">
        <v>182.56</v>
      </c>
      <c r="H125" s="6">
        <v>1588.11</v>
      </c>
      <c r="I125" s="6">
        <v>177.89</v>
      </c>
      <c r="J125" s="6">
        <v>1080.67</v>
      </c>
      <c r="K125" s="6">
        <v>542.89</v>
      </c>
    </row>
    <row r="126" spans="1:11">
      <c r="A126" t="s">
        <v>775</v>
      </c>
      <c r="B126" t="s">
        <v>776</v>
      </c>
      <c r="C126" s="6">
        <v>10518.05</v>
      </c>
      <c r="D126" s="6">
        <f t="shared" si="3"/>
        <v>1493</v>
      </c>
      <c r="E126" s="6">
        <v>9145.06</v>
      </c>
      <c r="F126" s="6">
        <f t="shared" si="4"/>
        <v>1481.4499999999998</v>
      </c>
      <c r="G126" s="6">
        <v>166.89</v>
      </c>
      <c r="H126" s="6">
        <v>1314.56</v>
      </c>
      <c r="I126" s="6">
        <v>136.33000000000001</v>
      </c>
      <c r="J126" s="6">
        <v>780.89</v>
      </c>
      <c r="K126" s="6">
        <v>575.78</v>
      </c>
    </row>
    <row r="127" spans="1:11">
      <c r="A127" t="s">
        <v>1015</v>
      </c>
      <c r="B127" t="s">
        <v>1016</v>
      </c>
      <c r="C127" s="6">
        <v>11123.7</v>
      </c>
      <c r="D127" s="6">
        <f t="shared" si="3"/>
        <v>55.67</v>
      </c>
      <c r="E127" s="6" t="s">
        <v>1184</v>
      </c>
      <c r="F127" s="6">
        <f t="shared" si="4"/>
        <v>0</v>
      </c>
      <c r="G127" s="6" t="s">
        <v>1184</v>
      </c>
      <c r="H127" s="6" t="s">
        <v>1184</v>
      </c>
      <c r="I127" s="6">
        <v>0</v>
      </c>
      <c r="J127" s="6">
        <v>55</v>
      </c>
      <c r="K127" s="6">
        <v>0.67</v>
      </c>
    </row>
    <row r="128" spans="1:11">
      <c r="A128" t="s">
        <v>901</v>
      </c>
      <c r="B128" t="s">
        <v>902</v>
      </c>
      <c r="C128" s="6">
        <v>9688.19</v>
      </c>
      <c r="D128" s="6">
        <f t="shared" si="3"/>
        <v>19.440000000000001</v>
      </c>
      <c r="E128" s="6">
        <v>8444.9500000000007</v>
      </c>
      <c r="F128" s="6">
        <f t="shared" si="4"/>
        <v>21</v>
      </c>
      <c r="G128" s="6">
        <v>0</v>
      </c>
      <c r="H128" s="6">
        <v>21</v>
      </c>
      <c r="I128" s="6">
        <v>0</v>
      </c>
      <c r="J128" s="6">
        <v>19</v>
      </c>
      <c r="K128" s="6">
        <v>0.44</v>
      </c>
    </row>
    <row r="129" spans="1:11">
      <c r="A129" t="s">
        <v>420</v>
      </c>
      <c r="B129" t="s">
        <v>421</v>
      </c>
      <c r="C129" s="6">
        <v>9012.56</v>
      </c>
      <c r="D129" s="6">
        <f t="shared" si="3"/>
        <v>9.56</v>
      </c>
      <c r="E129" s="6">
        <v>9237.75</v>
      </c>
      <c r="F129" s="6">
        <f t="shared" si="4"/>
        <v>7</v>
      </c>
      <c r="G129" s="6">
        <v>0</v>
      </c>
      <c r="H129" s="6">
        <v>7</v>
      </c>
      <c r="I129" s="6">
        <v>1</v>
      </c>
      <c r="J129" s="6">
        <v>8.56</v>
      </c>
      <c r="K129" s="6">
        <v>0</v>
      </c>
    </row>
    <row r="130" spans="1:11">
      <c r="A130" t="s">
        <v>440</v>
      </c>
      <c r="B130" t="s">
        <v>441</v>
      </c>
      <c r="C130" s="6">
        <v>9045.82</v>
      </c>
      <c r="D130" s="6">
        <f t="shared" si="3"/>
        <v>15.56</v>
      </c>
      <c r="E130" s="6">
        <v>7937.65</v>
      </c>
      <c r="F130" s="6">
        <f t="shared" si="4"/>
        <v>14.89</v>
      </c>
      <c r="G130" s="6">
        <v>0</v>
      </c>
      <c r="H130" s="6">
        <v>14.89</v>
      </c>
      <c r="I130" s="6">
        <v>3.67</v>
      </c>
      <c r="J130" s="6">
        <v>8.33</v>
      </c>
      <c r="K130" s="6">
        <v>3.56</v>
      </c>
    </row>
    <row r="131" spans="1:11">
      <c r="A131" t="s">
        <v>819</v>
      </c>
      <c r="B131" t="s">
        <v>820</v>
      </c>
      <c r="C131" s="6">
        <v>9601.6299999999992</v>
      </c>
      <c r="D131" s="6">
        <f t="shared" si="3"/>
        <v>38.11</v>
      </c>
      <c r="E131" s="6">
        <v>8154.53</v>
      </c>
      <c r="F131" s="6">
        <f t="shared" si="4"/>
        <v>28.549999999999997</v>
      </c>
      <c r="G131" s="6">
        <v>6.22</v>
      </c>
      <c r="H131" s="6">
        <v>22.33</v>
      </c>
      <c r="I131" s="6">
        <v>4.1100000000000003</v>
      </c>
      <c r="J131" s="6">
        <v>29.22</v>
      </c>
      <c r="K131" s="6">
        <v>4.78</v>
      </c>
    </row>
    <row r="132" spans="1:11">
      <c r="A132" t="s">
        <v>444</v>
      </c>
      <c r="B132" t="s">
        <v>445</v>
      </c>
      <c r="C132" s="6">
        <v>9258.0300000000007</v>
      </c>
      <c r="D132" s="6">
        <f t="shared" ref="D132:D195" si="5">SUM(I132:K132)</f>
        <v>444.44999999999993</v>
      </c>
      <c r="E132" s="6">
        <v>8093.95</v>
      </c>
      <c r="F132" s="6">
        <f t="shared" ref="F132:F195" si="6">SUM(G132:H132)</f>
        <v>459.12</v>
      </c>
      <c r="G132" s="6">
        <v>53.56</v>
      </c>
      <c r="H132" s="6">
        <v>405.56</v>
      </c>
      <c r="I132" s="6">
        <v>38.89</v>
      </c>
      <c r="J132" s="6">
        <v>265.89</v>
      </c>
      <c r="K132" s="6">
        <v>139.66999999999999</v>
      </c>
    </row>
    <row r="133" spans="1:11">
      <c r="A133" t="s">
        <v>532</v>
      </c>
      <c r="B133" t="s">
        <v>533</v>
      </c>
      <c r="C133" s="6">
        <v>8957.57</v>
      </c>
      <c r="D133" s="6">
        <f t="shared" si="5"/>
        <v>80.67</v>
      </c>
      <c r="E133" s="6">
        <v>8012.98</v>
      </c>
      <c r="F133" s="6">
        <f t="shared" si="6"/>
        <v>105.56</v>
      </c>
      <c r="G133" s="6">
        <v>10.56</v>
      </c>
      <c r="H133" s="6">
        <v>95</v>
      </c>
      <c r="I133" s="6">
        <v>0</v>
      </c>
      <c r="J133" s="6">
        <v>58.11</v>
      </c>
      <c r="K133" s="6">
        <v>22.56</v>
      </c>
    </row>
    <row r="134" spans="1:11">
      <c r="A134" t="s">
        <v>386</v>
      </c>
      <c r="B134" t="s">
        <v>387</v>
      </c>
      <c r="C134" s="6">
        <v>9246.34</v>
      </c>
      <c r="D134" s="6">
        <f t="shared" si="5"/>
        <v>140</v>
      </c>
      <c r="E134" s="6">
        <v>8019.54</v>
      </c>
      <c r="F134" s="6">
        <f t="shared" si="6"/>
        <v>124.78</v>
      </c>
      <c r="G134" s="6">
        <v>11.89</v>
      </c>
      <c r="H134" s="6">
        <v>112.89</v>
      </c>
      <c r="I134" s="6">
        <v>14.78</v>
      </c>
      <c r="J134" s="6">
        <v>88.33</v>
      </c>
      <c r="K134" s="6">
        <v>36.89</v>
      </c>
    </row>
    <row r="135" spans="1:11">
      <c r="A135" t="s">
        <v>887</v>
      </c>
      <c r="B135" t="s">
        <v>888</v>
      </c>
      <c r="C135" s="126">
        <v>9229.6</v>
      </c>
      <c r="D135" s="6">
        <f t="shared" si="5"/>
        <v>8</v>
      </c>
      <c r="E135" s="126">
        <v>8079.3</v>
      </c>
      <c r="F135" s="6">
        <f t="shared" si="6"/>
        <v>11.33</v>
      </c>
      <c r="G135" s="6">
        <v>0.44</v>
      </c>
      <c r="H135" s="6">
        <v>10.89</v>
      </c>
      <c r="I135" s="6">
        <v>1.33</v>
      </c>
      <c r="J135" s="6">
        <v>6.56</v>
      </c>
      <c r="K135" s="6">
        <v>0.11</v>
      </c>
    </row>
    <row r="136" spans="1:11">
      <c r="A136" t="s">
        <v>341</v>
      </c>
      <c r="B136" t="s">
        <v>342</v>
      </c>
      <c r="C136" s="6">
        <v>9353.81</v>
      </c>
      <c r="D136" s="6">
        <f t="shared" si="5"/>
        <v>18.45</v>
      </c>
      <c r="E136" s="6">
        <v>8057.3</v>
      </c>
      <c r="F136" s="6">
        <f t="shared" si="6"/>
        <v>13.66</v>
      </c>
      <c r="G136" s="6">
        <v>0.33</v>
      </c>
      <c r="H136" s="6">
        <v>13.33</v>
      </c>
      <c r="I136" s="6">
        <v>1.56</v>
      </c>
      <c r="J136" s="6">
        <v>11.67</v>
      </c>
      <c r="K136" s="6">
        <v>5.22</v>
      </c>
    </row>
    <row r="137" spans="1:11">
      <c r="A137" t="s">
        <v>368</v>
      </c>
      <c r="B137" t="s">
        <v>369</v>
      </c>
      <c r="C137" s="126">
        <v>9229.6</v>
      </c>
      <c r="D137" s="6">
        <f t="shared" si="5"/>
        <v>8.11</v>
      </c>
      <c r="E137" s="126">
        <v>8079.3</v>
      </c>
      <c r="F137" s="6">
        <f t="shared" si="6"/>
        <v>7</v>
      </c>
      <c r="G137" s="6">
        <v>0</v>
      </c>
      <c r="H137" s="6">
        <v>7</v>
      </c>
      <c r="I137" s="6">
        <v>0</v>
      </c>
      <c r="J137" s="6">
        <v>8</v>
      </c>
      <c r="K137" s="6">
        <v>0.11</v>
      </c>
    </row>
    <row r="138" spans="1:11">
      <c r="A138" t="s">
        <v>831</v>
      </c>
      <c r="B138" t="s">
        <v>832</v>
      </c>
      <c r="C138" s="126">
        <v>9229.6</v>
      </c>
      <c r="D138" s="6">
        <f t="shared" si="5"/>
        <v>22.45</v>
      </c>
      <c r="E138" s="126">
        <v>8079.3</v>
      </c>
      <c r="F138" s="6">
        <f t="shared" si="6"/>
        <v>23.33</v>
      </c>
      <c r="G138" s="6">
        <v>0</v>
      </c>
      <c r="H138" s="6">
        <v>23.33</v>
      </c>
      <c r="I138" s="6">
        <v>2</v>
      </c>
      <c r="J138" s="6">
        <v>9.67</v>
      </c>
      <c r="K138" s="6">
        <v>10.78</v>
      </c>
    </row>
    <row r="139" spans="1:11">
      <c r="A139" t="s">
        <v>478</v>
      </c>
      <c r="B139" t="s">
        <v>479</v>
      </c>
      <c r="C139" s="126">
        <v>9229.6</v>
      </c>
      <c r="D139" s="6">
        <f t="shared" si="5"/>
        <v>11.56</v>
      </c>
      <c r="E139" s="126">
        <v>8079.3</v>
      </c>
      <c r="F139" s="6">
        <f t="shared" si="6"/>
        <v>10.55</v>
      </c>
      <c r="G139" s="6">
        <v>1.33</v>
      </c>
      <c r="H139" s="6">
        <v>9.2200000000000006</v>
      </c>
      <c r="I139" s="6">
        <v>0</v>
      </c>
      <c r="J139" s="6">
        <v>7.78</v>
      </c>
      <c r="K139" s="6">
        <v>3.78</v>
      </c>
    </row>
    <row r="140" spans="1:11">
      <c r="A140" t="s">
        <v>534</v>
      </c>
      <c r="B140" t="s">
        <v>535</v>
      </c>
      <c r="C140" s="126">
        <v>9229.6</v>
      </c>
      <c r="D140" s="6">
        <f t="shared" si="5"/>
        <v>13.99</v>
      </c>
      <c r="E140" s="126">
        <v>8079.3</v>
      </c>
      <c r="F140" s="6">
        <f t="shared" si="6"/>
        <v>9.44</v>
      </c>
      <c r="G140" s="6">
        <v>0.11</v>
      </c>
      <c r="H140" s="6">
        <v>9.33</v>
      </c>
      <c r="I140" s="6">
        <v>1.33</v>
      </c>
      <c r="J140" s="6">
        <v>12.44</v>
      </c>
      <c r="K140" s="6">
        <v>0.22</v>
      </c>
    </row>
    <row r="141" spans="1:11">
      <c r="A141" t="s">
        <v>737</v>
      </c>
      <c r="B141" t="s">
        <v>738</v>
      </c>
      <c r="C141" s="126">
        <v>9229.6</v>
      </c>
      <c r="D141" s="6">
        <f t="shared" si="5"/>
        <v>2.67</v>
      </c>
      <c r="E141" s="126">
        <v>8079.3</v>
      </c>
      <c r="F141" s="6">
        <f t="shared" si="6"/>
        <v>3.1100000000000003</v>
      </c>
      <c r="G141" s="6">
        <v>0.78</v>
      </c>
      <c r="H141" s="6">
        <v>2.33</v>
      </c>
      <c r="I141" s="6">
        <v>0</v>
      </c>
      <c r="J141" s="6">
        <v>2.67</v>
      </c>
      <c r="K141" s="6">
        <v>0</v>
      </c>
    </row>
    <row r="142" spans="1:11">
      <c r="A142" t="s">
        <v>480</v>
      </c>
      <c r="B142" t="s">
        <v>481</v>
      </c>
      <c r="C142" s="126">
        <v>9229.6</v>
      </c>
      <c r="D142" s="6">
        <f t="shared" si="5"/>
        <v>436.23</v>
      </c>
      <c r="E142" s="126">
        <v>8079.3</v>
      </c>
      <c r="F142" s="6">
        <f t="shared" si="6"/>
        <v>126.67</v>
      </c>
      <c r="G142" s="6">
        <v>11.11</v>
      </c>
      <c r="H142" s="6">
        <v>115.56</v>
      </c>
      <c r="I142" s="6">
        <v>6.67</v>
      </c>
      <c r="J142" s="6">
        <v>344.89</v>
      </c>
      <c r="K142" s="6">
        <v>84.67</v>
      </c>
    </row>
    <row r="143" spans="1:11">
      <c r="A143" t="s">
        <v>875</v>
      </c>
      <c r="B143" t="s">
        <v>876</v>
      </c>
      <c r="C143" s="126">
        <v>9229.6</v>
      </c>
      <c r="D143" s="6">
        <f t="shared" si="5"/>
        <v>154.55000000000001</v>
      </c>
      <c r="E143" s="126">
        <v>8079.3</v>
      </c>
      <c r="F143" s="6">
        <f t="shared" si="6"/>
        <v>218.32999999999998</v>
      </c>
      <c r="G143" s="6">
        <v>28.89</v>
      </c>
      <c r="H143" s="6">
        <v>189.44</v>
      </c>
      <c r="I143" s="6">
        <v>9.33</v>
      </c>
      <c r="J143" s="6">
        <v>111.11</v>
      </c>
      <c r="K143" s="6">
        <v>34.11</v>
      </c>
    </row>
    <row r="144" spans="1:11">
      <c r="A144" t="s">
        <v>564</v>
      </c>
      <c r="B144" t="s">
        <v>565</v>
      </c>
      <c r="C144" s="126">
        <v>9229.6</v>
      </c>
      <c r="D144" s="6">
        <f t="shared" si="5"/>
        <v>39</v>
      </c>
      <c r="E144" s="126">
        <v>8079.3</v>
      </c>
      <c r="F144" s="6">
        <f t="shared" si="6"/>
        <v>36.44</v>
      </c>
      <c r="G144" s="6">
        <v>4.33</v>
      </c>
      <c r="H144" s="6">
        <v>32.11</v>
      </c>
      <c r="I144" s="6">
        <v>0.89</v>
      </c>
      <c r="J144" s="6">
        <v>33.44</v>
      </c>
      <c r="K144" s="6">
        <v>4.67</v>
      </c>
    </row>
    <row r="145" spans="1:11">
      <c r="A145" t="s">
        <v>616</v>
      </c>
      <c r="B145" t="s">
        <v>617</v>
      </c>
      <c r="C145" s="6">
        <v>9210.23</v>
      </c>
      <c r="D145" s="6">
        <f t="shared" si="5"/>
        <v>93.33</v>
      </c>
      <c r="E145" s="6">
        <v>7998.69</v>
      </c>
      <c r="F145" s="6">
        <f t="shared" si="6"/>
        <v>116</v>
      </c>
      <c r="G145" s="6">
        <v>9</v>
      </c>
      <c r="H145" s="6">
        <v>107</v>
      </c>
      <c r="I145" s="6">
        <v>7.33</v>
      </c>
      <c r="J145" s="6">
        <v>57.33</v>
      </c>
      <c r="K145" s="6">
        <v>28.67</v>
      </c>
    </row>
    <row r="146" spans="1:11">
      <c r="A146" t="s">
        <v>456</v>
      </c>
      <c r="B146" t="s">
        <v>457</v>
      </c>
      <c r="C146" s="6">
        <v>9913.7199999999993</v>
      </c>
      <c r="D146" s="6">
        <f t="shared" si="5"/>
        <v>4.7799999999999994</v>
      </c>
      <c r="E146" s="6">
        <v>8639</v>
      </c>
      <c r="F146" s="6">
        <f t="shared" si="6"/>
        <v>10.220000000000001</v>
      </c>
      <c r="G146" s="6">
        <v>0</v>
      </c>
      <c r="H146" s="6">
        <v>10.220000000000001</v>
      </c>
      <c r="I146" s="6">
        <v>0</v>
      </c>
      <c r="J146" s="6">
        <v>3.78</v>
      </c>
      <c r="K146" s="6">
        <v>1</v>
      </c>
    </row>
    <row r="147" spans="1:11">
      <c r="A147" t="s">
        <v>602</v>
      </c>
      <c r="B147" t="s">
        <v>603</v>
      </c>
      <c r="C147" s="6">
        <v>9148.4699999999993</v>
      </c>
      <c r="D147" s="6">
        <f t="shared" si="5"/>
        <v>105</v>
      </c>
      <c r="E147" s="6">
        <v>8041.95</v>
      </c>
      <c r="F147" s="6">
        <f t="shared" si="6"/>
        <v>99</v>
      </c>
      <c r="G147" s="6">
        <v>10.56</v>
      </c>
      <c r="H147" s="6">
        <v>88.44</v>
      </c>
      <c r="I147" s="6">
        <v>2.2200000000000002</v>
      </c>
      <c r="J147" s="6">
        <v>50.67</v>
      </c>
      <c r="K147" s="6">
        <v>52.11</v>
      </c>
    </row>
    <row r="148" spans="1:11">
      <c r="A148" t="s">
        <v>598</v>
      </c>
      <c r="B148" t="s">
        <v>599</v>
      </c>
      <c r="C148" s="6">
        <v>9454.86</v>
      </c>
      <c r="D148" s="6">
        <f t="shared" si="5"/>
        <v>47.769999999999996</v>
      </c>
      <c r="E148" s="6">
        <v>7991.66</v>
      </c>
      <c r="F148" s="6">
        <f t="shared" si="6"/>
        <v>52.33</v>
      </c>
      <c r="G148" s="6">
        <v>7.44</v>
      </c>
      <c r="H148" s="6">
        <v>44.89</v>
      </c>
      <c r="I148" s="6">
        <v>4.4400000000000004</v>
      </c>
      <c r="J148" s="6">
        <v>21.33</v>
      </c>
      <c r="K148" s="6">
        <v>22</v>
      </c>
    </row>
    <row r="149" spans="1:11">
      <c r="A149" t="s">
        <v>317</v>
      </c>
      <c r="B149" t="s">
        <v>318</v>
      </c>
      <c r="C149" s="6">
        <v>9410.7000000000007</v>
      </c>
      <c r="D149" s="6">
        <f t="shared" si="5"/>
        <v>78.66</v>
      </c>
      <c r="E149" s="6">
        <v>7906.36</v>
      </c>
      <c r="F149" s="6">
        <f t="shared" si="6"/>
        <v>66.33</v>
      </c>
      <c r="G149" s="6">
        <v>3.56</v>
      </c>
      <c r="H149" s="6">
        <v>62.769999999999996</v>
      </c>
      <c r="I149" s="6">
        <v>4.1100000000000003</v>
      </c>
      <c r="J149" s="6">
        <v>52.22</v>
      </c>
      <c r="K149" s="6">
        <v>22.33</v>
      </c>
    </row>
    <row r="150" spans="1:11">
      <c r="A150" t="s">
        <v>883</v>
      </c>
      <c r="B150" t="s">
        <v>884</v>
      </c>
      <c r="C150" s="6">
        <v>9604.3700000000008</v>
      </c>
      <c r="D150" s="6">
        <f t="shared" si="5"/>
        <v>135.67000000000002</v>
      </c>
      <c r="E150" s="6">
        <v>8074.5</v>
      </c>
      <c r="F150" s="6">
        <f t="shared" si="6"/>
        <v>158.88999999999999</v>
      </c>
      <c r="G150" s="6">
        <v>9.89</v>
      </c>
      <c r="H150" s="6">
        <v>149</v>
      </c>
      <c r="I150" s="6">
        <v>12.78</v>
      </c>
      <c r="J150" s="6">
        <v>75.78</v>
      </c>
      <c r="K150" s="6">
        <v>47.11</v>
      </c>
    </row>
    <row r="151" spans="1:11">
      <c r="A151" t="s">
        <v>345</v>
      </c>
      <c r="B151" t="s">
        <v>346</v>
      </c>
      <c r="C151" s="6">
        <v>9580.17</v>
      </c>
      <c r="D151" s="6">
        <f t="shared" si="5"/>
        <v>23.450000000000003</v>
      </c>
      <c r="E151" s="6">
        <v>8402.32</v>
      </c>
      <c r="F151" s="6">
        <f t="shared" si="6"/>
        <v>26.560000000000002</v>
      </c>
      <c r="G151" s="6">
        <v>2.78</v>
      </c>
      <c r="H151" s="6">
        <v>23.78</v>
      </c>
      <c r="I151" s="6">
        <v>3</v>
      </c>
      <c r="J151" s="6">
        <v>14.78</v>
      </c>
      <c r="K151" s="6">
        <v>5.67</v>
      </c>
    </row>
    <row r="152" spans="1:11">
      <c r="A152" t="s">
        <v>821</v>
      </c>
      <c r="B152" t="s">
        <v>822</v>
      </c>
      <c r="C152" s="6">
        <v>9453.11</v>
      </c>
      <c r="D152" s="6">
        <f t="shared" si="5"/>
        <v>136</v>
      </c>
      <c r="E152" s="6">
        <v>8025.41</v>
      </c>
      <c r="F152" s="6">
        <f t="shared" si="6"/>
        <v>128.11000000000001</v>
      </c>
      <c r="G152" s="6">
        <v>10.33</v>
      </c>
      <c r="H152" s="6">
        <v>117.78</v>
      </c>
      <c r="I152" s="6">
        <v>8.11</v>
      </c>
      <c r="J152" s="6">
        <v>74.33</v>
      </c>
      <c r="K152" s="6">
        <v>53.56</v>
      </c>
    </row>
    <row r="153" spans="1:11">
      <c r="A153" t="s">
        <v>659</v>
      </c>
      <c r="B153" t="s">
        <v>660</v>
      </c>
      <c r="C153" s="6">
        <v>9044.98</v>
      </c>
      <c r="D153" s="6">
        <f t="shared" si="5"/>
        <v>153.12</v>
      </c>
      <c r="E153" s="6">
        <v>8062.02</v>
      </c>
      <c r="F153" s="6">
        <f t="shared" si="6"/>
        <v>117</v>
      </c>
      <c r="G153" s="6">
        <v>4</v>
      </c>
      <c r="H153" s="6">
        <v>113</v>
      </c>
      <c r="I153" s="6">
        <v>13.78</v>
      </c>
      <c r="J153" s="6">
        <v>79.56</v>
      </c>
      <c r="K153" s="6">
        <v>59.78</v>
      </c>
    </row>
    <row r="154" spans="1:11">
      <c r="A154" t="s">
        <v>687</v>
      </c>
      <c r="B154" t="s">
        <v>688</v>
      </c>
      <c r="C154" s="6">
        <v>9646.36</v>
      </c>
      <c r="D154" s="6">
        <f t="shared" si="5"/>
        <v>58.989999999999995</v>
      </c>
      <c r="E154" s="6">
        <v>8069.31</v>
      </c>
      <c r="F154" s="6">
        <f t="shared" si="6"/>
        <v>53.22</v>
      </c>
      <c r="G154" s="6">
        <v>4.78</v>
      </c>
      <c r="H154" s="6">
        <v>48.44</v>
      </c>
      <c r="I154" s="6">
        <v>5.22</v>
      </c>
      <c r="J154" s="6">
        <v>37.44</v>
      </c>
      <c r="K154" s="6">
        <v>16.329999999999998</v>
      </c>
    </row>
    <row r="155" spans="1:11">
      <c r="A155" t="s">
        <v>376</v>
      </c>
      <c r="B155" t="s">
        <v>377</v>
      </c>
      <c r="C155" s="6">
        <v>9408.44</v>
      </c>
      <c r="D155" s="6">
        <f t="shared" si="5"/>
        <v>405</v>
      </c>
      <c r="E155" s="6">
        <v>8078.09</v>
      </c>
      <c r="F155" s="6">
        <f t="shared" si="6"/>
        <v>398.67</v>
      </c>
      <c r="G155" s="6">
        <v>32.67</v>
      </c>
      <c r="H155" s="6">
        <v>366</v>
      </c>
      <c r="I155" s="6">
        <v>27.44</v>
      </c>
      <c r="J155" s="6">
        <v>216.67</v>
      </c>
      <c r="K155" s="6">
        <v>160.88999999999999</v>
      </c>
    </row>
    <row r="156" spans="1:11">
      <c r="A156" t="s">
        <v>871</v>
      </c>
      <c r="B156" t="s">
        <v>872</v>
      </c>
      <c r="C156" s="6">
        <v>9037.69</v>
      </c>
      <c r="D156" s="6">
        <f t="shared" si="5"/>
        <v>69.89</v>
      </c>
      <c r="E156" s="6">
        <v>7958.89</v>
      </c>
      <c r="F156" s="6">
        <f t="shared" si="6"/>
        <v>75</v>
      </c>
      <c r="G156" s="6">
        <v>4.22</v>
      </c>
      <c r="H156" s="6">
        <v>70.78</v>
      </c>
      <c r="I156" s="6">
        <v>1.56</v>
      </c>
      <c r="J156" s="6">
        <v>55.11</v>
      </c>
      <c r="K156" s="6">
        <v>13.22</v>
      </c>
    </row>
    <row r="157" spans="1:11">
      <c r="A157" t="s">
        <v>374</v>
      </c>
      <c r="B157" t="s">
        <v>375</v>
      </c>
      <c r="C157" s="6">
        <v>9304.49</v>
      </c>
      <c r="D157" s="6">
        <f t="shared" si="5"/>
        <v>546.66999999999996</v>
      </c>
      <c r="E157" s="6">
        <v>8102.54</v>
      </c>
      <c r="F157" s="6">
        <f t="shared" si="6"/>
        <v>585.33000000000004</v>
      </c>
      <c r="G157" s="6">
        <v>39.33</v>
      </c>
      <c r="H157" s="6">
        <v>546</v>
      </c>
      <c r="I157" s="6">
        <v>42.89</v>
      </c>
      <c r="J157" s="6">
        <v>282.56</v>
      </c>
      <c r="K157" s="6">
        <v>221.22</v>
      </c>
    </row>
    <row r="158" spans="1:11">
      <c r="A158" t="s">
        <v>783</v>
      </c>
      <c r="B158" t="s">
        <v>784</v>
      </c>
      <c r="C158" s="6">
        <v>9784.2199999999993</v>
      </c>
      <c r="D158" s="6">
        <f t="shared" si="5"/>
        <v>17.34</v>
      </c>
      <c r="E158" s="6">
        <v>8354.91</v>
      </c>
      <c r="F158" s="6">
        <f t="shared" si="6"/>
        <v>12.110000000000001</v>
      </c>
      <c r="G158" s="6">
        <v>0.89</v>
      </c>
      <c r="H158" s="6">
        <v>11.22</v>
      </c>
      <c r="I158" s="6">
        <v>0.67</v>
      </c>
      <c r="J158" s="6">
        <v>14</v>
      </c>
      <c r="K158" s="6">
        <v>2.67</v>
      </c>
    </row>
    <row r="159" spans="1:11">
      <c r="A159" t="s">
        <v>719</v>
      </c>
      <c r="B159" t="s">
        <v>720</v>
      </c>
      <c r="C159" s="6">
        <v>9275.69</v>
      </c>
      <c r="D159" s="6">
        <f t="shared" si="5"/>
        <v>85.78</v>
      </c>
      <c r="E159" s="6">
        <v>7982.51</v>
      </c>
      <c r="F159" s="6">
        <f t="shared" si="6"/>
        <v>68.78</v>
      </c>
      <c r="G159" s="6">
        <v>10</v>
      </c>
      <c r="H159" s="6">
        <v>58.78</v>
      </c>
      <c r="I159" s="6">
        <v>2.33</v>
      </c>
      <c r="J159" s="6">
        <v>45.67</v>
      </c>
      <c r="K159" s="6">
        <v>37.78</v>
      </c>
    </row>
    <row r="160" spans="1:11">
      <c r="A160" t="s">
        <v>319</v>
      </c>
      <c r="B160" t="s">
        <v>320</v>
      </c>
      <c r="C160" s="6">
        <v>9482.51</v>
      </c>
      <c r="D160" s="6">
        <f t="shared" si="5"/>
        <v>12</v>
      </c>
      <c r="E160" s="6">
        <v>8180.06</v>
      </c>
      <c r="F160" s="6">
        <f t="shared" si="6"/>
        <v>8.2200000000000006</v>
      </c>
      <c r="G160" s="6">
        <v>2.44</v>
      </c>
      <c r="H160" s="6">
        <v>5.78</v>
      </c>
      <c r="I160" s="6">
        <v>0</v>
      </c>
      <c r="J160" s="6">
        <v>12</v>
      </c>
      <c r="K160" s="6">
        <v>0</v>
      </c>
    </row>
    <row r="161" spans="1:11">
      <c r="A161" t="s">
        <v>414</v>
      </c>
      <c r="B161" t="s">
        <v>415</v>
      </c>
      <c r="C161" s="6">
        <v>9302.2800000000007</v>
      </c>
      <c r="D161" s="6">
        <f t="shared" si="5"/>
        <v>22.77</v>
      </c>
      <c r="E161" s="6">
        <v>7878.35</v>
      </c>
      <c r="F161" s="6">
        <f t="shared" si="6"/>
        <v>16.89</v>
      </c>
      <c r="G161" s="6">
        <v>0</v>
      </c>
      <c r="H161" s="6">
        <v>16.89</v>
      </c>
      <c r="I161" s="6">
        <v>1.1100000000000001</v>
      </c>
      <c r="J161" s="6">
        <v>19.22</v>
      </c>
      <c r="K161" s="6">
        <v>2.44</v>
      </c>
    </row>
    <row r="162" spans="1:11">
      <c r="A162" t="s">
        <v>653</v>
      </c>
      <c r="B162" t="s">
        <v>654</v>
      </c>
      <c r="C162" s="6">
        <v>9684.7800000000007</v>
      </c>
      <c r="D162" s="6">
        <f t="shared" si="5"/>
        <v>31.439999999999998</v>
      </c>
      <c r="E162" s="6">
        <v>8369.36</v>
      </c>
      <c r="F162" s="6">
        <f t="shared" si="6"/>
        <v>34.22</v>
      </c>
      <c r="G162" s="6">
        <v>0.44</v>
      </c>
      <c r="H162" s="6">
        <v>33.78</v>
      </c>
      <c r="I162" s="6">
        <v>2.33</v>
      </c>
      <c r="J162" s="6">
        <v>21</v>
      </c>
      <c r="K162" s="6">
        <v>8.11</v>
      </c>
    </row>
    <row r="163" spans="1:11">
      <c r="A163" t="s">
        <v>877</v>
      </c>
      <c r="B163" t="s">
        <v>878</v>
      </c>
      <c r="C163" s="6">
        <v>9238.6299999999992</v>
      </c>
      <c r="D163" s="6">
        <f t="shared" si="5"/>
        <v>42</v>
      </c>
      <c r="E163" s="6">
        <v>7917.34</v>
      </c>
      <c r="F163" s="6">
        <f t="shared" si="6"/>
        <v>38.89</v>
      </c>
      <c r="G163" s="6">
        <v>0.67</v>
      </c>
      <c r="H163" s="6">
        <v>38.22</v>
      </c>
      <c r="I163" s="6">
        <v>0.22</v>
      </c>
      <c r="J163" s="6">
        <v>34.11</v>
      </c>
      <c r="K163" s="6">
        <v>7.67</v>
      </c>
    </row>
    <row r="164" spans="1:11">
      <c r="A164" t="s">
        <v>498</v>
      </c>
      <c r="B164" t="s">
        <v>499</v>
      </c>
      <c r="C164" s="6">
        <v>9732.1299999999992</v>
      </c>
      <c r="D164" s="6">
        <f t="shared" si="5"/>
        <v>21.11</v>
      </c>
      <c r="E164" s="6">
        <v>8126.12</v>
      </c>
      <c r="F164" s="6">
        <f t="shared" si="6"/>
        <v>21.89</v>
      </c>
      <c r="G164" s="6">
        <v>1.33</v>
      </c>
      <c r="H164" s="6">
        <v>20.56</v>
      </c>
      <c r="I164" s="6">
        <v>0</v>
      </c>
      <c r="J164" s="6">
        <v>20.329999999999998</v>
      </c>
      <c r="K164" s="6">
        <v>0.78</v>
      </c>
    </row>
    <row r="165" spans="1:11">
      <c r="A165" t="s">
        <v>424</v>
      </c>
      <c r="B165" t="s">
        <v>425</v>
      </c>
      <c r="C165" s="6">
        <v>9365.0400000000009</v>
      </c>
      <c r="D165" s="6">
        <f t="shared" si="5"/>
        <v>81.11</v>
      </c>
      <c r="E165" s="6">
        <v>8002.9</v>
      </c>
      <c r="F165" s="6">
        <f t="shared" si="6"/>
        <v>76.89</v>
      </c>
      <c r="G165" s="6">
        <v>6.56</v>
      </c>
      <c r="H165" s="6">
        <v>70.33</v>
      </c>
      <c r="I165" s="6">
        <v>4.22</v>
      </c>
      <c r="J165" s="6">
        <v>60.56</v>
      </c>
      <c r="K165" s="6">
        <v>16.329999999999998</v>
      </c>
    </row>
    <row r="166" spans="1:11">
      <c r="A166" t="s">
        <v>779</v>
      </c>
      <c r="B166" t="s">
        <v>780</v>
      </c>
      <c r="C166" s="6">
        <v>9564.32</v>
      </c>
      <c r="D166" s="6">
        <f t="shared" si="5"/>
        <v>32.33</v>
      </c>
      <c r="E166" s="6">
        <v>8438.09</v>
      </c>
      <c r="F166" s="6">
        <f t="shared" si="6"/>
        <v>30.44</v>
      </c>
      <c r="G166" s="6">
        <v>1</v>
      </c>
      <c r="H166" s="6">
        <v>29.44</v>
      </c>
      <c r="I166" s="6">
        <v>3.33</v>
      </c>
      <c r="J166" s="6">
        <v>21.33</v>
      </c>
      <c r="K166" s="6">
        <v>7.67</v>
      </c>
    </row>
    <row r="167" spans="1:11">
      <c r="A167" t="s">
        <v>490</v>
      </c>
      <c r="B167" t="s">
        <v>491</v>
      </c>
      <c r="C167" s="6">
        <v>9531.92</v>
      </c>
      <c r="D167" s="6">
        <f t="shared" si="5"/>
        <v>33</v>
      </c>
      <c r="E167" s="6">
        <v>8202.64</v>
      </c>
      <c r="F167" s="6">
        <f t="shared" si="6"/>
        <v>26.11</v>
      </c>
      <c r="G167" s="6">
        <v>1.1100000000000001</v>
      </c>
      <c r="H167" s="6">
        <v>25</v>
      </c>
      <c r="I167" s="6">
        <v>1.33</v>
      </c>
      <c r="J167" s="6">
        <v>31.11</v>
      </c>
      <c r="K167" s="6">
        <v>0.56000000000000005</v>
      </c>
    </row>
    <row r="168" spans="1:11">
      <c r="A168" t="s">
        <v>759</v>
      </c>
      <c r="B168" t="s">
        <v>760</v>
      </c>
      <c r="C168" s="6">
        <v>9231.85</v>
      </c>
      <c r="D168" s="6">
        <f t="shared" si="5"/>
        <v>671.78</v>
      </c>
      <c r="E168" s="6">
        <v>8012.33</v>
      </c>
      <c r="F168" s="6">
        <f t="shared" si="6"/>
        <v>733.1099999999999</v>
      </c>
      <c r="G168" s="6">
        <v>110.44</v>
      </c>
      <c r="H168" s="6">
        <v>622.66999999999996</v>
      </c>
      <c r="I168" s="6">
        <v>103.11</v>
      </c>
      <c r="J168" s="6">
        <v>445.78</v>
      </c>
      <c r="K168" s="6">
        <v>122.89</v>
      </c>
    </row>
    <row r="169" spans="1:11">
      <c r="A169" t="s">
        <v>574</v>
      </c>
      <c r="B169" t="s">
        <v>575</v>
      </c>
      <c r="C169" s="6">
        <v>8856.92</v>
      </c>
      <c r="D169" s="6">
        <f t="shared" si="5"/>
        <v>173.32999999999998</v>
      </c>
      <c r="E169" s="6">
        <v>7651.72</v>
      </c>
      <c r="F169" s="6">
        <f t="shared" si="6"/>
        <v>272.45</v>
      </c>
      <c r="G169" s="6">
        <v>1.56</v>
      </c>
      <c r="H169" s="6">
        <v>270.89</v>
      </c>
      <c r="I169" s="6">
        <v>2</v>
      </c>
      <c r="J169" s="6">
        <v>132.44</v>
      </c>
      <c r="K169" s="6">
        <v>38.89</v>
      </c>
    </row>
    <row r="170" spans="1:11">
      <c r="A170" t="s">
        <v>691</v>
      </c>
      <c r="B170" t="s">
        <v>692</v>
      </c>
      <c r="C170" s="6">
        <v>9409.4599999999991</v>
      </c>
      <c r="D170" s="6">
        <f t="shared" si="5"/>
        <v>145.55000000000001</v>
      </c>
      <c r="E170" s="6">
        <v>8254.6</v>
      </c>
      <c r="F170" s="6">
        <f t="shared" si="6"/>
        <v>118.67</v>
      </c>
      <c r="G170" s="6">
        <v>17.89</v>
      </c>
      <c r="H170" s="6">
        <v>100.78</v>
      </c>
      <c r="I170" s="6">
        <v>22.33</v>
      </c>
      <c r="J170" s="6">
        <v>103.22</v>
      </c>
      <c r="K170" s="6">
        <v>20</v>
      </c>
    </row>
    <row r="171" spans="1:11">
      <c r="A171" t="s">
        <v>633</v>
      </c>
      <c r="B171" t="s">
        <v>634</v>
      </c>
      <c r="C171" s="6">
        <v>9690.81</v>
      </c>
      <c r="D171" s="6">
        <f t="shared" si="5"/>
        <v>363.78</v>
      </c>
      <c r="E171" s="6">
        <v>8391.2900000000009</v>
      </c>
      <c r="F171" s="6">
        <f t="shared" si="6"/>
        <v>358.33</v>
      </c>
      <c r="G171" s="6">
        <v>46.89</v>
      </c>
      <c r="H171" s="6">
        <v>311.44</v>
      </c>
      <c r="I171" s="6">
        <v>29.67</v>
      </c>
      <c r="J171" s="6">
        <v>262.77999999999997</v>
      </c>
      <c r="K171" s="6">
        <v>71.33</v>
      </c>
    </row>
    <row r="172" spans="1:11">
      <c r="A172" t="s">
        <v>506</v>
      </c>
      <c r="B172" t="s">
        <v>507</v>
      </c>
      <c r="C172" s="6">
        <v>9673.8799999999992</v>
      </c>
      <c r="D172" s="6">
        <f t="shared" si="5"/>
        <v>44.22</v>
      </c>
      <c r="E172" s="6">
        <v>8193.26</v>
      </c>
      <c r="F172" s="6">
        <f t="shared" si="6"/>
        <v>42.22</v>
      </c>
      <c r="G172" s="6">
        <v>6.44</v>
      </c>
      <c r="H172" s="6">
        <v>35.78</v>
      </c>
      <c r="I172" s="6">
        <v>3</v>
      </c>
      <c r="J172" s="6">
        <v>38</v>
      </c>
      <c r="K172" s="6">
        <v>3.22</v>
      </c>
    </row>
    <row r="173" spans="1:11">
      <c r="A173" t="s">
        <v>620</v>
      </c>
      <c r="B173" t="s">
        <v>1032</v>
      </c>
      <c r="C173" s="6">
        <v>9735.83</v>
      </c>
      <c r="D173" s="6">
        <f t="shared" si="5"/>
        <v>21.659999999999997</v>
      </c>
      <c r="E173" s="6">
        <v>8416.16</v>
      </c>
      <c r="F173" s="6">
        <f t="shared" si="6"/>
        <v>34.450000000000003</v>
      </c>
      <c r="G173" s="6">
        <v>1.56</v>
      </c>
      <c r="H173" s="6">
        <v>32.89</v>
      </c>
      <c r="I173" s="6">
        <v>4.33</v>
      </c>
      <c r="J173" s="6">
        <v>16.329999999999998</v>
      </c>
      <c r="K173" s="6">
        <v>1</v>
      </c>
    </row>
    <row r="174" spans="1:11">
      <c r="A174" t="s">
        <v>657</v>
      </c>
      <c r="B174" t="s">
        <v>658</v>
      </c>
      <c r="C174" s="6">
        <v>8908.19</v>
      </c>
      <c r="D174" s="6">
        <f t="shared" si="5"/>
        <v>933.43999999999994</v>
      </c>
      <c r="E174" s="6">
        <v>7794.46</v>
      </c>
      <c r="F174" s="6">
        <f t="shared" si="6"/>
        <v>877.89</v>
      </c>
      <c r="G174" s="6">
        <v>38.33</v>
      </c>
      <c r="H174" s="6">
        <v>839.56</v>
      </c>
      <c r="I174" s="6">
        <v>37.44</v>
      </c>
      <c r="J174" s="6">
        <v>733.89</v>
      </c>
      <c r="K174" s="6">
        <v>162.11000000000001</v>
      </c>
    </row>
    <row r="175" spans="1:11">
      <c r="A175" t="s">
        <v>655</v>
      </c>
      <c r="B175" t="s">
        <v>656</v>
      </c>
      <c r="C175" s="6">
        <v>9346.52</v>
      </c>
      <c r="D175" s="6">
        <f t="shared" si="5"/>
        <v>152.67000000000002</v>
      </c>
      <c r="E175" s="6">
        <v>7970.53</v>
      </c>
      <c r="F175" s="6">
        <f t="shared" si="6"/>
        <v>164.10999999999999</v>
      </c>
      <c r="G175" s="6">
        <v>14.67</v>
      </c>
      <c r="H175" s="6">
        <v>149.44</v>
      </c>
      <c r="I175" s="6">
        <v>11.22</v>
      </c>
      <c r="J175" s="6">
        <v>120.89</v>
      </c>
      <c r="K175" s="6">
        <v>20.56</v>
      </c>
    </row>
    <row r="176" spans="1:11">
      <c r="A176" t="s">
        <v>349</v>
      </c>
      <c r="B176" t="s">
        <v>350</v>
      </c>
      <c r="C176" s="6">
        <v>9269.2199999999993</v>
      </c>
      <c r="D176" s="6">
        <f t="shared" si="5"/>
        <v>115.33</v>
      </c>
      <c r="E176" s="6">
        <v>8081.86</v>
      </c>
      <c r="F176" s="6">
        <f t="shared" si="6"/>
        <v>109.11</v>
      </c>
      <c r="G176" s="6">
        <v>12.89</v>
      </c>
      <c r="H176" s="6">
        <v>96.22</v>
      </c>
      <c r="I176" s="6">
        <v>9.11</v>
      </c>
      <c r="J176" s="6">
        <v>74.89</v>
      </c>
      <c r="K176" s="6">
        <v>31.33</v>
      </c>
    </row>
    <row r="177" spans="1:11">
      <c r="A177" t="s">
        <v>683</v>
      </c>
      <c r="B177" t="s">
        <v>684</v>
      </c>
      <c r="C177" s="6">
        <v>9556.31</v>
      </c>
      <c r="D177" s="6">
        <f t="shared" si="5"/>
        <v>35.659999999999997</v>
      </c>
      <c r="E177" s="6">
        <v>7978.28</v>
      </c>
      <c r="F177" s="6">
        <f t="shared" si="6"/>
        <v>54.11</v>
      </c>
      <c r="G177" s="6">
        <v>0.78</v>
      </c>
      <c r="H177" s="6">
        <v>53.33</v>
      </c>
      <c r="I177" s="6">
        <v>0.11</v>
      </c>
      <c r="J177" s="6">
        <v>22.44</v>
      </c>
      <c r="K177" s="6">
        <v>13.11</v>
      </c>
    </row>
    <row r="178" spans="1:11">
      <c r="A178" t="s">
        <v>590</v>
      </c>
      <c r="B178" t="s">
        <v>591</v>
      </c>
      <c r="C178" s="126">
        <v>9229.6</v>
      </c>
      <c r="D178" s="6">
        <f t="shared" si="5"/>
        <v>75.56</v>
      </c>
      <c r="E178" s="126">
        <v>8079.3</v>
      </c>
      <c r="F178" s="6">
        <f t="shared" si="6"/>
        <v>80.33</v>
      </c>
      <c r="G178" s="6">
        <v>5.1100000000000003</v>
      </c>
      <c r="H178" s="6">
        <v>75.22</v>
      </c>
      <c r="I178" s="6">
        <v>4.67</v>
      </c>
      <c r="J178" s="6">
        <v>62.89</v>
      </c>
      <c r="K178" s="6">
        <v>8</v>
      </c>
    </row>
    <row r="179" spans="1:11">
      <c r="A179" t="s">
        <v>823</v>
      </c>
      <c r="B179" t="s">
        <v>824</v>
      </c>
      <c r="C179" s="6">
        <v>9181.56</v>
      </c>
      <c r="D179" s="6">
        <f t="shared" si="5"/>
        <v>132.44999999999999</v>
      </c>
      <c r="E179" s="6">
        <v>7981.18</v>
      </c>
      <c r="F179" s="6">
        <f t="shared" si="6"/>
        <v>132.22</v>
      </c>
      <c r="G179" s="6">
        <v>8.7799999999999994</v>
      </c>
      <c r="H179" s="6">
        <v>123.44</v>
      </c>
      <c r="I179" s="6">
        <v>7.89</v>
      </c>
      <c r="J179" s="6">
        <v>85.67</v>
      </c>
      <c r="K179" s="6">
        <v>38.89</v>
      </c>
    </row>
    <row r="180" spans="1:11">
      <c r="A180" t="s">
        <v>671</v>
      </c>
      <c r="B180" t="s">
        <v>672</v>
      </c>
      <c r="C180" s="6">
        <v>9242.64</v>
      </c>
      <c r="D180" s="6">
        <f t="shared" si="5"/>
        <v>60.34</v>
      </c>
      <c r="E180" s="6">
        <v>8041.61</v>
      </c>
      <c r="F180" s="6">
        <f t="shared" si="6"/>
        <v>79.67</v>
      </c>
      <c r="G180" s="6">
        <v>7.78</v>
      </c>
      <c r="H180" s="6">
        <v>71.89</v>
      </c>
      <c r="I180" s="6">
        <v>7.11</v>
      </c>
      <c r="J180" s="6">
        <v>42.67</v>
      </c>
      <c r="K180" s="6">
        <v>10.56</v>
      </c>
    </row>
    <row r="181" spans="1:11">
      <c r="A181" t="s">
        <v>649</v>
      </c>
      <c r="B181" t="s">
        <v>650</v>
      </c>
      <c r="C181" s="126">
        <v>9229.6</v>
      </c>
      <c r="D181" s="6">
        <f t="shared" si="5"/>
        <v>232.55</v>
      </c>
      <c r="E181" s="126">
        <v>8079.3</v>
      </c>
      <c r="F181" s="6">
        <f t="shared" si="6"/>
        <v>238</v>
      </c>
      <c r="G181" s="6">
        <v>23.78</v>
      </c>
      <c r="H181" s="6">
        <v>214.22</v>
      </c>
      <c r="I181" s="6">
        <v>12.78</v>
      </c>
      <c r="J181" s="6">
        <v>193.33</v>
      </c>
      <c r="K181" s="6">
        <v>26.44</v>
      </c>
    </row>
    <row r="182" spans="1:11">
      <c r="A182" t="s">
        <v>717</v>
      </c>
      <c r="B182" t="s">
        <v>718</v>
      </c>
      <c r="C182" s="6">
        <v>9161.91</v>
      </c>
      <c r="D182" s="6">
        <f t="shared" si="5"/>
        <v>80</v>
      </c>
      <c r="E182" s="6">
        <v>8064.44</v>
      </c>
      <c r="F182" s="6">
        <f t="shared" si="6"/>
        <v>87</v>
      </c>
      <c r="G182" s="6">
        <v>6.56</v>
      </c>
      <c r="H182" s="6">
        <v>80.44</v>
      </c>
      <c r="I182" s="6">
        <v>2.78</v>
      </c>
      <c r="J182" s="6">
        <v>48.89</v>
      </c>
      <c r="K182" s="6">
        <v>28.33</v>
      </c>
    </row>
    <row r="183" spans="1:11">
      <c r="A183" t="s">
        <v>773</v>
      </c>
      <c r="B183" t="s">
        <v>774</v>
      </c>
      <c r="C183" s="6">
        <v>9107.09</v>
      </c>
      <c r="D183" s="6">
        <f t="shared" si="5"/>
        <v>85.55</v>
      </c>
      <c r="E183" s="6">
        <v>8031.84</v>
      </c>
      <c r="F183" s="6">
        <f t="shared" si="6"/>
        <v>83.78</v>
      </c>
      <c r="G183" s="6">
        <v>10.56</v>
      </c>
      <c r="H183" s="6">
        <v>73.22</v>
      </c>
      <c r="I183" s="6">
        <v>3</v>
      </c>
      <c r="J183" s="6">
        <v>30.11</v>
      </c>
      <c r="K183" s="6">
        <v>52.44</v>
      </c>
    </row>
    <row r="184" spans="1:11">
      <c r="A184" t="s">
        <v>618</v>
      </c>
      <c r="B184" t="s">
        <v>619</v>
      </c>
      <c r="C184" s="126">
        <v>9229.6</v>
      </c>
      <c r="D184" s="6">
        <f t="shared" si="5"/>
        <v>46.11</v>
      </c>
      <c r="E184" s="126">
        <v>8079.3</v>
      </c>
      <c r="F184" s="6">
        <f t="shared" si="6"/>
        <v>47.11</v>
      </c>
      <c r="G184" s="6">
        <v>3.89</v>
      </c>
      <c r="H184" s="6">
        <v>43.22</v>
      </c>
      <c r="I184" s="6">
        <v>2.33</v>
      </c>
      <c r="J184" s="6">
        <v>26.89</v>
      </c>
      <c r="K184" s="6">
        <v>16.89</v>
      </c>
    </row>
    <row r="185" spans="1:11">
      <c r="A185" t="s">
        <v>879</v>
      </c>
      <c r="B185" t="s">
        <v>880</v>
      </c>
      <c r="C185" s="6">
        <v>9307.9500000000007</v>
      </c>
      <c r="D185" s="6">
        <f t="shared" si="5"/>
        <v>47</v>
      </c>
      <c r="E185" s="6">
        <v>8002.4</v>
      </c>
      <c r="F185" s="6">
        <f t="shared" si="6"/>
        <v>51.55</v>
      </c>
      <c r="G185" s="6">
        <v>5.1100000000000003</v>
      </c>
      <c r="H185" s="6">
        <v>46.44</v>
      </c>
      <c r="I185" s="6">
        <v>3.89</v>
      </c>
      <c r="J185" s="6">
        <v>23.44</v>
      </c>
      <c r="K185" s="6">
        <v>19.670000000000002</v>
      </c>
    </row>
    <row r="186" spans="1:11">
      <c r="A186" t="s">
        <v>635</v>
      </c>
      <c r="B186" t="s">
        <v>636</v>
      </c>
      <c r="C186" s="6">
        <v>9098.6299999999992</v>
      </c>
      <c r="D186" s="6">
        <f t="shared" si="5"/>
        <v>9.56</v>
      </c>
      <c r="E186" s="6">
        <v>8022.77</v>
      </c>
      <c r="F186" s="6">
        <f t="shared" si="6"/>
        <v>8.33</v>
      </c>
      <c r="G186" s="6">
        <v>0</v>
      </c>
      <c r="H186" s="6">
        <v>8.33</v>
      </c>
      <c r="I186" s="6">
        <v>0</v>
      </c>
      <c r="J186" s="6">
        <v>8.56</v>
      </c>
      <c r="K186" s="6">
        <v>1</v>
      </c>
    </row>
    <row r="187" spans="1:11">
      <c r="A187" t="s">
        <v>621</v>
      </c>
      <c r="B187" t="s">
        <v>622</v>
      </c>
      <c r="C187" s="6">
        <v>9192.73</v>
      </c>
      <c r="D187" s="6">
        <f t="shared" si="5"/>
        <v>180</v>
      </c>
      <c r="E187" s="6">
        <v>8003.06</v>
      </c>
      <c r="F187" s="6">
        <f t="shared" si="6"/>
        <v>179.10999999999999</v>
      </c>
      <c r="G187" s="6">
        <v>14.22</v>
      </c>
      <c r="H187" s="6">
        <v>164.89</v>
      </c>
      <c r="I187" s="6">
        <v>13.89</v>
      </c>
      <c r="J187" s="6">
        <v>74</v>
      </c>
      <c r="K187" s="6">
        <v>92.11</v>
      </c>
    </row>
    <row r="188" spans="1:11">
      <c r="A188" t="s">
        <v>418</v>
      </c>
      <c r="B188" t="s">
        <v>419</v>
      </c>
      <c r="C188" s="6">
        <v>9146.2800000000007</v>
      </c>
      <c r="D188" s="6">
        <f t="shared" si="5"/>
        <v>50.11</v>
      </c>
      <c r="E188" s="6">
        <v>7895.94</v>
      </c>
      <c r="F188" s="6">
        <f t="shared" si="6"/>
        <v>43.55</v>
      </c>
      <c r="G188" s="6">
        <v>1.44</v>
      </c>
      <c r="H188" s="6">
        <v>42.11</v>
      </c>
      <c r="I188" s="6">
        <v>6.33</v>
      </c>
      <c r="J188" s="6">
        <v>33.67</v>
      </c>
      <c r="K188" s="6">
        <v>10.11</v>
      </c>
    </row>
    <row r="189" spans="1:11">
      <c r="A189" t="s">
        <v>753</v>
      </c>
      <c r="B189" t="s">
        <v>754</v>
      </c>
      <c r="C189" s="6">
        <v>9342.57</v>
      </c>
      <c r="D189" s="6">
        <f t="shared" si="5"/>
        <v>49.89</v>
      </c>
      <c r="E189" s="6">
        <v>8088.15</v>
      </c>
      <c r="F189" s="6">
        <f t="shared" si="6"/>
        <v>61.22</v>
      </c>
      <c r="G189" s="6">
        <v>7.33</v>
      </c>
      <c r="H189" s="6">
        <v>53.89</v>
      </c>
      <c r="I189" s="6">
        <v>1</v>
      </c>
      <c r="J189" s="6">
        <v>32.56</v>
      </c>
      <c r="K189" s="6">
        <v>16.329999999999998</v>
      </c>
    </row>
    <row r="190" spans="1:11">
      <c r="A190" t="s">
        <v>795</v>
      </c>
      <c r="B190" t="s">
        <v>796</v>
      </c>
      <c r="C190" s="6">
        <v>9477.93</v>
      </c>
      <c r="D190" s="6">
        <f t="shared" si="5"/>
        <v>434.9</v>
      </c>
      <c r="E190" s="6">
        <v>8425.08</v>
      </c>
      <c r="F190" s="6">
        <f t="shared" si="6"/>
        <v>415.11</v>
      </c>
      <c r="G190" s="6">
        <v>46.67</v>
      </c>
      <c r="H190" s="6">
        <v>368.44</v>
      </c>
      <c r="I190" s="6">
        <v>34.56</v>
      </c>
      <c r="J190" s="6">
        <v>281.56</v>
      </c>
      <c r="K190" s="6">
        <v>118.78</v>
      </c>
    </row>
    <row r="191" spans="1:11">
      <c r="A191" t="s">
        <v>705</v>
      </c>
      <c r="B191" t="s">
        <v>706</v>
      </c>
      <c r="C191" s="6">
        <v>9620.93</v>
      </c>
      <c r="D191" s="6">
        <f t="shared" si="5"/>
        <v>2981.1099999999997</v>
      </c>
      <c r="E191" s="6">
        <v>8404.69</v>
      </c>
      <c r="F191" s="6">
        <f t="shared" si="6"/>
        <v>2850.78</v>
      </c>
      <c r="G191" s="6">
        <v>313</v>
      </c>
      <c r="H191" s="6">
        <v>2537.7800000000002</v>
      </c>
      <c r="I191" s="6">
        <v>292.77999999999997</v>
      </c>
      <c r="J191" s="6">
        <v>1454</v>
      </c>
      <c r="K191" s="6">
        <v>1234.33</v>
      </c>
    </row>
    <row r="192" spans="1:11">
      <c r="A192" t="s">
        <v>809</v>
      </c>
      <c r="B192" t="s">
        <v>810</v>
      </c>
      <c r="C192" s="6">
        <v>10108.4</v>
      </c>
      <c r="D192" s="6">
        <f t="shared" si="5"/>
        <v>4359.67</v>
      </c>
      <c r="E192" s="6">
        <v>8795.9</v>
      </c>
      <c r="F192" s="6">
        <f t="shared" si="6"/>
        <v>4362</v>
      </c>
      <c r="G192" s="6">
        <v>412.89</v>
      </c>
      <c r="H192" s="6">
        <v>3949.1099999999997</v>
      </c>
      <c r="I192" s="6">
        <v>367.11</v>
      </c>
      <c r="J192" s="6">
        <v>2482.89</v>
      </c>
      <c r="K192" s="6">
        <v>1509.67</v>
      </c>
    </row>
    <row r="193" spans="1:11">
      <c r="A193" t="s">
        <v>361</v>
      </c>
      <c r="B193" t="s">
        <v>362</v>
      </c>
      <c r="C193" s="6">
        <v>10110.549999999999</v>
      </c>
      <c r="D193" s="6">
        <f t="shared" si="5"/>
        <v>33.340000000000003</v>
      </c>
      <c r="E193" s="6">
        <v>8692.2999999999993</v>
      </c>
      <c r="F193" s="6">
        <f t="shared" si="6"/>
        <v>27.22</v>
      </c>
      <c r="G193" s="6">
        <v>1.33</v>
      </c>
      <c r="H193" s="6">
        <v>25.89</v>
      </c>
      <c r="I193" s="6">
        <v>1.67</v>
      </c>
      <c r="J193" s="6">
        <v>26.11</v>
      </c>
      <c r="K193" s="6">
        <v>5.56</v>
      </c>
    </row>
    <row r="194" spans="1:11">
      <c r="A194" t="s">
        <v>837</v>
      </c>
      <c r="B194" t="s">
        <v>838</v>
      </c>
      <c r="C194" s="6">
        <v>9846.43</v>
      </c>
      <c r="D194" s="6">
        <f t="shared" si="5"/>
        <v>573.78</v>
      </c>
      <c r="E194" s="6">
        <v>8376.25</v>
      </c>
      <c r="F194" s="6">
        <f t="shared" si="6"/>
        <v>607.55999999999995</v>
      </c>
      <c r="G194" s="6">
        <v>71.67</v>
      </c>
      <c r="H194" s="6">
        <v>535.89</v>
      </c>
      <c r="I194" s="6">
        <v>55</v>
      </c>
      <c r="J194" s="6">
        <v>253.22</v>
      </c>
      <c r="K194" s="6">
        <v>265.56</v>
      </c>
    </row>
    <row r="195" spans="1:11">
      <c r="A195" t="s">
        <v>805</v>
      </c>
      <c r="B195" t="s">
        <v>1179</v>
      </c>
      <c r="C195" s="6">
        <v>10077.280000000001</v>
      </c>
      <c r="D195" s="6">
        <f t="shared" si="5"/>
        <v>1359.33</v>
      </c>
      <c r="E195" s="6">
        <v>8747.92</v>
      </c>
      <c r="F195" s="6">
        <f t="shared" si="6"/>
        <v>1221.55</v>
      </c>
      <c r="G195" s="6">
        <v>122.22</v>
      </c>
      <c r="H195" s="6">
        <v>1099.33</v>
      </c>
      <c r="I195" s="6">
        <v>150.44</v>
      </c>
      <c r="J195" s="6">
        <v>746.33</v>
      </c>
      <c r="K195" s="6">
        <v>462.56</v>
      </c>
    </row>
    <row r="196" spans="1:11">
      <c r="A196" t="s">
        <v>430</v>
      </c>
      <c r="B196" t="s">
        <v>431</v>
      </c>
      <c r="C196" s="6">
        <v>10505.12</v>
      </c>
      <c r="D196" s="6">
        <f t="shared" ref="D196:D259" si="7">SUM(I196:K196)</f>
        <v>180.22</v>
      </c>
      <c r="E196" s="6">
        <v>8957.39</v>
      </c>
      <c r="F196" s="6">
        <f t="shared" ref="F196:F259" si="8">SUM(G196:H196)</f>
        <v>208.11</v>
      </c>
      <c r="G196" s="6">
        <v>25</v>
      </c>
      <c r="H196" s="6">
        <v>183.11</v>
      </c>
      <c r="I196" s="6">
        <v>23.67</v>
      </c>
      <c r="J196" s="6">
        <v>63.22</v>
      </c>
      <c r="K196" s="6">
        <v>93.33</v>
      </c>
    </row>
    <row r="197" spans="1:11">
      <c r="A197" t="s">
        <v>673</v>
      </c>
      <c r="B197" t="s">
        <v>674</v>
      </c>
      <c r="C197" s="6">
        <v>9580.06</v>
      </c>
      <c r="D197" s="6">
        <f t="shared" si="7"/>
        <v>420.89</v>
      </c>
      <c r="E197" s="6">
        <v>8401.2900000000009</v>
      </c>
      <c r="F197" s="6">
        <f t="shared" si="8"/>
        <v>413.77</v>
      </c>
      <c r="G197" s="6">
        <v>44.33</v>
      </c>
      <c r="H197" s="6">
        <v>369.44</v>
      </c>
      <c r="I197" s="6">
        <v>42.56</v>
      </c>
      <c r="J197" s="6">
        <v>229.89</v>
      </c>
      <c r="K197" s="6">
        <v>148.44</v>
      </c>
    </row>
    <row r="198" spans="1:11">
      <c r="A198" t="s">
        <v>388</v>
      </c>
      <c r="B198" t="s">
        <v>389</v>
      </c>
      <c r="C198" s="6">
        <v>9730.9500000000007</v>
      </c>
      <c r="D198" s="6">
        <f t="shared" si="7"/>
        <v>2035.0099999999998</v>
      </c>
      <c r="E198" s="6">
        <v>8570.51</v>
      </c>
      <c r="F198" s="6">
        <f t="shared" si="8"/>
        <v>2012.1100000000001</v>
      </c>
      <c r="G198" s="6">
        <v>254.11</v>
      </c>
      <c r="H198" s="6">
        <v>1758</v>
      </c>
      <c r="I198" s="6">
        <v>240.56</v>
      </c>
      <c r="J198" s="6">
        <v>960.56</v>
      </c>
      <c r="K198" s="6">
        <v>833.89</v>
      </c>
    </row>
    <row r="199" spans="1:11">
      <c r="A199" t="s">
        <v>689</v>
      </c>
      <c r="B199" t="s">
        <v>690</v>
      </c>
      <c r="C199" s="6">
        <v>10284.64</v>
      </c>
      <c r="D199" s="6">
        <f t="shared" si="7"/>
        <v>1282.6600000000001</v>
      </c>
      <c r="E199" s="6">
        <v>8722.2900000000009</v>
      </c>
      <c r="F199" s="6">
        <f t="shared" si="8"/>
        <v>1304.8799999999999</v>
      </c>
      <c r="G199" s="6">
        <v>172.55</v>
      </c>
      <c r="H199" s="6">
        <v>1132.33</v>
      </c>
      <c r="I199" s="6">
        <v>103.44</v>
      </c>
      <c r="J199" s="6">
        <v>789.22</v>
      </c>
      <c r="K199" s="6">
        <v>390</v>
      </c>
    </row>
    <row r="200" spans="1:11">
      <c r="A200" t="s">
        <v>472</v>
      </c>
      <c r="B200" t="s">
        <v>473</v>
      </c>
      <c r="C200" s="6">
        <v>9547.7800000000007</v>
      </c>
      <c r="D200" s="6">
        <f t="shared" si="7"/>
        <v>1074.77</v>
      </c>
      <c r="E200" s="6">
        <v>8439.16</v>
      </c>
      <c r="F200" s="6">
        <f t="shared" si="8"/>
        <v>1173.4499999999998</v>
      </c>
      <c r="G200" s="6">
        <v>156</v>
      </c>
      <c r="H200" s="6">
        <v>1017.4499999999999</v>
      </c>
      <c r="I200" s="6">
        <v>97.44</v>
      </c>
      <c r="J200" s="6">
        <v>465.89</v>
      </c>
      <c r="K200" s="6">
        <v>511.44</v>
      </c>
    </row>
    <row r="201" spans="1:11">
      <c r="A201" t="s">
        <v>339</v>
      </c>
      <c r="B201" t="s">
        <v>340</v>
      </c>
      <c r="C201" s="6">
        <v>9273.86</v>
      </c>
      <c r="D201" s="6">
        <f t="shared" si="7"/>
        <v>2958.56</v>
      </c>
      <c r="E201" s="6">
        <v>8064.16</v>
      </c>
      <c r="F201" s="6">
        <f t="shared" si="8"/>
        <v>2733.77</v>
      </c>
      <c r="G201" s="6">
        <v>253.10999999999999</v>
      </c>
      <c r="H201" s="6">
        <v>2480.66</v>
      </c>
      <c r="I201" s="6">
        <v>234.78</v>
      </c>
      <c r="J201" s="6">
        <v>1561.67</v>
      </c>
      <c r="K201" s="6">
        <v>1162.1099999999999</v>
      </c>
    </row>
    <row r="202" spans="1:11">
      <c r="A202" t="s">
        <v>442</v>
      </c>
      <c r="B202" t="s">
        <v>443</v>
      </c>
      <c r="C202" s="6">
        <v>9278.86</v>
      </c>
      <c r="D202" s="6">
        <f t="shared" si="7"/>
        <v>239.11</v>
      </c>
      <c r="E202" s="6">
        <v>7983.13</v>
      </c>
      <c r="F202" s="6">
        <f t="shared" si="8"/>
        <v>220.11</v>
      </c>
      <c r="G202" s="6">
        <v>16.89</v>
      </c>
      <c r="H202" s="6">
        <v>203.22</v>
      </c>
      <c r="I202" s="6">
        <v>17.89</v>
      </c>
      <c r="J202" s="6">
        <v>136.78</v>
      </c>
      <c r="K202" s="6">
        <v>84.44</v>
      </c>
    </row>
    <row r="203" spans="1:11">
      <c r="A203" t="s">
        <v>873</v>
      </c>
      <c r="B203" t="s">
        <v>874</v>
      </c>
      <c r="C203" s="6">
        <v>9512.2800000000007</v>
      </c>
      <c r="D203" s="6">
        <f t="shared" si="7"/>
        <v>626.66999999999996</v>
      </c>
      <c r="E203" s="6">
        <v>8435.49</v>
      </c>
      <c r="F203" s="6">
        <f t="shared" si="8"/>
        <v>544.66</v>
      </c>
      <c r="G203" s="6">
        <v>52.33</v>
      </c>
      <c r="H203" s="6">
        <v>492.33</v>
      </c>
      <c r="I203" s="6">
        <v>57.33</v>
      </c>
      <c r="J203" s="6">
        <v>355.67</v>
      </c>
      <c r="K203" s="6">
        <v>213.67</v>
      </c>
    </row>
    <row r="204" spans="1:11">
      <c r="A204" t="s">
        <v>468</v>
      </c>
      <c r="B204" t="s">
        <v>469</v>
      </c>
      <c r="C204" s="6">
        <v>9755.5499999999993</v>
      </c>
      <c r="D204" s="6">
        <f t="shared" si="7"/>
        <v>437.44</v>
      </c>
      <c r="E204" s="6">
        <v>8774.51</v>
      </c>
      <c r="F204" s="6">
        <f t="shared" si="8"/>
        <v>443.56</v>
      </c>
      <c r="G204" s="6">
        <v>59</v>
      </c>
      <c r="H204" s="6">
        <v>384.56</v>
      </c>
      <c r="I204" s="6">
        <v>36.44</v>
      </c>
      <c r="J204" s="6">
        <v>183.67</v>
      </c>
      <c r="K204" s="6">
        <v>217.33</v>
      </c>
    </row>
    <row r="205" spans="1:11">
      <c r="A205" t="s">
        <v>995</v>
      </c>
      <c r="B205" t="s">
        <v>996</v>
      </c>
      <c r="C205" s="6">
        <v>9752.34</v>
      </c>
      <c r="D205" s="6">
        <f t="shared" si="7"/>
        <v>125.67</v>
      </c>
      <c r="E205" s="6">
        <v>8474.2999999999993</v>
      </c>
      <c r="F205" s="6">
        <f t="shared" si="8"/>
        <v>0</v>
      </c>
      <c r="G205" s="6">
        <v>0</v>
      </c>
      <c r="H205" s="6">
        <v>0</v>
      </c>
      <c r="I205" s="6">
        <v>0</v>
      </c>
      <c r="J205" s="6">
        <v>125.67</v>
      </c>
      <c r="K205" s="6">
        <v>0</v>
      </c>
    </row>
    <row r="206" spans="1:11">
      <c r="A206" t="s">
        <v>1033</v>
      </c>
      <c r="B206" t="s">
        <v>1034</v>
      </c>
      <c r="C206" s="6">
        <v>12079.14</v>
      </c>
      <c r="D206" s="6">
        <f t="shared" si="7"/>
        <v>23.23</v>
      </c>
      <c r="E206" s="6" t="s">
        <v>1184</v>
      </c>
      <c r="F206" s="6">
        <f t="shared" si="8"/>
        <v>0</v>
      </c>
      <c r="G206" s="6" t="s">
        <v>1184</v>
      </c>
      <c r="H206" s="6" t="s">
        <v>1184</v>
      </c>
      <c r="I206" s="6">
        <v>0</v>
      </c>
      <c r="J206" s="6">
        <v>21.67</v>
      </c>
      <c r="K206" s="6">
        <v>1.56</v>
      </c>
    </row>
    <row r="207" spans="1:11">
      <c r="A207" t="s">
        <v>910</v>
      </c>
      <c r="B207" t="s">
        <v>905</v>
      </c>
      <c r="C207" s="6">
        <v>9484.94</v>
      </c>
      <c r="D207" s="6">
        <f t="shared" si="7"/>
        <v>21.110000000000003</v>
      </c>
      <c r="E207" s="6">
        <v>8256.42</v>
      </c>
      <c r="F207" s="6">
        <f t="shared" si="8"/>
        <v>39.33</v>
      </c>
      <c r="G207" s="6">
        <v>0</v>
      </c>
      <c r="H207" s="6">
        <v>39.33</v>
      </c>
      <c r="I207" s="6">
        <v>0</v>
      </c>
      <c r="J207" s="6">
        <v>18.670000000000002</v>
      </c>
      <c r="K207" s="6">
        <v>2.44</v>
      </c>
    </row>
    <row r="208" spans="1:11">
      <c r="A208" t="s">
        <v>757</v>
      </c>
      <c r="B208" t="s">
        <v>758</v>
      </c>
      <c r="C208" s="6">
        <v>10384.99</v>
      </c>
      <c r="D208" s="6">
        <f t="shared" si="7"/>
        <v>0</v>
      </c>
      <c r="E208" s="6">
        <v>9093.65</v>
      </c>
      <c r="F208" s="6">
        <f t="shared" si="8"/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</row>
    <row r="209" spans="1:11">
      <c r="A209" t="s">
        <v>663</v>
      </c>
      <c r="B209" t="s">
        <v>664</v>
      </c>
      <c r="C209" s="6">
        <v>9768.66</v>
      </c>
      <c r="D209" s="6">
        <f t="shared" si="7"/>
        <v>103.44</v>
      </c>
      <c r="E209" s="6">
        <v>8512.7199999999993</v>
      </c>
      <c r="F209" s="6">
        <f t="shared" si="8"/>
        <v>95.11</v>
      </c>
      <c r="G209" s="6">
        <v>4.4400000000000004</v>
      </c>
      <c r="H209" s="6">
        <v>90.67</v>
      </c>
      <c r="I209" s="6">
        <v>8.33</v>
      </c>
      <c r="J209" s="6">
        <v>85.44</v>
      </c>
      <c r="K209" s="6">
        <v>9.67</v>
      </c>
    </row>
    <row r="210" spans="1:11">
      <c r="A210" t="s">
        <v>562</v>
      </c>
      <c r="B210" t="s">
        <v>563</v>
      </c>
      <c r="C210" s="6">
        <v>9931.66</v>
      </c>
      <c r="D210" s="6">
        <f t="shared" si="7"/>
        <v>48</v>
      </c>
      <c r="E210" s="6">
        <v>8781.36</v>
      </c>
      <c r="F210" s="6">
        <f t="shared" si="8"/>
        <v>45.11</v>
      </c>
      <c r="G210" s="6">
        <v>5.33</v>
      </c>
      <c r="H210" s="6">
        <v>39.78</v>
      </c>
      <c r="I210" s="6">
        <v>2.89</v>
      </c>
      <c r="J210" s="6">
        <v>40.33</v>
      </c>
      <c r="K210" s="6">
        <v>4.78</v>
      </c>
    </row>
    <row r="211" spans="1:11">
      <c r="A211" t="s">
        <v>743</v>
      </c>
      <c r="B211" t="s">
        <v>744</v>
      </c>
      <c r="C211" s="6">
        <v>10041.98</v>
      </c>
      <c r="D211" s="6">
        <f t="shared" si="7"/>
        <v>144.88999999999999</v>
      </c>
      <c r="E211" s="6">
        <v>8684.86</v>
      </c>
      <c r="F211" s="6">
        <f t="shared" si="8"/>
        <v>119.56</v>
      </c>
      <c r="G211" s="6">
        <v>8.67</v>
      </c>
      <c r="H211" s="6">
        <v>110.89</v>
      </c>
      <c r="I211" s="6">
        <v>5.67</v>
      </c>
      <c r="J211" s="6">
        <v>119.44</v>
      </c>
      <c r="K211" s="6">
        <v>19.78</v>
      </c>
    </row>
    <row r="212" spans="1:11">
      <c r="A212" t="s">
        <v>402</v>
      </c>
      <c r="B212" t="s">
        <v>403</v>
      </c>
      <c r="C212" s="6">
        <v>10259.75</v>
      </c>
      <c r="D212" s="6">
        <f t="shared" si="7"/>
        <v>102.56</v>
      </c>
      <c r="E212" s="6">
        <v>8843.94</v>
      </c>
      <c r="F212" s="6">
        <f t="shared" si="8"/>
        <v>94.22</v>
      </c>
      <c r="G212" s="6">
        <v>10</v>
      </c>
      <c r="H212" s="6">
        <v>84.22</v>
      </c>
      <c r="I212" s="6">
        <v>2.67</v>
      </c>
      <c r="J212" s="6">
        <v>75.56</v>
      </c>
      <c r="K212" s="6">
        <v>24.33</v>
      </c>
    </row>
    <row r="213" spans="1:11">
      <c r="A213" t="s">
        <v>355</v>
      </c>
      <c r="B213" t="s">
        <v>356</v>
      </c>
      <c r="C213" s="6">
        <v>10265.26</v>
      </c>
      <c r="D213" s="6">
        <f t="shared" si="7"/>
        <v>550.45000000000005</v>
      </c>
      <c r="E213" s="6">
        <v>9075.94</v>
      </c>
      <c r="F213" s="6">
        <f t="shared" si="8"/>
        <v>532.33000000000004</v>
      </c>
      <c r="G213" s="6">
        <v>55.78</v>
      </c>
      <c r="H213" s="6">
        <v>476.55</v>
      </c>
      <c r="I213" s="6">
        <v>33.56</v>
      </c>
      <c r="J213" s="6">
        <v>375.33</v>
      </c>
      <c r="K213" s="6">
        <v>141.56</v>
      </c>
    </row>
    <row r="214" spans="1:11">
      <c r="A214" t="s">
        <v>749</v>
      </c>
      <c r="B214" t="s">
        <v>750</v>
      </c>
      <c r="C214" s="6">
        <v>10078.219999999999</v>
      </c>
      <c r="D214" s="6">
        <f t="shared" si="7"/>
        <v>793.89</v>
      </c>
      <c r="E214" s="6">
        <v>8769.08</v>
      </c>
      <c r="F214" s="6">
        <f t="shared" si="8"/>
        <v>816.44</v>
      </c>
      <c r="G214" s="6">
        <v>77.22</v>
      </c>
      <c r="H214" s="6">
        <v>739.22</v>
      </c>
      <c r="I214" s="6">
        <v>56</v>
      </c>
      <c r="J214" s="6">
        <v>512.66999999999996</v>
      </c>
      <c r="K214" s="6">
        <v>225.22</v>
      </c>
    </row>
    <row r="215" spans="1:11">
      <c r="A215" t="s">
        <v>321</v>
      </c>
      <c r="B215" t="s">
        <v>322</v>
      </c>
      <c r="C215" s="6">
        <v>10080.92</v>
      </c>
      <c r="D215" s="6">
        <f t="shared" si="7"/>
        <v>333.65999999999997</v>
      </c>
      <c r="E215" s="6">
        <v>8764.08</v>
      </c>
      <c r="F215" s="6">
        <f t="shared" si="8"/>
        <v>328.89000000000004</v>
      </c>
      <c r="G215" s="6">
        <v>52.67</v>
      </c>
      <c r="H215" s="6">
        <v>276.22000000000003</v>
      </c>
      <c r="I215" s="6">
        <v>36.11</v>
      </c>
      <c r="J215" s="6">
        <v>196.22</v>
      </c>
      <c r="K215" s="6">
        <v>101.33</v>
      </c>
    </row>
    <row r="216" spans="1:11">
      <c r="A216" t="s">
        <v>538</v>
      </c>
      <c r="B216" t="s">
        <v>539</v>
      </c>
      <c r="C216" s="6">
        <v>10207.66</v>
      </c>
      <c r="D216" s="6">
        <f t="shared" si="7"/>
        <v>98</v>
      </c>
      <c r="E216" s="6">
        <v>8709.6299999999992</v>
      </c>
      <c r="F216" s="6">
        <f t="shared" si="8"/>
        <v>94.45</v>
      </c>
      <c r="G216" s="6">
        <v>4.78</v>
      </c>
      <c r="H216" s="6">
        <v>89.67</v>
      </c>
      <c r="I216" s="6">
        <v>5.1100000000000003</v>
      </c>
      <c r="J216" s="6">
        <v>65.11</v>
      </c>
      <c r="K216" s="6">
        <v>27.78</v>
      </c>
    </row>
    <row r="217" spans="1:11">
      <c r="A217" t="s">
        <v>404</v>
      </c>
      <c r="B217" t="s">
        <v>405</v>
      </c>
      <c r="C217" s="6">
        <v>10233.27</v>
      </c>
      <c r="D217" s="6">
        <f t="shared" si="7"/>
        <v>41</v>
      </c>
      <c r="E217" s="6">
        <v>8909.73</v>
      </c>
      <c r="F217" s="6">
        <f t="shared" si="8"/>
        <v>50.11</v>
      </c>
      <c r="G217" s="6">
        <v>4.8899999999999997</v>
      </c>
      <c r="H217" s="6">
        <v>45.22</v>
      </c>
      <c r="I217" s="6">
        <v>2.44</v>
      </c>
      <c r="J217" s="6">
        <v>31.67</v>
      </c>
      <c r="K217" s="6">
        <v>6.89</v>
      </c>
    </row>
    <row r="218" spans="1:11">
      <c r="A218" t="s">
        <v>610</v>
      </c>
      <c r="B218" t="s">
        <v>611</v>
      </c>
      <c r="C218" s="6">
        <v>10058.209999999999</v>
      </c>
      <c r="D218" s="6">
        <f t="shared" si="7"/>
        <v>1006.11</v>
      </c>
      <c r="E218" s="6">
        <v>8728.9699999999993</v>
      </c>
      <c r="F218" s="6">
        <f t="shared" si="8"/>
        <v>955</v>
      </c>
      <c r="G218" s="6">
        <v>107.22</v>
      </c>
      <c r="H218" s="6">
        <v>847.78</v>
      </c>
      <c r="I218" s="6">
        <v>131.44</v>
      </c>
      <c r="J218" s="6">
        <v>485.78</v>
      </c>
      <c r="K218" s="6">
        <v>388.89</v>
      </c>
    </row>
    <row r="219" spans="1:11">
      <c r="A219" t="s">
        <v>763</v>
      </c>
      <c r="B219" t="s">
        <v>764</v>
      </c>
      <c r="C219" s="126">
        <v>9229.6</v>
      </c>
      <c r="D219" s="6">
        <f t="shared" si="7"/>
        <v>9.2200000000000006</v>
      </c>
      <c r="E219" s="126">
        <v>8079.3</v>
      </c>
      <c r="F219" s="6">
        <f t="shared" si="8"/>
        <v>15.78</v>
      </c>
      <c r="G219" s="6">
        <v>0.78</v>
      </c>
      <c r="H219" s="6">
        <v>15</v>
      </c>
      <c r="I219" s="6">
        <v>0.33</v>
      </c>
      <c r="J219" s="6">
        <v>8.89</v>
      </c>
      <c r="K219" s="6">
        <v>0</v>
      </c>
    </row>
    <row r="220" spans="1:11">
      <c r="A220" t="s">
        <v>608</v>
      </c>
      <c r="B220" t="s">
        <v>609</v>
      </c>
      <c r="C220" s="126">
        <v>9229.6</v>
      </c>
      <c r="D220" s="6">
        <f t="shared" si="7"/>
        <v>6.44</v>
      </c>
      <c r="E220" s="126">
        <v>8079.3</v>
      </c>
      <c r="F220" s="6">
        <f t="shared" si="8"/>
        <v>8.89</v>
      </c>
      <c r="G220" s="6">
        <v>0</v>
      </c>
      <c r="H220" s="6">
        <v>8.89</v>
      </c>
      <c r="I220" s="6">
        <v>0</v>
      </c>
      <c r="J220" s="6">
        <v>6.44</v>
      </c>
      <c r="K220" s="6">
        <v>0</v>
      </c>
    </row>
    <row r="221" spans="1:11">
      <c r="A221" t="s">
        <v>592</v>
      </c>
      <c r="B221" t="s">
        <v>593</v>
      </c>
      <c r="C221" s="126">
        <v>9229.6</v>
      </c>
      <c r="D221" s="6">
        <f t="shared" si="7"/>
        <v>5</v>
      </c>
      <c r="E221" s="126">
        <v>8079.3</v>
      </c>
      <c r="F221" s="6">
        <f t="shared" si="8"/>
        <v>9.2200000000000006</v>
      </c>
      <c r="G221" s="6">
        <v>1.22</v>
      </c>
      <c r="H221" s="6">
        <v>8</v>
      </c>
      <c r="I221" s="6">
        <v>0</v>
      </c>
      <c r="J221" s="6">
        <v>4</v>
      </c>
      <c r="K221" s="6">
        <v>1</v>
      </c>
    </row>
    <row r="222" spans="1:11">
      <c r="A222" t="s">
        <v>799</v>
      </c>
      <c r="B222" t="s">
        <v>800</v>
      </c>
      <c r="C222" s="126">
        <v>9229.6</v>
      </c>
      <c r="D222" s="6">
        <f t="shared" si="7"/>
        <v>139</v>
      </c>
      <c r="E222" s="126">
        <v>8079.3</v>
      </c>
      <c r="F222" s="6">
        <f t="shared" si="8"/>
        <v>159</v>
      </c>
      <c r="G222" s="6">
        <v>20.329999999999998</v>
      </c>
      <c r="H222" s="6">
        <v>138.66999999999999</v>
      </c>
      <c r="I222" s="6">
        <v>7.78</v>
      </c>
      <c r="J222" s="6">
        <v>86.44</v>
      </c>
      <c r="K222" s="6">
        <v>44.78</v>
      </c>
    </row>
    <row r="223" spans="1:11">
      <c r="A223" t="s">
        <v>458</v>
      </c>
      <c r="B223" t="s">
        <v>459</v>
      </c>
      <c r="C223" s="6">
        <v>10551.71</v>
      </c>
      <c r="D223" s="6">
        <f t="shared" si="7"/>
        <v>2735.34</v>
      </c>
      <c r="E223" s="6">
        <v>9513.68</v>
      </c>
      <c r="F223" s="6">
        <f t="shared" si="8"/>
        <v>2708.56</v>
      </c>
      <c r="G223" s="6">
        <v>197.45</v>
      </c>
      <c r="H223" s="6">
        <v>2511.11</v>
      </c>
      <c r="I223" s="6">
        <v>237.67</v>
      </c>
      <c r="J223" s="6">
        <v>1333.89</v>
      </c>
      <c r="K223" s="6">
        <v>1163.78</v>
      </c>
    </row>
    <row r="224" spans="1:11">
      <c r="A224" t="s">
        <v>546</v>
      </c>
      <c r="B224" t="s">
        <v>547</v>
      </c>
      <c r="C224" s="6">
        <v>10490.84</v>
      </c>
      <c r="D224" s="6">
        <f t="shared" si="7"/>
        <v>1530.99</v>
      </c>
      <c r="E224" s="6">
        <v>9481.86</v>
      </c>
      <c r="F224" s="6">
        <f t="shared" si="8"/>
        <v>1496.33</v>
      </c>
      <c r="G224" s="6">
        <v>154.88999999999999</v>
      </c>
      <c r="H224" s="6">
        <v>1341.44</v>
      </c>
      <c r="I224" s="6">
        <v>187.44</v>
      </c>
      <c r="J224" s="6">
        <v>741.33</v>
      </c>
      <c r="K224" s="6">
        <v>602.22</v>
      </c>
    </row>
    <row r="225" spans="1:11">
      <c r="A225" t="s">
        <v>612</v>
      </c>
      <c r="B225" t="s">
        <v>613</v>
      </c>
      <c r="C225" s="6">
        <v>10493.01</v>
      </c>
      <c r="D225" s="6">
        <f t="shared" si="7"/>
        <v>2259.67</v>
      </c>
      <c r="E225" s="6">
        <v>9461.89</v>
      </c>
      <c r="F225" s="6">
        <f t="shared" si="8"/>
        <v>2234.23</v>
      </c>
      <c r="G225" s="6">
        <v>195.56</v>
      </c>
      <c r="H225" s="6">
        <v>2038.67</v>
      </c>
      <c r="I225" s="6">
        <v>207.78</v>
      </c>
      <c r="J225" s="6">
        <v>1311.89</v>
      </c>
      <c r="K225" s="6">
        <v>740</v>
      </c>
    </row>
    <row r="226" spans="1:11">
      <c r="A226" t="s">
        <v>309</v>
      </c>
      <c r="B226" t="s">
        <v>310</v>
      </c>
      <c r="C226" s="6">
        <v>10496.17</v>
      </c>
      <c r="D226" s="6">
        <f t="shared" si="7"/>
        <v>3152.55</v>
      </c>
      <c r="E226" s="6">
        <v>9118.2099999999991</v>
      </c>
      <c r="F226" s="6">
        <f t="shared" si="8"/>
        <v>3059</v>
      </c>
      <c r="G226" s="6">
        <v>301.44</v>
      </c>
      <c r="H226" s="6">
        <v>2757.56</v>
      </c>
      <c r="I226" s="6">
        <v>300.33</v>
      </c>
      <c r="J226" s="6">
        <v>1539.89</v>
      </c>
      <c r="K226" s="6">
        <v>1312.33</v>
      </c>
    </row>
    <row r="227" spans="1:11">
      <c r="A227" t="s">
        <v>323</v>
      </c>
      <c r="B227" t="s">
        <v>324</v>
      </c>
      <c r="C227" s="6">
        <v>10226.74</v>
      </c>
      <c r="D227" s="6">
        <f t="shared" si="7"/>
        <v>898.66000000000008</v>
      </c>
      <c r="E227" s="6">
        <v>9081.4699999999993</v>
      </c>
      <c r="F227" s="6">
        <f t="shared" si="8"/>
        <v>788.44</v>
      </c>
      <c r="G227" s="6">
        <v>71.11</v>
      </c>
      <c r="H227" s="6">
        <v>717.33</v>
      </c>
      <c r="I227" s="6">
        <v>65.44</v>
      </c>
      <c r="J227" s="6">
        <v>532.22</v>
      </c>
      <c r="K227" s="6">
        <v>301</v>
      </c>
    </row>
    <row r="228" spans="1:11">
      <c r="A228" t="s">
        <v>578</v>
      </c>
      <c r="B228" t="s">
        <v>579</v>
      </c>
      <c r="C228" s="6">
        <v>10313.42</v>
      </c>
      <c r="D228" s="6">
        <f t="shared" si="7"/>
        <v>1764.56</v>
      </c>
      <c r="E228" s="6">
        <v>9151.8700000000008</v>
      </c>
      <c r="F228" s="6">
        <f t="shared" si="8"/>
        <v>1761.4499999999998</v>
      </c>
      <c r="G228" s="6">
        <v>178.89</v>
      </c>
      <c r="H228" s="6">
        <v>1582.56</v>
      </c>
      <c r="I228" s="6">
        <v>160.56</v>
      </c>
      <c r="J228" s="6">
        <v>788.56</v>
      </c>
      <c r="K228" s="6">
        <v>815.44</v>
      </c>
    </row>
    <row r="229" spans="1:11">
      <c r="A229" t="s">
        <v>512</v>
      </c>
      <c r="B229" t="s">
        <v>513</v>
      </c>
      <c r="C229" s="6">
        <v>10652.23</v>
      </c>
      <c r="D229" s="6">
        <f t="shared" si="7"/>
        <v>5.89</v>
      </c>
      <c r="E229" s="6">
        <v>8936.7099999999991</v>
      </c>
      <c r="F229" s="6">
        <f t="shared" si="8"/>
        <v>5.45</v>
      </c>
      <c r="G229" s="6">
        <v>1.56</v>
      </c>
      <c r="H229" s="6">
        <v>3.89</v>
      </c>
      <c r="I229" s="6">
        <v>0</v>
      </c>
      <c r="J229" s="6">
        <v>4.8899999999999997</v>
      </c>
      <c r="K229" s="6">
        <v>1</v>
      </c>
    </row>
    <row r="230" spans="1:11">
      <c r="A230" t="s">
        <v>594</v>
      </c>
      <c r="B230" t="s">
        <v>595</v>
      </c>
      <c r="C230" s="6">
        <v>10398.34</v>
      </c>
      <c r="D230" s="6">
        <f t="shared" si="7"/>
        <v>808.45</v>
      </c>
      <c r="E230" s="6">
        <v>9018.74</v>
      </c>
      <c r="F230" s="6">
        <f t="shared" si="8"/>
        <v>806.11</v>
      </c>
      <c r="G230" s="6">
        <v>75.11</v>
      </c>
      <c r="H230" s="6">
        <v>731</v>
      </c>
      <c r="I230" s="6">
        <v>58.56</v>
      </c>
      <c r="J230" s="6">
        <v>577.11</v>
      </c>
      <c r="K230" s="6">
        <v>172.78</v>
      </c>
    </row>
    <row r="231" spans="1:11">
      <c r="A231" t="s">
        <v>767</v>
      </c>
      <c r="B231" t="s">
        <v>768</v>
      </c>
      <c r="C231" s="6">
        <v>10458.1</v>
      </c>
      <c r="D231" s="6">
        <f t="shared" si="7"/>
        <v>1276.22</v>
      </c>
      <c r="E231" s="6">
        <v>9382.02</v>
      </c>
      <c r="F231" s="6">
        <f t="shared" si="8"/>
        <v>1280.8800000000001</v>
      </c>
      <c r="G231" s="6">
        <v>88.22</v>
      </c>
      <c r="H231" s="6">
        <v>1192.6600000000001</v>
      </c>
      <c r="I231" s="6">
        <v>120.22</v>
      </c>
      <c r="J231" s="6">
        <v>740</v>
      </c>
      <c r="K231" s="6">
        <v>416</v>
      </c>
    </row>
    <row r="232" spans="1:11">
      <c r="A232" t="s">
        <v>550</v>
      </c>
      <c r="B232" t="s">
        <v>551</v>
      </c>
      <c r="C232" s="6">
        <v>10295.459999999999</v>
      </c>
      <c r="D232" s="6">
        <f t="shared" si="7"/>
        <v>462.67</v>
      </c>
      <c r="E232" s="6">
        <v>9102.39</v>
      </c>
      <c r="F232" s="6">
        <f t="shared" si="8"/>
        <v>379.89</v>
      </c>
      <c r="G232" s="6">
        <v>24.33</v>
      </c>
      <c r="H232" s="6">
        <v>355.56</v>
      </c>
      <c r="I232" s="6">
        <v>38.78</v>
      </c>
      <c r="J232" s="6">
        <v>254.78</v>
      </c>
      <c r="K232" s="6">
        <v>169.11</v>
      </c>
    </row>
    <row r="233" spans="1:11">
      <c r="A233" t="s">
        <v>801</v>
      </c>
      <c r="B233" t="s">
        <v>802</v>
      </c>
      <c r="C233" s="6">
        <v>10591.46</v>
      </c>
      <c r="D233" s="6">
        <f t="shared" si="7"/>
        <v>335.11</v>
      </c>
      <c r="E233" s="6">
        <v>9113.74</v>
      </c>
      <c r="F233" s="6">
        <f t="shared" si="8"/>
        <v>330.56</v>
      </c>
      <c r="G233" s="6">
        <v>26</v>
      </c>
      <c r="H233" s="6">
        <v>304.56</v>
      </c>
      <c r="I233" s="6">
        <v>34.22</v>
      </c>
      <c r="J233" s="6">
        <v>153.66999999999999</v>
      </c>
      <c r="K233" s="6">
        <v>147.22</v>
      </c>
    </row>
    <row r="234" spans="1:11">
      <c r="A234" t="s">
        <v>422</v>
      </c>
      <c r="B234" t="s">
        <v>423</v>
      </c>
      <c r="C234" s="6">
        <v>10224.18</v>
      </c>
      <c r="D234" s="6">
        <f t="shared" si="7"/>
        <v>72.44</v>
      </c>
      <c r="E234" s="6">
        <v>8791.3700000000008</v>
      </c>
      <c r="F234" s="6">
        <f t="shared" si="8"/>
        <v>74.44</v>
      </c>
      <c r="G234" s="6">
        <v>3.11</v>
      </c>
      <c r="H234" s="6">
        <v>71.33</v>
      </c>
      <c r="I234" s="6">
        <v>1.44</v>
      </c>
      <c r="J234" s="6">
        <v>58</v>
      </c>
      <c r="K234" s="6">
        <v>13</v>
      </c>
    </row>
    <row r="235" spans="1:11">
      <c r="A235" t="s">
        <v>488</v>
      </c>
      <c r="B235" t="s">
        <v>489</v>
      </c>
      <c r="C235" s="6">
        <v>10092.18</v>
      </c>
      <c r="D235" s="6">
        <f t="shared" si="7"/>
        <v>452.77</v>
      </c>
      <c r="E235" s="6">
        <v>8715.81</v>
      </c>
      <c r="F235" s="6">
        <f t="shared" si="8"/>
        <v>375</v>
      </c>
      <c r="G235" s="6">
        <v>30.11</v>
      </c>
      <c r="H235" s="6">
        <v>344.89</v>
      </c>
      <c r="I235" s="6">
        <v>58.44</v>
      </c>
      <c r="J235" s="6">
        <v>212</v>
      </c>
      <c r="K235" s="6">
        <v>182.33</v>
      </c>
    </row>
    <row r="236" spans="1:11">
      <c r="A236" t="s">
        <v>787</v>
      </c>
      <c r="B236" t="s">
        <v>788</v>
      </c>
      <c r="C236" s="6">
        <v>10498.48</v>
      </c>
      <c r="D236" s="6">
        <f t="shared" si="7"/>
        <v>748.44999999999993</v>
      </c>
      <c r="E236" s="6">
        <v>9091.2199999999993</v>
      </c>
      <c r="F236" s="6">
        <f t="shared" si="8"/>
        <v>677.78</v>
      </c>
      <c r="G236" s="6">
        <v>65.56</v>
      </c>
      <c r="H236" s="6">
        <v>612.22</v>
      </c>
      <c r="I236" s="6">
        <v>81.78</v>
      </c>
      <c r="J236" s="6">
        <v>408.78</v>
      </c>
      <c r="K236" s="6">
        <v>257.89</v>
      </c>
    </row>
    <row r="237" spans="1:11">
      <c r="A237" t="s">
        <v>781</v>
      </c>
      <c r="B237" t="s">
        <v>782</v>
      </c>
      <c r="C237" s="6">
        <v>9498.14</v>
      </c>
      <c r="D237" s="6">
        <f t="shared" si="7"/>
        <v>4834.1099999999997</v>
      </c>
      <c r="E237" s="6">
        <v>8454.91</v>
      </c>
      <c r="F237" s="6">
        <f t="shared" si="8"/>
        <v>4965.4399999999996</v>
      </c>
      <c r="G237" s="6">
        <v>342</v>
      </c>
      <c r="H237" s="6">
        <v>4623.4399999999996</v>
      </c>
      <c r="I237" s="6">
        <v>344</v>
      </c>
      <c r="J237" s="6">
        <v>3081.22</v>
      </c>
      <c r="K237" s="6">
        <v>1408.89</v>
      </c>
    </row>
    <row r="238" spans="1:11">
      <c r="A238" t="s">
        <v>665</v>
      </c>
      <c r="B238" t="s">
        <v>666</v>
      </c>
      <c r="C238" s="6">
        <v>10157.799999999999</v>
      </c>
      <c r="D238" s="6">
        <f t="shared" si="7"/>
        <v>4</v>
      </c>
      <c r="E238" s="6">
        <v>8475.31</v>
      </c>
      <c r="F238" s="6">
        <f t="shared" si="8"/>
        <v>6</v>
      </c>
      <c r="G238" s="6">
        <v>0</v>
      </c>
      <c r="H238" s="6">
        <v>6</v>
      </c>
      <c r="I238" s="6">
        <v>0</v>
      </c>
      <c r="J238" s="6">
        <v>3</v>
      </c>
      <c r="K238" s="6">
        <v>1</v>
      </c>
    </row>
    <row r="239" spans="1:11">
      <c r="A239" t="s">
        <v>492</v>
      </c>
      <c r="B239" t="s">
        <v>493</v>
      </c>
      <c r="C239" s="6">
        <v>10034.719999999999</v>
      </c>
      <c r="D239" s="6">
        <f t="shared" si="7"/>
        <v>7.45</v>
      </c>
      <c r="E239" s="6">
        <v>8553.86</v>
      </c>
      <c r="F239" s="6">
        <f t="shared" si="8"/>
        <v>6.8900000000000006</v>
      </c>
      <c r="G239" s="6">
        <v>0.11</v>
      </c>
      <c r="H239" s="6">
        <v>6.78</v>
      </c>
      <c r="I239" s="6">
        <v>0.67</v>
      </c>
      <c r="J239" s="6">
        <v>6.67</v>
      </c>
      <c r="K239" s="6">
        <v>0.11</v>
      </c>
    </row>
    <row r="240" spans="1:11">
      <c r="A240" t="s">
        <v>623</v>
      </c>
      <c r="B240" t="s">
        <v>624</v>
      </c>
      <c r="C240" s="6">
        <v>9228.94</v>
      </c>
      <c r="D240" s="6">
        <f t="shared" si="7"/>
        <v>192.67000000000002</v>
      </c>
      <c r="E240" s="6">
        <v>7986.57</v>
      </c>
      <c r="F240" s="6">
        <f t="shared" si="8"/>
        <v>196.67000000000002</v>
      </c>
      <c r="G240" s="6">
        <v>12.11</v>
      </c>
      <c r="H240" s="6">
        <v>184.56</v>
      </c>
      <c r="I240" s="6">
        <v>10.78</v>
      </c>
      <c r="J240" s="6">
        <v>112.67</v>
      </c>
      <c r="K240" s="6">
        <v>69.22</v>
      </c>
    </row>
    <row r="241" spans="1:11">
      <c r="A241" t="s">
        <v>584</v>
      </c>
      <c r="B241" t="s">
        <v>585</v>
      </c>
      <c r="C241" s="6">
        <v>9376.59</v>
      </c>
      <c r="D241" s="6">
        <f t="shared" si="7"/>
        <v>260.55999999999995</v>
      </c>
      <c r="E241" s="6">
        <v>8125.12</v>
      </c>
      <c r="F241" s="6">
        <f t="shared" si="8"/>
        <v>223.78</v>
      </c>
      <c r="G241" s="6">
        <v>25</v>
      </c>
      <c r="H241" s="6">
        <v>198.78</v>
      </c>
      <c r="I241" s="6">
        <v>25.89</v>
      </c>
      <c r="J241" s="6">
        <v>192.89</v>
      </c>
      <c r="K241" s="6">
        <v>41.78</v>
      </c>
    </row>
    <row r="242" spans="1:11">
      <c r="A242" t="s">
        <v>582</v>
      </c>
      <c r="B242" t="s">
        <v>583</v>
      </c>
      <c r="C242" s="6">
        <v>9396.5400000000009</v>
      </c>
      <c r="D242" s="6">
        <f t="shared" si="7"/>
        <v>1590.8899999999999</v>
      </c>
      <c r="E242" s="6">
        <v>8326.41</v>
      </c>
      <c r="F242" s="6">
        <f t="shared" si="8"/>
        <v>1421.23</v>
      </c>
      <c r="G242" s="6">
        <v>94.67</v>
      </c>
      <c r="H242" s="6">
        <v>1326.56</v>
      </c>
      <c r="I242" s="6">
        <v>103</v>
      </c>
      <c r="J242" s="6">
        <v>799.78</v>
      </c>
      <c r="K242" s="6">
        <v>688.11</v>
      </c>
    </row>
    <row r="243" spans="1:11">
      <c r="A243" t="s">
        <v>372</v>
      </c>
      <c r="B243" t="s">
        <v>373</v>
      </c>
      <c r="C243" s="6">
        <v>9285.6200000000008</v>
      </c>
      <c r="D243" s="6">
        <f t="shared" si="7"/>
        <v>2318.8900000000003</v>
      </c>
      <c r="E243" s="6">
        <v>8063.28</v>
      </c>
      <c r="F243" s="6">
        <f t="shared" si="8"/>
        <v>2071</v>
      </c>
      <c r="G243" s="6">
        <v>190</v>
      </c>
      <c r="H243" s="6">
        <v>1881</v>
      </c>
      <c r="I243" s="6">
        <v>212.56</v>
      </c>
      <c r="J243" s="6">
        <v>932.33</v>
      </c>
      <c r="K243" s="6">
        <v>1174</v>
      </c>
    </row>
    <row r="244" spans="1:11">
      <c r="A244" t="s">
        <v>474</v>
      </c>
      <c r="B244" t="s">
        <v>475</v>
      </c>
      <c r="C244" s="6">
        <v>9461.9699999999993</v>
      </c>
      <c r="D244" s="6">
        <f t="shared" si="7"/>
        <v>119.89</v>
      </c>
      <c r="E244" s="6">
        <v>7943.8</v>
      </c>
      <c r="F244" s="6">
        <f t="shared" si="8"/>
        <v>104</v>
      </c>
      <c r="G244" s="6">
        <v>7</v>
      </c>
      <c r="H244" s="6">
        <v>97</v>
      </c>
      <c r="I244" s="6">
        <v>1.78</v>
      </c>
      <c r="J244" s="6">
        <v>89.22</v>
      </c>
      <c r="K244" s="6">
        <v>28.89</v>
      </c>
    </row>
    <row r="245" spans="1:11">
      <c r="A245" t="s">
        <v>378</v>
      </c>
      <c r="B245" t="s">
        <v>379</v>
      </c>
      <c r="C245" s="6">
        <v>9254.49</v>
      </c>
      <c r="D245" s="6">
        <f t="shared" si="7"/>
        <v>855.67000000000007</v>
      </c>
      <c r="E245" s="6">
        <v>8099.82</v>
      </c>
      <c r="F245" s="6">
        <f t="shared" si="8"/>
        <v>908.89</v>
      </c>
      <c r="G245" s="6">
        <v>87.78</v>
      </c>
      <c r="H245" s="6">
        <v>821.11</v>
      </c>
      <c r="I245" s="6">
        <v>95.78</v>
      </c>
      <c r="J245" s="6">
        <v>588.33000000000004</v>
      </c>
      <c r="K245" s="6">
        <v>171.56</v>
      </c>
    </row>
    <row r="246" spans="1:11">
      <c r="A246" t="s">
        <v>434</v>
      </c>
      <c r="B246" t="s">
        <v>435</v>
      </c>
      <c r="C246" s="6">
        <v>9471.52</v>
      </c>
      <c r="D246" s="6">
        <f t="shared" si="7"/>
        <v>612.55999999999995</v>
      </c>
      <c r="E246" s="6">
        <v>8043.96</v>
      </c>
      <c r="F246" s="6">
        <f t="shared" si="8"/>
        <v>643.22</v>
      </c>
      <c r="G246" s="6">
        <v>61</v>
      </c>
      <c r="H246" s="6">
        <v>582.22</v>
      </c>
      <c r="I246" s="6">
        <v>66</v>
      </c>
      <c r="J246" s="6">
        <v>278.89</v>
      </c>
      <c r="K246" s="6">
        <v>267.67</v>
      </c>
    </row>
    <row r="247" spans="1:11">
      <c r="A247" t="s">
        <v>554</v>
      </c>
      <c r="B247" t="s">
        <v>555</v>
      </c>
      <c r="C247" s="6">
        <v>9284.7000000000007</v>
      </c>
      <c r="D247" s="6">
        <f t="shared" si="7"/>
        <v>66.33</v>
      </c>
      <c r="E247" s="6">
        <v>8033.5</v>
      </c>
      <c r="F247" s="6">
        <f t="shared" si="8"/>
        <v>57.78</v>
      </c>
      <c r="G247" s="6">
        <v>6.67</v>
      </c>
      <c r="H247" s="6">
        <v>51.11</v>
      </c>
      <c r="I247" s="6">
        <v>4.33</v>
      </c>
      <c r="J247" s="6">
        <v>30</v>
      </c>
      <c r="K247" s="6">
        <v>32</v>
      </c>
    </row>
    <row r="248" spans="1:11">
      <c r="A248" t="s">
        <v>867</v>
      </c>
      <c r="B248" t="s">
        <v>868</v>
      </c>
      <c r="C248" s="6">
        <v>9181.08</v>
      </c>
      <c r="D248" s="6">
        <f t="shared" si="7"/>
        <v>505.33</v>
      </c>
      <c r="E248" s="6">
        <v>7971.27</v>
      </c>
      <c r="F248" s="6">
        <f t="shared" si="8"/>
        <v>509.11</v>
      </c>
      <c r="G248" s="6">
        <v>41.89</v>
      </c>
      <c r="H248" s="6">
        <v>467.22</v>
      </c>
      <c r="I248" s="6">
        <v>47.33</v>
      </c>
      <c r="J248" s="6">
        <v>372.44</v>
      </c>
      <c r="K248" s="6">
        <v>85.56</v>
      </c>
    </row>
    <row r="249" spans="1:11">
      <c r="A249" t="s">
        <v>428</v>
      </c>
      <c r="B249" t="s">
        <v>429</v>
      </c>
      <c r="C249" s="6">
        <v>9139.44</v>
      </c>
      <c r="D249" s="6">
        <f t="shared" si="7"/>
        <v>340.88</v>
      </c>
      <c r="E249" s="6">
        <v>7965.14</v>
      </c>
      <c r="F249" s="6">
        <f t="shared" si="8"/>
        <v>316.44</v>
      </c>
      <c r="G249" s="6">
        <v>30.11</v>
      </c>
      <c r="H249" s="6">
        <v>286.33</v>
      </c>
      <c r="I249" s="6">
        <v>35.11</v>
      </c>
      <c r="J249" s="6">
        <v>186.33</v>
      </c>
      <c r="K249" s="6">
        <v>119.44</v>
      </c>
    </row>
    <row r="250" spans="1:11">
      <c r="A250" t="s">
        <v>731</v>
      </c>
      <c r="B250" t="s">
        <v>732</v>
      </c>
      <c r="C250" s="6">
        <v>9256.98</v>
      </c>
      <c r="D250" s="6">
        <f t="shared" si="7"/>
        <v>227.77</v>
      </c>
      <c r="E250" s="6">
        <v>8014.86</v>
      </c>
      <c r="F250" s="6">
        <f t="shared" si="8"/>
        <v>237.10999999999999</v>
      </c>
      <c r="G250" s="6">
        <v>22.44</v>
      </c>
      <c r="H250" s="6">
        <v>214.67</v>
      </c>
      <c r="I250" s="6">
        <v>15.22</v>
      </c>
      <c r="J250" s="6">
        <v>133.33000000000001</v>
      </c>
      <c r="K250" s="6">
        <v>79.22</v>
      </c>
    </row>
    <row r="251" spans="1:11">
      <c r="A251" t="s">
        <v>912</v>
      </c>
      <c r="B251" t="s">
        <v>907</v>
      </c>
      <c r="C251" s="6">
        <v>9965.67</v>
      </c>
      <c r="D251" s="6">
        <f t="shared" si="7"/>
        <v>83.89</v>
      </c>
      <c r="E251" s="6">
        <v>8497.2800000000007</v>
      </c>
      <c r="F251" s="6">
        <f t="shared" si="8"/>
        <v>57.44</v>
      </c>
      <c r="G251" s="6">
        <v>0</v>
      </c>
      <c r="H251" s="6">
        <v>57.44</v>
      </c>
      <c r="I251" s="6">
        <v>0</v>
      </c>
      <c r="J251" s="6">
        <v>81.78</v>
      </c>
      <c r="K251" s="6">
        <v>2.11</v>
      </c>
    </row>
    <row r="252" spans="1:11">
      <c r="A252" t="s">
        <v>1017</v>
      </c>
      <c r="B252" t="s">
        <v>1018</v>
      </c>
      <c r="C252" s="6">
        <v>8935.14</v>
      </c>
      <c r="D252" s="6">
        <f t="shared" si="7"/>
        <v>7.67</v>
      </c>
      <c r="E252" s="6" t="s">
        <v>1184</v>
      </c>
      <c r="F252" s="6">
        <f t="shared" si="8"/>
        <v>0</v>
      </c>
      <c r="G252" s="6" t="s">
        <v>1184</v>
      </c>
      <c r="H252" s="6" t="s">
        <v>1184</v>
      </c>
      <c r="I252" s="6">
        <v>0</v>
      </c>
      <c r="J252" s="6">
        <v>7.67</v>
      </c>
      <c r="K252" s="6">
        <v>0</v>
      </c>
    </row>
    <row r="253" spans="1:11">
      <c r="A253" t="s">
        <v>908</v>
      </c>
      <c r="B253" t="s">
        <v>903</v>
      </c>
      <c r="C253" s="6">
        <v>8759.76</v>
      </c>
      <c r="D253" s="6">
        <f t="shared" si="7"/>
        <v>106.56</v>
      </c>
      <c r="E253" s="6">
        <v>7673.65</v>
      </c>
      <c r="F253" s="6">
        <f t="shared" si="8"/>
        <v>82.22</v>
      </c>
      <c r="G253" s="6">
        <v>0</v>
      </c>
      <c r="H253" s="6">
        <v>82.22</v>
      </c>
      <c r="I253" s="6">
        <v>0</v>
      </c>
      <c r="J253" s="6">
        <v>106.56</v>
      </c>
      <c r="K253" s="6">
        <v>0</v>
      </c>
    </row>
    <row r="254" spans="1:11">
      <c r="A254" t="s">
        <v>661</v>
      </c>
      <c r="B254" t="s">
        <v>662</v>
      </c>
      <c r="C254" s="6">
        <v>9809.94</v>
      </c>
      <c r="D254" s="6">
        <f t="shared" si="7"/>
        <v>7.33</v>
      </c>
      <c r="E254" s="6">
        <v>8384.35</v>
      </c>
      <c r="F254" s="6">
        <f t="shared" si="8"/>
        <v>5.1100000000000003</v>
      </c>
      <c r="G254" s="6">
        <v>0</v>
      </c>
      <c r="H254" s="6">
        <v>5.1100000000000003</v>
      </c>
      <c r="I254" s="6">
        <v>0</v>
      </c>
      <c r="J254" s="6">
        <v>7.33</v>
      </c>
      <c r="K254" s="6">
        <v>0</v>
      </c>
    </row>
    <row r="255" spans="1:11">
      <c r="A255" t="s">
        <v>380</v>
      </c>
      <c r="B255" t="s">
        <v>381</v>
      </c>
      <c r="C255" s="6">
        <v>9176.5400000000009</v>
      </c>
      <c r="D255" s="6">
        <f t="shared" si="7"/>
        <v>130.44</v>
      </c>
      <c r="E255" s="6">
        <v>7967.01</v>
      </c>
      <c r="F255" s="6">
        <f t="shared" si="8"/>
        <v>114.78</v>
      </c>
      <c r="G255" s="6">
        <v>8</v>
      </c>
      <c r="H255" s="6">
        <v>106.78</v>
      </c>
      <c r="I255" s="6">
        <v>3.11</v>
      </c>
      <c r="J255" s="6">
        <v>84.44</v>
      </c>
      <c r="K255" s="6">
        <v>42.89</v>
      </c>
    </row>
    <row r="256" spans="1:11">
      <c r="A256" t="s">
        <v>863</v>
      </c>
      <c r="B256" t="s">
        <v>864</v>
      </c>
      <c r="C256" s="6">
        <v>9179.36</v>
      </c>
      <c r="D256" s="6">
        <f t="shared" si="7"/>
        <v>66.34</v>
      </c>
      <c r="E256" s="6">
        <v>8062.3</v>
      </c>
      <c r="F256" s="6">
        <f t="shared" si="8"/>
        <v>67</v>
      </c>
      <c r="G256" s="6">
        <v>6.22</v>
      </c>
      <c r="H256" s="6">
        <v>60.78</v>
      </c>
      <c r="I256" s="6">
        <v>4.67</v>
      </c>
      <c r="J256" s="6">
        <v>55.67</v>
      </c>
      <c r="K256" s="6">
        <v>6</v>
      </c>
    </row>
    <row r="257" spans="1:11">
      <c r="A257" t="s">
        <v>839</v>
      </c>
      <c r="B257" t="s">
        <v>840</v>
      </c>
      <c r="C257" s="6">
        <v>8934.44</v>
      </c>
      <c r="D257" s="6">
        <f t="shared" si="7"/>
        <v>107.56</v>
      </c>
      <c r="E257" s="6">
        <v>7748.75</v>
      </c>
      <c r="F257" s="6">
        <f t="shared" si="8"/>
        <v>96</v>
      </c>
      <c r="G257" s="6">
        <v>4</v>
      </c>
      <c r="H257" s="6">
        <v>92</v>
      </c>
      <c r="I257" s="6">
        <v>6.89</v>
      </c>
      <c r="J257" s="6">
        <v>91.56</v>
      </c>
      <c r="K257" s="6">
        <v>9.11</v>
      </c>
    </row>
    <row r="258" spans="1:11">
      <c r="A258" t="s">
        <v>400</v>
      </c>
      <c r="B258" t="s">
        <v>401</v>
      </c>
      <c r="C258" s="6">
        <v>9421.1200000000008</v>
      </c>
      <c r="D258" s="6">
        <f t="shared" si="7"/>
        <v>299.01</v>
      </c>
      <c r="E258" s="6">
        <v>8030.09</v>
      </c>
      <c r="F258" s="6">
        <f t="shared" si="8"/>
        <v>319</v>
      </c>
      <c r="G258" s="6">
        <v>39.67</v>
      </c>
      <c r="H258" s="6">
        <v>279.33</v>
      </c>
      <c r="I258" s="6">
        <v>21.67</v>
      </c>
      <c r="J258" s="6">
        <v>174.78</v>
      </c>
      <c r="K258" s="6">
        <v>102.56</v>
      </c>
    </row>
    <row r="259" spans="1:11">
      <c r="A259" t="s">
        <v>560</v>
      </c>
      <c r="B259" t="s">
        <v>561</v>
      </c>
      <c r="C259" s="6">
        <v>9272.14</v>
      </c>
      <c r="D259" s="6">
        <f t="shared" si="7"/>
        <v>16.670000000000002</v>
      </c>
      <c r="E259" s="6">
        <v>8022.05</v>
      </c>
      <c r="F259" s="6">
        <f t="shared" si="8"/>
        <v>17.329999999999998</v>
      </c>
      <c r="G259" s="6">
        <v>0</v>
      </c>
      <c r="H259" s="6">
        <v>17.329999999999998</v>
      </c>
      <c r="I259" s="6">
        <v>0</v>
      </c>
      <c r="J259" s="6">
        <v>7.11</v>
      </c>
      <c r="K259" s="6">
        <v>9.56</v>
      </c>
    </row>
    <row r="260" spans="1:11">
      <c r="A260" t="s">
        <v>803</v>
      </c>
      <c r="B260" t="s">
        <v>804</v>
      </c>
      <c r="C260" s="6">
        <v>9652.0499999999993</v>
      </c>
      <c r="D260" s="6">
        <f t="shared" ref="D260:D322" si="9">SUM(I260:K260)</f>
        <v>12</v>
      </c>
      <c r="E260" s="6">
        <v>8364.9500000000007</v>
      </c>
      <c r="F260" s="6">
        <f t="shared" ref="F260:F322" si="10">SUM(G260:H260)</f>
        <v>6.44</v>
      </c>
      <c r="G260" s="6">
        <v>0</v>
      </c>
      <c r="H260" s="6">
        <v>6.44</v>
      </c>
      <c r="I260" s="6">
        <v>0</v>
      </c>
      <c r="J260" s="6">
        <v>10.33</v>
      </c>
      <c r="K260" s="6">
        <v>1.67</v>
      </c>
    </row>
    <row r="261" spans="1:11">
      <c r="A261" t="s">
        <v>462</v>
      </c>
      <c r="B261" t="s">
        <v>463</v>
      </c>
      <c r="C261" s="6">
        <v>9951.99</v>
      </c>
      <c r="D261" s="6">
        <f t="shared" si="9"/>
        <v>3</v>
      </c>
      <c r="E261" s="6">
        <v>8659.27</v>
      </c>
      <c r="F261" s="6">
        <f t="shared" si="10"/>
        <v>2.89</v>
      </c>
      <c r="G261" s="6">
        <v>0</v>
      </c>
      <c r="H261" s="6">
        <v>2.89</v>
      </c>
      <c r="I261" s="6">
        <v>0</v>
      </c>
      <c r="J261" s="6">
        <v>3</v>
      </c>
      <c r="K261" s="6">
        <v>0</v>
      </c>
    </row>
    <row r="262" spans="1:11">
      <c r="A262" t="s">
        <v>396</v>
      </c>
      <c r="B262" t="s">
        <v>397</v>
      </c>
      <c r="C262" s="6">
        <v>9220.75</v>
      </c>
      <c r="D262" s="6">
        <f t="shared" si="9"/>
        <v>24.11</v>
      </c>
      <c r="E262" s="6">
        <v>7912.64</v>
      </c>
      <c r="F262" s="6">
        <f t="shared" si="10"/>
        <v>28.11</v>
      </c>
      <c r="G262" s="6">
        <v>1</v>
      </c>
      <c r="H262" s="6">
        <v>27.11</v>
      </c>
      <c r="I262" s="6">
        <v>1</v>
      </c>
      <c r="J262" s="6">
        <v>20.11</v>
      </c>
      <c r="K262" s="6">
        <v>3</v>
      </c>
    </row>
    <row r="263" spans="1:11">
      <c r="A263" t="s">
        <v>576</v>
      </c>
      <c r="B263" t="s">
        <v>577</v>
      </c>
      <c r="C263" s="6">
        <v>9201.74</v>
      </c>
      <c r="D263" s="6">
        <f t="shared" si="9"/>
        <v>83.56</v>
      </c>
      <c r="E263" s="6">
        <v>7911.32</v>
      </c>
      <c r="F263" s="6">
        <f t="shared" si="10"/>
        <v>70.33</v>
      </c>
      <c r="G263" s="6">
        <v>3.22</v>
      </c>
      <c r="H263" s="6">
        <v>67.11</v>
      </c>
      <c r="I263" s="6">
        <v>4.5599999999999996</v>
      </c>
      <c r="J263" s="6">
        <v>60.78</v>
      </c>
      <c r="K263" s="6">
        <v>18.22</v>
      </c>
    </row>
    <row r="264" spans="1:11">
      <c r="A264" t="s">
        <v>639</v>
      </c>
      <c r="B264" t="s">
        <v>640</v>
      </c>
      <c r="C264" s="6">
        <v>9022.2800000000007</v>
      </c>
      <c r="D264" s="6">
        <f t="shared" si="9"/>
        <v>27.34</v>
      </c>
      <c r="E264" s="6">
        <v>7928.73</v>
      </c>
      <c r="F264" s="6">
        <f t="shared" si="10"/>
        <v>27.659999999999997</v>
      </c>
      <c r="G264" s="6">
        <v>2.33</v>
      </c>
      <c r="H264" s="6">
        <v>25.33</v>
      </c>
      <c r="I264" s="6">
        <v>0</v>
      </c>
      <c r="J264" s="6">
        <v>21.56</v>
      </c>
      <c r="K264" s="6">
        <v>5.78</v>
      </c>
    </row>
    <row r="265" spans="1:11">
      <c r="A265" t="s">
        <v>528</v>
      </c>
      <c r="B265" t="s">
        <v>529</v>
      </c>
      <c r="C265" s="6">
        <v>9370.39</v>
      </c>
      <c r="D265" s="6">
        <f t="shared" si="9"/>
        <v>150.56</v>
      </c>
      <c r="E265" s="6">
        <v>7923.62</v>
      </c>
      <c r="F265" s="6">
        <f t="shared" si="10"/>
        <v>141.11000000000001</v>
      </c>
      <c r="G265" s="6">
        <v>7.78</v>
      </c>
      <c r="H265" s="6">
        <v>133.33000000000001</v>
      </c>
      <c r="I265" s="6">
        <v>11</v>
      </c>
      <c r="J265" s="6">
        <v>113.78</v>
      </c>
      <c r="K265" s="6">
        <v>25.78</v>
      </c>
    </row>
    <row r="266" spans="1:11">
      <c r="A266" t="s">
        <v>893</v>
      </c>
      <c r="B266" t="s">
        <v>894</v>
      </c>
      <c r="C266" s="6">
        <v>9322.49</v>
      </c>
      <c r="D266" s="6">
        <f t="shared" si="9"/>
        <v>868.67999999999984</v>
      </c>
      <c r="E266" s="6">
        <v>8059.09</v>
      </c>
      <c r="F266" s="6">
        <f t="shared" si="10"/>
        <v>802.32</v>
      </c>
      <c r="G266" s="6">
        <v>70.88</v>
      </c>
      <c r="H266" s="6">
        <v>731.44</v>
      </c>
      <c r="I266" s="6">
        <v>65.56</v>
      </c>
      <c r="J266" s="6">
        <v>584.55999999999995</v>
      </c>
      <c r="K266" s="6">
        <v>218.56</v>
      </c>
    </row>
    <row r="267" spans="1:11">
      <c r="A267" t="s">
        <v>637</v>
      </c>
      <c r="B267" t="s">
        <v>638</v>
      </c>
      <c r="C267" s="6">
        <v>9503.5499999999993</v>
      </c>
      <c r="D267" s="6">
        <f t="shared" si="9"/>
        <v>2620.44</v>
      </c>
      <c r="E267" s="6">
        <v>8444.14</v>
      </c>
      <c r="F267" s="6">
        <f t="shared" si="10"/>
        <v>2148.44</v>
      </c>
      <c r="G267" s="6">
        <v>204.22</v>
      </c>
      <c r="H267" s="6">
        <v>1944.22</v>
      </c>
      <c r="I267" s="6">
        <v>299.67</v>
      </c>
      <c r="J267" s="6">
        <v>1413.44</v>
      </c>
      <c r="K267" s="6">
        <v>907.33</v>
      </c>
    </row>
    <row r="268" spans="1:11">
      <c r="A268" t="s">
        <v>311</v>
      </c>
      <c r="B268" t="s">
        <v>312</v>
      </c>
      <c r="C268" s="6">
        <v>9229.5</v>
      </c>
      <c r="D268" s="6">
        <f t="shared" si="9"/>
        <v>937.33</v>
      </c>
      <c r="E268" s="6">
        <v>8013.87</v>
      </c>
      <c r="F268" s="6">
        <f t="shared" si="10"/>
        <v>873</v>
      </c>
      <c r="G268" s="6">
        <v>68.56</v>
      </c>
      <c r="H268" s="6">
        <v>804.44</v>
      </c>
      <c r="I268" s="6">
        <v>83.33</v>
      </c>
      <c r="J268" s="6">
        <v>494.11</v>
      </c>
      <c r="K268" s="6">
        <v>359.89</v>
      </c>
    </row>
    <row r="269" spans="1:11">
      <c r="A269" t="s">
        <v>313</v>
      </c>
      <c r="B269" t="s">
        <v>314</v>
      </c>
      <c r="C269" s="6">
        <v>9393.08</v>
      </c>
      <c r="D269" s="6">
        <f t="shared" si="9"/>
        <v>1680.9900000000002</v>
      </c>
      <c r="E269" s="6">
        <v>8010.26</v>
      </c>
      <c r="F269" s="6">
        <f t="shared" si="10"/>
        <v>1482.3400000000001</v>
      </c>
      <c r="G269" s="6">
        <v>137.56</v>
      </c>
      <c r="H269" s="6">
        <v>1344.7800000000002</v>
      </c>
      <c r="I269" s="6">
        <v>157.44</v>
      </c>
      <c r="J269" s="6">
        <v>873.44</v>
      </c>
      <c r="K269" s="6">
        <v>650.11</v>
      </c>
    </row>
    <row r="270" spans="1:11">
      <c r="A270" t="s">
        <v>715</v>
      </c>
      <c r="B270" t="s">
        <v>716</v>
      </c>
      <c r="C270" s="6">
        <v>9326.48</v>
      </c>
      <c r="D270" s="6">
        <f t="shared" si="9"/>
        <v>133.11000000000001</v>
      </c>
      <c r="E270" s="6">
        <v>8061.98</v>
      </c>
      <c r="F270" s="6">
        <f t="shared" si="10"/>
        <v>130.67000000000002</v>
      </c>
      <c r="G270" s="6">
        <v>13.89</v>
      </c>
      <c r="H270" s="6">
        <v>116.78</v>
      </c>
      <c r="I270" s="6">
        <v>13.22</v>
      </c>
      <c r="J270" s="6">
        <v>84.56</v>
      </c>
      <c r="K270" s="6">
        <v>35.33</v>
      </c>
    </row>
    <row r="271" spans="1:11">
      <c r="A271" t="s">
        <v>496</v>
      </c>
      <c r="B271" t="s">
        <v>497</v>
      </c>
      <c r="C271" s="6">
        <v>9271.84</v>
      </c>
      <c r="D271" s="6">
        <f t="shared" si="9"/>
        <v>91.45</v>
      </c>
      <c r="E271" s="6">
        <v>8186.27</v>
      </c>
      <c r="F271" s="6">
        <f t="shared" si="10"/>
        <v>103.45</v>
      </c>
      <c r="G271" s="6">
        <v>14.89</v>
      </c>
      <c r="H271" s="6">
        <v>88.56</v>
      </c>
      <c r="I271" s="6">
        <v>2</v>
      </c>
      <c r="J271" s="6">
        <v>68.89</v>
      </c>
      <c r="K271" s="6">
        <v>20.56</v>
      </c>
    </row>
    <row r="272" spans="1:11">
      <c r="A272" t="s">
        <v>735</v>
      </c>
      <c r="B272" t="s">
        <v>736</v>
      </c>
      <c r="C272" s="6">
        <v>9303.48</v>
      </c>
      <c r="D272" s="6">
        <f t="shared" si="9"/>
        <v>323</v>
      </c>
      <c r="E272" s="6">
        <v>8094.86</v>
      </c>
      <c r="F272" s="6">
        <f t="shared" si="10"/>
        <v>340</v>
      </c>
      <c r="G272" s="6">
        <v>24.22</v>
      </c>
      <c r="H272" s="6">
        <v>315.77999999999997</v>
      </c>
      <c r="I272" s="6">
        <v>26.11</v>
      </c>
      <c r="J272" s="6">
        <v>192.56</v>
      </c>
      <c r="K272" s="6">
        <v>104.33</v>
      </c>
    </row>
    <row r="273" spans="1:11">
      <c r="A273" t="s">
        <v>817</v>
      </c>
      <c r="B273" t="s">
        <v>818</v>
      </c>
      <c r="C273" s="6">
        <v>9287.69</v>
      </c>
      <c r="D273" s="6">
        <f t="shared" si="9"/>
        <v>223</v>
      </c>
      <c r="E273" s="6">
        <v>8079.82</v>
      </c>
      <c r="F273" s="6">
        <f t="shared" si="10"/>
        <v>187.33</v>
      </c>
      <c r="G273" s="6">
        <v>22.22</v>
      </c>
      <c r="H273" s="6">
        <v>165.11</v>
      </c>
      <c r="I273" s="6">
        <v>12.89</v>
      </c>
      <c r="J273" s="6">
        <v>113</v>
      </c>
      <c r="K273" s="6">
        <v>97.11</v>
      </c>
    </row>
    <row r="274" spans="1:11">
      <c r="A274" t="s">
        <v>932</v>
      </c>
      <c r="B274" t="s">
        <v>1019</v>
      </c>
      <c r="C274" s="6">
        <v>9871.69</v>
      </c>
      <c r="D274" s="6">
        <f t="shared" si="9"/>
        <v>25.12</v>
      </c>
      <c r="E274" s="6">
        <v>8658.77</v>
      </c>
      <c r="F274" s="6">
        <f t="shared" si="10"/>
        <v>0</v>
      </c>
      <c r="G274" s="6">
        <v>0</v>
      </c>
      <c r="H274" s="6">
        <v>0</v>
      </c>
      <c r="I274" s="6">
        <v>0</v>
      </c>
      <c r="J274" s="6">
        <v>10.56</v>
      </c>
      <c r="K274" s="6">
        <v>14.56</v>
      </c>
    </row>
    <row r="275" spans="1:11">
      <c r="A275" t="s">
        <v>845</v>
      </c>
      <c r="B275" t="s">
        <v>846</v>
      </c>
      <c r="C275" s="126">
        <v>9229.6</v>
      </c>
      <c r="D275" s="6">
        <f t="shared" si="9"/>
        <v>76.790000000000006</v>
      </c>
      <c r="E275" s="126">
        <v>8079.3</v>
      </c>
      <c r="F275" s="6">
        <f t="shared" si="10"/>
        <v>96.23</v>
      </c>
      <c r="G275" s="6">
        <v>2.56</v>
      </c>
      <c r="H275" s="6">
        <v>93.67</v>
      </c>
      <c r="I275" s="6">
        <v>3.67</v>
      </c>
      <c r="J275" s="6">
        <v>46.56</v>
      </c>
      <c r="K275" s="6">
        <v>26.56</v>
      </c>
    </row>
    <row r="276" spans="1:11">
      <c r="A276" t="s">
        <v>432</v>
      </c>
      <c r="B276" t="s">
        <v>433</v>
      </c>
      <c r="C276" s="126">
        <v>9229.6</v>
      </c>
      <c r="D276" s="6">
        <f t="shared" si="9"/>
        <v>3</v>
      </c>
      <c r="E276" s="126">
        <v>8079.3</v>
      </c>
      <c r="F276" s="6">
        <f t="shared" si="10"/>
        <v>3.89</v>
      </c>
      <c r="G276" s="6">
        <v>0</v>
      </c>
      <c r="H276" s="6">
        <v>3.89</v>
      </c>
      <c r="I276" s="6">
        <v>0</v>
      </c>
      <c r="J276" s="6">
        <v>2.44</v>
      </c>
      <c r="K276" s="6">
        <v>0.56000000000000005</v>
      </c>
    </row>
    <row r="277" spans="1:11">
      <c r="A277" t="s">
        <v>851</v>
      </c>
      <c r="B277" t="s">
        <v>852</v>
      </c>
      <c r="C277" s="6">
        <v>9432.89</v>
      </c>
      <c r="D277" s="6">
        <f t="shared" si="9"/>
        <v>883.44999999999993</v>
      </c>
      <c r="E277" s="6">
        <v>8034.5</v>
      </c>
      <c r="F277" s="6">
        <f t="shared" si="10"/>
        <v>852.88</v>
      </c>
      <c r="G277" s="6">
        <v>62.66</v>
      </c>
      <c r="H277" s="6">
        <v>790.22</v>
      </c>
      <c r="I277" s="6">
        <v>51.78</v>
      </c>
      <c r="J277" s="6">
        <v>535.55999999999995</v>
      </c>
      <c r="K277" s="6">
        <v>296.11</v>
      </c>
    </row>
    <row r="278" spans="1:11">
      <c r="A278" t="s">
        <v>392</v>
      </c>
      <c r="B278" t="s">
        <v>393</v>
      </c>
      <c r="C278" s="6">
        <v>9308.24</v>
      </c>
      <c r="D278" s="6">
        <f t="shared" si="9"/>
        <v>241.44</v>
      </c>
      <c r="E278" s="6">
        <v>8048.28</v>
      </c>
      <c r="F278" s="6">
        <f t="shared" si="10"/>
        <v>190</v>
      </c>
      <c r="G278" s="6">
        <v>18.559999999999999</v>
      </c>
      <c r="H278" s="6">
        <v>171.44</v>
      </c>
      <c r="I278" s="6">
        <v>25.44</v>
      </c>
      <c r="J278" s="6">
        <v>112.11</v>
      </c>
      <c r="K278" s="6">
        <v>103.89</v>
      </c>
    </row>
    <row r="279" spans="1:11">
      <c r="A279" t="s">
        <v>827</v>
      </c>
      <c r="B279" t="s">
        <v>828</v>
      </c>
      <c r="C279" s="6">
        <v>9076.61</v>
      </c>
      <c r="D279" s="6">
        <f t="shared" si="9"/>
        <v>22.11</v>
      </c>
      <c r="E279" s="6">
        <v>8027.58</v>
      </c>
      <c r="F279" s="6">
        <f t="shared" si="10"/>
        <v>29.67</v>
      </c>
      <c r="G279" s="6">
        <v>4</v>
      </c>
      <c r="H279" s="6">
        <v>25.67</v>
      </c>
      <c r="I279" s="6">
        <v>3</v>
      </c>
      <c r="J279" s="6">
        <v>18</v>
      </c>
      <c r="K279" s="6">
        <v>1.1100000000000001</v>
      </c>
    </row>
    <row r="280" spans="1:11">
      <c r="A280" t="s">
        <v>398</v>
      </c>
      <c r="B280" t="s">
        <v>399</v>
      </c>
      <c r="C280" s="6">
        <v>9508.0400000000009</v>
      </c>
      <c r="D280" s="6">
        <f t="shared" si="9"/>
        <v>116.22</v>
      </c>
      <c r="E280" s="6">
        <v>8052.1</v>
      </c>
      <c r="F280" s="6">
        <f t="shared" si="10"/>
        <v>118.99</v>
      </c>
      <c r="G280" s="6">
        <v>12.11</v>
      </c>
      <c r="H280" s="6">
        <v>106.88</v>
      </c>
      <c r="I280" s="6">
        <v>9.11</v>
      </c>
      <c r="J280" s="6">
        <v>70.44</v>
      </c>
      <c r="K280" s="6">
        <v>36.67</v>
      </c>
    </row>
    <row r="281" spans="1:11">
      <c r="A281" t="s">
        <v>849</v>
      </c>
      <c r="B281" t="s">
        <v>850</v>
      </c>
      <c r="C281" s="6">
        <v>9177.06</v>
      </c>
      <c r="D281" s="6">
        <f t="shared" si="9"/>
        <v>30.560000000000002</v>
      </c>
      <c r="E281" s="6">
        <v>8069.08</v>
      </c>
      <c r="F281" s="6">
        <f t="shared" si="10"/>
        <v>32.11</v>
      </c>
      <c r="G281" s="6">
        <v>0.33</v>
      </c>
      <c r="H281" s="6">
        <v>31.78</v>
      </c>
      <c r="I281" s="6">
        <v>2.67</v>
      </c>
      <c r="J281" s="6">
        <v>26.22</v>
      </c>
      <c r="K281" s="6">
        <v>1.67</v>
      </c>
    </row>
    <row r="282" spans="1:11">
      <c r="A282" t="s">
        <v>699</v>
      </c>
      <c r="B282" t="s">
        <v>700</v>
      </c>
      <c r="C282" s="6">
        <v>8882.1200000000008</v>
      </c>
      <c r="D282" s="6">
        <f t="shared" si="9"/>
        <v>37.56</v>
      </c>
      <c r="E282" s="6">
        <v>8044.42</v>
      </c>
      <c r="F282" s="6">
        <f t="shared" si="10"/>
        <v>26.11</v>
      </c>
      <c r="G282" s="6">
        <v>2.89</v>
      </c>
      <c r="H282" s="6">
        <v>23.22</v>
      </c>
      <c r="I282" s="6">
        <v>0</v>
      </c>
      <c r="J282" s="6">
        <v>31</v>
      </c>
      <c r="K282" s="6">
        <v>6.56</v>
      </c>
    </row>
    <row r="283" spans="1:11">
      <c r="A283" t="s">
        <v>1180</v>
      </c>
      <c r="B283" t="s">
        <v>1181</v>
      </c>
      <c r="C283" s="6" t="s">
        <v>1184</v>
      </c>
      <c r="D283" s="6">
        <f t="shared" si="9"/>
        <v>0</v>
      </c>
      <c r="E283" s="6">
        <v>7206.83</v>
      </c>
      <c r="F283" s="6">
        <f t="shared" si="10"/>
        <v>16</v>
      </c>
      <c r="G283" s="6">
        <v>0</v>
      </c>
      <c r="H283" s="6">
        <v>16</v>
      </c>
      <c r="I283" s="6" t="s">
        <v>1184</v>
      </c>
      <c r="J283" s="6" t="s">
        <v>1184</v>
      </c>
      <c r="K283" s="6" t="s">
        <v>1184</v>
      </c>
    </row>
    <row r="284" spans="1:11">
      <c r="A284" t="s">
        <v>335</v>
      </c>
      <c r="B284" t="s">
        <v>336</v>
      </c>
      <c r="C284" s="6">
        <v>9890.5400000000009</v>
      </c>
      <c r="D284" s="6">
        <f t="shared" si="9"/>
        <v>1768.78</v>
      </c>
      <c r="E284" s="6">
        <v>8757.94</v>
      </c>
      <c r="F284" s="6">
        <f t="shared" si="10"/>
        <v>1680.55</v>
      </c>
      <c r="G284" s="6">
        <v>132</v>
      </c>
      <c r="H284" s="6">
        <v>1548.55</v>
      </c>
      <c r="I284" s="6">
        <v>76.33</v>
      </c>
      <c r="J284" s="6">
        <v>1344.78</v>
      </c>
      <c r="K284" s="6">
        <v>347.67</v>
      </c>
    </row>
    <row r="285" spans="1:11">
      <c r="A285" t="s">
        <v>466</v>
      </c>
      <c r="B285" t="s">
        <v>467</v>
      </c>
      <c r="C285" s="6">
        <v>9961.39</v>
      </c>
      <c r="D285" s="6">
        <f t="shared" si="9"/>
        <v>711.55000000000007</v>
      </c>
      <c r="E285" s="6">
        <v>8756.01</v>
      </c>
      <c r="F285" s="6">
        <f t="shared" si="10"/>
        <v>741</v>
      </c>
      <c r="G285" s="6">
        <v>60.56</v>
      </c>
      <c r="H285" s="6">
        <v>680.44</v>
      </c>
      <c r="I285" s="6">
        <v>38.11</v>
      </c>
      <c r="J285" s="6">
        <v>449.22</v>
      </c>
      <c r="K285" s="6">
        <v>224.22</v>
      </c>
    </row>
    <row r="286" spans="1:11">
      <c r="A286" t="s">
        <v>343</v>
      </c>
      <c r="B286" t="s">
        <v>344</v>
      </c>
      <c r="C286" s="6">
        <v>10257.58</v>
      </c>
      <c r="D286" s="6">
        <f t="shared" si="9"/>
        <v>345.33000000000004</v>
      </c>
      <c r="E286" s="6">
        <v>8784.85</v>
      </c>
      <c r="F286" s="6">
        <f t="shared" si="10"/>
        <v>376</v>
      </c>
      <c r="G286" s="6">
        <v>47.22</v>
      </c>
      <c r="H286" s="6">
        <v>328.78</v>
      </c>
      <c r="I286" s="6">
        <v>31.22</v>
      </c>
      <c r="J286" s="6">
        <v>252.89</v>
      </c>
      <c r="K286" s="6">
        <v>61.22</v>
      </c>
    </row>
    <row r="287" spans="1:11">
      <c r="A287" t="s">
        <v>566</v>
      </c>
      <c r="B287" t="s">
        <v>567</v>
      </c>
      <c r="C287" s="6">
        <v>9666.76</v>
      </c>
      <c r="D287" s="6">
        <f t="shared" si="9"/>
        <v>530.34</v>
      </c>
      <c r="E287" s="6">
        <v>8426.66</v>
      </c>
      <c r="F287" s="6">
        <f t="shared" si="10"/>
        <v>540.44000000000005</v>
      </c>
      <c r="G287" s="6">
        <v>66</v>
      </c>
      <c r="H287" s="6">
        <v>474.44</v>
      </c>
      <c r="I287" s="6">
        <v>49.67</v>
      </c>
      <c r="J287" s="6">
        <v>384</v>
      </c>
      <c r="K287" s="6">
        <v>96.67</v>
      </c>
    </row>
    <row r="288" spans="1:11">
      <c r="A288" t="s">
        <v>588</v>
      </c>
      <c r="B288" t="s">
        <v>589</v>
      </c>
      <c r="C288" s="6">
        <v>9606.5</v>
      </c>
      <c r="D288" s="6">
        <f t="shared" si="9"/>
        <v>214.32999999999998</v>
      </c>
      <c r="E288" s="6">
        <v>8372.59</v>
      </c>
      <c r="F288" s="6">
        <f t="shared" si="10"/>
        <v>199.56</v>
      </c>
      <c r="G288" s="6">
        <v>21.78</v>
      </c>
      <c r="H288" s="6">
        <v>177.78</v>
      </c>
      <c r="I288" s="6">
        <v>17.440000000000001</v>
      </c>
      <c r="J288" s="6">
        <v>147.22</v>
      </c>
      <c r="K288" s="6">
        <v>49.67</v>
      </c>
    </row>
    <row r="289" spans="1:11">
      <c r="A289" t="s">
        <v>625</v>
      </c>
      <c r="B289" t="s">
        <v>626</v>
      </c>
      <c r="C289" s="6">
        <v>9795.14</v>
      </c>
      <c r="D289" s="6">
        <f t="shared" si="9"/>
        <v>319.23</v>
      </c>
      <c r="E289" s="6">
        <v>8578.5</v>
      </c>
      <c r="F289" s="6">
        <f t="shared" si="10"/>
        <v>326.77</v>
      </c>
      <c r="G289" s="6">
        <v>39.44</v>
      </c>
      <c r="H289" s="6">
        <v>287.33</v>
      </c>
      <c r="I289" s="6">
        <v>29.67</v>
      </c>
      <c r="J289" s="6">
        <v>190.89</v>
      </c>
      <c r="K289" s="6">
        <v>98.67</v>
      </c>
    </row>
    <row r="290" spans="1:11">
      <c r="A290" t="s">
        <v>606</v>
      </c>
      <c r="B290" t="s">
        <v>607</v>
      </c>
      <c r="C290" s="6">
        <v>9974.33</v>
      </c>
      <c r="D290" s="6">
        <f t="shared" si="9"/>
        <v>324.44</v>
      </c>
      <c r="E290" s="6">
        <v>8741.14</v>
      </c>
      <c r="F290" s="6">
        <f t="shared" si="10"/>
        <v>355.44</v>
      </c>
      <c r="G290" s="6">
        <v>33.44</v>
      </c>
      <c r="H290" s="6">
        <v>322</v>
      </c>
      <c r="I290" s="6">
        <v>28.11</v>
      </c>
      <c r="J290" s="6">
        <v>235.44</v>
      </c>
      <c r="K290" s="6">
        <v>60.89</v>
      </c>
    </row>
    <row r="291" spans="1:11">
      <c r="A291" t="s">
        <v>1020</v>
      </c>
      <c r="B291" t="s">
        <v>1021</v>
      </c>
      <c r="C291" s="6">
        <v>9299.3700000000008</v>
      </c>
      <c r="D291" s="6">
        <f t="shared" si="9"/>
        <v>13.33</v>
      </c>
      <c r="E291" s="6" t="s">
        <v>1184</v>
      </c>
      <c r="F291" s="6">
        <f t="shared" si="10"/>
        <v>0</v>
      </c>
      <c r="G291" s="6" t="s">
        <v>1184</v>
      </c>
      <c r="H291" s="6" t="s">
        <v>1184</v>
      </c>
      <c r="I291" s="6">
        <v>0</v>
      </c>
      <c r="J291" s="6">
        <v>13.33</v>
      </c>
      <c r="K291" s="6">
        <v>0</v>
      </c>
    </row>
    <row r="292" spans="1:11">
      <c r="A292" t="s">
        <v>897</v>
      </c>
      <c r="B292" t="s">
        <v>898</v>
      </c>
      <c r="C292" s="6">
        <v>10026.42</v>
      </c>
      <c r="D292" s="6">
        <f t="shared" si="9"/>
        <v>121.67</v>
      </c>
      <c r="E292" s="6">
        <v>8727.0300000000007</v>
      </c>
      <c r="F292" s="6">
        <f t="shared" si="10"/>
        <v>135.88999999999999</v>
      </c>
      <c r="G292" s="6">
        <v>33.33</v>
      </c>
      <c r="H292" s="6">
        <v>102.56</v>
      </c>
      <c r="I292" s="6">
        <v>13</v>
      </c>
      <c r="J292" s="6">
        <v>83.56</v>
      </c>
      <c r="K292" s="6">
        <v>25.11</v>
      </c>
    </row>
    <row r="293" spans="1:11">
      <c r="A293" t="s">
        <v>540</v>
      </c>
      <c r="B293" t="s">
        <v>541</v>
      </c>
      <c r="C293" s="6">
        <v>9560.81</v>
      </c>
      <c r="D293" s="6">
        <f t="shared" si="9"/>
        <v>14.55</v>
      </c>
      <c r="E293" s="6">
        <v>8120.44</v>
      </c>
      <c r="F293" s="6">
        <f t="shared" si="10"/>
        <v>8.67</v>
      </c>
      <c r="G293" s="6">
        <v>1.78</v>
      </c>
      <c r="H293" s="6">
        <v>6.89</v>
      </c>
      <c r="I293" s="6">
        <v>0.33</v>
      </c>
      <c r="J293" s="6">
        <v>13.22</v>
      </c>
      <c r="K293" s="6">
        <v>1</v>
      </c>
    </row>
    <row r="294" spans="1:11">
      <c r="A294" t="s">
        <v>552</v>
      </c>
      <c r="B294" t="s">
        <v>553</v>
      </c>
      <c r="C294" s="6">
        <v>8338.9500000000007</v>
      </c>
      <c r="D294" s="6">
        <f t="shared" si="9"/>
        <v>6.5600000000000005</v>
      </c>
      <c r="E294" s="6">
        <v>7206.47</v>
      </c>
      <c r="F294" s="6">
        <f t="shared" si="10"/>
        <v>10.11</v>
      </c>
      <c r="G294" s="6">
        <v>0</v>
      </c>
      <c r="H294" s="6">
        <v>10.11</v>
      </c>
      <c r="I294" s="6">
        <v>0</v>
      </c>
      <c r="J294" s="6">
        <v>3.89</v>
      </c>
      <c r="K294" s="6">
        <v>2.67</v>
      </c>
    </row>
    <row r="295" spans="1:11">
      <c r="A295" t="s">
        <v>815</v>
      </c>
      <c r="B295" t="s">
        <v>816</v>
      </c>
      <c r="C295" s="6">
        <v>9232.35</v>
      </c>
      <c r="D295" s="6">
        <f t="shared" si="9"/>
        <v>40.67</v>
      </c>
      <c r="E295" s="6">
        <v>8154.93</v>
      </c>
      <c r="F295" s="6">
        <f t="shared" si="10"/>
        <v>45.45</v>
      </c>
      <c r="G295" s="6">
        <v>3.67</v>
      </c>
      <c r="H295" s="6">
        <v>41.78</v>
      </c>
      <c r="I295" s="6">
        <v>1</v>
      </c>
      <c r="J295" s="6">
        <v>34</v>
      </c>
      <c r="K295" s="6">
        <v>5.67</v>
      </c>
    </row>
    <row r="296" spans="1:11">
      <c r="A296" t="s">
        <v>703</v>
      </c>
      <c r="B296" t="s">
        <v>704</v>
      </c>
      <c r="C296" s="6">
        <v>9284.7000000000007</v>
      </c>
      <c r="D296" s="6">
        <f t="shared" si="9"/>
        <v>377.44</v>
      </c>
      <c r="E296" s="6">
        <v>8079.98</v>
      </c>
      <c r="F296" s="6">
        <f t="shared" si="10"/>
        <v>342.44</v>
      </c>
      <c r="G296" s="6">
        <v>44</v>
      </c>
      <c r="H296" s="6">
        <v>298.44</v>
      </c>
      <c r="I296" s="6">
        <v>33</v>
      </c>
      <c r="J296" s="6">
        <v>267.33</v>
      </c>
      <c r="K296" s="6">
        <v>77.11</v>
      </c>
    </row>
    <row r="297" spans="1:11">
      <c r="A297" t="s">
        <v>390</v>
      </c>
      <c r="B297" t="s">
        <v>391</v>
      </c>
      <c r="C297" s="6">
        <v>9283.98</v>
      </c>
      <c r="D297" s="6">
        <f t="shared" si="9"/>
        <v>78.22</v>
      </c>
      <c r="E297" s="6">
        <v>8027.68</v>
      </c>
      <c r="F297" s="6">
        <f t="shared" si="10"/>
        <v>83</v>
      </c>
      <c r="G297" s="6">
        <v>4.1100000000000003</v>
      </c>
      <c r="H297" s="6">
        <v>78.89</v>
      </c>
      <c r="I297" s="6">
        <v>3.89</v>
      </c>
      <c r="J297" s="6">
        <v>54.44</v>
      </c>
      <c r="K297" s="6">
        <v>19.89</v>
      </c>
    </row>
    <row r="298" spans="1:11">
      <c r="A298" t="s">
        <v>679</v>
      </c>
      <c r="B298" t="s">
        <v>680</v>
      </c>
      <c r="C298" s="6">
        <v>9383.35</v>
      </c>
      <c r="D298" s="6">
        <f t="shared" si="9"/>
        <v>23.450000000000003</v>
      </c>
      <c r="E298" s="6">
        <v>8195.2199999999993</v>
      </c>
      <c r="F298" s="6">
        <f t="shared" si="10"/>
        <v>16.45</v>
      </c>
      <c r="G298" s="6">
        <v>1.56</v>
      </c>
      <c r="H298" s="6">
        <v>14.89</v>
      </c>
      <c r="I298" s="6">
        <v>1</v>
      </c>
      <c r="J298" s="6">
        <v>15.78</v>
      </c>
      <c r="K298" s="6">
        <v>6.67</v>
      </c>
    </row>
    <row r="299" spans="1:11">
      <c r="A299" t="s">
        <v>476</v>
      </c>
      <c r="B299" t="s">
        <v>477</v>
      </c>
      <c r="C299" s="6">
        <v>9324.19</v>
      </c>
      <c r="D299" s="6">
        <f t="shared" si="9"/>
        <v>14.879999999999999</v>
      </c>
      <c r="E299" s="6">
        <v>8245.32</v>
      </c>
      <c r="F299" s="6">
        <f t="shared" si="10"/>
        <v>20.56</v>
      </c>
      <c r="G299" s="6">
        <v>3</v>
      </c>
      <c r="H299" s="6">
        <v>17.559999999999999</v>
      </c>
      <c r="I299" s="6">
        <v>0</v>
      </c>
      <c r="J299" s="6">
        <v>11.44</v>
      </c>
      <c r="K299" s="6">
        <v>3.44</v>
      </c>
    </row>
    <row r="300" spans="1:11">
      <c r="A300" t="s">
        <v>797</v>
      </c>
      <c r="B300" t="s">
        <v>798</v>
      </c>
      <c r="C300" s="6">
        <v>9687.68</v>
      </c>
      <c r="D300" s="6">
        <f t="shared" si="9"/>
        <v>4.9000000000000004</v>
      </c>
      <c r="E300" s="6">
        <v>8484.8799999999992</v>
      </c>
      <c r="F300" s="6">
        <f t="shared" si="10"/>
        <v>8.67</v>
      </c>
      <c r="G300" s="6">
        <v>1.67</v>
      </c>
      <c r="H300" s="6">
        <v>7</v>
      </c>
      <c r="I300" s="6">
        <v>0.56000000000000005</v>
      </c>
      <c r="J300" s="6">
        <v>3.67</v>
      </c>
      <c r="K300" s="6">
        <v>0.67</v>
      </c>
    </row>
    <row r="301" spans="1:11">
      <c r="A301" t="s">
        <v>394</v>
      </c>
      <c r="B301" t="s">
        <v>395</v>
      </c>
      <c r="C301" s="6">
        <v>9721.0400000000009</v>
      </c>
      <c r="D301" s="6">
        <f t="shared" si="9"/>
        <v>30.769999999999996</v>
      </c>
      <c r="E301" s="6">
        <v>8192.49</v>
      </c>
      <c r="F301" s="6">
        <f t="shared" si="10"/>
        <v>31.549999999999997</v>
      </c>
      <c r="G301" s="6">
        <v>3.33</v>
      </c>
      <c r="H301" s="6">
        <v>28.22</v>
      </c>
      <c r="I301" s="6">
        <v>2.33</v>
      </c>
      <c r="J301" s="6">
        <v>27.33</v>
      </c>
      <c r="K301" s="6">
        <v>1.1100000000000001</v>
      </c>
    </row>
    <row r="302" spans="1:11">
      <c r="A302" t="s">
        <v>448</v>
      </c>
      <c r="B302" t="s">
        <v>449</v>
      </c>
      <c r="C302" s="6">
        <v>9291.91</v>
      </c>
      <c r="D302" s="6">
        <f t="shared" si="9"/>
        <v>22.78</v>
      </c>
      <c r="E302" s="6">
        <v>8088.99</v>
      </c>
      <c r="F302" s="6">
        <f t="shared" si="10"/>
        <v>9.4499999999999993</v>
      </c>
      <c r="G302" s="6">
        <v>1.78</v>
      </c>
      <c r="H302" s="6">
        <v>7.67</v>
      </c>
      <c r="I302" s="6">
        <v>1</v>
      </c>
      <c r="J302" s="6">
        <v>17.78</v>
      </c>
      <c r="K302" s="6">
        <v>4</v>
      </c>
    </row>
    <row r="303" spans="1:11">
      <c r="A303" t="s">
        <v>739</v>
      </c>
      <c r="B303" t="s">
        <v>740</v>
      </c>
      <c r="C303" s="6">
        <v>9463.35</v>
      </c>
      <c r="D303" s="6">
        <f t="shared" si="9"/>
        <v>27.339999999999996</v>
      </c>
      <c r="E303" s="6">
        <v>8154.83</v>
      </c>
      <c r="F303" s="6">
        <f t="shared" si="10"/>
        <v>34</v>
      </c>
      <c r="G303" s="6">
        <v>1.89</v>
      </c>
      <c r="H303" s="6">
        <v>32.11</v>
      </c>
      <c r="I303" s="6">
        <v>1.22</v>
      </c>
      <c r="J303" s="6">
        <v>22.56</v>
      </c>
      <c r="K303" s="6">
        <v>3.56</v>
      </c>
    </row>
    <row r="304" spans="1:11">
      <c r="A304" t="s">
        <v>785</v>
      </c>
      <c r="B304" t="s">
        <v>786</v>
      </c>
      <c r="C304" s="6">
        <v>9350.59</v>
      </c>
      <c r="D304" s="6">
        <f t="shared" si="9"/>
        <v>19.560000000000002</v>
      </c>
      <c r="E304" s="6">
        <v>8092.89</v>
      </c>
      <c r="F304" s="6">
        <f t="shared" si="10"/>
        <v>17.549999999999997</v>
      </c>
      <c r="G304" s="6">
        <v>1.22</v>
      </c>
      <c r="H304" s="6">
        <v>16.329999999999998</v>
      </c>
      <c r="I304" s="6">
        <v>0</v>
      </c>
      <c r="J304" s="6">
        <v>16.670000000000002</v>
      </c>
      <c r="K304" s="6">
        <v>2.89</v>
      </c>
    </row>
    <row r="305" spans="1:11">
      <c r="A305" t="s">
        <v>645</v>
      </c>
      <c r="B305" t="s">
        <v>646</v>
      </c>
      <c r="C305" s="6">
        <v>9567.7800000000007</v>
      </c>
      <c r="D305" s="6">
        <f t="shared" si="9"/>
        <v>23.11</v>
      </c>
      <c r="E305" s="6">
        <v>7973.44</v>
      </c>
      <c r="F305" s="6">
        <f t="shared" si="10"/>
        <v>13.44</v>
      </c>
      <c r="G305" s="6">
        <v>4</v>
      </c>
      <c r="H305" s="6">
        <v>9.44</v>
      </c>
      <c r="I305" s="6">
        <v>0.67</v>
      </c>
      <c r="J305" s="6">
        <v>14.33</v>
      </c>
      <c r="K305" s="6">
        <v>8.11</v>
      </c>
    </row>
    <row r="306" spans="1:11">
      <c r="A306" t="s">
        <v>1035</v>
      </c>
      <c r="B306" t="s">
        <v>1036</v>
      </c>
      <c r="C306" s="6">
        <v>10471.08</v>
      </c>
      <c r="D306" s="6">
        <f t="shared" si="9"/>
        <v>15.56</v>
      </c>
      <c r="E306" s="6" t="s">
        <v>1184</v>
      </c>
      <c r="F306" s="6">
        <f t="shared" si="10"/>
        <v>0</v>
      </c>
      <c r="G306" s="6" t="s">
        <v>1184</v>
      </c>
      <c r="H306" s="6" t="s">
        <v>1184</v>
      </c>
      <c r="I306" s="6">
        <v>0</v>
      </c>
      <c r="J306" s="6">
        <v>15.56</v>
      </c>
      <c r="K306" s="6">
        <v>0</v>
      </c>
    </row>
    <row r="307" spans="1:11">
      <c r="A307" t="s">
        <v>835</v>
      </c>
      <c r="B307" t="s">
        <v>836</v>
      </c>
      <c r="C307" s="6">
        <v>9569.1299999999992</v>
      </c>
      <c r="D307" s="6">
        <f t="shared" si="9"/>
        <v>74.66</v>
      </c>
      <c r="E307" s="6">
        <v>8256.6299999999992</v>
      </c>
      <c r="F307" s="6">
        <f t="shared" si="10"/>
        <v>67.89</v>
      </c>
      <c r="G307" s="6">
        <v>6.33</v>
      </c>
      <c r="H307" s="6">
        <v>61.56</v>
      </c>
      <c r="I307" s="6">
        <v>9</v>
      </c>
      <c r="J307" s="6">
        <v>51.33</v>
      </c>
      <c r="K307" s="6">
        <v>14.33</v>
      </c>
    </row>
    <row r="308" spans="1:11">
      <c r="A308" t="s">
        <v>614</v>
      </c>
      <c r="B308" t="s">
        <v>615</v>
      </c>
      <c r="C308" s="6">
        <v>9319.7000000000007</v>
      </c>
      <c r="D308" s="6">
        <f t="shared" si="9"/>
        <v>188.33</v>
      </c>
      <c r="E308" s="6">
        <v>8091.55</v>
      </c>
      <c r="F308" s="6">
        <f t="shared" si="10"/>
        <v>176.89</v>
      </c>
      <c r="G308" s="6">
        <v>17</v>
      </c>
      <c r="H308" s="6">
        <v>159.88999999999999</v>
      </c>
      <c r="I308" s="6">
        <v>10.44</v>
      </c>
      <c r="J308" s="6">
        <v>144.33000000000001</v>
      </c>
      <c r="K308" s="6">
        <v>33.56</v>
      </c>
    </row>
    <row r="309" spans="1:11">
      <c r="A309" t="s">
        <v>891</v>
      </c>
      <c r="B309" t="s">
        <v>892</v>
      </c>
      <c r="C309" s="6">
        <v>9229.68</v>
      </c>
      <c r="D309" s="6">
        <f t="shared" si="9"/>
        <v>2215.67</v>
      </c>
      <c r="E309" s="6">
        <v>8066.17</v>
      </c>
      <c r="F309" s="6">
        <f t="shared" si="10"/>
        <v>2215</v>
      </c>
      <c r="G309" s="6">
        <v>274.77999999999997</v>
      </c>
      <c r="H309" s="6">
        <v>1940.22</v>
      </c>
      <c r="I309" s="6">
        <v>251.78</v>
      </c>
      <c r="J309" s="6">
        <v>1031.56</v>
      </c>
      <c r="K309" s="6">
        <v>932.33</v>
      </c>
    </row>
    <row r="310" spans="1:11">
      <c r="A310" t="s">
        <v>436</v>
      </c>
      <c r="B310" t="s">
        <v>437</v>
      </c>
      <c r="C310" s="6">
        <v>9120.19</v>
      </c>
      <c r="D310" s="6">
        <f t="shared" si="9"/>
        <v>444.33</v>
      </c>
      <c r="E310" s="6">
        <v>8083.69</v>
      </c>
      <c r="F310" s="6">
        <f t="shared" si="10"/>
        <v>413.23</v>
      </c>
      <c r="G310" s="6">
        <v>37.67</v>
      </c>
      <c r="H310" s="6">
        <v>375.56</v>
      </c>
      <c r="I310" s="6">
        <v>45.56</v>
      </c>
      <c r="J310" s="6">
        <v>272.44</v>
      </c>
      <c r="K310" s="6">
        <v>126.33</v>
      </c>
    </row>
    <row r="311" spans="1:11">
      <c r="A311" t="s">
        <v>751</v>
      </c>
      <c r="B311" t="s">
        <v>752</v>
      </c>
      <c r="C311" s="6">
        <v>9261.39</v>
      </c>
      <c r="D311" s="6">
        <f t="shared" si="9"/>
        <v>491.78</v>
      </c>
      <c r="E311" s="6">
        <v>8073.74</v>
      </c>
      <c r="F311" s="6">
        <f t="shared" si="10"/>
        <v>491.67</v>
      </c>
      <c r="G311" s="6">
        <v>27.67</v>
      </c>
      <c r="H311" s="6">
        <v>464</v>
      </c>
      <c r="I311" s="6">
        <v>49</v>
      </c>
      <c r="J311" s="6">
        <v>368</v>
      </c>
      <c r="K311" s="6">
        <v>74.78</v>
      </c>
    </row>
    <row r="312" spans="1:11">
      <c r="A312" t="s">
        <v>568</v>
      </c>
      <c r="B312" t="s">
        <v>569</v>
      </c>
      <c r="C312" s="6">
        <v>9303.0300000000007</v>
      </c>
      <c r="D312" s="6">
        <f t="shared" si="9"/>
        <v>84.89</v>
      </c>
      <c r="E312" s="6">
        <v>8084.84</v>
      </c>
      <c r="F312" s="6">
        <f t="shared" si="10"/>
        <v>98.89</v>
      </c>
      <c r="G312" s="6">
        <v>7.56</v>
      </c>
      <c r="H312" s="6">
        <v>91.33</v>
      </c>
      <c r="I312" s="6">
        <v>8</v>
      </c>
      <c r="J312" s="6">
        <v>37.22</v>
      </c>
      <c r="K312" s="6">
        <v>39.67</v>
      </c>
    </row>
    <row r="313" spans="1:11">
      <c r="A313" t="s">
        <v>484</v>
      </c>
      <c r="B313" t="s">
        <v>485</v>
      </c>
      <c r="C313" s="6">
        <v>9235.0300000000007</v>
      </c>
      <c r="D313" s="6">
        <f t="shared" si="9"/>
        <v>587.33000000000004</v>
      </c>
      <c r="E313" s="6">
        <v>8066.98</v>
      </c>
      <c r="F313" s="6">
        <f t="shared" si="10"/>
        <v>505.11</v>
      </c>
      <c r="G313" s="6">
        <v>40.67</v>
      </c>
      <c r="H313" s="6">
        <v>464.44</v>
      </c>
      <c r="I313" s="6">
        <v>30.44</v>
      </c>
      <c r="J313" s="6">
        <v>263.22000000000003</v>
      </c>
      <c r="K313" s="6">
        <v>293.67</v>
      </c>
    </row>
    <row r="314" spans="1:11">
      <c r="A314" t="s">
        <v>807</v>
      </c>
      <c r="B314" t="s">
        <v>808</v>
      </c>
      <c r="C314" s="6">
        <v>9222.23</v>
      </c>
      <c r="D314" s="6">
        <f t="shared" si="9"/>
        <v>925.11</v>
      </c>
      <c r="E314" s="6">
        <v>8020.69</v>
      </c>
      <c r="F314" s="6">
        <f t="shared" si="10"/>
        <v>977.1099999999999</v>
      </c>
      <c r="G314" s="6">
        <v>56.44</v>
      </c>
      <c r="H314" s="6">
        <v>920.67</v>
      </c>
      <c r="I314" s="6">
        <v>53.44</v>
      </c>
      <c r="J314" s="6">
        <v>445.11</v>
      </c>
      <c r="K314" s="6">
        <v>426.56</v>
      </c>
    </row>
    <row r="315" spans="1:11">
      <c r="A315" t="s">
        <v>825</v>
      </c>
      <c r="B315" t="s">
        <v>826</v>
      </c>
      <c r="C315" s="6">
        <v>9154.48</v>
      </c>
      <c r="D315" s="6">
        <f t="shared" si="9"/>
        <v>558.45000000000005</v>
      </c>
      <c r="E315" s="6">
        <v>7995.59</v>
      </c>
      <c r="F315" s="6">
        <f t="shared" si="10"/>
        <v>576.78</v>
      </c>
      <c r="G315" s="6">
        <v>36.33</v>
      </c>
      <c r="H315" s="6">
        <v>540.44999999999993</v>
      </c>
      <c r="I315" s="6">
        <v>45.78</v>
      </c>
      <c r="J315" s="6">
        <v>464.67</v>
      </c>
      <c r="K315" s="6">
        <v>48</v>
      </c>
    </row>
    <row r="316" spans="1:11">
      <c r="A316" t="s">
        <v>500</v>
      </c>
      <c r="B316" t="s">
        <v>501</v>
      </c>
      <c r="C316" s="6">
        <v>9236</v>
      </c>
      <c r="D316" s="6">
        <f t="shared" si="9"/>
        <v>152.76999999999998</v>
      </c>
      <c r="E316" s="6">
        <v>7991.2</v>
      </c>
      <c r="F316" s="6">
        <f t="shared" si="10"/>
        <v>138.22</v>
      </c>
      <c r="G316" s="6">
        <v>9.44</v>
      </c>
      <c r="H316" s="6">
        <v>128.78</v>
      </c>
      <c r="I316" s="6">
        <v>13.89</v>
      </c>
      <c r="J316" s="6">
        <v>100.44</v>
      </c>
      <c r="K316" s="6">
        <v>38.44</v>
      </c>
    </row>
    <row r="317" spans="1:11">
      <c r="A317" t="s">
        <v>486</v>
      </c>
      <c r="B317" t="s">
        <v>487</v>
      </c>
      <c r="C317" s="6">
        <v>9270.7000000000007</v>
      </c>
      <c r="D317" s="6">
        <f t="shared" si="9"/>
        <v>213.55</v>
      </c>
      <c r="E317" s="6">
        <v>8055.33</v>
      </c>
      <c r="F317" s="6">
        <f t="shared" si="10"/>
        <v>204.33</v>
      </c>
      <c r="G317" s="6">
        <v>21.22</v>
      </c>
      <c r="H317" s="6">
        <v>183.11</v>
      </c>
      <c r="I317" s="6">
        <v>22.89</v>
      </c>
      <c r="J317" s="6">
        <v>102.22</v>
      </c>
      <c r="K317" s="6">
        <v>88.44</v>
      </c>
    </row>
    <row r="318" spans="1:11">
      <c r="A318" t="s">
        <v>895</v>
      </c>
      <c r="B318" t="s">
        <v>896</v>
      </c>
      <c r="C318" s="6">
        <v>9277.98</v>
      </c>
      <c r="D318" s="6">
        <f t="shared" si="9"/>
        <v>159.78</v>
      </c>
      <c r="E318" s="6">
        <v>8017.85</v>
      </c>
      <c r="F318" s="6">
        <f t="shared" si="10"/>
        <v>148</v>
      </c>
      <c r="G318" s="6">
        <v>10.78</v>
      </c>
      <c r="H318" s="6">
        <v>137.22</v>
      </c>
      <c r="I318" s="6">
        <v>7.11</v>
      </c>
      <c r="J318" s="6">
        <v>116.11</v>
      </c>
      <c r="K318" s="6">
        <v>36.56</v>
      </c>
    </row>
    <row r="319" spans="1:11">
      <c r="A319" t="s">
        <v>853</v>
      </c>
      <c r="B319" t="s">
        <v>854</v>
      </c>
      <c r="C319" s="6">
        <v>9267.91</v>
      </c>
      <c r="D319" s="6">
        <f t="shared" si="9"/>
        <v>442.33999999999992</v>
      </c>
      <c r="E319" s="6">
        <v>8060.9</v>
      </c>
      <c r="F319" s="6">
        <f t="shared" si="10"/>
        <v>410.11</v>
      </c>
      <c r="G319" s="6">
        <v>43.67</v>
      </c>
      <c r="H319" s="6">
        <v>366.44</v>
      </c>
      <c r="I319" s="6">
        <v>14.89</v>
      </c>
      <c r="J319" s="6">
        <v>288.77999999999997</v>
      </c>
      <c r="K319" s="6">
        <v>138.66999999999999</v>
      </c>
    </row>
    <row r="320" spans="1:11">
      <c r="A320" t="s">
        <v>869</v>
      </c>
      <c r="B320" t="s">
        <v>870</v>
      </c>
      <c r="C320" s="6">
        <v>9463.85</v>
      </c>
      <c r="D320" s="6">
        <f t="shared" si="9"/>
        <v>796.55000000000007</v>
      </c>
      <c r="E320" s="6">
        <v>8382.92</v>
      </c>
      <c r="F320" s="6">
        <f t="shared" si="10"/>
        <v>749.89</v>
      </c>
      <c r="G320" s="6">
        <v>62.78</v>
      </c>
      <c r="H320" s="6">
        <v>687.11</v>
      </c>
      <c r="I320" s="6">
        <v>55.33</v>
      </c>
      <c r="J320" s="6">
        <v>544.89</v>
      </c>
      <c r="K320" s="6">
        <v>196.33</v>
      </c>
    </row>
    <row r="321" spans="1:11">
      <c r="A321" t="s">
        <v>604</v>
      </c>
      <c r="B321" t="s">
        <v>605</v>
      </c>
      <c r="C321" s="6">
        <v>9138.6</v>
      </c>
      <c r="D321" s="6">
        <f t="shared" si="9"/>
        <v>126.89</v>
      </c>
      <c r="E321" s="6">
        <v>8096.04</v>
      </c>
      <c r="F321" s="6">
        <f t="shared" si="10"/>
        <v>134.67000000000002</v>
      </c>
      <c r="G321" s="6">
        <v>8.89</v>
      </c>
      <c r="H321" s="6">
        <v>125.78</v>
      </c>
      <c r="I321" s="6">
        <v>5.67</v>
      </c>
      <c r="J321" s="6">
        <v>96.44</v>
      </c>
      <c r="K321" s="6">
        <v>24.78</v>
      </c>
    </row>
    <row r="322" spans="1:11">
      <c r="A322" t="s">
        <v>993</v>
      </c>
      <c r="B322" t="s">
        <v>994</v>
      </c>
      <c r="C322" s="6">
        <v>8700.06</v>
      </c>
      <c r="D322" s="6">
        <f t="shared" si="9"/>
        <v>0</v>
      </c>
      <c r="E322" s="6" t="s">
        <v>1184</v>
      </c>
      <c r="F322" s="6">
        <f t="shared" si="10"/>
        <v>0</v>
      </c>
      <c r="G322" s="6" t="s">
        <v>1184</v>
      </c>
      <c r="H322" s="6" t="s">
        <v>1184</v>
      </c>
      <c r="I322" s="6">
        <v>0</v>
      </c>
      <c r="J322" s="6">
        <v>0</v>
      </c>
      <c r="K322" s="6">
        <v>0</v>
      </c>
    </row>
    <row r="323" spans="1:11">
      <c r="D323" s="6"/>
      <c r="E323" s="6"/>
      <c r="F323" s="6"/>
      <c r="G323" s="6"/>
      <c r="H323" s="6"/>
      <c r="I323" s="6"/>
      <c r="J323" s="6"/>
      <c r="K323" s="6"/>
    </row>
    <row r="324" spans="1:11">
      <c r="D324" s="6"/>
      <c r="E324" s="6"/>
      <c r="F324" s="6"/>
      <c r="G324" s="6"/>
      <c r="H324" s="6"/>
      <c r="I324" s="6"/>
      <c r="J324" s="6"/>
      <c r="K324" s="6"/>
    </row>
    <row r="325" spans="1:11">
      <c r="D325" s="6"/>
      <c r="E325" s="6"/>
      <c r="F325" s="6"/>
      <c r="G325" s="6"/>
      <c r="H325" s="6"/>
      <c r="I325" s="6"/>
      <c r="J325" s="6"/>
      <c r="K325" s="6"/>
    </row>
    <row r="326" spans="1:11">
      <c r="D326" s="6"/>
      <c r="E326" s="6"/>
      <c r="F326" s="6"/>
      <c r="G326" s="6"/>
      <c r="H326" s="6"/>
      <c r="I326" s="6"/>
      <c r="J326" s="6"/>
      <c r="K326" s="6"/>
    </row>
    <row r="327" spans="1:11">
      <c r="D327" s="6"/>
      <c r="E327" s="6"/>
      <c r="F327" s="6"/>
      <c r="G327" s="6"/>
      <c r="H327" s="6"/>
      <c r="I327" s="6"/>
      <c r="J327" s="6"/>
      <c r="K327" s="6"/>
    </row>
    <row r="328" spans="1:11">
      <c r="D328" s="6"/>
      <c r="E328" s="6"/>
      <c r="F328" s="6"/>
      <c r="G328" s="6"/>
      <c r="H328" s="6"/>
      <c r="I328" s="6"/>
      <c r="J328" s="6"/>
      <c r="K328" s="6"/>
    </row>
    <row r="329" spans="1:11">
      <c r="D329" s="6"/>
      <c r="E329" s="6"/>
      <c r="F329" s="6"/>
      <c r="G329" s="6"/>
      <c r="H329" s="6"/>
      <c r="I329" s="6"/>
      <c r="J329" s="6"/>
      <c r="K329" s="6"/>
    </row>
    <row r="330" spans="1:11">
      <c r="D330" s="6"/>
      <c r="E330" s="6"/>
      <c r="F330" s="6"/>
      <c r="G330" s="6"/>
      <c r="H330" s="6"/>
      <c r="I330" s="6"/>
      <c r="J330" s="6"/>
      <c r="K330" s="6"/>
    </row>
    <row r="331" spans="1:11">
      <c r="D331" s="6"/>
      <c r="E331" s="6"/>
      <c r="F331" s="6"/>
      <c r="G331" s="6"/>
      <c r="H331" s="6"/>
      <c r="I331" s="6"/>
      <c r="J331" s="6"/>
      <c r="K331" s="6"/>
    </row>
    <row r="332" spans="1:11">
      <c r="D332" s="6"/>
      <c r="E332" s="6"/>
      <c r="F332" s="6"/>
      <c r="G332" s="6"/>
      <c r="H332" s="6"/>
      <c r="I332" s="6"/>
      <c r="J332" s="6"/>
      <c r="K332" s="6"/>
    </row>
    <row r="333" spans="1:11">
      <c r="D333" s="6"/>
      <c r="E333" s="6"/>
      <c r="F333" s="6"/>
      <c r="G333" s="6"/>
      <c r="H333" s="6"/>
      <c r="I333" s="6"/>
      <c r="J333" s="6"/>
      <c r="K333" s="6"/>
    </row>
    <row r="334" spans="1:11">
      <c r="D334" s="6"/>
      <c r="E334" s="6"/>
      <c r="F334" s="6"/>
      <c r="G334" s="6"/>
      <c r="H334" s="6"/>
      <c r="I334" s="6"/>
      <c r="J334" s="6"/>
      <c r="K334" s="6"/>
    </row>
    <row r="335" spans="1:11">
      <c r="D335" s="6"/>
      <c r="E335" s="6"/>
      <c r="F335" s="6"/>
      <c r="G335" s="6"/>
      <c r="H335" s="6"/>
      <c r="I335" s="6"/>
      <c r="J335" s="6"/>
      <c r="K335" s="6"/>
    </row>
    <row r="336" spans="1:11">
      <c r="D336" s="6"/>
      <c r="E336" s="6"/>
      <c r="F336" s="6"/>
      <c r="G336" s="6"/>
      <c r="H336" s="6"/>
      <c r="I336" s="6"/>
      <c r="J336" s="6"/>
      <c r="K336" s="6"/>
    </row>
    <row r="337" spans="4:11">
      <c r="D337" s="6"/>
      <c r="E337" s="6"/>
      <c r="F337" s="6"/>
      <c r="G337" s="6"/>
      <c r="H337" s="6"/>
      <c r="I337" s="6"/>
      <c r="J337" s="6"/>
      <c r="K337" s="6"/>
    </row>
    <row r="338" spans="4:11">
      <c r="D338" s="6"/>
      <c r="E338" s="6"/>
      <c r="F338" s="6"/>
      <c r="G338" s="6"/>
      <c r="H338" s="6"/>
      <c r="I338" s="6"/>
      <c r="J338" s="6"/>
      <c r="K338" s="6"/>
    </row>
    <row r="339" spans="4:11">
      <c r="D339" s="6"/>
      <c r="E339" s="6"/>
      <c r="F339" s="6"/>
      <c r="G339" s="6"/>
      <c r="H339" s="6"/>
      <c r="I339" s="6"/>
      <c r="J339" s="6"/>
      <c r="K339" s="6"/>
    </row>
    <row r="340" spans="4:11">
      <c r="D340" s="6"/>
      <c r="E340" s="6"/>
      <c r="F340" s="6"/>
      <c r="G340" s="6"/>
      <c r="H340" s="6"/>
      <c r="I340" s="6"/>
      <c r="J340" s="6"/>
      <c r="K340" s="6"/>
    </row>
    <row r="341" spans="4:11">
      <c r="D341" s="6"/>
      <c r="E341" s="6"/>
      <c r="F341" s="6"/>
      <c r="G341" s="6"/>
      <c r="H341" s="6"/>
      <c r="I341" s="6"/>
      <c r="J341" s="6"/>
      <c r="K341" s="6"/>
    </row>
    <row r="342" spans="4:11">
      <c r="D342" s="6"/>
      <c r="E342" s="6"/>
      <c r="F342" s="6"/>
      <c r="G342" s="6"/>
      <c r="H342" s="6"/>
      <c r="I342" s="6"/>
      <c r="J342" s="6"/>
      <c r="K342" s="6"/>
    </row>
    <row r="343" spans="4:11">
      <c r="D343" s="6"/>
      <c r="E343" s="6"/>
      <c r="F343" s="6"/>
      <c r="G343" s="6"/>
      <c r="H343" s="6"/>
      <c r="I343" s="6"/>
      <c r="J343" s="6"/>
      <c r="K343" s="6"/>
    </row>
    <row r="344" spans="4:11">
      <c r="D344" s="6"/>
      <c r="E344" s="6"/>
      <c r="F344" s="6"/>
      <c r="G344" s="6"/>
      <c r="H344" s="6"/>
      <c r="I344" s="6"/>
      <c r="J344" s="6"/>
      <c r="K344" s="6"/>
    </row>
    <row r="345" spans="4:11">
      <c r="D345" s="6"/>
      <c r="E345" s="6"/>
      <c r="F345" s="6"/>
      <c r="G345" s="6"/>
      <c r="H345" s="6"/>
      <c r="I345" s="6"/>
      <c r="J345" s="6"/>
      <c r="K345" s="6"/>
    </row>
    <row r="346" spans="4:11">
      <c r="D346" s="6"/>
      <c r="E346" s="6"/>
      <c r="F346" s="6"/>
      <c r="G346" s="6"/>
      <c r="H346" s="6"/>
      <c r="I346" s="6"/>
      <c r="J346" s="6"/>
      <c r="K346" s="6"/>
    </row>
    <row r="347" spans="4:11">
      <c r="D347" s="6"/>
      <c r="E347" s="6"/>
      <c r="F347" s="6"/>
      <c r="G347" s="6"/>
      <c r="H347" s="6"/>
      <c r="I347" s="6"/>
      <c r="J347" s="6"/>
      <c r="K347" s="6"/>
    </row>
    <row r="348" spans="4:11">
      <c r="D348" s="6"/>
      <c r="E348" s="6"/>
      <c r="F348" s="6"/>
      <c r="G348" s="6"/>
      <c r="H348" s="6"/>
      <c r="I348" s="6"/>
      <c r="J348" s="6"/>
      <c r="K348" s="6"/>
    </row>
    <row r="349" spans="4:11">
      <c r="D349" s="6"/>
      <c r="E349" s="6"/>
      <c r="F349" s="6"/>
      <c r="G349" s="6"/>
      <c r="H349" s="6"/>
      <c r="I349" s="6"/>
      <c r="J349" s="6"/>
      <c r="K349" s="6"/>
    </row>
    <row r="350" spans="4:11">
      <c r="D350" s="6"/>
      <c r="E350" s="6"/>
      <c r="F350" s="6"/>
      <c r="G350" s="6"/>
      <c r="H350" s="6"/>
      <c r="I350" s="6"/>
      <c r="J350" s="6"/>
      <c r="K350" s="6"/>
    </row>
    <row r="351" spans="4:11">
      <c r="D351" s="6"/>
      <c r="E351" s="6"/>
      <c r="F351" s="6"/>
      <c r="G351" s="6"/>
      <c r="H351" s="6"/>
      <c r="I351" s="6"/>
      <c r="J351" s="6"/>
      <c r="K351" s="6"/>
    </row>
    <row r="352" spans="4:11">
      <c r="D352" s="6"/>
      <c r="E352" s="6"/>
      <c r="F352" s="6"/>
      <c r="G352" s="6"/>
      <c r="H352" s="6"/>
      <c r="I352" s="6"/>
      <c r="J352" s="6"/>
      <c r="K352" s="6"/>
    </row>
    <row r="353" spans="4:11">
      <c r="D353" s="6"/>
      <c r="E353" s="6"/>
      <c r="F353" s="6"/>
      <c r="G353" s="6"/>
      <c r="H353" s="6"/>
      <c r="I353" s="6"/>
      <c r="J353" s="6"/>
      <c r="K353" s="6"/>
    </row>
    <row r="354" spans="4:11">
      <c r="D354" s="6"/>
      <c r="E354" s="6"/>
      <c r="F354" s="6"/>
      <c r="G354" s="6"/>
      <c r="H354" s="6"/>
      <c r="I354" s="6"/>
      <c r="J354" s="6"/>
      <c r="K354" s="6"/>
    </row>
    <row r="355" spans="4:11">
      <c r="D355" s="6"/>
      <c r="E355" s="6"/>
      <c r="F355" s="6"/>
      <c r="G355" s="6"/>
      <c r="H355" s="6"/>
      <c r="I355" s="6"/>
      <c r="J355" s="6"/>
      <c r="K355" s="6"/>
    </row>
    <row r="356" spans="4:11">
      <c r="D356" s="6"/>
      <c r="E356" s="6"/>
      <c r="F356" s="6"/>
      <c r="G356" s="6"/>
      <c r="H356" s="6"/>
      <c r="I356" s="6"/>
      <c r="J356" s="6"/>
      <c r="K356" s="6"/>
    </row>
    <row r="357" spans="4:11">
      <c r="D357" s="6"/>
      <c r="E357" s="6"/>
      <c r="F357" s="6"/>
      <c r="G357" s="6"/>
      <c r="H357" s="6"/>
      <c r="I357" s="6"/>
      <c r="J357" s="6"/>
      <c r="K357" s="6"/>
    </row>
    <row r="358" spans="4:11">
      <c r="D358" s="6"/>
      <c r="E358" s="6"/>
      <c r="F358" s="6"/>
      <c r="G358" s="6"/>
      <c r="H358" s="6"/>
      <c r="I358" s="6"/>
      <c r="J358" s="6"/>
      <c r="K358" s="6"/>
    </row>
    <row r="359" spans="4:11">
      <c r="D359" s="6"/>
      <c r="E359" s="6"/>
      <c r="F359" s="6"/>
      <c r="G359" s="6"/>
      <c r="H359" s="6"/>
      <c r="I359" s="6"/>
      <c r="J359" s="6"/>
      <c r="K359" s="6"/>
    </row>
    <row r="360" spans="4:11">
      <c r="D360" s="6"/>
      <c r="E360" s="6"/>
      <c r="F360" s="6"/>
      <c r="G360" s="6"/>
      <c r="H360" s="6"/>
      <c r="I360" s="6"/>
      <c r="J360" s="6"/>
      <c r="K360" s="6"/>
    </row>
    <row r="361" spans="4:11">
      <c r="D361" s="6"/>
      <c r="E361" s="6"/>
      <c r="F361" s="6"/>
      <c r="G361" s="6"/>
      <c r="H361" s="6"/>
      <c r="I361" s="6"/>
      <c r="J361" s="6"/>
      <c r="K361" s="6"/>
    </row>
    <row r="362" spans="4:11">
      <c r="D362" s="6"/>
      <c r="E362" s="6"/>
      <c r="F362" s="6"/>
      <c r="G362" s="6"/>
      <c r="H362" s="6"/>
      <c r="I362" s="6"/>
      <c r="J362" s="6"/>
      <c r="K362" s="6"/>
    </row>
    <row r="363" spans="4:11">
      <c r="D363" s="6"/>
      <c r="E363" s="6"/>
      <c r="F363" s="6"/>
      <c r="G363" s="6"/>
      <c r="H363" s="6"/>
      <c r="I363" s="6"/>
      <c r="J363" s="6"/>
      <c r="K363" s="6"/>
    </row>
    <row r="364" spans="4:11">
      <c r="D364" s="6"/>
      <c r="E364" s="6"/>
      <c r="F364" s="6"/>
      <c r="G364" s="6"/>
      <c r="H364" s="6"/>
      <c r="I364" s="6"/>
      <c r="J364" s="6"/>
      <c r="K364" s="6"/>
    </row>
    <row r="365" spans="4:11">
      <c r="D365" s="6"/>
      <c r="E365" s="6"/>
      <c r="F365" s="6"/>
      <c r="G365" s="6"/>
      <c r="H365" s="6"/>
      <c r="I365" s="6"/>
      <c r="J365" s="6"/>
      <c r="K365" s="6"/>
    </row>
    <row r="366" spans="4:11">
      <c r="D366" s="6"/>
      <c r="E366" s="6"/>
      <c r="F366" s="6"/>
      <c r="G366" s="6"/>
      <c r="H366" s="6"/>
      <c r="I366" s="6"/>
      <c r="J366" s="6"/>
      <c r="K366" s="6"/>
    </row>
    <row r="367" spans="4:11">
      <c r="D367" s="6"/>
      <c r="E367" s="6"/>
      <c r="F367" s="6"/>
      <c r="G367" s="6"/>
      <c r="H367" s="6"/>
      <c r="I367" s="6"/>
      <c r="J367" s="6"/>
      <c r="K367" s="6"/>
    </row>
    <row r="368" spans="4:11">
      <c r="D368" s="6"/>
      <c r="E368" s="6"/>
      <c r="F368" s="6"/>
      <c r="G368" s="6"/>
      <c r="H368" s="6"/>
      <c r="I368" s="6"/>
      <c r="J368" s="6"/>
      <c r="K368" s="6"/>
    </row>
    <row r="369" spans="4:11">
      <c r="D369" s="6"/>
      <c r="E369" s="6"/>
      <c r="F369" s="6"/>
      <c r="G369" s="6"/>
      <c r="H369" s="6"/>
      <c r="I369" s="6"/>
      <c r="J369" s="6"/>
      <c r="K369" s="6"/>
    </row>
    <row r="370" spans="4:11">
      <c r="D370" s="6"/>
      <c r="E370" s="6"/>
      <c r="F370" s="6"/>
      <c r="G370" s="6"/>
      <c r="H370" s="6"/>
      <c r="I370" s="6"/>
      <c r="J370" s="6"/>
      <c r="K370" s="6"/>
    </row>
    <row r="371" spans="4:11">
      <c r="D371" s="6"/>
      <c r="E371" s="6"/>
      <c r="F371" s="6"/>
      <c r="G371" s="6"/>
      <c r="H371" s="6"/>
      <c r="I371" s="6"/>
      <c r="J371" s="6"/>
      <c r="K371" s="6"/>
    </row>
    <row r="372" spans="4:11">
      <c r="D372" s="6"/>
      <c r="E372" s="6"/>
      <c r="F372" s="6"/>
      <c r="G372" s="6"/>
      <c r="H372" s="6"/>
      <c r="I372" s="6"/>
      <c r="J372" s="6"/>
      <c r="K372" s="6"/>
    </row>
    <row r="373" spans="4:11">
      <c r="D373" s="6"/>
      <c r="E373" s="6"/>
      <c r="F373" s="6"/>
      <c r="G373" s="6"/>
      <c r="H373" s="6"/>
      <c r="I373" s="6"/>
      <c r="J373" s="6"/>
      <c r="K373" s="6"/>
    </row>
    <row r="374" spans="4:11">
      <c r="D374" s="6"/>
      <c r="E374" s="6"/>
      <c r="F374" s="6"/>
      <c r="G374" s="6"/>
      <c r="H374" s="6"/>
      <c r="I374" s="6"/>
      <c r="J374" s="6"/>
      <c r="K374" s="6"/>
    </row>
    <row r="375" spans="4:11">
      <c r="D375" s="6"/>
      <c r="E375" s="6"/>
      <c r="F375" s="6"/>
      <c r="G375" s="6"/>
      <c r="H375" s="6"/>
      <c r="I375" s="6"/>
      <c r="J375" s="6"/>
      <c r="K375" s="6"/>
    </row>
    <row r="376" spans="4:11">
      <c r="D376" s="6"/>
      <c r="E376" s="6"/>
      <c r="F376" s="6"/>
      <c r="G376" s="6"/>
      <c r="H376" s="6"/>
      <c r="I376" s="6"/>
      <c r="J376" s="6"/>
      <c r="K376" s="6"/>
    </row>
    <row r="377" spans="4:11">
      <c r="D377" s="6"/>
      <c r="E377" s="6"/>
      <c r="F377" s="6"/>
      <c r="G377" s="6"/>
      <c r="H377" s="6"/>
      <c r="I377" s="6"/>
      <c r="J377" s="6"/>
      <c r="K377" s="6"/>
    </row>
    <row r="378" spans="4:11">
      <c r="D378" s="6"/>
      <c r="E378" s="6"/>
      <c r="F378" s="6"/>
      <c r="G378" s="6"/>
      <c r="H378" s="6"/>
      <c r="I378" s="6"/>
      <c r="J378" s="6"/>
      <c r="K378" s="6"/>
    </row>
    <row r="379" spans="4:11">
      <c r="D379" s="6"/>
      <c r="E379" s="6"/>
      <c r="F379" s="6"/>
      <c r="G379" s="6"/>
      <c r="H379" s="6"/>
      <c r="I379" s="6"/>
      <c r="J379" s="6"/>
      <c r="K379" s="6"/>
    </row>
    <row r="380" spans="4:11">
      <c r="D380" s="6"/>
      <c r="E380" s="6"/>
      <c r="F380" s="6"/>
      <c r="G380" s="6"/>
      <c r="H380" s="6"/>
      <c r="I380" s="6"/>
      <c r="J380" s="6"/>
      <c r="K380" s="6"/>
    </row>
  </sheetData>
  <autoFilter ref="A2:E380" xr:uid="{822FA404-D89C-47E8-8A16-D6C0A6C90880}">
    <sortState xmlns:xlrd2="http://schemas.microsoft.com/office/spreadsheetml/2017/richdata2" ref="A3:E380">
      <sortCondition ref="A2:A380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B76B9-265A-4B24-B175-2E05132727A4}">
  <dimension ref="B1:V265"/>
  <sheetViews>
    <sheetView workbookViewId="0">
      <pane xSplit="3" ySplit="6" topLeftCell="D7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ColWidth="9.140625" defaultRowHeight="11.25"/>
  <cols>
    <col min="1" max="1" width="9.140625" style="129"/>
    <col min="2" max="2" width="10.140625" style="129" customWidth="1"/>
    <col min="3" max="3" width="19.140625" style="129" customWidth="1"/>
    <col min="4" max="6" width="15" style="162" customWidth="1"/>
    <col min="7" max="15" width="15" style="129" hidden="1" customWidth="1"/>
    <col min="16" max="18" width="15" style="129" customWidth="1"/>
    <col min="19" max="19" width="7.28515625" style="129" customWidth="1"/>
    <col min="20" max="22" width="15" style="129" customWidth="1"/>
    <col min="23" max="16384" width="9.140625" style="129"/>
  </cols>
  <sheetData>
    <row r="1" spans="2:22">
      <c r="D1" s="130"/>
      <c r="E1" s="130"/>
      <c r="F1" s="130"/>
      <c r="G1" s="131"/>
    </row>
    <row r="2" spans="2:22">
      <c r="B2" s="129">
        <v>1</v>
      </c>
      <c r="C2" s="129">
        <f>1+B2</f>
        <v>2</v>
      </c>
      <c r="D2" s="129">
        <f t="shared" ref="D2:V2" si="0">1+C2</f>
        <v>3</v>
      </c>
      <c r="E2" s="129">
        <f t="shared" si="0"/>
        <v>4</v>
      </c>
      <c r="F2" s="129">
        <f t="shared" si="0"/>
        <v>5</v>
      </c>
      <c r="G2" s="129">
        <f t="shared" si="0"/>
        <v>6</v>
      </c>
      <c r="H2" s="129">
        <f t="shared" si="0"/>
        <v>7</v>
      </c>
      <c r="I2" s="129">
        <f t="shared" si="0"/>
        <v>8</v>
      </c>
      <c r="J2" s="129">
        <f t="shared" si="0"/>
        <v>9</v>
      </c>
      <c r="K2" s="129">
        <f t="shared" si="0"/>
        <v>10</v>
      </c>
      <c r="L2" s="129">
        <f t="shared" si="0"/>
        <v>11</v>
      </c>
      <c r="M2" s="129">
        <f t="shared" si="0"/>
        <v>12</v>
      </c>
      <c r="N2" s="129">
        <f t="shared" si="0"/>
        <v>13</v>
      </c>
      <c r="O2" s="129">
        <f t="shared" si="0"/>
        <v>14</v>
      </c>
      <c r="P2" s="129">
        <f t="shared" si="0"/>
        <v>15</v>
      </c>
      <c r="Q2" s="129">
        <f t="shared" si="0"/>
        <v>16</v>
      </c>
      <c r="R2" s="129">
        <f t="shared" si="0"/>
        <v>17</v>
      </c>
      <c r="S2" s="129">
        <f t="shared" si="0"/>
        <v>18</v>
      </c>
      <c r="T2" s="129">
        <f t="shared" si="0"/>
        <v>19</v>
      </c>
      <c r="U2" s="129">
        <f t="shared" si="0"/>
        <v>20</v>
      </c>
      <c r="V2" s="129">
        <f t="shared" si="0"/>
        <v>21</v>
      </c>
    </row>
    <row r="3" spans="2:22">
      <c r="D3" s="133" t="s">
        <v>1459</v>
      </c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29" t="s">
        <v>1460</v>
      </c>
      <c r="U3" s="132"/>
      <c r="V3" s="132"/>
    </row>
    <row r="4" spans="2:22">
      <c r="B4" s="134"/>
      <c r="C4" s="135" t="s">
        <v>1461</v>
      </c>
      <c r="D4" s="136" t="s">
        <v>1462</v>
      </c>
      <c r="E4" s="137"/>
      <c r="F4" s="138"/>
      <c r="G4" s="139" t="s">
        <v>1463</v>
      </c>
      <c r="H4" s="140"/>
      <c r="I4" s="141"/>
      <c r="J4" s="142" t="s">
        <v>1193</v>
      </c>
      <c r="K4" s="140"/>
      <c r="L4" s="141"/>
      <c r="M4" s="142" t="s">
        <v>1194</v>
      </c>
      <c r="N4" s="140"/>
      <c r="O4" s="141"/>
      <c r="P4" s="142" t="s">
        <v>1195</v>
      </c>
      <c r="Q4" s="140"/>
      <c r="R4" s="141"/>
      <c r="S4" s="143"/>
      <c r="T4" s="144" t="s">
        <v>1196</v>
      </c>
      <c r="U4" s="140"/>
      <c r="V4" s="141"/>
    </row>
    <row r="5" spans="2:22">
      <c r="B5" s="134"/>
      <c r="C5" s="135" t="s">
        <v>1464</v>
      </c>
      <c r="D5" s="145" t="s">
        <v>1197</v>
      </c>
      <c r="E5" s="146" t="s">
        <v>1198</v>
      </c>
      <c r="F5" s="147" t="s">
        <v>1199</v>
      </c>
      <c r="G5" s="148" t="s">
        <v>1197</v>
      </c>
      <c r="H5" s="148" t="s">
        <v>1198</v>
      </c>
      <c r="I5" s="149" t="s">
        <v>1199</v>
      </c>
      <c r="J5" s="150" t="s">
        <v>1197</v>
      </c>
      <c r="K5" s="148" t="s">
        <v>1198</v>
      </c>
      <c r="L5" s="149" t="s">
        <v>1199</v>
      </c>
      <c r="M5" s="150" t="s">
        <v>1197</v>
      </c>
      <c r="N5" s="148" t="s">
        <v>1198</v>
      </c>
      <c r="O5" s="149" t="s">
        <v>1199</v>
      </c>
      <c r="P5" s="150" t="s">
        <v>1197</v>
      </c>
      <c r="Q5" s="148" t="s">
        <v>1198</v>
      </c>
      <c r="R5" s="149" t="s">
        <v>1199</v>
      </c>
      <c r="S5" s="151"/>
      <c r="T5" s="150" t="s">
        <v>1197</v>
      </c>
      <c r="U5" s="148" t="s">
        <v>1198</v>
      </c>
      <c r="V5" s="149" t="s">
        <v>1199</v>
      </c>
    </row>
    <row r="6" spans="2:22" s="160" customFormat="1" ht="45" customHeight="1">
      <c r="B6" s="152" t="s">
        <v>1200</v>
      </c>
      <c r="C6" s="152" t="s">
        <v>1201</v>
      </c>
      <c r="D6" s="153" t="s">
        <v>1202</v>
      </c>
      <c r="E6" s="154" t="s">
        <v>1203</v>
      </c>
      <c r="F6" s="155" t="s">
        <v>1204</v>
      </c>
      <c r="G6" s="156" t="s">
        <v>1202</v>
      </c>
      <c r="H6" s="156" t="s">
        <v>1203</v>
      </c>
      <c r="I6" s="157" t="s">
        <v>1204</v>
      </c>
      <c r="J6" s="158" t="s">
        <v>1202</v>
      </c>
      <c r="K6" s="156" t="s">
        <v>1203</v>
      </c>
      <c r="L6" s="157" t="s">
        <v>1204</v>
      </c>
      <c r="M6" s="158" t="s">
        <v>1202</v>
      </c>
      <c r="N6" s="156" t="s">
        <v>1203</v>
      </c>
      <c r="O6" s="157" t="s">
        <v>1204</v>
      </c>
      <c r="P6" s="158" t="s">
        <v>1202</v>
      </c>
      <c r="Q6" s="156" t="s">
        <v>1203</v>
      </c>
      <c r="R6" s="157" t="s">
        <v>1204</v>
      </c>
      <c r="S6" s="159"/>
      <c r="T6" s="158" t="s">
        <v>1202</v>
      </c>
      <c r="U6" s="156" t="s">
        <v>1203</v>
      </c>
      <c r="V6" s="157" t="s">
        <v>1204</v>
      </c>
    </row>
    <row r="7" spans="2:22">
      <c r="B7" s="161" t="s">
        <v>859</v>
      </c>
      <c r="C7" s="161" t="s">
        <v>1205</v>
      </c>
      <c r="D7" s="162">
        <v>0</v>
      </c>
      <c r="E7" s="162">
        <v>0</v>
      </c>
      <c r="F7" s="162">
        <v>177.81</v>
      </c>
      <c r="I7" s="163">
        <v>877.42</v>
      </c>
      <c r="L7" s="163">
        <v>759.9</v>
      </c>
      <c r="M7" s="163">
        <v>14</v>
      </c>
      <c r="O7" s="163">
        <v>765.57999999999993</v>
      </c>
      <c r="P7" s="163">
        <v>25</v>
      </c>
      <c r="Q7" s="163">
        <v>1677.42</v>
      </c>
      <c r="R7" s="163">
        <v>1150.5</v>
      </c>
      <c r="S7" s="163"/>
      <c r="T7" s="164">
        <v>0</v>
      </c>
      <c r="U7" s="164">
        <v>0</v>
      </c>
      <c r="V7" s="164">
        <v>1214</v>
      </c>
    </row>
    <row r="8" spans="2:22">
      <c r="B8" s="161" t="s">
        <v>675</v>
      </c>
      <c r="C8" s="161" t="s">
        <v>1206</v>
      </c>
      <c r="D8" s="164">
        <v>6140.6399999999994</v>
      </c>
      <c r="E8" s="164">
        <v>103068.72</v>
      </c>
      <c r="F8" s="164">
        <v>94511.549999999988</v>
      </c>
      <c r="G8" s="163">
        <v>67262.150000000009</v>
      </c>
      <c r="H8" s="163">
        <v>7963.62</v>
      </c>
      <c r="I8" s="163">
        <v>25879.39</v>
      </c>
      <c r="J8" s="163">
        <v>14258.39</v>
      </c>
      <c r="K8" s="163">
        <v>7306.44</v>
      </c>
      <c r="L8" s="163">
        <v>5372.5700000000006</v>
      </c>
      <c r="M8" s="163">
        <v>41054.719999999994</v>
      </c>
      <c r="N8" s="163">
        <v>7569.18</v>
      </c>
      <c r="O8" s="163">
        <v>21340.07</v>
      </c>
      <c r="P8" s="163">
        <v>44217.290000000008</v>
      </c>
      <c r="Q8" s="163">
        <v>4936.55</v>
      </c>
      <c r="R8" s="163">
        <v>49599.229999999996</v>
      </c>
      <c r="S8" s="163"/>
      <c r="T8" s="164">
        <v>36650</v>
      </c>
      <c r="U8" s="164">
        <v>9000</v>
      </c>
      <c r="V8" s="164">
        <v>80764</v>
      </c>
    </row>
    <row r="9" spans="2:22">
      <c r="B9" s="161" t="s">
        <v>384</v>
      </c>
      <c r="C9" s="161" t="s">
        <v>1207</v>
      </c>
      <c r="D9" s="164">
        <v>2134.77</v>
      </c>
      <c r="E9" s="164">
        <v>0</v>
      </c>
      <c r="F9" s="164">
        <v>85385.209999999992</v>
      </c>
      <c r="G9" s="163">
        <v>39344.67</v>
      </c>
      <c r="I9" s="163">
        <v>24512.41</v>
      </c>
      <c r="J9" s="163">
        <v>21048.45</v>
      </c>
      <c r="L9" s="163">
        <v>32588.99</v>
      </c>
      <c r="M9" s="163">
        <v>62716.56</v>
      </c>
      <c r="O9" s="163">
        <v>20582.940000000002</v>
      </c>
      <c r="P9" s="163">
        <v>41344.559999999998</v>
      </c>
      <c r="R9" s="163">
        <v>30308.219999999998</v>
      </c>
      <c r="S9" s="163"/>
      <c r="T9" s="164">
        <v>53791</v>
      </c>
      <c r="U9" s="164">
        <v>0</v>
      </c>
      <c r="V9" s="164">
        <v>33252</v>
      </c>
    </row>
    <row r="10" spans="2:22">
      <c r="B10" s="161" t="s">
        <v>325</v>
      </c>
      <c r="C10" s="161" t="s">
        <v>1208</v>
      </c>
      <c r="D10" s="164">
        <v>500</v>
      </c>
      <c r="E10" s="164">
        <v>0</v>
      </c>
      <c r="F10" s="164">
        <v>1806</v>
      </c>
      <c r="G10" s="163">
        <v>4707.1399999999994</v>
      </c>
      <c r="I10" s="163">
        <v>4014.95</v>
      </c>
      <c r="J10" s="163">
        <v>13370.44</v>
      </c>
      <c r="K10" s="163">
        <v>30.59</v>
      </c>
      <c r="L10" s="163">
        <v>5790.7599999999993</v>
      </c>
      <c r="M10" s="163">
        <v>8912.25</v>
      </c>
      <c r="N10" s="163">
        <v>1319.67</v>
      </c>
      <c r="O10" s="163">
        <v>5514.7400000000007</v>
      </c>
      <c r="P10" s="163">
        <v>2620.94</v>
      </c>
      <c r="T10" s="164">
        <v>8212</v>
      </c>
      <c r="U10" s="164">
        <v>0</v>
      </c>
      <c r="V10" s="164">
        <v>6405</v>
      </c>
    </row>
    <row r="11" spans="2:22">
      <c r="B11" s="161" t="s">
        <v>524</v>
      </c>
      <c r="C11" s="161" t="s">
        <v>1209</v>
      </c>
      <c r="D11" s="164">
        <v>242879.97</v>
      </c>
      <c r="E11" s="164">
        <v>0</v>
      </c>
      <c r="F11" s="164">
        <v>84434.57</v>
      </c>
      <c r="G11" s="163">
        <v>225352.04</v>
      </c>
      <c r="H11" s="163">
        <v>2308.77</v>
      </c>
      <c r="I11" s="163">
        <v>131428.62</v>
      </c>
      <c r="J11" s="163">
        <v>188422.14</v>
      </c>
      <c r="K11" s="163">
        <v>1133.9100000000001</v>
      </c>
      <c r="L11" s="163">
        <v>238742.39</v>
      </c>
      <c r="M11" s="163">
        <v>251487.63</v>
      </c>
      <c r="N11" s="163">
        <v>254751.12</v>
      </c>
      <c r="O11" s="163">
        <v>191889.65999999997</v>
      </c>
      <c r="P11" s="163">
        <v>227445.98</v>
      </c>
      <c r="Q11" s="163">
        <v>4608.7700000000004</v>
      </c>
      <c r="R11" s="163">
        <v>202199.95</v>
      </c>
      <c r="S11" s="163"/>
      <c r="T11" s="164">
        <v>346483</v>
      </c>
      <c r="U11" s="164">
        <v>0</v>
      </c>
      <c r="V11" s="164">
        <v>253342</v>
      </c>
    </row>
    <row r="12" spans="2:22">
      <c r="B12" s="161" t="s">
        <v>685</v>
      </c>
      <c r="C12" s="161" t="s">
        <v>1210</v>
      </c>
      <c r="D12" s="162">
        <v>0</v>
      </c>
      <c r="E12" s="162">
        <v>0</v>
      </c>
      <c r="F12" s="162">
        <v>0</v>
      </c>
      <c r="P12" s="163">
        <v>15150</v>
      </c>
      <c r="T12" s="164">
        <v>0</v>
      </c>
      <c r="U12" s="164">
        <v>0</v>
      </c>
      <c r="V12" s="164">
        <v>0</v>
      </c>
    </row>
    <row r="13" spans="2:22">
      <c r="B13" s="161" t="s">
        <v>530</v>
      </c>
      <c r="C13" s="161" t="s">
        <v>1211</v>
      </c>
      <c r="D13" s="164">
        <v>21189.14</v>
      </c>
      <c r="E13" s="164">
        <v>2405.09</v>
      </c>
      <c r="F13" s="164">
        <v>8728.2999999999993</v>
      </c>
      <c r="G13" s="163">
        <v>15230.060000000001</v>
      </c>
      <c r="I13" s="163">
        <v>13278.77</v>
      </c>
      <c r="J13" s="163">
        <v>13708.45</v>
      </c>
      <c r="K13" s="163">
        <v>3773.24</v>
      </c>
      <c r="L13" s="163">
        <v>16149.06</v>
      </c>
      <c r="M13" s="163">
        <v>23432.09</v>
      </c>
      <c r="N13" s="163">
        <v>256.3</v>
      </c>
      <c r="O13" s="163">
        <v>16065.130000000001</v>
      </c>
      <c r="P13" s="163">
        <v>14015.320000000002</v>
      </c>
      <c r="R13" s="163">
        <v>18776.66</v>
      </c>
      <c r="S13" s="163"/>
      <c r="T13" s="164">
        <v>12375</v>
      </c>
      <c r="U13" s="164">
        <v>0</v>
      </c>
      <c r="V13" s="164">
        <v>17575</v>
      </c>
    </row>
    <row r="14" spans="2:22">
      <c r="B14" s="161" t="s">
        <v>470</v>
      </c>
      <c r="C14" s="161" t="s">
        <v>1212</v>
      </c>
      <c r="D14" s="162">
        <v>0</v>
      </c>
      <c r="E14" s="162">
        <v>0</v>
      </c>
      <c r="F14" s="162">
        <v>0</v>
      </c>
      <c r="P14" s="163">
        <v>940.23</v>
      </c>
      <c r="T14" s="164">
        <v>882</v>
      </c>
      <c r="U14" s="164">
        <v>0</v>
      </c>
      <c r="V14" s="164">
        <v>0</v>
      </c>
    </row>
    <row r="15" spans="2:22">
      <c r="B15" s="161" t="s">
        <v>701</v>
      </c>
      <c r="C15" s="161" t="s">
        <v>1213</v>
      </c>
      <c r="D15" s="164">
        <v>15409.81</v>
      </c>
      <c r="E15" s="164">
        <v>0</v>
      </c>
      <c r="F15" s="164">
        <v>4319.88</v>
      </c>
      <c r="G15" s="163">
        <v>17914.189999999999</v>
      </c>
      <c r="I15" s="163">
        <v>5840.37</v>
      </c>
      <c r="J15" s="163">
        <v>12612.57</v>
      </c>
      <c r="L15" s="163">
        <v>3417.01</v>
      </c>
      <c r="M15" s="163">
        <v>42866.94</v>
      </c>
      <c r="O15" s="163">
        <v>11202.689999999999</v>
      </c>
      <c r="P15" s="163">
        <v>19485.349999999999</v>
      </c>
      <c r="R15" s="163">
        <v>19964.169999999998</v>
      </c>
      <c r="S15" s="163"/>
      <c r="T15" s="164">
        <v>37390</v>
      </c>
      <c r="U15" s="164">
        <v>0</v>
      </c>
      <c r="V15" s="164">
        <v>28355</v>
      </c>
    </row>
    <row r="16" spans="2:22">
      <c r="B16" s="161" t="s">
        <v>725</v>
      </c>
      <c r="C16" s="161" t="s">
        <v>1214</v>
      </c>
      <c r="D16" s="164">
        <v>73003.840000000011</v>
      </c>
      <c r="E16" s="164">
        <v>1670.78</v>
      </c>
      <c r="F16" s="164">
        <v>0</v>
      </c>
      <c r="G16" s="163">
        <v>176740.64</v>
      </c>
      <c r="H16" s="163">
        <v>9294.5499999999993</v>
      </c>
      <c r="I16" s="163">
        <v>17089.11</v>
      </c>
      <c r="J16" s="163">
        <v>187115.66</v>
      </c>
      <c r="K16" s="163">
        <v>3689.17</v>
      </c>
      <c r="L16" s="163">
        <v>141091.32999999999</v>
      </c>
      <c r="M16" s="163">
        <v>266431.78000000003</v>
      </c>
      <c r="N16" s="163">
        <v>398.51</v>
      </c>
      <c r="O16" s="163">
        <v>167246.69</v>
      </c>
      <c r="P16" s="163">
        <v>142570.59999999998</v>
      </c>
      <c r="Q16" s="163">
        <v>39731.230000000003</v>
      </c>
      <c r="R16" s="163">
        <v>145584.6</v>
      </c>
      <c r="S16" s="163"/>
      <c r="T16" s="164">
        <v>64179</v>
      </c>
      <c r="U16" s="164">
        <v>35000</v>
      </c>
      <c r="V16" s="164">
        <v>0</v>
      </c>
    </row>
    <row r="17" spans="2:22">
      <c r="B17" s="161" t="s">
        <v>572</v>
      </c>
      <c r="C17" s="161" t="s">
        <v>1215</v>
      </c>
      <c r="D17" s="164">
        <v>4446.22</v>
      </c>
      <c r="E17" s="164">
        <v>0</v>
      </c>
      <c r="F17" s="164">
        <v>1861.12</v>
      </c>
      <c r="G17" s="163">
        <v>11791.89</v>
      </c>
      <c r="I17" s="163">
        <v>4117.97</v>
      </c>
      <c r="J17" s="163">
        <v>9411.2800000000007</v>
      </c>
      <c r="L17" s="163">
        <v>6498.2100000000009</v>
      </c>
      <c r="M17" s="163">
        <v>6707.75</v>
      </c>
      <c r="O17" s="163">
        <v>6116.29</v>
      </c>
      <c r="P17" s="163">
        <v>6882.4000000000005</v>
      </c>
      <c r="R17" s="163">
        <v>7144.51</v>
      </c>
      <c r="S17" s="163"/>
      <c r="T17" s="164">
        <v>4051</v>
      </c>
      <c r="U17" s="164">
        <v>0</v>
      </c>
      <c r="V17" s="164">
        <v>6578</v>
      </c>
    </row>
    <row r="18" spans="2:22">
      <c r="B18" s="161" t="s">
        <v>450</v>
      </c>
      <c r="C18" s="161" t="s">
        <v>1216</v>
      </c>
      <c r="D18" s="164">
        <v>2317.83</v>
      </c>
      <c r="E18" s="164">
        <v>4307.7300000000005</v>
      </c>
      <c r="F18" s="164">
        <v>2044.08</v>
      </c>
      <c r="G18" s="163">
        <v>3465.88</v>
      </c>
      <c r="H18" s="163">
        <v>7464.98</v>
      </c>
      <c r="I18" s="163">
        <v>88.05</v>
      </c>
      <c r="J18" s="163">
        <v>2165.1999999999998</v>
      </c>
      <c r="K18" s="163">
        <v>8289.81</v>
      </c>
      <c r="L18" s="163">
        <v>984.66</v>
      </c>
      <c r="M18" s="163">
        <v>2661.87</v>
      </c>
      <c r="N18" s="163">
        <v>4015.3</v>
      </c>
      <c r="O18" s="163">
        <v>957.29</v>
      </c>
      <c r="P18" s="163">
        <v>3448.37</v>
      </c>
      <c r="Q18" s="163">
        <v>1635.33</v>
      </c>
      <c r="R18" s="163">
        <v>1231.48</v>
      </c>
      <c r="S18" s="163"/>
      <c r="T18" s="164">
        <v>8262</v>
      </c>
      <c r="U18" s="164">
        <v>5300</v>
      </c>
      <c r="V18" s="164">
        <v>1464</v>
      </c>
    </row>
    <row r="19" spans="2:22">
      <c r="B19" s="161" t="s">
        <v>542</v>
      </c>
      <c r="C19" s="161" t="s">
        <v>1217</v>
      </c>
      <c r="D19" s="164">
        <v>12089.550000000001</v>
      </c>
      <c r="E19" s="164">
        <v>0</v>
      </c>
      <c r="F19" s="164">
        <v>819.48</v>
      </c>
      <c r="G19" s="163">
        <v>9656.0400000000009</v>
      </c>
      <c r="I19" s="163">
        <v>10082.370000000001</v>
      </c>
      <c r="J19" s="163">
        <v>9521.43</v>
      </c>
      <c r="L19" s="163">
        <v>6369.16</v>
      </c>
      <c r="M19" s="163">
        <v>21667.78</v>
      </c>
      <c r="O19" s="163">
        <v>14580.57</v>
      </c>
      <c r="P19" s="163">
        <v>11781.81</v>
      </c>
      <c r="R19" s="163">
        <v>16963.28</v>
      </c>
      <c r="S19" s="163"/>
      <c r="T19" s="164">
        <v>3688</v>
      </c>
      <c r="U19" s="164">
        <v>500</v>
      </c>
      <c r="V19" s="164">
        <v>0</v>
      </c>
    </row>
    <row r="20" spans="2:22">
      <c r="B20" s="161" t="s">
        <v>365</v>
      </c>
      <c r="C20" s="161" t="s">
        <v>1218</v>
      </c>
      <c r="D20" s="164">
        <v>7625.62</v>
      </c>
      <c r="E20" s="164">
        <v>690.14</v>
      </c>
      <c r="F20" s="164">
        <v>0</v>
      </c>
      <c r="G20" s="163">
        <v>8855.14</v>
      </c>
      <c r="J20" s="163">
        <v>10741.48</v>
      </c>
      <c r="M20" s="163">
        <v>670</v>
      </c>
      <c r="P20" s="163">
        <v>2891.67</v>
      </c>
      <c r="T20" s="164">
        <v>8395</v>
      </c>
      <c r="U20" s="164">
        <v>0</v>
      </c>
      <c r="V20" s="164">
        <v>0</v>
      </c>
    </row>
    <row r="21" spans="2:22">
      <c r="B21" s="161" t="s">
        <v>363</v>
      </c>
      <c r="C21" s="161" t="s">
        <v>1219</v>
      </c>
      <c r="D21" s="164">
        <v>12864.99</v>
      </c>
      <c r="E21" s="164">
        <v>0</v>
      </c>
      <c r="F21" s="164">
        <v>0</v>
      </c>
      <c r="G21" s="163">
        <v>16194.789999999999</v>
      </c>
      <c r="H21" s="163">
        <v>3920.73</v>
      </c>
      <c r="J21" s="163">
        <v>7171.94</v>
      </c>
      <c r="M21" s="163">
        <v>9574.4699999999993</v>
      </c>
      <c r="O21" s="163">
        <v>15015.079999999998</v>
      </c>
      <c r="P21" s="163">
        <v>33684.35</v>
      </c>
      <c r="R21" s="163">
        <v>18748.98</v>
      </c>
      <c r="S21" s="163"/>
      <c r="T21" s="164">
        <v>10380</v>
      </c>
      <c r="U21" s="164">
        <v>0</v>
      </c>
      <c r="V21" s="164">
        <v>17345</v>
      </c>
    </row>
    <row r="22" spans="2:22">
      <c r="B22" s="161" t="s">
        <v>865</v>
      </c>
      <c r="C22" s="161" t="s">
        <v>1220</v>
      </c>
      <c r="D22" s="164">
        <v>107100.02</v>
      </c>
      <c r="E22" s="164">
        <v>19671.2</v>
      </c>
      <c r="F22" s="164">
        <v>25344.86</v>
      </c>
      <c r="G22" s="163">
        <v>218163.56999999998</v>
      </c>
      <c r="H22" s="163">
        <v>44145.75</v>
      </c>
      <c r="I22" s="163">
        <v>60788.5</v>
      </c>
      <c r="J22" s="163">
        <v>146185.82999999999</v>
      </c>
      <c r="K22" s="163">
        <v>21198.3</v>
      </c>
      <c r="L22" s="163">
        <v>96068.450000000012</v>
      </c>
      <c r="M22" s="163">
        <v>57339.259999999995</v>
      </c>
      <c r="N22" s="163">
        <v>16618.78</v>
      </c>
      <c r="O22" s="163">
        <v>90586.55</v>
      </c>
      <c r="P22" s="163">
        <v>48186.270000000004</v>
      </c>
      <c r="Q22" s="163">
        <v>22842.58</v>
      </c>
      <c r="R22" s="163">
        <v>80687</v>
      </c>
      <c r="S22" s="163"/>
      <c r="T22" s="164">
        <v>463540</v>
      </c>
      <c r="U22" s="164">
        <v>27500</v>
      </c>
      <c r="V22" s="164">
        <v>102517</v>
      </c>
    </row>
    <row r="23" spans="2:22">
      <c r="B23" s="161" t="s">
        <v>1029</v>
      </c>
      <c r="C23" s="161" t="s">
        <v>1221</v>
      </c>
      <c r="O23" s="163">
        <v>806.1</v>
      </c>
      <c r="T23" s="164">
        <v>0</v>
      </c>
      <c r="U23" s="164">
        <v>0</v>
      </c>
      <c r="V23" s="164">
        <v>0</v>
      </c>
    </row>
    <row r="24" spans="2:22">
      <c r="B24" s="161" t="s">
        <v>695</v>
      </c>
      <c r="C24" s="161" t="s">
        <v>1222</v>
      </c>
      <c r="D24" s="162">
        <v>80409.78</v>
      </c>
      <c r="E24" s="162">
        <v>0</v>
      </c>
      <c r="F24" s="162">
        <v>12550.990000000002</v>
      </c>
      <c r="I24" s="163">
        <v>26969.190000000002</v>
      </c>
      <c r="L24" s="163">
        <v>43457.08</v>
      </c>
      <c r="O24" s="163">
        <v>42340.14</v>
      </c>
      <c r="R24" s="163">
        <v>49499.78</v>
      </c>
      <c r="S24" s="163"/>
      <c r="T24" s="164">
        <v>0</v>
      </c>
      <c r="U24" s="164">
        <v>0</v>
      </c>
      <c r="V24" s="164">
        <v>26709</v>
      </c>
    </row>
    <row r="25" spans="2:22">
      <c r="B25" s="161" t="s">
        <v>412</v>
      </c>
      <c r="C25" s="161" t="s">
        <v>1223</v>
      </c>
      <c r="D25" s="164">
        <v>11328.34</v>
      </c>
      <c r="E25" s="164">
        <v>0</v>
      </c>
      <c r="F25" s="164">
        <v>301.12</v>
      </c>
      <c r="G25" s="163">
        <v>9817.4599999999991</v>
      </c>
      <c r="H25" s="163">
        <v>3114.49</v>
      </c>
      <c r="I25" s="163">
        <v>1489.64</v>
      </c>
      <c r="J25" s="163">
        <v>11048.54</v>
      </c>
      <c r="K25" s="163">
        <v>271.25</v>
      </c>
      <c r="M25" s="163">
        <v>-8.67</v>
      </c>
      <c r="O25" s="163">
        <v>1227.5700000000002</v>
      </c>
      <c r="P25" s="163">
        <v>2713.62</v>
      </c>
      <c r="T25" s="164">
        <v>3240</v>
      </c>
      <c r="U25" s="164">
        <v>0</v>
      </c>
      <c r="V25" s="164">
        <v>0</v>
      </c>
    </row>
    <row r="26" spans="2:22">
      <c r="B26" s="161" t="s">
        <v>755</v>
      </c>
      <c r="C26" s="161" t="s">
        <v>1224</v>
      </c>
      <c r="D26" s="164">
        <v>68611.839999999997</v>
      </c>
      <c r="E26" s="164">
        <v>0</v>
      </c>
      <c r="F26" s="164">
        <v>0</v>
      </c>
      <c r="G26" s="163">
        <v>69439.13</v>
      </c>
      <c r="I26" s="163">
        <v>30265.519999999997</v>
      </c>
      <c r="J26" s="163">
        <v>84991.37</v>
      </c>
      <c r="L26" s="163">
        <v>37682.5</v>
      </c>
      <c r="M26" s="163">
        <v>51288.69</v>
      </c>
      <c r="O26" s="163">
        <v>24230.43</v>
      </c>
      <c r="P26" s="163">
        <v>23175.67</v>
      </c>
      <c r="R26" s="163">
        <v>38846.36</v>
      </c>
      <c r="S26" s="163"/>
      <c r="T26" s="164">
        <v>15562</v>
      </c>
      <c r="U26" s="164">
        <v>0</v>
      </c>
      <c r="V26" s="164">
        <v>46831</v>
      </c>
    </row>
    <row r="27" spans="2:22">
      <c r="B27" s="161" t="s">
        <v>359</v>
      </c>
      <c r="C27" s="161" t="s">
        <v>1225</v>
      </c>
      <c r="D27" s="164">
        <v>0</v>
      </c>
      <c r="E27" s="164">
        <v>0</v>
      </c>
      <c r="F27" s="164">
        <v>0</v>
      </c>
      <c r="G27" s="163">
        <v>4162.93</v>
      </c>
      <c r="I27" s="163">
        <v>6841.89</v>
      </c>
      <c r="L27" s="163">
        <v>8087.84</v>
      </c>
      <c r="O27" s="163">
        <v>6126.9400000000005</v>
      </c>
      <c r="R27" s="163">
        <v>5533.69</v>
      </c>
      <c r="S27" s="163"/>
      <c r="T27" s="164">
        <v>0</v>
      </c>
      <c r="U27" s="164">
        <v>0</v>
      </c>
      <c r="V27" s="164">
        <v>7962</v>
      </c>
    </row>
    <row r="28" spans="2:22">
      <c r="B28" s="161" t="s">
        <v>711</v>
      </c>
      <c r="C28" s="161" t="s">
        <v>1226</v>
      </c>
      <c r="D28" s="164">
        <v>33293.1</v>
      </c>
      <c r="E28" s="164">
        <v>6153.58</v>
      </c>
      <c r="F28" s="164">
        <v>0</v>
      </c>
      <c r="G28" s="163">
        <v>8492.26</v>
      </c>
      <c r="H28" s="163">
        <v>5077.5</v>
      </c>
      <c r="J28" s="163">
        <v>3460.48</v>
      </c>
      <c r="K28" s="163">
        <v>7146.15</v>
      </c>
      <c r="L28" s="163">
        <v>19362.97</v>
      </c>
      <c r="M28" s="163">
        <v>3374.9700000000003</v>
      </c>
      <c r="N28" s="163">
        <v>3766.41</v>
      </c>
      <c r="O28" s="163">
        <v>17223.099999999999</v>
      </c>
      <c r="P28" s="163">
        <v>11812.74</v>
      </c>
      <c r="Q28" s="163">
        <v>2396.92</v>
      </c>
      <c r="R28" s="163">
        <v>15720.970000000001</v>
      </c>
      <c r="S28" s="163"/>
      <c r="T28" s="164">
        <v>24614</v>
      </c>
      <c r="U28" s="164">
        <v>8850</v>
      </c>
      <c r="V28" s="164">
        <v>19790</v>
      </c>
    </row>
    <row r="29" spans="2:22">
      <c r="B29" s="161" t="s">
        <v>920</v>
      </c>
      <c r="C29" s="161" t="s">
        <v>1227</v>
      </c>
      <c r="D29" s="164">
        <v>0</v>
      </c>
      <c r="E29" s="164">
        <v>0</v>
      </c>
      <c r="F29" s="164">
        <v>0</v>
      </c>
      <c r="G29" s="163">
        <v>995.73</v>
      </c>
      <c r="K29" s="163">
        <v>1111.1099999999999</v>
      </c>
      <c r="T29" s="164">
        <v>0</v>
      </c>
      <c r="U29" s="164">
        <v>0</v>
      </c>
      <c r="V29" s="164">
        <v>0</v>
      </c>
    </row>
    <row r="30" spans="2:22">
      <c r="B30" s="161" t="s">
        <v>841</v>
      </c>
      <c r="C30" s="161" t="s">
        <v>1228</v>
      </c>
      <c r="D30" s="164">
        <v>731794.74</v>
      </c>
      <c r="E30" s="164">
        <v>31081.72</v>
      </c>
      <c r="F30" s="164">
        <v>76838.7</v>
      </c>
      <c r="G30" s="163">
        <v>1091947.21</v>
      </c>
      <c r="H30" s="163">
        <v>64139.58</v>
      </c>
      <c r="I30" s="163">
        <v>160483.91</v>
      </c>
      <c r="J30" s="163">
        <v>852389.34000000008</v>
      </c>
      <c r="K30" s="163">
        <v>36631.75</v>
      </c>
      <c r="L30" s="163">
        <v>243033.03</v>
      </c>
      <c r="M30" s="163">
        <v>1173013.3899999999</v>
      </c>
      <c r="N30" s="163">
        <v>42513.84</v>
      </c>
      <c r="O30" s="163">
        <v>310679.02</v>
      </c>
      <c r="P30" s="163">
        <v>1394209.43</v>
      </c>
      <c r="Q30" s="163">
        <v>116222.90999999999</v>
      </c>
      <c r="R30" s="163">
        <v>338861.02</v>
      </c>
      <c r="S30" s="163"/>
      <c r="T30" s="164">
        <v>1503925</v>
      </c>
      <c r="U30" s="164">
        <v>135000</v>
      </c>
      <c r="V30" s="164">
        <v>308101</v>
      </c>
    </row>
    <row r="31" spans="2:22">
      <c r="B31" s="161" t="s">
        <v>504</v>
      </c>
      <c r="C31" s="161" t="s">
        <v>1229</v>
      </c>
      <c r="D31" s="164">
        <v>23770.899999999998</v>
      </c>
      <c r="E31" s="164">
        <v>5458.78</v>
      </c>
      <c r="F31" s="164">
        <v>0</v>
      </c>
      <c r="G31" s="163">
        <v>15056.21</v>
      </c>
      <c r="H31" s="163">
        <v>5948.16</v>
      </c>
      <c r="J31" s="163">
        <v>9507.119999999999</v>
      </c>
      <c r="K31" s="163">
        <v>4088.56</v>
      </c>
      <c r="M31" s="163">
        <v>10336.91</v>
      </c>
      <c r="N31" s="163">
        <v>3562.46</v>
      </c>
      <c r="P31" s="163">
        <v>6419.5300000000007</v>
      </c>
      <c r="Q31" s="163">
        <v>2514.4</v>
      </c>
      <c r="T31" s="164">
        <v>16100</v>
      </c>
      <c r="U31" s="164">
        <v>6000</v>
      </c>
      <c r="V31" s="164">
        <v>0</v>
      </c>
    </row>
    <row r="32" spans="2:22">
      <c r="B32" s="161" t="s">
        <v>536</v>
      </c>
      <c r="C32" s="161" t="s">
        <v>1230</v>
      </c>
      <c r="D32" s="164">
        <v>3492.58</v>
      </c>
      <c r="E32" s="164">
        <v>0</v>
      </c>
      <c r="F32" s="164">
        <v>0</v>
      </c>
      <c r="G32" s="163">
        <v>10016.959999999999</v>
      </c>
      <c r="H32" s="163">
        <v>7224.44</v>
      </c>
      <c r="J32" s="163">
        <v>3878.7</v>
      </c>
      <c r="M32" s="163">
        <v>3384.8500000000004</v>
      </c>
      <c r="P32" s="163">
        <v>13362.369999999999</v>
      </c>
      <c r="Q32" s="163">
        <v>298.81</v>
      </c>
      <c r="T32" s="164">
        <v>2500</v>
      </c>
      <c r="U32" s="164">
        <v>200</v>
      </c>
      <c r="V32" s="164">
        <v>0</v>
      </c>
    </row>
    <row r="33" spans="2:22">
      <c r="B33" s="161" t="s">
        <v>857</v>
      </c>
      <c r="C33" s="161" t="s">
        <v>1231</v>
      </c>
      <c r="D33" s="164">
        <v>22681.97</v>
      </c>
      <c r="E33" s="164">
        <v>8959.41</v>
      </c>
      <c r="F33" s="164">
        <v>0</v>
      </c>
      <c r="G33" s="163">
        <v>236905.68</v>
      </c>
      <c r="H33" s="163">
        <v>6340.63</v>
      </c>
      <c r="I33" s="163">
        <v>36326.129999999997</v>
      </c>
      <c r="J33" s="163">
        <v>267661.84000000003</v>
      </c>
      <c r="K33" s="163">
        <v>2869.3</v>
      </c>
      <c r="L33" s="163">
        <v>57490.03</v>
      </c>
      <c r="M33" s="163">
        <v>178891.73999999996</v>
      </c>
      <c r="N33" s="163">
        <v>5102.2199999999993</v>
      </c>
      <c r="O33" s="163">
        <v>44688.2</v>
      </c>
      <c r="P33" s="163">
        <v>90596.72</v>
      </c>
      <c r="R33" s="163">
        <v>34002.89</v>
      </c>
      <c r="S33" s="163"/>
      <c r="T33" s="164">
        <v>1500</v>
      </c>
      <c r="U33" s="164">
        <v>0</v>
      </c>
      <c r="V33" s="164">
        <v>33649</v>
      </c>
    </row>
    <row r="34" spans="2:22">
      <c r="B34" s="161" t="s">
        <v>460</v>
      </c>
      <c r="C34" s="161" t="s">
        <v>1232</v>
      </c>
      <c r="D34" s="164">
        <v>439908.31999999995</v>
      </c>
      <c r="E34" s="164">
        <v>139411.53</v>
      </c>
      <c r="F34" s="164">
        <v>0</v>
      </c>
      <c r="G34" s="163">
        <v>635958.36</v>
      </c>
      <c r="H34" s="163">
        <v>214899.83</v>
      </c>
      <c r="J34" s="163">
        <v>751411.76</v>
      </c>
      <c r="K34" s="163">
        <v>56564.4</v>
      </c>
      <c r="L34" s="163">
        <v>362032.63</v>
      </c>
      <c r="M34" s="163">
        <v>774008.69000000006</v>
      </c>
      <c r="N34" s="163">
        <v>22562.75</v>
      </c>
      <c r="O34" s="163">
        <v>512140.30000000005</v>
      </c>
      <c r="P34" s="163">
        <v>810926.35</v>
      </c>
      <c r="Q34" s="163">
        <v>1898.75</v>
      </c>
      <c r="R34" s="163">
        <v>423880.94</v>
      </c>
      <c r="S34" s="163"/>
      <c r="T34" s="164">
        <v>695206</v>
      </c>
      <c r="U34" s="164">
        <v>0</v>
      </c>
      <c r="V34" s="164">
        <v>458129</v>
      </c>
    </row>
    <row r="35" spans="2:22">
      <c r="B35" s="161" t="s">
        <v>357</v>
      </c>
      <c r="C35" s="161" t="s">
        <v>1233</v>
      </c>
      <c r="D35" s="164">
        <v>18870.5</v>
      </c>
      <c r="E35" s="164">
        <v>636.36</v>
      </c>
      <c r="F35" s="164">
        <v>0</v>
      </c>
      <c r="G35" s="163">
        <v>46826.49</v>
      </c>
      <c r="H35" s="163">
        <v>596.22</v>
      </c>
      <c r="J35" s="163">
        <v>14921.53</v>
      </c>
      <c r="L35" s="163">
        <v>1385.95</v>
      </c>
      <c r="M35" s="163">
        <v>40183.75</v>
      </c>
      <c r="P35" s="163">
        <v>21121.910000000003</v>
      </c>
      <c r="T35" s="164">
        <v>2500</v>
      </c>
      <c r="U35" s="164">
        <v>0</v>
      </c>
      <c r="V35" s="164">
        <v>0</v>
      </c>
    </row>
    <row r="36" spans="2:22">
      <c r="B36" s="161" t="s">
        <v>331</v>
      </c>
      <c r="C36" s="161" t="s">
        <v>1234</v>
      </c>
      <c r="D36" s="164">
        <v>17769.13</v>
      </c>
      <c r="E36" s="164">
        <v>66073.460000000006</v>
      </c>
      <c r="F36" s="164">
        <v>26336.799999999999</v>
      </c>
      <c r="G36" s="163">
        <v>18192.05</v>
      </c>
      <c r="H36" s="163">
        <v>25997.29</v>
      </c>
      <c r="I36" s="163">
        <v>37354.639999999999</v>
      </c>
      <c r="J36" s="163">
        <v>24637.16</v>
      </c>
      <c r="K36" s="163">
        <v>29843.39</v>
      </c>
      <c r="L36" s="163">
        <v>171659.23</v>
      </c>
      <c r="M36" s="163">
        <v>46232.47</v>
      </c>
      <c r="N36" s="163">
        <v>17793.189999999999</v>
      </c>
      <c r="O36" s="163">
        <v>100714.68</v>
      </c>
      <c r="P36" s="163">
        <v>41053.15</v>
      </c>
      <c r="Q36" s="163">
        <v>31104.880000000001</v>
      </c>
      <c r="R36" s="163">
        <v>133697.74</v>
      </c>
      <c r="S36" s="163"/>
      <c r="T36" s="164">
        <v>5000</v>
      </c>
      <c r="U36" s="164">
        <v>62130</v>
      </c>
      <c r="V36" s="164">
        <v>284334</v>
      </c>
    </row>
    <row r="37" spans="2:22">
      <c r="B37" s="161" t="s">
        <v>727</v>
      </c>
      <c r="C37" s="161" t="s">
        <v>1235</v>
      </c>
      <c r="D37" s="164">
        <v>153038.10999999999</v>
      </c>
      <c r="E37" s="164">
        <v>13991.08</v>
      </c>
      <c r="F37" s="164">
        <v>12309.800000000001</v>
      </c>
      <c r="G37" s="163">
        <v>90836.92</v>
      </c>
      <c r="H37" s="163">
        <v>9274.23</v>
      </c>
      <c r="I37" s="163">
        <v>20862.46</v>
      </c>
      <c r="J37" s="163">
        <v>52906.7</v>
      </c>
      <c r="K37" s="163">
        <v>9640.2100000000009</v>
      </c>
      <c r="L37" s="163">
        <v>36405.97</v>
      </c>
      <c r="M37" s="163">
        <v>81472.899999999994</v>
      </c>
      <c r="N37" s="163">
        <v>11920.449999999999</v>
      </c>
      <c r="O37" s="163">
        <v>28651.67</v>
      </c>
      <c r="P37" s="163">
        <v>216372.26</v>
      </c>
      <c r="Q37" s="163">
        <v>10674.480000000001</v>
      </c>
      <c r="R37" s="163">
        <v>41464.509999999995</v>
      </c>
      <c r="S37" s="163"/>
      <c r="T37" s="164">
        <v>244309</v>
      </c>
      <c r="U37" s="164">
        <v>10200</v>
      </c>
      <c r="V37" s="164">
        <v>51136</v>
      </c>
    </row>
    <row r="38" spans="2:22">
      <c r="B38" s="161" t="s">
        <v>558</v>
      </c>
      <c r="C38" s="161" t="s">
        <v>1236</v>
      </c>
      <c r="D38" s="164">
        <v>46817.490000000005</v>
      </c>
      <c r="E38" s="164">
        <v>0</v>
      </c>
      <c r="F38" s="164">
        <v>28236.489999999998</v>
      </c>
      <c r="G38" s="163">
        <v>81953.98000000001</v>
      </c>
      <c r="H38" s="163">
        <v>4684.05</v>
      </c>
      <c r="I38" s="163">
        <v>52081.97</v>
      </c>
      <c r="J38" s="163">
        <v>44524.23</v>
      </c>
      <c r="K38" s="163">
        <v>4324</v>
      </c>
      <c r="L38" s="163">
        <v>88308.82</v>
      </c>
      <c r="M38" s="163">
        <v>56595.66</v>
      </c>
      <c r="O38" s="163">
        <v>101292.97</v>
      </c>
      <c r="P38" s="163">
        <v>85078.94</v>
      </c>
      <c r="R38" s="163">
        <v>103334.39</v>
      </c>
      <c r="S38" s="163"/>
      <c r="T38" s="164">
        <v>69677</v>
      </c>
      <c r="U38" s="164">
        <v>0</v>
      </c>
      <c r="V38" s="164">
        <v>97605</v>
      </c>
    </row>
    <row r="39" spans="2:22">
      <c r="B39" s="161" t="s">
        <v>366</v>
      </c>
      <c r="C39" s="161" t="s">
        <v>1237</v>
      </c>
      <c r="D39" s="164">
        <v>13650.27</v>
      </c>
      <c r="E39" s="164">
        <v>0</v>
      </c>
      <c r="F39" s="164">
        <v>4963.78</v>
      </c>
      <c r="G39" s="163">
        <v>14076.55</v>
      </c>
      <c r="I39" s="163">
        <v>11817.9</v>
      </c>
      <c r="J39" s="163">
        <v>2067</v>
      </c>
      <c r="L39" s="163">
        <v>19764.98</v>
      </c>
      <c r="M39" s="163">
        <v>9812.61</v>
      </c>
      <c r="O39" s="163">
        <v>26129.64</v>
      </c>
      <c r="P39" s="163">
        <v>1763</v>
      </c>
      <c r="R39" s="163">
        <v>21617.43</v>
      </c>
      <c r="S39" s="163"/>
      <c r="T39" s="164">
        <v>0</v>
      </c>
      <c r="U39" s="164">
        <v>0</v>
      </c>
      <c r="V39" s="164">
        <v>22581</v>
      </c>
    </row>
    <row r="40" spans="2:22">
      <c r="B40" s="161" t="s">
        <v>889</v>
      </c>
      <c r="C40" s="161" t="s">
        <v>1238</v>
      </c>
      <c r="D40" s="164">
        <v>10425.23</v>
      </c>
      <c r="E40" s="164">
        <v>7180.1100000000006</v>
      </c>
      <c r="F40" s="164">
        <v>0</v>
      </c>
      <c r="G40" s="163">
        <v>5638.67</v>
      </c>
      <c r="H40" s="163">
        <v>17831.96</v>
      </c>
      <c r="I40" s="163">
        <v>19720.41</v>
      </c>
      <c r="J40" s="163">
        <v>1618.98</v>
      </c>
      <c r="K40" s="163">
        <v>13115.78</v>
      </c>
      <c r="M40" s="163">
        <v>1856.25</v>
      </c>
      <c r="N40" s="163">
        <v>12616.189999999999</v>
      </c>
      <c r="O40" s="163">
        <v>32839.1</v>
      </c>
      <c r="P40" s="163">
        <v>8457.5400000000009</v>
      </c>
      <c r="Q40" s="163">
        <v>29433.89</v>
      </c>
      <c r="R40" s="163">
        <v>42764.490000000005</v>
      </c>
      <c r="S40" s="163"/>
      <c r="T40" s="164">
        <v>4376</v>
      </c>
      <c r="U40" s="164">
        <v>26000</v>
      </c>
      <c r="V40" s="164">
        <v>43688</v>
      </c>
    </row>
    <row r="41" spans="2:22">
      <c r="B41" s="161" t="s">
        <v>522</v>
      </c>
      <c r="C41" s="161" t="s">
        <v>1239</v>
      </c>
      <c r="D41" s="164">
        <v>5587.1100000000006</v>
      </c>
      <c r="E41" s="164">
        <v>8837.15</v>
      </c>
      <c r="F41" s="164">
        <v>41.42</v>
      </c>
      <c r="G41" s="163">
        <v>39881.22</v>
      </c>
      <c r="H41" s="163">
        <v>6209.84</v>
      </c>
      <c r="J41" s="163">
        <v>25574.62</v>
      </c>
      <c r="K41" s="163">
        <v>6521.3200000000006</v>
      </c>
      <c r="M41" s="163">
        <v>26997.489999999998</v>
      </c>
      <c r="N41" s="163">
        <v>6447.19</v>
      </c>
      <c r="P41" s="163">
        <v>20161.23</v>
      </c>
      <c r="Q41" s="163">
        <v>3505.84</v>
      </c>
      <c r="R41" s="163">
        <v>240669.96000000002</v>
      </c>
      <c r="S41" s="163"/>
      <c r="T41" s="164">
        <v>18880</v>
      </c>
      <c r="U41" s="164">
        <v>13500</v>
      </c>
      <c r="V41" s="164">
        <v>251610</v>
      </c>
    </row>
    <row r="42" spans="2:22">
      <c r="B42" s="161" t="s">
        <v>351</v>
      </c>
      <c r="C42" s="161" t="s">
        <v>1240</v>
      </c>
      <c r="D42" s="164">
        <v>4614.22</v>
      </c>
      <c r="E42" s="164">
        <v>0</v>
      </c>
      <c r="F42" s="164">
        <v>1871.48</v>
      </c>
      <c r="G42" s="163">
        <v>4574.4800000000005</v>
      </c>
      <c r="J42" s="163">
        <v>10351.459999999999</v>
      </c>
      <c r="M42" s="163">
        <v>45778.080000000002</v>
      </c>
      <c r="P42" s="163">
        <v>9303.83</v>
      </c>
      <c r="T42" s="164">
        <v>40000</v>
      </c>
      <c r="U42" s="164">
        <v>0</v>
      </c>
      <c r="V42" s="164">
        <v>0</v>
      </c>
    </row>
    <row r="43" spans="2:22">
      <c r="B43" s="161" t="s">
        <v>677</v>
      </c>
      <c r="C43" s="161" t="s">
        <v>1241</v>
      </c>
      <c r="D43" s="162">
        <v>0</v>
      </c>
      <c r="E43" s="162">
        <v>0</v>
      </c>
      <c r="F43" s="162">
        <v>0</v>
      </c>
      <c r="M43" s="163">
        <v>138.75</v>
      </c>
      <c r="T43" s="164">
        <v>0</v>
      </c>
      <c r="U43" s="164">
        <v>0</v>
      </c>
      <c r="V43" s="164">
        <v>0</v>
      </c>
    </row>
    <row r="44" spans="2:22">
      <c r="B44" s="161" t="s">
        <v>438</v>
      </c>
      <c r="C44" s="161" t="s">
        <v>1242</v>
      </c>
      <c r="D44" s="164">
        <v>36963.379999999997</v>
      </c>
      <c r="E44" s="164">
        <v>7489.92</v>
      </c>
      <c r="F44" s="164">
        <v>21693.599999999999</v>
      </c>
      <c r="G44" s="163">
        <v>29074.45</v>
      </c>
      <c r="H44" s="163">
        <v>6291.52</v>
      </c>
      <c r="I44" s="163">
        <v>50274.48</v>
      </c>
      <c r="J44" s="163">
        <v>53425.590000000004</v>
      </c>
      <c r="K44" s="163">
        <v>18514.09</v>
      </c>
      <c r="L44" s="163">
        <v>62984.229999999996</v>
      </c>
      <c r="M44" s="163">
        <v>70482.720000000001</v>
      </c>
      <c r="N44" s="163">
        <v>14486.97</v>
      </c>
      <c r="O44" s="163">
        <v>75520.37</v>
      </c>
      <c r="P44" s="163">
        <v>83309.819999999992</v>
      </c>
      <c r="Q44" s="163">
        <v>19609.77</v>
      </c>
      <c r="R44" s="163">
        <v>69816.800000000003</v>
      </c>
      <c r="S44" s="163"/>
      <c r="T44" s="164">
        <v>21500</v>
      </c>
      <c r="U44" s="164">
        <v>8000</v>
      </c>
      <c r="V44" s="164">
        <v>95784</v>
      </c>
    </row>
    <row r="45" spans="2:22">
      <c r="B45" s="161" t="s">
        <v>570</v>
      </c>
      <c r="C45" s="161" t="s">
        <v>1243</v>
      </c>
      <c r="D45" s="164">
        <v>291.96000000000004</v>
      </c>
      <c r="E45" s="164">
        <v>0</v>
      </c>
      <c r="F45" s="164">
        <v>0</v>
      </c>
      <c r="G45" s="163">
        <v>431.46999999999997</v>
      </c>
      <c r="H45" s="163">
        <v>1035.24</v>
      </c>
      <c r="K45" s="163">
        <v>414.6</v>
      </c>
      <c r="N45" s="163">
        <v>296.19</v>
      </c>
      <c r="Q45" s="163">
        <v>565.1</v>
      </c>
      <c r="T45" s="164">
        <v>0</v>
      </c>
      <c r="U45" s="164">
        <v>0</v>
      </c>
      <c r="V45" s="164">
        <v>0</v>
      </c>
    </row>
    <row r="46" spans="2:22">
      <c r="B46" s="161" t="s">
        <v>416</v>
      </c>
      <c r="C46" s="161" t="s">
        <v>1244</v>
      </c>
      <c r="D46" s="162">
        <v>0</v>
      </c>
      <c r="E46" s="162">
        <v>0</v>
      </c>
      <c r="F46" s="162">
        <v>0</v>
      </c>
      <c r="P46" s="163">
        <v>349.4</v>
      </c>
      <c r="T46" s="164">
        <v>0</v>
      </c>
      <c r="U46" s="164">
        <v>0</v>
      </c>
      <c r="V46" s="164">
        <v>2136</v>
      </c>
    </row>
    <row r="47" spans="2:22">
      <c r="B47" s="161" t="s">
        <v>667</v>
      </c>
      <c r="C47" s="161" t="s">
        <v>1465</v>
      </c>
      <c r="D47" s="162">
        <v>0</v>
      </c>
      <c r="E47" s="162">
        <v>0</v>
      </c>
      <c r="F47" s="162">
        <v>0</v>
      </c>
      <c r="I47" s="163">
        <v>1164.8800000000001</v>
      </c>
      <c r="T47" s="164"/>
      <c r="U47" s="164"/>
      <c r="V47" s="164"/>
    </row>
    <row r="48" spans="2:22">
      <c r="B48" s="161" t="s">
        <v>510</v>
      </c>
      <c r="C48" s="161" t="s">
        <v>1245</v>
      </c>
      <c r="D48" s="164">
        <v>0</v>
      </c>
      <c r="E48" s="164">
        <v>0</v>
      </c>
      <c r="F48" s="164">
        <v>0</v>
      </c>
      <c r="G48" s="163">
        <v>2463.6799999999998</v>
      </c>
      <c r="M48" s="163">
        <v>803.33</v>
      </c>
      <c r="O48" s="163">
        <v>7.76</v>
      </c>
      <c r="P48" s="163">
        <v>2239.13</v>
      </c>
      <c r="T48" s="164">
        <v>2000</v>
      </c>
      <c r="U48" s="164">
        <v>0</v>
      </c>
      <c r="V48" s="164">
        <v>0</v>
      </c>
    </row>
    <row r="49" spans="2:22">
      <c r="B49" s="161" t="s">
        <v>723</v>
      </c>
      <c r="C49" s="161" t="s">
        <v>1246</v>
      </c>
      <c r="D49" s="164">
        <v>-323.60000000000002</v>
      </c>
      <c r="E49" s="164">
        <v>3730.06</v>
      </c>
      <c r="F49" s="164">
        <v>0</v>
      </c>
      <c r="G49" s="163">
        <v>126.36</v>
      </c>
      <c r="I49" s="163">
        <v>179</v>
      </c>
      <c r="J49" s="163">
        <v>2728.69</v>
      </c>
      <c r="K49" s="163">
        <v>4086.23</v>
      </c>
      <c r="L49" s="163">
        <v>1613.44</v>
      </c>
      <c r="M49" s="163">
        <v>32</v>
      </c>
      <c r="N49" s="163">
        <v>1620</v>
      </c>
      <c r="P49" s="163">
        <v>3597.77</v>
      </c>
      <c r="Q49" s="163">
        <v>1966.59</v>
      </c>
      <c r="R49" s="163">
        <v>99</v>
      </c>
      <c r="S49" s="163"/>
      <c r="T49" s="164">
        <v>0</v>
      </c>
      <c r="U49" s="164">
        <v>13513</v>
      </c>
      <c r="V49" s="164">
        <v>10000</v>
      </c>
    </row>
    <row r="50" spans="2:22">
      <c r="B50" s="161" t="s">
        <v>681</v>
      </c>
      <c r="C50" s="161" t="s">
        <v>1247</v>
      </c>
      <c r="D50" s="164">
        <v>69631.94</v>
      </c>
      <c r="E50" s="164">
        <v>0</v>
      </c>
      <c r="F50" s="164">
        <v>0</v>
      </c>
      <c r="G50" s="163">
        <v>39427.82</v>
      </c>
      <c r="J50" s="163">
        <v>8791.16</v>
      </c>
      <c r="M50" s="163">
        <v>181599.66000000003</v>
      </c>
      <c r="P50" s="163">
        <v>80569.01999999999</v>
      </c>
      <c r="T50" s="164">
        <v>96825</v>
      </c>
      <c r="U50" s="164">
        <v>0</v>
      </c>
      <c r="V50" s="164">
        <v>0</v>
      </c>
    </row>
    <row r="51" spans="2:22">
      <c r="B51" s="161" t="s">
        <v>629</v>
      </c>
      <c r="C51" s="161" t="s">
        <v>1248</v>
      </c>
      <c r="D51" s="164">
        <v>24145.119999999999</v>
      </c>
      <c r="E51" s="164">
        <v>38965.54</v>
      </c>
      <c r="F51" s="164">
        <v>0</v>
      </c>
      <c r="G51" s="163">
        <v>10507.98</v>
      </c>
      <c r="H51" s="163">
        <v>24792.39</v>
      </c>
      <c r="J51" s="163">
        <v>32606.090000000004</v>
      </c>
      <c r="K51" s="163">
        <v>9046.92</v>
      </c>
      <c r="M51" s="163">
        <v>11592.02</v>
      </c>
      <c r="N51" s="163">
        <v>21849.040000000001</v>
      </c>
      <c r="P51" s="163">
        <v>18190.669999999998</v>
      </c>
      <c r="Q51" s="163">
        <v>64472.619999999995</v>
      </c>
      <c r="T51" s="164">
        <v>8113</v>
      </c>
      <c r="U51" s="164">
        <v>211100</v>
      </c>
      <c r="V51" s="164">
        <v>0</v>
      </c>
    </row>
    <row r="52" spans="2:22">
      <c r="B52" s="161" t="s">
        <v>693</v>
      </c>
      <c r="C52" s="161" t="s">
        <v>1249</v>
      </c>
      <c r="D52" s="162">
        <v>0</v>
      </c>
      <c r="E52" s="162">
        <v>0</v>
      </c>
      <c r="F52" s="162">
        <v>463.46</v>
      </c>
      <c r="L52" s="163">
        <v>976.99</v>
      </c>
      <c r="M52" s="163">
        <v>3123.82</v>
      </c>
      <c r="O52" s="163">
        <v>1619.5300000000002</v>
      </c>
      <c r="R52" s="163">
        <v>6959.5</v>
      </c>
      <c r="S52" s="163"/>
      <c r="T52" s="164">
        <v>0</v>
      </c>
      <c r="U52" s="164">
        <v>0</v>
      </c>
      <c r="V52" s="164">
        <v>932</v>
      </c>
    </row>
    <row r="53" spans="2:22">
      <c r="B53" s="161" t="s">
        <v>847</v>
      </c>
      <c r="C53" s="161" t="s">
        <v>1250</v>
      </c>
      <c r="D53" s="164">
        <v>22864.62</v>
      </c>
      <c r="E53" s="164">
        <v>4063.07</v>
      </c>
      <c r="F53" s="164">
        <v>51337.89</v>
      </c>
      <c r="G53" s="163">
        <v>9121.83</v>
      </c>
      <c r="H53" s="163">
        <v>732.76</v>
      </c>
      <c r="I53" s="163">
        <v>9119.52</v>
      </c>
      <c r="J53" s="163">
        <v>4061.6499999999996</v>
      </c>
      <c r="K53" s="163">
        <v>1268.4100000000001</v>
      </c>
      <c r="L53" s="163">
        <v>5092.92</v>
      </c>
      <c r="M53" s="163">
        <v>10910.44</v>
      </c>
      <c r="O53" s="163">
        <v>4475.82</v>
      </c>
      <c r="P53" s="163">
        <v>5602.9900000000007</v>
      </c>
      <c r="Q53" s="163">
        <v>2222.64</v>
      </c>
      <c r="R53" s="163">
        <v>33791.300000000003</v>
      </c>
      <c r="S53" s="163"/>
      <c r="T53" s="164">
        <v>19315</v>
      </c>
      <c r="U53" s="164">
        <v>0</v>
      </c>
      <c r="V53" s="164">
        <v>31975</v>
      </c>
    </row>
    <row r="54" spans="2:22">
      <c r="B54" s="161" t="s">
        <v>713</v>
      </c>
      <c r="C54" s="161" t="s">
        <v>1251</v>
      </c>
      <c r="D54" s="164">
        <v>2886.2999999999997</v>
      </c>
      <c r="E54" s="164">
        <v>0</v>
      </c>
      <c r="F54" s="164">
        <v>0</v>
      </c>
      <c r="G54" s="163">
        <v>315.38</v>
      </c>
      <c r="J54" s="163">
        <v>290.24</v>
      </c>
      <c r="K54" s="163">
        <v>20387.82</v>
      </c>
      <c r="M54" s="163">
        <v>7731.93</v>
      </c>
      <c r="N54" s="163">
        <v>3409.59</v>
      </c>
      <c r="P54" s="163">
        <v>15261.68</v>
      </c>
      <c r="Q54" s="163">
        <v>1589.4</v>
      </c>
      <c r="T54" s="164">
        <v>0</v>
      </c>
      <c r="U54" s="164">
        <v>0</v>
      </c>
      <c r="V54" s="164">
        <v>0</v>
      </c>
    </row>
    <row r="55" spans="2:22">
      <c r="B55" s="161" t="s">
        <v>855</v>
      </c>
      <c r="C55" s="161" t="s">
        <v>1252</v>
      </c>
      <c r="D55" s="164">
        <v>11469.08</v>
      </c>
      <c r="E55" s="164">
        <v>13413.48</v>
      </c>
      <c r="F55" s="164">
        <v>4555.16</v>
      </c>
      <c r="G55" s="163">
        <v>10500.82</v>
      </c>
      <c r="H55" s="163">
        <v>6294.8</v>
      </c>
      <c r="J55" s="163">
        <v>7304.59</v>
      </c>
      <c r="K55" s="163">
        <v>11029.73</v>
      </c>
      <c r="M55" s="163">
        <v>5569.09</v>
      </c>
      <c r="P55" s="163">
        <v>5458.0700000000006</v>
      </c>
      <c r="Q55" s="163">
        <v>12246.06</v>
      </c>
      <c r="T55" s="164">
        <v>92159</v>
      </c>
      <c r="U55" s="164">
        <v>10000</v>
      </c>
      <c r="V55" s="164">
        <v>0</v>
      </c>
    </row>
    <row r="56" spans="2:22">
      <c r="B56" s="161" t="s">
        <v>408</v>
      </c>
      <c r="C56" s="161" t="s">
        <v>1253</v>
      </c>
      <c r="D56" s="162">
        <v>0</v>
      </c>
      <c r="E56" s="162">
        <v>0</v>
      </c>
      <c r="F56" s="162">
        <v>0</v>
      </c>
      <c r="H56" s="163">
        <v>239.95</v>
      </c>
      <c r="K56" s="163">
        <v>1590.2</v>
      </c>
      <c r="N56" s="163">
        <v>952.96</v>
      </c>
      <c r="Q56" s="163">
        <v>3297.93</v>
      </c>
      <c r="T56" s="164">
        <v>0</v>
      </c>
      <c r="U56" s="164">
        <v>5000</v>
      </c>
      <c r="V56" s="164">
        <v>0</v>
      </c>
    </row>
    <row r="57" spans="2:22">
      <c r="B57" s="161" t="s">
        <v>771</v>
      </c>
      <c r="C57" s="161" t="s">
        <v>1254</v>
      </c>
      <c r="D57" s="164">
        <v>1576.8600000000001</v>
      </c>
      <c r="E57" s="164">
        <v>24328.260000000002</v>
      </c>
      <c r="F57" s="164">
        <v>0</v>
      </c>
      <c r="G57" s="163">
        <v>8764.91</v>
      </c>
      <c r="H57" s="163">
        <v>3600.07</v>
      </c>
      <c r="I57" s="163">
        <v>2679.64</v>
      </c>
      <c r="J57" s="163">
        <v>15048.07</v>
      </c>
      <c r="K57" s="163">
        <v>12199.17</v>
      </c>
      <c r="L57" s="163">
        <v>3107.22</v>
      </c>
      <c r="M57" s="163">
        <v>8335.0499999999993</v>
      </c>
      <c r="N57" s="163">
        <v>30.28</v>
      </c>
      <c r="O57" s="163">
        <v>3400.7699999999995</v>
      </c>
      <c r="P57" s="163">
        <v>660.26</v>
      </c>
      <c r="R57" s="163">
        <v>3916.86</v>
      </c>
      <c r="S57" s="163"/>
      <c r="T57" s="164">
        <v>0</v>
      </c>
      <c r="U57" s="164">
        <v>80</v>
      </c>
      <c r="V57" s="164">
        <v>2688</v>
      </c>
    </row>
    <row r="58" spans="2:22">
      <c r="B58" s="161" t="s">
        <v>741</v>
      </c>
      <c r="C58" s="161" t="s">
        <v>1255</v>
      </c>
      <c r="D58" s="164">
        <v>6299.9500000000007</v>
      </c>
      <c r="E58" s="164">
        <v>0</v>
      </c>
      <c r="F58" s="164">
        <v>0</v>
      </c>
      <c r="G58" s="163">
        <v>23859.64</v>
      </c>
      <c r="I58" s="163">
        <v>9017.4</v>
      </c>
      <c r="J58" s="163">
        <v>6626.5199999999995</v>
      </c>
      <c r="M58" s="163">
        <v>18220.82</v>
      </c>
      <c r="P58" s="163">
        <v>36016.270000000004</v>
      </c>
      <c r="T58" s="164">
        <v>7000</v>
      </c>
      <c r="U58" s="164">
        <v>0</v>
      </c>
      <c r="V58" s="164">
        <v>0</v>
      </c>
    </row>
    <row r="59" spans="2:22">
      <c r="B59" s="161" t="s">
        <v>600</v>
      </c>
      <c r="C59" s="161" t="s">
        <v>1256</v>
      </c>
      <c r="D59" s="164">
        <v>29169.690000000002</v>
      </c>
      <c r="E59" s="164">
        <v>1646.29</v>
      </c>
      <c r="F59" s="164">
        <v>0</v>
      </c>
      <c r="G59" s="163">
        <v>62554.64</v>
      </c>
      <c r="H59" s="163">
        <v>22049.57</v>
      </c>
      <c r="J59" s="163">
        <v>30414.78</v>
      </c>
      <c r="K59" s="163">
        <v>12612.36</v>
      </c>
      <c r="M59" s="163">
        <v>85448.87</v>
      </c>
      <c r="N59" s="163">
        <v>75488.77</v>
      </c>
      <c r="O59" s="163">
        <v>99188.02</v>
      </c>
      <c r="P59" s="163">
        <v>110965.2</v>
      </c>
      <c r="Q59" s="163">
        <v>11122.71</v>
      </c>
      <c r="R59" s="163">
        <v>108885.91</v>
      </c>
      <c r="S59" s="163"/>
      <c r="T59" s="164">
        <v>29125</v>
      </c>
      <c r="U59" s="164">
        <v>0</v>
      </c>
      <c r="V59" s="164">
        <v>0</v>
      </c>
    </row>
    <row r="60" spans="2:22">
      <c r="B60" s="161" t="s">
        <v>454</v>
      </c>
      <c r="C60" s="161" t="s">
        <v>1257</v>
      </c>
      <c r="D60" s="164">
        <v>5934.1799999999994</v>
      </c>
      <c r="E60" s="164">
        <v>2650.06</v>
      </c>
      <c r="F60" s="164">
        <v>6210.98</v>
      </c>
      <c r="G60" s="163">
        <v>12767.89</v>
      </c>
      <c r="H60" s="163">
        <v>57000.73</v>
      </c>
      <c r="I60" s="163">
        <v>15569.93</v>
      </c>
      <c r="J60" s="163">
        <v>41648.74</v>
      </c>
      <c r="K60" s="163">
        <v>13056.09</v>
      </c>
      <c r="L60" s="163">
        <v>22726.22</v>
      </c>
      <c r="M60" s="163">
        <v>7515.64</v>
      </c>
      <c r="N60" s="163">
        <v>9348.41</v>
      </c>
      <c r="O60" s="163">
        <v>26508.800000000003</v>
      </c>
      <c r="P60" s="163">
        <v>20481.370000000003</v>
      </c>
      <c r="Q60" s="163">
        <v>40581.58</v>
      </c>
      <c r="R60" s="163">
        <v>24914.910000000003</v>
      </c>
      <c r="S60" s="163"/>
      <c r="T60" s="164">
        <v>18896</v>
      </c>
      <c r="U60" s="164">
        <v>3000</v>
      </c>
      <c r="V60" s="164">
        <v>26079</v>
      </c>
    </row>
    <row r="61" spans="2:22">
      <c r="B61" s="161" t="s">
        <v>881</v>
      </c>
      <c r="C61" s="161" t="s">
        <v>1258</v>
      </c>
      <c r="D61" s="162">
        <v>1497</v>
      </c>
      <c r="E61" s="162">
        <v>0</v>
      </c>
      <c r="F61" s="162">
        <v>0</v>
      </c>
      <c r="L61" s="163">
        <v>664.6</v>
      </c>
      <c r="N61" s="163">
        <v>159</v>
      </c>
      <c r="O61" s="163">
        <v>786.64</v>
      </c>
      <c r="Q61" s="163">
        <v>634.94000000000005</v>
      </c>
      <c r="R61" s="163">
        <v>3337.21</v>
      </c>
      <c r="S61" s="163"/>
      <c r="T61" s="164">
        <v>0</v>
      </c>
      <c r="U61" s="164">
        <v>0</v>
      </c>
      <c r="V61" s="164">
        <v>3310</v>
      </c>
    </row>
    <row r="62" spans="2:22">
      <c r="B62" s="161" t="s">
        <v>482</v>
      </c>
      <c r="C62" s="161" t="s">
        <v>1259</v>
      </c>
      <c r="D62" s="164">
        <v>1946.2</v>
      </c>
      <c r="E62" s="164">
        <v>1714.02</v>
      </c>
      <c r="F62" s="164">
        <v>1041.6500000000001</v>
      </c>
      <c r="G62" s="163">
        <v>4075.1</v>
      </c>
      <c r="H62" s="163">
        <v>1463.45</v>
      </c>
      <c r="I62" s="163">
        <v>2327.9699999999998</v>
      </c>
      <c r="J62" s="163">
        <v>1351.91</v>
      </c>
      <c r="K62" s="163">
        <v>11786.81</v>
      </c>
      <c r="L62" s="163">
        <v>1704.0800000000002</v>
      </c>
      <c r="M62" s="163">
        <v>1672.96</v>
      </c>
      <c r="N62" s="163">
        <v>3583.43</v>
      </c>
      <c r="O62" s="163">
        <v>1731.09</v>
      </c>
      <c r="P62" s="163">
        <v>9906.630000000001</v>
      </c>
      <c r="R62" s="163">
        <v>976.21</v>
      </c>
      <c r="S62" s="163"/>
      <c r="T62" s="164">
        <v>16955</v>
      </c>
      <c r="U62" s="164">
        <v>0</v>
      </c>
      <c r="V62" s="164">
        <v>985</v>
      </c>
    </row>
    <row r="63" spans="2:22">
      <c r="B63" s="161" t="s">
        <v>315</v>
      </c>
      <c r="C63" s="161" t="s">
        <v>1260</v>
      </c>
      <c r="D63" s="164">
        <v>33157.43</v>
      </c>
      <c r="E63" s="164">
        <v>2935.19</v>
      </c>
      <c r="F63" s="164">
        <v>0</v>
      </c>
      <c r="G63" s="163">
        <v>28824.18</v>
      </c>
      <c r="H63" s="163">
        <v>3698.07</v>
      </c>
      <c r="I63" s="163">
        <v>28468.050000000003</v>
      </c>
      <c r="J63" s="163">
        <v>9367.52</v>
      </c>
      <c r="K63" s="163">
        <v>39108.729999999996</v>
      </c>
      <c r="L63" s="163">
        <v>23251.59</v>
      </c>
      <c r="M63" s="163">
        <v>9995.4900000000016</v>
      </c>
      <c r="O63" s="163">
        <v>40437.56</v>
      </c>
      <c r="P63" s="163">
        <v>14726.36</v>
      </c>
      <c r="Q63" s="163">
        <v>3849.12</v>
      </c>
      <c r="R63" s="163">
        <v>30237.97</v>
      </c>
      <c r="S63" s="163"/>
      <c r="T63" s="164">
        <v>0</v>
      </c>
      <c r="U63" s="164">
        <v>0</v>
      </c>
      <c r="V63" s="164">
        <v>65837</v>
      </c>
    </row>
    <row r="64" spans="2:22">
      <c r="B64" s="161" t="s">
        <v>508</v>
      </c>
      <c r="C64" s="161" t="s">
        <v>1261</v>
      </c>
      <c r="D64" s="164">
        <v>9923.56</v>
      </c>
      <c r="E64" s="164">
        <v>1770.59</v>
      </c>
      <c r="F64" s="164">
        <v>6052.33</v>
      </c>
      <c r="G64" s="163">
        <v>25841.279999999999</v>
      </c>
      <c r="H64" s="163">
        <v>15206.64</v>
      </c>
      <c r="I64" s="163">
        <v>10293.43</v>
      </c>
      <c r="J64" s="163">
        <v>15043.68</v>
      </c>
      <c r="K64" s="163">
        <v>17066.18</v>
      </c>
      <c r="L64" s="163">
        <v>24780</v>
      </c>
      <c r="M64" s="163">
        <v>20044.28</v>
      </c>
      <c r="N64" s="163">
        <v>3998.08</v>
      </c>
      <c r="O64" s="163">
        <v>26601.67</v>
      </c>
      <c r="P64" s="163">
        <v>21117.35</v>
      </c>
      <c r="Q64" s="163">
        <v>6417.85</v>
      </c>
      <c r="R64" s="163">
        <v>22572.489999999998</v>
      </c>
      <c r="S64" s="163"/>
      <c r="T64" s="164">
        <v>8015</v>
      </c>
      <c r="U64" s="164">
        <v>11000</v>
      </c>
      <c r="V64" s="164">
        <v>30674</v>
      </c>
    </row>
    <row r="65" spans="2:22">
      <c r="B65" s="161" t="s">
        <v>627</v>
      </c>
      <c r="C65" s="161" t="s">
        <v>1262</v>
      </c>
      <c r="D65" s="164">
        <v>1247.5700000000002</v>
      </c>
      <c r="E65" s="164">
        <v>474.5</v>
      </c>
      <c r="F65" s="164">
        <v>900</v>
      </c>
      <c r="G65" s="163">
        <v>309.47000000000003</v>
      </c>
      <c r="H65" s="163">
        <v>5542.03</v>
      </c>
      <c r="I65" s="163">
        <v>6794.57</v>
      </c>
      <c r="K65" s="163">
        <v>18222.13</v>
      </c>
      <c r="L65" s="163">
        <v>1350</v>
      </c>
      <c r="M65" s="163">
        <v>4000</v>
      </c>
      <c r="N65" s="163">
        <v>10846.12</v>
      </c>
      <c r="O65" s="163">
        <v>309.57</v>
      </c>
      <c r="P65" s="163">
        <v>1415.6399999999999</v>
      </c>
      <c r="Q65" s="163">
        <v>8732.23</v>
      </c>
      <c r="R65" s="163">
        <v>11802.42</v>
      </c>
      <c r="S65" s="163"/>
      <c r="T65" s="164">
        <v>1400</v>
      </c>
      <c r="U65" s="164">
        <v>3500</v>
      </c>
      <c r="V65" s="164">
        <v>18376</v>
      </c>
    </row>
    <row r="66" spans="2:22">
      <c r="B66" s="161" t="s">
        <v>580</v>
      </c>
      <c r="C66" s="161" t="s">
        <v>1263</v>
      </c>
      <c r="D66" s="162">
        <v>0</v>
      </c>
      <c r="E66" s="162">
        <v>0</v>
      </c>
      <c r="F66" s="162">
        <v>0</v>
      </c>
      <c r="J66" s="163">
        <v>5062.2</v>
      </c>
      <c r="K66" s="163">
        <v>27.17</v>
      </c>
      <c r="N66" s="163">
        <v>59.05</v>
      </c>
      <c r="P66" s="163">
        <v>1038.51</v>
      </c>
      <c r="Q66" s="163">
        <v>33.880000000000003</v>
      </c>
      <c r="T66" s="164">
        <v>0</v>
      </c>
      <c r="U66" s="164">
        <v>0</v>
      </c>
      <c r="V66" s="164">
        <v>0</v>
      </c>
    </row>
    <row r="67" spans="2:22">
      <c r="B67" s="161" t="s">
        <v>596</v>
      </c>
      <c r="C67" s="161" t="s">
        <v>1264</v>
      </c>
      <c r="D67" s="164">
        <v>4738.3499999999995</v>
      </c>
      <c r="E67" s="164">
        <v>0</v>
      </c>
      <c r="F67" s="164">
        <v>552.67999999999995</v>
      </c>
      <c r="G67" s="163">
        <v>940.18999999999994</v>
      </c>
      <c r="I67" s="163">
        <v>6509.76</v>
      </c>
      <c r="J67" s="163">
        <v>399</v>
      </c>
      <c r="L67" s="163">
        <v>10234.540000000001</v>
      </c>
      <c r="M67" s="163">
        <v>3088.83</v>
      </c>
      <c r="O67" s="163">
        <v>12204.3</v>
      </c>
      <c r="P67" s="163">
        <v>1456.24</v>
      </c>
      <c r="R67" s="163">
        <v>2862.1899999999996</v>
      </c>
      <c r="S67" s="163"/>
      <c r="T67" s="164">
        <v>0</v>
      </c>
      <c r="U67" s="164">
        <v>0</v>
      </c>
      <c r="V67" s="164">
        <v>16052</v>
      </c>
    </row>
    <row r="68" spans="2:22">
      <c r="B68" s="161" t="s">
        <v>446</v>
      </c>
      <c r="C68" s="161" t="s">
        <v>1265</v>
      </c>
      <c r="D68" s="164">
        <v>2611.2000000000003</v>
      </c>
      <c r="E68" s="164">
        <v>224.34</v>
      </c>
      <c r="F68" s="164">
        <v>7108.09</v>
      </c>
      <c r="G68" s="163">
        <v>5770.16</v>
      </c>
      <c r="H68" s="163">
        <v>1510.44</v>
      </c>
      <c r="J68" s="163">
        <v>1535.72</v>
      </c>
      <c r="K68" s="163">
        <v>2107.5100000000002</v>
      </c>
      <c r="M68" s="163">
        <v>4810.75</v>
      </c>
      <c r="N68" s="163">
        <v>1044.3399999999999</v>
      </c>
      <c r="O68" s="163">
        <v>899.43999999999994</v>
      </c>
      <c r="P68" s="163">
        <v>3326.2</v>
      </c>
      <c r="Q68" s="163">
        <v>1792.92</v>
      </c>
      <c r="R68" s="163">
        <v>2271.7199999999998</v>
      </c>
      <c r="S68" s="163"/>
      <c r="T68" s="164">
        <v>1350</v>
      </c>
      <c r="U68" s="164">
        <v>1725</v>
      </c>
      <c r="V68" s="164">
        <v>23140</v>
      </c>
    </row>
    <row r="69" spans="2:22">
      <c r="B69" s="161" t="s">
        <v>811</v>
      </c>
      <c r="C69" s="161" t="s">
        <v>1266</v>
      </c>
      <c r="D69" s="162">
        <v>0</v>
      </c>
      <c r="E69" s="162">
        <v>0</v>
      </c>
      <c r="F69" s="162">
        <v>0</v>
      </c>
      <c r="J69" s="163">
        <v>298</v>
      </c>
      <c r="K69" s="163">
        <v>2619.08</v>
      </c>
      <c r="T69" s="164">
        <v>300</v>
      </c>
      <c r="U69" s="164">
        <v>0</v>
      </c>
      <c r="V69" s="164">
        <v>0</v>
      </c>
    </row>
    <row r="70" spans="2:22">
      <c r="B70" s="161" t="s">
        <v>406</v>
      </c>
      <c r="C70" s="161" t="s">
        <v>1267</v>
      </c>
      <c r="D70" s="164">
        <v>530.97</v>
      </c>
      <c r="E70" s="164">
        <v>0</v>
      </c>
      <c r="F70" s="164">
        <v>0</v>
      </c>
      <c r="G70" s="163">
        <v>231.5</v>
      </c>
      <c r="O70" s="163">
        <v>171.72</v>
      </c>
      <c r="T70" s="164">
        <v>0</v>
      </c>
      <c r="U70" s="164">
        <v>0</v>
      </c>
      <c r="V70" s="164">
        <v>595</v>
      </c>
    </row>
    <row r="71" spans="2:22">
      <c r="B71" s="161" t="s">
        <v>745</v>
      </c>
      <c r="C71" s="161" t="s">
        <v>1268</v>
      </c>
      <c r="D71" s="162">
        <v>6.42</v>
      </c>
      <c r="E71" s="162">
        <v>0</v>
      </c>
      <c r="F71" s="162">
        <v>0</v>
      </c>
      <c r="I71" s="163">
        <v>6.42</v>
      </c>
      <c r="L71" s="163">
        <v>545.06000000000006</v>
      </c>
      <c r="O71" s="163">
        <v>573.04</v>
      </c>
      <c r="R71" s="163">
        <v>9.58</v>
      </c>
      <c r="S71" s="163"/>
      <c r="T71" s="164">
        <v>0</v>
      </c>
      <c r="U71" s="164">
        <v>0</v>
      </c>
      <c r="V71" s="164">
        <v>0</v>
      </c>
    </row>
    <row r="72" spans="2:22">
      <c r="B72" s="161" t="s">
        <v>885</v>
      </c>
      <c r="C72" s="161" t="s">
        <v>1269</v>
      </c>
      <c r="D72" s="162">
        <v>0</v>
      </c>
      <c r="E72" s="162">
        <v>0</v>
      </c>
      <c r="F72" s="162">
        <v>0</v>
      </c>
      <c r="I72" s="163">
        <v>782.16000000000008</v>
      </c>
      <c r="O72" s="163">
        <v>1643.0700000000002</v>
      </c>
      <c r="R72" s="163">
        <v>4930.24</v>
      </c>
      <c r="S72" s="163"/>
      <c r="T72" s="164">
        <v>0</v>
      </c>
      <c r="U72" s="164">
        <v>0</v>
      </c>
      <c r="V72" s="164">
        <v>1716</v>
      </c>
    </row>
    <row r="73" spans="2:22">
      <c r="B73" s="161" t="s">
        <v>651</v>
      </c>
      <c r="C73" s="161" t="s">
        <v>1270</v>
      </c>
      <c r="D73" s="164">
        <v>5598.61</v>
      </c>
      <c r="E73" s="164">
        <v>0</v>
      </c>
      <c r="F73" s="164">
        <v>0</v>
      </c>
      <c r="G73" s="163">
        <v>6767.0199999999995</v>
      </c>
      <c r="J73" s="163">
        <v>179</v>
      </c>
      <c r="M73" s="163">
        <v>3097.34</v>
      </c>
      <c r="P73" s="163">
        <v>1575.7800000000002</v>
      </c>
      <c r="T73" s="164">
        <v>1000</v>
      </c>
      <c r="U73" s="164">
        <v>0</v>
      </c>
      <c r="V73" s="164">
        <v>0</v>
      </c>
    </row>
    <row r="74" spans="2:22">
      <c r="B74" s="161" t="s">
        <v>647</v>
      </c>
      <c r="C74" s="161" t="s">
        <v>1271</v>
      </c>
      <c r="D74" s="162">
        <v>219.64</v>
      </c>
      <c r="E74" s="162">
        <v>0</v>
      </c>
      <c r="F74" s="162">
        <v>0</v>
      </c>
      <c r="I74" s="163">
        <v>1871.97</v>
      </c>
      <c r="J74" s="163">
        <v>112</v>
      </c>
      <c r="L74" s="163">
        <v>3103.6800000000003</v>
      </c>
      <c r="M74" s="163">
        <v>1804.14</v>
      </c>
      <c r="O74" s="163">
        <v>3299.3199999999997</v>
      </c>
      <c r="R74" s="163">
        <v>2507.88</v>
      </c>
      <c r="S74" s="163"/>
      <c r="T74" s="164">
        <v>0</v>
      </c>
      <c r="U74" s="164">
        <v>0</v>
      </c>
      <c r="V74" s="164">
        <v>1505</v>
      </c>
    </row>
    <row r="75" spans="2:22">
      <c r="B75" s="161" t="s">
        <v>643</v>
      </c>
      <c r="C75" s="161" t="s">
        <v>1272</v>
      </c>
      <c r="D75" s="164">
        <v>565123.69000000006</v>
      </c>
      <c r="E75" s="164">
        <v>0</v>
      </c>
      <c r="F75" s="164">
        <v>0</v>
      </c>
      <c r="G75" s="163">
        <v>456884.30999999994</v>
      </c>
      <c r="I75" s="163">
        <v>69540.430000000008</v>
      </c>
      <c r="J75" s="163">
        <v>228499.61000000002</v>
      </c>
      <c r="L75" s="163">
        <v>114282.98000000001</v>
      </c>
      <c r="M75" s="163">
        <v>789499.04</v>
      </c>
      <c r="O75" s="163">
        <v>161383.88</v>
      </c>
      <c r="P75" s="163">
        <v>910377.72000000009</v>
      </c>
      <c r="Q75" s="163">
        <v>1308</v>
      </c>
      <c r="R75" s="163">
        <v>150032.79999999999</v>
      </c>
      <c r="S75" s="163"/>
      <c r="T75" s="164">
        <v>706714</v>
      </c>
      <c r="U75" s="164">
        <v>0</v>
      </c>
      <c r="V75" s="164">
        <v>173936</v>
      </c>
    </row>
    <row r="76" spans="2:22">
      <c r="B76" s="161" t="s">
        <v>410</v>
      </c>
      <c r="C76" s="161" t="s">
        <v>1273</v>
      </c>
      <c r="D76" s="164">
        <v>4772.17</v>
      </c>
      <c r="E76" s="164">
        <v>0</v>
      </c>
      <c r="F76" s="164">
        <v>0</v>
      </c>
      <c r="G76" s="163">
        <v>6377.8200000000006</v>
      </c>
      <c r="J76" s="163">
        <v>1169.6199999999999</v>
      </c>
      <c r="M76" s="163">
        <v>25660.71</v>
      </c>
      <c r="P76" s="163">
        <v>2063.6</v>
      </c>
      <c r="T76" s="164">
        <v>2000</v>
      </c>
      <c r="U76" s="164">
        <v>0</v>
      </c>
      <c r="V76" s="164">
        <v>0</v>
      </c>
    </row>
    <row r="77" spans="2:22">
      <c r="B77" s="161" t="s">
        <v>777</v>
      </c>
      <c r="C77" s="161" t="s">
        <v>1274</v>
      </c>
      <c r="D77" s="162">
        <v>0</v>
      </c>
      <c r="E77" s="162">
        <v>0</v>
      </c>
      <c r="F77" s="162">
        <v>7387.84</v>
      </c>
      <c r="I77" s="163">
        <v>12229.41</v>
      </c>
      <c r="L77" s="163">
        <v>16475.03</v>
      </c>
      <c r="O77" s="163">
        <v>16110.2</v>
      </c>
      <c r="R77" s="163">
        <v>20150.580000000002</v>
      </c>
      <c r="S77" s="163"/>
      <c r="T77" s="164">
        <v>0</v>
      </c>
      <c r="U77" s="164">
        <v>0</v>
      </c>
      <c r="V77" s="164">
        <v>6597</v>
      </c>
    </row>
    <row r="78" spans="2:22">
      <c r="B78" s="161" t="s">
        <v>353</v>
      </c>
      <c r="C78" s="161" t="s">
        <v>1275</v>
      </c>
      <c r="D78" s="164">
        <v>3008.94</v>
      </c>
      <c r="E78" s="164">
        <v>0</v>
      </c>
      <c r="F78" s="164">
        <v>284.20000000000005</v>
      </c>
      <c r="G78" s="163">
        <v>3802.76</v>
      </c>
      <c r="I78" s="163">
        <v>766.13000000000011</v>
      </c>
      <c r="J78" s="163">
        <v>5173.9799999999996</v>
      </c>
      <c r="M78" s="163">
        <v>290.81</v>
      </c>
      <c r="N78" s="163">
        <v>158.19999999999999</v>
      </c>
      <c r="O78" s="163">
        <v>1395.98</v>
      </c>
      <c r="P78" s="163">
        <v>1610.33</v>
      </c>
      <c r="T78" s="164">
        <v>2532</v>
      </c>
      <c r="U78" s="164">
        <v>1000</v>
      </c>
      <c r="V78" s="164">
        <v>1529</v>
      </c>
    </row>
    <row r="79" spans="2:22">
      <c r="B79" s="161" t="s">
        <v>709</v>
      </c>
      <c r="C79" s="161" t="s">
        <v>1276</v>
      </c>
      <c r="D79" s="162">
        <v>0</v>
      </c>
      <c r="E79" s="162">
        <v>137.63999999999999</v>
      </c>
      <c r="F79" s="162">
        <v>474.57</v>
      </c>
      <c r="I79" s="163">
        <v>1932.8899999999999</v>
      </c>
      <c r="K79" s="163">
        <v>7484.63</v>
      </c>
      <c r="L79" s="163">
        <v>5032.3</v>
      </c>
      <c r="N79" s="163">
        <v>2535.0700000000002</v>
      </c>
      <c r="O79" s="163">
        <v>4442.63</v>
      </c>
      <c r="P79" s="163">
        <v>5461.52</v>
      </c>
      <c r="Q79" s="163">
        <v>1224.45</v>
      </c>
      <c r="R79" s="163">
        <v>6852.0599999999995</v>
      </c>
      <c r="S79" s="163"/>
      <c r="T79" s="164">
        <v>300</v>
      </c>
      <c r="U79" s="164">
        <v>8000</v>
      </c>
      <c r="V79" s="164">
        <v>5449</v>
      </c>
    </row>
    <row r="80" spans="2:22">
      <c r="B80" s="161" t="s">
        <v>382</v>
      </c>
      <c r="C80" s="161" t="s">
        <v>1277</v>
      </c>
      <c r="D80" s="164">
        <v>3906.54</v>
      </c>
      <c r="E80" s="164">
        <v>0</v>
      </c>
      <c r="F80" s="164">
        <v>0</v>
      </c>
      <c r="G80" s="163">
        <v>17807.61</v>
      </c>
      <c r="I80" s="163">
        <v>6192.75</v>
      </c>
      <c r="J80" s="163">
        <v>13438.189999999999</v>
      </c>
      <c r="L80" s="163">
        <v>8962.4500000000007</v>
      </c>
      <c r="M80" s="163">
        <v>15315.419999999998</v>
      </c>
      <c r="O80" s="163">
        <v>8001.82</v>
      </c>
      <c r="P80" s="163">
        <v>10646.150000000001</v>
      </c>
      <c r="R80" s="163">
        <v>8006.21</v>
      </c>
      <c r="S80" s="163"/>
      <c r="T80" s="164">
        <v>14481</v>
      </c>
      <c r="U80" s="164">
        <v>0</v>
      </c>
      <c r="V80" s="164">
        <v>10583</v>
      </c>
    </row>
    <row r="81" spans="2:22">
      <c r="B81" s="161" t="s">
        <v>697</v>
      </c>
      <c r="C81" s="161" t="s">
        <v>1278</v>
      </c>
      <c r="D81" s="164">
        <v>5923.2699999999995</v>
      </c>
      <c r="E81" s="164">
        <v>716.47</v>
      </c>
      <c r="F81" s="164">
        <v>0</v>
      </c>
      <c r="G81" s="163">
        <v>14529.99</v>
      </c>
      <c r="H81" s="163">
        <v>1859.49</v>
      </c>
      <c r="J81" s="163">
        <v>22960.48</v>
      </c>
      <c r="K81" s="163">
        <v>1196.96</v>
      </c>
      <c r="L81" s="163">
        <v>15830.43</v>
      </c>
      <c r="M81" s="163">
        <v>16619.41</v>
      </c>
      <c r="N81" s="163">
        <v>1111.0999999999999</v>
      </c>
      <c r="O81" s="163">
        <v>20411.989999999998</v>
      </c>
      <c r="P81" s="163">
        <v>14592.279999999999</v>
      </c>
      <c r="Q81" s="163">
        <v>499.5</v>
      </c>
      <c r="R81" s="163">
        <v>17863.72</v>
      </c>
      <c r="S81" s="163"/>
      <c r="T81" s="164">
        <v>20907</v>
      </c>
      <c r="U81" s="164">
        <v>1000</v>
      </c>
      <c r="V81" s="164">
        <v>17704</v>
      </c>
    </row>
    <row r="82" spans="2:22">
      <c r="B82" s="161" t="s">
        <v>747</v>
      </c>
      <c r="C82" s="161" t="s">
        <v>1279</v>
      </c>
      <c r="D82" s="164">
        <v>2896042.9800000004</v>
      </c>
      <c r="E82" s="164">
        <v>6947.5</v>
      </c>
      <c r="F82" s="164">
        <v>327933.77</v>
      </c>
      <c r="G82" s="163">
        <v>3163507.0999999996</v>
      </c>
      <c r="H82" s="163">
        <v>1904.53</v>
      </c>
      <c r="I82" s="163">
        <v>726500.86999999988</v>
      </c>
      <c r="J82" s="163">
        <v>2228912.35</v>
      </c>
      <c r="K82" s="163">
        <v>98082.63</v>
      </c>
      <c r="L82" s="163">
        <v>1118467.51</v>
      </c>
      <c r="M82" s="163">
        <v>2349084.02</v>
      </c>
      <c r="N82" s="163">
        <v>82284.95</v>
      </c>
      <c r="O82" s="163">
        <v>1115533.56</v>
      </c>
      <c r="P82" s="163">
        <v>1266658.8</v>
      </c>
      <c r="Q82" s="163">
        <v>7307.64</v>
      </c>
      <c r="R82" s="163">
        <v>1275821.8600000001</v>
      </c>
      <c r="S82" s="163"/>
      <c r="T82" s="164">
        <v>739757</v>
      </c>
      <c r="U82" s="164">
        <v>77521</v>
      </c>
      <c r="V82" s="164">
        <v>0</v>
      </c>
    </row>
    <row r="83" spans="2:22">
      <c r="B83" s="161" t="s">
        <v>464</v>
      </c>
      <c r="C83" s="161" t="s">
        <v>1280</v>
      </c>
      <c r="D83" s="164">
        <v>993807.3600000001</v>
      </c>
      <c r="E83" s="164">
        <v>15589.93</v>
      </c>
      <c r="F83" s="164">
        <v>0</v>
      </c>
      <c r="G83" s="163">
        <v>872691.35000000009</v>
      </c>
      <c r="H83" s="163">
        <v>81662.42</v>
      </c>
      <c r="J83" s="163">
        <v>390851.76</v>
      </c>
      <c r="K83" s="163">
        <v>59760.26</v>
      </c>
      <c r="L83" s="163">
        <v>381920</v>
      </c>
      <c r="M83" s="163">
        <v>433356.42999999993</v>
      </c>
      <c r="N83" s="163">
        <v>41909.570000000007</v>
      </c>
      <c r="O83" s="163">
        <v>257920</v>
      </c>
      <c r="P83" s="163">
        <v>241950.69</v>
      </c>
      <c r="Q83" s="163">
        <v>34568.409999999996</v>
      </c>
      <c r="R83" s="163">
        <v>564200</v>
      </c>
      <c r="S83" s="163"/>
      <c r="T83" s="164">
        <v>733179</v>
      </c>
      <c r="U83" s="164">
        <v>81800</v>
      </c>
      <c r="V83" s="164">
        <v>354915</v>
      </c>
    </row>
    <row r="84" spans="2:22">
      <c r="B84" s="161" t="s">
        <v>452</v>
      </c>
      <c r="C84" s="161" t="s">
        <v>1281</v>
      </c>
      <c r="D84" s="164">
        <v>143183.76</v>
      </c>
      <c r="E84" s="164">
        <v>26446.78</v>
      </c>
      <c r="F84" s="164">
        <v>0</v>
      </c>
      <c r="G84" s="163">
        <v>128884.61</v>
      </c>
      <c r="H84" s="163">
        <v>8881.69</v>
      </c>
      <c r="J84" s="163">
        <v>154437.6</v>
      </c>
      <c r="K84" s="163">
        <v>7709.76</v>
      </c>
      <c r="M84" s="163">
        <v>192387.34999999998</v>
      </c>
      <c r="N84" s="163">
        <v>10337.14</v>
      </c>
      <c r="P84" s="163">
        <v>192635.73</v>
      </c>
      <c r="Q84" s="163">
        <v>19634.32</v>
      </c>
      <c r="T84" s="164">
        <v>206757</v>
      </c>
      <c r="U84" s="164">
        <v>2500</v>
      </c>
      <c r="V84" s="164">
        <v>0</v>
      </c>
    </row>
    <row r="85" spans="2:22">
      <c r="B85" s="161" t="s">
        <v>586</v>
      </c>
      <c r="C85" s="161" t="s">
        <v>1282</v>
      </c>
      <c r="D85" s="164">
        <v>187694.52</v>
      </c>
      <c r="E85" s="164">
        <v>755.04</v>
      </c>
      <c r="F85" s="164">
        <v>21855.52</v>
      </c>
      <c r="G85" s="163">
        <v>415510.14</v>
      </c>
      <c r="H85" s="163">
        <v>293.82</v>
      </c>
      <c r="I85" s="163">
        <v>44314.6</v>
      </c>
      <c r="J85" s="163">
        <v>360037.03</v>
      </c>
      <c r="K85" s="163">
        <v>4525.43</v>
      </c>
      <c r="L85" s="163">
        <v>64433.350000000006</v>
      </c>
      <c r="M85" s="163">
        <v>468037.16000000003</v>
      </c>
      <c r="N85" s="163">
        <v>16043.279999999999</v>
      </c>
      <c r="O85" s="163">
        <v>63354.840000000004</v>
      </c>
      <c r="P85" s="163">
        <v>263642.96000000002</v>
      </c>
      <c r="Q85" s="163">
        <v>32247.68</v>
      </c>
      <c r="R85" s="163">
        <v>64339.770000000004</v>
      </c>
      <c r="S85" s="163"/>
      <c r="T85" s="164">
        <v>422208</v>
      </c>
      <c r="U85" s="164">
        <v>20000</v>
      </c>
      <c r="V85" s="164">
        <v>72447</v>
      </c>
    </row>
    <row r="86" spans="2:22">
      <c r="B86" s="161" t="s">
        <v>502</v>
      </c>
      <c r="C86" s="161" t="s">
        <v>1283</v>
      </c>
      <c r="D86" s="164">
        <v>60925.81</v>
      </c>
      <c r="E86" s="164">
        <v>0</v>
      </c>
      <c r="F86" s="164">
        <v>144759.22999999998</v>
      </c>
      <c r="G86" s="163">
        <v>80191.520000000004</v>
      </c>
      <c r="H86" s="163">
        <v>51523.92</v>
      </c>
      <c r="J86" s="163">
        <v>58424.390000000007</v>
      </c>
      <c r="K86" s="163">
        <v>76106.28</v>
      </c>
      <c r="L86" s="163">
        <v>18750.46</v>
      </c>
      <c r="M86" s="163">
        <v>681.21</v>
      </c>
      <c r="N86" s="163">
        <v>79070.880000000005</v>
      </c>
      <c r="O86" s="163">
        <v>135737.89000000001</v>
      </c>
      <c r="P86" s="163">
        <v>11733.069999999998</v>
      </c>
      <c r="Q86" s="163">
        <v>85312.55</v>
      </c>
      <c r="R86" s="163">
        <v>1137880.3500000001</v>
      </c>
      <c r="S86" s="163"/>
      <c r="T86" s="164">
        <v>15000</v>
      </c>
      <c r="U86" s="164">
        <v>70000</v>
      </c>
      <c r="V86" s="164">
        <v>291639</v>
      </c>
    </row>
    <row r="87" spans="2:22">
      <c r="B87" s="161" t="s">
        <v>843</v>
      </c>
      <c r="C87" s="161" t="s">
        <v>1284</v>
      </c>
      <c r="D87" s="164">
        <v>286.45999999999998</v>
      </c>
      <c r="E87" s="164">
        <v>27.15</v>
      </c>
      <c r="F87" s="164">
        <v>2003.99</v>
      </c>
      <c r="G87" s="163">
        <v>4601.37</v>
      </c>
      <c r="H87" s="163">
        <v>29.26</v>
      </c>
      <c r="I87" s="163">
        <v>7132.7899999999991</v>
      </c>
      <c r="J87" s="163">
        <v>6944.7199999999993</v>
      </c>
      <c r="L87" s="163">
        <v>16564.54</v>
      </c>
      <c r="M87" s="163">
        <v>5834.8899999999994</v>
      </c>
      <c r="N87" s="163">
        <v>607.34</v>
      </c>
      <c r="O87" s="163">
        <v>17270.71</v>
      </c>
      <c r="P87" s="163">
        <v>5362.97</v>
      </c>
      <c r="R87" s="163">
        <v>19589.310000000001</v>
      </c>
      <c r="S87" s="163"/>
      <c r="T87" s="164">
        <v>0</v>
      </c>
      <c r="U87" s="164">
        <v>0</v>
      </c>
      <c r="V87" s="164">
        <v>0</v>
      </c>
    </row>
    <row r="88" spans="2:22">
      <c r="B88" s="161" t="s">
        <v>721</v>
      </c>
      <c r="C88" s="161" t="s">
        <v>1285</v>
      </c>
      <c r="D88" s="164">
        <v>767356.67</v>
      </c>
      <c r="E88" s="164">
        <v>807.69</v>
      </c>
      <c r="F88" s="164">
        <v>2485.5</v>
      </c>
      <c r="G88" s="163">
        <v>860458.08</v>
      </c>
      <c r="H88" s="163">
        <v>74002.34</v>
      </c>
      <c r="I88" s="163">
        <v>995.7</v>
      </c>
      <c r="J88" s="163">
        <v>1032243.58</v>
      </c>
      <c r="K88" s="163">
        <v>165912.66999999998</v>
      </c>
      <c r="M88" s="163">
        <v>695564.07000000007</v>
      </c>
      <c r="N88" s="163">
        <v>67909.66</v>
      </c>
      <c r="P88" s="163">
        <v>1084851.7</v>
      </c>
      <c r="Q88" s="163">
        <v>259265.2</v>
      </c>
      <c r="T88" s="164">
        <v>782678</v>
      </c>
      <c r="U88" s="164">
        <v>0</v>
      </c>
      <c r="V88" s="164">
        <v>1855</v>
      </c>
    </row>
    <row r="89" spans="2:22">
      <c r="B89" s="161" t="s">
        <v>333</v>
      </c>
      <c r="C89" s="161" t="s">
        <v>1286</v>
      </c>
      <c r="D89" s="164">
        <v>1485966.56</v>
      </c>
      <c r="E89" s="164">
        <v>61034.649999999994</v>
      </c>
      <c r="F89" s="164">
        <v>76.959999999999994</v>
      </c>
      <c r="G89" s="163">
        <v>1129871.6599999999</v>
      </c>
      <c r="H89" s="163">
        <v>44498.740000000005</v>
      </c>
      <c r="I89" s="163">
        <v>404143.41000000003</v>
      </c>
      <c r="J89" s="163">
        <v>1199762.04</v>
      </c>
      <c r="K89" s="163">
        <v>37917.979999999996</v>
      </c>
      <c r="L89" s="163">
        <v>429354.21</v>
      </c>
      <c r="M89" s="163">
        <v>1061334.6299999999</v>
      </c>
      <c r="N89" s="163">
        <v>32432.959999999999</v>
      </c>
      <c r="O89" s="163">
        <v>415386.45</v>
      </c>
      <c r="P89" s="163">
        <v>1173372.73</v>
      </c>
      <c r="Q89" s="163">
        <v>37210.85</v>
      </c>
      <c r="R89" s="163">
        <v>423197.13</v>
      </c>
      <c r="S89" s="163"/>
      <c r="T89" s="164">
        <v>515294</v>
      </c>
      <c r="U89" s="164">
        <v>73200</v>
      </c>
      <c r="V89" s="164">
        <v>421811</v>
      </c>
    </row>
    <row r="90" spans="2:22">
      <c r="B90" s="161" t="s">
        <v>833</v>
      </c>
      <c r="C90" s="161" t="s">
        <v>1287</v>
      </c>
      <c r="D90" s="164">
        <v>8104.39</v>
      </c>
      <c r="E90" s="164">
        <v>0</v>
      </c>
      <c r="F90" s="164">
        <v>0</v>
      </c>
      <c r="G90" s="163">
        <v>3124.0699999999997</v>
      </c>
      <c r="J90" s="163">
        <v>4350</v>
      </c>
      <c r="T90" s="164">
        <v>500</v>
      </c>
      <c r="U90" s="164">
        <v>0</v>
      </c>
      <c r="V90" s="164">
        <v>0</v>
      </c>
    </row>
    <row r="91" spans="2:22">
      <c r="B91" s="161" t="s">
        <v>733</v>
      </c>
      <c r="C91" s="161" t="s">
        <v>1288</v>
      </c>
      <c r="D91" s="164">
        <v>267023.05</v>
      </c>
      <c r="E91" s="164">
        <v>0</v>
      </c>
      <c r="F91" s="164">
        <v>0</v>
      </c>
      <c r="G91" s="163">
        <v>258812.15000000002</v>
      </c>
      <c r="I91" s="163">
        <v>17997.52</v>
      </c>
      <c r="J91" s="163">
        <v>205990.9</v>
      </c>
      <c r="L91" s="163">
        <v>36144.46</v>
      </c>
      <c r="M91" s="163">
        <v>247682.36000000002</v>
      </c>
      <c r="O91" s="163">
        <v>38750.879999999997</v>
      </c>
      <c r="P91" s="163">
        <v>282124.58</v>
      </c>
      <c r="R91" s="163">
        <v>41002.17</v>
      </c>
      <c r="S91" s="163"/>
      <c r="T91" s="164">
        <v>288280</v>
      </c>
      <c r="U91" s="164">
        <v>0</v>
      </c>
      <c r="V91" s="164">
        <v>36039</v>
      </c>
    </row>
    <row r="92" spans="2:22">
      <c r="B92" s="161" t="s">
        <v>327</v>
      </c>
      <c r="C92" s="161" t="s">
        <v>1289</v>
      </c>
      <c r="D92" s="164">
        <v>1636871.37</v>
      </c>
      <c r="E92" s="164">
        <v>32665.68</v>
      </c>
      <c r="F92" s="164">
        <v>0</v>
      </c>
      <c r="G92" s="163">
        <v>1760760.87</v>
      </c>
      <c r="H92" s="163">
        <v>37615.46</v>
      </c>
      <c r="J92" s="163">
        <v>1868655.91</v>
      </c>
      <c r="K92" s="163">
        <v>59291.48</v>
      </c>
      <c r="M92" s="163">
        <v>1978897.89</v>
      </c>
      <c r="N92" s="163">
        <v>18030.48</v>
      </c>
      <c r="P92" s="163">
        <v>2288022.65</v>
      </c>
      <c r="Q92" s="163">
        <v>29610.339999999997</v>
      </c>
      <c r="T92" s="164">
        <v>2647603</v>
      </c>
      <c r="U92" s="164">
        <v>121500</v>
      </c>
      <c r="V92" s="164">
        <v>0</v>
      </c>
    </row>
    <row r="93" spans="2:22">
      <c r="B93" s="161" t="s">
        <v>813</v>
      </c>
      <c r="C93" s="161" t="s">
        <v>1290</v>
      </c>
      <c r="D93" s="162">
        <v>0</v>
      </c>
      <c r="E93" s="162">
        <v>9073.94</v>
      </c>
      <c r="F93" s="162">
        <v>0</v>
      </c>
      <c r="H93" s="163">
        <v>6351.54</v>
      </c>
      <c r="K93" s="163">
        <v>53447.380000000005</v>
      </c>
      <c r="N93" s="163">
        <v>45561.39</v>
      </c>
      <c r="O93" s="163">
        <v>2572.9299999999998</v>
      </c>
      <c r="Q93" s="163">
        <v>73370.929999999993</v>
      </c>
      <c r="T93" s="164">
        <v>0</v>
      </c>
      <c r="U93" s="164">
        <v>105029</v>
      </c>
      <c r="V93" s="164">
        <v>0</v>
      </c>
    </row>
    <row r="94" spans="2:22">
      <c r="B94" s="161" t="s">
        <v>769</v>
      </c>
      <c r="C94" s="161" t="s">
        <v>1291</v>
      </c>
      <c r="D94" s="164">
        <v>503804.93999999994</v>
      </c>
      <c r="E94" s="164">
        <v>1090.8799999999999</v>
      </c>
      <c r="F94" s="164">
        <v>30768.95</v>
      </c>
      <c r="G94" s="163">
        <v>434672.14</v>
      </c>
      <c r="I94" s="163">
        <v>30726.73</v>
      </c>
      <c r="J94" s="163">
        <v>218753.32</v>
      </c>
      <c r="K94" s="163">
        <v>656.55</v>
      </c>
      <c r="L94" s="163">
        <v>105567.58</v>
      </c>
      <c r="M94" s="163">
        <v>217144.01</v>
      </c>
      <c r="N94" s="163">
        <v>3731.51</v>
      </c>
      <c r="O94" s="163">
        <v>140798.82</v>
      </c>
      <c r="P94" s="163">
        <v>127966.25</v>
      </c>
      <c r="Q94" s="163">
        <v>17304.93</v>
      </c>
      <c r="R94" s="163">
        <v>149967.79</v>
      </c>
      <c r="S94" s="163"/>
      <c r="T94" s="164">
        <v>280130</v>
      </c>
      <c r="U94" s="164">
        <v>5000</v>
      </c>
      <c r="V94" s="164">
        <v>146829</v>
      </c>
    </row>
    <row r="95" spans="2:22">
      <c r="B95" s="161" t="s">
        <v>514</v>
      </c>
      <c r="C95" s="161" t="s">
        <v>1292</v>
      </c>
      <c r="D95" s="162">
        <v>0</v>
      </c>
      <c r="E95" s="162">
        <v>0</v>
      </c>
      <c r="F95" s="162">
        <v>46267.479999999996</v>
      </c>
      <c r="K95" s="163">
        <v>223629</v>
      </c>
      <c r="L95" s="163">
        <v>137442.47999999998</v>
      </c>
      <c r="N95" s="163">
        <v>141066.03</v>
      </c>
      <c r="O95" s="163">
        <v>143084.16999999998</v>
      </c>
      <c r="Q95" s="163">
        <v>147574.12</v>
      </c>
      <c r="R95" s="163">
        <v>159605.85</v>
      </c>
      <c r="S95" s="163"/>
      <c r="T95" s="164">
        <v>0</v>
      </c>
      <c r="U95" s="164">
        <v>216000</v>
      </c>
      <c r="V95" s="164">
        <v>0</v>
      </c>
    </row>
    <row r="96" spans="2:22">
      <c r="B96" s="161" t="s">
        <v>761</v>
      </c>
      <c r="C96" s="161" t="s">
        <v>1293</v>
      </c>
      <c r="D96" s="164">
        <v>551144.35</v>
      </c>
      <c r="E96" s="164">
        <v>0</v>
      </c>
      <c r="F96" s="164">
        <v>30.029999999999998</v>
      </c>
      <c r="G96" s="163">
        <v>576958.79</v>
      </c>
      <c r="I96" s="163">
        <v>61.32</v>
      </c>
      <c r="J96" s="163">
        <v>643165.05000000005</v>
      </c>
      <c r="L96" s="163">
        <v>144977.35</v>
      </c>
      <c r="M96" s="163">
        <v>797187.26</v>
      </c>
      <c r="O96" s="163">
        <v>123624.57999999999</v>
      </c>
      <c r="P96" s="163">
        <v>244946.74</v>
      </c>
      <c r="R96" s="163">
        <v>159264.14000000001</v>
      </c>
      <c r="S96" s="163"/>
      <c r="T96" s="164">
        <v>776905</v>
      </c>
      <c r="U96" s="164">
        <v>0</v>
      </c>
      <c r="V96" s="164">
        <v>0</v>
      </c>
    </row>
    <row r="97" spans="2:22">
      <c r="B97" s="161" t="s">
        <v>548</v>
      </c>
      <c r="C97" s="161" t="s">
        <v>1294</v>
      </c>
      <c r="D97" s="164">
        <v>1117363.98</v>
      </c>
      <c r="E97" s="164">
        <v>260286.61000000002</v>
      </c>
      <c r="F97" s="164">
        <v>124610.67000000001</v>
      </c>
      <c r="G97" s="163">
        <v>1238817.18</v>
      </c>
      <c r="H97" s="163">
        <v>53452.24</v>
      </c>
      <c r="I97" s="163">
        <v>275703.28000000003</v>
      </c>
      <c r="J97" s="163">
        <v>1220800.23</v>
      </c>
      <c r="K97" s="163">
        <v>154422.41</v>
      </c>
      <c r="L97" s="163">
        <v>286932.71999999997</v>
      </c>
      <c r="M97" s="163">
        <v>1437822.88</v>
      </c>
      <c r="N97" s="163">
        <v>19710.330000000002</v>
      </c>
      <c r="O97" s="163">
        <v>273936.04000000004</v>
      </c>
      <c r="P97" s="163">
        <v>1609134.6099999999</v>
      </c>
      <c r="Q97" s="163">
        <v>43819.82</v>
      </c>
      <c r="R97" s="163">
        <v>283993.8</v>
      </c>
      <c r="S97" s="163"/>
      <c r="T97" s="164">
        <v>1971335</v>
      </c>
      <c r="U97" s="164">
        <v>85263</v>
      </c>
      <c r="V97" s="164">
        <v>0</v>
      </c>
    </row>
    <row r="98" spans="2:22">
      <c r="B98" s="161" t="s">
        <v>526</v>
      </c>
      <c r="C98" s="161" t="s">
        <v>1295</v>
      </c>
      <c r="D98" s="164">
        <v>362667.83999999997</v>
      </c>
      <c r="E98" s="164">
        <v>47384.72</v>
      </c>
      <c r="F98" s="164">
        <v>68248.540000000008</v>
      </c>
      <c r="G98" s="163">
        <v>327440.63999999996</v>
      </c>
      <c r="H98" s="163">
        <v>72980.75</v>
      </c>
      <c r="I98" s="163">
        <v>155558.54999999999</v>
      </c>
      <c r="J98" s="163">
        <v>363974.39</v>
      </c>
      <c r="K98" s="163">
        <v>93641.9</v>
      </c>
      <c r="L98" s="163">
        <v>480854.84</v>
      </c>
      <c r="M98" s="163">
        <v>438153.92000000004</v>
      </c>
      <c r="N98" s="163">
        <v>132828.26999999999</v>
      </c>
      <c r="O98" s="163">
        <v>497300.80000000005</v>
      </c>
      <c r="P98" s="163">
        <v>489121.21</v>
      </c>
      <c r="Q98" s="163">
        <v>567985.67999999993</v>
      </c>
      <c r="R98" s="163">
        <v>485851.89</v>
      </c>
      <c r="S98" s="163"/>
      <c r="T98" s="164">
        <v>23500</v>
      </c>
      <c r="U98" s="164">
        <v>904786</v>
      </c>
      <c r="V98" s="164">
        <v>0</v>
      </c>
    </row>
    <row r="99" spans="2:22">
      <c r="B99" s="161" t="s">
        <v>641</v>
      </c>
      <c r="C99" s="161" t="s">
        <v>1296</v>
      </c>
      <c r="D99" s="164">
        <v>325769.86000000004</v>
      </c>
      <c r="E99" s="164">
        <v>101651.71</v>
      </c>
      <c r="F99" s="164">
        <v>113553.48</v>
      </c>
      <c r="G99" s="163">
        <v>194627.77</v>
      </c>
      <c r="H99" s="163">
        <v>82945.24000000002</v>
      </c>
      <c r="I99" s="163">
        <v>251607.85</v>
      </c>
      <c r="J99" s="163">
        <v>127762.18</v>
      </c>
      <c r="K99" s="163">
        <v>105059.36999999998</v>
      </c>
      <c r="L99" s="163">
        <v>369450.5</v>
      </c>
      <c r="M99" s="163">
        <v>105794.97</v>
      </c>
      <c r="N99" s="163">
        <v>59602.17</v>
      </c>
      <c r="O99" s="163">
        <v>374521.03</v>
      </c>
      <c r="P99" s="163">
        <v>242481.61</v>
      </c>
      <c r="Q99" s="163">
        <v>66581.38</v>
      </c>
      <c r="R99" s="163">
        <v>325602.42</v>
      </c>
      <c r="S99" s="163"/>
      <c r="T99" s="164">
        <v>219270</v>
      </c>
      <c r="U99" s="164">
        <v>58947</v>
      </c>
      <c r="V99" s="164">
        <v>487012</v>
      </c>
    </row>
    <row r="100" spans="2:22">
      <c r="B100" s="161" t="s">
        <v>911</v>
      </c>
      <c r="C100" s="161" t="s">
        <v>1297</v>
      </c>
      <c r="D100" s="162">
        <v>0</v>
      </c>
      <c r="E100" s="162">
        <v>0</v>
      </c>
      <c r="F100" s="162">
        <v>0</v>
      </c>
      <c r="P100" s="163">
        <v>2500</v>
      </c>
      <c r="T100" s="164">
        <v>0</v>
      </c>
      <c r="U100" s="164">
        <v>0</v>
      </c>
      <c r="V100" s="164">
        <v>0</v>
      </c>
    </row>
    <row r="101" spans="2:22">
      <c r="B101" s="161" t="s">
        <v>934</v>
      </c>
      <c r="C101" s="161" t="s">
        <v>1298</v>
      </c>
      <c r="D101" s="162">
        <v>0</v>
      </c>
      <c r="E101" s="162">
        <v>0</v>
      </c>
      <c r="F101" s="162">
        <v>0</v>
      </c>
      <c r="P101" s="163">
        <v>2000</v>
      </c>
      <c r="T101" s="164">
        <v>0</v>
      </c>
      <c r="U101" s="164">
        <v>0</v>
      </c>
      <c r="V101" s="164">
        <v>0</v>
      </c>
    </row>
    <row r="102" spans="2:22">
      <c r="B102" s="161" t="s">
        <v>909</v>
      </c>
      <c r="C102" s="161" t="s">
        <v>1299</v>
      </c>
      <c r="D102" s="162">
        <v>0</v>
      </c>
      <c r="E102" s="162">
        <v>0</v>
      </c>
      <c r="F102" s="162">
        <v>0</v>
      </c>
      <c r="N102" s="163">
        <v>1029.57</v>
      </c>
      <c r="T102" s="164">
        <v>0</v>
      </c>
      <c r="U102" s="164">
        <v>0</v>
      </c>
      <c r="V102" s="164">
        <v>0</v>
      </c>
    </row>
    <row r="103" spans="2:22">
      <c r="B103" s="161" t="s">
        <v>933</v>
      </c>
      <c r="C103" s="161" t="s">
        <v>1300</v>
      </c>
      <c r="D103" s="162">
        <v>0</v>
      </c>
      <c r="E103" s="162">
        <v>0</v>
      </c>
      <c r="F103" s="162">
        <v>0</v>
      </c>
      <c r="M103" s="163">
        <v>12800</v>
      </c>
      <c r="P103" s="163">
        <v>5139</v>
      </c>
      <c r="T103" s="164">
        <v>0</v>
      </c>
      <c r="U103" s="164">
        <v>0</v>
      </c>
      <c r="V103" s="164">
        <v>0</v>
      </c>
    </row>
    <row r="104" spans="2:22">
      <c r="B104" s="161" t="s">
        <v>997</v>
      </c>
      <c r="C104" s="161" t="s">
        <v>1466</v>
      </c>
      <c r="D104" s="162">
        <v>0</v>
      </c>
      <c r="E104" s="162">
        <v>4366.54</v>
      </c>
      <c r="F104" s="162">
        <v>0</v>
      </c>
      <c r="H104" s="163">
        <v>2856.32</v>
      </c>
      <c r="T104" s="164"/>
      <c r="U104" s="164"/>
      <c r="V104" s="164"/>
    </row>
    <row r="105" spans="2:22">
      <c r="B105" s="161" t="s">
        <v>1014</v>
      </c>
      <c r="C105" s="161" t="s">
        <v>1301</v>
      </c>
      <c r="D105" s="162">
        <v>0</v>
      </c>
      <c r="E105" s="162">
        <v>0</v>
      </c>
      <c r="F105" s="162">
        <v>0</v>
      </c>
      <c r="O105" s="163">
        <v>1080.94</v>
      </c>
      <c r="T105" s="164">
        <v>0</v>
      </c>
      <c r="U105" s="164">
        <v>0</v>
      </c>
      <c r="V105" s="164">
        <v>0</v>
      </c>
    </row>
    <row r="106" spans="2:22">
      <c r="B106" s="161" t="s">
        <v>347</v>
      </c>
      <c r="C106" s="161" t="s">
        <v>1302</v>
      </c>
      <c r="D106" s="164">
        <v>143710.64000000001</v>
      </c>
      <c r="E106" s="164">
        <v>7247.47</v>
      </c>
      <c r="F106" s="164">
        <v>19502.02</v>
      </c>
      <c r="G106" s="163">
        <v>93410.06</v>
      </c>
      <c r="H106" s="163">
        <v>1802.1</v>
      </c>
      <c r="I106" s="163">
        <v>45088.289999999994</v>
      </c>
      <c r="J106" s="163">
        <v>172323.88</v>
      </c>
      <c r="L106" s="163">
        <v>76197.52</v>
      </c>
      <c r="M106" s="163">
        <v>60213.37</v>
      </c>
      <c r="O106" s="163">
        <v>87240.93</v>
      </c>
      <c r="P106" s="163">
        <v>74384.38</v>
      </c>
      <c r="R106" s="163">
        <v>88869.299999999988</v>
      </c>
      <c r="S106" s="163"/>
      <c r="T106" s="164">
        <v>69668</v>
      </c>
      <c r="U106" s="164">
        <v>0</v>
      </c>
      <c r="V106" s="164">
        <v>98620</v>
      </c>
    </row>
    <row r="107" spans="2:22">
      <c r="B107" s="161" t="s">
        <v>329</v>
      </c>
      <c r="C107" s="161" t="s">
        <v>1303</v>
      </c>
      <c r="D107" s="164">
        <v>57623.390000000007</v>
      </c>
      <c r="E107" s="164">
        <v>12387.19</v>
      </c>
      <c r="F107" s="164">
        <v>19128.21</v>
      </c>
      <c r="G107" s="163">
        <v>78396.02</v>
      </c>
      <c r="H107" s="163">
        <v>1373.35</v>
      </c>
      <c r="I107" s="163">
        <v>36233.120000000003</v>
      </c>
      <c r="J107" s="163">
        <v>96440.55</v>
      </c>
      <c r="K107" s="163">
        <v>257.51</v>
      </c>
      <c r="L107" s="163">
        <v>63378.53</v>
      </c>
      <c r="M107" s="163">
        <v>80472.509999999995</v>
      </c>
      <c r="N107" s="163">
        <v>1258.83</v>
      </c>
      <c r="O107" s="163">
        <v>59766.55</v>
      </c>
      <c r="P107" s="163">
        <v>96893.45</v>
      </c>
      <c r="Q107" s="163">
        <v>3766.1</v>
      </c>
      <c r="R107" s="163">
        <v>62754.14</v>
      </c>
      <c r="S107" s="163"/>
      <c r="T107" s="164">
        <v>92701</v>
      </c>
      <c r="U107" s="164">
        <v>3000</v>
      </c>
      <c r="V107" s="164">
        <v>66888</v>
      </c>
    </row>
    <row r="108" spans="2:22">
      <c r="B108" s="161" t="s">
        <v>631</v>
      </c>
      <c r="C108" s="161" t="s">
        <v>1304</v>
      </c>
      <c r="D108" s="164">
        <v>13739.5</v>
      </c>
      <c r="E108" s="164">
        <v>2279.56</v>
      </c>
      <c r="F108" s="164">
        <v>24293.309999999998</v>
      </c>
      <c r="G108" s="163">
        <v>8289.01</v>
      </c>
      <c r="H108" s="163">
        <v>5081.78</v>
      </c>
      <c r="I108" s="163">
        <v>57404.180000000008</v>
      </c>
      <c r="J108" s="163">
        <v>10454.869999999999</v>
      </c>
      <c r="K108" s="163">
        <v>4230.45</v>
      </c>
      <c r="L108" s="163">
        <v>85227.199999999997</v>
      </c>
      <c r="M108" s="163">
        <v>43193.829999999994</v>
      </c>
      <c r="N108" s="163">
        <v>7416.62</v>
      </c>
      <c r="O108" s="163">
        <v>98546.71</v>
      </c>
      <c r="P108" s="163">
        <v>13351.039999999999</v>
      </c>
      <c r="Q108" s="163">
        <v>4469.1899999999996</v>
      </c>
      <c r="R108" s="163">
        <v>104413.87999999999</v>
      </c>
      <c r="S108" s="163"/>
      <c r="T108" s="164">
        <v>31477</v>
      </c>
      <c r="U108" s="164">
        <v>10000</v>
      </c>
      <c r="V108" s="164">
        <v>101190</v>
      </c>
    </row>
    <row r="109" spans="2:22">
      <c r="B109" s="161" t="s">
        <v>370</v>
      </c>
      <c r="C109" s="161" t="s">
        <v>1305</v>
      </c>
      <c r="D109" s="164">
        <v>18920.740000000002</v>
      </c>
      <c r="E109" s="164">
        <v>3507.34</v>
      </c>
      <c r="F109" s="164">
        <v>0</v>
      </c>
      <c r="G109" s="163">
        <v>21911.989999999998</v>
      </c>
      <c r="H109" s="163">
        <v>45347.8</v>
      </c>
      <c r="I109" s="163">
        <v>91050.02</v>
      </c>
      <c r="J109" s="163">
        <v>14039.82</v>
      </c>
      <c r="K109" s="163">
        <v>6703.5</v>
      </c>
      <c r="L109" s="163">
        <v>303982.29000000004</v>
      </c>
      <c r="M109" s="163">
        <v>5325.62</v>
      </c>
      <c r="N109" s="163">
        <v>15680.03</v>
      </c>
      <c r="O109" s="163">
        <v>210695.78999999998</v>
      </c>
      <c r="P109" s="163">
        <v>49069.45</v>
      </c>
      <c r="Q109" s="163">
        <v>35725.43</v>
      </c>
      <c r="R109" s="163">
        <v>161973.47</v>
      </c>
      <c r="S109" s="163"/>
      <c r="T109" s="164">
        <v>119922</v>
      </c>
      <c r="U109" s="164">
        <v>0</v>
      </c>
      <c r="V109" s="164">
        <v>62423</v>
      </c>
    </row>
    <row r="110" spans="2:22">
      <c r="B110" s="161" t="s">
        <v>775</v>
      </c>
      <c r="C110" s="161" t="s">
        <v>1306</v>
      </c>
      <c r="D110" s="164">
        <v>202449.33999999997</v>
      </c>
      <c r="E110" s="164">
        <v>92328.02</v>
      </c>
      <c r="F110" s="164">
        <v>0</v>
      </c>
      <c r="G110" s="163">
        <v>215992.51</v>
      </c>
      <c r="J110" s="163">
        <v>196323.41</v>
      </c>
      <c r="M110" s="163">
        <v>201310.35</v>
      </c>
      <c r="P110" s="163">
        <v>182590.72</v>
      </c>
      <c r="R110" s="163">
        <v>160526.64000000001</v>
      </c>
      <c r="S110" s="163"/>
      <c r="T110" s="164">
        <v>135672</v>
      </c>
      <c r="U110" s="164">
        <v>0</v>
      </c>
      <c r="V110" s="164">
        <v>0</v>
      </c>
    </row>
    <row r="111" spans="2:22">
      <c r="B111" s="161" t="s">
        <v>1015</v>
      </c>
      <c r="C111" s="161" t="s">
        <v>1307</v>
      </c>
      <c r="D111" s="162">
        <v>0</v>
      </c>
      <c r="E111" s="162">
        <v>0</v>
      </c>
      <c r="F111" s="162">
        <v>0</v>
      </c>
      <c r="J111" s="163">
        <v>3991.76</v>
      </c>
      <c r="K111" s="163">
        <v>1726.12</v>
      </c>
      <c r="L111" s="163">
        <v>1945.6499999999999</v>
      </c>
      <c r="M111" s="163">
        <v>1719.68</v>
      </c>
      <c r="N111" s="163">
        <v>26765</v>
      </c>
      <c r="O111" s="163">
        <v>3302.75</v>
      </c>
      <c r="P111" s="163">
        <v>890</v>
      </c>
      <c r="Q111" s="163">
        <v>1235</v>
      </c>
      <c r="R111" s="163">
        <v>2631.42</v>
      </c>
      <c r="S111" s="163"/>
      <c r="T111" s="164">
        <v>1000</v>
      </c>
      <c r="U111" s="164">
        <v>2093</v>
      </c>
      <c r="V111" s="164">
        <v>4024</v>
      </c>
    </row>
    <row r="112" spans="2:22">
      <c r="B112" s="161" t="s">
        <v>420</v>
      </c>
      <c r="C112" s="161" t="s">
        <v>1308</v>
      </c>
      <c r="D112" s="162">
        <v>0</v>
      </c>
      <c r="E112" s="162">
        <v>164.26</v>
      </c>
      <c r="F112" s="162">
        <v>0</v>
      </c>
      <c r="Q112" s="163">
        <v>56.3</v>
      </c>
      <c r="T112" s="164">
        <v>0</v>
      </c>
      <c r="U112" s="164">
        <v>3000</v>
      </c>
      <c r="V112" s="164">
        <v>0</v>
      </c>
    </row>
    <row r="113" spans="2:22">
      <c r="B113" s="161" t="s">
        <v>440</v>
      </c>
      <c r="C113" s="161" t="s">
        <v>1309</v>
      </c>
      <c r="D113" s="162">
        <v>0</v>
      </c>
      <c r="E113" s="162">
        <v>0</v>
      </c>
      <c r="F113" s="162">
        <v>0</v>
      </c>
      <c r="N113" s="163">
        <v>3843.72</v>
      </c>
      <c r="Q113" s="163">
        <v>10365.959999999999</v>
      </c>
      <c r="T113" s="164">
        <v>0</v>
      </c>
      <c r="U113" s="164">
        <v>0</v>
      </c>
      <c r="V113" s="164">
        <v>0</v>
      </c>
    </row>
    <row r="114" spans="2:22">
      <c r="B114" s="161" t="s">
        <v>444</v>
      </c>
      <c r="C114" s="161" t="s">
        <v>1310</v>
      </c>
      <c r="D114" s="164">
        <v>36427.25</v>
      </c>
      <c r="E114" s="164">
        <v>40158.120000000003</v>
      </c>
      <c r="F114" s="164">
        <v>0</v>
      </c>
      <c r="G114" s="163">
        <v>5647.18</v>
      </c>
      <c r="H114" s="163">
        <v>3931.7</v>
      </c>
      <c r="I114" s="163">
        <v>26360.3</v>
      </c>
      <c r="J114" s="163">
        <v>1368.7199999999998</v>
      </c>
      <c r="K114" s="163">
        <v>1206</v>
      </c>
      <c r="L114" s="163">
        <v>32501.67</v>
      </c>
      <c r="M114" s="163">
        <v>2508.1</v>
      </c>
      <c r="N114" s="163">
        <v>7743.05</v>
      </c>
      <c r="O114" s="163">
        <v>26394.2</v>
      </c>
      <c r="P114" s="163">
        <v>2585</v>
      </c>
      <c r="Q114" s="163">
        <v>13065.06</v>
      </c>
      <c r="R114" s="163">
        <v>36659.93</v>
      </c>
      <c r="S114" s="163"/>
      <c r="T114" s="164">
        <v>0</v>
      </c>
      <c r="U114" s="164">
        <v>11800</v>
      </c>
      <c r="V114" s="164">
        <v>42542</v>
      </c>
    </row>
    <row r="115" spans="2:22">
      <c r="B115" s="161" t="s">
        <v>532</v>
      </c>
      <c r="C115" s="161" t="s">
        <v>1311</v>
      </c>
      <c r="D115" s="164">
        <v>915.81</v>
      </c>
      <c r="E115" s="164">
        <v>0</v>
      </c>
      <c r="F115" s="164">
        <v>1628.1399999999999</v>
      </c>
      <c r="G115" s="163">
        <v>1894.26</v>
      </c>
      <c r="I115" s="163">
        <v>3142.4</v>
      </c>
      <c r="J115" s="163">
        <v>2500</v>
      </c>
      <c r="L115" s="163">
        <v>2786.0699999999997</v>
      </c>
      <c r="M115" s="163">
        <v>486.48</v>
      </c>
      <c r="O115" s="163">
        <v>3200.3799999999997</v>
      </c>
      <c r="P115" s="163">
        <v>660</v>
      </c>
      <c r="Q115" s="163">
        <v>3646.48</v>
      </c>
      <c r="R115" s="163">
        <v>3778.6400000000003</v>
      </c>
      <c r="S115" s="163"/>
      <c r="T115" s="164">
        <v>0</v>
      </c>
      <c r="U115" s="164">
        <v>0</v>
      </c>
      <c r="V115" s="164">
        <v>4807</v>
      </c>
    </row>
    <row r="116" spans="2:22">
      <c r="B116" s="161" t="s">
        <v>386</v>
      </c>
      <c r="C116" s="161" t="s">
        <v>1312</v>
      </c>
      <c r="D116" s="164">
        <v>22855.67</v>
      </c>
      <c r="E116" s="164">
        <v>7244.8099999999995</v>
      </c>
      <c r="F116" s="164">
        <v>1534.52</v>
      </c>
      <c r="G116" s="163">
        <v>20152.11</v>
      </c>
      <c r="H116" s="163">
        <v>834.53</v>
      </c>
      <c r="I116" s="163">
        <v>757.65</v>
      </c>
      <c r="J116" s="163">
        <v>9399.7400000000016</v>
      </c>
      <c r="L116" s="163">
        <v>3355.34</v>
      </c>
      <c r="M116" s="163">
        <v>8024.66</v>
      </c>
      <c r="O116" s="163">
        <v>6975.05</v>
      </c>
      <c r="P116" s="163">
        <v>25747.81</v>
      </c>
      <c r="Q116" s="163">
        <v>3348</v>
      </c>
      <c r="T116" s="164">
        <v>13999</v>
      </c>
      <c r="U116" s="164">
        <v>3000</v>
      </c>
      <c r="V116" s="164">
        <v>0</v>
      </c>
    </row>
    <row r="117" spans="2:22">
      <c r="B117" s="161" t="s">
        <v>616</v>
      </c>
      <c r="C117" s="161" t="s">
        <v>1313</v>
      </c>
      <c r="D117" s="164">
        <v>50</v>
      </c>
      <c r="E117" s="164">
        <v>0</v>
      </c>
      <c r="F117" s="164">
        <v>1359.02</v>
      </c>
      <c r="G117" s="163">
        <v>4348.96</v>
      </c>
      <c r="H117" s="163">
        <v>220.52</v>
      </c>
      <c r="I117" s="163">
        <v>2618.54</v>
      </c>
      <c r="J117" s="163">
        <v>232.74</v>
      </c>
      <c r="K117" s="163">
        <v>602.66</v>
      </c>
      <c r="L117" s="163">
        <v>4433.3900000000003</v>
      </c>
      <c r="N117" s="163">
        <v>1486.46</v>
      </c>
      <c r="O117" s="163">
        <v>4499.09</v>
      </c>
      <c r="Q117" s="163">
        <v>212.05</v>
      </c>
      <c r="R117" s="163">
        <v>4975.8500000000004</v>
      </c>
      <c r="S117" s="163"/>
      <c r="T117" s="164">
        <v>0</v>
      </c>
      <c r="U117" s="164">
        <v>0</v>
      </c>
      <c r="V117" s="164">
        <v>4403</v>
      </c>
    </row>
    <row r="118" spans="2:22">
      <c r="B118" s="161" t="s">
        <v>602</v>
      </c>
      <c r="C118" s="161" t="s">
        <v>1314</v>
      </c>
      <c r="D118" s="162">
        <v>0</v>
      </c>
      <c r="E118" s="162">
        <v>0</v>
      </c>
      <c r="F118" s="162">
        <v>0</v>
      </c>
      <c r="H118" s="163">
        <v>232.42</v>
      </c>
      <c r="L118" s="163">
        <v>3599.3599999999997</v>
      </c>
      <c r="O118" s="163">
        <v>1483.65</v>
      </c>
      <c r="T118" s="164">
        <v>0</v>
      </c>
      <c r="U118" s="164">
        <v>0</v>
      </c>
      <c r="V118" s="164">
        <v>0</v>
      </c>
    </row>
    <row r="119" spans="2:22">
      <c r="B119" s="161" t="s">
        <v>598</v>
      </c>
      <c r="C119" s="161" t="s">
        <v>1315</v>
      </c>
      <c r="D119" s="164">
        <v>4500.66</v>
      </c>
      <c r="E119" s="164">
        <v>14008.62</v>
      </c>
      <c r="F119" s="164">
        <v>23.939999999999998</v>
      </c>
      <c r="G119" s="163">
        <v>2212.6</v>
      </c>
      <c r="H119" s="163">
        <v>13862.6</v>
      </c>
      <c r="I119" s="163">
        <v>1407.87</v>
      </c>
      <c r="J119" s="163">
        <v>3134.8100000000004</v>
      </c>
      <c r="K119" s="163">
        <v>13975</v>
      </c>
      <c r="L119" s="163">
        <v>5905.22</v>
      </c>
      <c r="M119" s="163">
        <v>2356.39</v>
      </c>
      <c r="N119" s="163">
        <v>15034.11</v>
      </c>
      <c r="O119" s="163">
        <v>4713.17</v>
      </c>
      <c r="P119" s="163">
        <v>4964.3100000000004</v>
      </c>
      <c r="R119" s="163">
        <v>5342.05</v>
      </c>
      <c r="S119" s="163"/>
      <c r="T119" s="164">
        <v>5961</v>
      </c>
      <c r="U119" s="164">
        <v>2000</v>
      </c>
      <c r="V119" s="164">
        <v>9920</v>
      </c>
    </row>
    <row r="120" spans="2:22">
      <c r="B120" s="161" t="s">
        <v>317</v>
      </c>
      <c r="C120" s="161" t="s">
        <v>1316</v>
      </c>
      <c r="D120" s="164">
        <v>0</v>
      </c>
      <c r="E120" s="164">
        <v>483.23</v>
      </c>
      <c r="F120" s="164">
        <v>0</v>
      </c>
      <c r="G120" s="163">
        <v>180.94</v>
      </c>
      <c r="L120" s="163">
        <v>672.68</v>
      </c>
      <c r="M120" s="163">
        <v>120</v>
      </c>
      <c r="N120" s="163">
        <v>4322.68</v>
      </c>
      <c r="Q120" s="163">
        <v>10036.719999999999</v>
      </c>
      <c r="T120" s="164">
        <v>0</v>
      </c>
      <c r="U120" s="164">
        <v>5000</v>
      </c>
      <c r="V120" s="164">
        <v>0</v>
      </c>
    </row>
    <row r="121" spans="2:22">
      <c r="B121" s="161" t="s">
        <v>883</v>
      </c>
      <c r="C121" s="161" t="s">
        <v>1317</v>
      </c>
      <c r="D121" s="162">
        <v>0</v>
      </c>
      <c r="E121" s="162">
        <v>0</v>
      </c>
      <c r="F121" s="162">
        <v>0</v>
      </c>
      <c r="M121" s="163">
        <v>250</v>
      </c>
      <c r="P121" s="163">
        <v>48.56</v>
      </c>
      <c r="Q121" s="163">
        <v>15307.61</v>
      </c>
      <c r="T121" s="164">
        <v>0</v>
      </c>
      <c r="U121" s="164">
        <v>0</v>
      </c>
      <c r="V121" s="164">
        <v>0</v>
      </c>
    </row>
    <row r="122" spans="2:22">
      <c r="B122" s="161" t="s">
        <v>821</v>
      </c>
      <c r="C122" s="161" t="s">
        <v>1318</v>
      </c>
      <c r="D122" s="164">
        <v>6534.17</v>
      </c>
      <c r="E122" s="164">
        <v>0</v>
      </c>
      <c r="F122" s="164">
        <v>0</v>
      </c>
      <c r="G122" s="163">
        <v>4588.1499999999996</v>
      </c>
      <c r="H122" s="163">
        <v>2160.4700000000003</v>
      </c>
      <c r="I122" s="163">
        <v>6190.07</v>
      </c>
      <c r="K122" s="163">
        <v>1918.3</v>
      </c>
      <c r="L122" s="163">
        <v>2186.08</v>
      </c>
      <c r="M122" s="163">
        <v>7818.24</v>
      </c>
      <c r="N122" s="163">
        <v>9884.83</v>
      </c>
      <c r="O122" s="163">
        <v>1663.02</v>
      </c>
      <c r="P122" s="163">
        <v>7147.2000000000007</v>
      </c>
      <c r="R122" s="163">
        <v>3481.9399999999996</v>
      </c>
      <c r="S122" s="163"/>
      <c r="T122" s="164">
        <v>0</v>
      </c>
      <c r="U122" s="164">
        <v>0</v>
      </c>
      <c r="V122" s="164">
        <v>0</v>
      </c>
    </row>
    <row r="123" spans="2:22">
      <c r="B123" s="161" t="s">
        <v>659</v>
      </c>
      <c r="C123" s="161" t="s">
        <v>1319</v>
      </c>
      <c r="D123" s="164">
        <v>1352.42</v>
      </c>
      <c r="E123" s="164">
        <v>144.69999999999999</v>
      </c>
      <c r="F123" s="164">
        <v>1548.81</v>
      </c>
      <c r="G123" s="163">
        <v>3668.7400000000002</v>
      </c>
      <c r="H123" s="163">
        <v>5997.5</v>
      </c>
      <c r="I123" s="163">
        <v>1885.67</v>
      </c>
      <c r="J123" s="163">
        <v>500</v>
      </c>
      <c r="K123" s="163">
        <v>4424.29</v>
      </c>
      <c r="L123" s="163">
        <v>4898.6099999999997</v>
      </c>
      <c r="N123" s="163">
        <v>8794.9699999999993</v>
      </c>
      <c r="O123" s="163">
        <v>6130.79</v>
      </c>
      <c r="P123" s="163">
        <v>261.77</v>
      </c>
      <c r="Q123" s="163">
        <v>2677.54</v>
      </c>
      <c r="R123" s="163">
        <v>7764.0300000000007</v>
      </c>
      <c r="S123" s="163"/>
      <c r="T123" s="164">
        <v>0</v>
      </c>
      <c r="U123" s="164">
        <v>34909</v>
      </c>
      <c r="V123" s="164">
        <v>8619</v>
      </c>
    </row>
    <row r="124" spans="2:22">
      <c r="B124" s="161" t="s">
        <v>687</v>
      </c>
      <c r="C124" s="161" t="s">
        <v>1320</v>
      </c>
      <c r="D124" s="162">
        <v>0</v>
      </c>
      <c r="E124" s="162">
        <v>0</v>
      </c>
      <c r="F124" s="162">
        <v>0</v>
      </c>
      <c r="J124" s="163">
        <v>77.320000000000007</v>
      </c>
      <c r="M124" s="163">
        <v>19.72</v>
      </c>
      <c r="P124" s="163">
        <v>82.3</v>
      </c>
      <c r="T124" s="164">
        <v>0</v>
      </c>
      <c r="U124" s="164">
        <v>4500</v>
      </c>
      <c r="V124" s="164">
        <v>0</v>
      </c>
    </row>
    <row r="125" spans="2:22">
      <c r="B125" s="161" t="s">
        <v>376</v>
      </c>
      <c r="C125" s="161" t="s">
        <v>1321</v>
      </c>
      <c r="D125" s="164">
        <v>12762.169999999998</v>
      </c>
      <c r="E125" s="164">
        <v>1083.1600000000001</v>
      </c>
      <c r="F125" s="164">
        <v>11767.43</v>
      </c>
      <c r="G125" s="163">
        <v>2090.3200000000002</v>
      </c>
      <c r="H125" s="163">
        <v>16830.52</v>
      </c>
      <c r="I125" s="163">
        <v>20893.45</v>
      </c>
      <c r="J125" s="163">
        <v>71121.69</v>
      </c>
      <c r="K125" s="163">
        <v>8198.75</v>
      </c>
      <c r="L125" s="163">
        <v>32194.760000000002</v>
      </c>
      <c r="M125" s="163">
        <v>78345.119999999995</v>
      </c>
      <c r="N125" s="163">
        <v>5221.2</v>
      </c>
      <c r="O125" s="163">
        <v>34950.6</v>
      </c>
      <c r="P125" s="163">
        <v>81440.009999999995</v>
      </c>
      <c r="R125" s="163">
        <v>33901.64</v>
      </c>
      <c r="S125" s="163"/>
      <c r="T125" s="164">
        <v>77081</v>
      </c>
      <c r="U125" s="164">
        <v>0</v>
      </c>
      <c r="V125" s="164">
        <v>34391</v>
      </c>
    </row>
    <row r="126" spans="2:22">
      <c r="B126" s="161" t="s">
        <v>871</v>
      </c>
      <c r="C126" s="161" t="s">
        <v>1322</v>
      </c>
      <c r="D126" s="164">
        <v>0</v>
      </c>
      <c r="E126" s="164">
        <v>0</v>
      </c>
      <c r="F126" s="164">
        <v>442.43</v>
      </c>
      <c r="G126" s="163">
        <v>1028.25</v>
      </c>
      <c r="L126" s="163">
        <v>1653.8600000000001</v>
      </c>
      <c r="M126" s="163">
        <v>1269.92</v>
      </c>
      <c r="O126" s="163">
        <v>452.53</v>
      </c>
      <c r="P126" s="163">
        <v>2504.6</v>
      </c>
      <c r="T126" s="164">
        <v>550</v>
      </c>
      <c r="U126" s="164">
        <v>0</v>
      </c>
      <c r="V126" s="164">
        <v>0</v>
      </c>
    </row>
    <row r="127" spans="2:22">
      <c r="B127" s="161" t="s">
        <v>374</v>
      </c>
      <c r="C127" s="161" t="s">
        <v>1323</v>
      </c>
      <c r="D127" s="164">
        <v>152559.59999999998</v>
      </c>
      <c r="E127" s="164">
        <v>0</v>
      </c>
      <c r="F127" s="164">
        <v>13314</v>
      </c>
      <c r="G127" s="163">
        <v>66286.41</v>
      </c>
      <c r="I127" s="163">
        <v>32403.25</v>
      </c>
      <c r="J127" s="163">
        <v>11424.630000000001</v>
      </c>
      <c r="K127" s="163">
        <v>465.96</v>
      </c>
      <c r="L127" s="163">
        <v>48536.86</v>
      </c>
      <c r="M127" s="163">
        <v>46898.42</v>
      </c>
      <c r="N127" s="163">
        <v>3837.78</v>
      </c>
      <c r="O127" s="163">
        <v>42870.73</v>
      </c>
      <c r="P127" s="163">
        <v>69417.440000000002</v>
      </c>
      <c r="Q127" s="163">
        <v>9633.0499999999993</v>
      </c>
      <c r="R127" s="163">
        <v>45722.53</v>
      </c>
      <c r="S127" s="163"/>
      <c r="T127" s="164">
        <v>57645</v>
      </c>
      <c r="U127" s="164">
        <v>0</v>
      </c>
      <c r="V127" s="164">
        <v>55395</v>
      </c>
    </row>
    <row r="128" spans="2:22">
      <c r="B128" s="161" t="s">
        <v>783</v>
      </c>
      <c r="C128" s="161" t="s">
        <v>1324</v>
      </c>
      <c r="D128" s="162">
        <v>0</v>
      </c>
      <c r="E128" s="162">
        <v>0</v>
      </c>
      <c r="F128" s="162">
        <v>1019.52</v>
      </c>
      <c r="I128" s="163">
        <v>528.96</v>
      </c>
      <c r="L128" s="163">
        <v>1597.43</v>
      </c>
      <c r="O128" s="163">
        <v>2394.4499999999998</v>
      </c>
      <c r="Q128" s="163">
        <v>481.6</v>
      </c>
      <c r="R128" s="163">
        <v>3721.18</v>
      </c>
      <c r="S128" s="163"/>
      <c r="T128" s="164">
        <v>0</v>
      </c>
      <c r="U128" s="164">
        <v>0</v>
      </c>
      <c r="V128" s="164">
        <v>0</v>
      </c>
    </row>
    <row r="129" spans="2:22">
      <c r="B129" s="161" t="s">
        <v>719</v>
      </c>
      <c r="C129" s="161" t="s">
        <v>1325</v>
      </c>
      <c r="D129" s="162">
        <v>323.98</v>
      </c>
      <c r="E129" s="162">
        <v>4724.6099999999997</v>
      </c>
      <c r="F129" s="162">
        <v>0</v>
      </c>
      <c r="H129" s="163">
        <v>3412.41</v>
      </c>
      <c r="J129" s="163">
        <v>125</v>
      </c>
      <c r="K129" s="163">
        <v>104.79</v>
      </c>
      <c r="M129" s="163">
        <v>2573.4299999999998</v>
      </c>
      <c r="N129" s="163">
        <v>560.42999999999995</v>
      </c>
      <c r="P129" s="163">
        <v>2218.34</v>
      </c>
      <c r="T129" s="164">
        <v>3000</v>
      </c>
      <c r="U129" s="164">
        <v>5000</v>
      </c>
      <c r="V129" s="164">
        <v>0</v>
      </c>
    </row>
    <row r="130" spans="2:22">
      <c r="B130" s="161" t="s">
        <v>414</v>
      </c>
      <c r="C130" s="161" t="s">
        <v>1326</v>
      </c>
      <c r="D130" s="162">
        <v>0</v>
      </c>
      <c r="E130" s="162">
        <v>0</v>
      </c>
      <c r="F130" s="162">
        <v>0</v>
      </c>
      <c r="N130" s="163">
        <v>1026.05</v>
      </c>
      <c r="T130" s="164">
        <v>0</v>
      </c>
      <c r="U130" s="164">
        <v>2000</v>
      </c>
      <c r="V130" s="164">
        <v>0</v>
      </c>
    </row>
    <row r="131" spans="2:22">
      <c r="B131" s="161" t="s">
        <v>653</v>
      </c>
      <c r="C131" s="161" t="s">
        <v>1327</v>
      </c>
      <c r="D131" s="162">
        <v>0</v>
      </c>
      <c r="E131" s="162">
        <v>745.36999999999989</v>
      </c>
      <c r="F131" s="162">
        <v>286.20999999999998</v>
      </c>
      <c r="H131" s="163">
        <v>103.68</v>
      </c>
      <c r="I131" s="163">
        <v>859.85</v>
      </c>
      <c r="L131" s="163">
        <v>1349.58</v>
      </c>
      <c r="O131" s="163">
        <v>1368.72</v>
      </c>
      <c r="P131" s="163">
        <v>2836.7799999999997</v>
      </c>
      <c r="Q131" s="163">
        <v>48.37</v>
      </c>
      <c r="R131" s="163">
        <v>947.1</v>
      </c>
      <c r="S131" s="163"/>
      <c r="T131" s="164">
        <v>0</v>
      </c>
      <c r="U131" s="164">
        <v>3500</v>
      </c>
      <c r="V131" s="164">
        <v>836</v>
      </c>
    </row>
    <row r="132" spans="2:22">
      <c r="B132" s="161" t="s">
        <v>498</v>
      </c>
      <c r="C132" s="161" t="s">
        <v>1328</v>
      </c>
      <c r="D132" s="162">
        <v>0</v>
      </c>
      <c r="E132" s="162">
        <v>0</v>
      </c>
      <c r="F132" s="162">
        <v>0</v>
      </c>
      <c r="Q132" s="163">
        <v>79.55</v>
      </c>
      <c r="R132" s="163">
        <v>150</v>
      </c>
      <c r="S132" s="163"/>
      <c r="T132" s="164">
        <v>0</v>
      </c>
      <c r="U132" s="164">
        <v>0</v>
      </c>
      <c r="V132" s="164">
        <v>0</v>
      </c>
    </row>
    <row r="133" spans="2:22">
      <c r="B133" s="161" t="s">
        <v>424</v>
      </c>
      <c r="C133" s="161" t="s">
        <v>1329</v>
      </c>
      <c r="D133" s="164">
        <v>1448.4</v>
      </c>
      <c r="E133" s="164">
        <v>7379.87</v>
      </c>
      <c r="F133" s="164">
        <v>45.41</v>
      </c>
      <c r="G133" s="163">
        <v>150</v>
      </c>
      <c r="H133" s="163">
        <v>5498.42</v>
      </c>
      <c r="I133" s="163">
        <v>583.74</v>
      </c>
      <c r="J133" s="163">
        <v>1513.3300000000002</v>
      </c>
      <c r="K133" s="163">
        <v>24612.240000000002</v>
      </c>
      <c r="L133" s="163">
        <v>4344.18</v>
      </c>
      <c r="M133" s="163">
        <v>160</v>
      </c>
      <c r="N133" s="163">
        <v>2789.81</v>
      </c>
      <c r="O133" s="163">
        <v>3365.34</v>
      </c>
      <c r="P133" s="163">
        <v>1327.83</v>
      </c>
      <c r="Q133" s="163">
        <v>249.14</v>
      </c>
      <c r="R133" s="163">
        <v>3346.94</v>
      </c>
      <c r="S133" s="163"/>
      <c r="T133" s="164">
        <v>12500</v>
      </c>
      <c r="U133" s="164">
        <v>12500</v>
      </c>
      <c r="V133" s="164">
        <v>966</v>
      </c>
    </row>
    <row r="134" spans="2:22">
      <c r="B134" s="161" t="s">
        <v>490</v>
      </c>
      <c r="C134" s="161" t="s">
        <v>1330</v>
      </c>
      <c r="D134" s="164">
        <v>392.7</v>
      </c>
      <c r="E134" s="164">
        <v>0</v>
      </c>
      <c r="F134" s="164">
        <v>0</v>
      </c>
      <c r="G134" s="163">
        <v>506.37</v>
      </c>
      <c r="I134" s="163">
        <v>1326.52</v>
      </c>
      <c r="L134" s="163">
        <v>1821.34</v>
      </c>
      <c r="O134" s="163">
        <v>1978.7599999999998</v>
      </c>
      <c r="R134" s="163">
        <v>3315.02</v>
      </c>
      <c r="S134" s="163"/>
      <c r="T134" s="164">
        <v>0</v>
      </c>
      <c r="U134" s="164">
        <v>0</v>
      </c>
      <c r="V134" s="164">
        <v>2849</v>
      </c>
    </row>
    <row r="135" spans="2:22">
      <c r="B135" s="161" t="s">
        <v>759</v>
      </c>
      <c r="C135" s="161" t="s">
        <v>1331</v>
      </c>
      <c r="D135" s="164">
        <v>0</v>
      </c>
      <c r="E135" s="164">
        <v>0</v>
      </c>
      <c r="F135" s="164">
        <v>0</v>
      </c>
      <c r="G135" s="163">
        <v>25709.480000000003</v>
      </c>
      <c r="J135" s="163">
        <v>29383.53</v>
      </c>
      <c r="M135" s="163">
        <v>27731.84</v>
      </c>
      <c r="O135" s="163">
        <v>32797.089999999997</v>
      </c>
      <c r="P135" s="163">
        <v>22313.140000000003</v>
      </c>
      <c r="R135" s="163">
        <v>64688.61</v>
      </c>
      <c r="S135" s="163"/>
      <c r="T135" s="164">
        <v>11566</v>
      </c>
      <c r="U135" s="164">
        <v>0</v>
      </c>
      <c r="V135" s="164">
        <v>55249</v>
      </c>
    </row>
    <row r="136" spans="2:22">
      <c r="B136" s="161" t="s">
        <v>574</v>
      </c>
      <c r="C136" s="161" t="s">
        <v>1332</v>
      </c>
      <c r="D136" s="164">
        <v>1580.5</v>
      </c>
      <c r="E136" s="164">
        <v>0</v>
      </c>
      <c r="F136" s="164">
        <v>0</v>
      </c>
      <c r="G136" s="163">
        <v>2254.7399999999998</v>
      </c>
      <c r="J136" s="163">
        <v>1956.5099999999998</v>
      </c>
      <c r="K136" s="163">
        <v>181.25</v>
      </c>
      <c r="L136" s="163">
        <v>1471.35</v>
      </c>
      <c r="M136" s="163">
        <v>2992.4300000000003</v>
      </c>
      <c r="N136" s="163">
        <v>316</v>
      </c>
      <c r="O136" s="163">
        <v>1377.4599999999998</v>
      </c>
      <c r="P136" s="163">
        <v>2857.03</v>
      </c>
      <c r="Q136" s="163">
        <v>56.37</v>
      </c>
      <c r="T136" s="164">
        <v>3179</v>
      </c>
      <c r="U136" s="164">
        <v>1500</v>
      </c>
      <c r="V136" s="164">
        <v>0</v>
      </c>
    </row>
    <row r="137" spans="2:22">
      <c r="B137" s="161" t="s">
        <v>691</v>
      </c>
      <c r="C137" s="161" t="s">
        <v>1333</v>
      </c>
      <c r="D137" s="164">
        <v>3299.8199999999997</v>
      </c>
      <c r="E137" s="164">
        <v>0</v>
      </c>
      <c r="F137" s="164">
        <v>0</v>
      </c>
      <c r="G137" s="163">
        <v>6903.75</v>
      </c>
      <c r="J137" s="163">
        <v>4081.25</v>
      </c>
      <c r="M137" s="163">
        <v>2692.05</v>
      </c>
      <c r="N137" s="163">
        <v>48.83</v>
      </c>
      <c r="P137" s="163">
        <v>14266.12</v>
      </c>
      <c r="Q137" s="163">
        <v>13621.84</v>
      </c>
      <c r="T137" s="164">
        <v>0</v>
      </c>
      <c r="U137" s="164">
        <v>1500</v>
      </c>
      <c r="V137" s="164">
        <v>0</v>
      </c>
    </row>
    <row r="138" spans="2:22">
      <c r="B138" s="161" t="s">
        <v>633</v>
      </c>
      <c r="C138" s="161" t="s">
        <v>1334</v>
      </c>
      <c r="D138" s="164">
        <v>41737.769999999997</v>
      </c>
      <c r="E138" s="164">
        <v>0</v>
      </c>
      <c r="F138" s="164">
        <v>5217.46</v>
      </c>
      <c r="G138" s="163">
        <v>18543.39</v>
      </c>
      <c r="I138" s="163">
        <v>15189.89</v>
      </c>
      <c r="J138" s="163">
        <v>16801.52</v>
      </c>
      <c r="L138" s="163">
        <v>14034.01</v>
      </c>
      <c r="M138" s="163">
        <v>12119.98</v>
      </c>
      <c r="O138" s="163">
        <v>11535.81</v>
      </c>
      <c r="P138" s="163">
        <v>18604.41</v>
      </c>
      <c r="Q138" s="163">
        <v>378.39</v>
      </c>
      <c r="R138" s="163">
        <v>35344.410000000003</v>
      </c>
      <c r="S138" s="163"/>
      <c r="T138" s="164">
        <v>0</v>
      </c>
      <c r="U138" s="164">
        <v>0</v>
      </c>
      <c r="V138" s="164">
        <v>32191</v>
      </c>
    </row>
    <row r="139" spans="2:22">
      <c r="B139" s="161" t="s">
        <v>506</v>
      </c>
      <c r="C139" s="161" t="s">
        <v>1335</v>
      </c>
      <c r="D139" s="164">
        <v>3252.73</v>
      </c>
      <c r="E139" s="164">
        <v>80.180000000000007</v>
      </c>
      <c r="F139" s="164">
        <v>274.82</v>
      </c>
      <c r="G139" s="163">
        <v>2065.5099999999998</v>
      </c>
      <c r="I139" s="163">
        <v>2675.3700000000003</v>
      </c>
      <c r="J139" s="163">
        <v>6692.63</v>
      </c>
      <c r="L139" s="163">
        <v>1322.73</v>
      </c>
      <c r="M139" s="163">
        <v>9598.15</v>
      </c>
      <c r="N139" s="163">
        <v>2541.1999999999998</v>
      </c>
      <c r="P139" s="163">
        <v>5506.26</v>
      </c>
      <c r="Q139" s="163">
        <v>10771.58</v>
      </c>
      <c r="R139" s="163">
        <v>1497.53</v>
      </c>
      <c r="S139" s="163"/>
      <c r="T139" s="164">
        <v>0</v>
      </c>
      <c r="U139" s="164">
        <v>0</v>
      </c>
      <c r="V139" s="164">
        <v>0</v>
      </c>
    </row>
    <row r="140" spans="2:22">
      <c r="B140" s="161" t="s">
        <v>620</v>
      </c>
      <c r="C140" s="161" t="s">
        <v>1336</v>
      </c>
      <c r="D140" s="162">
        <v>17.05</v>
      </c>
      <c r="E140" s="162">
        <v>0</v>
      </c>
      <c r="F140" s="162">
        <v>0</v>
      </c>
      <c r="P140" s="163">
        <v>57.77</v>
      </c>
      <c r="T140" s="164">
        <v>400</v>
      </c>
      <c r="U140" s="164">
        <v>0</v>
      </c>
      <c r="V140" s="164">
        <v>1349</v>
      </c>
    </row>
    <row r="141" spans="2:22">
      <c r="B141" s="161" t="s">
        <v>657</v>
      </c>
      <c r="C141" s="161" t="s">
        <v>1337</v>
      </c>
      <c r="D141" s="164">
        <v>15203.410000000002</v>
      </c>
      <c r="E141" s="164">
        <v>0</v>
      </c>
      <c r="F141" s="164">
        <v>0</v>
      </c>
      <c r="G141" s="163">
        <v>6155.85</v>
      </c>
      <c r="I141" s="163">
        <v>9736.0299999999988</v>
      </c>
      <c r="J141" s="163">
        <v>21513.040000000001</v>
      </c>
      <c r="L141" s="163">
        <v>18085.919999999998</v>
      </c>
      <c r="M141" s="163">
        <v>42113.89</v>
      </c>
      <c r="O141" s="163">
        <v>85496.66</v>
      </c>
      <c r="P141" s="163">
        <v>44999.560000000005</v>
      </c>
      <c r="R141" s="163">
        <v>29926.09</v>
      </c>
      <c r="S141" s="163"/>
      <c r="T141" s="164">
        <v>36816</v>
      </c>
      <c r="U141" s="164">
        <v>0</v>
      </c>
      <c r="V141" s="164">
        <v>27708</v>
      </c>
    </row>
    <row r="142" spans="2:22">
      <c r="B142" s="161" t="s">
        <v>655</v>
      </c>
      <c r="C142" s="161" t="s">
        <v>1338</v>
      </c>
      <c r="D142" s="164">
        <v>17402.18</v>
      </c>
      <c r="E142" s="164">
        <v>4570.7</v>
      </c>
      <c r="F142" s="164">
        <v>1271.01</v>
      </c>
      <c r="G142" s="163">
        <v>38434.759999999995</v>
      </c>
      <c r="H142" s="163">
        <v>1788</v>
      </c>
      <c r="I142" s="163">
        <v>6732.25</v>
      </c>
      <c r="J142" s="163">
        <v>6726.89</v>
      </c>
      <c r="K142" s="163">
        <v>358.7</v>
      </c>
      <c r="L142" s="163">
        <v>11992.2</v>
      </c>
      <c r="M142" s="163">
        <v>4932.84</v>
      </c>
      <c r="N142" s="163">
        <v>1995.58</v>
      </c>
      <c r="O142" s="163">
        <v>11579.4</v>
      </c>
      <c r="Q142" s="163">
        <v>6885.1</v>
      </c>
      <c r="R142" s="163">
        <v>23666.23</v>
      </c>
      <c r="S142" s="163"/>
      <c r="T142" s="164">
        <v>6791</v>
      </c>
      <c r="U142" s="164">
        <v>500</v>
      </c>
      <c r="V142" s="164">
        <v>10907</v>
      </c>
    </row>
    <row r="143" spans="2:22">
      <c r="B143" s="161" t="s">
        <v>349</v>
      </c>
      <c r="C143" s="161" t="s">
        <v>1339</v>
      </c>
      <c r="D143" s="164">
        <v>1199.9100000000001</v>
      </c>
      <c r="E143" s="164">
        <v>811.5</v>
      </c>
      <c r="F143" s="164">
        <v>9310.83</v>
      </c>
      <c r="G143" s="163">
        <v>13847.95</v>
      </c>
      <c r="I143" s="163">
        <v>5523.1399999999994</v>
      </c>
      <c r="J143" s="163">
        <v>1879.42</v>
      </c>
      <c r="L143" s="163">
        <v>7120.43</v>
      </c>
      <c r="M143" s="163">
        <v>2502.3599999999997</v>
      </c>
      <c r="N143" s="163">
        <v>1919.57</v>
      </c>
      <c r="P143" s="163">
        <v>5637.9100000000008</v>
      </c>
      <c r="T143" s="164">
        <v>4916</v>
      </c>
      <c r="U143" s="164">
        <v>2000</v>
      </c>
      <c r="V143" s="164">
        <v>0</v>
      </c>
    </row>
    <row r="144" spans="2:22">
      <c r="B144" s="161" t="s">
        <v>683</v>
      </c>
      <c r="C144" s="161" t="s">
        <v>1340</v>
      </c>
      <c r="D144" s="164">
        <v>0</v>
      </c>
      <c r="E144" s="164">
        <v>0</v>
      </c>
      <c r="F144" s="164">
        <v>0</v>
      </c>
      <c r="G144" s="163">
        <v>119.9</v>
      </c>
      <c r="J144" s="163">
        <v>1408.28</v>
      </c>
      <c r="M144" s="163">
        <v>3258.39</v>
      </c>
      <c r="O144" s="163">
        <v>3954.04</v>
      </c>
      <c r="R144" s="163">
        <v>2784.66</v>
      </c>
      <c r="S144" s="163"/>
      <c r="T144" s="164">
        <v>0</v>
      </c>
      <c r="U144" s="164">
        <v>0</v>
      </c>
      <c r="V144" s="164">
        <v>0</v>
      </c>
    </row>
    <row r="145" spans="2:22">
      <c r="B145" s="161" t="s">
        <v>823</v>
      </c>
      <c r="C145" s="161" t="s">
        <v>1341</v>
      </c>
      <c r="D145" s="164">
        <v>21141.09</v>
      </c>
      <c r="E145" s="164">
        <v>25.46</v>
      </c>
      <c r="F145" s="164">
        <v>1874.39</v>
      </c>
      <c r="G145" s="163">
        <v>16599.780000000002</v>
      </c>
      <c r="H145" s="163">
        <v>2615.52</v>
      </c>
      <c r="I145" s="163">
        <v>3626.86</v>
      </c>
      <c r="J145" s="163">
        <v>16707.02</v>
      </c>
      <c r="L145" s="163">
        <v>6650.7199999999993</v>
      </c>
      <c r="M145" s="163">
        <v>15169.449999999999</v>
      </c>
      <c r="O145" s="163">
        <v>6995.16</v>
      </c>
      <c r="P145" s="163">
        <v>3234.3100000000004</v>
      </c>
      <c r="R145" s="163">
        <v>3635.52</v>
      </c>
      <c r="S145" s="163"/>
      <c r="T145" s="164">
        <v>2000</v>
      </c>
      <c r="U145" s="164">
        <v>0</v>
      </c>
      <c r="V145" s="164">
        <v>5921</v>
      </c>
    </row>
    <row r="146" spans="2:22">
      <c r="B146" s="161" t="s">
        <v>671</v>
      </c>
      <c r="C146" s="161" t="s">
        <v>1342</v>
      </c>
      <c r="D146" s="164">
        <v>0</v>
      </c>
      <c r="E146" s="164">
        <v>0</v>
      </c>
      <c r="F146" s="164">
        <v>2238.19</v>
      </c>
      <c r="G146" s="163">
        <v>2107</v>
      </c>
      <c r="I146" s="163">
        <v>7483.05</v>
      </c>
      <c r="J146" s="163">
        <v>2788.4</v>
      </c>
      <c r="L146" s="163">
        <v>8012.22</v>
      </c>
      <c r="M146" s="163">
        <v>182</v>
      </c>
      <c r="O146" s="163">
        <v>5326.08</v>
      </c>
      <c r="P146" s="163">
        <v>2434.1999999999998</v>
      </c>
      <c r="R146" s="163">
        <v>5357.3499999999995</v>
      </c>
      <c r="S146" s="163"/>
      <c r="T146" s="164">
        <v>1000</v>
      </c>
      <c r="U146" s="164">
        <v>0</v>
      </c>
      <c r="V146" s="164">
        <v>4369</v>
      </c>
    </row>
    <row r="147" spans="2:22">
      <c r="B147" s="161" t="s">
        <v>717</v>
      </c>
      <c r="C147" s="161" t="s">
        <v>1343</v>
      </c>
      <c r="D147" s="164">
        <v>2114.5300000000002</v>
      </c>
      <c r="E147" s="164">
        <v>6527.57</v>
      </c>
      <c r="F147" s="164">
        <v>3512.11</v>
      </c>
      <c r="G147" s="163">
        <v>530.5</v>
      </c>
      <c r="H147" s="163">
        <v>3347.57</v>
      </c>
      <c r="K147" s="163">
        <v>264.85000000000002</v>
      </c>
      <c r="T147" s="164">
        <v>0</v>
      </c>
      <c r="U147" s="164">
        <v>0</v>
      </c>
      <c r="V147" s="164">
        <v>0</v>
      </c>
    </row>
    <row r="148" spans="2:22">
      <c r="B148" s="161" t="s">
        <v>773</v>
      </c>
      <c r="C148" s="161" t="s">
        <v>1344</v>
      </c>
      <c r="D148" s="164">
        <v>3116.7799999999997</v>
      </c>
      <c r="E148" s="164">
        <v>18620.260000000002</v>
      </c>
      <c r="F148" s="164">
        <v>1346.8</v>
      </c>
      <c r="G148" s="163">
        <v>3063.17</v>
      </c>
      <c r="H148" s="163">
        <v>1908.51</v>
      </c>
      <c r="I148" s="163">
        <v>2090.56</v>
      </c>
      <c r="J148" s="163">
        <v>1497.35</v>
      </c>
      <c r="K148" s="163">
        <v>115</v>
      </c>
      <c r="L148" s="163">
        <v>3244.52</v>
      </c>
      <c r="M148" s="163">
        <v>540.80999999999995</v>
      </c>
      <c r="N148" s="163">
        <v>1230.22</v>
      </c>
      <c r="O148" s="163">
        <v>1578.5</v>
      </c>
      <c r="P148" s="163">
        <v>1963.75</v>
      </c>
      <c r="Q148" s="163">
        <v>1402.52</v>
      </c>
      <c r="R148" s="163">
        <v>1613.23</v>
      </c>
      <c r="S148" s="163"/>
      <c r="T148" s="164">
        <v>2309</v>
      </c>
      <c r="U148" s="164">
        <v>2500</v>
      </c>
      <c r="V148" s="164">
        <v>1716</v>
      </c>
    </row>
    <row r="149" spans="2:22">
      <c r="B149" s="161" t="s">
        <v>879</v>
      </c>
      <c r="C149" s="161" t="s">
        <v>1345</v>
      </c>
      <c r="D149" s="162">
        <v>0</v>
      </c>
      <c r="E149" s="162">
        <v>0</v>
      </c>
      <c r="F149" s="162">
        <v>0</v>
      </c>
      <c r="R149" s="163">
        <v>5534.02</v>
      </c>
      <c r="S149" s="163"/>
      <c r="T149" s="164">
        <v>0</v>
      </c>
      <c r="U149" s="164">
        <v>0</v>
      </c>
      <c r="V149" s="164">
        <v>2432</v>
      </c>
    </row>
    <row r="150" spans="2:22">
      <c r="B150" s="161" t="s">
        <v>418</v>
      </c>
      <c r="C150" s="161" t="s">
        <v>1346</v>
      </c>
      <c r="D150" s="162">
        <v>0</v>
      </c>
      <c r="E150" s="162">
        <v>0</v>
      </c>
      <c r="F150" s="162">
        <v>0</v>
      </c>
      <c r="J150" s="163">
        <v>288</v>
      </c>
      <c r="L150" s="163">
        <v>1114.06</v>
      </c>
      <c r="N150" s="163">
        <v>9998.27</v>
      </c>
      <c r="O150" s="163">
        <v>2451.0700000000002</v>
      </c>
      <c r="P150" s="163">
        <v>721.05</v>
      </c>
      <c r="Q150" s="163">
        <v>345.77</v>
      </c>
      <c r="R150" s="163">
        <v>1991.03</v>
      </c>
      <c r="S150" s="163"/>
      <c r="T150" s="164">
        <v>0</v>
      </c>
      <c r="U150" s="164">
        <v>0</v>
      </c>
      <c r="V150" s="164">
        <v>0</v>
      </c>
    </row>
    <row r="151" spans="2:22">
      <c r="B151" s="161" t="s">
        <v>753</v>
      </c>
      <c r="C151" s="161" t="s">
        <v>1347</v>
      </c>
      <c r="D151" s="162">
        <v>0</v>
      </c>
      <c r="E151" s="162">
        <v>0</v>
      </c>
      <c r="F151" s="162">
        <v>0</v>
      </c>
      <c r="I151" s="163">
        <v>564.49</v>
      </c>
      <c r="L151" s="163">
        <v>904.27</v>
      </c>
      <c r="O151" s="163">
        <v>193</v>
      </c>
      <c r="T151" s="164">
        <v>0</v>
      </c>
      <c r="U151" s="164">
        <v>0</v>
      </c>
      <c r="V151" s="164">
        <v>0</v>
      </c>
    </row>
    <row r="152" spans="2:22">
      <c r="B152" s="161" t="s">
        <v>795</v>
      </c>
      <c r="C152" s="161" t="s">
        <v>1348</v>
      </c>
      <c r="D152" s="164">
        <v>53904.590000000004</v>
      </c>
      <c r="E152" s="164">
        <v>1548.7</v>
      </c>
      <c r="F152" s="164">
        <v>0</v>
      </c>
      <c r="G152" s="163">
        <v>15246.990000000002</v>
      </c>
      <c r="H152" s="163">
        <v>2375.15</v>
      </c>
      <c r="J152" s="163">
        <v>1711.69</v>
      </c>
      <c r="K152" s="163">
        <v>2021.73</v>
      </c>
      <c r="M152" s="163">
        <v>51746.79</v>
      </c>
      <c r="N152" s="163">
        <v>12403.55</v>
      </c>
      <c r="P152" s="163">
        <v>15147.14</v>
      </c>
      <c r="Q152" s="163">
        <v>8999.11</v>
      </c>
      <c r="T152" s="164">
        <v>0</v>
      </c>
      <c r="U152" s="164">
        <v>10000</v>
      </c>
      <c r="V152" s="164">
        <v>0</v>
      </c>
    </row>
    <row r="153" spans="2:22">
      <c r="B153" s="161" t="s">
        <v>705</v>
      </c>
      <c r="C153" s="161" t="s">
        <v>1349</v>
      </c>
      <c r="D153" s="164">
        <v>100334.48000000001</v>
      </c>
      <c r="E153" s="164">
        <v>0</v>
      </c>
      <c r="F153" s="164">
        <v>0</v>
      </c>
      <c r="G153" s="163">
        <v>77727.87</v>
      </c>
      <c r="H153" s="163">
        <v>4275.46</v>
      </c>
      <c r="J153" s="163">
        <v>91344.489999999991</v>
      </c>
      <c r="K153" s="163">
        <v>430.9</v>
      </c>
      <c r="M153" s="163">
        <v>138805.19</v>
      </c>
      <c r="N153" s="163">
        <v>14.62</v>
      </c>
      <c r="P153" s="163">
        <v>223930.78</v>
      </c>
      <c r="Q153" s="163">
        <v>7.19</v>
      </c>
      <c r="T153" s="164">
        <v>0</v>
      </c>
      <c r="U153" s="164">
        <v>0</v>
      </c>
      <c r="V153" s="164">
        <v>0</v>
      </c>
    </row>
    <row r="154" spans="2:22">
      <c r="B154" s="161" t="s">
        <v>809</v>
      </c>
      <c r="C154" s="161" t="s">
        <v>1350</v>
      </c>
      <c r="D154" s="164">
        <v>364065.26</v>
      </c>
      <c r="E154" s="164">
        <v>123032.71</v>
      </c>
      <c r="F154" s="164">
        <v>240363.21000000002</v>
      </c>
      <c r="G154" s="163">
        <v>651308.72</v>
      </c>
      <c r="H154" s="163">
        <v>195117.32</v>
      </c>
      <c r="I154" s="163">
        <v>295957.29000000004</v>
      </c>
      <c r="J154" s="163">
        <v>646214.76</v>
      </c>
      <c r="K154" s="163">
        <v>149171.37</v>
      </c>
      <c r="L154" s="163">
        <v>631082.27</v>
      </c>
      <c r="M154" s="163">
        <v>145009.57</v>
      </c>
      <c r="N154" s="163">
        <v>6569.69</v>
      </c>
      <c r="O154" s="163">
        <v>509720.60000000003</v>
      </c>
      <c r="P154" s="163">
        <v>176312.62</v>
      </c>
      <c r="Q154" s="163">
        <v>72816.510000000009</v>
      </c>
      <c r="R154" s="163">
        <v>342257.25</v>
      </c>
      <c r="S154" s="163"/>
      <c r="T154" s="164">
        <v>2047517</v>
      </c>
      <c r="U154" s="164">
        <v>91835</v>
      </c>
      <c r="V154" s="164">
        <v>0</v>
      </c>
    </row>
    <row r="155" spans="2:22">
      <c r="B155" s="161" t="s">
        <v>837</v>
      </c>
      <c r="C155" s="161" t="s">
        <v>1351</v>
      </c>
      <c r="D155" s="164">
        <v>66145.540000000008</v>
      </c>
      <c r="E155" s="164">
        <v>7547.73</v>
      </c>
      <c r="F155" s="164">
        <v>20589.150000000001</v>
      </c>
      <c r="G155" s="163">
        <v>29246.07</v>
      </c>
      <c r="H155" s="163">
        <v>30136.85</v>
      </c>
      <c r="I155" s="163">
        <v>24085.86</v>
      </c>
      <c r="J155" s="163">
        <v>75685.56</v>
      </c>
      <c r="K155" s="163">
        <v>12093.07</v>
      </c>
      <c r="L155" s="163">
        <v>67413.440000000002</v>
      </c>
      <c r="M155" s="163">
        <v>62342.460000000006</v>
      </c>
      <c r="N155" s="163">
        <v>19748.060000000001</v>
      </c>
      <c r="O155" s="163">
        <v>68095.11</v>
      </c>
      <c r="P155" s="163">
        <v>73587.27</v>
      </c>
      <c r="Q155" s="163">
        <v>17840.21</v>
      </c>
      <c r="R155" s="163">
        <v>61856.78</v>
      </c>
      <c r="S155" s="163"/>
      <c r="T155" s="164">
        <v>36987</v>
      </c>
      <c r="U155" s="164">
        <v>15000</v>
      </c>
      <c r="V155" s="164">
        <v>68808</v>
      </c>
    </row>
    <row r="156" spans="2:22">
      <c r="B156" s="161" t="s">
        <v>805</v>
      </c>
      <c r="C156" s="161" t="s">
        <v>1352</v>
      </c>
      <c r="D156" s="162">
        <v>26258.99</v>
      </c>
      <c r="E156" s="162">
        <v>8915.51</v>
      </c>
      <c r="F156" s="162">
        <v>34233.19</v>
      </c>
      <c r="H156" s="163">
        <v>24362.560000000001</v>
      </c>
      <c r="I156" s="163">
        <v>71342.33</v>
      </c>
      <c r="J156" s="163">
        <v>741.74</v>
      </c>
      <c r="K156" s="163">
        <v>2857.74</v>
      </c>
      <c r="L156" s="163">
        <v>172203.39</v>
      </c>
      <c r="M156" s="163">
        <v>733.95</v>
      </c>
      <c r="N156" s="163">
        <v>15305.03</v>
      </c>
      <c r="O156" s="163">
        <v>198348.90000000002</v>
      </c>
      <c r="P156" s="163">
        <v>224604.6</v>
      </c>
      <c r="Q156" s="163">
        <v>29629.129999999997</v>
      </c>
      <c r="R156" s="163">
        <v>196788.69</v>
      </c>
      <c r="S156" s="163"/>
      <c r="T156" s="164">
        <v>389820</v>
      </c>
      <c r="U156" s="164">
        <v>80000</v>
      </c>
      <c r="V156" s="164">
        <v>270694</v>
      </c>
    </row>
    <row r="157" spans="2:22">
      <c r="B157" s="161" t="s">
        <v>430</v>
      </c>
      <c r="C157" s="161" t="s">
        <v>1353</v>
      </c>
      <c r="D157" s="164">
        <v>39772.199999999997</v>
      </c>
      <c r="E157" s="164">
        <v>4573.7299999999996</v>
      </c>
      <c r="F157" s="164">
        <v>0</v>
      </c>
      <c r="G157" s="163">
        <v>15543.880000000001</v>
      </c>
      <c r="H157" s="163">
        <v>16276.51</v>
      </c>
      <c r="I157" s="163">
        <v>8924.27</v>
      </c>
      <c r="J157" s="163">
        <v>3481.05</v>
      </c>
      <c r="K157" s="163">
        <v>37624.800000000003</v>
      </c>
      <c r="M157" s="163">
        <v>5038.24</v>
      </c>
      <c r="O157" s="163">
        <v>25311.33</v>
      </c>
      <c r="P157" s="163">
        <v>23235.18</v>
      </c>
      <c r="Q157" s="163">
        <v>552.04</v>
      </c>
      <c r="R157" s="163">
        <v>9355.94</v>
      </c>
      <c r="S157" s="163"/>
      <c r="T157" s="164">
        <v>2140</v>
      </c>
      <c r="U157" s="164">
        <v>15500</v>
      </c>
      <c r="V157" s="164">
        <v>34243</v>
      </c>
    </row>
    <row r="158" spans="2:22">
      <c r="B158" s="161" t="s">
        <v>673</v>
      </c>
      <c r="C158" s="161" t="s">
        <v>1354</v>
      </c>
      <c r="D158" s="164">
        <v>50983.63</v>
      </c>
      <c r="E158" s="164">
        <v>0</v>
      </c>
      <c r="F158" s="164">
        <v>9760.07</v>
      </c>
      <c r="G158" s="163">
        <v>47703.97</v>
      </c>
      <c r="H158" s="163">
        <v>26061.08</v>
      </c>
      <c r="I158" s="163">
        <v>22658.379999999997</v>
      </c>
      <c r="J158" s="163">
        <v>18200.18</v>
      </c>
      <c r="K158" s="163">
        <v>18815.5</v>
      </c>
      <c r="L158" s="163">
        <v>35747.379999999997</v>
      </c>
      <c r="M158" s="163">
        <v>38713.56</v>
      </c>
      <c r="N158" s="163">
        <v>15372.380000000001</v>
      </c>
      <c r="O158" s="163">
        <v>45331.33</v>
      </c>
      <c r="P158" s="163">
        <v>32927.479999999996</v>
      </c>
      <c r="Q158" s="163">
        <v>17390.04</v>
      </c>
      <c r="R158" s="163">
        <v>46538.75</v>
      </c>
      <c r="S158" s="163"/>
      <c r="T158" s="164">
        <v>7500</v>
      </c>
      <c r="U158" s="164">
        <v>15700</v>
      </c>
      <c r="V158" s="164">
        <v>51689</v>
      </c>
    </row>
    <row r="159" spans="2:22">
      <c r="B159" s="161" t="s">
        <v>388</v>
      </c>
      <c r="C159" s="161" t="s">
        <v>1355</v>
      </c>
      <c r="D159" s="164">
        <v>405124.89000000007</v>
      </c>
      <c r="E159" s="164">
        <v>0</v>
      </c>
      <c r="F159" s="164">
        <v>0</v>
      </c>
      <c r="G159" s="163">
        <v>468031.15</v>
      </c>
      <c r="I159" s="163">
        <v>108655.42</v>
      </c>
      <c r="J159" s="163">
        <v>517059.4</v>
      </c>
      <c r="K159" s="163">
        <v>237346.15</v>
      </c>
      <c r="L159" s="163">
        <v>100081.96</v>
      </c>
      <c r="M159" s="163">
        <v>632464.29</v>
      </c>
      <c r="N159" s="163">
        <v>342317.81</v>
      </c>
      <c r="O159" s="163">
        <v>130291.5</v>
      </c>
      <c r="P159" s="163">
        <v>251881.21999999997</v>
      </c>
      <c r="Q159" s="163">
        <v>168300.59</v>
      </c>
      <c r="R159" s="163">
        <v>163809.38999999998</v>
      </c>
      <c r="S159" s="163"/>
      <c r="T159" s="164">
        <v>652508</v>
      </c>
      <c r="U159" s="164">
        <v>0</v>
      </c>
      <c r="V159" s="164">
        <v>0</v>
      </c>
    </row>
    <row r="160" spans="2:22">
      <c r="B160" s="161" t="s">
        <v>689</v>
      </c>
      <c r="C160" s="161" t="s">
        <v>1356</v>
      </c>
      <c r="D160" s="164">
        <v>114456.7</v>
      </c>
      <c r="E160" s="164">
        <v>70570.149999999994</v>
      </c>
      <c r="F160" s="164">
        <v>0</v>
      </c>
      <c r="G160" s="163">
        <v>122434.09</v>
      </c>
      <c r="H160" s="163">
        <v>41978.22</v>
      </c>
      <c r="I160" s="163">
        <v>87632.94</v>
      </c>
      <c r="J160" s="163">
        <v>85766.709999999992</v>
      </c>
      <c r="K160" s="163">
        <v>42291.78</v>
      </c>
      <c r="L160" s="163">
        <v>207149.65</v>
      </c>
      <c r="M160" s="163">
        <v>131454.91999999998</v>
      </c>
      <c r="N160" s="163">
        <v>23634.17</v>
      </c>
      <c r="O160" s="163">
        <v>200213.39</v>
      </c>
      <c r="P160" s="163">
        <v>99810.48</v>
      </c>
      <c r="Q160" s="163">
        <v>33095.870000000003</v>
      </c>
      <c r="R160" s="163">
        <v>194527.05000000002</v>
      </c>
      <c r="S160" s="163"/>
      <c r="T160" s="164">
        <v>0</v>
      </c>
      <c r="U160" s="164">
        <v>0</v>
      </c>
      <c r="V160" s="164">
        <v>0</v>
      </c>
    </row>
    <row r="161" spans="2:22">
      <c r="B161" s="161" t="s">
        <v>472</v>
      </c>
      <c r="C161" s="161" t="s">
        <v>1357</v>
      </c>
      <c r="D161" s="164">
        <v>619895.78999999992</v>
      </c>
      <c r="E161" s="164">
        <v>0</v>
      </c>
      <c r="F161" s="164">
        <v>0</v>
      </c>
      <c r="G161" s="163">
        <v>772927.55999999994</v>
      </c>
      <c r="J161" s="163">
        <v>866323.74</v>
      </c>
      <c r="M161" s="163">
        <v>803223.26</v>
      </c>
      <c r="O161" s="163">
        <v>154935.14000000001</v>
      </c>
      <c r="P161" s="163">
        <v>1043012.43</v>
      </c>
      <c r="R161" s="163">
        <v>111758.05</v>
      </c>
      <c r="S161" s="163"/>
      <c r="T161" s="164">
        <v>1058763</v>
      </c>
      <c r="U161" s="164">
        <v>0</v>
      </c>
      <c r="V161" s="164">
        <v>0</v>
      </c>
    </row>
    <row r="162" spans="2:22">
      <c r="B162" s="161" t="s">
        <v>339</v>
      </c>
      <c r="C162" s="161" t="s">
        <v>1358</v>
      </c>
      <c r="D162" s="164">
        <v>160441.06</v>
      </c>
      <c r="E162" s="164">
        <v>34120.53</v>
      </c>
      <c r="F162" s="164">
        <v>0</v>
      </c>
      <c r="G162" s="163">
        <v>92329.82</v>
      </c>
      <c r="H162" s="163">
        <v>1773.12</v>
      </c>
      <c r="J162" s="163">
        <v>217047.39</v>
      </c>
      <c r="L162" s="163">
        <v>148039.5</v>
      </c>
      <c r="M162" s="163">
        <v>289469.34999999998</v>
      </c>
      <c r="N162" s="163">
        <v>28089.27</v>
      </c>
      <c r="O162" s="163">
        <v>135729.76999999999</v>
      </c>
      <c r="P162" s="163">
        <v>330598.22000000003</v>
      </c>
      <c r="Q162" s="163">
        <v>55175.93</v>
      </c>
      <c r="R162" s="163">
        <v>212324.09000000003</v>
      </c>
      <c r="S162" s="163"/>
      <c r="T162" s="164">
        <v>247069</v>
      </c>
      <c r="U162" s="164">
        <v>50000</v>
      </c>
      <c r="V162" s="164">
        <v>246000</v>
      </c>
    </row>
    <row r="163" spans="2:22">
      <c r="B163" s="161" t="s">
        <v>442</v>
      </c>
      <c r="C163" s="161" t="s">
        <v>1359</v>
      </c>
      <c r="D163" s="164">
        <v>5201.66</v>
      </c>
      <c r="E163" s="164">
        <v>734.25</v>
      </c>
      <c r="F163" s="164">
        <v>5403.99</v>
      </c>
      <c r="G163" s="163">
        <v>9510.18</v>
      </c>
      <c r="H163" s="163">
        <v>1423.43</v>
      </c>
      <c r="I163" s="163">
        <v>6663.45</v>
      </c>
      <c r="J163" s="163">
        <v>4629.6100000000006</v>
      </c>
      <c r="K163" s="163">
        <v>15398.93</v>
      </c>
      <c r="L163" s="163">
        <v>20530.89</v>
      </c>
      <c r="M163" s="163">
        <v>1624.5500000000002</v>
      </c>
      <c r="N163" s="163">
        <v>26688.93</v>
      </c>
      <c r="O163" s="163">
        <v>19855.760000000002</v>
      </c>
      <c r="P163" s="163">
        <v>10319.119999999999</v>
      </c>
      <c r="Q163" s="163">
        <v>12727.48</v>
      </c>
      <c r="R163" s="163">
        <v>21838.840000000004</v>
      </c>
      <c r="S163" s="163"/>
      <c r="T163" s="164">
        <v>1100</v>
      </c>
      <c r="U163" s="164">
        <v>16400</v>
      </c>
      <c r="V163" s="164">
        <v>7008</v>
      </c>
    </row>
    <row r="164" spans="2:22">
      <c r="B164" s="161" t="s">
        <v>873</v>
      </c>
      <c r="C164" s="161" t="s">
        <v>1360</v>
      </c>
      <c r="D164" s="164">
        <v>165314.26</v>
      </c>
      <c r="E164" s="164">
        <v>26578.19</v>
      </c>
      <c r="F164" s="164">
        <v>23886.38</v>
      </c>
      <c r="G164" s="163">
        <v>175953.33</v>
      </c>
      <c r="H164" s="163">
        <v>606.75</v>
      </c>
      <c r="I164" s="163">
        <v>36389.449999999997</v>
      </c>
      <c r="J164" s="163">
        <v>195351.96</v>
      </c>
      <c r="K164" s="163">
        <v>25064.09</v>
      </c>
      <c r="L164" s="163">
        <v>15345.66</v>
      </c>
      <c r="M164" s="163">
        <v>160800.76</v>
      </c>
      <c r="N164" s="163">
        <v>2812.93</v>
      </c>
      <c r="O164" s="163">
        <v>121692.5</v>
      </c>
      <c r="P164" s="163">
        <v>201405.84999999998</v>
      </c>
      <c r="Q164" s="163">
        <v>13952.83</v>
      </c>
      <c r="R164" s="163">
        <v>130234.61000000002</v>
      </c>
      <c r="S164" s="163"/>
      <c r="T164" s="164">
        <v>192497</v>
      </c>
      <c r="U164" s="164">
        <v>22300</v>
      </c>
      <c r="V164" s="164">
        <v>118477</v>
      </c>
    </row>
    <row r="165" spans="2:22">
      <c r="B165" s="161" t="s">
        <v>468</v>
      </c>
      <c r="C165" s="161" t="s">
        <v>1361</v>
      </c>
      <c r="D165" s="164">
        <v>3474.3100000000004</v>
      </c>
      <c r="E165" s="164">
        <v>5845.5</v>
      </c>
      <c r="F165" s="164">
        <v>35.4</v>
      </c>
      <c r="G165" s="163">
        <v>7296.39</v>
      </c>
      <c r="H165" s="163">
        <v>10004.16</v>
      </c>
      <c r="J165" s="163">
        <v>1074.31</v>
      </c>
      <c r="K165" s="163">
        <v>12760.849999999999</v>
      </c>
      <c r="N165" s="163">
        <v>13322.720000000001</v>
      </c>
      <c r="O165" s="163">
        <v>11386.75</v>
      </c>
      <c r="P165" s="163">
        <v>36633.479999999996</v>
      </c>
      <c r="Q165" s="163">
        <v>9935.31</v>
      </c>
      <c r="T165" s="164">
        <v>47887</v>
      </c>
      <c r="U165" s="164">
        <v>15000</v>
      </c>
      <c r="V165" s="164">
        <v>0</v>
      </c>
    </row>
    <row r="166" spans="2:22">
      <c r="B166" s="161" t="s">
        <v>995</v>
      </c>
      <c r="C166" s="161" t="s">
        <v>1362</v>
      </c>
      <c r="D166" s="162">
        <v>0</v>
      </c>
      <c r="E166" s="162">
        <v>0</v>
      </c>
      <c r="F166" s="162">
        <v>0</v>
      </c>
      <c r="P166" s="163">
        <v>1319.3600000000001</v>
      </c>
      <c r="R166" s="163">
        <v>6443.55</v>
      </c>
      <c r="S166" s="163"/>
      <c r="T166" s="164">
        <v>0</v>
      </c>
      <c r="U166" s="164">
        <v>0</v>
      </c>
      <c r="V166" s="164">
        <v>0</v>
      </c>
    </row>
    <row r="167" spans="2:22">
      <c r="B167" s="161" t="s">
        <v>910</v>
      </c>
      <c r="C167" s="161" t="s">
        <v>1363</v>
      </c>
      <c r="D167" s="162">
        <v>0</v>
      </c>
      <c r="E167" s="162">
        <v>0</v>
      </c>
      <c r="F167" s="162">
        <v>0</v>
      </c>
      <c r="P167" s="163">
        <v>2055</v>
      </c>
      <c r="T167" s="164">
        <v>0</v>
      </c>
      <c r="U167" s="164">
        <v>0</v>
      </c>
      <c r="V167" s="164">
        <v>0</v>
      </c>
    </row>
    <row r="168" spans="2:22">
      <c r="B168" s="161" t="s">
        <v>663</v>
      </c>
      <c r="C168" s="161" t="s">
        <v>1364</v>
      </c>
      <c r="D168" s="164">
        <v>3838.73</v>
      </c>
      <c r="E168" s="164">
        <v>0</v>
      </c>
      <c r="F168" s="164">
        <v>0</v>
      </c>
      <c r="G168" s="163">
        <v>7027.54</v>
      </c>
      <c r="J168" s="163">
        <v>368.8</v>
      </c>
      <c r="M168" s="163">
        <v>38</v>
      </c>
      <c r="T168" s="164">
        <v>0</v>
      </c>
      <c r="U168" s="164">
        <v>0</v>
      </c>
      <c r="V168" s="164">
        <v>0</v>
      </c>
    </row>
    <row r="169" spans="2:22">
      <c r="B169" s="161" t="s">
        <v>562</v>
      </c>
      <c r="C169" s="161" t="s">
        <v>1365</v>
      </c>
      <c r="D169" s="162">
        <v>25.68</v>
      </c>
      <c r="E169" s="162">
        <v>0</v>
      </c>
      <c r="F169" s="162">
        <v>0</v>
      </c>
      <c r="I169" s="163">
        <v>3328.59</v>
      </c>
      <c r="M169" s="163">
        <v>2083.69</v>
      </c>
      <c r="O169" s="163">
        <v>6251.79</v>
      </c>
      <c r="P169" s="163">
        <v>3198.97</v>
      </c>
      <c r="T169" s="164">
        <v>0</v>
      </c>
      <c r="U169" s="164">
        <v>0</v>
      </c>
      <c r="V169" s="164">
        <v>0</v>
      </c>
    </row>
    <row r="170" spans="2:22">
      <c r="B170" s="161" t="s">
        <v>743</v>
      </c>
      <c r="C170" s="161" t="s">
        <v>1366</v>
      </c>
      <c r="D170" s="164">
        <v>8209.8700000000008</v>
      </c>
      <c r="E170" s="164">
        <v>0</v>
      </c>
      <c r="F170" s="164">
        <v>2457.0700000000002</v>
      </c>
      <c r="G170" s="163">
        <v>5548.92</v>
      </c>
      <c r="I170" s="163">
        <v>11183.07</v>
      </c>
      <c r="J170" s="163">
        <v>8801.4599999999991</v>
      </c>
      <c r="M170" s="163">
        <v>14694.56</v>
      </c>
      <c r="O170" s="163">
        <v>4418.8500000000004</v>
      </c>
      <c r="P170" s="163">
        <v>16962.640000000003</v>
      </c>
      <c r="R170" s="163">
        <v>6020.18</v>
      </c>
      <c r="S170" s="163"/>
      <c r="T170" s="164">
        <v>7570</v>
      </c>
      <c r="U170" s="164">
        <v>0</v>
      </c>
      <c r="V170" s="164">
        <v>14012</v>
      </c>
    </row>
    <row r="171" spans="2:22">
      <c r="B171" s="161" t="s">
        <v>402</v>
      </c>
      <c r="C171" s="161" t="s">
        <v>1367</v>
      </c>
      <c r="D171" s="164">
        <v>1657.58</v>
      </c>
      <c r="E171" s="164">
        <v>108.45</v>
      </c>
      <c r="F171" s="164">
        <v>0</v>
      </c>
      <c r="G171" s="163">
        <v>7223.67</v>
      </c>
      <c r="H171" s="163">
        <v>330</v>
      </c>
      <c r="M171" s="163">
        <v>9909.4800000000014</v>
      </c>
      <c r="N171" s="163">
        <v>7237.62</v>
      </c>
      <c r="O171" s="163">
        <v>5697.44</v>
      </c>
      <c r="P171" s="163">
        <v>3299.8</v>
      </c>
      <c r="Q171" s="163">
        <v>2118.4699999999998</v>
      </c>
      <c r="R171" s="163">
        <v>7152.4800000000005</v>
      </c>
      <c r="S171" s="163"/>
      <c r="T171" s="164">
        <v>17370</v>
      </c>
      <c r="U171" s="164">
        <v>0</v>
      </c>
      <c r="V171" s="164">
        <v>9510</v>
      </c>
    </row>
    <row r="172" spans="2:22">
      <c r="B172" s="161" t="s">
        <v>355</v>
      </c>
      <c r="C172" s="161" t="s">
        <v>1368</v>
      </c>
      <c r="D172" s="164">
        <v>102298.70999999999</v>
      </c>
      <c r="E172" s="164">
        <v>0</v>
      </c>
      <c r="F172" s="164">
        <v>0</v>
      </c>
      <c r="G172" s="163">
        <v>46712.630000000005</v>
      </c>
      <c r="I172" s="163">
        <v>27259.9</v>
      </c>
      <c r="J172" s="163">
        <v>23251.07</v>
      </c>
      <c r="L172" s="163">
        <v>62184.149999999994</v>
      </c>
      <c r="M172" s="163">
        <v>12403.88</v>
      </c>
      <c r="O172" s="163">
        <v>64748.84</v>
      </c>
      <c r="P172" s="163">
        <v>207046.13</v>
      </c>
      <c r="Q172" s="163">
        <v>781.92</v>
      </c>
      <c r="R172" s="163">
        <v>73134.12</v>
      </c>
      <c r="S172" s="163"/>
      <c r="T172" s="164">
        <v>250518</v>
      </c>
      <c r="U172" s="164">
        <v>0</v>
      </c>
      <c r="V172" s="164">
        <v>71964</v>
      </c>
    </row>
    <row r="173" spans="2:22">
      <c r="B173" s="161" t="s">
        <v>749</v>
      </c>
      <c r="C173" s="161" t="s">
        <v>1369</v>
      </c>
      <c r="D173" s="164">
        <v>201368.69</v>
      </c>
      <c r="E173" s="164">
        <v>0</v>
      </c>
      <c r="F173" s="164">
        <v>20472.419999999998</v>
      </c>
      <c r="G173" s="163">
        <v>97027.330000000016</v>
      </c>
      <c r="I173" s="163">
        <v>46011.22</v>
      </c>
      <c r="J173" s="163">
        <v>12019.71</v>
      </c>
      <c r="L173" s="163">
        <v>69084.73000000001</v>
      </c>
      <c r="M173" s="163">
        <v>83182.97</v>
      </c>
      <c r="O173" s="163">
        <v>77717.45</v>
      </c>
      <c r="P173" s="163">
        <v>86613.119999999995</v>
      </c>
      <c r="R173" s="163">
        <v>81960.039999999994</v>
      </c>
      <c r="S173" s="163"/>
      <c r="T173" s="164">
        <v>82215</v>
      </c>
      <c r="U173" s="164">
        <v>0</v>
      </c>
      <c r="V173" s="164">
        <v>91243</v>
      </c>
    </row>
    <row r="174" spans="2:22">
      <c r="B174" s="161" t="s">
        <v>321</v>
      </c>
      <c r="C174" s="161" t="s">
        <v>1370</v>
      </c>
      <c r="D174" s="164">
        <v>50875.729999999996</v>
      </c>
      <c r="E174" s="164">
        <v>0</v>
      </c>
      <c r="F174" s="164">
        <v>0</v>
      </c>
      <c r="G174" s="163">
        <v>39901.939999999995</v>
      </c>
      <c r="J174" s="163">
        <v>5177.0600000000004</v>
      </c>
      <c r="M174" s="163">
        <v>14028.49</v>
      </c>
      <c r="O174" s="163">
        <v>20605.490000000002</v>
      </c>
      <c r="P174" s="163">
        <v>14109.22</v>
      </c>
      <c r="Q174" s="163">
        <v>11688.96</v>
      </c>
      <c r="R174" s="163">
        <v>48031.85</v>
      </c>
      <c r="S174" s="163"/>
      <c r="T174" s="164">
        <v>2698</v>
      </c>
      <c r="U174" s="164">
        <v>10000</v>
      </c>
      <c r="V174" s="164">
        <v>41883</v>
      </c>
    </row>
    <row r="175" spans="2:22">
      <c r="B175" s="161" t="s">
        <v>538</v>
      </c>
      <c r="C175" s="161" t="s">
        <v>1371</v>
      </c>
      <c r="D175" s="164">
        <v>13318.69</v>
      </c>
      <c r="E175" s="164">
        <v>0</v>
      </c>
      <c r="F175" s="164">
        <v>1834.29</v>
      </c>
      <c r="G175" s="163">
        <v>14959.82</v>
      </c>
      <c r="I175" s="163">
        <v>4841.55</v>
      </c>
      <c r="J175" s="163">
        <v>10150.370000000001</v>
      </c>
      <c r="L175" s="163">
        <v>7310.48</v>
      </c>
      <c r="M175" s="163">
        <v>8992.68</v>
      </c>
      <c r="O175" s="163">
        <v>4513.83</v>
      </c>
      <c r="P175" s="163">
        <v>33807.219999999994</v>
      </c>
      <c r="Q175" s="163">
        <v>5252.33</v>
      </c>
      <c r="T175" s="164">
        <v>13178</v>
      </c>
      <c r="U175" s="164">
        <v>2000</v>
      </c>
      <c r="V175" s="164">
        <v>0</v>
      </c>
    </row>
    <row r="176" spans="2:22">
      <c r="B176" s="161" t="s">
        <v>404</v>
      </c>
      <c r="C176" s="161" t="s">
        <v>1372</v>
      </c>
      <c r="D176" s="164">
        <v>6749.72</v>
      </c>
      <c r="E176" s="164">
        <v>0</v>
      </c>
      <c r="F176" s="164">
        <v>0</v>
      </c>
      <c r="G176" s="163">
        <v>20282.72</v>
      </c>
      <c r="J176" s="163">
        <v>3008.09</v>
      </c>
      <c r="L176" s="163">
        <v>4511.93</v>
      </c>
      <c r="M176" s="163">
        <v>5576.38</v>
      </c>
      <c r="N176" s="163">
        <v>420.55</v>
      </c>
      <c r="P176" s="163">
        <v>11548.7</v>
      </c>
      <c r="Q176" s="163">
        <v>235.81</v>
      </c>
      <c r="T176" s="164">
        <v>8002</v>
      </c>
      <c r="U176" s="164">
        <v>500</v>
      </c>
      <c r="V176" s="164">
        <v>0</v>
      </c>
    </row>
    <row r="177" spans="2:22">
      <c r="B177" s="161" t="s">
        <v>610</v>
      </c>
      <c r="C177" s="161" t="s">
        <v>1373</v>
      </c>
      <c r="D177" s="164">
        <v>137199.98000000001</v>
      </c>
      <c r="E177" s="164">
        <v>0</v>
      </c>
      <c r="F177" s="164">
        <v>0</v>
      </c>
      <c r="G177" s="163">
        <v>134521.79999999999</v>
      </c>
      <c r="J177" s="163">
        <v>162445.03999999998</v>
      </c>
      <c r="M177" s="163">
        <v>83463.429999999993</v>
      </c>
      <c r="O177" s="163">
        <v>81950.16</v>
      </c>
      <c r="P177" s="163">
        <v>78036.98000000001</v>
      </c>
      <c r="R177" s="163">
        <v>93526</v>
      </c>
      <c r="S177" s="163"/>
      <c r="T177" s="164">
        <v>132497</v>
      </c>
      <c r="U177" s="164">
        <v>0</v>
      </c>
      <c r="V177" s="164">
        <v>0</v>
      </c>
    </row>
    <row r="178" spans="2:22">
      <c r="B178" s="161" t="s">
        <v>458</v>
      </c>
      <c r="C178" s="161" t="s">
        <v>1374</v>
      </c>
      <c r="D178" s="164">
        <v>85111.099999999991</v>
      </c>
      <c r="E178" s="164">
        <v>0</v>
      </c>
      <c r="F178" s="164">
        <v>75251.760000000009</v>
      </c>
      <c r="G178" s="163">
        <v>84300.939999999988</v>
      </c>
      <c r="H178" s="163">
        <v>1483.36</v>
      </c>
      <c r="I178" s="163">
        <v>280520.67</v>
      </c>
      <c r="J178" s="163">
        <v>194503.5</v>
      </c>
      <c r="L178" s="163">
        <v>317039.72000000003</v>
      </c>
      <c r="M178" s="163">
        <v>193203.48</v>
      </c>
      <c r="O178" s="163">
        <v>314008.90999999997</v>
      </c>
      <c r="P178" s="163">
        <v>156202.96</v>
      </c>
      <c r="R178" s="163">
        <v>311532.02999999997</v>
      </c>
      <c r="S178" s="163"/>
      <c r="T178" s="164">
        <v>85550</v>
      </c>
      <c r="U178" s="164">
        <v>0</v>
      </c>
      <c r="V178" s="164">
        <v>300000</v>
      </c>
    </row>
    <row r="179" spans="2:22">
      <c r="B179" s="161" t="s">
        <v>546</v>
      </c>
      <c r="C179" s="161" t="s">
        <v>1375</v>
      </c>
      <c r="D179" s="164">
        <v>154897.09</v>
      </c>
      <c r="E179" s="164">
        <v>149</v>
      </c>
      <c r="F179" s="164">
        <v>52324.86</v>
      </c>
      <c r="G179" s="163">
        <v>56433.39</v>
      </c>
      <c r="I179" s="163">
        <v>118825.05</v>
      </c>
      <c r="J179" s="163">
        <v>36006.28</v>
      </c>
      <c r="K179" s="163">
        <v>457.7</v>
      </c>
      <c r="L179" s="163">
        <v>174431.41</v>
      </c>
      <c r="M179" s="163">
        <v>85936.540000000008</v>
      </c>
      <c r="O179" s="163">
        <v>152662.15</v>
      </c>
      <c r="P179" s="163">
        <v>213359.38999999998</v>
      </c>
      <c r="Q179" s="163">
        <v>8.01</v>
      </c>
      <c r="R179" s="163">
        <v>179868.99</v>
      </c>
      <c r="S179" s="163"/>
      <c r="T179" s="164">
        <v>153752</v>
      </c>
      <c r="U179" s="164">
        <v>0</v>
      </c>
      <c r="V179" s="164">
        <v>210225</v>
      </c>
    </row>
    <row r="180" spans="2:22">
      <c r="B180" s="161" t="s">
        <v>612</v>
      </c>
      <c r="C180" s="161" t="s">
        <v>1376</v>
      </c>
      <c r="D180" s="164">
        <v>135485.91</v>
      </c>
      <c r="E180" s="164">
        <v>0</v>
      </c>
      <c r="F180" s="164">
        <v>53472.66</v>
      </c>
      <c r="G180" s="163">
        <v>30022.95</v>
      </c>
      <c r="I180" s="163">
        <v>184136.11</v>
      </c>
      <c r="J180" s="163">
        <v>170745.03</v>
      </c>
      <c r="L180" s="163">
        <v>303791.70999999996</v>
      </c>
      <c r="M180" s="163">
        <v>79285.34</v>
      </c>
      <c r="O180" s="163">
        <v>306162.78000000003</v>
      </c>
      <c r="P180" s="163">
        <v>3784.74</v>
      </c>
      <c r="R180" s="163">
        <v>244412.33000000002</v>
      </c>
      <c r="S180" s="163"/>
      <c r="T180" s="164">
        <v>0</v>
      </c>
      <c r="U180" s="164">
        <v>0</v>
      </c>
      <c r="V180" s="164">
        <v>347143</v>
      </c>
    </row>
    <row r="181" spans="2:22">
      <c r="B181" s="161" t="s">
        <v>309</v>
      </c>
      <c r="C181" s="161" t="s">
        <v>1377</v>
      </c>
      <c r="D181" s="164">
        <v>266997.47000000003</v>
      </c>
      <c r="E181" s="164">
        <v>26098.41</v>
      </c>
      <c r="F181" s="164">
        <v>0</v>
      </c>
      <c r="G181" s="163">
        <v>357965.87</v>
      </c>
      <c r="H181" s="163">
        <v>9354.4</v>
      </c>
      <c r="J181" s="163">
        <v>107739.84999999999</v>
      </c>
      <c r="K181" s="163">
        <v>38251.82</v>
      </c>
      <c r="L181" s="163">
        <v>271725.96999999997</v>
      </c>
      <c r="M181" s="163">
        <v>236105.01</v>
      </c>
      <c r="N181" s="163">
        <v>44914.04</v>
      </c>
      <c r="O181" s="163">
        <v>271776.46999999997</v>
      </c>
      <c r="P181" s="163">
        <v>601699.81000000006</v>
      </c>
      <c r="Q181" s="163">
        <v>29819.420000000002</v>
      </c>
      <c r="R181" s="163">
        <v>573781.19999999995</v>
      </c>
      <c r="S181" s="163"/>
      <c r="T181" s="164">
        <v>88459</v>
      </c>
      <c r="U181" s="164">
        <v>21958</v>
      </c>
      <c r="V181" s="164">
        <v>330960</v>
      </c>
    </row>
    <row r="182" spans="2:22">
      <c r="B182" s="161" t="s">
        <v>323</v>
      </c>
      <c r="C182" s="161" t="s">
        <v>1378</v>
      </c>
      <c r="D182" s="164">
        <v>10721.970000000001</v>
      </c>
      <c r="E182" s="164">
        <v>2357.1799999999998</v>
      </c>
      <c r="F182" s="164">
        <v>20466.649999999998</v>
      </c>
      <c r="G182" s="163">
        <v>9237.9600000000009</v>
      </c>
      <c r="H182" s="163">
        <v>2622.02</v>
      </c>
      <c r="I182" s="163">
        <v>45092.53</v>
      </c>
      <c r="J182" s="163">
        <v>3323.15</v>
      </c>
      <c r="K182" s="163">
        <v>2778.81</v>
      </c>
      <c r="L182" s="163">
        <v>78942.010000000009</v>
      </c>
      <c r="M182" s="163">
        <v>23146.36</v>
      </c>
      <c r="O182" s="163">
        <v>79976.05</v>
      </c>
      <c r="P182" s="163">
        <v>17904.260000000002</v>
      </c>
      <c r="R182" s="163">
        <v>83695</v>
      </c>
      <c r="S182" s="163"/>
      <c r="T182" s="164">
        <v>3150</v>
      </c>
      <c r="U182" s="164">
        <v>0</v>
      </c>
      <c r="V182" s="164">
        <v>0</v>
      </c>
    </row>
    <row r="183" spans="2:22">
      <c r="B183" s="161" t="s">
        <v>578</v>
      </c>
      <c r="C183" s="161" t="s">
        <v>1379</v>
      </c>
      <c r="D183" s="164">
        <v>16199.489999999998</v>
      </c>
      <c r="E183" s="164">
        <v>2012.54</v>
      </c>
      <c r="F183" s="164">
        <v>54067.76</v>
      </c>
      <c r="G183" s="163">
        <v>12656.429999999998</v>
      </c>
      <c r="H183" s="163">
        <v>71.290000000000006</v>
      </c>
      <c r="I183" s="163">
        <v>128893.81</v>
      </c>
      <c r="J183" s="163">
        <v>2313.4299999999998</v>
      </c>
      <c r="K183" s="163">
        <v>16403.559999999998</v>
      </c>
      <c r="L183" s="163">
        <v>222427.2</v>
      </c>
      <c r="M183" s="163">
        <v>27185.99</v>
      </c>
      <c r="N183" s="163">
        <v>7022.99</v>
      </c>
      <c r="O183" s="163">
        <v>208339.25</v>
      </c>
      <c r="P183" s="163">
        <v>65613.08</v>
      </c>
      <c r="Q183" s="163">
        <v>3349.11</v>
      </c>
      <c r="R183" s="163">
        <v>210654.32</v>
      </c>
      <c r="S183" s="163"/>
      <c r="T183" s="164">
        <v>35257</v>
      </c>
      <c r="U183" s="164">
        <v>2855</v>
      </c>
      <c r="V183" s="164">
        <v>271221</v>
      </c>
    </row>
    <row r="184" spans="2:22">
      <c r="B184" s="161" t="s">
        <v>512</v>
      </c>
      <c r="C184" s="161" t="s">
        <v>1380</v>
      </c>
      <c r="D184" s="164">
        <v>1770.4</v>
      </c>
      <c r="E184" s="164">
        <v>0</v>
      </c>
      <c r="F184" s="164">
        <v>132.89000000000001</v>
      </c>
      <c r="G184" s="163">
        <v>633.32000000000005</v>
      </c>
      <c r="H184" s="163">
        <v>827.82</v>
      </c>
      <c r="I184" s="163">
        <v>422.14</v>
      </c>
      <c r="L184" s="163">
        <v>516.91</v>
      </c>
      <c r="M184" s="163">
        <v>79.959999999999994</v>
      </c>
      <c r="O184" s="163">
        <v>514.47</v>
      </c>
      <c r="Q184" s="163">
        <v>135.94</v>
      </c>
      <c r="R184" s="163">
        <v>641.22</v>
      </c>
      <c r="S184" s="163"/>
      <c r="T184" s="164">
        <v>300</v>
      </c>
      <c r="U184" s="164">
        <v>200</v>
      </c>
      <c r="V184" s="164">
        <v>379</v>
      </c>
    </row>
    <row r="185" spans="2:22">
      <c r="B185" s="161" t="s">
        <v>594</v>
      </c>
      <c r="C185" s="161" t="s">
        <v>1381</v>
      </c>
      <c r="D185" s="164">
        <v>84698.540000000008</v>
      </c>
      <c r="E185" s="164">
        <v>34876.71</v>
      </c>
      <c r="F185" s="164">
        <v>27306.519999999997</v>
      </c>
      <c r="G185" s="163">
        <v>38070.199999999997</v>
      </c>
      <c r="H185" s="163">
        <v>19597.71</v>
      </c>
      <c r="I185" s="163">
        <v>60720.329999999994</v>
      </c>
      <c r="J185" s="163">
        <v>43728.32</v>
      </c>
      <c r="K185" s="163">
        <v>1566.33</v>
      </c>
      <c r="L185" s="163">
        <v>69276.77</v>
      </c>
      <c r="M185" s="163">
        <v>64538.67</v>
      </c>
      <c r="N185" s="163">
        <v>19951.84</v>
      </c>
      <c r="O185" s="163">
        <v>83806.69</v>
      </c>
      <c r="P185" s="163">
        <v>76734.69</v>
      </c>
      <c r="Q185" s="163">
        <v>2893.0699999999997</v>
      </c>
      <c r="R185" s="163">
        <v>78360.94</v>
      </c>
      <c r="S185" s="163"/>
      <c r="T185" s="164">
        <v>53151</v>
      </c>
      <c r="U185" s="164">
        <v>210</v>
      </c>
      <c r="V185" s="164">
        <v>82592</v>
      </c>
    </row>
    <row r="186" spans="2:22">
      <c r="B186" s="161" t="s">
        <v>767</v>
      </c>
      <c r="C186" s="161" t="s">
        <v>1382</v>
      </c>
      <c r="D186" s="164">
        <v>70111.7</v>
      </c>
      <c r="E186" s="164">
        <v>55775.729999999996</v>
      </c>
      <c r="F186" s="164">
        <v>45800.68</v>
      </c>
      <c r="G186" s="163">
        <v>46666.95</v>
      </c>
      <c r="H186" s="163">
        <v>49717.770000000004</v>
      </c>
      <c r="I186" s="163">
        <v>86709.709999999992</v>
      </c>
      <c r="J186" s="163">
        <v>18275.030000000002</v>
      </c>
      <c r="K186" s="163">
        <v>30961.33</v>
      </c>
      <c r="L186" s="163">
        <v>136552.31</v>
      </c>
      <c r="M186" s="163">
        <v>30870.76</v>
      </c>
      <c r="N186" s="163">
        <v>17388.22</v>
      </c>
      <c r="O186" s="163">
        <v>148284.04999999999</v>
      </c>
      <c r="P186" s="163">
        <v>11772.9</v>
      </c>
      <c r="Q186" s="163">
        <v>7633.85</v>
      </c>
      <c r="R186" s="163">
        <v>147219.21</v>
      </c>
      <c r="S186" s="163"/>
      <c r="T186" s="164">
        <v>29440</v>
      </c>
      <c r="U186" s="164">
        <v>20000</v>
      </c>
      <c r="V186" s="164">
        <v>164320</v>
      </c>
    </row>
    <row r="187" spans="2:22">
      <c r="B187" s="161" t="s">
        <v>550</v>
      </c>
      <c r="C187" s="161" t="s">
        <v>1383</v>
      </c>
      <c r="D187" s="164">
        <v>498</v>
      </c>
      <c r="E187" s="164">
        <v>0</v>
      </c>
      <c r="F187" s="164">
        <v>8721.83</v>
      </c>
      <c r="G187" s="163">
        <v>765.99</v>
      </c>
      <c r="H187" s="163">
        <v>327.88</v>
      </c>
      <c r="I187" s="163">
        <v>10301.829999999998</v>
      </c>
      <c r="K187" s="163">
        <v>1065.8699999999999</v>
      </c>
      <c r="L187" s="163">
        <v>11906.88</v>
      </c>
      <c r="M187" s="163">
        <v>129227.77</v>
      </c>
      <c r="N187" s="163">
        <v>865.05</v>
      </c>
      <c r="O187" s="163">
        <v>25602.16</v>
      </c>
      <c r="P187" s="163">
        <v>145917.42000000001</v>
      </c>
      <c r="Q187" s="163">
        <v>868.41</v>
      </c>
      <c r="R187" s="163">
        <v>28128.44</v>
      </c>
      <c r="S187" s="163"/>
      <c r="T187" s="164">
        <v>191282</v>
      </c>
      <c r="U187" s="164">
        <v>1000</v>
      </c>
      <c r="V187" s="164">
        <v>37248</v>
      </c>
    </row>
    <row r="188" spans="2:22">
      <c r="B188" s="161" t="s">
        <v>801</v>
      </c>
      <c r="C188" s="161" t="s">
        <v>1384</v>
      </c>
      <c r="D188" s="162">
        <v>0</v>
      </c>
      <c r="E188" s="162">
        <v>0</v>
      </c>
      <c r="F188" s="162">
        <v>0</v>
      </c>
      <c r="J188" s="163">
        <v>726</v>
      </c>
      <c r="L188" s="163">
        <v>22748</v>
      </c>
      <c r="M188" s="163">
        <v>178</v>
      </c>
      <c r="O188" s="163">
        <v>22651.030000000002</v>
      </c>
      <c r="R188" s="163">
        <v>24902.97</v>
      </c>
      <c r="S188" s="163"/>
      <c r="T188" s="164">
        <v>0</v>
      </c>
      <c r="U188" s="164">
        <v>0</v>
      </c>
      <c r="V188" s="164">
        <v>0</v>
      </c>
    </row>
    <row r="189" spans="2:22">
      <c r="B189" s="161" t="s">
        <v>422</v>
      </c>
      <c r="C189" s="161" t="s">
        <v>1385</v>
      </c>
      <c r="D189" s="164">
        <v>2992.6499999999996</v>
      </c>
      <c r="E189" s="164">
        <v>0</v>
      </c>
      <c r="F189" s="164">
        <v>955.5</v>
      </c>
      <c r="G189" s="163">
        <v>5565.3</v>
      </c>
      <c r="I189" s="163">
        <v>1921.63</v>
      </c>
      <c r="J189" s="163">
        <v>4986.67</v>
      </c>
      <c r="L189" s="163">
        <v>3028.46</v>
      </c>
      <c r="M189" s="163">
        <v>4981.75</v>
      </c>
      <c r="O189" s="163">
        <v>2305.08</v>
      </c>
      <c r="P189" s="163">
        <v>16636.150000000001</v>
      </c>
      <c r="Q189" s="163">
        <v>13023.57</v>
      </c>
      <c r="T189" s="164">
        <v>4752</v>
      </c>
      <c r="U189" s="164">
        <v>0</v>
      </c>
      <c r="V189" s="164">
        <v>0</v>
      </c>
    </row>
    <row r="190" spans="2:22">
      <c r="B190" s="161" t="s">
        <v>488</v>
      </c>
      <c r="C190" s="161" t="s">
        <v>1386</v>
      </c>
      <c r="D190" s="164">
        <v>27913.060000000005</v>
      </c>
      <c r="E190" s="164">
        <v>600</v>
      </c>
      <c r="F190" s="164">
        <v>0</v>
      </c>
      <c r="G190" s="163">
        <v>1921.48</v>
      </c>
      <c r="H190" s="163">
        <v>1018.22</v>
      </c>
      <c r="J190" s="163">
        <v>2343.0099999999998</v>
      </c>
      <c r="K190" s="163">
        <v>1700</v>
      </c>
      <c r="L190" s="163">
        <v>38286.15</v>
      </c>
      <c r="M190" s="163">
        <v>521.41999999999996</v>
      </c>
      <c r="P190" s="163">
        <v>5295.7300000000005</v>
      </c>
      <c r="R190" s="163">
        <v>44329.240000000005</v>
      </c>
      <c r="S190" s="163"/>
      <c r="T190" s="164">
        <v>3000</v>
      </c>
      <c r="U190" s="164">
        <v>0</v>
      </c>
      <c r="V190" s="164">
        <v>0</v>
      </c>
    </row>
    <row r="191" spans="2:22">
      <c r="B191" s="161" t="s">
        <v>787</v>
      </c>
      <c r="C191" s="161" t="s">
        <v>1387</v>
      </c>
      <c r="D191" s="164">
        <v>22576.71</v>
      </c>
      <c r="E191" s="164">
        <v>12007.13</v>
      </c>
      <c r="F191" s="164">
        <v>21903.39</v>
      </c>
      <c r="G191" s="163">
        <v>9627.7099999999991</v>
      </c>
      <c r="H191" s="163">
        <v>8982.4500000000007</v>
      </c>
      <c r="I191" s="163">
        <v>49816.77</v>
      </c>
      <c r="J191" s="163">
        <v>12350.210000000001</v>
      </c>
      <c r="K191" s="163">
        <v>14733.18</v>
      </c>
      <c r="L191" s="163">
        <v>62379.74</v>
      </c>
      <c r="M191" s="163">
        <v>44125.82</v>
      </c>
      <c r="N191" s="163">
        <v>9905.65</v>
      </c>
      <c r="O191" s="163">
        <v>63169.770000000004</v>
      </c>
      <c r="P191" s="163">
        <v>54614.239999999998</v>
      </c>
      <c r="Q191" s="163">
        <v>7333.2</v>
      </c>
      <c r="R191" s="163">
        <v>75071.429999999993</v>
      </c>
      <c r="S191" s="163"/>
      <c r="T191" s="164">
        <v>44907</v>
      </c>
      <c r="U191" s="164">
        <v>8500</v>
      </c>
      <c r="V191" s="164">
        <v>0</v>
      </c>
    </row>
    <row r="192" spans="2:22">
      <c r="B192" s="161" t="s">
        <v>781</v>
      </c>
      <c r="C192" s="161" t="s">
        <v>1388</v>
      </c>
      <c r="D192" s="164">
        <v>550094.55999999994</v>
      </c>
      <c r="E192" s="164">
        <v>11820.009999999998</v>
      </c>
      <c r="F192" s="164">
        <v>138320.15</v>
      </c>
      <c r="G192" s="163">
        <v>808621.56999999983</v>
      </c>
      <c r="H192" s="163">
        <v>26334.58</v>
      </c>
      <c r="I192" s="163">
        <v>300965.89</v>
      </c>
      <c r="J192" s="163">
        <v>320983.75</v>
      </c>
      <c r="K192" s="163">
        <v>240511.57</v>
      </c>
      <c r="L192" s="163">
        <v>575278.4</v>
      </c>
      <c r="M192" s="163">
        <v>713088.60000000009</v>
      </c>
      <c r="N192" s="163">
        <v>248299.36</v>
      </c>
      <c r="O192" s="163">
        <v>329547.36000000004</v>
      </c>
      <c r="P192" s="163">
        <v>806551.05</v>
      </c>
      <c r="Q192" s="163">
        <v>245183.30000000002</v>
      </c>
      <c r="R192" s="163">
        <v>358296.36</v>
      </c>
      <c r="S192" s="163"/>
      <c r="T192" s="164">
        <v>1364289</v>
      </c>
      <c r="U192" s="164">
        <v>132660</v>
      </c>
      <c r="V192" s="164">
        <v>320157</v>
      </c>
    </row>
    <row r="193" spans="2:22">
      <c r="B193" s="161" t="s">
        <v>665</v>
      </c>
      <c r="C193" s="161" t="s">
        <v>1389</v>
      </c>
      <c r="D193" s="164">
        <v>0</v>
      </c>
      <c r="E193" s="164">
        <v>0</v>
      </c>
      <c r="F193" s="164">
        <v>0</v>
      </c>
      <c r="G193" s="163">
        <v>130</v>
      </c>
      <c r="L193" s="163">
        <v>43.37</v>
      </c>
      <c r="M193" s="163">
        <v>150</v>
      </c>
      <c r="T193" s="164">
        <v>0</v>
      </c>
      <c r="U193" s="164">
        <v>0</v>
      </c>
      <c r="V193" s="164">
        <v>0</v>
      </c>
    </row>
    <row r="194" spans="2:22">
      <c r="B194" s="161" t="s">
        <v>623</v>
      </c>
      <c r="C194" s="161" t="s">
        <v>1390</v>
      </c>
      <c r="D194" s="164">
        <v>18905.5</v>
      </c>
      <c r="E194" s="164">
        <v>37.840000000000003</v>
      </c>
      <c r="F194" s="164">
        <v>4888.8099999999995</v>
      </c>
      <c r="G194" s="163">
        <v>11039.369999999999</v>
      </c>
      <c r="H194" s="163">
        <v>661.96</v>
      </c>
      <c r="I194" s="163">
        <v>11342.79</v>
      </c>
      <c r="J194" s="163">
        <v>19786.599999999999</v>
      </c>
      <c r="L194" s="163">
        <v>3331.5</v>
      </c>
      <c r="M194" s="163">
        <v>19670.07</v>
      </c>
      <c r="N194" s="163">
        <v>804.67</v>
      </c>
      <c r="O194" s="163">
        <v>16942.5</v>
      </c>
      <c r="P194" s="163">
        <v>16468.669999999998</v>
      </c>
      <c r="Q194" s="163">
        <v>455.71</v>
      </c>
      <c r="R194" s="163">
        <v>15732.15</v>
      </c>
      <c r="S194" s="163"/>
      <c r="T194" s="164">
        <v>48237</v>
      </c>
      <c r="U194" s="164">
        <v>0</v>
      </c>
      <c r="V194" s="164">
        <v>0</v>
      </c>
    </row>
    <row r="195" spans="2:22">
      <c r="B195" s="161" t="s">
        <v>584</v>
      </c>
      <c r="C195" s="161" t="s">
        <v>1391</v>
      </c>
      <c r="D195" s="164">
        <v>10493.58</v>
      </c>
      <c r="E195" s="164">
        <v>0</v>
      </c>
      <c r="F195" s="164">
        <v>4152.0600000000004</v>
      </c>
      <c r="G195" s="163">
        <v>705.53</v>
      </c>
      <c r="I195" s="163">
        <v>675.12</v>
      </c>
      <c r="J195" s="163">
        <v>16675.989999999998</v>
      </c>
      <c r="L195" s="163">
        <v>14882.41</v>
      </c>
      <c r="M195" s="163">
        <v>16165.28</v>
      </c>
      <c r="O195" s="163">
        <v>13929.82</v>
      </c>
      <c r="P195" s="163">
        <v>15291.89</v>
      </c>
      <c r="R195" s="163">
        <v>16846.61</v>
      </c>
      <c r="S195" s="163"/>
      <c r="T195" s="164">
        <v>0</v>
      </c>
      <c r="U195" s="164">
        <v>0</v>
      </c>
      <c r="V195" s="164">
        <v>36928</v>
      </c>
    </row>
    <row r="196" spans="2:22">
      <c r="B196" s="161" t="s">
        <v>582</v>
      </c>
      <c r="C196" s="161" t="s">
        <v>1392</v>
      </c>
      <c r="D196" s="164">
        <v>65452.900000000009</v>
      </c>
      <c r="E196" s="164">
        <v>73958.53</v>
      </c>
      <c r="F196" s="164">
        <v>48803.86</v>
      </c>
      <c r="G196" s="163">
        <v>24074.7</v>
      </c>
      <c r="H196" s="163">
        <v>46395.5</v>
      </c>
      <c r="I196" s="163">
        <v>80460.509999999995</v>
      </c>
      <c r="J196" s="163">
        <v>6908.9699999999993</v>
      </c>
      <c r="K196" s="163">
        <v>80149.509999999995</v>
      </c>
      <c r="L196" s="163">
        <v>126294.26000000001</v>
      </c>
      <c r="M196" s="163">
        <v>20634.87</v>
      </c>
      <c r="N196" s="163">
        <v>72429.87</v>
      </c>
      <c r="O196" s="163">
        <v>104672.26</v>
      </c>
      <c r="P196" s="163">
        <v>27517.32</v>
      </c>
      <c r="Q196" s="163">
        <v>29215.55</v>
      </c>
      <c r="R196" s="163">
        <v>161613.76000000001</v>
      </c>
      <c r="S196" s="163"/>
      <c r="T196" s="164">
        <v>10148</v>
      </c>
      <c r="U196" s="164">
        <v>65250</v>
      </c>
      <c r="V196" s="164">
        <v>209739</v>
      </c>
    </row>
    <row r="197" spans="2:22">
      <c r="B197" s="161" t="s">
        <v>372</v>
      </c>
      <c r="C197" s="161" t="s">
        <v>1393</v>
      </c>
      <c r="D197" s="164">
        <v>31784.560000000001</v>
      </c>
      <c r="E197" s="164">
        <v>0</v>
      </c>
      <c r="F197" s="164">
        <v>60895.67</v>
      </c>
      <c r="G197" s="163">
        <v>14929.04</v>
      </c>
      <c r="I197" s="163">
        <v>147148.93</v>
      </c>
      <c r="J197" s="163">
        <v>58167.22</v>
      </c>
      <c r="L197" s="163">
        <v>166485.89000000001</v>
      </c>
      <c r="M197" s="163">
        <v>40860.380000000005</v>
      </c>
      <c r="O197" s="163">
        <v>172976.12</v>
      </c>
      <c r="P197" s="163">
        <v>40833.74</v>
      </c>
      <c r="R197" s="163">
        <v>196638.91</v>
      </c>
      <c r="S197" s="163"/>
      <c r="T197" s="164">
        <v>32129</v>
      </c>
      <c r="U197" s="164">
        <v>0</v>
      </c>
      <c r="V197" s="164">
        <v>220726</v>
      </c>
    </row>
    <row r="198" spans="2:22">
      <c r="B198" s="161" t="s">
        <v>474</v>
      </c>
      <c r="C198" s="161" t="s">
        <v>1394</v>
      </c>
      <c r="D198" s="164">
        <v>970.22</v>
      </c>
      <c r="E198" s="164">
        <v>0</v>
      </c>
      <c r="F198" s="164">
        <v>0</v>
      </c>
      <c r="G198" s="163">
        <v>265</v>
      </c>
      <c r="H198" s="163">
        <v>198.61</v>
      </c>
      <c r="J198" s="163">
        <v>600</v>
      </c>
      <c r="M198" s="163">
        <v>988</v>
      </c>
      <c r="T198" s="164">
        <v>500</v>
      </c>
      <c r="U198" s="164">
        <v>0</v>
      </c>
      <c r="V198" s="164">
        <v>0</v>
      </c>
    </row>
    <row r="199" spans="2:22">
      <c r="B199" s="161" t="s">
        <v>378</v>
      </c>
      <c r="C199" s="161" t="s">
        <v>1395</v>
      </c>
      <c r="D199" s="164">
        <v>14176.920000000002</v>
      </c>
      <c r="E199" s="164">
        <v>0</v>
      </c>
      <c r="F199" s="164">
        <v>18217.18</v>
      </c>
      <c r="G199" s="163">
        <v>92102.00999999998</v>
      </c>
      <c r="I199" s="163">
        <v>54020.17</v>
      </c>
      <c r="J199" s="163">
        <v>67509.16</v>
      </c>
      <c r="L199" s="163">
        <v>84567.92</v>
      </c>
      <c r="M199" s="163">
        <v>58766.96</v>
      </c>
      <c r="O199" s="163">
        <v>84728.39</v>
      </c>
      <c r="P199" s="163">
        <v>67385.84</v>
      </c>
      <c r="R199" s="163">
        <v>81725.89</v>
      </c>
      <c r="S199" s="163"/>
      <c r="T199" s="164">
        <v>72875</v>
      </c>
      <c r="U199" s="164">
        <v>0</v>
      </c>
      <c r="V199" s="164">
        <v>92378</v>
      </c>
    </row>
    <row r="200" spans="2:22">
      <c r="B200" s="161" t="s">
        <v>434</v>
      </c>
      <c r="C200" s="161" t="s">
        <v>1396</v>
      </c>
      <c r="D200" s="164">
        <v>126810.36000000002</v>
      </c>
      <c r="E200" s="164">
        <v>3654.12</v>
      </c>
      <c r="F200" s="164">
        <v>17722.3</v>
      </c>
      <c r="G200" s="163">
        <v>135076.59</v>
      </c>
      <c r="H200" s="163">
        <v>4092.86</v>
      </c>
      <c r="I200" s="163">
        <v>51850.97</v>
      </c>
      <c r="J200" s="163">
        <v>152863.62999999998</v>
      </c>
      <c r="L200" s="163">
        <v>54215.3</v>
      </c>
      <c r="M200" s="163">
        <v>144838.39000000001</v>
      </c>
      <c r="O200" s="163">
        <v>82580.62</v>
      </c>
      <c r="P200" s="163">
        <v>152175.47</v>
      </c>
      <c r="Q200" s="163">
        <v>7616.32</v>
      </c>
      <c r="R200" s="163">
        <v>86942.3</v>
      </c>
      <c r="S200" s="163"/>
      <c r="T200" s="164">
        <v>156485</v>
      </c>
      <c r="U200" s="164">
        <v>5000</v>
      </c>
      <c r="V200" s="164">
        <v>93632</v>
      </c>
    </row>
    <row r="201" spans="2:22">
      <c r="B201" s="161" t="s">
        <v>554</v>
      </c>
      <c r="C201" s="161" t="s">
        <v>1397</v>
      </c>
      <c r="D201" s="164">
        <v>3156.2799999999997</v>
      </c>
      <c r="E201" s="164">
        <v>470.01</v>
      </c>
      <c r="F201" s="164">
        <v>0</v>
      </c>
      <c r="G201" s="163">
        <v>4093.0099999999998</v>
      </c>
      <c r="H201" s="163">
        <v>248.36</v>
      </c>
      <c r="J201" s="163">
        <v>7019.76</v>
      </c>
      <c r="M201" s="163">
        <v>3224.15</v>
      </c>
      <c r="O201" s="163">
        <v>694.17</v>
      </c>
      <c r="P201" s="163">
        <v>3180.75</v>
      </c>
      <c r="R201" s="163">
        <v>116.21</v>
      </c>
      <c r="S201" s="163"/>
      <c r="T201" s="164">
        <v>5612</v>
      </c>
      <c r="U201" s="164">
        <v>600</v>
      </c>
      <c r="V201" s="164">
        <v>0</v>
      </c>
    </row>
    <row r="202" spans="2:22">
      <c r="B202" s="161" t="s">
        <v>867</v>
      </c>
      <c r="C202" s="161" t="s">
        <v>1398</v>
      </c>
      <c r="D202" s="164">
        <v>87760.04</v>
      </c>
      <c r="E202" s="164">
        <v>224.18</v>
      </c>
      <c r="F202" s="164">
        <v>0</v>
      </c>
      <c r="G202" s="163">
        <v>71990.98</v>
      </c>
      <c r="H202" s="163">
        <v>2140.8200000000002</v>
      </c>
      <c r="J202" s="163">
        <v>45525.05</v>
      </c>
      <c r="K202" s="163">
        <v>2747.9</v>
      </c>
      <c r="N202" s="163">
        <v>1034.3599999999999</v>
      </c>
      <c r="O202" s="163">
        <v>42826.21</v>
      </c>
      <c r="P202" s="163">
        <v>3491.39</v>
      </c>
      <c r="R202" s="163">
        <v>49604.7</v>
      </c>
      <c r="S202" s="163"/>
      <c r="T202" s="164">
        <v>0</v>
      </c>
      <c r="U202" s="164">
        <v>0</v>
      </c>
      <c r="V202" s="164">
        <v>0</v>
      </c>
    </row>
    <row r="203" spans="2:22">
      <c r="B203" s="161" t="s">
        <v>428</v>
      </c>
      <c r="C203" s="161" t="s">
        <v>1399</v>
      </c>
      <c r="D203" s="164">
        <v>18326.329999999998</v>
      </c>
      <c r="E203" s="164">
        <v>0</v>
      </c>
      <c r="F203" s="164">
        <v>0</v>
      </c>
      <c r="G203" s="163">
        <v>34522.529999999992</v>
      </c>
      <c r="L203" s="163">
        <v>36614.230000000003</v>
      </c>
      <c r="M203" s="163">
        <v>36997.240000000005</v>
      </c>
      <c r="P203" s="163">
        <v>46865.11</v>
      </c>
      <c r="R203" s="163">
        <v>2652.11</v>
      </c>
      <c r="S203" s="163"/>
      <c r="T203" s="164">
        <v>43957</v>
      </c>
      <c r="U203" s="164">
        <v>0</v>
      </c>
      <c r="V203" s="164">
        <v>1495</v>
      </c>
    </row>
    <row r="204" spans="2:22">
      <c r="B204" s="161" t="s">
        <v>731</v>
      </c>
      <c r="C204" s="161" t="s">
        <v>1400</v>
      </c>
      <c r="D204" s="162">
        <v>120</v>
      </c>
      <c r="E204" s="162">
        <v>118.86</v>
      </c>
      <c r="F204" s="162">
        <v>0</v>
      </c>
      <c r="H204" s="163">
        <v>193.56</v>
      </c>
      <c r="I204" s="163">
        <v>15615.48</v>
      </c>
      <c r="K204" s="163">
        <v>780.18</v>
      </c>
      <c r="L204" s="163">
        <v>19543.18</v>
      </c>
      <c r="N204" s="163">
        <v>2053.1999999999998</v>
      </c>
      <c r="O204" s="163">
        <v>17240.07</v>
      </c>
      <c r="Q204" s="163">
        <v>106.12</v>
      </c>
      <c r="R204" s="163">
        <v>18412.879999999997</v>
      </c>
      <c r="S204" s="163"/>
      <c r="T204" s="164">
        <v>0</v>
      </c>
      <c r="U204" s="164">
        <v>1403</v>
      </c>
      <c r="V204" s="164">
        <v>24188</v>
      </c>
    </row>
    <row r="205" spans="2:22">
      <c r="B205" s="161" t="s">
        <v>912</v>
      </c>
      <c r="C205" s="161" t="s">
        <v>1401</v>
      </c>
      <c r="D205" s="162">
        <v>0</v>
      </c>
      <c r="E205" s="162">
        <v>0</v>
      </c>
      <c r="F205" s="162">
        <v>0</v>
      </c>
      <c r="H205" s="163">
        <v>1942.62</v>
      </c>
      <c r="K205" s="163">
        <v>17887.060000000001</v>
      </c>
      <c r="N205" s="163">
        <v>298.51</v>
      </c>
      <c r="O205" s="163">
        <v>6366.42</v>
      </c>
      <c r="Q205" s="163">
        <v>1032.23</v>
      </c>
      <c r="R205" s="163">
        <v>7491.1900000000005</v>
      </c>
      <c r="S205" s="163"/>
      <c r="T205" s="164">
        <v>0</v>
      </c>
      <c r="U205" s="164">
        <v>1100</v>
      </c>
      <c r="V205" s="164">
        <v>7869</v>
      </c>
    </row>
    <row r="206" spans="2:22">
      <c r="B206" s="161" t="s">
        <v>1017</v>
      </c>
      <c r="C206" s="161" t="s">
        <v>1402</v>
      </c>
      <c r="D206" s="162">
        <v>0</v>
      </c>
      <c r="E206" s="162">
        <v>0</v>
      </c>
      <c r="F206" s="162">
        <v>0</v>
      </c>
      <c r="L206" s="163">
        <v>1711.2</v>
      </c>
      <c r="M206" s="163">
        <v>9600</v>
      </c>
      <c r="O206" s="163">
        <v>558.69000000000005</v>
      </c>
      <c r="P206" s="163">
        <v>15862.5</v>
      </c>
      <c r="T206" s="164">
        <v>11500</v>
      </c>
      <c r="U206" s="164">
        <v>0</v>
      </c>
      <c r="V206" s="164">
        <v>0</v>
      </c>
    </row>
    <row r="207" spans="2:22">
      <c r="B207" s="161" t="s">
        <v>908</v>
      </c>
      <c r="C207" s="161" t="s">
        <v>1467</v>
      </c>
      <c r="D207" s="164">
        <v>0</v>
      </c>
      <c r="E207" s="164">
        <v>0</v>
      </c>
      <c r="F207" s="164">
        <v>0</v>
      </c>
      <c r="G207" s="163">
        <v>7579.56</v>
      </c>
      <c r="T207" s="164"/>
      <c r="U207" s="164"/>
      <c r="V207" s="164"/>
    </row>
    <row r="208" spans="2:22">
      <c r="B208" s="161" t="s">
        <v>661</v>
      </c>
      <c r="C208" s="161" t="s">
        <v>1403</v>
      </c>
      <c r="D208" s="162">
        <v>0</v>
      </c>
      <c r="E208" s="162">
        <v>0</v>
      </c>
      <c r="F208" s="162">
        <v>0</v>
      </c>
      <c r="H208" s="163">
        <v>46.22</v>
      </c>
      <c r="R208" s="163">
        <v>498.21000000000004</v>
      </c>
      <c r="S208" s="163"/>
      <c r="T208" s="164">
        <v>0</v>
      </c>
      <c r="U208" s="164">
        <v>0</v>
      </c>
      <c r="V208" s="164">
        <v>0</v>
      </c>
    </row>
    <row r="209" spans="2:22">
      <c r="B209" s="161" t="s">
        <v>380</v>
      </c>
      <c r="C209" s="161" t="s">
        <v>1404</v>
      </c>
      <c r="D209" s="164">
        <v>9004.26</v>
      </c>
      <c r="E209" s="164">
        <v>0</v>
      </c>
      <c r="F209" s="164">
        <v>2135.5700000000002</v>
      </c>
      <c r="G209" s="163">
        <v>2178.9300000000003</v>
      </c>
      <c r="I209" s="163">
        <v>5609.5199999999995</v>
      </c>
      <c r="J209" s="163">
        <v>2709.23</v>
      </c>
      <c r="L209" s="163">
        <v>6607.05</v>
      </c>
      <c r="M209" s="163">
        <v>3482.6499999999996</v>
      </c>
      <c r="O209" s="163">
        <v>7466.59</v>
      </c>
      <c r="P209" s="163">
        <v>5503.0599999999995</v>
      </c>
      <c r="R209" s="163">
        <v>8595.35</v>
      </c>
      <c r="S209" s="163"/>
      <c r="T209" s="164">
        <v>3390</v>
      </c>
      <c r="U209" s="164">
        <v>0</v>
      </c>
      <c r="V209" s="164">
        <v>9516</v>
      </c>
    </row>
    <row r="210" spans="2:22">
      <c r="B210" s="161" t="s">
        <v>863</v>
      </c>
      <c r="C210" s="161" t="s">
        <v>1405</v>
      </c>
      <c r="D210" s="164">
        <v>8820.5499999999993</v>
      </c>
      <c r="E210" s="164">
        <v>0</v>
      </c>
      <c r="F210" s="164">
        <v>0</v>
      </c>
      <c r="G210" s="163">
        <v>2184.79</v>
      </c>
      <c r="J210" s="163">
        <v>1612.18</v>
      </c>
      <c r="M210" s="163">
        <v>25897.54</v>
      </c>
      <c r="P210" s="163">
        <v>4544.1099999999997</v>
      </c>
      <c r="T210" s="164">
        <v>0</v>
      </c>
      <c r="U210" s="164">
        <v>0</v>
      </c>
      <c r="V210" s="164">
        <v>0</v>
      </c>
    </row>
    <row r="211" spans="2:22">
      <c r="B211" s="161" t="s">
        <v>839</v>
      </c>
      <c r="C211" s="161" t="s">
        <v>1406</v>
      </c>
      <c r="D211" s="164">
        <v>5952.8099999999995</v>
      </c>
      <c r="E211" s="164">
        <v>17925.330000000002</v>
      </c>
      <c r="F211" s="164">
        <v>3058.48</v>
      </c>
      <c r="G211" s="163">
        <v>9653.34</v>
      </c>
      <c r="H211" s="163">
        <v>5374.27</v>
      </c>
      <c r="I211" s="163">
        <v>5659.37</v>
      </c>
      <c r="J211" s="163">
        <v>5520.07</v>
      </c>
      <c r="K211" s="163">
        <v>10695.78</v>
      </c>
      <c r="L211" s="163">
        <v>7594.8600000000006</v>
      </c>
      <c r="M211" s="163">
        <v>1479.4299999999998</v>
      </c>
      <c r="N211" s="163">
        <v>12275.04</v>
      </c>
      <c r="O211" s="163">
        <v>8071.7900000000009</v>
      </c>
      <c r="P211" s="163">
        <v>6192.11</v>
      </c>
      <c r="Q211" s="163">
        <v>7964.51</v>
      </c>
      <c r="R211" s="163">
        <v>7954.6</v>
      </c>
      <c r="S211" s="163"/>
      <c r="T211" s="164">
        <v>12987</v>
      </c>
      <c r="U211" s="164">
        <v>20210</v>
      </c>
      <c r="V211" s="164">
        <v>9491</v>
      </c>
    </row>
    <row r="212" spans="2:22">
      <c r="B212" s="161" t="s">
        <v>400</v>
      </c>
      <c r="C212" s="161" t="s">
        <v>1407</v>
      </c>
      <c r="D212" s="164">
        <v>1823.76</v>
      </c>
      <c r="E212" s="164">
        <v>4597.3599999999997</v>
      </c>
      <c r="F212" s="164">
        <v>0</v>
      </c>
      <c r="G212" s="163">
        <v>98.16</v>
      </c>
      <c r="I212" s="163">
        <v>14461.75</v>
      </c>
      <c r="L212" s="163">
        <v>17561.29</v>
      </c>
      <c r="M212" s="163">
        <v>6631.9400000000005</v>
      </c>
      <c r="O212" s="163">
        <v>17856.86</v>
      </c>
      <c r="P212" s="163">
        <v>6824.27</v>
      </c>
      <c r="Q212" s="163">
        <v>7590.65</v>
      </c>
      <c r="R212" s="163">
        <v>25356.48</v>
      </c>
      <c r="S212" s="163"/>
      <c r="T212" s="164">
        <v>6000</v>
      </c>
      <c r="U212" s="164">
        <v>0</v>
      </c>
      <c r="V212" s="164">
        <v>27816</v>
      </c>
    </row>
    <row r="213" spans="2:22">
      <c r="B213" s="161" t="s">
        <v>560</v>
      </c>
      <c r="C213" s="161" t="s">
        <v>1408</v>
      </c>
      <c r="D213" s="162">
        <v>0</v>
      </c>
      <c r="E213" s="162">
        <v>0</v>
      </c>
      <c r="F213" s="162">
        <v>0</v>
      </c>
      <c r="M213" s="163">
        <v>20</v>
      </c>
      <c r="N213" s="163">
        <v>1070.6199999999999</v>
      </c>
      <c r="Q213" s="163">
        <v>738.8</v>
      </c>
      <c r="T213" s="164">
        <v>0</v>
      </c>
      <c r="U213" s="164">
        <v>1000</v>
      </c>
      <c r="V213" s="164">
        <v>0</v>
      </c>
    </row>
    <row r="214" spans="2:22">
      <c r="B214" s="161" t="s">
        <v>803</v>
      </c>
      <c r="C214" s="161" t="s">
        <v>1409</v>
      </c>
      <c r="D214" s="164">
        <v>572.27</v>
      </c>
      <c r="E214" s="164">
        <v>0</v>
      </c>
      <c r="F214" s="164">
        <v>0</v>
      </c>
      <c r="G214" s="163">
        <v>364.26</v>
      </c>
      <c r="K214" s="163">
        <v>344.27</v>
      </c>
      <c r="N214" s="163">
        <v>59.94</v>
      </c>
      <c r="P214" s="163">
        <v>2523.48</v>
      </c>
      <c r="Q214" s="163">
        <v>11429.54</v>
      </c>
      <c r="T214" s="164">
        <v>150</v>
      </c>
      <c r="U214" s="164">
        <v>300</v>
      </c>
      <c r="V214" s="164">
        <v>0</v>
      </c>
    </row>
    <row r="215" spans="2:22">
      <c r="B215" s="161" t="s">
        <v>462</v>
      </c>
      <c r="C215" s="161" t="s">
        <v>1468</v>
      </c>
      <c r="D215" s="164">
        <v>0</v>
      </c>
      <c r="E215" s="164">
        <v>0</v>
      </c>
      <c r="F215" s="164">
        <v>0</v>
      </c>
      <c r="G215" s="163">
        <v>130.86000000000001</v>
      </c>
      <c r="T215" s="164"/>
      <c r="U215" s="164"/>
      <c r="V215" s="164"/>
    </row>
    <row r="216" spans="2:22">
      <c r="B216" s="161" t="s">
        <v>396</v>
      </c>
      <c r="C216" s="161" t="s">
        <v>1410</v>
      </c>
      <c r="D216" s="164">
        <v>600</v>
      </c>
      <c r="E216" s="164">
        <v>0</v>
      </c>
      <c r="F216" s="164">
        <v>751.3</v>
      </c>
      <c r="G216" s="163">
        <v>20</v>
      </c>
      <c r="I216" s="163">
        <v>990.16000000000008</v>
      </c>
      <c r="J216" s="163">
        <v>50</v>
      </c>
      <c r="L216" s="163">
        <v>1453.23</v>
      </c>
      <c r="O216" s="163">
        <v>2507.7199999999998</v>
      </c>
      <c r="R216" s="163">
        <v>3014.1800000000003</v>
      </c>
      <c r="S216" s="163"/>
      <c r="T216" s="164">
        <v>0</v>
      </c>
      <c r="U216" s="164">
        <v>0</v>
      </c>
      <c r="V216" s="164">
        <v>0</v>
      </c>
    </row>
    <row r="217" spans="2:22">
      <c r="B217" s="161" t="s">
        <v>576</v>
      </c>
      <c r="C217" s="161" t="s">
        <v>1411</v>
      </c>
      <c r="D217" s="162">
        <v>1215.68</v>
      </c>
      <c r="E217" s="162">
        <v>602.55999999999995</v>
      </c>
      <c r="F217" s="162">
        <v>0</v>
      </c>
      <c r="I217" s="163">
        <v>1937.15</v>
      </c>
      <c r="L217" s="163">
        <v>1250.8899999999999</v>
      </c>
      <c r="M217" s="163">
        <v>50</v>
      </c>
      <c r="O217" s="163">
        <v>2208.88</v>
      </c>
      <c r="P217" s="163">
        <v>195</v>
      </c>
      <c r="R217" s="163">
        <v>1868.92</v>
      </c>
      <c r="S217" s="163"/>
      <c r="T217" s="164">
        <v>45000</v>
      </c>
      <c r="U217" s="164">
        <v>0</v>
      </c>
      <c r="V217" s="164">
        <v>0</v>
      </c>
    </row>
    <row r="218" spans="2:22">
      <c r="B218" s="161" t="s">
        <v>639</v>
      </c>
      <c r="C218" s="161" t="s">
        <v>1412</v>
      </c>
      <c r="D218" s="164">
        <v>0</v>
      </c>
      <c r="E218" s="164">
        <v>0</v>
      </c>
      <c r="F218" s="164">
        <v>0</v>
      </c>
      <c r="G218" s="163">
        <v>8.91</v>
      </c>
      <c r="I218" s="163">
        <v>506.09</v>
      </c>
      <c r="M218" s="163">
        <v>488.21</v>
      </c>
      <c r="N218" s="163">
        <v>13002.22</v>
      </c>
      <c r="P218" s="163">
        <v>700</v>
      </c>
      <c r="R218" s="163">
        <v>410.83</v>
      </c>
      <c r="S218" s="163"/>
      <c r="T218" s="164">
        <v>500</v>
      </c>
      <c r="U218" s="164">
        <v>0</v>
      </c>
      <c r="V218" s="164">
        <v>0</v>
      </c>
    </row>
    <row r="219" spans="2:22">
      <c r="B219" s="161" t="s">
        <v>528</v>
      </c>
      <c r="C219" s="161" t="s">
        <v>1413</v>
      </c>
      <c r="D219" s="164">
        <v>6316.95</v>
      </c>
      <c r="E219" s="164">
        <v>2093.1</v>
      </c>
      <c r="F219" s="164">
        <v>1977.9900000000002</v>
      </c>
      <c r="G219" s="163">
        <v>13018.04</v>
      </c>
      <c r="H219" s="163">
        <v>1459.37</v>
      </c>
      <c r="I219" s="163">
        <v>4876.62</v>
      </c>
      <c r="J219" s="163">
        <v>4088</v>
      </c>
      <c r="K219" s="163">
        <v>6770.1299999999992</v>
      </c>
      <c r="L219" s="163">
        <v>7985.85</v>
      </c>
      <c r="M219" s="163">
        <v>9265.16</v>
      </c>
      <c r="N219" s="163">
        <v>4303.34</v>
      </c>
      <c r="O219" s="163">
        <v>6911.2699999999995</v>
      </c>
      <c r="P219" s="163">
        <v>9187.3100000000013</v>
      </c>
      <c r="Q219" s="163">
        <v>5672.71</v>
      </c>
      <c r="R219" s="163">
        <v>8427.2199999999993</v>
      </c>
      <c r="S219" s="163"/>
      <c r="T219" s="164">
        <v>10970</v>
      </c>
      <c r="U219" s="164">
        <v>9500</v>
      </c>
      <c r="V219" s="164">
        <v>9846</v>
      </c>
    </row>
    <row r="220" spans="2:22">
      <c r="B220" s="161" t="s">
        <v>893</v>
      </c>
      <c r="C220" s="161" t="s">
        <v>1414</v>
      </c>
      <c r="D220" s="164">
        <v>36894.42</v>
      </c>
      <c r="E220" s="164">
        <v>1648.78</v>
      </c>
      <c r="F220" s="164">
        <v>0</v>
      </c>
      <c r="G220" s="163">
        <v>57413.81</v>
      </c>
      <c r="H220" s="163">
        <v>13502.45</v>
      </c>
      <c r="J220" s="163">
        <v>107234.32</v>
      </c>
      <c r="K220" s="163">
        <v>2274.94</v>
      </c>
      <c r="M220" s="163">
        <v>37692.630000000005</v>
      </c>
      <c r="P220" s="163">
        <v>12730.009999999998</v>
      </c>
      <c r="Q220" s="163">
        <v>8691.81</v>
      </c>
      <c r="T220" s="164">
        <v>20500</v>
      </c>
      <c r="U220" s="164">
        <v>42500</v>
      </c>
      <c r="V220" s="164">
        <v>0</v>
      </c>
    </row>
    <row r="221" spans="2:22">
      <c r="B221" s="161" t="s">
        <v>637</v>
      </c>
      <c r="C221" s="161" t="s">
        <v>1415</v>
      </c>
      <c r="D221" s="164">
        <v>595077.32999999996</v>
      </c>
      <c r="E221" s="164">
        <v>30384.3</v>
      </c>
      <c r="F221" s="164">
        <v>84540.69</v>
      </c>
      <c r="G221" s="163">
        <v>529140.21</v>
      </c>
      <c r="H221" s="163">
        <v>23694.52</v>
      </c>
      <c r="I221" s="163">
        <v>185249.46000000002</v>
      </c>
      <c r="J221" s="163">
        <v>488221.80999999994</v>
      </c>
      <c r="K221" s="163">
        <v>10091.01</v>
      </c>
      <c r="L221" s="163">
        <v>334798.94</v>
      </c>
      <c r="M221" s="163">
        <v>535926.30000000005</v>
      </c>
      <c r="N221" s="163">
        <v>18469.25</v>
      </c>
      <c r="O221" s="163">
        <v>346472.61</v>
      </c>
      <c r="P221" s="163">
        <v>562376.92000000004</v>
      </c>
      <c r="Q221" s="163">
        <v>10238.279999999999</v>
      </c>
      <c r="R221" s="163">
        <v>370295.05000000005</v>
      </c>
      <c r="S221" s="163"/>
      <c r="T221" s="164">
        <v>541936</v>
      </c>
      <c r="U221" s="164">
        <v>67300</v>
      </c>
      <c r="V221" s="164">
        <v>385733</v>
      </c>
    </row>
    <row r="222" spans="2:22">
      <c r="B222" s="161" t="s">
        <v>311</v>
      </c>
      <c r="C222" s="161" t="s">
        <v>1416</v>
      </c>
      <c r="D222" s="162">
        <v>0</v>
      </c>
      <c r="E222" s="162">
        <v>0</v>
      </c>
      <c r="F222" s="162">
        <v>0</v>
      </c>
      <c r="J222" s="163">
        <v>12458.73</v>
      </c>
      <c r="L222" s="163">
        <v>23519.03</v>
      </c>
      <c r="M222" s="163">
        <v>2093.5299999999997</v>
      </c>
      <c r="N222" s="163">
        <v>683.76</v>
      </c>
      <c r="P222" s="163">
        <v>721.43</v>
      </c>
      <c r="T222" s="164">
        <v>0</v>
      </c>
      <c r="U222" s="164">
        <v>0</v>
      </c>
      <c r="V222" s="164">
        <v>0</v>
      </c>
    </row>
    <row r="223" spans="2:22">
      <c r="B223" s="161" t="s">
        <v>313</v>
      </c>
      <c r="C223" s="161" t="s">
        <v>1417</v>
      </c>
      <c r="D223" s="164">
        <v>195804.28999999998</v>
      </c>
      <c r="E223" s="164">
        <v>0</v>
      </c>
      <c r="F223" s="164">
        <v>41289.26</v>
      </c>
      <c r="G223" s="163">
        <v>131256.86000000002</v>
      </c>
      <c r="I223" s="163">
        <v>83349.290000000008</v>
      </c>
      <c r="J223" s="163">
        <v>165621.57</v>
      </c>
      <c r="L223" s="163">
        <v>105688.11</v>
      </c>
      <c r="M223" s="163">
        <v>145973.22999999998</v>
      </c>
      <c r="O223" s="163">
        <v>131309.64000000001</v>
      </c>
      <c r="P223" s="163">
        <v>129753.34999999999</v>
      </c>
      <c r="R223" s="163">
        <v>157210.66</v>
      </c>
      <c r="S223" s="163"/>
      <c r="T223" s="164">
        <v>206065</v>
      </c>
      <c r="U223" s="164">
        <v>0</v>
      </c>
      <c r="V223" s="164">
        <v>138442</v>
      </c>
    </row>
    <row r="224" spans="2:22">
      <c r="B224" s="161" t="s">
        <v>715</v>
      </c>
      <c r="C224" s="161" t="s">
        <v>1418</v>
      </c>
      <c r="D224" s="164">
        <v>14467.730000000001</v>
      </c>
      <c r="E224" s="164">
        <v>0</v>
      </c>
      <c r="F224" s="164">
        <v>2368.36</v>
      </c>
      <c r="G224" s="163">
        <v>5155.5</v>
      </c>
      <c r="I224" s="163">
        <v>3266.2200000000003</v>
      </c>
      <c r="J224" s="163">
        <v>1057.96</v>
      </c>
      <c r="K224" s="163">
        <v>2027.17</v>
      </c>
      <c r="L224" s="163">
        <v>7370.86</v>
      </c>
      <c r="M224" s="163">
        <v>1703.3700000000001</v>
      </c>
      <c r="O224" s="163">
        <v>7828.33</v>
      </c>
      <c r="P224" s="163">
        <v>405.22</v>
      </c>
      <c r="Q224" s="163">
        <v>379.44</v>
      </c>
      <c r="R224" s="163">
        <v>10010.290000000001</v>
      </c>
      <c r="S224" s="163"/>
      <c r="T224" s="164">
        <v>1000</v>
      </c>
      <c r="U224" s="164">
        <v>0</v>
      </c>
      <c r="V224" s="164">
        <v>10044</v>
      </c>
    </row>
    <row r="225" spans="2:22">
      <c r="B225" s="161" t="s">
        <v>496</v>
      </c>
      <c r="C225" s="161" t="s">
        <v>1419</v>
      </c>
      <c r="D225" s="162">
        <v>0</v>
      </c>
      <c r="E225" s="162">
        <v>0</v>
      </c>
      <c r="F225" s="162">
        <v>0</v>
      </c>
      <c r="J225" s="163">
        <v>212.61</v>
      </c>
      <c r="P225" s="163">
        <v>339.49</v>
      </c>
      <c r="T225" s="164">
        <v>0</v>
      </c>
      <c r="U225" s="164">
        <v>0</v>
      </c>
      <c r="V225" s="164">
        <v>0</v>
      </c>
    </row>
    <row r="226" spans="2:22">
      <c r="B226" s="161" t="s">
        <v>735</v>
      </c>
      <c r="C226" s="161" t="s">
        <v>1420</v>
      </c>
      <c r="D226" s="164">
        <v>28441.67</v>
      </c>
      <c r="E226" s="164">
        <v>0</v>
      </c>
      <c r="F226" s="164">
        <v>0</v>
      </c>
      <c r="G226" s="163">
        <v>7757.51</v>
      </c>
      <c r="J226" s="163">
        <v>16636.78</v>
      </c>
      <c r="M226" s="163">
        <v>14509.44</v>
      </c>
      <c r="P226" s="163">
        <v>4123.83</v>
      </c>
      <c r="Q226" s="163">
        <v>1105.6600000000001</v>
      </c>
      <c r="T226" s="164">
        <v>3700</v>
      </c>
      <c r="U226" s="164">
        <v>0</v>
      </c>
      <c r="V226" s="164">
        <v>0</v>
      </c>
    </row>
    <row r="227" spans="2:22">
      <c r="B227" s="161" t="s">
        <v>817</v>
      </c>
      <c r="C227" s="161" t="s">
        <v>1421</v>
      </c>
      <c r="D227" s="164">
        <v>13030.55</v>
      </c>
      <c r="E227" s="164">
        <v>19609.75</v>
      </c>
      <c r="F227" s="164">
        <v>0</v>
      </c>
      <c r="G227" s="163">
        <v>2729.74</v>
      </c>
      <c r="H227" s="163">
        <v>6445.18</v>
      </c>
      <c r="I227" s="163">
        <v>16718.760000000002</v>
      </c>
      <c r="J227" s="163">
        <v>1753.21</v>
      </c>
      <c r="K227" s="163">
        <v>16110.449999999999</v>
      </c>
      <c r="L227" s="163">
        <v>17338.21</v>
      </c>
      <c r="M227" s="163">
        <v>5079.67</v>
      </c>
      <c r="N227" s="163">
        <v>17741.39</v>
      </c>
      <c r="O227" s="163">
        <v>18734.969999999998</v>
      </c>
      <c r="P227" s="163">
        <v>6178.74</v>
      </c>
      <c r="Q227" s="163">
        <v>28210.32</v>
      </c>
      <c r="R227" s="163">
        <v>20034.45</v>
      </c>
      <c r="S227" s="163"/>
      <c r="T227" s="164">
        <v>1500</v>
      </c>
      <c r="U227" s="164">
        <v>17250</v>
      </c>
      <c r="V227" s="164">
        <v>22765</v>
      </c>
    </row>
    <row r="228" spans="2:22">
      <c r="B228" s="161" t="s">
        <v>932</v>
      </c>
      <c r="C228" s="161" t="s">
        <v>1469</v>
      </c>
      <c r="D228" s="162">
        <v>0</v>
      </c>
      <c r="E228" s="162">
        <v>0</v>
      </c>
      <c r="F228" s="162">
        <v>0</v>
      </c>
      <c r="H228" s="163">
        <v>553.39</v>
      </c>
      <c r="T228" s="164"/>
      <c r="U228" s="164"/>
      <c r="V228" s="164"/>
    </row>
    <row r="229" spans="2:22">
      <c r="B229" s="161" t="s">
        <v>851</v>
      </c>
      <c r="C229" s="161" t="s">
        <v>1422</v>
      </c>
      <c r="D229" s="164">
        <v>36272.97</v>
      </c>
      <c r="E229" s="164">
        <v>0</v>
      </c>
      <c r="F229" s="164">
        <v>0</v>
      </c>
      <c r="G229" s="163">
        <v>37769.42</v>
      </c>
      <c r="J229" s="163">
        <v>28199.03</v>
      </c>
      <c r="L229" s="163">
        <v>38203.340000000004</v>
      </c>
      <c r="M229" s="163">
        <v>11260.04</v>
      </c>
      <c r="N229" s="163">
        <v>61572.26</v>
      </c>
      <c r="O229" s="163">
        <v>64048.41</v>
      </c>
      <c r="P229" s="163">
        <v>18053.54</v>
      </c>
      <c r="R229" s="163">
        <v>72916.95</v>
      </c>
      <c r="S229" s="163"/>
      <c r="T229" s="164">
        <v>9926</v>
      </c>
      <c r="U229" s="164">
        <v>0</v>
      </c>
      <c r="V229" s="164">
        <v>81843</v>
      </c>
    </row>
    <row r="230" spans="2:22">
      <c r="B230" s="161" t="s">
        <v>392</v>
      </c>
      <c r="C230" s="161" t="s">
        <v>1423</v>
      </c>
      <c r="D230" s="164">
        <v>1069.02</v>
      </c>
      <c r="E230" s="164">
        <v>950.71</v>
      </c>
      <c r="F230" s="164">
        <v>0</v>
      </c>
      <c r="G230" s="163">
        <v>4762.66</v>
      </c>
      <c r="H230" s="163">
        <v>2294.7600000000002</v>
      </c>
      <c r="J230" s="163">
        <v>1503.48</v>
      </c>
      <c r="K230" s="163">
        <v>14538.23</v>
      </c>
      <c r="L230" s="163">
        <v>21264.240000000002</v>
      </c>
      <c r="M230" s="163">
        <v>7258.5199999999995</v>
      </c>
      <c r="N230" s="163">
        <v>4352.8100000000004</v>
      </c>
      <c r="O230" s="163">
        <v>10801.37</v>
      </c>
      <c r="P230" s="163">
        <v>3276.5199999999995</v>
      </c>
      <c r="Q230" s="163">
        <v>1206.04</v>
      </c>
      <c r="R230" s="163">
        <v>18696.330000000002</v>
      </c>
      <c r="S230" s="163"/>
      <c r="T230" s="164">
        <v>0</v>
      </c>
      <c r="U230" s="164">
        <v>500</v>
      </c>
      <c r="V230" s="164">
        <v>17610</v>
      </c>
    </row>
    <row r="231" spans="2:22">
      <c r="B231" s="161" t="s">
        <v>398</v>
      </c>
      <c r="C231" s="161" t="s">
        <v>1424</v>
      </c>
      <c r="D231" s="164">
        <v>3979.9100000000003</v>
      </c>
      <c r="E231" s="164">
        <v>0</v>
      </c>
      <c r="F231" s="164">
        <v>2538.25</v>
      </c>
      <c r="G231" s="163">
        <v>7080.82</v>
      </c>
      <c r="I231" s="163">
        <v>6115.8799999999992</v>
      </c>
      <c r="J231" s="163">
        <v>4921.1200000000008</v>
      </c>
      <c r="L231" s="163">
        <v>8198.9699999999993</v>
      </c>
      <c r="M231" s="163">
        <v>6646.6</v>
      </c>
      <c r="O231" s="163">
        <v>8397.380000000001</v>
      </c>
      <c r="P231" s="163">
        <v>12894.65</v>
      </c>
      <c r="R231" s="163">
        <v>3450.29</v>
      </c>
      <c r="S231" s="163"/>
      <c r="T231" s="164">
        <v>17916</v>
      </c>
      <c r="U231" s="164">
        <v>0</v>
      </c>
      <c r="V231" s="164">
        <v>8021</v>
      </c>
    </row>
    <row r="232" spans="2:22">
      <c r="B232" s="161" t="s">
        <v>849</v>
      </c>
      <c r="C232" s="161" t="s">
        <v>1425</v>
      </c>
      <c r="D232" s="164">
        <v>1127.56</v>
      </c>
      <c r="E232" s="164">
        <v>0</v>
      </c>
      <c r="F232" s="164">
        <v>78.900000000000006</v>
      </c>
      <c r="G232" s="163">
        <v>744.52</v>
      </c>
      <c r="I232" s="163">
        <v>745.69</v>
      </c>
      <c r="J232" s="163">
        <v>899.66</v>
      </c>
      <c r="K232" s="163">
        <v>2895.35</v>
      </c>
      <c r="L232" s="163">
        <v>1657.8899999999999</v>
      </c>
      <c r="M232" s="163">
        <v>1266.27</v>
      </c>
      <c r="O232" s="163">
        <v>1615.13</v>
      </c>
      <c r="P232" s="163">
        <v>206.51999999999998</v>
      </c>
      <c r="T232" s="164">
        <v>550</v>
      </c>
      <c r="U232" s="164">
        <v>0</v>
      </c>
      <c r="V232" s="164">
        <v>1649</v>
      </c>
    </row>
    <row r="233" spans="2:22">
      <c r="B233" s="161" t="s">
        <v>699</v>
      </c>
      <c r="C233" s="161" t="s">
        <v>1426</v>
      </c>
      <c r="D233" s="164">
        <v>2185</v>
      </c>
      <c r="E233" s="164">
        <v>0</v>
      </c>
      <c r="F233" s="164">
        <v>0</v>
      </c>
      <c r="G233" s="163">
        <v>511</v>
      </c>
      <c r="H233" s="163">
        <v>380.87</v>
      </c>
      <c r="J233" s="163">
        <v>179</v>
      </c>
      <c r="K233" s="163">
        <v>165.35</v>
      </c>
      <c r="M233" s="163">
        <v>1646.34</v>
      </c>
      <c r="P233" s="163">
        <v>1752.23</v>
      </c>
      <c r="Q233" s="163">
        <v>206.48</v>
      </c>
      <c r="R233" s="163">
        <v>1711.89</v>
      </c>
      <c r="S233" s="163"/>
      <c r="T233" s="164">
        <v>7104</v>
      </c>
      <c r="U233" s="164">
        <v>0</v>
      </c>
      <c r="V233" s="164">
        <v>1362</v>
      </c>
    </row>
    <row r="234" spans="2:22">
      <c r="B234" s="161" t="s">
        <v>335</v>
      </c>
      <c r="C234" s="161" t="s">
        <v>1427</v>
      </c>
      <c r="D234" s="164">
        <v>336149.16000000003</v>
      </c>
      <c r="E234" s="164">
        <v>0</v>
      </c>
      <c r="F234" s="164">
        <v>67733.38</v>
      </c>
      <c r="G234" s="163">
        <v>250074.78</v>
      </c>
      <c r="I234" s="163">
        <v>152971.13</v>
      </c>
      <c r="J234" s="163">
        <v>215274.94999999998</v>
      </c>
      <c r="L234" s="163">
        <v>147952.54999999999</v>
      </c>
      <c r="M234" s="163">
        <v>218989.47</v>
      </c>
      <c r="O234" s="163">
        <v>184647.72</v>
      </c>
      <c r="P234" s="163">
        <v>140704.65</v>
      </c>
      <c r="R234" s="163">
        <v>144408.07</v>
      </c>
      <c r="S234" s="163"/>
      <c r="T234" s="164">
        <v>322308</v>
      </c>
      <c r="U234" s="164">
        <v>0</v>
      </c>
      <c r="V234" s="164">
        <v>0</v>
      </c>
    </row>
    <row r="235" spans="2:22">
      <c r="B235" s="161" t="s">
        <v>466</v>
      </c>
      <c r="C235" s="161" t="s">
        <v>1428</v>
      </c>
      <c r="D235" s="164">
        <v>20407.11</v>
      </c>
      <c r="E235" s="164">
        <v>1430.84</v>
      </c>
      <c r="F235" s="164">
        <v>0</v>
      </c>
      <c r="G235" s="163">
        <v>19542.23</v>
      </c>
      <c r="H235" s="163">
        <v>6960.27</v>
      </c>
      <c r="J235" s="163">
        <v>8067.87</v>
      </c>
      <c r="K235" s="163">
        <v>6236.73</v>
      </c>
      <c r="L235" s="163">
        <v>83.449999999999989</v>
      </c>
      <c r="M235" s="163">
        <v>14572.19</v>
      </c>
      <c r="N235" s="163">
        <v>7198.95</v>
      </c>
      <c r="O235" s="163">
        <v>37262.71</v>
      </c>
      <c r="P235" s="163">
        <v>63399.460000000006</v>
      </c>
      <c r="Q235" s="163">
        <v>6485.11</v>
      </c>
      <c r="R235" s="163">
        <v>31860.32</v>
      </c>
      <c r="S235" s="163"/>
      <c r="T235" s="164">
        <v>65203</v>
      </c>
      <c r="U235" s="164">
        <v>33000</v>
      </c>
      <c r="V235" s="164">
        <v>60000</v>
      </c>
    </row>
    <row r="236" spans="2:22">
      <c r="B236" s="161" t="s">
        <v>343</v>
      </c>
      <c r="C236" s="161" t="s">
        <v>1429</v>
      </c>
      <c r="D236" s="164">
        <v>102642.81999999999</v>
      </c>
      <c r="E236" s="164">
        <v>0</v>
      </c>
      <c r="F236" s="164">
        <v>14413.05</v>
      </c>
      <c r="G236" s="163">
        <v>101576.39</v>
      </c>
      <c r="I236" s="163">
        <v>10180.530000000001</v>
      </c>
      <c r="J236" s="163">
        <v>9400</v>
      </c>
      <c r="L236" s="163">
        <v>13249.41</v>
      </c>
      <c r="M236" s="163">
        <v>9874.19</v>
      </c>
      <c r="P236" s="163">
        <v>2867.02</v>
      </c>
      <c r="T236" s="164">
        <v>2300</v>
      </c>
      <c r="U236" s="164">
        <v>0</v>
      </c>
      <c r="V236" s="164">
        <v>0</v>
      </c>
    </row>
    <row r="237" spans="2:22">
      <c r="B237" s="161" t="s">
        <v>566</v>
      </c>
      <c r="C237" s="161" t="s">
        <v>1430</v>
      </c>
      <c r="D237" s="164">
        <v>54931.1</v>
      </c>
      <c r="E237" s="164">
        <v>0</v>
      </c>
      <c r="F237" s="164">
        <v>14213.57</v>
      </c>
      <c r="G237" s="163">
        <v>56614.55</v>
      </c>
      <c r="H237" s="163">
        <v>3717.15</v>
      </c>
      <c r="I237" s="163">
        <v>28507.440000000002</v>
      </c>
      <c r="J237" s="163">
        <v>34982.22</v>
      </c>
      <c r="K237" s="163">
        <v>2594.69</v>
      </c>
      <c r="L237" s="163">
        <v>55387.28</v>
      </c>
      <c r="M237" s="163">
        <v>157651.75</v>
      </c>
      <c r="N237" s="163">
        <v>1668.08</v>
      </c>
      <c r="O237" s="163">
        <v>34393</v>
      </c>
      <c r="P237" s="163">
        <v>221381.16</v>
      </c>
      <c r="Q237" s="163">
        <v>4751.6000000000004</v>
      </c>
      <c r="R237" s="163">
        <v>29369</v>
      </c>
      <c r="S237" s="163"/>
      <c r="T237" s="164">
        <v>197582</v>
      </c>
      <c r="U237" s="164">
        <v>0</v>
      </c>
      <c r="V237" s="164">
        <v>0</v>
      </c>
    </row>
    <row r="238" spans="2:22">
      <c r="B238" s="161" t="s">
        <v>588</v>
      </c>
      <c r="C238" s="161" t="s">
        <v>1431</v>
      </c>
      <c r="D238" s="164">
        <v>10043.25</v>
      </c>
      <c r="E238" s="164">
        <v>0</v>
      </c>
      <c r="F238" s="164">
        <v>0</v>
      </c>
      <c r="G238" s="163">
        <v>8904.4700000000012</v>
      </c>
      <c r="I238" s="163">
        <v>11785.85</v>
      </c>
      <c r="J238" s="163">
        <v>645</v>
      </c>
      <c r="L238" s="163">
        <v>29454.959999999999</v>
      </c>
      <c r="M238" s="163">
        <v>2665.74</v>
      </c>
      <c r="O238" s="163">
        <v>30669.279999999999</v>
      </c>
      <c r="P238" s="163">
        <v>7786.7000000000007</v>
      </c>
      <c r="R238" s="163">
        <v>31590.28</v>
      </c>
      <c r="S238" s="163"/>
      <c r="T238" s="164">
        <v>7201</v>
      </c>
      <c r="U238" s="164">
        <v>0</v>
      </c>
      <c r="V238" s="164">
        <v>33804</v>
      </c>
    </row>
    <row r="239" spans="2:22">
      <c r="B239" s="161" t="s">
        <v>625</v>
      </c>
      <c r="C239" s="161" t="s">
        <v>1432</v>
      </c>
      <c r="D239" s="164">
        <v>25342.829999999998</v>
      </c>
      <c r="E239" s="164">
        <v>1158.78</v>
      </c>
      <c r="F239" s="164">
        <v>5829.0400000000009</v>
      </c>
      <c r="G239" s="163">
        <v>31795.95</v>
      </c>
      <c r="I239" s="163">
        <v>16212.630000000001</v>
      </c>
      <c r="J239" s="163">
        <v>26085.439999999999</v>
      </c>
      <c r="K239" s="163">
        <v>2191.2600000000002</v>
      </c>
      <c r="L239" s="163">
        <v>22136.720000000001</v>
      </c>
      <c r="M239" s="163">
        <v>17609.34</v>
      </c>
      <c r="N239" s="163">
        <v>61.85</v>
      </c>
      <c r="O239" s="163">
        <v>28920.04</v>
      </c>
      <c r="P239" s="163">
        <v>19650.96</v>
      </c>
      <c r="R239" s="163">
        <v>29494.980000000003</v>
      </c>
      <c r="S239" s="163"/>
      <c r="T239" s="164">
        <v>32722</v>
      </c>
      <c r="U239" s="164">
        <v>1499</v>
      </c>
      <c r="V239" s="164">
        <v>34254</v>
      </c>
    </row>
    <row r="240" spans="2:22">
      <c r="B240" s="161" t="s">
        <v>606</v>
      </c>
      <c r="C240" s="161" t="s">
        <v>1433</v>
      </c>
      <c r="D240" s="164">
        <v>19663.439999999999</v>
      </c>
      <c r="E240" s="164">
        <v>0</v>
      </c>
      <c r="F240" s="164">
        <v>0</v>
      </c>
      <c r="G240" s="163">
        <v>20194.390000000003</v>
      </c>
      <c r="J240" s="163">
        <v>5113.8599999999997</v>
      </c>
      <c r="M240" s="163">
        <v>19593.849999999999</v>
      </c>
      <c r="P240" s="163">
        <v>38578.11</v>
      </c>
      <c r="T240" s="164">
        <v>0</v>
      </c>
      <c r="U240" s="164">
        <v>0</v>
      </c>
      <c r="V240" s="164">
        <v>0</v>
      </c>
    </row>
    <row r="241" spans="2:22">
      <c r="B241" s="161" t="s">
        <v>1020</v>
      </c>
      <c r="C241" s="161" t="s">
        <v>1434</v>
      </c>
      <c r="D241" s="162">
        <v>0</v>
      </c>
      <c r="E241" s="162">
        <v>0</v>
      </c>
      <c r="F241" s="162">
        <v>0</v>
      </c>
      <c r="O241" s="163">
        <v>504.61</v>
      </c>
      <c r="T241" s="164">
        <v>0</v>
      </c>
      <c r="U241" s="164">
        <v>0</v>
      </c>
      <c r="V241" s="164">
        <v>0</v>
      </c>
    </row>
    <row r="242" spans="2:22">
      <c r="B242" s="161" t="s">
        <v>897</v>
      </c>
      <c r="C242" s="161" t="s">
        <v>1435</v>
      </c>
      <c r="D242" s="162">
        <v>0</v>
      </c>
      <c r="E242" s="162">
        <v>0</v>
      </c>
      <c r="F242" s="162">
        <v>0</v>
      </c>
      <c r="O242" s="163">
        <v>84.41</v>
      </c>
      <c r="T242" s="164">
        <v>0</v>
      </c>
      <c r="U242" s="164">
        <v>0</v>
      </c>
      <c r="V242" s="164">
        <v>0</v>
      </c>
    </row>
    <row r="243" spans="2:22">
      <c r="B243" s="161" t="s">
        <v>540</v>
      </c>
      <c r="C243" s="161" t="s">
        <v>1436</v>
      </c>
      <c r="D243" s="162">
        <v>30</v>
      </c>
      <c r="E243" s="162">
        <v>0</v>
      </c>
      <c r="F243" s="162">
        <v>0</v>
      </c>
      <c r="H243" s="163">
        <v>927.97</v>
      </c>
      <c r="J243" s="163">
        <v>753.24</v>
      </c>
      <c r="N243" s="163">
        <v>200</v>
      </c>
      <c r="Q243" s="163">
        <v>1400</v>
      </c>
      <c r="T243" s="164">
        <v>0</v>
      </c>
      <c r="U243" s="164">
        <v>0</v>
      </c>
      <c r="V243" s="164">
        <v>0</v>
      </c>
    </row>
    <row r="244" spans="2:22">
      <c r="B244" s="161" t="s">
        <v>552</v>
      </c>
      <c r="C244" s="161" t="s">
        <v>1437</v>
      </c>
      <c r="D244" s="162">
        <v>0</v>
      </c>
      <c r="E244" s="162">
        <v>0</v>
      </c>
      <c r="F244" s="162">
        <v>0</v>
      </c>
      <c r="I244" s="163">
        <v>327.02</v>
      </c>
      <c r="J244" s="163">
        <v>125.83</v>
      </c>
      <c r="L244" s="163">
        <v>766.91000000000008</v>
      </c>
      <c r="T244" s="164">
        <v>0</v>
      </c>
      <c r="U244" s="164">
        <v>0</v>
      </c>
      <c r="V244" s="164">
        <v>0</v>
      </c>
    </row>
    <row r="245" spans="2:22">
      <c r="B245" s="161" t="s">
        <v>815</v>
      </c>
      <c r="C245" s="161" t="s">
        <v>1438</v>
      </c>
      <c r="D245" s="164">
        <v>0</v>
      </c>
      <c r="E245" s="164">
        <v>0</v>
      </c>
      <c r="F245" s="164">
        <v>0</v>
      </c>
      <c r="G245" s="163">
        <v>2106.5</v>
      </c>
      <c r="J245" s="163">
        <v>728.64</v>
      </c>
      <c r="L245" s="163">
        <v>2847.83</v>
      </c>
      <c r="M245" s="163">
        <v>1664.18</v>
      </c>
      <c r="R245" s="163">
        <v>1756.4699999999998</v>
      </c>
      <c r="S245" s="163"/>
      <c r="T245" s="164">
        <v>0</v>
      </c>
      <c r="U245" s="164">
        <v>0</v>
      </c>
      <c r="V245" s="164">
        <v>0</v>
      </c>
    </row>
    <row r="246" spans="2:22">
      <c r="B246" s="161" t="s">
        <v>703</v>
      </c>
      <c r="C246" s="161" t="s">
        <v>1439</v>
      </c>
      <c r="D246" s="164">
        <v>40631.78</v>
      </c>
      <c r="E246" s="164">
        <v>56849.57</v>
      </c>
      <c r="F246" s="164">
        <v>0</v>
      </c>
      <c r="G246" s="163">
        <v>38429.699999999997</v>
      </c>
      <c r="H246" s="163">
        <v>35904.339999999997</v>
      </c>
      <c r="I246" s="163">
        <v>13020.3</v>
      </c>
      <c r="J246" s="163">
        <v>41104.9</v>
      </c>
      <c r="K246" s="163">
        <v>18995.77</v>
      </c>
      <c r="L246" s="163">
        <v>32944.800000000003</v>
      </c>
      <c r="M246" s="163">
        <v>57196.670000000006</v>
      </c>
      <c r="N246" s="163">
        <v>30477.230000000003</v>
      </c>
      <c r="O246" s="163">
        <v>20875.61</v>
      </c>
      <c r="P246" s="163">
        <v>57815.43</v>
      </c>
      <c r="Q246" s="163">
        <v>5826.54</v>
      </c>
      <c r="R246" s="163">
        <v>26564.58</v>
      </c>
      <c r="S246" s="163"/>
      <c r="T246" s="164">
        <v>60661</v>
      </c>
      <c r="U246" s="164">
        <v>0</v>
      </c>
      <c r="V246" s="164">
        <v>37904</v>
      </c>
    </row>
    <row r="247" spans="2:22">
      <c r="B247" s="161" t="s">
        <v>390</v>
      </c>
      <c r="C247" s="161" t="s">
        <v>1440</v>
      </c>
      <c r="D247" s="164">
        <v>5048.4699999999993</v>
      </c>
      <c r="E247" s="164">
        <v>0</v>
      </c>
      <c r="F247" s="164">
        <v>0</v>
      </c>
      <c r="G247" s="163">
        <v>5515.54</v>
      </c>
      <c r="J247" s="163">
        <v>1104.83</v>
      </c>
      <c r="K247" s="163">
        <v>2268.0100000000002</v>
      </c>
      <c r="L247" s="163">
        <v>1245.25</v>
      </c>
      <c r="M247" s="163">
        <v>655.56999999999994</v>
      </c>
      <c r="O247" s="163">
        <v>1811.6000000000001</v>
      </c>
      <c r="P247" s="163">
        <v>1643.2</v>
      </c>
      <c r="Q247" s="163">
        <v>2718</v>
      </c>
      <c r="R247" s="163">
        <v>3230.3</v>
      </c>
      <c r="S247" s="163"/>
      <c r="T247" s="164">
        <v>8000</v>
      </c>
      <c r="U247" s="164">
        <v>0</v>
      </c>
      <c r="V247" s="164">
        <v>4328</v>
      </c>
    </row>
    <row r="248" spans="2:22">
      <c r="B248" s="161" t="s">
        <v>679</v>
      </c>
      <c r="C248" s="161" t="s">
        <v>1441</v>
      </c>
      <c r="D248" s="162">
        <v>0</v>
      </c>
      <c r="E248" s="162">
        <v>0</v>
      </c>
      <c r="F248" s="162">
        <v>0</v>
      </c>
      <c r="J248" s="163">
        <v>85</v>
      </c>
      <c r="M248" s="163">
        <v>590</v>
      </c>
      <c r="P248" s="163">
        <v>103</v>
      </c>
      <c r="Q248" s="163">
        <v>1829.99</v>
      </c>
      <c r="T248" s="164">
        <v>200</v>
      </c>
      <c r="U248" s="164">
        <v>0</v>
      </c>
      <c r="V248" s="164">
        <v>0</v>
      </c>
    </row>
    <row r="249" spans="2:22">
      <c r="B249" s="161" t="s">
        <v>476</v>
      </c>
      <c r="C249" s="161" t="s">
        <v>1442</v>
      </c>
      <c r="D249" s="162">
        <v>0</v>
      </c>
      <c r="E249" s="162">
        <v>0</v>
      </c>
      <c r="F249" s="162">
        <v>0</v>
      </c>
      <c r="J249" s="163">
        <v>529</v>
      </c>
      <c r="L249" s="163">
        <v>1428.83</v>
      </c>
      <c r="M249" s="163">
        <v>588</v>
      </c>
      <c r="O249" s="163">
        <v>1264.8399999999999</v>
      </c>
      <c r="P249" s="163">
        <v>1475.4</v>
      </c>
      <c r="T249" s="164">
        <v>0</v>
      </c>
      <c r="U249" s="164">
        <v>0</v>
      </c>
      <c r="V249" s="164">
        <v>0</v>
      </c>
    </row>
    <row r="250" spans="2:22">
      <c r="B250" s="161" t="s">
        <v>1035</v>
      </c>
      <c r="C250" s="161" t="s">
        <v>1443</v>
      </c>
      <c r="O250" s="163">
        <v>923.84</v>
      </c>
      <c r="T250" s="164">
        <v>0</v>
      </c>
      <c r="U250" s="164">
        <v>0</v>
      </c>
      <c r="V250" s="164">
        <v>0</v>
      </c>
    </row>
    <row r="251" spans="2:22">
      <c r="B251" s="161" t="s">
        <v>835</v>
      </c>
      <c r="C251" s="161" t="s">
        <v>1444</v>
      </c>
      <c r="D251" s="164">
        <v>5121.72</v>
      </c>
      <c r="E251" s="164">
        <v>0</v>
      </c>
      <c r="F251" s="164">
        <v>2279.38</v>
      </c>
      <c r="G251" s="163">
        <v>6036.84</v>
      </c>
      <c r="I251" s="163">
        <v>3409.29</v>
      </c>
      <c r="J251" s="163">
        <v>5202.1099999999997</v>
      </c>
      <c r="L251" s="163">
        <v>5992.4800000000005</v>
      </c>
      <c r="M251" s="163">
        <v>8652.89</v>
      </c>
      <c r="O251" s="163">
        <v>7466.96</v>
      </c>
      <c r="P251" s="163">
        <v>6832.0399999999991</v>
      </c>
      <c r="Q251" s="163">
        <v>95.91</v>
      </c>
      <c r="R251" s="163">
        <v>3076.55</v>
      </c>
      <c r="S251" s="163"/>
      <c r="T251" s="164">
        <v>9679</v>
      </c>
      <c r="U251" s="164">
        <v>500</v>
      </c>
      <c r="V251" s="164">
        <v>5516</v>
      </c>
    </row>
    <row r="252" spans="2:22">
      <c r="B252" s="161" t="s">
        <v>614</v>
      </c>
      <c r="C252" s="161" t="s">
        <v>1445</v>
      </c>
      <c r="D252" s="164">
        <v>9899.3499999999985</v>
      </c>
      <c r="E252" s="164">
        <v>0</v>
      </c>
      <c r="F252" s="164">
        <v>3009.19</v>
      </c>
      <c r="G252" s="163">
        <v>4387.92</v>
      </c>
      <c r="H252" s="163">
        <v>12.14</v>
      </c>
      <c r="I252" s="163">
        <v>8540.48</v>
      </c>
      <c r="J252" s="163">
        <v>900.48</v>
      </c>
      <c r="K252" s="163">
        <v>273.45999999999998</v>
      </c>
      <c r="L252" s="163">
        <v>11649.990000000002</v>
      </c>
      <c r="M252" s="163">
        <v>2334.66</v>
      </c>
      <c r="O252" s="163">
        <v>8548.64</v>
      </c>
      <c r="P252" s="163">
        <v>1823</v>
      </c>
      <c r="Q252" s="163">
        <v>104.42</v>
      </c>
      <c r="R252" s="163">
        <v>10165.39</v>
      </c>
      <c r="S252" s="163"/>
      <c r="T252" s="164">
        <v>8829</v>
      </c>
      <c r="U252" s="164">
        <v>0</v>
      </c>
      <c r="V252" s="164">
        <v>16383</v>
      </c>
    </row>
    <row r="253" spans="2:22">
      <c r="B253" s="161" t="s">
        <v>891</v>
      </c>
      <c r="C253" s="161" t="s">
        <v>1446</v>
      </c>
      <c r="D253" s="164">
        <v>246091.14999999997</v>
      </c>
      <c r="E253" s="164">
        <v>80405.25</v>
      </c>
      <c r="F253" s="164">
        <v>0</v>
      </c>
      <c r="G253" s="163">
        <v>283535.79999999993</v>
      </c>
      <c r="H253" s="163">
        <v>44214.95</v>
      </c>
      <c r="I253" s="163">
        <v>131285.51</v>
      </c>
      <c r="J253" s="163">
        <v>255124.78</v>
      </c>
      <c r="K253" s="163">
        <v>45472.060000000005</v>
      </c>
      <c r="L253" s="163">
        <v>188422.11000000002</v>
      </c>
      <c r="M253" s="163">
        <v>248081.2</v>
      </c>
      <c r="N253" s="163">
        <v>37437.51</v>
      </c>
      <c r="O253" s="163">
        <v>157063.6</v>
      </c>
      <c r="P253" s="163">
        <v>261892.42</v>
      </c>
      <c r="Q253" s="163">
        <v>40867.07</v>
      </c>
      <c r="R253" s="163">
        <v>174825.86</v>
      </c>
      <c r="S253" s="163"/>
      <c r="T253" s="164">
        <v>280269</v>
      </c>
      <c r="U253" s="164">
        <v>90000</v>
      </c>
      <c r="V253" s="164">
        <v>249963</v>
      </c>
    </row>
    <row r="254" spans="2:22">
      <c r="B254" s="161" t="s">
        <v>436</v>
      </c>
      <c r="C254" s="161" t="s">
        <v>1447</v>
      </c>
      <c r="D254" s="164">
        <v>70499.11</v>
      </c>
      <c r="E254" s="164">
        <v>11833.15</v>
      </c>
      <c r="F254" s="164">
        <v>12033.91</v>
      </c>
      <c r="G254" s="163">
        <v>45837.37</v>
      </c>
      <c r="H254" s="163">
        <v>9256.4199999999983</v>
      </c>
      <c r="I254" s="163">
        <v>19514.550000000003</v>
      </c>
      <c r="J254" s="163">
        <v>27664.45</v>
      </c>
      <c r="K254" s="163">
        <v>16618.88</v>
      </c>
      <c r="L254" s="163">
        <v>32110.41</v>
      </c>
      <c r="M254" s="163">
        <v>54189.81</v>
      </c>
      <c r="N254" s="163">
        <v>5954.59</v>
      </c>
      <c r="O254" s="163">
        <v>30921.45</v>
      </c>
      <c r="P254" s="163">
        <v>84033.71</v>
      </c>
      <c r="Q254" s="163">
        <v>6191.19</v>
      </c>
      <c r="R254" s="163">
        <v>34713.68</v>
      </c>
      <c r="S254" s="163"/>
      <c r="T254" s="164">
        <v>59186</v>
      </c>
      <c r="U254" s="164">
        <v>10000</v>
      </c>
      <c r="V254" s="164">
        <v>0</v>
      </c>
    </row>
    <row r="255" spans="2:22">
      <c r="B255" s="161" t="s">
        <v>751</v>
      </c>
      <c r="C255" s="161" t="s">
        <v>1448</v>
      </c>
      <c r="D255" s="164">
        <v>20182.82</v>
      </c>
      <c r="E255" s="164">
        <v>0</v>
      </c>
      <c r="F255" s="164">
        <v>0</v>
      </c>
      <c r="G255" s="163">
        <v>34268.509999999995</v>
      </c>
      <c r="I255" s="163">
        <v>49.56</v>
      </c>
      <c r="J255" s="163">
        <v>17217.440000000002</v>
      </c>
      <c r="L255" s="163">
        <v>36051.51</v>
      </c>
      <c r="M255" s="163">
        <v>21680.63</v>
      </c>
      <c r="O255" s="163">
        <v>36710.449999999997</v>
      </c>
      <c r="P255" s="163">
        <v>37407.85</v>
      </c>
      <c r="R255" s="163">
        <v>40792.76</v>
      </c>
      <c r="S255" s="163"/>
      <c r="T255" s="164">
        <v>7500</v>
      </c>
      <c r="U255" s="164">
        <v>0</v>
      </c>
      <c r="V255" s="164">
        <v>0</v>
      </c>
    </row>
    <row r="256" spans="2:22">
      <c r="B256" s="161" t="s">
        <v>568</v>
      </c>
      <c r="C256" s="161" t="s">
        <v>1449</v>
      </c>
      <c r="D256" s="164">
        <v>4411.8999999999996</v>
      </c>
      <c r="E256" s="164">
        <v>1910.4</v>
      </c>
      <c r="F256" s="164">
        <v>0</v>
      </c>
      <c r="G256" s="163">
        <v>2594.42</v>
      </c>
      <c r="H256" s="163">
        <v>1020.31</v>
      </c>
      <c r="I256" s="163">
        <v>1050</v>
      </c>
      <c r="J256" s="163">
        <v>10097.43</v>
      </c>
      <c r="M256" s="163">
        <v>3220.81</v>
      </c>
      <c r="P256" s="163">
        <v>4271.8500000000004</v>
      </c>
      <c r="T256" s="164">
        <v>0</v>
      </c>
      <c r="U256" s="164">
        <v>0</v>
      </c>
      <c r="V256" s="164">
        <v>0</v>
      </c>
    </row>
    <row r="257" spans="2:22">
      <c r="B257" s="161" t="s">
        <v>484</v>
      </c>
      <c r="C257" s="161" t="s">
        <v>1450</v>
      </c>
      <c r="D257" s="164">
        <v>63649.19</v>
      </c>
      <c r="E257" s="164">
        <v>48745.94</v>
      </c>
      <c r="F257" s="164">
        <v>23759.59</v>
      </c>
      <c r="G257" s="163">
        <v>30018.400000000001</v>
      </c>
      <c r="H257" s="163">
        <v>1704.19</v>
      </c>
      <c r="I257" s="163">
        <v>32534.59</v>
      </c>
      <c r="J257" s="163">
        <v>60930.299999999988</v>
      </c>
      <c r="L257" s="163">
        <v>28163.66</v>
      </c>
      <c r="M257" s="163">
        <v>52384.01</v>
      </c>
      <c r="N257" s="163">
        <v>7120.96</v>
      </c>
      <c r="O257" s="163">
        <v>24733.120000000003</v>
      </c>
      <c r="P257" s="163">
        <v>63444.909999999996</v>
      </c>
      <c r="Q257" s="163">
        <v>561.30999999999995</v>
      </c>
      <c r="R257" s="163">
        <v>31403.49</v>
      </c>
      <c r="S257" s="163"/>
      <c r="T257" s="164">
        <v>59971</v>
      </c>
      <c r="U257" s="164">
        <v>0</v>
      </c>
      <c r="V257" s="164">
        <v>34253</v>
      </c>
    </row>
    <row r="258" spans="2:22">
      <c r="B258" s="161" t="s">
        <v>807</v>
      </c>
      <c r="C258" s="161" t="s">
        <v>1451</v>
      </c>
      <c r="D258" s="164">
        <v>243367.74000000002</v>
      </c>
      <c r="E258" s="164">
        <v>6220.56</v>
      </c>
      <c r="F258" s="164">
        <v>33399.21</v>
      </c>
      <c r="G258" s="163">
        <v>251714.52</v>
      </c>
      <c r="H258" s="163">
        <v>29787.99</v>
      </c>
      <c r="I258" s="163">
        <v>52726.42</v>
      </c>
      <c r="J258" s="163">
        <v>246790.02000000002</v>
      </c>
      <c r="K258" s="163">
        <v>530.28</v>
      </c>
      <c r="L258" s="163">
        <v>79095.61</v>
      </c>
      <c r="M258" s="163">
        <v>198990.02000000002</v>
      </c>
      <c r="O258" s="163">
        <v>75449.17</v>
      </c>
      <c r="P258" s="163">
        <v>160936.03</v>
      </c>
      <c r="Q258" s="163">
        <v>5657.43</v>
      </c>
      <c r="R258" s="163">
        <v>74916.58</v>
      </c>
      <c r="S258" s="163"/>
      <c r="T258" s="164">
        <v>258069</v>
      </c>
      <c r="U258" s="164">
        <v>0</v>
      </c>
      <c r="V258" s="164">
        <v>26546</v>
      </c>
    </row>
    <row r="259" spans="2:22">
      <c r="B259" s="161" t="s">
        <v>825</v>
      </c>
      <c r="C259" s="161" t="s">
        <v>1452</v>
      </c>
      <c r="D259" s="164">
        <v>60789.719999999994</v>
      </c>
      <c r="E259" s="164">
        <v>0</v>
      </c>
      <c r="F259" s="164">
        <v>8419.2800000000007</v>
      </c>
      <c r="G259" s="163">
        <v>66450.67</v>
      </c>
      <c r="I259" s="163">
        <v>35668.14</v>
      </c>
      <c r="J259" s="163">
        <v>34659.9</v>
      </c>
      <c r="L259" s="163">
        <v>39857.72</v>
      </c>
      <c r="M259" s="163">
        <v>60317.25</v>
      </c>
      <c r="O259" s="163">
        <v>26513.82</v>
      </c>
      <c r="P259" s="163">
        <v>60951.389999999992</v>
      </c>
      <c r="R259" s="163">
        <v>16882.77</v>
      </c>
      <c r="S259" s="163"/>
      <c r="T259" s="164">
        <v>27600</v>
      </c>
      <c r="U259" s="164">
        <v>0</v>
      </c>
      <c r="V259" s="164">
        <v>0</v>
      </c>
    </row>
    <row r="260" spans="2:22">
      <c r="B260" s="161" t="s">
        <v>500</v>
      </c>
      <c r="C260" s="161" t="s">
        <v>1453</v>
      </c>
      <c r="D260" s="164">
        <v>17995.68</v>
      </c>
      <c r="E260" s="164">
        <v>0</v>
      </c>
      <c r="F260" s="164">
        <v>579.73</v>
      </c>
      <c r="G260" s="163">
        <v>22385.95</v>
      </c>
      <c r="H260" s="163">
        <v>3719.79</v>
      </c>
      <c r="I260" s="163">
        <v>2881.17</v>
      </c>
      <c r="J260" s="163">
        <v>19595.849999999999</v>
      </c>
      <c r="L260" s="163">
        <v>12784.380000000001</v>
      </c>
      <c r="M260" s="163">
        <v>7877.5899999999992</v>
      </c>
      <c r="N260" s="163">
        <v>873.19</v>
      </c>
      <c r="O260" s="163">
        <v>6764.97</v>
      </c>
      <c r="P260" s="163">
        <v>10446.629999999999</v>
      </c>
      <c r="R260" s="163">
        <v>9475.380000000001</v>
      </c>
      <c r="S260" s="163"/>
      <c r="T260" s="164">
        <v>15687</v>
      </c>
      <c r="U260" s="164">
        <v>4050</v>
      </c>
      <c r="V260" s="164">
        <v>0</v>
      </c>
    </row>
    <row r="261" spans="2:22">
      <c r="B261" s="161" t="s">
        <v>486</v>
      </c>
      <c r="C261" s="161" t="s">
        <v>1454</v>
      </c>
      <c r="D261" s="164">
        <v>23660.06</v>
      </c>
      <c r="E261" s="164">
        <v>0</v>
      </c>
      <c r="F261" s="164">
        <v>0</v>
      </c>
      <c r="G261" s="163">
        <v>11701.4</v>
      </c>
      <c r="H261" s="163">
        <v>1053.2</v>
      </c>
      <c r="J261" s="163">
        <v>15177.25</v>
      </c>
      <c r="K261" s="163">
        <v>6088.3899999999994</v>
      </c>
      <c r="L261" s="163">
        <v>1375.39</v>
      </c>
      <c r="M261" s="163">
        <v>3197.9</v>
      </c>
      <c r="N261" s="163">
        <v>38.85</v>
      </c>
      <c r="P261" s="163">
        <v>9061.81</v>
      </c>
      <c r="T261" s="164">
        <v>0</v>
      </c>
      <c r="U261" s="164">
        <v>0</v>
      </c>
      <c r="V261" s="164">
        <v>79</v>
      </c>
    </row>
    <row r="262" spans="2:22">
      <c r="B262" s="161" t="s">
        <v>895</v>
      </c>
      <c r="C262" s="161" t="s">
        <v>1455</v>
      </c>
      <c r="D262" s="164">
        <v>2598.9399999999996</v>
      </c>
      <c r="E262" s="164">
        <v>0</v>
      </c>
      <c r="F262" s="164">
        <v>0</v>
      </c>
      <c r="G262" s="163">
        <v>3213.09</v>
      </c>
      <c r="H262" s="163">
        <v>3205.68</v>
      </c>
      <c r="J262" s="163">
        <v>11283.09</v>
      </c>
      <c r="K262" s="163">
        <v>1142.68</v>
      </c>
      <c r="M262" s="163">
        <v>5213.1100000000006</v>
      </c>
      <c r="N262" s="163">
        <v>2377.0300000000002</v>
      </c>
      <c r="P262" s="163">
        <v>7669.29</v>
      </c>
      <c r="T262" s="164">
        <v>5000</v>
      </c>
      <c r="U262" s="164">
        <v>0</v>
      </c>
      <c r="V262" s="164">
        <v>0</v>
      </c>
    </row>
    <row r="263" spans="2:22">
      <c r="B263" s="161" t="s">
        <v>853</v>
      </c>
      <c r="C263" s="161" t="s">
        <v>1456</v>
      </c>
      <c r="D263" s="164">
        <v>36305.950000000004</v>
      </c>
      <c r="E263" s="164">
        <v>0</v>
      </c>
      <c r="F263" s="164">
        <v>8236.619999999999</v>
      </c>
      <c r="G263" s="163">
        <v>46034.75</v>
      </c>
      <c r="I263" s="163">
        <v>8975.2200000000012</v>
      </c>
      <c r="J263" s="163">
        <v>20672.500000000004</v>
      </c>
      <c r="L263" s="163">
        <v>14773.419999999998</v>
      </c>
      <c r="M263" s="163">
        <v>44265.78</v>
      </c>
      <c r="O263" s="163">
        <v>11584.529999999999</v>
      </c>
      <c r="P263" s="163">
        <v>34458.83</v>
      </c>
      <c r="R263" s="163">
        <v>18201.36</v>
      </c>
      <c r="S263" s="163"/>
      <c r="T263" s="164">
        <v>49627</v>
      </c>
      <c r="U263" s="164">
        <v>0</v>
      </c>
      <c r="V263" s="164">
        <v>22849</v>
      </c>
    </row>
    <row r="264" spans="2:22">
      <c r="B264" s="161" t="s">
        <v>869</v>
      </c>
      <c r="C264" s="161" t="s">
        <v>1457</v>
      </c>
      <c r="D264" s="164">
        <v>268615.49000000005</v>
      </c>
      <c r="E264" s="164">
        <v>13961.01</v>
      </c>
      <c r="F264" s="164">
        <v>9487.35</v>
      </c>
      <c r="G264" s="163">
        <v>211103.07</v>
      </c>
      <c r="H264" s="163">
        <v>7908.22</v>
      </c>
      <c r="I264" s="163">
        <v>25963.59</v>
      </c>
      <c r="J264" s="163">
        <v>208659.38</v>
      </c>
      <c r="K264" s="163">
        <v>8290.59</v>
      </c>
      <c r="L264" s="163">
        <v>62748.14</v>
      </c>
      <c r="M264" s="163">
        <v>223017.18</v>
      </c>
      <c r="N264" s="163">
        <v>9084.49</v>
      </c>
      <c r="O264" s="163">
        <v>44804.729999999996</v>
      </c>
      <c r="P264" s="163">
        <v>228236.51999999996</v>
      </c>
      <c r="Q264" s="163">
        <v>29706.45</v>
      </c>
      <c r="R264" s="163">
        <v>36603.69</v>
      </c>
      <c r="S264" s="163"/>
      <c r="T264" s="164">
        <v>213935</v>
      </c>
      <c r="U264" s="164">
        <v>0</v>
      </c>
      <c r="V264" s="164">
        <v>46361</v>
      </c>
    </row>
    <row r="265" spans="2:22">
      <c r="B265" s="161" t="s">
        <v>604</v>
      </c>
      <c r="C265" s="161" t="s">
        <v>1458</v>
      </c>
      <c r="D265" s="162">
        <v>0</v>
      </c>
      <c r="E265" s="162">
        <v>0</v>
      </c>
      <c r="F265" s="162">
        <v>0</v>
      </c>
      <c r="J265" s="163">
        <v>6600</v>
      </c>
      <c r="M265" s="163">
        <v>1443</v>
      </c>
      <c r="P265" s="163">
        <v>9289.0800000000017</v>
      </c>
      <c r="T265" s="164">
        <v>0</v>
      </c>
      <c r="U265" s="164">
        <v>0</v>
      </c>
      <c r="V265" s="164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6E431-CBAE-44A8-8B02-F7BBE765B93E}">
  <dimension ref="A3:K306"/>
  <sheetViews>
    <sheetView workbookViewId="0">
      <selection sqref="A1:L1"/>
    </sheetView>
  </sheetViews>
  <sheetFormatPr defaultRowHeight="15"/>
  <cols>
    <col min="1" max="1" width="13.140625" bestFit="1" customWidth="1"/>
    <col min="2" max="2" width="30.85546875" bestFit="1" customWidth="1"/>
    <col min="3" max="3" width="24.42578125" style="124" bestFit="1" customWidth="1"/>
    <col min="4" max="4" width="16.28515625" bestFit="1" customWidth="1"/>
    <col min="5" max="5" width="18.28515625" bestFit="1" customWidth="1"/>
    <col min="6" max="6" width="24.42578125" style="124" bestFit="1" customWidth="1"/>
    <col min="7" max="7" width="16.28515625" bestFit="1" customWidth="1"/>
    <col min="8" max="8" width="18.28515625" bestFit="1" customWidth="1"/>
    <col min="9" max="9" width="24.42578125" style="124" bestFit="1" customWidth="1"/>
    <col min="10" max="10" width="16.28515625" bestFit="1" customWidth="1"/>
    <col min="11" max="11" width="18.28515625" bestFit="1" customWidth="1"/>
  </cols>
  <sheetData>
    <row r="3" spans="1:11" s="196" customFormat="1">
      <c r="A3" s="196">
        <v>1</v>
      </c>
      <c r="B3" s="196">
        <v>2</v>
      </c>
      <c r="C3" s="196">
        <v>3</v>
      </c>
      <c r="D3" s="196">
        <v>4</v>
      </c>
      <c r="E3" s="196">
        <v>5</v>
      </c>
      <c r="F3" s="196">
        <v>6</v>
      </c>
      <c r="G3" s="196">
        <v>7</v>
      </c>
      <c r="H3" s="196">
        <v>8</v>
      </c>
      <c r="I3" s="196">
        <v>9</v>
      </c>
      <c r="J3" s="196">
        <v>10</v>
      </c>
      <c r="K3" s="196">
        <v>11</v>
      </c>
    </row>
    <row r="4" spans="1:11">
      <c r="C4" s="225" t="s">
        <v>1671</v>
      </c>
      <c r="D4" s="225"/>
      <c r="E4" s="225"/>
      <c r="F4" s="225" t="s">
        <v>1195</v>
      </c>
      <c r="G4" s="225"/>
      <c r="H4" s="225"/>
      <c r="I4" s="225" t="s">
        <v>1088</v>
      </c>
      <c r="J4" s="225"/>
      <c r="K4" s="225"/>
    </row>
    <row r="5" spans="1:11">
      <c r="A5" t="s">
        <v>1670</v>
      </c>
      <c r="B5" t="s">
        <v>1669</v>
      </c>
      <c r="C5" s="124" t="s">
        <v>1668</v>
      </c>
      <c r="D5" t="s">
        <v>1667</v>
      </c>
      <c r="E5" t="s">
        <v>1666</v>
      </c>
      <c r="F5" s="124" t="s">
        <v>1668</v>
      </c>
      <c r="G5" t="s">
        <v>1667</v>
      </c>
      <c r="H5" t="s">
        <v>1666</v>
      </c>
      <c r="I5" s="124" t="s">
        <v>1668</v>
      </c>
      <c r="J5" t="s">
        <v>1667</v>
      </c>
      <c r="K5" t="s">
        <v>1666</v>
      </c>
    </row>
    <row r="6" spans="1:11">
      <c r="A6" t="s">
        <v>859</v>
      </c>
      <c r="B6" t="s">
        <v>1205</v>
      </c>
      <c r="C6" s="124">
        <v>44513.5</v>
      </c>
      <c r="D6">
        <v>1</v>
      </c>
      <c r="E6">
        <v>1</v>
      </c>
      <c r="F6" s="124">
        <v>29715.599999999999</v>
      </c>
      <c r="G6">
        <v>4</v>
      </c>
      <c r="H6">
        <v>1</v>
      </c>
      <c r="I6" s="124">
        <v>31936.799999999999</v>
      </c>
      <c r="J6">
        <v>4</v>
      </c>
      <c r="K6">
        <v>1</v>
      </c>
    </row>
    <row r="7" spans="1:11">
      <c r="A7" t="s">
        <v>675</v>
      </c>
      <c r="B7" t="s">
        <v>1206</v>
      </c>
      <c r="C7" s="124">
        <v>55844.4182</v>
      </c>
      <c r="D7">
        <v>27</v>
      </c>
      <c r="E7">
        <v>28</v>
      </c>
      <c r="F7" s="124">
        <v>60069.5075</v>
      </c>
      <c r="G7">
        <v>31</v>
      </c>
      <c r="H7">
        <v>36</v>
      </c>
      <c r="I7" s="124">
        <v>60665.971400000002</v>
      </c>
      <c r="J7">
        <v>32</v>
      </c>
      <c r="K7">
        <v>38</v>
      </c>
    </row>
    <row r="8" spans="1:11">
      <c r="A8" t="s">
        <v>556</v>
      </c>
      <c r="B8" t="s">
        <v>1665</v>
      </c>
      <c r="C8" s="124">
        <v>39683.166700000002</v>
      </c>
      <c r="D8">
        <v>4</v>
      </c>
      <c r="E8">
        <v>2</v>
      </c>
      <c r="F8" s="124">
        <v>36886.833299999998</v>
      </c>
      <c r="G8">
        <v>5</v>
      </c>
      <c r="H8">
        <v>1</v>
      </c>
      <c r="I8" s="124">
        <v>34714.400000000001</v>
      </c>
      <c r="J8">
        <v>4</v>
      </c>
      <c r="K8">
        <v>1</v>
      </c>
    </row>
    <row r="9" spans="1:11">
      <c r="A9" t="s">
        <v>729</v>
      </c>
      <c r="B9" t="s">
        <v>1664</v>
      </c>
      <c r="C9" s="124">
        <v>32165.857100000001</v>
      </c>
      <c r="D9">
        <v>6</v>
      </c>
      <c r="E9">
        <v>1</v>
      </c>
      <c r="F9" s="124">
        <v>33838</v>
      </c>
      <c r="G9">
        <v>6</v>
      </c>
      <c r="H9">
        <v>2</v>
      </c>
      <c r="I9" s="124">
        <v>37058.333299999998</v>
      </c>
      <c r="J9">
        <v>4</v>
      </c>
      <c r="K9">
        <v>2</v>
      </c>
    </row>
    <row r="10" spans="1:11">
      <c r="A10" t="s">
        <v>384</v>
      </c>
      <c r="B10" t="s">
        <v>1207</v>
      </c>
      <c r="C10" s="124">
        <v>53469.204100000003</v>
      </c>
      <c r="D10">
        <v>26</v>
      </c>
      <c r="E10">
        <v>23</v>
      </c>
      <c r="F10" s="124">
        <v>62280.3</v>
      </c>
      <c r="G10">
        <v>27</v>
      </c>
      <c r="H10">
        <v>23</v>
      </c>
      <c r="I10" s="124">
        <v>57805.4107</v>
      </c>
      <c r="J10">
        <v>32</v>
      </c>
      <c r="K10">
        <v>24</v>
      </c>
    </row>
    <row r="11" spans="1:11">
      <c r="A11" t="s">
        <v>325</v>
      </c>
      <c r="B11" t="s">
        <v>1208</v>
      </c>
      <c r="C11" s="124">
        <v>35661.5789</v>
      </c>
      <c r="D11">
        <v>13</v>
      </c>
      <c r="E11">
        <v>6</v>
      </c>
      <c r="F11" s="124">
        <v>47411.8125</v>
      </c>
      <c r="G11">
        <v>10</v>
      </c>
      <c r="H11">
        <v>6</v>
      </c>
      <c r="I11" s="124">
        <v>47593.052600000003</v>
      </c>
      <c r="J11">
        <v>14</v>
      </c>
      <c r="K11">
        <v>5</v>
      </c>
    </row>
    <row r="12" spans="1:11">
      <c r="A12" t="s">
        <v>524</v>
      </c>
      <c r="B12" t="s">
        <v>1209</v>
      </c>
      <c r="C12" s="124">
        <v>50110.1276</v>
      </c>
      <c r="D12">
        <v>247</v>
      </c>
      <c r="E12">
        <v>239</v>
      </c>
      <c r="F12" s="124">
        <v>54456.220500000003</v>
      </c>
      <c r="G12">
        <v>236</v>
      </c>
      <c r="H12">
        <v>154</v>
      </c>
      <c r="I12" s="124">
        <v>49304.068299999999</v>
      </c>
      <c r="J12">
        <v>281</v>
      </c>
      <c r="K12">
        <v>158</v>
      </c>
    </row>
    <row r="13" spans="1:11">
      <c r="A13" t="s">
        <v>685</v>
      </c>
      <c r="B13" t="s">
        <v>1210</v>
      </c>
      <c r="C13" s="124">
        <v>22463.5</v>
      </c>
      <c r="E13">
        <v>4</v>
      </c>
      <c r="F13" s="124">
        <v>44958.6</v>
      </c>
      <c r="G13">
        <v>1</v>
      </c>
      <c r="H13">
        <v>4</v>
      </c>
      <c r="I13" s="124">
        <v>62390.428599999999</v>
      </c>
      <c r="J13">
        <v>3</v>
      </c>
      <c r="K13">
        <v>4</v>
      </c>
    </row>
    <row r="14" spans="1:11">
      <c r="A14" t="s">
        <v>530</v>
      </c>
      <c r="B14" t="s">
        <v>1663</v>
      </c>
      <c r="C14" s="124">
        <v>51946.192300000002</v>
      </c>
      <c r="D14">
        <v>13</v>
      </c>
      <c r="E14">
        <v>13</v>
      </c>
      <c r="F14" s="124">
        <v>63983.3462</v>
      </c>
      <c r="G14">
        <v>13</v>
      </c>
      <c r="H14">
        <v>13</v>
      </c>
      <c r="I14" s="124">
        <v>59035.615400000002</v>
      </c>
      <c r="J14">
        <v>14</v>
      </c>
      <c r="K14">
        <v>12</v>
      </c>
    </row>
    <row r="15" spans="1:11">
      <c r="A15" t="s">
        <v>470</v>
      </c>
      <c r="B15" t="s">
        <v>1212</v>
      </c>
      <c r="C15" s="124">
        <v>42702.782599999999</v>
      </c>
      <c r="D15">
        <v>14</v>
      </c>
      <c r="E15">
        <v>9</v>
      </c>
      <c r="F15" s="124">
        <v>52499.058799999999</v>
      </c>
      <c r="G15">
        <v>9</v>
      </c>
      <c r="H15">
        <v>8</v>
      </c>
      <c r="I15" s="124">
        <v>56903.388899999998</v>
      </c>
      <c r="J15">
        <v>9</v>
      </c>
      <c r="K15">
        <v>9</v>
      </c>
    </row>
    <row r="16" spans="1:11">
      <c r="A16" t="s">
        <v>701</v>
      </c>
      <c r="B16" t="s">
        <v>1213</v>
      </c>
      <c r="C16" s="124">
        <v>41524.212800000001</v>
      </c>
      <c r="D16">
        <v>31</v>
      </c>
      <c r="E16">
        <v>16</v>
      </c>
      <c r="F16" s="124">
        <v>49547.068200000002</v>
      </c>
      <c r="G16">
        <v>26</v>
      </c>
      <c r="H16">
        <v>18</v>
      </c>
      <c r="I16" s="124">
        <v>50573.351900000001</v>
      </c>
      <c r="J16">
        <v>33</v>
      </c>
      <c r="K16">
        <v>21</v>
      </c>
    </row>
    <row r="17" spans="1:11">
      <c r="A17" t="s">
        <v>725</v>
      </c>
      <c r="B17" t="s">
        <v>1214</v>
      </c>
      <c r="C17" s="124">
        <v>43806.686800000003</v>
      </c>
      <c r="D17">
        <v>167</v>
      </c>
      <c r="E17">
        <v>98</v>
      </c>
      <c r="F17" s="124">
        <v>53419.635499999997</v>
      </c>
      <c r="G17">
        <v>193</v>
      </c>
      <c r="H17">
        <v>139</v>
      </c>
      <c r="I17" s="124">
        <v>53403.391499999998</v>
      </c>
      <c r="J17">
        <v>226</v>
      </c>
      <c r="K17">
        <v>152</v>
      </c>
    </row>
    <row r="18" spans="1:11">
      <c r="A18" t="s">
        <v>572</v>
      </c>
      <c r="B18" t="s">
        <v>1215</v>
      </c>
      <c r="C18" s="124">
        <v>45773.375</v>
      </c>
      <c r="D18">
        <v>11</v>
      </c>
      <c r="E18">
        <v>5</v>
      </c>
      <c r="F18" s="124">
        <v>53022.588199999998</v>
      </c>
      <c r="G18">
        <v>11</v>
      </c>
      <c r="H18">
        <v>6</v>
      </c>
      <c r="I18" s="124">
        <v>47159</v>
      </c>
      <c r="J18">
        <v>10</v>
      </c>
      <c r="K18">
        <v>5</v>
      </c>
    </row>
    <row r="19" spans="1:11">
      <c r="A19" t="s">
        <v>450</v>
      </c>
      <c r="B19" t="s">
        <v>1216</v>
      </c>
      <c r="C19" s="124">
        <v>29578.666700000002</v>
      </c>
      <c r="D19">
        <v>5</v>
      </c>
      <c r="E19">
        <v>1</v>
      </c>
      <c r="F19" s="124">
        <v>35910.857100000001</v>
      </c>
      <c r="G19">
        <v>6</v>
      </c>
      <c r="H19">
        <v>1</v>
      </c>
      <c r="I19" s="124">
        <v>41247.142899999999</v>
      </c>
      <c r="J19">
        <v>5</v>
      </c>
      <c r="K19">
        <v>2</v>
      </c>
    </row>
    <row r="20" spans="1:11">
      <c r="A20" t="s">
        <v>542</v>
      </c>
      <c r="B20" t="s">
        <v>1217</v>
      </c>
      <c r="C20" s="124">
        <v>44174.533300000003</v>
      </c>
      <c r="D20">
        <v>19</v>
      </c>
      <c r="E20">
        <v>11</v>
      </c>
      <c r="F20" s="124">
        <v>79543.117599999998</v>
      </c>
      <c r="G20">
        <v>4</v>
      </c>
      <c r="H20">
        <v>13</v>
      </c>
      <c r="I20" s="124">
        <v>67978.039999999994</v>
      </c>
      <c r="J20">
        <v>10</v>
      </c>
      <c r="K20">
        <v>15</v>
      </c>
    </row>
    <row r="21" spans="1:11">
      <c r="A21" t="s">
        <v>365</v>
      </c>
      <c r="B21" t="s">
        <v>1218</v>
      </c>
      <c r="C21" s="124">
        <v>37294.3125</v>
      </c>
      <c r="D21">
        <v>22</v>
      </c>
      <c r="E21">
        <v>10</v>
      </c>
      <c r="F21" s="124">
        <v>47622.243900000001</v>
      </c>
      <c r="G21">
        <v>26</v>
      </c>
      <c r="H21">
        <v>15</v>
      </c>
      <c r="I21" s="124">
        <v>50474.526299999998</v>
      </c>
      <c r="J21">
        <v>23</v>
      </c>
      <c r="K21">
        <v>15</v>
      </c>
    </row>
    <row r="22" spans="1:11">
      <c r="A22" t="s">
        <v>363</v>
      </c>
      <c r="B22" t="s">
        <v>1219</v>
      </c>
      <c r="C22" s="124">
        <v>40897.843800000002</v>
      </c>
      <c r="D22">
        <v>20</v>
      </c>
      <c r="E22">
        <v>12</v>
      </c>
      <c r="F22" s="124">
        <v>53356.5556</v>
      </c>
      <c r="G22">
        <v>14</v>
      </c>
      <c r="H22">
        <v>13</v>
      </c>
      <c r="I22" s="124">
        <v>50156.894699999997</v>
      </c>
      <c r="J22">
        <v>24</v>
      </c>
      <c r="K22">
        <v>14</v>
      </c>
    </row>
    <row r="23" spans="1:11">
      <c r="A23" t="s">
        <v>865</v>
      </c>
      <c r="B23" t="s">
        <v>1220</v>
      </c>
      <c r="C23" s="124">
        <v>48778.297899999998</v>
      </c>
      <c r="D23">
        <v>76</v>
      </c>
      <c r="E23">
        <v>65</v>
      </c>
      <c r="F23" s="124">
        <v>54343.7212</v>
      </c>
      <c r="G23">
        <v>89</v>
      </c>
      <c r="H23">
        <v>76</v>
      </c>
      <c r="I23" s="124">
        <v>50334.741099999999</v>
      </c>
      <c r="J23">
        <v>115</v>
      </c>
      <c r="K23">
        <v>82</v>
      </c>
    </row>
    <row r="24" spans="1:11">
      <c r="A24" t="s">
        <v>1029</v>
      </c>
      <c r="B24" t="s">
        <v>1662</v>
      </c>
      <c r="F24" s="124">
        <v>39487.25</v>
      </c>
      <c r="G24">
        <v>2</v>
      </c>
      <c r="H24">
        <v>2</v>
      </c>
      <c r="I24" s="124">
        <v>78465</v>
      </c>
      <c r="K24">
        <v>3</v>
      </c>
    </row>
    <row r="25" spans="1:11">
      <c r="A25" t="s">
        <v>695</v>
      </c>
      <c r="B25" t="s">
        <v>1222</v>
      </c>
      <c r="C25" s="124">
        <v>38271.171199999997</v>
      </c>
      <c r="D25">
        <v>82</v>
      </c>
      <c r="E25">
        <v>29</v>
      </c>
      <c r="F25" s="124">
        <v>43932.038500000002</v>
      </c>
      <c r="G25">
        <v>95</v>
      </c>
      <c r="H25">
        <v>35</v>
      </c>
      <c r="I25" s="124">
        <v>44937.837399999997</v>
      </c>
      <c r="J25">
        <v>90</v>
      </c>
      <c r="K25">
        <v>33</v>
      </c>
    </row>
    <row r="26" spans="1:11">
      <c r="A26" t="s">
        <v>412</v>
      </c>
      <c r="B26" t="s">
        <v>1223</v>
      </c>
      <c r="C26" s="124">
        <v>34386.75</v>
      </c>
      <c r="D26">
        <v>2</v>
      </c>
      <c r="E26">
        <v>2</v>
      </c>
      <c r="F26" s="124">
        <v>62220.25</v>
      </c>
      <c r="G26">
        <v>2</v>
      </c>
      <c r="H26">
        <v>2</v>
      </c>
      <c r="I26" s="124">
        <v>48072.2857</v>
      </c>
      <c r="J26">
        <v>5</v>
      </c>
      <c r="K26">
        <v>2</v>
      </c>
    </row>
    <row r="27" spans="1:11">
      <c r="A27" t="s">
        <v>755</v>
      </c>
      <c r="B27" t="s">
        <v>1224</v>
      </c>
      <c r="C27" s="124">
        <v>47578.686699999998</v>
      </c>
      <c r="D27">
        <v>43</v>
      </c>
      <c r="E27">
        <v>40</v>
      </c>
      <c r="F27" s="124">
        <v>60171.7474</v>
      </c>
      <c r="G27">
        <v>48</v>
      </c>
      <c r="H27">
        <v>47</v>
      </c>
      <c r="I27" s="124">
        <v>56974.2209</v>
      </c>
      <c r="J27">
        <v>50</v>
      </c>
      <c r="K27">
        <v>36</v>
      </c>
    </row>
    <row r="28" spans="1:11">
      <c r="A28" t="s">
        <v>359</v>
      </c>
      <c r="B28" t="s">
        <v>1225</v>
      </c>
      <c r="C28" s="124">
        <v>34117.823499999999</v>
      </c>
      <c r="D28">
        <v>14</v>
      </c>
      <c r="E28">
        <v>3</v>
      </c>
      <c r="F28" s="124">
        <v>44199.8</v>
      </c>
      <c r="G28">
        <v>11</v>
      </c>
      <c r="H28">
        <v>4</v>
      </c>
      <c r="I28" s="124">
        <v>59370.692300000002</v>
      </c>
      <c r="J28">
        <v>8</v>
      </c>
      <c r="K28">
        <v>5</v>
      </c>
    </row>
    <row r="29" spans="1:11">
      <c r="A29" t="s">
        <v>711</v>
      </c>
      <c r="B29" t="s">
        <v>1226</v>
      </c>
      <c r="C29" s="124">
        <v>45832.340400000001</v>
      </c>
      <c r="D29">
        <v>19</v>
      </c>
      <c r="E29">
        <v>28</v>
      </c>
      <c r="F29" s="124">
        <v>62804.0435</v>
      </c>
      <c r="G29">
        <v>10</v>
      </c>
      <c r="H29">
        <v>36</v>
      </c>
      <c r="I29" s="124">
        <v>64901.409099999997</v>
      </c>
      <c r="J29">
        <v>12</v>
      </c>
      <c r="K29">
        <v>32</v>
      </c>
    </row>
    <row r="30" spans="1:11">
      <c r="A30" t="s">
        <v>920</v>
      </c>
      <c r="B30" t="s">
        <v>1227</v>
      </c>
      <c r="C30" s="124">
        <v>26479</v>
      </c>
      <c r="D30">
        <v>1</v>
      </c>
    </row>
    <row r="31" spans="1:11">
      <c r="A31" t="s">
        <v>841</v>
      </c>
      <c r="B31" t="s">
        <v>1228</v>
      </c>
      <c r="C31" s="124">
        <v>44481.25</v>
      </c>
      <c r="D31">
        <v>363</v>
      </c>
      <c r="E31">
        <v>237</v>
      </c>
      <c r="F31" s="124">
        <v>53500.225299999998</v>
      </c>
      <c r="G31">
        <v>344</v>
      </c>
      <c r="H31">
        <v>233</v>
      </c>
      <c r="I31" s="124">
        <v>55201.427100000001</v>
      </c>
      <c r="J31">
        <v>411</v>
      </c>
      <c r="K31">
        <v>254</v>
      </c>
    </row>
    <row r="32" spans="1:11">
      <c r="A32" t="s">
        <v>504</v>
      </c>
      <c r="B32" t="s">
        <v>1229</v>
      </c>
      <c r="C32" s="124">
        <v>60631.876700000001</v>
      </c>
      <c r="D32">
        <v>23</v>
      </c>
      <c r="E32">
        <v>50</v>
      </c>
      <c r="F32" s="124">
        <v>54861.866699999999</v>
      </c>
      <c r="G32">
        <v>32</v>
      </c>
      <c r="H32">
        <v>43</v>
      </c>
      <c r="I32" s="124">
        <v>50806.5</v>
      </c>
      <c r="J32">
        <v>30</v>
      </c>
      <c r="K32">
        <v>16</v>
      </c>
    </row>
    <row r="33" spans="1:11">
      <c r="A33" t="s">
        <v>536</v>
      </c>
      <c r="B33" t="s">
        <v>1661</v>
      </c>
      <c r="C33" s="124">
        <v>38262.210500000001</v>
      </c>
      <c r="D33">
        <v>25</v>
      </c>
      <c r="E33">
        <v>13</v>
      </c>
      <c r="F33" s="124">
        <v>53065.1538</v>
      </c>
      <c r="G33">
        <v>23</v>
      </c>
      <c r="H33">
        <v>16</v>
      </c>
      <c r="I33" s="124">
        <v>48854.239999999998</v>
      </c>
      <c r="J33">
        <v>28</v>
      </c>
      <c r="K33">
        <v>22</v>
      </c>
    </row>
    <row r="34" spans="1:11">
      <c r="A34" t="s">
        <v>857</v>
      </c>
      <c r="B34" t="s">
        <v>1231</v>
      </c>
      <c r="C34" s="124">
        <v>46143.8298</v>
      </c>
      <c r="D34">
        <v>51</v>
      </c>
      <c r="E34">
        <v>43</v>
      </c>
      <c r="F34" s="124">
        <v>66206.873900000006</v>
      </c>
      <c r="G34">
        <v>52</v>
      </c>
      <c r="H34">
        <v>67</v>
      </c>
      <c r="I34" s="124">
        <v>52500.988100000002</v>
      </c>
      <c r="J34">
        <v>52</v>
      </c>
      <c r="K34">
        <v>32</v>
      </c>
    </row>
    <row r="35" spans="1:11">
      <c r="A35" t="s">
        <v>460</v>
      </c>
      <c r="B35" t="s">
        <v>1232</v>
      </c>
      <c r="C35" s="124">
        <v>48854.243499999997</v>
      </c>
      <c r="D35">
        <v>333</v>
      </c>
      <c r="E35">
        <v>283</v>
      </c>
      <c r="F35" s="124">
        <v>59590.711900000002</v>
      </c>
      <c r="G35">
        <v>321</v>
      </c>
      <c r="H35">
        <v>276</v>
      </c>
      <c r="I35" s="124">
        <v>57964.873800000001</v>
      </c>
      <c r="J35">
        <v>378</v>
      </c>
      <c r="K35">
        <v>272</v>
      </c>
    </row>
    <row r="36" spans="1:11">
      <c r="A36" t="s">
        <v>357</v>
      </c>
      <c r="B36" t="s">
        <v>1233</v>
      </c>
      <c r="C36" s="124">
        <v>47493.898800000003</v>
      </c>
      <c r="D36">
        <v>100</v>
      </c>
      <c r="E36">
        <v>68</v>
      </c>
      <c r="F36" s="124">
        <v>56252.397499999999</v>
      </c>
      <c r="G36">
        <v>95</v>
      </c>
      <c r="H36">
        <v>66</v>
      </c>
      <c r="I36" s="124">
        <v>58033.326099999998</v>
      </c>
      <c r="J36">
        <v>113</v>
      </c>
      <c r="K36">
        <v>71</v>
      </c>
    </row>
    <row r="37" spans="1:11">
      <c r="A37" t="s">
        <v>331</v>
      </c>
      <c r="B37" t="s">
        <v>1234</v>
      </c>
      <c r="C37" s="124">
        <v>50828.768400000001</v>
      </c>
      <c r="D37">
        <v>133</v>
      </c>
      <c r="E37">
        <v>152</v>
      </c>
      <c r="F37" s="124">
        <v>59197.75</v>
      </c>
      <c r="G37">
        <v>145</v>
      </c>
      <c r="H37">
        <v>139</v>
      </c>
      <c r="I37" s="124">
        <v>70847.524000000005</v>
      </c>
      <c r="J37">
        <v>108</v>
      </c>
      <c r="K37">
        <v>142</v>
      </c>
    </row>
    <row r="38" spans="1:11">
      <c r="A38" t="s">
        <v>727</v>
      </c>
      <c r="B38" t="s">
        <v>1235</v>
      </c>
      <c r="C38" s="124">
        <v>44746.6538</v>
      </c>
      <c r="D38">
        <v>47</v>
      </c>
      <c r="E38">
        <v>31</v>
      </c>
      <c r="F38" s="124">
        <v>61267.0484</v>
      </c>
      <c r="G38">
        <v>54</v>
      </c>
      <c r="H38">
        <v>70</v>
      </c>
      <c r="I38" s="124">
        <v>61787.2929</v>
      </c>
      <c r="J38">
        <v>52</v>
      </c>
      <c r="K38">
        <v>47</v>
      </c>
    </row>
    <row r="39" spans="1:11">
      <c r="A39" s="28" t="s">
        <v>1023</v>
      </c>
      <c r="B39" s="28" t="s">
        <v>1024</v>
      </c>
      <c r="C39" s="124">
        <v>41101.344499999999</v>
      </c>
      <c r="D39">
        <v>109</v>
      </c>
      <c r="E39">
        <v>100</v>
      </c>
      <c r="F39" s="124">
        <v>48909.421999999999</v>
      </c>
      <c r="G39">
        <v>115</v>
      </c>
      <c r="H39">
        <v>103</v>
      </c>
      <c r="I39" s="124">
        <v>52312.788699999997</v>
      </c>
      <c r="J39">
        <v>112</v>
      </c>
      <c r="K39">
        <v>101</v>
      </c>
    </row>
    <row r="40" spans="1:11">
      <c r="A40" t="s">
        <v>1089</v>
      </c>
      <c r="B40" t="s">
        <v>1660</v>
      </c>
      <c r="I40" s="124">
        <v>71462</v>
      </c>
      <c r="K40">
        <v>1</v>
      </c>
    </row>
    <row r="41" spans="1:11">
      <c r="A41" t="s">
        <v>791</v>
      </c>
      <c r="B41" t="s">
        <v>1659</v>
      </c>
      <c r="F41" s="124">
        <v>88044</v>
      </c>
      <c r="H41">
        <v>1</v>
      </c>
    </row>
    <row r="42" spans="1:11">
      <c r="A42" t="s">
        <v>558</v>
      </c>
      <c r="B42" t="s">
        <v>1236</v>
      </c>
      <c r="C42" s="124">
        <v>40355.818700000003</v>
      </c>
      <c r="D42">
        <v>121</v>
      </c>
      <c r="E42">
        <v>61</v>
      </c>
      <c r="F42" s="124">
        <v>44694.979200000002</v>
      </c>
      <c r="G42">
        <v>158</v>
      </c>
      <c r="H42">
        <v>82</v>
      </c>
      <c r="I42" s="124">
        <v>46634.5556</v>
      </c>
      <c r="J42">
        <v>154</v>
      </c>
      <c r="K42">
        <v>71</v>
      </c>
    </row>
    <row r="43" spans="1:11">
      <c r="A43" t="s">
        <v>366</v>
      </c>
      <c r="B43" t="s">
        <v>1237</v>
      </c>
      <c r="C43" s="124">
        <v>37194.230799999998</v>
      </c>
      <c r="D43">
        <v>28</v>
      </c>
      <c r="E43">
        <v>11</v>
      </c>
      <c r="F43" s="124">
        <v>46716.14</v>
      </c>
      <c r="G43">
        <v>33</v>
      </c>
      <c r="H43">
        <v>17</v>
      </c>
      <c r="I43" s="124">
        <v>45418.054499999998</v>
      </c>
      <c r="J43">
        <v>40</v>
      </c>
      <c r="K43">
        <v>15</v>
      </c>
    </row>
    <row r="44" spans="1:11">
      <c r="A44" t="s">
        <v>889</v>
      </c>
      <c r="B44" t="s">
        <v>1238</v>
      </c>
      <c r="C44" s="124">
        <v>39357.859400000001</v>
      </c>
      <c r="D44">
        <v>42</v>
      </c>
      <c r="E44">
        <v>22</v>
      </c>
      <c r="F44" s="124">
        <v>46634.805200000003</v>
      </c>
      <c r="G44">
        <v>51</v>
      </c>
      <c r="H44">
        <v>26</v>
      </c>
      <c r="I44" s="124">
        <v>50354.973299999998</v>
      </c>
      <c r="J44">
        <v>48</v>
      </c>
      <c r="K44">
        <v>27</v>
      </c>
    </row>
    <row r="45" spans="1:11">
      <c r="A45" t="s">
        <v>522</v>
      </c>
      <c r="B45" t="s">
        <v>1239</v>
      </c>
      <c r="C45" s="124">
        <v>36998.083299999998</v>
      </c>
      <c r="D45">
        <v>89</v>
      </c>
      <c r="E45">
        <v>55</v>
      </c>
      <c r="F45" s="124">
        <v>46987.5821</v>
      </c>
      <c r="G45">
        <v>81</v>
      </c>
      <c r="H45">
        <v>53</v>
      </c>
      <c r="I45" s="124">
        <v>45308.605799999998</v>
      </c>
      <c r="J45">
        <v>86</v>
      </c>
      <c r="K45">
        <v>51</v>
      </c>
    </row>
    <row r="46" spans="1:11">
      <c r="A46" t="s">
        <v>669</v>
      </c>
      <c r="B46" t="s">
        <v>1658</v>
      </c>
      <c r="C46" s="124">
        <v>28827.625</v>
      </c>
      <c r="D46">
        <v>7</v>
      </c>
      <c r="E46">
        <v>1</v>
      </c>
    </row>
    <row r="47" spans="1:11">
      <c r="A47" t="s">
        <v>351</v>
      </c>
      <c r="B47" t="s">
        <v>1240</v>
      </c>
      <c r="C47" s="124">
        <v>36793.583299999998</v>
      </c>
      <c r="D47">
        <v>9</v>
      </c>
      <c r="E47">
        <v>3</v>
      </c>
      <c r="F47" s="124">
        <v>46900.166700000002</v>
      </c>
      <c r="G47">
        <v>10</v>
      </c>
      <c r="H47">
        <v>2</v>
      </c>
      <c r="I47" s="124">
        <v>42249.230799999998</v>
      </c>
      <c r="J47">
        <v>11</v>
      </c>
      <c r="K47">
        <v>2</v>
      </c>
    </row>
    <row r="48" spans="1:11">
      <c r="A48" t="s">
        <v>677</v>
      </c>
      <c r="B48" t="s">
        <v>1241</v>
      </c>
      <c r="C48" s="124">
        <v>32689.666700000002</v>
      </c>
      <c r="D48">
        <v>2</v>
      </c>
      <c r="E48">
        <v>1</v>
      </c>
      <c r="F48" s="124">
        <v>62165</v>
      </c>
      <c r="H48">
        <v>1</v>
      </c>
      <c r="I48" s="124">
        <v>43723</v>
      </c>
      <c r="J48">
        <v>2</v>
      </c>
    </row>
    <row r="49" spans="1:11">
      <c r="A49" t="s">
        <v>438</v>
      </c>
      <c r="B49" t="s">
        <v>1242</v>
      </c>
      <c r="C49" s="124">
        <v>50757.503700000001</v>
      </c>
      <c r="D49">
        <v>68</v>
      </c>
      <c r="E49">
        <v>67</v>
      </c>
      <c r="F49" s="124">
        <v>54044.826099999998</v>
      </c>
      <c r="G49">
        <v>93</v>
      </c>
      <c r="H49">
        <v>68</v>
      </c>
      <c r="I49" s="124">
        <v>50376.027000000002</v>
      </c>
      <c r="J49">
        <v>123</v>
      </c>
      <c r="K49">
        <v>62</v>
      </c>
    </row>
    <row r="50" spans="1:11">
      <c r="A50" t="s">
        <v>570</v>
      </c>
      <c r="B50" t="s">
        <v>1243</v>
      </c>
      <c r="C50" s="124">
        <v>49390.5</v>
      </c>
      <c r="D50">
        <v>1</v>
      </c>
      <c r="E50">
        <v>1</v>
      </c>
      <c r="F50" s="124">
        <v>112682</v>
      </c>
      <c r="H50">
        <v>1</v>
      </c>
    </row>
    <row r="51" spans="1:11">
      <c r="A51" t="s">
        <v>520</v>
      </c>
      <c r="B51" t="s">
        <v>1657</v>
      </c>
      <c r="C51" s="124">
        <v>42433.5</v>
      </c>
      <c r="D51">
        <v>1</v>
      </c>
      <c r="E51">
        <v>1</v>
      </c>
      <c r="F51" s="124">
        <v>106949</v>
      </c>
      <c r="H51">
        <v>1</v>
      </c>
      <c r="I51" s="124">
        <v>100915</v>
      </c>
      <c r="K51">
        <v>1</v>
      </c>
    </row>
    <row r="52" spans="1:11">
      <c r="A52" t="s">
        <v>416</v>
      </c>
      <c r="B52" t="s">
        <v>1244</v>
      </c>
      <c r="C52" s="124">
        <v>20658.5</v>
      </c>
      <c r="D52">
        <v>5</v>
      </c>
      <c r="E52">
        <v>1</v>
      </c>
      <c r="F52" s="124">
        <v>27265</v>
      </c>
      <c r="G52">
        <v>5</v>
      </c>
      <c r="H52">
        <v>1</v>
      </c>
      <c r="I52" s="124">
        <v>26958.142899999999</v>
      </c>
      <c r="J52">
        <v>6</v>
      </c>
      <c r="K52">
        <v>1</v>
      </c>
    </row>
    <row r="53" spans="1:11">
      <c r="A53" t="s">
        <v>667</v>
      </c>
      <c r="B53" t="s">
        <v>1465</v>
      </c>
      <c r="C53" s="124">
        <v>49580</v>
      </c>
      <c r="D53">
        <v>2</v>
      </c>
      <c r="E53">
        <v>2</v>
      </c>
      <c r="F53" s="124">
        <v>69313</v>
      </c>
      <c r="H53">
        <v>1</v>
      </c>
      <c r="I53" s="124">
        <v>127227</v>
      </c>
      <c r="K53">
        <v>1</v>
      </c>
    </row>
    <row r="54" spans="1:11">
      <c r="A54" t="s">
        <v>510</v>
      </c>
      <c r="B54" t="s">
        <v>1245</v>
      </c>
      <c r="C54" s="124">
        <v>45949.7143</v>
      </c>
      <c r="D54">
        <v>4</v>
      </c>
      <c r="E54">
        <v>3</v>
      </c>
      <c r="F54" s="124">
        <v>49335.5</v>
      </c>
      <c r="G54">
        <v>3</v>
      </c>
      <c r="H54">
        <v>1</v>
      </c>
      <c r="I54" s="124">
        <v>46839.428599999999</v>
      </c>
      <c r="J54">
        <v>5</v>
      </c>
      <c r="K54">
        <v>2</v>
      </c>
    </row>
    <row r="55" spans="1:11">
      <c r="A55" t="s">
        <v>723</v>
      </c>
      <c r="B55" t="s">
        <v>1246</v>
      </c>
      <c r="C55" s="124">
        <v>44433.666700000002</v>
      </c>
      <c r="D55">
        <v>3</v>
      </c>
      <c r="E55">
        <v>3</v>
      </c>
      <c r="F55" s="124">
        <v>44665.333299999998</v>
      </c>
      <c r="G55">
        <v>8</v>
      </c>
      <c r="H55">
        <v>4</v>
      </c>
      <c r="I55" s="124">
        <v>41466.769200000002</v>
      </c>
      <c r="J55">
        <v>8</v>
      </c>
      <c r="K55">
        <v>5</v>
      </c>
    </row>
    <row r="56" spans="1:11">
      <c r="A56" t="s">
        <v>681</v>
      </c>
      <c r="B56" t="s">
        <v>1247</v>
      </c>
      <c r="C56" s="124">
        <v>43485.870600000002</v>
      </c>
      <c r="D56">
        <v>216</v>
      </c>
      <c r="E56">
        <v>155</v>
      </c>
      <c r="F56" s="124">
        <v>53558.9061</v>
      </c>
      <c r="G56">
        <v>202</v>
      </c>
      <c r="H56">
        <v>160</v>
      </c>
      <c r="I56" s="124">
        <v>53967.6702</v>
      </c>
      <c r="J56">
        <v>218</v>
      </c>
      <c r="K56">
        <v>161</v>
      </c>
    </row>
    <row r="57" spans="1:11">
      <c r="A57" t="s">
        <v>629</v>
      </c>
      <c r="B57" t="s">
        <v>1248</v>
      </c>
      <c r="C57" s="124">
        <v>47043.352899999998</v>
      </c>
      <c r="D57">
        <v>16</v>
      </c>
      <c r="E57">
        <v>18</v>
      </c>
      <c r="F57" s="124">
        <v>55419.875</v>
      </c>
      <c r="G57">
        <v>13</v>
      </c>
      <c r="H57">
        <v>19</v>
      </c>
      <c r="I57" s="124">
        <v>56513.636400000003</v>
      </c>
      <c r="J57">
        <v>13</v>
      </c>
      <c r="K57">
        <v>20</v>
      </c>
    </row>
    <row r="58" spans="1:11">
      <c r="A58" t="s">
        <v>516</v>
      </c>
      <c r="B58" t="s">
        <v>1656</v>
      </c>
      <c r="F58" s="124">
        <v>75889</v>
      </c>
      <c r="H58">
        <v>1</v>
      </c>
      <c r="I58" s="124">
        <v>81095</v>
      </c>
      <c r="K58">
        <v>1</v>
      </c>
    </row>
    <row r="59" spans="1:11">
      <c r="A59" t="s">
        <v>693</v>
      </c>
      <c r="B59" t="s">
        <v>1249</v>
      </c>
      <c r="C59" s="124">
        <v>41764.5</v>
      </c>
      <c r="D59">
        <v>5</v>
      </c>
      <c r="E59">
        <v>3</v>
      </c>
      <c r="F59" s="124">
        <v>47694</v>
      </c>
      <c r="G59">
        <v>5</v>
      </c>
      <c r="H59">
        <v>4</v>
      </c>
      <c r="I59" s="124">
        <v>49740.666700000002</v>
      </c>
      <c r="J59">
        <v>5</v>
      </c>
      <c r="K59">
        <v>4</v>
      </c>
    </row>
    <row r="60" spans="1:11">
      <c r="A60" t="s">
        <v>847</v>
      </c>
      <c r="B60" t="s">
        <v>1250</v>
      </c>
      <c r="C60" s="124">
        <v>49774.416700000002</v>
      </c>
      <c r="D60">
        <v>11</v>
      </c>
      <c r="E60">
        <v>13</v>
      </c>
      <c r="F60" s="124">
        <v>62933.310299999997</v>
      </c>
      <c r="G60">
        <v>10</v>
      </c>
      <c r="H60">
        <v>19</v>
      </c>
      <c r="I60" s="124">
        <v>60112.090900000003</v>
      </c>
      <c r="J60">
        <v>16</v>
      </c>
      <c r="K60">
        <v>17</v>
      </c>
    </row>
    <row r="61" spans="1:11">
      <c r="A61" t="s">
        <v>713</v>
      </c>
      <c r="B61" t="s">
        <v>1251</v>
      </c>
      <c r="C61" s="124">
        <v>39466.015200000002</v>
      </c>
      <c r="D61">
        <v>47</v>
      </c>
      <c r="E61">
        <v>19</v>
      </c>
      <c r="F61" s="124">
        <v>42701.970999999998</v>
      </c>
      <c r="G61">
        <v>51</v>
      </c>
      <c r="H61">
        <v>18</v>
      </c>
      <c r="I61" s="124">
        <v>43623.087</v>
      </c>
      <c r="J61">
        <v>51</v>
      </c>
      <c r="K61">
        <v>18</v>
      </c>
    </row>
    <row r="62" spans="1:11">
      <c r="A62" t="s">
        <v>855</v>
      </c>
      <c r="B62" t="s">
        <v>1252</v>
      </c>
      <c r="C62" s="124">
        <v>38585.0435</v>
      </c>
      <c r="D62">
        <v>14</v>
      </c>
      <c r="E62">
        <v>9</v>
      </c>
      <c r="F62" s="124">
        <v>50505.736799999999</v>
      </c>
      <c r="G62">
        <v>10</v>
      </c>
      <c r="H62">
        <v>9</v>
      </c>
      <c r="I62" s="124">
        <v>58007.315799999997</v>
      </c>
      <c r="J62">
        <v>9</v>
      </c>
      <c r="K62">
        <v>10</v>
      </c>
    </row>
    <row r="63" spans="1:11">
      <c r="A63" t="s">
        <v>408</v>
      </c>
      <c r="B63" t="s">
        <v>1655</v>
      </c>
      <c r="C63" s="124">
        <v>36156.375</v>
      </c>
      <c r="D63">
        <v>5</v>
      </c>
      <c r="E63">
        <v>3</v>
      </c>
      <c r="F63" s="124">
        <v>48347.5</v>
      </c>
      <c r="G63">
        <v>5</v>
      </c>
      <c r="H63">
        <v>3</v>
      </c>
      <c r="I63" s="124">
        <v>49143.5</v>
      </c>
      <c r="J63">
        <v>5</v>
      </c>
      <c r="K63">
        <v>3</v>
      </c>
    </row>
    <row r="64" spans="1:11">
      <c r="A64" t="s">
        <v>771</v>
      </c>
      <c r="B64" t="s">
        <v>1254</v>
      </c>
      <c r="C64" s="124">
        <v>36932.1538</v>
      </c>
      <c r="D64">
        <v>10</v>
      </c>
      <c r="E64">
        <v>3</v>
      </c>
      <c r="F64" s="124">
        <v>46986.294099999999</v>
      </c>
      <c r="G64">
        <v>12</v>
      </c>
      <c r="H64">
        <v>5</v>
      </c>
      <c r="I64" s="124">
        <v>44861.666700000002</v>
      </c>
      <c r="J64">
        <v>16</v>
      </c>
      <c r="K64">
        <v>5</v>
      </c>
    </row>
    <row r="65" spans="1:11">
      <c r="A65" t="s">
        <v>741</v>
      </c>
      <c r="B65" t="s">
        <v>1255</v>
      </c>
      <c r="C65" s="124">
        <v>50444.2</v>
      </c>
      <c r="D65">
        <v>13</v>
      </c>
      <c r="E65">
        <v>7</v>
      </c>
      <c r="F65" s="124">
        <v>63561.4</v>
      </c>
      <c r="G65">
        <v>9</v>
      </c>
      <c r="H65">
        <v>11</v>
      </c>
      <c r="I65" s="124">
        <v>63882.368399999999</v>
      </c>
      <c r="J65">
        <v>8</v>
      </c>
      <c r="K65">
        <v>11</v>
      </c>
    </row>
    <row r="66" spans="1:11">
      <c r="A66" t="s">
        <v>600</v>
      </c>
      <c r="B66" t="s">
        <v>1256</v>
      </c>
      <c r="C66" s="124">
        <v>40721.530899999998</v>
      </c>
      <c r="D66">
        <v>131</v>
      </c>
      <c r="E66">
        <v>63</v>
      </c>
      <c r="F66" s="124">
        <v>47959.7791</v>
      </c>
      <c r="G66">
        <v>159</v>
      </c>
      <c r="H66">
        <v>90</v>
      </c>
      <c r="I66" s="124">
        <v>51663.402999999998</v>
      </c>
      <c r="J66">
        <v>168</v>
      </c>
      <c r="K66">
        <v>95</v>
      </c>
    </row>
    <row r="67" spans="1:11">
      <c r="A67" t="s">
        <v>454</v>
      </c>
      <c r="B67" t="s">
        <v>1257</v>
      </c>
      <c r="C67" s="124">
        <v>41658.255299999997</v>
      </c>
      <c r="D67">
        <v>31</v>
      </c>
      <c r="E67">
        <v>16</v>
      </c>
      <c r="F67" s="124">
        <v>52901</v>
      </c>
      <c r="G67">
        <v>27</v>
      </c>
      <c r="H67">
        <v>24</v>
      </c>
      <c r="I67" s="124">
        <v>55007.909099999997</v>
      </c>
      <c r="J67">
        <v>27</v>
      </c>
      <c r="K67">
        <v>28</v>
      </c>
    </row>
    <row r="68" spans="1:11">
      <c r="A68" t="s">
        <v>881</v>
      </c>
      <c r="B68" t="s">
        <v>1258</v>
      </c>
      <c r="C68" s="124">
        <v>55707.5</v>
      </c>
      <c r="D68">
        <v>2</v>
      </c>
      <c r="E68">
        <v>2</v>
      </c>
      <c r="F68" s="124">
        <v>54660.4</v>
      </c>
      <c r="G68">
        <v>3</v>
      </c>
      <c r="H68">
        <v>2</v>
      </c>
      <c r="I68" s="124">
        <v>63213.5</v>
      </c>
      <c r="J68">
        <v>2</v>
      </c>
      <c r="K68">
        <v>2</v>
      </c>
    </row>
    <row r="69" spans="1:11">
      <c r="A69" t="s">
        <v>482</v>
      </c>
      <c r="B69" t="s">
        <v>1259</v>
      </c>
      <c r="C69" s="124">
        <v>30880.666700000002</v>
      </c>
      <c r="D69">
        <v>19</v>
      </c>
      <c r="E69">
        <v>2</v>
      </c>
      <c r="F69" s="124">
        <v>26542.863600000001</v>
      </c>
      <c r="G69">
        <v>19</v>
      </c>
      <c r="H69">
        <v>3</v>
      </c>
      <c r="I69" s="124">
        <v>35932.736799999999</v>
      </c>
      <c r="J69">
        <v>15</v>
      </c>
      <c r="K69">
        <v>4</v>
      </c>
    </row>
    <row r="70" spans="1:11">
      <c r="A70" t="s">
        <v>315</v>
      </c>
      <c r="B70" t="s">
        <v>1260</v>
      </c>
      <c r="C70" s="124">
        <v>40636.907700000003</v>
      </c>
      <c r="D70">
        <v>87</v>
      </c>
      <c r="E70">
        <v>43</v>
      </c>
      <c r="F70" s="124">
        <v>54649.686300000001</v>
      </c>
      <c r="G70">
        <v>53</v>
      </c>
      <c r="H70">
        <v>49</v>
      </c>
      <c r="I70" s="124">
        <v>65774.538499999995</v>
      </c>
      <c r="J70">
        <v>54</v>
      </c>
      <c r="K70">
        <v>50</v>
      </c>
    </row>
    <row r="71" spans="1:11">
      <c r="A71" t="s">
        <v>508</v>
      </c>
      <c r="B71" t="s">
        <v>1261</v>
      </c>
      <c r="C71" s="124">
        <v>45335.7857</v>
      </c>
      <c r="D71">
        <v>9</v>
      </c>
      <c r="E71">
        <v>19</v>
      </c>
      <c r="F71" s="124">
        <v>53175.75</v>
      </c>
      <c r="G71">
        <v>17</v>
      </c>
      <c r="H71">
        <v>19</v>
      </c>
      <c r="I71" s="124">
        <v>69239.2258</v>
      </c>
      <c r="J71">
        <v>14</v>
      </c>
      <c r="K71">
        <v>17</v>
      </c>
    </row>
    <row r="72" spans="1:11">
      <c r="A72" t="s">
        <v>627</v>
      </c>
      <c r="B72" t="s">
        <v>1262</v>
      </c>
      <c r="C72" s="124">
        <v>42916.0556</v>
      </c>
      <c r="D72">
        <v>12</v>
      </c>
      <c r="E72">
        <v>6</v>
      </c>
      <c r="F72" s="124">
        <v>48669.038500000002</v>
      </c>
      <c r="G72">
        <v>17</v>
      </c>
      <c r="H72">
        <v>9</v>
      </c>
      <c r="I72" s="124">
        <v>52525.217400000001</v>
      </c>
      <c r="J72">
        <v>15</v>
      </c>
      <c r="K72">
        <v>8</v>
      </c>
    </row>
    <row r="73" spans="1:11">
      <c r="A73" t="s">
        <v>580</v>
      </c>
      <c r="B73" t="s">
        <v>1654</v>
      </c>
      <c r="C73" s="124">
        <v>29342.0769</v>
      </c>
      <c r="D73">
        <v>11</v>
      </c>
      <c r="E73">
        <v>2</v>
      </c>
      <c r="F73" s="124">
        <v>31748.5</v>
      </c>
      <c r="G73">
        <v>16</v>
      </c>
      <c r="H73">
        <v>2</v>
      </c>
      <c r="I73" s="124">
        <v>38436.307699999998</v>
      </c>
      <c r="J73">
        <v>11</v>
      </c>
      <c r="K73">
        <v>2</v>
      </c>
    </row>
    <row r="74" spans="1:11">
      <c r="A74" t="s">
        <v>596</v>
      </c>
      <c r="B74" t="s">
        <v>1264</v>
      </c>
      <c r="C74" s="124">
        <v>42213.804900000003</v>
      </c>
      <c r="D74">
        <v>26</v>
      </c>
      <c r="E74">
        <v>15</v>
      </c>
      <c r="F74" s="124">
        <v>52208.365899999997</v>
      </c>
      <c r="G74">
        <v>27</v>
      </c>
      <c r="H74">
        <v>14</v>
      </c>
      <c r="I74" s="124">
        <v>55104.102599999998</v>
      </c>
      <c r="J74">
        <v>25</v>
      </c>
      <c r="K74">
        <v>14</v>
      </c>
    </row>
    <row r="75" spans="1:11">
      <c r="A75" t="s">
        <v>446</v>
      </c>
      <c r="B75" t="s">
        <v>1265</v>
      </c>
      <c r="C75" s="124">
        <v>49337</v>
      </c>
      <c r="D75">
        <v>24</v>
      </c>
      <c r="E75">
        <v>16</v>
      </c>
      <c r="F75" s="124">
        <v>68217.787899999996</v>
      </c>
      <c r="G75">
        <v>16</v>
      </c>
      <c r="H75">
        <v>17</v>
      </c>
      <c r="I75" s="124">
        <v>75524.399999999994</v>
      </c>
      <c r="J75">
        <v>11</v>
      </c>
      <c r="K75">
        <v>14</v>
      </c>
    </row>
    <row r="76" spans="1:11">
      <c r="A76" t="s">
        <v>811</v>
      </c>
      <c r="B76" t="s">
        <v>1266</v>
      </c>
      <c r="C76" s="124">
        <v>63757.2</v>
      </c>
      <c r="D76">
        <v>2</v>
      </c>
      <c r="E76">
        <v>3</v>
      </c>
      <c r="F76" s="124">
        <v>78487</v>
      </c>
      <c r="H76">
        <v>1</v>
      </c>
      <c r="I76" s="124">
        <v>71537.5</v>
      </c>
      <c r="J76">
        <v>1</v>
      </c>
      <c r="K76">
        <v>1</v>
      </c>
    </row>
    <row r="77" spans="1:11">
      <c r="A77" t="s">
        <v>406</v>
      </c>
      <c r="B77" t="s">
        <v>1267</v>
      </c>
      <c r="C77" s="124">
        <v>40711.571400000001</v>
      </c>
      <c r="D77">
        <v>5</v>
      </c>
      <c r="E77">
        <v>2</v>
      </c>
      <c r="F77" s="124">
        <v>25899.4</v>
      </c>
      <c r="G77">
        <v>9</v>
      </c>
      <c r="H77">
        <v>1</v>
      </c>
      <c r="I77" s="124">
        <v>33701.800000000003</v>
      </c>
      <c r="J77">
        <v>8</v>
      </c>
      <c r="K77">
        <v>2</v>
      </c>
    </row>
    <row r="78" spans="1:11">
      <c r="A78" t="s">
        <v>745</v>
      </c>
      <c r="B78" t="s">
        <v>1268</v>
      </c>
      <c r="C78" s="124">
        <v>23920.2</v>
      </c>
      <c r="D78">
        <v>4</v>
      </c>
      <c r="E78">
        <v>1</v>
      </c>
      <c r="F78" s="124">
        <v>37031.333299999998</v>
      </c>
      <c r="G78">
        <v>1</v>
      </c>
      <c r="H78">
        <v>2</v>
      </c>
      <c r="I78" s="124">
        <v>36207.5</v>
      </c>
      <c r="J78">
        <v>1</v>
      </c>
      <c r="K78">
        <v>1</v>
      </c>
    </row>
    <row r="79" spans="1:11">
      <c r="A79" t="s">
        <v>885</v>
      </c>
      <c r="B79" t="s">
        <v>1269</v>
      </c>
      <c r="C79" s="124">
        <v>28513.25</v>
      </c>
      <c r="D79">
        <v>3</v>
      </c>
      <c r="E79">
        <v>1</v>
      </c>
      <c r="F79" s="124">
        <v>33660.25</v>
      </c>
      <c r="G79">
        <v>2</v>
      </c>
      <c r="H79">
        <v>2</v>
      </c>
      <c r="I79" s="124">
        <v>40200.666700000002</v>
      </c>
      <c r="J79">
        <v>2</v>
      </c>
      <c r="K79">
        <v>1</v>
      </c>
    </row>
    <row r="80" spans="1:11">
      <c r="A80" t="s">
        <v>651</v>
      </c>
      <c r="B80" t="s">
        <v>1270</v>
      </c>
      <c r="C80" s="124">
        <v>69897.777799999996</v>
      </c>
      <c r="D80">
        <v>2</v>
      </c>
      <c r="E80">
        <v>7</v>
      </c>
      <c r="F80" s="124">
        <v>36351.550000000003</v>
      </c>
      <c r="G80">
        <v>16</v>
      </c>
      <c r="H80">
        <v>4</v>
      </c>
      <c r="I80" s="124">
        <v>46041.666700000002</v>
      </c>
      <c r="J80">
        <v>13</v>
      </c>
      <c r="K80">
        <v>5</v>
      </c>
    </row>
    <row r="81" spans="1:11">
      <c r="A81" t="s">
        <v>647</v>
      </c>
      <c r="B81" t="s">
        <v>1271</v>
      </c>
      <c r="C81" s="124">
        <v>33812.199999999997</v>
      </c>
      <c r="D81">
        <v>4</v>
      </c>
      <c r="E81">
        <v>1</v>
      </c>
      <c r="F81" s="124">
        <v>46643.7143</v>
      </c>
      <c r="G81">
        <v>4</v>
      </c>
      <c r="H81">
        <v>3</v>
      </c>
      <c r="I81" s="124">
        <v>39964.125</v>
      </c>
      <c r="J81">
        <v>6</v>
      </c>
      <c r="K81">
        <v>2</v>
      </c>
    </row>
    <row r="82" spans="1:11">
      <c r="A82" t="s">
        <v>643</v>
      </c>
      <c r="B82" t="s">
        <v>1272</v>
      </c>
      <c r="C82" s="124">
        <v>54075.122600000002</v>
      </c>
      <c r="D82">
        <v>78</v>
      </c>
      <c r="E82">
        <v>77</v>
      </c>
      <c r="F82" s="124">
        <v>57647.112999999998</v>
      </c>
      <c r="G82">
        <v>153</v>
      </c>
      <c r="H82">
        <v>86</v>
      </c>
      <c r="I82" s="124">
        <v>59641.345999999998</v>
      </c>
      <c r="J82">
        <v>168</v>
      </c>
      <c r="K82">
        <v>95</v>
      </c>
    </row>
    <row r="83" spans="1:11">
      <c r="A83" t="s">
        <v>410</v>
      </c>
      <c r="B83" t="s">
        <v>1273</v>
      </c>
      <c r="C83" s="124">
        <v>56556.125</v>
      </c>
      <c r="D83">
        <v>13</v>
      </c>
      <c r="E83">
        <v>11</v>
      </c>
      <c r="F83" s="124">
        <v>71533.592600000004</v>
      </c>
      <c r="G83">
        <v>15</v>
      </c>
      <c r="H83">
        <v>12</v>
      </c>
      <c r="I83" s="124">
        <v>65966.419399999999</v>
      </c>
      <c r="J83">
        <v>18</v>
      </c>
      <c r="K83">
        <v>13</v>
      </c>
    </row>
    <row r="84" spans="1:11">
      <c r="A84" t="s">
        <v>777</v>
      </c>
      <c r="B84" t="s">
        <v>1274</v>
      </c>
      <c r="C84" s="124">
        <v>45347.85</v>
      </c>
      <c r="D84">
        <v>26</v>
      </c>
      <c r="E84">
        <v>14</v>
      </c>
      <c r="F84" s="124">
        <v>52994</v>
      </c>
      <c r="G84">
        <v>25</v>
      </c>
      <c r="H84">
        <v>13</v>
      </c>
      <c r="I84" s="124">
        <v>56797.435899999997</v>
      </c>
      <c r="J84">
        <v>26</v>
      </c>
      <c r="K84">
        <v>13</v>
      </c>
    </row>
    <row r="85" spans="1:11">
      <c r="A85" t="s">
        <v>707</v>
      </c>
      <c r="B85" t="s">
        <v>1653</v>
      </c>
      <c r="C85" s="124">
        <v>11071</v>
      </c>
      <c r="D85">
        <v>2</v>
      </c>
      <c r="F85" s="124">
        <v>109749</v>
      </c>
      <c r="G85">
        <v>1</v>
      </c>
      <c r="H85">
        <v>1</v>
      </c>
      <c r="I85" s="124">
        <v>27632</v>
      </c>
      <c r="J85">
        <v>1</v>
      </c>
    </row>
    <row r="86" spans="1:11">
      <c r="A86" t="s">
        <v>353</v>
      </c>
      <c r="B86" t="s">
        <v>1275</v>
      </c>
      <c r="C86" s="124">
        <v>72675</v>
      </c>
      <c r="E86">
        <v>2</v>
      </c>
      <c r="F86" s="124">
        <v>51575.5</v>
      </c>
      <c r="G86">
        <v>4</v>
      </c>
      <c r="H86">
        <v>2</v>
      </c>
      <c r="I86" s="124">
        <v>78181</v>
      </c>
      <c r="J86">
        <v>1</v>
      </c>
      <c r="K86">
        <v>2</v>
      </c>
    </row>
    <row r="87" spans="1:11">
      <c r="A87" t="s">
        <v>709</v>
      </c>
      <c r="B87" t="s">
        <v>1276</v>
      </c>
      <c r="C87" s="124">
        <v>44529.0769</v>
      </c>
      <c r="D87">
        <v>8</v>
      </c>
      <c r="E87">
        <v>5</v>
      </c>
      <c r="F87" s="124">
        <v>51796</v>
      </c>
      <c r="G87">
        <v>12</v>
      </c>
      <c r="H87">
        <v>6</v>
      </c>
      <c r="I87" s="124">
        <v>65968</v>
      </c>
      <c r="J87">
        <v>10</v>
      </c>
      <c r="K87">
        <v>6</v>
      </c>
    </row>
    <row r="88" spans="1:11">
      <c r="A88" t="s">
        <v>382</v>
      </c>
      <c r="B88" t="s">
        <v>1277</v>
      </c>
      <c r="C88" s="124">
        <v>35277.9231</v>
      </c>
      <c r="D88">
        <v>19</v>
      </c>
      <c r="E88">
        <v>7</v>
      </c>
      <c r="F88" s="124">
        <v>44453.2</v>
      </c>
      <c r="G88">
        <v>20</v>
      </c>
      <c r="H88">
        <v>10</v>
      </c>
      <c r="I88" s="124">
        <v>49530.0769</v>
      </c>
      <c r="J88">
        <v>15</v>
      </c>
      <c r="K88">
        <v>11</v>
      </c>
    </row>
    <row r="89" spans="1:11">
      <c r="A89" t="s">
        <v>697</v>
      </c>
      <c r="B89" t="s">
        <v>1278</v>
      </c>
      <c r="C89" s="124">
        <v>39478.3243</v>
      </c>
      <c r="D89">
        <v>24</v>
      </c>
      <c r="E89">
        <v>13</v>
      </c>
      <c r="F89" s="124">
        <v>50664.0625</v>
      </c>
      <c r="G89">
        <v>20</v>
      </c>
      <c r="H89">
        <v>12</v>
      </c>
      <c r="I89" s="124">
        <v>53158</v>
      </c>
      <c r="J89">
        <v>25</v>
      </c>
      <c r="K89">
        <v>14</v>
      </c>
    </row>
    <row r="90" spans="1:11">
      <c r="A90" t="s">
        <v>747</v>
      </c>
      <c r="B90" t="s">
        <v>1279</v>
      </c>
      <c r="C90" s="124">
        <v>64902.321499999998</v>
      </c>
      <c r="D90">
        <v>772</v>
      </c>
      <c r="E90">
        <v>780</v>
      </c>
      <c r="F90" s="124">
        <v>78279.822700000004</v>
      </c>
      <c r="G90">
        <v>757</v>
      </c>
      <c r="H90">
        <v>805</v>
      </c>
      <c r="I90" s="124">
        <v>77849.825700000001</v>
      </c>
      <c r="J90">
        <v>883</v>
      </c>
      <c r="K90">
        <v>798</v>
      </c>
    </row>
    <row r="91" spans="1:11">
      <c r="A91" t="s">
        <v>464</v>
      </c>
      <c r="B91" t="s">
        <v>1280</v>
      </c>
      <c r="C91" s="124">
        <v>48564.572899999999</v>
      </c>
      <c r="D91">
        <v>314</v>
      </c>
      <c r="E91">
        <v>187</v>
      </c>
      <c r="F91" s="124">
        <v>62316.206400000003</v>
      </c>
      <c r="G91">
        <v>238</v>
      </c>
      <c r="H91">
        <v>198</v>
      </c>
      <c r="I91" s="124">
        <v>59372.9588</v>
      </c>
      <c r="J91">
        <v>283</v>
      </c>
      <c r="K91">
        <v>203</v>
      </c>
    </row>
    <row r="92" spans="1:11">
      <c r="A92" t="s">
        <v>452</v>
      </c>
      <c r="B92" t="s">
        <v>1281</v>
      </c>
      <c r="C92" s="124">
        <v>42410.058799999999</v>
      </c>
      <c r="D92">
        <v>76</v>
      </c>
      <c r="E92">
        <v>43</v>
      </c>
      <c r="F92" s="124">
        <v>48640.976699999999</v>
      </c>
      <c r="G92">
        <v>82</v>
      </c>
      <c r="H92">
        <v>47</v>
      </c>
      <c r="I92" s="124">
        <v>55908.100700000003</v>
      </c>
      <c r="J92">
        <v>84</v>
      </c>
      <c r="K92">
        <v>55</v>
      </c>
    </row>
    <row r="93" spans="1:11">
      <c r="A93" t="s">
        <v>586</v>
      </c>
      <c r="B93" t="s">
        <v>1282</v>
      </c>
      <c r="C93" s="124">
        <v>58411.690699999999</v>
      </c>
      <c r="D93">
        <v>51</v>
      </c>
      <c r="E93">
        <v>46</v>
      </c>
      <c r="F93" s="124">
        <v>65538.12</v>
      </c>
      <c r="G93">
        <v>53</v>
      </c>
      <c r="H93">
        <v>47</v>
      </c>
      <c r="I93" s="124">
        <v>67599.026299999998</v>
      </c>
      <c r="J93">
        <v>61</v>
      </c>
      <c r="K93">
        <v>53</v>
      </c>
    </row>
    <row r="94" spans="1:11">
      <c r="A94" t="s">
        <v>502</v>
      </c>
      <c r="B94" t="s">
        <v>1283</v>
      </c>
      <c r="C94" s="124">
        <v>53120.044800000003</v>
      </c>
      <c r="D94">
        <v>263</v>
      </c>
      <c r="E94">
        <v>250</v>
      </c>
      <c r="F94" s="124">
        <v>66576.874800000005</v>
      </c>
      <c r="G94">
        <v>255</v>
      </c>
      <c r="H94">
        <v>272</v>
      </c>
      <c r="I94" s="124">
        <v>66002.209000000003</v>
      </c>
      <c r="J94">
        <v>281</v>
      </c>
      <c r="K94">
        <v>274</v>
      </c>
    </row>
    <row r="95" spans="1:11">
      <c r="A95" t="s">
        <v>843</v>
      </c>
      <c r="B95" t="s">
        <v>1284</v>
      </c>
      <c r="C95" s="124">
        <v>46664.583299999998</v>
      </c>
      <c r="D95">
        <v>23</v>
      </c>
      <c r="E95">
        <v>13</v>
      </c>
      <c r="F95" s="124">
        <v>58766.75</v>
      </c>
      <c r="G95">
        <v>25</v>
      </c>
      <c r="H95">
        <v>15</v>
      </c>
      <c r="I95" s="124">
        <v>58286.947399999997</v>
      </c>
      <c r="J95">
        <v>25</v>
      </c>
      <c r="K95">
        <v>13</v>
      </c>
    </row>
    <row r="96" spans="1:11">
      <c r="A96" t="s">
        <v>721</v>
      </c>
      <c r="B96" t="s">
        <v>1285</v>
      </c>
      <c r="C96" s="124">
        <v>49899.608399999997</v>
      </c>
      <c r="D96">
        <v>317</v>
      </c>
      <c r="E96">
        <v>181</v>
      </c>
      <c r="F96" s="124">
        <v>72975.3122</v>
      </c>
      <c r="G96">
        <v>263</v>
      </c>
      <c r="H96">
        <v>227</v>
      </c>
      <c r="I96" s="124">
        <v>65075.344499999999</v>
      </c>
      <c r="J96">
        <v>288</v>
      </c>
      <c r="K96">
        <v>191</v>
      </c>
    </row>
    <row r="97" spans="1:11">
      <c r="A97" t="s">
        <v>765</v>
      </c>
      <c r="B97" t="s">
        <v>1652</v>
      </c>
      <c r="C97" s="124">
        <v>54221</v>
      </c>
      <c r="D97">
        <v>2</v>
      </c>
      <c r="E97">
        <v>1</v>
      </c>
      <c r="F97" s="124">
        <v>86440</v>
      </c>
      <c r="G97">
        <v>1</v>
      </c>
      <c r="H97">
        <v>1</v>
      </c>
      <c r="I97" s="124">
        <v>124897</v>
      </c>
      <c r="K97">
        <v>1</v>
      </c>
    </row>
    <row r="98" spans="1:11">
      <c r="A98" t="s">
        <v>333</v>
      </c>
      <c r="B98" t="s">
        <v>1286</v>
      </c>
      <c r="C98" s="124">
        <v>51745.159899999999</v>
      </c>
      <c r="D98">
        <v>272</v>
      </c>
      <c r="E98">
        <v>197</v>
      </c>
      <c r="F98" s="124">
        <v>63749.4689</v>
      </c>
      <c r="G98">
        <v>285</v>
      </c>
      <c r="H98">
        <v>229</v>
      </c>
      <c r="I98" s="124">
        <v>64818.125800000002</v>
      </c>
      <c r="J98">
        <v>336</v>
      </c>
      <c r="K98">
        <v>260</v>
      </c>
    </row>
    <row r="99" spans="1:11">
      <c r="A99" t="s">
        <v>833</v>
      </c>
      <c r="B99" t="s">
        <v>1287</v>
      </c>
      <c r="C99" s="124">
        <v>60957.0769</v>
      </c>
      <c r="D99">
        <v>30</v>
      </c>
      <c r="E99">
        <v>22</v>
      </c>
      <c r="F99" s="124">
        <v>78014.854200000002</v>
      </c>
      <c r="G99">
        <v>25</v>
      </c>
      <c r="H99">
        <v>23</v>
      </c>
      <c r="I99" s="124">
        <v>72514.728799999997</v>
      </c>
      <c r="J99">
        <v>34</v>
      </c>
      <c r="K99">
        <v>25</v>
      </c>
    </row>
    <row r="100" spans="1:11">
      <c r="A100" t="s">
        <v>733</v>
      </c>
      <c r="B100" t="s">
        <v>1288</v>
      </c>
      <c r="C100" s="124">
        <v>58315.4565</v>
      </c>
      <c r="D100">
        <v>20</v>
      </c>
      <c r="E100">
        <v>26</v>
      </c>
      <c r="F100" s="124">
        <v>77784.8462</v>
      </c>
      <c r="G100">
        <v>12</v>
      </c>
      <c r="H100">
        <v>27</v>
      </c>
      <c r="I100" s="124">
        <v>84359.578899999993</v>
      </c>
      <c r="J100">
        <v>10</v>
      </c>
      <c r="K100">
        <v>28</v>
      </c>
    </row>
    <row r="101" spans="1:11">
      <c r="A101" t="s">
        <v>327</v>
      </c>
      <c r="B101" t="s">
        <v>1289</v>
      </c>
      <c r="C101" s="124">
        <v>50444.600599999998</v>
      </c>
      <c r="D101">
        <v>215</v>
      </c>
      <c r="E101">
        <v>143</v>
      </c>
      <c r="F101" s="124">
        <v>64545.601000000002</v>
      </c>
      <c r="G101">
        <v>245</v>
      </c>
      <c r="H101">
        <v>171</v>
      </c>
      <c r="I101" s="124">
        <v>63026.520499999999</v>
      </c>
      <c r="J101">
        <v>270</v>
      </c>
      <c r="K101">
        <v>193</v>
      </c>
    </row>
    <row r="102" spans="1:11">
      <c r="A102" t="s">
        <v>813</v>
      </c>
      <c r="B102" t="s">
        <v>1290</v>
      </c>
      <c r="C102" s="124">
        <v>46166.458299999998</v>
      </c>
      <c r="D102">
        <v>126</v>
      </c>
      <c r="E102">
        <v>66</v>
      </c>
      <c r="F102" s="124">
        <v>57369.652499999997</v>
      </c>
      <c r="G102">
        <v>178</v>
      </c>
      <c r="H102">
        <v>81</v>
      </c>
      <c r="I102" s="124">
        <v>53930.239399999999</v>
      </c>
      <c r="J102">
        <v>198</v>
      </c>
      <c r="K102">
        <v>86</v>
      </c>
    </row>
    <row r="103" spans="1:11">
      <c r="A103" t="s">
        <v>769</v>
      </c>
      <c r="B103" t="s">
        <v>1291</v>
      </c>
      <c r="C103" s="124">
        <v>51250.678800000002</v>
      </c>
      <c r="D103">
        <v>66</v>
      </c>
      <c r="E103">
        <v>71</v>
      </c>
      <c r="F103" s="124">
        <v>68393.437999999995</v>
      </c>
      <c r="G103">
        <v>62</v>
      </c>
      <c r="H103">
        <v>75</v>
      </c>
      <c r="I103" s="124">
        <v>68795.080900000001</v>
      </c>
      <c r="J103">
        <v>63</v>
      </c>
      <c r="K103">
        <v>73</v>
      </c>
    </row>
    <row r="104" spans="1:11">
      <c r="A104" t="s">
        <v>514</v>
      </c>
      <c r="B104" t="s">
        <v>1292</v>
      </c>
      <c r="C104" s="124">
        <v>50774.996800000001</v>
      </c>
      <c r="D104">
        <v>191</v>
      </c>
      <c r="E104">
        <v>121</v>
      </c>
      <c r="F104" s="124">
        <v>59558.571400000001</v>
      </c>
      <c r="G104">
        <v>219</v>
      </c>
      <c r="H104">
        <v>124</v>
      </c>
      <c r="I104" s="124">
        <v>56471.985399999998</v>
      </c>
      <c r="J104">
        <v>269</v>
      </c>
      <c r="K104">
        <v>143</v>
      </c>
    </row>
    <row r="105" spans="1:11">
      <c r="A105" t="s">
        <v>761</v>
      </c>
      <c r="B105" t="s">
        <v>1293</v>
      </c>
      <c r="C105" s="124">
        <v>58647.003900000003</v>
      </c>
      <c r="D105">
        <v>148</v>
      </c>
      <c r="E105">
        <v>111</v>
      </c>
      <c r="F105" s="124">
        <v>65124.072</v>
      </c>
      <c r="G105">
        <v>135</v>
      </c>
      <c r="H105">
        <v>101</v>
      </c>
      <c r="I105" s="124">
        <v>66207.938299999994</v>
      </c>
      <c r="J105">
        <v>138</v>
      </c>
      <c r="K105">
        <v>105</v>
      </c>
    </row>
    <row r="106" spans="1:11">
      <c r="A106" t="s">
        <v>548</v>
      </c>
      <c r="B106" t="s">
        <v>1294</v>
      </c>
      <c r="C106" s="124">
        <v>51164.784</v>
      </c>
      <c r="D106">
        <v>347</v>
      </c>
      <c r="E106">
        <v>278</v>
      </c>
      <c r="F106" s="124">
        <v>61175.8894</v>
      </c>
      <c r="G106">
        <v>427</v>
      </c>
      <c r="H106">
        <v>287</v>
      </c>
      <c r="I106" s="124">
        <v>56915.8776</v>
      </c>
      <c r="J106">
        <v>467</v>
      </c>
      <c r="K106">
        <v>252</v>
      </c>
    </row>
    <row r="107" spans="1:11">
      <c r="A107" t="s">
        <v>526</v>
      </c>
      <c r="B107" t="s">
        <v>1295</v>
      </c>
      <c r="C107" s="124">
        <v>49780.083500000001</v>
      </c>
      <c r="D107">
        <v>295</v>
      </c>
      <c r="E107">
        <v>232</v>
      </c>
      <c r="F107" s="124">
        <v>68156.455799999996</v>
      </c>
      <c r="G107">
        <v>309</v>
      </c>
      <c r="H107">
        <v>325</v>
      </c>
      <c r="I107" s="124">
        <v>69891.771200000003</v>
      </c>
      <c r="J107">
        <v>350</v>
      </c>
      <c r="K107">
        <v>358</v>
      </c>
    </row>
    <row r="108" spans="1:11">
      <c r="A108" t="s">
        <v>641</v>
      </c>
      <c r="B108" t="s">
        <v>1296</v>
      </c>
      <c r="C108" s="124">
        <v>60250.9712</v>
      </c>
      <c r="D108">
        <v>315</v>
      </c>
      <c r="E108">
        <v>240</v>
      </c>
      <c r="F108" s="124">
        <v>69689.193899999998</v>
      </c>
      <c r="G108">
        <v>406</v>
      </c>
      <c r="H108">
        <v>280</v>
      </c>
      <c r="I108" s="124">
        <v>68940.816099999996</v>
      </c>
      <c r="J108">
        <v>417</v>
      </c>
      <c r="K108">
        <v>279</v>
      </c>
    </row>
    <row r="109" spans="1:11">
      <c r="A109" t="s">
        <v>1651</v>
      </c>
      <c r="B109" t="s">
        <v>1650</v>
      </c>
      <c r="C109" s="124">
        <v>91081.5</v>
      </c>
      <c r="D109">
        <v>2</v>
      </c>
    </row>
    <row r="110" spans="1:11">
      <c r="A110" t="s">
        <v>911</v>
      </c>
      <c r="B110" t="s">
        <v>1649</v>
      </c>
      <c r="C110" s="124">
        <v>44247.75</v>
      </c>
      <c r="E110">
        <v>4</v>
      </c>
      <c r="F110" s="124">
        <v>33388.666700000002</v>
      </c>
      <c r="G110">
        <v>2</v>
      </c>
      <c r="H110">
        <v>1</v>
      </c>
      <c r="I110" s="124">
        <v>72281.666700000002</v>
      </c>
      <c r="J110">
        <v>1</v>
      </c>
      <c r="K110">
        <v>2</v>
      </c>
    </row>
    <row r="111" spans="1:11">
      <c r="A111" t="s">
        <v>899</v>
      </c>
      <c r="B111" t="s">
        <v>1648</v>
      </c>
      <c r="F111" s="124">
        <v>119440.3333</v>
      </c>
      <c r="H111">
        <v>3</v>
      </c>
      <c r="I111" s="124">
        <v>133943.75</v>
      </c>
      <c r="K111">
        <v>4</v>
      </c>
    </row>
    <row r="112" spans="1:11">
      <c r="A112" t="s">
        <v>934</v>
      </c>
      <c r="B112" t="s">
        <v>1647</v>
      </c>
      <c r="C112" s="124">
        <v>68379.5</v>
      </c>
      <c r="E112">
        <v>2</v>
      </c>
      <c r="F112" s="124">
        <v>66210.600000000006</v>
      </c>
      <c r="G112">
        <v>1</v>
      </c>
      <c r="H112">
        <v>4</v>
      </c>
      <c r="I112" s="124">
        <v>90903</v>
      </c>
      <c r="K112">
        <v>4</v>
      </c>
    </row>
    <row r="113" spans="1:11">
      <c r="A113" t="s">
        <v>1646</v>
      </c>
      <c r="B113" t="s">
        <v>1645</v>
      </c>
      <c r="C113" s="124">
        <v>29463.666700000002</v>
      </c>
      <c r="D113">
        <v>2</v>
      </c>
      <c r="E113">
        <v>1</v>
      </c>
    </row>
    <row r="114" spans="1:11">
      <c r="A114" t="s">
        <v>909</v>
      </c>
      <c r="B114" t="s">
        <v>1644</v>
      </c>
      <c r="C114" s="124">
        <v>50813.2</v>
      </c>
      <c r="D114">
        <v>2</v>
      </c>
      <c r="E114">
        <v>3</v>
      </c>
      <c r="F114" s="124">
        <v>80601.166700000002</v>
      </c>
      <c r="H114">
        <v>6</v>
      </c>
      <c r="I114" s="124">
        <v>90673.600000000006</v>
      </c>
      <c r="J114">
        <v>1</v>
      </c>
      <c r="K114">
        <v>4</v>
      </c>
    </row>
    <row r="115" spans="1:11">
      <c r="A115" t="s">
        <v>933</v>
      </c>
      <c r="B115" t="s">
        <v>1643</v>
      </c>
      <c r="C115" s="124">
        <v>31271.833299999998</v>
      </c>
      <c r="D115">
        <v>5</v>
      </c>
      <c r="E115">
        <v>1</v>
      </c>
      <c r="F115" s="124">
        <v>55916.5</v>
      </c>
      <c r="G115">
        <v>2</v>
      </c>
      <c r="H115">
        <v>2</v>
      </c>
      <c r="I115" s="124">
        <v>65647.857099999994</v>
      </c>
      <c r="J115">
        <v>5</v>
      </c>
      <c r="K115">
        <v>2</v>
      </c>
    </row>
    <row r="116" spans="1:11">
      <c r="A116" t="s">
        <v>997</v>
      </c>
      <c r="B116" t="s">
        <v>1642</v>
      </c>
      <c r="C116" s="124">
        <v>73350</v>
      </c>
      <c r="E116">
        <v>1</v>
      </c>
      <c r="F116" s="124">
        <v>63243</v>
      </c>
      <c r="G116">
        <v>1</v>
      </c>
      <c r="H116">
        <v>5</v>
      </c>
      <c r="I116" s="124">
        <v>59180.142899999999</v>
      </c>
      <c r="K116">
        <v>14</v>
      </c>
    </row>
    <row r="117" spans="1:11">
      <c r="A117" t="s">
        <v>1012</v>
      </c>
      <c r="B117" t="s">
        <v>1641</v>
      </c>
      <c r="F117" s="124">
        <v>20748.666700000002</v>
      </c>
      <c r="H117">
        <v>3</v>
      </c>
      <c r="I117" s="124">
        <v>92936.571400000001</v>
      </c>
      <c r="K117">
        <v>7</v>
      </c>
    </row>
    <row r="118" spans="1:11">
      <c r="A118" t="s">
        <v>1014</v>
      </c>
      <c r="B118" t="s">
        <v>1640</v>
      </c>
      <c r="F118" s="124">
        <v>61562.5</v>
      </c>
      <c r="H118">
        <v>4</v>
      </c>
      <c r="I118" s="124">
        <v>72450</v>
      </c>
      <c r="K118">
        <v>4</v>
      </c>
    </row>
    <row r="119" spans="1:11">
      <c r="A119" t="s">
        <v>1091</v>
      </c>
      <c r="B119" t="s">
        <v>1639</v>
      </c>
      <c r="I119" s="124">
        <v>80392.166700000002</v>
      </c>
      <c r="J119">
        <v>1</v>
      </c>
      <c r="K119">
        <v>5</v>
      </c>
    </row>
    <row r="120" spans="1:11">
      <c r="A120" t="s">
        <v>347</v>
      </c>
      <c r="B120" t="s">
        <v>1302</v>
      </c>
      <c r="C120" s="124">
        <v>48842.113799999999</v>
      </c>
      <c r="D120">
        <v>74</v>
      </c>
      <c r="E120">
        <v>49</v>
      </c>
      <c r="F120" s="124">
        <v>63274.8966</v>
      </c>
      <c r="G120">
        <v>64</v>
      </c>
      <c r="H120">
        <v>52</v>
      </c>
      <c r="I120" s="124">
        <v>63075.710700000003</v>
      </c>
      <c r="J120">
        <v>69</v>
      </c>
      <c r="K120">
        <v>52</v>
      </c>
    </row>
    <row r="121" spans="1:11">
      <c r="A121" t="s">
        <v>329</v>
      </c>
      <c r="B121" t="s">
        <v>1303</v>
      </c>
      <c r="C121" s="124">
        <v>46121.6607</v>
      </c>
      <c r="D121">
        <v>75</v>
      </c>
      <c r="E121">
        <v>37</v>
      </c>
      <c r="F121" s="124">
        <v>50965.585400000004</v>
      </c>
      <c r="G121">
        <v>85</v>
      </c>
      <c r="H121">
        <v>38</v>
      </c>
      <c r="I121" s="124">
        <v>51092.085099999997</v>
      </c>
      <c r="J121">
        <v>99</v>
      </c>
      <c r="K121">
        <v>42</v>
      </c>
    </row>
    <row r="122" spans="1:11">
      <c r="A122" t="s">
        <v>631</v>
      </c>
      <c r="B122" t="s">
        <v>1304</v>
      </c>
      <c r="C122" s="124">
        <v>53207.712099999997</v>
      </c>
      <c r="D122">
        <v>68</v>
      </c>
      <c r="E122">
        <v>64</v>
      </c>
      <c r="F122" s="124">
        <v>57677.328699999998</v>
      </c>
      <c r="G122">
        <v>78</v>
      </c>
      <c r="H122">
        <v>65</v>
      </c>
      <c r="I122" s="124">
        <v>63520.389300000003</v>
      </c>
      <c r="J122">
        <v>85</v>
      </c>
      <c r="K122">
        <v>64</v>
      </c>
    </row>
    <row r="123" spans="1:11">
      <c r="A123" t="s">
        <v>370</v>
      </c>
      <c r="B123" t="s">
        <v>1305</v>
      </c>
      <c r="C123" s="124">
        <v>47971.716</v>
      </c>
      <c r="D123">
        <v>200</v>
      </c>
      <c r="E123">
        <v>138</v>
      </c>
      <c r="F123" s="124">
        <v>50881.622799999997</v>
      </c>
      <c r="G123">
        <v>190</v>
      </c>
      <c r="H123">
        <v>144</v>
      </c>
      <c r="I123" s="124">
        <v>60357.253400000001</v>
      </c>
      <c r="J123">
        <v>204</v>
      </c>
      <c r="K123">
        <v>163</v>
      </c>
    </row>
    <row r="124" spans="1:11">
      <c r="A124" t="s">
        <v>775</v>
      </c>
      <c r="B124" t="s">
        <v>1306</v>
      </c>
      <c r="C124" s="124">
        <v>54715.786399999997</v>
      </c>
      <c r="D124">
        <v>97</v>
      </c>
      <c r="E124">
        <v>109</v>
      </c>
      <c r="F124" s="124">
        <v>51373.996400000004</v>
      </c>
      <c r="G124">
        <v>187</v>
      </c>
      <c r="H124">
        <v>93</v>
      </c>
      <c r="I124" s="124">
        <v>54569.304199999999</v>
      </c>
      <c r="J124">
        <v>191</v>
      </c>
      <c r="K124">
        <v>95</v>
      </c>
    </row>
    <row r="125" spans="1:11">
      <c r="A125" t="s">
        <v>1015</v>
      </c>
      <c r="B125" t="s">
        <v>1638</v>
      </c>
      <c r="F125" s="124">
        <v>74978</v>
      </c>
      <c r="G125">
        <v>1</v>
      </c>
      <c r="H125">
        <v>4</v>
      </c>
      <c r="I125" s="124">
        <v>90909.38</v>
      </c>
      <c r="K125">
        <v>8</v>
      </c>
    </row>
    <row r="126" spans="1:11">
      <c r="A126" t="s">
        <v>901</v>
      </c>
      <c r="B126" t="s">
        <v>1637</v>
      </c>
      <c r="C126" s="124">
        <v>40449</v>
      </c>
      <c r="D126">
        <v>1</v>
      </c>
      <c r="F126" s="124">
        <v>81996</v>
      </c>
      <c r="H126">
        <v>1</v>
      </c>
      <c r="I126" s="124">
        <v>82950</v>
      </c>
      <c r="K126">
        <v>1</v>
      </c>
    </row>
    <row r="127" spans="1:11">
      <c r="A127" t="s">
        <v>420</v>
      </c>
      <c r="B127" t="s">
        <v>1308</v>
      </c>
      <c r="C127" s="124">
        <v>23099</v>
      </c>
      <c r="E127">
        <v>1</v>
      </c>
      <c r="F127" s="124">
        <v>18327.5</v>
      </c>
      <c r="G127">
        <v>1</v>
      </c>
      <c r="H127">
        <v>1</v>
      </c>
      <c r="I127" s="124">
        <v>21100</v>
      </c>
      <c r="J127">
        <v>1</v>
      </c>
      <c r="K127">
        <v>1</v>
      </c>
    </row>
    <row r="128" spans="1:11">
      <c r="A128" t="s">
        <v>440</v>
      </c>
      <c r="B128" t="s">
        <v>1309</v>
      </c>
      <c r="C128" s="124">
        <v>56904.5</v>
      </c>
      <c r="D128">
        <v>1</v>
      </c>
      <c r="E128">
        <v>1</v>
      </c>
      <c r="F128" s="124">
        <v>43608</v>
      </c>
      <c r="H128">
        <v>1</v>
      </c>
      <c r="I128" s="124">
        <v>48656</v>
      </c>
      <c r="J128">
        <v>1</v>
      </c>
      <c r="K128">
        <v>1</v>
      </c>
    </row>
    <row r="129" spans="1:11">
      <c r="A129" t="s">
        <v>819</v>
      </c>
      <c r="B129" t="s">
        <v>1636</v>
      </c>
      <c r="C129" s="124">
        <v>21820</v>
      </c>
      <c r="D129">
        <v>1</v>
      </c>
      <c r="F129" s="124">
        <v>41471.875</v>
      </c>
      <c r="G129">
        <v>6</v>
      </c>
      <c r="H129">
        <v>2</v>
      </c>
      <c r="I129" s="124">
        <v>55272.333299999998</v>
      </c>
      <c r="J129">
        <v>4</v>
      </c>
      <c r="K129">
        <v>2</v>
      </c>
    </row>
    <row r="130" spans="1:11">
      <c r="A130" t="s">
        <v>444</v>
      </c>
      <c r="B130" t="s">
        <v>1310</v>
      </c>
      <c r="C130" s="124">
        <v>41949.362500000003</v>
      </c>
      <c r="D130">
        <v>42</v>
      </c>
      <c r="E130">
        <v>38</v>
      </c>
      <c r="F130" s="124">
        <v>43174.352099999996</v>
      </c>
      <c r="G130">
        <v>42</v>
      </c>
      <c r="H130">
        <v>29</v>
      </c>
      <c r="I130" s="124">
        <v>54765.493799999997</v>
      </c>
      <c r="J130">
        <v>43</v>
      </c>
      <c r="K130">
        <v>38</v>
      </c>
    </row>
    <row r="131" spans="1:11">
      <c r="A131" t="s">
        <v>532</v>
      </c>
      <c r="B131" t="s">
        <v>1311</v>
      </c>
      <c r="C131" s="124">
        <v>33636.050000000003</v>
      </c>
      <c r="D131">
        <v>13</v>
      </c>
      <c r="E131">
        <v>7</v>
      </c>
      <c r="F131" s="124">
        <v>32852.142899999999</v>
      </c>
      <c r="G131">
        <v>9</v>
      </c>
      <c r="H131">
        <v>5</v>
      </c>
      <c r="I131" s="124">
        <v>47386.642899999999</v>
      </c>
      <c r="J131">
        <v>9</v>
      </c>
      <c r="K131">
        <v>5</v>
      </c>
    </row>
    <row r="132" spans="1:11">
      <c r="A132" t="s">
        <v>386</v>
      </c>
      <c r="B132" t="s">
        <v>1312</v>
      </c>
      <c r="C132" s="124">
        <v>37657.611100000002</v>
      </c>
      <c r="D132">
        <v>10</v>
      </c>
      <c r="E132">
        <v>8</v>
      </c>
      <c r="F132" s="124">
        <v>53716.0625</v>
      </c>
      <c r="G132">
        <v>8</v>
      </c>
      <c r="H132">
        <v>8</v>
      </c>
      <c r="I132" s="124">
        <v>46278.913</v>
      </c>
      <c r="J132">
        <v>12</v>
      </c>
      <c r="K132">
        <v>11</v>
      </c>
    </row>
    <row r="133" spans="1:11">
      <c r="A133" t="s">
        <v>341</v>
      </c>
      <c r="B133" t="s">
        <v>1635</v>
      </c>
      <c r="C133" s="124">
        <v>34991.5</v>
      </c>
      <c r="D133">
        <v>1</v>
      </c>
      <c r="E133">
        <v>1</v>
      </c>
    </row>
    <row r="134" spans="1:11">
      <c r="A134" t="s">
        <v>616</v>
      </c>
      <c r="B134" t="s">
        <v>1313</v>
      </c>
      <c r="C134" s="124">
        <v>24042.947400000001</v>
      </c>
      <c r="D134">
        <v>16</v>
      </c>
      <c r="E134">
        <v>3</v>
      </c>
      <c r="F134" s="124">
        <v>35623.571400000001</v>
      </c>
      <c r="G134">
        <v>11</v>
      </c>
      <c r="H134">
        <v>3</v>
      </c>
      <c r="I134" s="124">
        <v>39239.941200000001</v>
      </c>
      <c r="J134">
        <v>11</v>
      </c>
      <c r="K134">
        <v>6</v>
      </c>
    </row>
    <row r="135" spans="1:11">
      <c r="A135" t="s">
        <v>456</v>
      </c>
      <c r="B135" t="s">
        <v>1634</v>
      </c>
      <c r="C135" s="124">
        <v>19617.75</v>
      </c>
      <c r="D135">
        <v>3</v>
      </c>
      <c r="E135">
        <v>1</v>
      </c>
      <c r="F135" s="124">
        <v>31745.333299999998</v>
      </c>
      <c r="G135">
        <v>2</v>
      </c>
      <c r="H135">
        <v>1</v>
      </c>
      <c r="I135" s="124">
        <v>39698.666700000002</v>
      </c>
      <c r="J135">
        <v>2</v>
      </c>
      <c r="K135">
        <v>1</v>
      </c>
    </row>
    <row r="136" spans="1:11">
      <c r="A136" t="s">
        <v>602</v>
      </c>
      <c r="B136" t="s">
        <v>1314</v>
      </c>
      <c r="C136" s="124">
        <v>30764.583299999998</v>
      </c>
      <c r="D136">
        <v>9</v>
      </c>
      <c r="E136">
        <v>3</v>
      </c>
      <c r="F136" s="124">
        <v>31567.375</v>
      </c>
      <c r="G136">
        <v>13</v>
      </c>
      <c r="H136">
        <v>3</v>
      </c>
      <c r="I136" s="124">
        <v>38978.1538</v>
      </c>
      <c r="J136">
        <v>9</v>
      </c>
      <c r="K136">
        <v>4</v>
      </c>
    </row>
    <row r="137" spans="1:11">
      <c r="A137" t="s">
        <v>598</v>
      </c>
      <c r="B137" t="s">
        <v>1315</v>
      </c>
      <c r="C137" s="124">
        <v>23202.7857</v>
      </c>
      <c r="D137">
        <v>11</v>
      </c>
      <c r="E137">
        <v>3</v>
      </c>
      <c r="F137" s="124">
        <v>32812.533300000003</v>
      </c>
      <c r="G137">
        <v>12</v>
      </c>
      <c r="H137">
        <v>3</v>
      </c>
      <c r="I137" s="124">
        <v>35275.210500000001</v>
      </c>
      <c r="J137">
        <v>14</v>
      </c>
      <c r="K137">
        <v>5</v>
      </c>
    </row>
    <row r="138" spans="1:11">
      <c r="A138" t="s">
        <v>317</v>
      </c>
      <c r="B138" t="s">
        <v>1316</v>
      </c>
      <c r="C138" s="124">
        <v>30714.769199999999</v>
      </c>
      <c r="D138">
        <v>10</v>
      </c>
      <c r="E138">
        <v>3</v>
      </c>
      <c r="F138" s="124">
        <v>32440.363600000001</v>
      </c>
      <c r="G138">
        <v>9</v>
      </c>
      <c r="H138">
        <v>2</v>
      </c>
      <c r="I138" s="124">
        <v>35339.9231</v>
      </c>
      <c r="J138">
        <v>10</v>
      </c>
      <c r="K138">
        <v>3</v>
      </c>
    </row>
    <row r="139" spans="1:11">
      <c r="A139" t="s">
        <v>883</v>
      </c>
      <c r="B139" t="s">
        <v>1317</v>
      </c>
      <c r="C139" s="124">
        <v>29409.111099999998</v>
      </c>
      <c r="D139">
        <v>14</v>
      </c>
      <c r="E139">
        <v>4</v>
      </c>
      <c r="F139" s="124">
        <v>39132.428599999999</v>
      </c>
      <c r="G139">
        <v>16</v>
      </c>
      <c r="H139">
        <v>5</v>
      </c>
      <c r="I139" s="124">
        <v>8510.1111000000001</v>
      </c>
      <c r="J139">
        <v>14</v>
      </c>
      <c r="K139">
        <v>4</v>
      </c>
    </row>
    <row r="140" spans="1:11">
      <c r="A140" t="s">
        <v>345</v>
      </c>
      <c r="B140" t="s">
        <v>1633</v>
      </c>
      <c r="C140" s="124">
        <v>21905.111099999998</v>
      </c>
      <c r="D140">
        <v>8</v>
      </c>
      <c r="E140">
        <v>1</v>
      </c>
      <c r="F140" s="124">
        <v>22911</v>
      </c>
      <c r="G140">
        <v>2</v>
      </c>
      <c r="H140">
        <v>2</v>
      </c>
      <c r="I140" s="124">
        <v>53007.75</v>
      </c>
      <c r="J140">
        <v>2</v>
      </c>
      <c r="K140">
        <v>2</v>
      </c>
    </row>
    <row r="141" spans="1:11">
      <c r="A141" t="s">
        <v>821</v>
      </c>
      <c r="B141" t="s">
        <v>1318</v>
      </c>
      <c r="C141" s="124">
        <v>39949</v>
      </c>
      <c r="D141">
        <v>22</v>
      </c>
      <c r="E141">
        <v>9</v>
      </c>
      <c r="F141" s="124">
        <v>39895.2667</v>
      </c>
      <c r="G141">
        <v>25</v>
      </c>
      <c r="H141">
        <v>5</v>
      </c>
      <c r="I141" s="124">
        <v>38025.205900000001</v>
      </c>
      <c r="J141">
        <v>28</v>
      </c>
      <c r="K141">
        <v>6</v>
      </c>
    </row>
    <row r="142" spans="1:11">
      <c r="A142" t="s">
        <v>659</v>
      </c>
      <c r="B142" t="s">
        <v>1319</v>
      </c>
      <c r="C142" s="124">
        <v>28556.857100000001</v>
      </c>
      <c r="D142">
        <v>16</v>
      </c>
      <c r="E142">
        <v>5</v>
      </c>
      <c r="F142" s="124">
        <v>37197.7667</v>
      </c>
      <c r="G142">
        <v>22</v>
      </c>
      <c r="H142">
        <v>8</v>
      </c>
      <c r="I142" s="124">
        <v>44382.230799999998</v>
      </c>
      <c r="J142">
        <v>18</v>
      </c>
      <c r="K142">
        <v>8</v>
      </c>
    </row>
    <row r="143" spans="1:11">
      <c r="A143" t="s">
        <v>687</v>
      </c>
      <c r="B143" t="s">
        <v>1320</v>
      </c>
      <c r="C143" s="124">
        <v>30759.3</v>
      </c>
      <c r="D143">
        <v>9</v>
      </c>
      <c r="E143">
        <v>1</v>
      </c>
      <c r="F143" s="124">
        <v>33578.5455</v>
      </c>
      <c r="G143">
        <v>10</v>
      </c>
      <c r="H143">
        <v>1</v>
      </c>
      <c r="I143" s="124">
        <v>35269.928599999999</v>
      </c>
      <c r="J143">
        <v>12</v>
      </c>
      <c r="K143">
        <v>2</v>
      </c>
    </row>
    <row r="144" spans="1:11">
      <c r="A144" t="s">
        <v>376</v>
      </c>
      <c r="B144" t="s">
        <v>1321</v>
      </c>
      <c r="C144" s="124">
        <v>40428.85</v>
      </c>
      <c r="D144">
        <v>53</v>
      </c>
      <c r="E144">
        <v>27</v>
      </c>
      <c r="F144" s="124">
        <v>52383.148099999999</v>
      </c>
      <c r="G144">
        <v>47</v>
      </c>
      <c r="H144">
        <v>34</v>
      </c>
      <c r="I144" s="124">
        <v>55161.25</v>
      </c>
      <c r="J144">
        <v>49</v>
      </c>
      <c r="K144">
        <v>31</v>
      </c>
    </row>
    <row r="145" spans="1:11">
      <c r="A145" t="s">
        <v>871</v>
      </c>
      <c r="B145" t="s">
        <v>1322</v>
      </c>
      <c r="C145" s="124">
        <v>34499.599999999999</v>
      </c>
      <c r="D145">
        <v>7</v>
      </c>
      <c r="E145">
        <v>3</v>
      </c>
      <c r="F145" s="124">
        <v>31563.3</v>
      </c>
      <c r="G145">
        <v>8</v>
      </c>
      <c r="H145">
        <v>2</v>
      </c>
      <c r="I145" s="124">
        <v>5719.6364000000003</v>
      </c>
      <c r="J145">
        <v>9</v>
      </c>
      <c r="K145">
        <v>2</v>
      </c>
    </row>
    <row r="146" spans="1:11">
      <c r="A146" t="s">
        <v>374</v>
      </c>
      <c r="B146" t="s">
        <v>1323</v>
      </c>
      <c r="C146" s="124">
        <v>38329.468800000002</v>
      </c>
      <c r="D146">
        <v>63</v>
      </c>
      <c r="E146">
        <v>33</v>
      </c>
      <c r="F146" s="124">
        <v>53030.5075</v>
      </c>
      <c r="G146">
        <v>36</v>
      </c>
      <c r="H146">
        <v>31</v>
      </c>
      <c r="I146" s="124">
        <v>51918.3488</v>
      </c>
      <c r="J146">
        <v>54</v>
      </c>
      <c r="K146">
        <v>32</v>
      </c>
    </row>
    <row r="147" spans="1:11">
      <c r="A147" t="s">
        <v>783</v>
      </c>
      <c r="B147" t="s">
        <v>1324</v>
      </c>
      <c r="C147" s="124">
        <v>31134</v>
      </c>
      <c r="D147">
        <v>3</v>
      </c>
      <c r="E147">
        <v>2</v>
      </c>
      <c r="F147" s="124">
        <v>89856</v>
      </c>
      <c r="H147">
        <v>2</v>
      </c>
      <c r="I147" s="124">
        <v>94692</v>
      </c>
      <c r="K147">
        <v>2</v>
      </c>
    </row>
    <row r="148" spans="1:11">
      <c r="A148" t="s">
        <v>719</v>
      </c>
      <c r="B148" t="s">
        <v>1632</v>
      </c>
      <c r="C148" s="124">
        <v>32577.090899999999</v>
      </c>
      <c r="D148">
        <v>8</v>
      </c>
      <c r="E148">
        <v>3</v>
      </c>
      <c r="F148" s="124">
        <v>38504.8125</v>
      </c>
      <c r="G148">
        <v>10</v>
      </c>
      <c r="H148">
        <v>6</v>
      </c>
      <c r="I148" s="124">
        <v>6567.3571000000002</v>
      </c>
      <c r="J148">
        <v>10</v>
      </c>
      <c r="K148">
        <v>4</v>
      </c>
    </row>
    <row r="149" spans="1:11">
      <c r="A149" t="s">
        <v>319</v>
      </c>
      <c r="B149" t="s">
        <v>1631</v>
      </c>
      <c r="C149" s="124">
        <v>35732.199999999997</v>
      </c>
      <c r="D149">
        <v>3</v>
      </c>
      <c r="E149">
        <v>2</v>
      </c>
      <c r="F149" s="124">
        <v>58776.333299999998</v>
      </c>
      <c r="H149">
        <v>3</v>
      </c>
      <c r="I149" s="124">
        <v>52253.25</v>
      </c>
      <c r="J149">
        <v>2</v>
      </c>
      <c r="K149">
        <v>2</v>
      </c>
    </row>
    <row r="150" spans="1:11">
      <c r="A150" t="s">
        <v>414</v>
      </c>
      <c r="B150" t="s">
        <v>1326</v>
      </c>
      <c r="C150" s="124">
        <v>52772.5</v>
      </c>
      <c r="D150">
        <v>1</v>
      </c>
      <c r="E150">
        <v>1</v>
      </c>
      <c r="F150" s="124">
        <v>58576</v>
      </c>
      <c r="G150">
        <v>1</v>
      </c>
      <c r="H150">
        <v>1</v>
      </c>
      <c r="I150" s="124">
        <v>44895.333299999998</v>
      </c>
      <c r="J150">
        <v>2</v>
      </c>
      <c r="K150">
        <v>1</v>
      </c>
    </row>
    <row r="151" spans="1:11">
      <c r="A151" t="s">
        <v>653</v>
      </c>
      <c r="B151" t="s">
        <v>1327</v>
      </c>
      <c r="C151" s="124">
        <v>23095.857100000001</v>
      </c>
      <c r="D151">
        <v>6</v>
      </c>
      <c r="E151">
        <v>1</v>
      </c>
      <c r="F151" s="124">
        <v>23791.8</v>
      </c>
      <c r="G151">
        <v>9</v>
      </c>
      <c r="H151">
        <v>1</v>
      </c>
      <c r="I151" s="124">
        <v>25393.1</v>
      </c>
      <c r="J151">
        <v>9</v>
      </c>
      <c r="K151">
        <v>1</v>
      </c>
    </row>
    <row r="152" spans="1:11">
      <c r="A152" t="s">
        <v>877</v>
      </c>
      <c r="B152" t="s">
        <v>1630</v>
      </c>
      <c r="C152" s="124">
        <v>28436.6</v>
      </c>
      <c r="D152">
        <v>8</v>
      </c>
      <c r="E152">
        <v>2</v>
      </c>
      <c r="F152" s="124">
        <v>38244.4444</v>
      </c>
      <c r="G152">
        <v>7</v>
      </c>
      <c r="H152">
        <v>2</v>
      </c>
      <c r="I152" s="124">
        <v>43207.111100000002</v>
      </c>
      <c r="J152">
        <v>6</v>
      </c>
      <c r="K152">
        <v>3</v>
      </c>
    </row>
    <row r="153" spans="1:11">
      <c r="A153" t="s">
        <v>498</v>
      </c>
      <c r="B153" t="s">
        <v>1328</v>
      </c>
      <c r="C153" s="124">
        <v>28915</v>
      </c>
      <c r="D153">
        <v>3</v>
      </c>
      <c r="E153">
        <v>1</v>
      </c>
      <c r="F153" s="124">
        <v>38088.5</v>
      </c>
      <c r="H153">
        <v>2</v>
      </c>
      <c r="I153" s="124">
        <v>28330.799999999999</v>
      </c>
      <c r="J153">
        <v>3</v>
      </c>
      <c r="K153">
        <v>2</v>
      </c>
    </row>
    <row r="154" spans="1:11">
      <c r="A154" t="s">
        <v>424</v>
      </c>
      <c r="B154" t="s">
        <v>1329</v>
      </c>
      <c r="C154" s="124">
        <v>40566.888899999998</v>
      </c>
      <c r="D154">
        <v>5</v>
      </c>
      <c r="E154">
        <v>4</v>
      </c>
      <c r="F154" s="124">
        <v>41767.363599999997</v>
      </c>
      <c r="G154">
        <v>8</v>
      </c>
      <c r="H154">
        <v>3</v>
      </c>
      <c r="I154" s="124">
        <v>41200.75</v>
      </c>
      <c r="J154">
        <v>9</v>
      </c>
      <c r="K154">
        <v>3</v>
      </c>
    </row>
    <row r="155" spans="1:11">
      <c r="A155" t="s">
        <v>779</v>
      </c>
      <c r="B155" t="s">
        <v>1629</v>
      </c>
      <c r="C155" s="124">
        <v>35078.666700000002</v>
      </c>
      <c r="D155">
        <v>5</v>
      </c>
      <c r="E155">
        <v>1</v>
      </c>
      <c r="F155" s="124">
        <v>68107</v>
      </c>
      <c r="G155">
        <v>1</v>
      </c>
      <c r="H155">
        <v>1</v>
      </c>
      <c r="I155" s="124">
        <v>77363</v>
      </c>
      <c r="J155">
        <v>1</v>
      </c>
      <c r="K155">
        <v>2</v>
      </c>
    </row>
    <row r="156" spans="1:11">
      <c r="A156" t="s">
        <v>490</v>
      </c>
      <c r="B156" t="s">
        <v>1330</v>
      </c>
      <c r="C156" s="124">
        <v>39506.75</v>
      </c>
      <c r="D156">
        <v>3</v>
      </c>
      <c r="E156">
        <v>1</v>
      </c>
      <c r="F156" s="124">
        <v>51583</v>
      </c>
      <c r="G156">
        <v>3</v>
      </c>
      <c r="H156">
        <v>1</v>
      </c>
      <c r="I156" s="124">
        <v>44396.25</v>
      </c>
      <c r="J156">
        <v>3</v>
      </c>
      <c r="K156">
        <v>1</v>
      </c>
    </row>
    <row r="157" spans="1:11">
      <c r="A157" t="s">
        <v>759</v>
      </c>
      <c r="B157" t="s">
        <v>1331</v>
      </c>
      <c r="C157" s="124">
        <v>42279.877899999999</v>
      </c>
      <c r="D157">
        <v>84</v>
      </c>
      <c r="E157">
        <v>47</v>
      </c>
      <c r="F157" s="124">
        <v>59936.297299999998</v>
      </c>
      <c r="G157">
        <v>58</v>
      </c>
      <c r="H157">
        <v>53</v>
      </c>
      <c r="I157" s="124">
        <v>58476.655200000001</v>
      </c>
      <c r="J157">
        <v>66</v>
      </c>
      <c r="K157">
        <v>50</v>
      </c>
    </row>
    <row r="158" spans="1:11">
      <c r="A158" t="s">
        <v>574</v>
      </c>
      <c r="B158" t="s">
        <v>1628</v>
      </c>
      <c r="C158" s="124">
        <v>31322.6</v>
      </c>
      <c r="D158">
        <v>3</v>
      </c>
      <c r="E158">
        <v>2</v>
      </c>
      <c r="F158" s="124">
        <v>42155</v>
      </c>
      <c r="G158">
        <v>4</v>
      </c>
      <c r="H158">
        <v>1</v>
      </c>
      <c r="I158" s="124">
        <v>42732.833299999998</v>
      </c>
      <c r="J158">
        <v>5</v>
      </c>
      <c r="K158">
        <v>1</v>
      </c>
    </row>
    <row r="159" spans="1:11">
      <c r="A159" t="s">
        <v>691</v>
      </c>
      <c r="B159" t="s">
        <v>1333</v>
      </c>
      <c r="C159" s="124">
        <v>55779.375</v>
      </c>
      <c r="D159">
        <v>6</v>
      </c>
      <c r="E159">
        <v>10</v>
      </c>
      <c r="F159" s="124">
        <v>54952.5455</v>
      </c>
      <c r="G159">
        <v>14</v>
      </c>
      <c r="H159">
        <v>8</v>
      </c>
      <c r="I159" s="124">
        <v>61152.5</v>
      </c>
      <c r="J159">
        <v>10</v>
      </c>
      <c r="K159">
        <v>10</v>
      </c>
    </row>
    <row r="160" spans="1:11">
      <c r="A160" t="s">
        <v>633</v>
      </c>
      <c r="B160" t="s">
        <v>1334</v>
      </c>
      <c r="C160" s="124">
        <v>40717.632700000002</v>
      </c>
      <c r="D160">
        <v>35</v>
      </c>
      <c r="E160">
        <v>14</v>
      </c>
      <c r="F160" s="124">
        <v>60049.278700000003</v>
      </c>
      <c r="G160">
        <v>36</v>
      </c>
      <c r="H160">
        <v>25</v>
      </c>
      <c r="I160" s="124">
        <v>63398</v>
      </c>
      <c r="J160">
        <v>35</v>
      </c>
      <c r="K160">
        <v>26</v>
      </c>
    </row>
    <row r="161" spans="1:11">
      <c r="A161" t="s">
        <v>506</v>
      </c>
      <c r="B161" t="s">
        <v>1335</v>
      </c>
      <c r="C161" s="124">
        <v>45628.416700000002</v>
      </c>
      <c r="D161">
        <v>7</v>
      </c>
      <c r="E161">
        <v>5</v>
      </c>
      <c r="F161" s="124">
        <v>42542.25</v>
      </c>
      <c r="G161">
        <v>9</v>
      </c>
      <c r="H161">
        <v>3</v>
      </c>
      <c r="I161" s="124">
        <v>45345.090900000003</v>
      </c>
      <c r="J161">
        <v>8</v>
      </c>
      <c r="K161">
        <v>3</v>
      </c>
    </row>
    <row r="162" spans="1:11">
      <c r="A162" t="s">
        <v>620</v>
      </c>
      <c r="B162" t="s">
        <v>1336</v>
      </c>
      <c r="C162" s="124">
        <v>37697</v>
      </c>
      <c r="D162">
        <v>2</v>
      </c>
      <c r="E162">
        <v>3</v>
      </c>
      <c r="F162" s="124">
        <v>68502.333299999998</v>
      </c>
      <c r="G162">
        <v>1</v>
      </c>
      <c r="H162">
        <v>2</v>
      </c>
      <c r="I162" s="124">
        <v>59095.833299999998</v>
      </c>
      <c r="J162">
        <v>4</v>
      </c>
      <c r="K162">
        <v>2</v>
      </c>
    </row>
    <row r="163" spans="1:11">
      <c r="A163" t="s">
        <v>657</v>
      </c>
      <c r="B163" t="s">
        <v>1337</v>
      </c>
      <c r="C163" s="124">
        <v>52006.195699999997</v>
      </c>
      <c r="D163">
        <v>42</v>
      </c>
      <c r="E163">
        <v>50</v>
      </c>
      <c r="F163" s="124">
        <v>63408.589500000002</v>
      </c>
      <c r="G163">
        <v>39</v>
      </c>
      <c r="H163">
        <v>56</v>
      </c>
      <c r="I163" s="124">
        <v>62745.329400000002</v>
      </c>
      <c r="J163">
        <v>36</v>
      </c>
      <c r="K163">
        <v>49</v>
      </c>
    </row>
    <row r="164" spans="1:11">
      <c r="A164" t="s">
        <v>655</v>
      </c>
      <c r="B164" t="s">
        <v>1338</v>
      </c>
      <c r="C164" s="124">
        <v>39705.7143</v>
      </c>
      <c r="D164">
        <v>14</v>
      </c>
      <c r="E164">
        <v>7</v>
      </c>
      <c r="F164" s="124">
        <v>50899.360000000001</v>
      </c>
      <c r="G164">
        <v>16</v>
      </c>
      <c r="H164">
        <v>9</v>
      </c>
      <c r="I164" s="124">
        <v>42507.589699999997</v>
      </c>
      <c r="J164">
        <v>30</v>
      </c>
      <c r="K164">
        <v>9</v>
      </c>
    </row>
    <row r="165" spans="1:11">
      <c r="A165" t="s">
        <v>349</v>
      </c>
      <c r="B165" t="s">
        <v>1339</v>
      </c>
      <c r="C165" s="124">
        <v>38562.863599999997</v>
      </c>
      <c r="D165">
        <v>15</v>
      </c>
      <c r="E165">
        <v>7</v>
      </c>
      <c r="F165" s="124">
        <v>47067.95</v>
      </c>
      <c r="G165">
        <v>14</v>
      </c>
      <c r="H165">
        <v>6</v>
      </c>
      <c r="I165" s="124">
        <v>46780.041700000002</v>
      </c>
      <c r="J165">
        <v>15</v>
      </c>
      <c r="K165">
        <v>9</v>
      </c>
    </row>
    <row r="166" spans="1:11">
      <c r="A166" t="s">
        <v>683</v>
      </c>
      <c r="B166" t="s">
        <v>1340</v>
      </c>
      <c r="C166" s="124">
        <v>39695.857100000001</v>
      </c>
      <c r="D166">
        <v>5</v>
      </c>
      <c r="E166">
        <v>2</v>
      </c>
      <c r="F166" s="124">
        <v>37570.4444</v>
      </c>
      <c r="G166">
        <v>7</v>
      </c>
      <c r="H166">
        <v>2</v>
      </c>
      <c r="I166" s="124">
        <v>62311.5</v>
      </c>
      <c r="J166">
        <v>3</v>
      </c>
      <c r="K166">
        <v>3</v>
      </c>
    </row>
    <row r="167" spans="1:11">
      <c r="A167" t="s">
        <v>590</v>
      </c>
      <c r="B167" t="s">
        <v>1627</v>
      </c>
      <c r="C167" s="124">
        <v>21595.769199999999</v>
      </c>
      <c r="D167">
        <v>12</v>
      </c>
      <c r="E167">
        <v>1</v>
      </c>
      <c r="F167" s="124">
        <v>32185.333299999998</v>
      </c>
      <c r="G167">
        <v>9</v>
      </c>
      <c r="H167">
        <v>3</v>
      </c>
      <c r="I167" s="124">
        <v>35810.199999999997</v>
      </c>
      <c r="J167">
        <v>9</v>
      </c>
      <c r="K167">
        <v>1</v>
      </c>
    </row>
    <row r="168" spans="1:11">
      <c r="A168" t="s">
        <v>823</v>
      </c>
      <c r="B168" t="s">
        <v>1341</v>
      </c>
      <c r="C168" s="124">
        <v>33754.368399999999</v>
      </c>
      <c r="D168">
        <v>14</v>
      </c>
      <c r="E168">
        <v>5</v>
      </c>
      <c r="F168" s="124">
        <v>44021.618999999999</v>
      </c>
      <c r="G168">
        <v>15</v>
      </c>
      <c r="H168">
        <v>6</v>
      </c>
      <c r="I168" s="124">
        <v>47489.173900000002</v>
      </c>
      <c r="J168">
        <v>16</v>
      </c>
      <c r="K168">
        <v>7</v>
      </c>
    </row>
    <row r="169" spans="1:11">
      <c r="A169" t="s">
        <v>671</v>
      </c>
      <c r="B169" t="s">
        <v>1342</v>
      </c>
      <c r="C169" s="124">
        <v>35192.0625</v>
      </c>
      <c r="D169">
        <v>11</v>
      </c>
      <c r="E169">
        <v>5</v>
      </c>
      <c r="F169" s="124">
        <v>39840.5</v>
      </c>
      <c r="G169">
        <v>8</v>
      </c>
      <c r="H169">
        <v>4</v>
      </c>
      <c r="I169" s="124">
        <v>45731.083299999998</v>
      </c>
      <c r="J169">
        <v>7</v>
      </c>
      <c r="K169">
        <v>5</v>
      </c>
    </row>
    <row r="170" spans="1:11">
      <c r="A170" t="s">
        <v>717</v>
      </c>
      <c r="B170" t="s">
        <v>1343</v>
      </c>
      <c r="C170" s="124">
        <v>54994.2</v>
      </c>
      <c r="D170">
        <v>12</v>
      </c>
      <c r="E170">
        <v>8</v>
      </c>
      <c r="I170" s="124">
        <v>40051.0769</v>
      </c>
      <c r="J170">
        <v>10</v>
      </c>
      <c r="K170">
        <v>3</v>
      </c>
    </row>
    <row r="171" spans="1:11">
      <c r="A171" t="s">
        <v>773</v>
      </c>
      <c r="B171" t="s">
        <v>1344</v>
      </c>
      <c r="C171" s="124">
        <v>33017.7333</v>
      </c>
      <c r="D171">
        <v>25</v>
      </c>
      <c r="E171">
        <v>5</v>
      </c>
      <c r="F171" s="124">
        <v>37652.8485</v>
      </c>
      <c r="G171">
        <v>29</v>
      </c>
      <c r="H171">
        <v>4</v>
      </c>
      <c r="I171" s="124">
        <v>38213.468800000002</v>
      </c>
      <c r="J171">
        <v>28</v>
      </c>
      <c r="K171">
        <v>4</v>
      </c>
    </row>
    <row r="172" spans="1:11">
      <c r="A172" t="s">
        <v>879</v>
      </c>
      <c r="B172" t="s">
        <v>1345</v>
      </c>
      <c r="C172" s="124">
        <v>32477.466700000001</v>
      </c>
      <c r="D172">
        <v>12</v>
      </c>
      <c r="E172">
        <v>3</v>
      </c>
      <c r="F172" s="124">
        <v>41432.866699999999</v>
      </c>
      <c r="G172">
        <v>11</v>
      </c>
      <c r="H172">
        <v>4</v>
      </c>
      <c r="I172" s="124">
        <v>45187.941200000001</v>
      </c>
      <c r="J172">
        <v>13</v>
      </c>
      <c r="K172">
        <v>4</v>
      </c>
    </row>
    <row r="173" spans="1:11">
      <c r="A173" t="s">
        <v>635</v>
      </c>
      <c r="B173" t="s">
        <v>1626</v>
      </c>
      <c r="C173" s="124">
        <v>52737.666700000002</v>
      </c>
      <c r="D173">
        <v>1</v>
      </c>
      <c r="E173">
        <v>2</v>
      </c>
      <c r="F173" s="124">
        <v>51849</v>
      </c>
      <c r="G173">
        <v>2</v>
      </c>
      <c r="I173" s="124">
        <v>87063.5</v>
      </c>
      <c r="J173">
        <v>1</v>
      </c>
      <c r="K173">
        <v>1</v>
      </c>
    </row>
    <row r="174" spans="1:11">
      <c r="A174" t="s">
        <v>621</v>
      </c>
      <c r="B174" t="s">
        <v>1625</v>
      </c>
      <c r="C174" s="124">
        <v>51225.7742</v>
      </c>
      <c r="D174">
        <v>16</v>
      </c>
      <c r="E174">
        <v>15</v>
      </c>
      <c r="F174" s="124">
        <v>56533.212099999997</v>
      </c>
      <c r="G174">
        <v>18</v>
      </c>
      <c r="H174">
        <v>15</v>
      </c>
      <c r="I174" s="124">
        <v>54380.314299999998</v>
      </c>
      <c r="J174">
        <v>20</v>
      </c>
      <c r="K174">
        <v>15</v>
      </c>
    </row>
    <row r="175" spans="1:11">
      <c r="A175" t="s">
        <v>418</v>
      </c>
      <c r="B175" t="s">
        <v>1346</v>
      </c>
      <c r="C175" s="124">
        <v>32547.4444</v>
      </c>
      <c r="D175">
        <v>6</v>
      </c>
      <c r="E175">
        <v>3</v>
      </c>
      <c r="F175" s="124">
        <v>42541.5556</v>
      </c>
      <c r="G175">
        <v>7</v>
      </c>
      <c r="H175">
        <v>2</v>
      </c>
      <c r="I175" s="124">
        <v>43774.769200000002</v>
      </c>
      <c r="J175">
        <v>9</v>
      </c>
      <c r="K175">
        <v>4</v>
      </c>
    </row>
    <row r="176" spans="1:11">
      <c r="A176" t="s">
        <v>753</v>
      </c>
      <c r="B176" t="s">
        <v>1347</v>
      </c>
      <c r="C176" s="124">
        <v>39590</v>
      </c>
      <c r="D176">
        <v>6</v>
      </c>
      <c r="E176">
        <v>7</v>
      </c>
      <c r="F176" s="124">
        <v>48978.818200000002</v>
      </c>
      <c r="G176">
        <v>6</v>
      </c>
      <c r="H176">
        <v>5</v>
      </c>
      <c r="I176" s="124">
        <v>45315.230799999998</v>
      </c>
      <c r="J176">
        <v>7</v>
      </c>
      <c r="K176">
        <v>6</v>
      </c>
    </row>
    <row r="177" spans="1:11">
      <c r="A177" t="s">
        <v>795</v>
      </c>
      <c r="B177" t="s">
        <v>1348</v>
      </c>
      <c r="C177" s="124">
        <v>51251.237300000001</v>
      </c>
      <c r="D177">
        <v>30</v>
      </c>
      <c r="E177">
        <v>29</v>
      </c>
      <c r="F177" s="124">
        <v>57314.345200000003</v>
      </c>
      <c r="G177">
        <v>48</v>
      </c>
      <c r="H177">
        <v>36</v>
      </c>
      <c r="I177" s="124">
        <v>60105.298699999999</v>
      </c>
      <c r="J177">
        <v>48</v>
      </c>
      <c r="K177">
        <v>29</v>
      </c>
    </row>
    <row r="178" spans="1:11">
      <c r="A178" t="s">
        <v>705</v>
      </c>
      <c r="B178" t="s">
        <v>1349</v>
      </c>
      <c r="C178" s="124">
        <v>54225.774299999997</v>
      </c>
      <c r="D178">
        <v>260</v>
      </c>
      <c r="E178">
        <v>183</v>
      </c>
      <c r="F178" s="124">
        <v>69067.752500000002</v>
      </c>
      <c r="G178">
        <v>281</v>
      </c>
      <c r="H178">
        <v>212</v>
      </c>
      <c r="I178" s="124">
        <v>59452.220999999998</v>
      </c>
      <c r="J178">
        <v>343</v>
      </c>
      <c r="K178">
        <v>218</v>
      </c>
    </row>
    <row r="179" spans="1:11">
      <c r="A179" t="s">
        <v>809</v>
      </c>
      <c r="B179" t="s">
        <v>1350</v>
      </c>
      <c r="C179" s="124">
        <v>59491.442999999999</v>
      </c>
      <c r="D179">
        <v>309</v>
      </c>
      <c r="E179">
        <v>296</v>
      </c>
      <c r="F179" s="124">
        <v>79573.864499999996</v>
      </c>
      <c r="G179">
        <v>247</v>
      </c>
      <c r="H179">
        <v>299</v>
      </c>
      <c r="I179" s="124">
        <v>74034.607099999994</v>
      </c>
      <c r="J179">
        <v>279</v>
      </c>
      <c r="K179">
        <v>309</v>
      </c>
    </row>
    <row r="180" spans="1:11">
      <c r="A180" t="s">
        <v>361</v>
      </c>
      <c r="B180" t="s">
        <v>1624</v>
      </c>
      <c r="C180" s="124">
        <v>43369.333299999998</v>
      </c>
      <c r="D180">
        <v>2</v>
      </c>
      <c r="E180">
        <v>1</v>
      </c>
      <c r="F180" s="124">
        <v>42069.75</v>
      </c>
      <c r="G180">
        <v>3</v>
      </c>
      <c r="H180">
        <v>1</v>
      </c>
      <c r="I180" s="124">
        <v>48042</v>
      </c>
      <c r="J180">
        <v>2</v>
      </c>
      <c r="K180">
        <v>2</v>
      </c>
    </row>
    <row r="181" spans="1:11">
      <c r="A181" t="s">
        <v>837</v>
      </c>
      <c r="B181" t="s">
        <v>1351</v>
      </c>
      <c r="C181" s="124">
        <v>53947.314299999998</v>
      </c>
      <c r="D181">
        <v>55</v>
      </c>
      <c r="E181">
        <v>50</v>
      </c>
      <c r="F181" s="124">
        <v>60836.104800000001</v>
      </c>
      <c r="G181">
        <v>74</v>
      </c>
      <c r="H181">
        <v>50</v>
      </c>
      <c r="I181" s="124">
        <v>61386.890800000001</v>
      </c>
      <c r="J181">
        <v>73</v>
      </c>
      <c r="K181">
        <v>46</v>
      </c>
    </row>
    <row r="182" spans="1:11">
      <c r="A182" t="s">
        <v>805</v>
      </c>
      <c r="B182" t="s">
        <v>1623</v>
      </c>
      <c r="C182" s="124">
        <v>48349.896099999998</v>
      </c>
      <c r="D182">
        <v>185</v>
      </c>
      <c r="E182">
        <v>123</v>
      </c>
      <c r="F182" s="124">
        <v>56647.521399999998</v>
      </c>
      <c r="G182">
        <v>174</v>
      </c>
      <c r="H182">
        <v>106</v>
      </c>
      <c r="I182" s="124">
        <v>58342.729099999997</v>
      </c>
      <c r="J182">
        <v>179</v>
      </c>
      <c r="K182">
        <v>120</v>
      </c>
    </row>
    <row r="183" spans="1:11">
      <c r="A183" t="s">
        <v>430</v>
      </c>
      <c r="B183" t="s">
        <v>1353</v>
      </c>
      <c r="C183" s="124">
        <v>44907.579700000002</v>
      </c>
      <c r="D183">
        <v>49</v>
      </c>
      <c r="E183">
        <v>20</v>
      </c>
      <c r="F183" s="124">
        <v>50616.722199999997</v>
      </c>
      <c r="G183">
        <v>37</v>
      </c>
      <c r="H183">
        <v>17</v>
      </c>
      <c r="I183" s="124">
        <v>53720.947399999997</v>
      </c>
      <c r="J183">
        <v>39</v>
      </c>
      <c r="K183">
        <v>18</v>
      </c>
    </row>
    <row r="184" spans="1:11">
      <c r="A184" t="s">
        <v>673</v>
      </c>
      <c r="B184" t="s">
        <v>1354</v>
      </c>
      <c r="C184" s="124">
        <v>50021.415099999998</v>
      </c>
      <c r="D184">
        <v>30</v>
      </c>
      <c r="E184">
        <v>23</v>
      </c>
      <c r="F184" s="124">
        <v>55131.0625</v>
      </c>
      <c r="G184">
        <v>40</v>
      </c>
      <c r="H184">
        <v>24</v>
      </c>
      <c r="I184" s="124">
        <v>53077.102899999998</v>
      </c>
      <c r="J184">
        <v>45</v>
      </c>
      <c r="K184">
        <v>23</v>
      </c>
    </row>
    <row r="185" spans="1:11">
      <c r="A185" t="s">
        <v>388</v>
      </c>
      <c r="B185" t="s">
        <v>1355</v>
      </c>
      <c r="C185" s="124">
        <v>60981.488799999999</v>
      </c>
      <c r="D185">
        <v>148</v>
      </c>
      <c r="E185">
        <v>165</v>
      </c>
      <c r="F185" s="124">
        <v>68565.722899999993</v>
      </c>
      <c r="G185">
        <v>177</v>
      </c>
      <c r="H185">
        <v>155</v>
      </c>
      <c r="I185" s="124">
        <v>97485.170400000003</v>
      </c>
      <c r="J185">
        <v>1</v>
      </c>
      <c r="K185">
        <v>134</v>
      </c>
    </row>
    <row r="186" spans="1:11">
      <c r="A186" t="s">
        <v>689</v>
      </c>
      <c r="B186" t="s">
        <v>1356</v>
      </c>
      <c r="C186" s="124">
        <v>49227.957699999999</v>
      </c>
      <c r="D186">
        <v>144</v>
      </c>
      <c r="E186">
        <v>116</v>
      </c>
      <c r="F186" s="124">
        <v>60327.708899999998</v>
      </c>
      <c r="G186">
        <v>124</v>
      </c>
      <c r="H186">
        <v>113</v>
      </c>
      <c r="I186" s="124">
        <v>58341.283000000003</v>
      </c>
      <c r="J186">
        <v>155</v>
      </c>
      <c r="K186">
        <v>110</v>
      </c>
    </row>
    <row r="187" spans="1:11">
      <c r="A187" t="s">
        <v>472</v>
      </c>
      <c r="B187" t="s">
        <v>1357</v>
      </c>
      <c r="C187" s="124">
        <v>47532.407899999998</v>
      </c>
      <c r="D187">
        <v>126</v>
      </c>
      <c r="E187">
        <v>102</v>
      </c>
      <c r="F187" s="124">
        <v>51488.224900000001</v>
      </c>
      <c r="G187">
        <v>108</v>
      </c>
      <c r="H187">
        <v>101</v>
      </c>
      <c r="I187" s="124">
        <v>60481.292399999998</v>
      </c>
      <c r="J187">
        <v>131</v>
      </c>
      <c r="K187">
        <v>105</v>
      </c>
    </row>
    <row r="188" spans="1:11">
      <c r="A188" t="s">
        <v>339</v>
      </c>
      <c r="B188" t="s">
        <v>1358</v>
      </c>
      <c r="C188" s="124">
        <v>47405.788500000002</v>
      </c>
      <c r="D188">
        <v>241</v>
      </c>
      <c r="E188">
        <v>194</v>
      </c>
      <c r="F188" s="124">
        <v>56004.517500000002</v>
      </c>
      <c r="G188">
        <v>241</v>
      </c>
      <c r="H188">
        <v>217</v>
      </c>
      <c r="I188" s="124">
        <v>54829.4038</v>
      </c>
      <c r="J188">
        <v>271</v>
      </c>
      <c r="K188">
        <v>207</v>
      </c>
    </row>
    <row r="189" spans="1:11">
      <c r="A189" t="s">
        <v>442</v>
      </c>
      <c r="B189" t="s">
        <v>1359</v>
      </c>
      <c r="C189" s="124">
        <v>43268.323499999999</v>
      </c>
      <c r="D189">
        <v>21</v>
      </c>
      <c r="E189">
        <v>13</v>
      </c>
      <c r="F189" s="124">
        <v>49929</v>
      </c>
      <c r="G189">
        <v>31</v>
      </c>
      <c r="H189">
        <v>22</v>
      </c>
      <c r="I189" s="124">
        <v>54763.966099999998</v>
      </c>
      <c r="J189">
        <v>33</v>
      </c>
      <c r="K189">
        <v>26</v>
      </c>
    </row>
    <row r="190" spans="1:11">
      <c r="A190" t="s">
        <v>873</v>
      </c>
      <c r="B190" t="s">
        <v>1360</v>
      </c>
      <c r="C190" s="124">
        <v>46199.988599999997</v>
      </c>
      <c r="D190">
        <v>49</v>
      </c>
      <c r="E190">
        <v>39</v>
      </c>
      <c r="F190" s="124">
        <v>52492.47</v>
      </c>
      <c r="G190">
        <v>56</v>
      </c>
      <c r="H190">
        <v>44</v>
      </c>
      <c r="I190" s="124">
        <v>51639.420599999998</v>
      </c>
      <c r="J190">
        <v>63</v>
      </c>
      <c r="K190">
        <v>44</v>
      </c>
    </row>
    <row r="191" spans="1:11">
      <c r="A191" t="s">
        <v>468</v>
      </c>
      <c r="B191" t="s">
        <v>1361</v>
      </c>
      <c r="C191" s="124">
        <v>53865.527800000003</v>
      </c>
      <c r="D191">
        <v>40</v>
      </c>
      <c r="E191">
        <v>32</v>
      </c>
      <c r="F191" s="124">
        <v>64662.051500000001</v>
      </c>
      <c r="G191">
        <v>55</v>
      </c>
      <c r="H191">
        <v>42</v>
      </c>
      <c r="I191" s="124">
        <v>66878.1489</v>
      </c>
      <c r="J191">
        <v>51</v>
      </c>
      <c r="K191">
        <v>43</v>
      </c>
    </row>
    <row r="192" spans="1:11">
      <c r="A192" t="s">
        <v>995</v>
      </c>
      <c r="B192" t="s">
        <v>1362</v>
      </c>
      <c r="C192" s="124">
        <v>48429.5</v>
      </c>
      <c r="D192">
        <v>7</v>
      </c>
      <c r="E192">
        <v>3</v>
      </c>
      <c r="F192" s="124">
        <v>92964.5</v>
      </c>
      <c r="G192">
        <v>2</v>
      </c>
      <c r="H192">
        <v>4</v>
      </c>
      <c r="I192" s="124">
        <v>90173.222200000004</v>
      </c>
      <c r="J192">
        <v>2</v>
      </c>
      <c r="K192">
        <v>7</v>
      </c>
    </row>
    <row r="193" spans="1:11">
      <c r="A193" t="s">
        <v>1033</v>
      </c>
      <c r="B193" t="s">
        <v>1622</v>
      </c>
      <c r="F193" s="124">
        <v>14225.5</v>
      </c>
      <c r="H193">
        <v>2</v>
      </c>
      <c r="I193" s="124">
        <v>78233.909100000004</v>
      </c>
      <c r="K193">
        <v>11</v>
      </c>
    </row>
    <row r="194" spans="1:11">
      <c r="A194" t="s">
        <v>1621</v>
      </c>
      <c r="B194" t="s">
        <v>1620</v>
      </c>
      <c r="C194" s="124">
        <v>19727.2</v>
      </c>
      <c r="D194">
        <v>4</v>
      </c>
      <c r="E194">
        <v>1</v>
      </c>
    </row>
    <row r="195" spans="1:11">
      <c r="A195" t="s">
        <v>910</v>
      </c>
      <c r="B195" t="s">
        <v>1619</v>
      </c>
      <c r="C195" s="124">
        <v>51185</v>
      </c>
      <c r="E195">
        <v>2</v>
      </c>
      <c r="F195" s="124">
        <v>63926.333299999998</v>
      </c>
      <c r="G195">
        <v>1</v>
      </c>
      <c r="H195">
        <v>2</v>
      </c>
      <c r="I195" s="124">
        <v>105389</v>
      </c>
      <c r="K195">
        <v>1</v>
      </c>
    </row>
    <row r="196" spans="1:11">
      <c r="A196" t="s">
        <v>1618</v>
      </c>
      <c r="B196" t="s">
        <v>1617</v>
      </c>
      <c r="C196" s="124">
        <v>51034</v>
      </c>
      <c r="E196">
        <v>2</v>
      </c>
    </row>
    <row r="197" spans="1:11">
      <c r="A197" t="s">
        <v>663</v>
      </c>
      <c r="B197" t="s">
        <v>1616</v>
      </c>
      <c r="C197" s="124">
        <v>41940.550000000003</v>
      </c>
      <c r="D197">
        <v>14</v>
      </c>
      <c r="E197">
        <v>6</v>
      </c>
      <c r="F197" s="124">
        <v>44335.818200000002</v>
      </c>
      <c r="G197">
        <v>17</v>
      </c>
      <c r="H197">
        <v>5</v>
      </c>
      <c r="I197" s="124">
        <v>48191.388899999998</v>
      </c>
      <c r="J197">
        <v>13</v>
      </c>
      <c r="K197">
        <v>5</v>
      </c>
    </row>
    <row r="198" spans="1:11">
      <c r="A198" t="s">
        <v>562</v>
      </c>
      <c r="B198" t="s">
        <v>1615</v>
      </c>
      <c r="C198" s="124">
        <v>38456.7857</v>
      </c>
      <c r="D198">
        <v>11</v>
      </c>
      <c r="E198">
        <v>3</v>
      </c>
      <c r="F198" s="124">
        <v>65655.928599999999</v>
      </c>
      <c r="G198">
        <v>6</v>
      </c>
      <c r="H198">
        <v>8</v>
      </c>
      <c r="I198" s="124">
        <v>54527.5</v>
      </c>
      <c r="J198">
        <v>6</v>
      </c>
      <c r="K198">
        <v>6</v>
      </c>
    </row>
    <row r="199" spans="1:11">
      <c r="A199" t="s">
        <v>743</v>
      </c>
      <c r="B199" t="s">
        <v>1614</v>
      </c>
      <c r="C199" s="124">
        <v>42663.357100000001</v>
      </c>
      <c r="D199">
        <v>19</v>
      </c>
      <c r="E199">
        <v>9</v>
      </c>
      <c r="F199" s="124">
        <v>52479</v>
      </c>
      <c r="G199">
        <v>22</v>
      </c>
      <c r="H199">
        <v>8</v>
      </c>
      <c r="I199" s="124">
        <v>57684.620699999999</v>
      </c>
      <c r="J199">
        <v>19</v>
      </c>
      <c r="K199">
        <v>10</v>
      </c>
    </row>
    <row r="200" spans="1:11">
      <c r="A200" t="s">
        <v>402</v>
      </c>
      <c r="B200" t="s">
        <v>1367</v>
      </c>
      <c r="C200" s="124">
        <v>32269.842100000002</v>
      </c>
      <c r="D200">
        <v>15</v>
      </c>
      <c r="E200">
        <v>4</v>
      </c>
      <c r="F200" s="124">
        <v>48246.239999999998</v>
      </c>
      <c r="G200">
        <v>18</v>
      </c>
      <c r="H200">
        <v>7</v>
      </c>
      <c r="I200" s="124">
        <v>45015.5</v>
      </c>
      <c r="J200">
        <v>18</v>
      </c>
      <c r="K200">
        <v>6</v>
      </c>
    </row>
    <row r="201" spans="1:11">
      <c r="A201" t="s">
        <v>355</v>
      </c>
      <c r="B201" t="s">
        <v>1613</v>
      </c>
      <c r="C201" s="124">
        <v>46270.6875</v>
      </c>
      <c r="D201">
        <v>60</v>
      </c>
      <c r="E201">
        <v>36</v>
      </c>
      <c r="F201" s="124">
        <v>63465.19</v>
      </c>
      <c r="G201">
        <v>60</v>
      </c>
      <c r="H201">
        <v>40</v>
      </c>
      <c r="I201" s="124">
        <v>64825.737399999998</v>
      </c>
      <c r="J201">
        <v>59</v>
      </c>
      <c r="K201">
        <v>40</v>
      </c>
    </row>
    <row r="202" spans="1:11">
      <c r="A202" t="s">
        <v>749</v>
      </c>
      <c r="B202" t="s">
        <v>1612</v>
      </c>
      <c r="C202" s="124">
        <v>46974.124199999998</v>
      </c>
      <c r="D202">
        <v>111</v>
      </c>
      <c r="E202">
        <v>50</v>
      </c>
      <c r="F202" s="124">
        <v>60698.913</v>
      </c>
      <c r="G202">
        <v>101</v>
      </c>
      <c r="H202">
        <v>60</v>
      </c>
      <c r="I202" s="124">
        <v>60321.712599999999</v>
      </c>
      <c r="J202">
        <v>113</v>
      </c>
      <c r="K202">
        <v>61</v>
      </c>
    </row>
    <row r="203" spans="1:11">
      <c r="A203" t="s">
        <v>321</v>
      </c>
      <c r="B203" t="s">
        <v>1370</v>
      </c>
      <c r="C203" s="124">
        <v>61222.361100000002</v>
      </c>
      <c r="D203">
        <v>15</v>
      </c>
      <c r="E203">
        <v>21</v>
      </c>
      <c r="F203" s="124">
        <v>76949.440000000002</v>
      </c>
      <c r="G203">
        <v>22</v>
      </c>
      <c r="H203">
        <v>28</v>
      </c>
      <c r="I203" s="124">
        <v>74110.755099999995</v>
      </c>
      <c r="J203">
        <v>23</v>
      </c>
      <c r="K203">
        <v>26</v>
      </c>
    </row>
    <row r="204" spans="1:11">
      <c r="A204" t="s">
        <v>538</v>
      </c>
      <c r="B204" t="s">
        <v>1371</v>
      </c>
      <c r="C204" s="124">
        <v>51469.533300000003</v>
      </c>
      <c r="D204">
        <v>9</v>
      </c>
      <c r="E204">
        <v>6</v>
      </c>
      <c r="F204" s="124">
        <v>65561.142900000006</v>
      </c>
      <c r="G204">
        <v>8</v>
      </c>
      <c r="H204">
        <v>6</v>
      </c>
      <c r="I204" s="124">
        <v>66070.230800000005</v>
      </c>
      <c r="J204">
        <v>6</v>
      </c>
      <c r="K204">
        <v>7</v>
      </c>
    </row>
    <row r="205" spans="1:11">
      <c r="A205" t="s">
        <v>404</v>
      </c>
      <c r="B205" t="s">
        <v>1372</v>
      </c>
      <c r="C205" s="124">
        <v>45277.636400000003</v>
      </c>
      <c r="D205">
        <v>9</v>
      </c>
      <c r="E205">
        <v>2</v>
      </c>
      <c r="F205" s="124">
        <v>51483.125</v>
      </c>
      <c r="G205">
        <v>6</v>
      </c>
      <c r="H205">
        <v>2</v>
      </c>
      <c r="I205" s="124">
        <v>51248.857100000001</v>
      </c>
      <c r="J205">
        <v>6</v>
      </c>
      <c r="K205">
        <v>1</v>
      </c>
    </row>
    <row r="206" spans="1:11">
      <c r="A206" t="s">
        <v>610</v>
      </c>
      <c r="B206" t="s">
        <v>1373</v>
      </c>
      <c r="C206" s="124">
        <v>44970.438800000004</v>
      </c>
      <c r="D206">
        <v>132</v>
      </c>
      <c r="E206">
        <v>64</v>
      </c>
      <c r="F206" s="124">
        <v>54528.262600000002</v>
      </c>
      <c r="G206">
        <v>136</v>
      </c>
      <c r="H206">
        <v>62</v>
      </c>
      <c r="I206" s="124">
        <v>58000.476199999997</v>
      </c>
      <c r="J206">
        <v>131</v>
      </c>
      <c r="K206">
        <v>58</v>
      </c>
    </row>
    <row r="207" spans="1:11">
      <c r="A207" t="s">
        <v>592</v>
      </c>
      <c r="B207" t="s">
        <v>1611</v>
      </c>
      <c r="F207" s="124">
        <v>11774</v>
      </c>
      <c r="G207">
        <v>1</v>
      </c>
    </row>
    <row r="208" spans="1:11">
      <c r="A208" t="s">
        <v>458</v>
      </c>
      <c r="B208" t="s">
        <v>1374</v>
      </c>
      <c r="C208" s="124">
        <v>59049.947699999997</v>
      </c>
      <c r="D208">
        <v>251</v>
      </c>
      <c r="E208">
        <v>189</v>
      </c>
      <c r="F208" s="124">
        <v>75313.004199999996</v>
      </c>
      <c r="G208">
        <v>242</v>
      </c>
      <c r="H208">
        <v>229</v>
      </c>
      <c r="I208" s="124">
        <v>71351.902300000002</v>
      </c>
      <c r="J208">
        <v>263</v>
      </c>
      <c r="K208">
        <v>208</v>
      </c>
    </row>
    <row r="209" spans="1:11">
      <c r="A209" t="s">
        <v>546</v>
      </c>
      <c r="B209" t="s">
        <v>1375</v>
      </c>
      <c r="C209" s="124">
        <v>56908.662799999998</v>
      </c>
      <c r="D209">
        <v>73</v>
      </c>
      <c r="E209">
        <v>99</v>
      </c>
      <c r="F209" s="124">
        <v>66185.597200000004</v>
      </c>
      <c r="G209">
        <v>104</v>
      </c>
      <c r="H209">
        <v>112</v>
      </c>
      <c r="I209" s="124">
        <v>68926.896999999997</v>
      </c>
      <c r="J209">
        <v>128</v>
      </c>
      <c r="K209">
        <v>105</v>
      </c>
    </row>
    <row r="210" spans="1:11">
      <c r="A210" t="s">
        <v>612</v>
      </c>
      <c r="B210" t="s">
        <v>1376</v>
      </c>
      <c r="C210" s="124">
        <v>49083.803</v>
      </c>
      <c r="D210">
        <v>244</v>
      </c>
      <c r="E210">
        <v>157</v>
      </c>
      <c r="F210" s="124">
        <v>62756.226300000002</v>
      </c>
      <c r="G210">
        <v>308</v>
      </c>
      <c r="H210">
        <v>178</v>
      </c>
      <c r="I210" s="124">
        <v>65360.834999999999</v>
      </c>
      <c r="J210">
        <v>336</v>
      </c>
      <c r="K210">
        <v>179</v>
      </c>
    </row>
    <row r="211" spans="1:11">
      <c r="A211" t="s">
        <v>309</v>
      </c>
      <c r="B211" t="s">
        <v>1377</v>
      </c>
      <c r="C211" s="124">
        <v>55606.847800000003</v>
      </c>
      <c r="D211">
        <v>295</v>
      </c>
      <c r="E211">
        <v>257</v>
      </c>
      <c r="F211" s="124">
        <v>67270.239400000006</v>
      </c>
      <c r="G211">
        <v>365</v>
      </c>
      <c r="H211">
        <v>249</v>
      </c>
      <c r="I211" s="124">
        <v>62444.175300000003</v>
      </c>
      <c r="J211">
        <v>432</v>
      </c>
      <c r="K211">
        <v>247</v>
      </c>
    </row>
    <row r="212" spans="1:11">
      <c r="A212" t="s">
        <v>323</v>
      </c>
      <c r="B212" t="s">
        <v>1378</v>
      </c>
      <c r="C212" s="124">
        <v>49391.213100000001</v>
      </c>
      <c r="D212">
        <v>80</v>
      </c>
      <c r="E212">
        <v>42</v>
      </c>
      <c r="F212" s="124">
        <v>60493.697200000002</v>
      </c>
      <c r="G212">
        <v>90</v>
      </c>
      <c r="H212">
        <v>52</v>
      </c>
      <c r="I212" s="124">
        <v>63702.986799999999</v>
      </c>
      <c r="J212">
        <v>101</v>
      </c>
      <c r="K212">
        <v>50</v>
      </c>
    </row>
    <row r="213" spans="1:11">
      <c r="A213" t="s">
        <v>578</v>
      </c>
      <c r="B213" t="s">
        <v>1379</v>
      </c>
      <c r="C213" s="124">
        <v>65508.753799999999</v>
      </c>
      <c r="D213">
        <v>90</v>
      </c>
      <c r="E213">
        <v>105</v>
      </c>
      <c r="F213" s="124">
        <v>75385.701199999996</v>
      </c>
      <c r="G213">
        <v>116</v>
      </c>
      <c r="H213">
        <v>125</v>
      </c>
      <c r="I213" s="124">
        <v>71914.618300000002</v>
      </c>
      <c r="J213">
        <v>125</v>
      </c>
      <c r="K213">
        <v>116</v>
      </c>
    </row>
    <row r="214" spans="1:11">
      <c r="A214" t="s">
        <v>512</v>
      </c>
      <c r="B214" t="s">
        <v>1380</v>
      </c>
      <c r="C214" s="124">
        <v>22707</v>
      </c>
      <c r="E214">
        <v>1</v>
      </c>
      <c r="F214" s="124">
        <v>4262</v>
      </c>
      <c r="H214">
        <v>1</v>
      </c>
      <c r="I214" s="124">
        <v>16188</v>
      </c>
      <c r="K214">
        <v>1</v>
      </c>
    </row>
    <row r="215" spans="1:11">
      <c r="A215" t="s">
        <v>594</v>
      </c>
      <c r="B215" t="s">
        <v>1381</v>
      </c>
      <c r="C215" s="124">
        <v>48323.456899999997</v>
      </c>
      <c r="D215">
        <v>76</v>
      </c>
      <c r="E215">
        <v>40</v>
      </c>
      <c r="F215" s="124">
        <v>51073.158300000003</v>
      </c>
      <c r="G215">
        <v>83</v>
      </c>
      <c r="H215">
        <v>56</v>
      </c>
      <c r="I215" s="124">
        <v>59733.753400000001</v>
      </c>
      <c r="J215">
        <v>90</v>
      </c>
      <c r="K215">
        <v>56</v>
      </c>
    </row>
    <row r="216" spans="1:11">
      <c r="A216" t="s">
        <v>767</v>
      </c>
      <c r="B216" t="s">
        <v>1382</v>
      </c>
      <c r="C216" s="124">
        <v>53331.2814</v>
      </c>
      <c r="D216">
        <v>138</v>
      </c>
      <c r="E216">
        <v>93</v>
      </c>
      <c r="F216" s="124">
        <v>62220.319300000003</v>
      </c>
      <c r="G216">
        <v>139</v>
      </c>
      <c r="H216">
        <v>99</v>
      </c>
      <c r="I216" s="124">
        <v>63122.7379</v>
      </c>
      <c r="J216">
        <v>150</v>
      </c>
      <c r="K216">
        <v>98</v>
      </c>
    </row>
    <row r="217" spans="1:11">
      <c r="A217" t="s">
        <v>550</v>
      </c>
      <c r="B217" t="s">
        <v>1383</v>
      </c>
      <c r="C217" s="124">
        <v>46814.879999999997</v>
      </c>
      <c r="D217">
        <v>33</v>
      </c>
      <c r="E217">
        <v>17</v>
      </c>
      <c r="F217" s="124">
        <v>56164.262300000002</v>
      </c>
      <c r="G217">
        <v>33</v>
      </c>
      <c r="H217">
        <v>28</v>
      </c>
      <c r="I217" s="124">
        <v>58466.104700000004</v>
      </c>
      <c r="J217">
        <v>54</v>
      </c>
      <c r="K217">
        <v>32</v>
      </c>
    </row>
    <row r="218" spans="1:11">
      <c r="A218" t="s">
        <v>801</v>
      </c>
      <c r="B218" t="s">
        <v>1384</v>
      </c>
      <c r="C218" s="124">
        <v>46045.212800000001</v>
      </c>
      <c r="D218">
        <v>31</v>
      </c>
      <c r="E218">
        <v>16</v>
      </c>
      <c r="F218" s="124">
        <v>60743.953500000003</v>
      </c>
      <c r="G218">
        <v>27</v>
      </c>
      <c r="H218">
        <v>16</v>
      </c>
      <c r="I218" s="124">
        <v>64368.431799999998</v>
      </c>
      <c r="J218">
        <v>24</v>
      </c>
      <c r="K218">
        <v>20</v>
      </c>
    </row>
    <row r="219" spans="1:11">
      <c r="A219" t="s">
        <v>422</v>
      </c>
      <c r="B219" t="s">
        <v>1385</v>
      </c>
      <c r="C219" s="124">
        <v>39474.928599999999</v>
      </c>
      <c r="D219">
        <v>11</v>
      </c>
      <c r="E219">
        <v>3</v>
      </c>
      <c r="F219" s="124">
        <v>43052.333299999998</v>
      </c>
      <c r="G219">
        <v>15</v>
      </c>
      <c r="H219">
        <v>3</v>
      </c>
      <c r="I219" s="124">
        <v>50952.571400000001</v>
      </c>
      <c r="J219">
        <v>10</v>
      </c>
      <c r="K219">
        <v>4</v>
      </c>
    </row>
    <row r="220" spans="1:11">
      <c r="A220" t="s">
        <v>488</v>
      </c>
      <c r="B220" t="s">
        <v>1386</v>
      </c>
      <c r="C220" s="124">
        <v>48141.666700000002</v>
      </c>
      <c r="D220">
        <v>41</v>
      </c>
      <c r="E220">
        <v>22</v>
      </c>
      <c r="F220" s="124">
        <v>48320.405400000003</v>
      </c>
      <c r="G220">
        <v>52</v>
      </c>
      <c r="H220">
        <v>22</v>
      </c>
      <c r="I220" s="124">
        <v>58095.571400000001</v>
      </c>
      <c r="J220">
        <v>45</v>
      </c>
      <c r="K220">
        <v>25</v>
      </c>
    </row>
    <row r="221" spans="1:11">
      <c r="A221" t="s">
        <v>787</v>
      </c>
      <c r="B221" t="s">
        <v>1610</v>
      </c>
      <c r="C221" s="124">
        <v>45764.9424</v>
      </c>
      <c r="D221">
        <v>95</v>
      </c>
      <c r="E221">
        <v>44</v>
      </c>
      <c r="F221" s="124">
        <v>53513.752699999997</v>
      </c>
      <c r="G221">
        <v>125</v>
      </c>
      <c r="H221">
        <v>57</v>
      </c>
      <c r="I221" s="124">
        <v>55943.254099999998</v>
      </c>
      <c r="J221">
        <v>127</v>
      </c>
      <c r="K221">
        <v>58</v>
      </c>
    </row>
    <row r="222" spans="1:11">
      <c r="A222" t="s">
        <v>781</v>
      </c>
      <c r="B222" t="s">
        <v>1388</v>
      </c>
      <c r="C222" s="124">
        <v>50767.386400000003</v>
      </c>
      <c r="D222">
        <v>442</v>
      </c>
      <c r="E222">
        <v>306</v>
      </c>
      <c r="F222" s="124">
        <v>60786.2284</v>
      </c>
      <c r="G222">
        <v>421</v>
      </c>
      <c r="H222">
        <v>367</v>
      </c>
      <c r="I222" s="124">
        <v>53715.814899999998</v>
      </c>
      <c r="J222">
        <v>524</v>
      </c>
      <c r="K222">
        <v>373</v>
      </c>
    </row>
    <row r="223" spans="1:11">
      <c r="A223" t="s">
        <v>665</v>
      </c>
      <c r="B223" t="s">
        <v>1389</v>
      </c>
      <c r="C223" s="124">
        <v>74271</v>
      </c>
      <c r="E223">
        <v>1</v>
      </c>
      <c r="F223" s="124">
        <v>59116</v>
      </c>
      <c r="H223">
        <v>1</v>
      </c>
      <c r="I223" s="124">
        <v>62068</v>
      </c>
      <c r="K223">
        <v>1</v>
      </c>
    </row>
    <row r="224" spans="1:11">
      <c r="A224" t="s">
        <v>492</v>
      </c>
      <c r="B224" t="s">
        <v>1609</v>
      </c>
      <c r="C224" s="124">
        <v>52308</v>
      </c>
      <c r="E224">
        <v>2</v>
      </c>
      <c r="F224" s="124">
        <v>50608</v>
      </c>
      <c r="H224">
        <v>1</v>
      </c>
      <c r="I224" s="124">
        <v>48364</v>
      </c>
      <c r="K224">
        <v>1</v>
      </c>
    </row>
    <row r="225" spans="1:11">
      <c r="A225" t="s">
        <v>623</v>
      </c>
      <c r="B225" t="s">
        <v>1390</v>
      </c>
      <c r="C225" s="124">
        <v>45742.3056</v>
      </c>
      <c r="D225">
        <v>20</v>
      </c>
      <c r="E225">
        <v>16</v>
      </c>
      <c r="F225" s="124">
        <v>55369.857100000001</v>
      </c>
      <c r="G225">
        <v>15</v>
      </c>
      <c r="H225">
        <v>13</v>
      </c>
      <c r="I225" s="124">
        <v>51218.290300000001</v>
      </c>
      <c r="J225">
        <v>18</v>
      </c>
      <c r="K225">
        <v>13</v>
      </c>
    </row>
    <row r="226" spans="1:11">
      <c r="A226" t="s">
        <v>584</v>
      </c>
      <c r="B226" t="s">
        <v>1391</v>
      </c>
      <c r="C226" s="124">
        <v>43668.265299999999</v>
      </c>
      <c r="D226">
        <v>26</v>
      </c>
      <c r="E226">
        <v>23</v>
      </c>
      <c r="F226" s="124">
        <v>54982.369599999998</v>
      </c>
      <c r="G226">
        <v>22</v>
      </c>
      <c r="H226">
        <v>24</v>
      </c>
      <c r="I226" s="124">
        <v>45061.806499999999</v>
      </c>
      <c r="J226">
        <v>38</v>
      </c>
      <c r="K226">
        <v>24</v>
      </c>
    </row>
    <row r="227" spans="1:11">
      <c r="A227" t="s">
        <v>582</v>
      </c>
      <c r="B227" t="s">
        <v>1392</v>
      </c>
      <c r="C227" s="124">
        <v>41297.476999999999</v>
      </c>
      <c r="D227">
        <v>182</v>
      </c>
      <c r="E227">
        <v>101</v>
      </c>
      <c r="F227" s="124">
        <v>53718.650999999998</v>
      </c>
      <c r="G227">
        <v>165</v>
      </c>
      <c r="H227">
        <v>133</v>
      </c>
      <c r="I227" s="124">
        <v>50998.38</v>
      </c>
      <c r="J227">
        <v>177</v>
      </c>
      <c r="K227">
        <v>123</v>
      </c>
    </row>
    <row r="228" spans="1:11">
      <c r="A228" t="s">
        <v>372</v>
      </c>
      <c r="B228" t="s">
        <v>1393</v>
      </c>
      <c r="C228" s="124">
        <v>41242.423000000003</v>
      </c>
      <c r="D228">
        <v>287</v>
      </c>
      <c r="E228">
        <v>148</v>
      </c>
      <c r="F228" s="124">
        <v>49953.522199999999</v>
      </c>
      <c r="G228">
        <v>252</v>
      </c>
      <c r="H228">
        <v>175</v>
      </c>
      <c r="I228" s="124">
        <v>55249.382799999999</v>
      </c>
      <c r="J228">
        <v>242</v>
      </c>
      <c r="K228">
        <v>176</v>
      </c>
    </row>
    <row r="229" spans="1:11">
      <c r="A229" t="s">
        <v>474</v>
      </c>
      <c r="B229" t="s">
        <v>1394</v>
      </c>
      <c r="C229" s="124">
        <v>32896.75</v>
      </c>
      <c r="D229">
        <v>12</v>
      </c>
      <c r="E229">
        <v>8</v>
      </c>
      <c r="F229" s="124">
        <v>46205.166700000002</v>
      </c>
      <c r="G229">
        <v>11</v>
      </c>
      <c r="H229">
        <v>7</v>
      </c>
      <c r="I229" s="124">
        <v>41437.652199999997</v>
      </c>
      <c r="J229">
        <v>13</v>
      </c>
      <c r="K229">
        <v>10</v>
      </c>
    </row>
    <row r="230" spans="1:11">
      <c r="A230" t="s">
        <v>378</v>
      </c>
      <c r="B230" t="s">
        <v>1395</v>
      </c>
      <c r="C230" s="124">
        <v>40243.8194</v>
      </c>
      <c r="D230">
        <v>93</v>
      </c>
      <c r="E230">
        <v>62</v>
      </c>
      <c r="F230" s="124">
        <v>47272.606899999999</v>
      </c>
      <c r="G230">
        <v>80</v>
      </c>
      <c r="H230">
        <v>65</v>
      </c>
      <c r="I230" s="124">
        <v>51301.128400000001</v>
      </c>
      <c r="J230">
        <v>82</v>
      </c>
      <c r="K230">
        <v>66</v>
      </c>
    </row>
    <row r="231" spans="1:11">
      <c r="A231" t="s">
        <v>434</v>
      </c>
      <c r="B231" t="s">
        <v>1608</v>
      </c>
      <c r="C231" s="124">
        <v>50104.365599999997</v>
      </c>
      <c r="D231">
        <v>40</v>
      </c>
      <c r="E231">
        <v>53</v>
      </c>
      <c r="F231" s="124">
        <v>64080.912100000001</v>
      </c>
      <c r="G231">
        <v>39</v>
      </c>
      <c r="H231">
        <v>52</v>
      </c>
      <c r="I231" s="124">
        <v>63250.635399999999</v>
      </c>
      <c r="J231">
        <v>44</v>
      </c>
      <c r="K231">
        <v>52</v>
      </c>
    </row>
    <row r="232" spans="1:11">
      <c r="A232" t="s">
        <v>554</v>
      </c>
      <c r="B232" t="s">
        <v>1397</v>
      </c>
      <c r="C232" s="124">
        <v>33109.5455</v>
      </c>
      <c r="D232">
        <v>7</v>
      </c>
      <c r="E232">
        <v>4</v>
      </c>
      <c r="F232" s="124">
        <v>38345.692300000002</v>
      </c>
      <c r="G232">
        <v>9</v>
      </c>
      <c r="H232">
        <v>4</v>
      </c>
      <c r="I232" s="124">
        <v>34335.526299999998</v>
      </c>
      <c r="J232">
        <v>14</v>
      </c>
      <c r="K232">
        <v>5</v>
      </c>
    </row>
    <row r="233" spans="1:11">
      <c r="A233" t="s">
        <v>867</v>
      </c>
      <c r="B233" t="s">
        <v>1607</v>
      </c>
      <c r="C233" s="124">
        <v>34723.2935</v>
      </c>
      <c r="D233">
        <v>58</v>
      </c>
      <c r="E233">
        <v>34</v>
      </c>
      <c r="F233" s="124">
        <v>50757.7952</v>
      </c>
      <c r="G233">
        <v>49</v>
      </c>
      <c r="H233">
        <v>34</v>
      </c>
      <c r="I233" s="124">
        <v>55442.686000000002</v>
      </c>
      <c r="J233">
        <v>45</v>
      </c>
      <c r="K233">
        <v>41</v>
      </c>
    </row>
    <row r="234" spans="1:11">
      <c r="A234" t="s">
        <v>428</v>
      </c>
      <c r="B234" t="s">
        <v>1399</v>
      </c>
      <c r="C234" s="124">
        <v>42023.574500000002</v>
      </c>
      <c r="D234">
        <v>27</v>
      </c>
      <c r="E234">
        <v>20</v>
      </c>
      <c r="F234" s="124">
        <v>55178.111100000002</v>
      </c>
      <c r="G234">
        <v>21</v>
      </c>
      <c r="H234">
        <v>24</v>
      </c>
      <c r="I234" s="124">
        <v>54428.387799999997</v>
      </c>
      <c r="J234">
        <v>24</v>
      </c>
      <c r="K234">
        <v>25</v>
      </c>
    </row>
    <row r="235" spans="1:11">
      <c r="A235" t="s">
        <v>731</v>
      </c>
      <c r="B235" t="s">
        <v>1400</v>
      </c>
      <c r="C235" s="124">
        <v>48886.189200000001</v>
      </c>
      <c r="D235">
        <v>17</v>
      </c>
      <c r="E235">
        <v>20</v>
      </c>
      <c r="F235" s="124">
        <v>49005.4444</v>
      </c>
      <c r="G235">
        <v>17</v>
      </c>
      <c r="H235">
        <v>19</v>
      </c>
      <c r="I235" s="124">
        <v>52037.486499999999</v>
      </c>
      <c r="J235">
        <v>18</v>
      </c>
      <c r="K235">
        <v>19</v>
      </c>
    </row>
    <row r="236" spans="1:11">
      <c r="A236" t="s">
        <v>912</v>
      </c>
      <c r="B236" t="s">
        <v>1606</v>
      </c>
      <c r="C236" s="124">
        <v>38703.5</v>
      </c>
      <c r="D236">
        <v>1</v>
      </c>
      <c r="E236">
        <v>3</v>
      </c>
      <c r="F236" s="124">
        <v>34545.4375</v>
      </c>
      <c r="G236">
        <v>11</v>
      </c>
      <c r="H236">
        <v>5</v>
      </c>
      <c r="I236" s="124">
        <v>29658.884600000001</v>
      </c>
      <c r="J236">
        <v>22</v>
      </c>
      <c r="K236">
        <v>4</v>
      </c>
    </row>
    <row r="237" spans="1:11">
      <c r="A237" t="s">
        <v>1017</v>
      </c>
      <c r="B237" t="s">
        <v>1402</v>
      </c>
      <c r="F237" s="124">
        <v>42776</v>
      </c>
      <c r="G237">
        <v>1</v>
      </c>
      <c r="H237">
        <v>1</v>
      </c>
      <c r="I237" s="124">
        <v>84188</v>
      </c>
      <c r="K237">
        <v>1</v>
      </c>
    </row>
    <row r="238" spans="1:11">
      <c r="A238" t="s">
        <v>908</v>
      </c>
      <c r="B238" t="s">
        <v>1605</v>
      </c>
      <c r="C238" s="124">
        <v>44113.7</v>
      </c>
      <c r="D238">
        <v>5</v>
      </c>
      <c r="E238">
        <v>5</v>
      </c>
      <c r="F238" s="124">
        <v>79226.166700000002</v>
      </c>
      <c r="H238">
        <v>6</v>
      </c>
      <c r="I238" s="124">
        <v>67078.25</v>
      </c>
      <c r="K238">
        <v>4</v>
      </c>
    </row>
    <row r="239" spans="1:11">
      <c r="A239" t="s">
        <v>661</v>
      </c>
      <c r="B239" t="s">
        <v>1403</v>
      </c>
      <c r="C239" s="124">
        <v>68712.5</v>
      </c>
      <c r="E239">
        <v>2</v>
      </c>
      <c r="F239" s="124">
        <v>55314</v>
      </c>
      <c r="H239">
        <v>2</v>
      </c>
      <c r="I239" s="124">
        <v>38293</v>
      </c>
      <c r="J239">
        <v>1</v>
      </c>
      <c r="K239">
        <v>2</v>
      </c>
    </row>
    <row r="240" spans="1:11">
      <c r="A240" t="s">
        <v>380</v>
      </c>
      <c r="B240" t="s">
        <v>1404</v>
      </c>
      <c r="C240" s="124">
        <v>51280.4444</v>
      </c>
      <c r="D240">
        <v>10</v>
      </c>
      <c r="E240">
        <v>8</v>
      </c>
      <c r="F240" s="124">
        <v>47615.166700000002</v>
      </c>
      <c r="G240">
        <v>16</v>
      </c>
      <c r="H240">
        <v>8</v>
      </c>
      <c r="I240" s="124">
        <v>50139.428599999999</v>
      </c>
      <c r="J240">
        <v>18</v>
      </c>
      <c r="K240">
        <v>10</v>
      </c>
    </row>
    <row r="241" spans="1:11">
      <c r="A241" t="s">
        <v>863</v>
      </c>
      <c r="B241" t="s">
        <v>1405</v>
      </c>
      <c r="C241" s="124">
        <v>37308.5</v>
      </c>
      <c r="D241">
        <v>8</v>
      </c>
      <c r="E241">
        <v>2</v>
      </c>
      <c r="F241" s="124">
        <v>62698.400000000001</v>
      </c>
      <c r="G241">
        <v>5</v>
      </c>
      <c r="H241">
        <v>5</v>
      </c>
      <c r="I241" s="124">
        <v>49131</v>
      </c>
      <c r="J241">
        <v>9</v>
      </c>
      <c r="K241">
        <v>4</v>
      </c>
    </row>
    <row r="242" spans="1:11">
      <c r="A242" t="s">
        <v>839</v>
      </c>
      <c r="B242" t="s">
        <v>1406</v>
      </c>
      <c r="C242" s="124">
        <v>38583.4211</v>
      </c>
      <c r="D242">
        <v>15</v>
      </c>
      <c r="E242">
        <v>4</v>
      </c>
      <c r="F242" s="124">
        <v>49773.052600000003</v>
      </c>
      <c r="G242">
        <v>12</v>
      </c>
      <c r="H242">
        <v>7</v>
      </c>
      <c r="I242" s="124">
        <v>52034.3125</v>
      </c>
      <c r="J242">
        <v>11</v>
      </c>
      <c r="K242">
        <v>5</v>
      </c>
    </row>
    <row r="243" spans="1:11">
      <c r="A243" t="s">
        <v>400</v>
      </c>
      <c r="B243" t="s">
        <v>1407</v>
      </c>
      <c r="C243" s="124">
        <v>32543.5088</v>
      </c>
      <c r="D243">
        <v>43</v>
      </c>
      <c r="E243">
        <v>14</v>
      </c>
      <c r="F243" s="124">
        <v>46192.780500000001</v>
      </c>
      <c r="G243">
        <v>26</v>
      </c>
      <c r="H243">
        <v>15</v>
      </c>
      <c r="I243" s="124">
        <v>47347.476199999997</v>
      </c>
      <c r="J243">
        <v>26</v>
      </c>
      <c r="K243">
        <v>16</v>
      </c>
    </row>
    <row r="244" spans="1:11">
      <c r="A244" t="s">
        <v>560</v>
      </c>
      <c r="B244" t="s">
        <v>1408</v>
      </c>
      <c r="C244" s="124">
        <v>34007.7143</v>
      </c>
      <c r="D244">
        <v>5</v>
      </c>
      <c r="E244">
        <v>2</v>
      </c>
      <c r="F244" s="124">
        <v>26953.166700000002</v>
      </c>
      <c r="G244">
        <v>5</v>
      </c>
      <c r="H244">
        <v>1</v>
      </c>
      <c r="I244" s="124">
        <v>28816.833299999998</v>
      </c>
      <c r="J244">
        <v>5</v>
      </c>
      <c r="K244">
        <v>1</v>
      </c>
    </row>
    <row r="245" spans="1:11">
      <c r="A245" t="s">
        <v>803</v>
      </c>
      <c r="B245" t="s">
        <v>1409</v>
      </c>
      <c r="C245" s="124">
        <v>50623.5</v>
      </c>
      <c r="D245">
        <v>1</v>
      </c>
      <c r="E245">
        <v>1</v>
      </c>
      <c r="F245" s="124">
        <v>62536</v>
      </c>
      <c r="G245">
        <v>1</v>
      </c>
      <c r="H245">
        <v>2</v>
      </c>
      <c r="I245" s="124">
        <v>60558</v>
      </c>
      <c r="J245">
        <v>1</v>
      </c>
      <c r="K245">
        <v>3</v>
      </c>
    </row>
    <row r="246" spans="1:11">
      <c r="A246" t="s">
        <v>462</v>
      </c>
      <c r="B246" t="s">
        <v>1604</v>
      </c>
      <c r="C246" s="124">
        <v>59357</v>
      </c>
      <c r="E246">
        <v>1</v>
      </c>
      <c r="F246" s="124">
        <v>58051</v>
      </c>
      <c r="G246">
        <v>1</v>
      </c>
      <c r="H246">
        <v>2</v>
      </c>
      <c r="I246" s="124">
        <v>50370</v>
      </c>
      <c r="J246">
        <v>1</v>
      </c>
      <c r="K246">
        <v>2</v>
      </c>
    </row>
    <row r="247" spans="1:11">
      <c r="A247" t="s">
        <v>396</v>
      </c>
      <c r="B247" t="s">
        <v>1603</v>
      </c>
      <c r="C247" s="124">
        <v>26995.75</v>
      </c>
      <c r="D247">
        <v>3</v>
      </c>
      <c r="E247">
        <v>1</v>
      </c>
      <c r="F247" s="124">
        <v>43336.333299999998</v>
      </c>
      <c r="G247">
        <v>2</v>
      </c>
      <c r="H247">
        <v>1</v>
      </c>
      <c r="I247" s="124">
        <v>44048</v>
      </c>
      <c r="J247">
        <v>2</v>
      </c>
      <c r="K247">
        <v>1</v>
      </c>
    </row>
    <row r="248" spans="1:11">
      <c r="A248" t="s">
        <v>576</v>
      </c>
      <c r="B248" t="s">
        <v>1411</v>
      </c>
      <c r="C248" s="124">
        <v>48358.166700000002</v>
      </c>
      <c r="D248">
        <v>3</v>
      </c>
      <c r="E248">
        <v>3</v>
      </c>
      <c r="F248" s="124">
        <v>36528.833299999998</v>
      </c>
      <c r="G248">
        <v>4</v>
      </c>
      <c r="H248">
        <v>2</v>
      </c>
      <c r="I248" s="124">
        <v>33271.777800000003</v>
      </c>
      <c r="J248">
        <v>6</v>
      </c>
      <c r="K248">
        <v>3</v>
      </c>
    </row>
    <row r="249" spans="1:11">
      <c r="A249" t="s">
        <v>639</v>
      </c>
      <c r="B249" t="s">
        <v>1412</v>
      </c>
      <c r="C249" s="124">
        <v>40301.4</v>
      </c>
      <c r="D249">
        <v>7</v>
      </c>
      <c r="E249">
        <v>3</v>
      </c>
      <c r="F249" s="124">
        <v>30650.857100000001</v>
      </c>
      <c r="G249">
        <v>6</v>
      </c>
      <c r="H249">
        <v>1</v>
      </c>
      <c r="I249" s="124">
        <v>27854.333299999998</v>
      </c>
      <c r="J249">
        <v>6</v>
      </c>
      <c r="K249">
        <v>3</v>
      </c>
    </row>
    <row r="250" spans="1:11">
      <c r="A250" t="s">
        <v>528</v>
      </c>
      <c r="B250" t="s">
        <v>1413</v>
      </c>
      <c r="C250" s="124">
        <v>37919.65</v>
      </c>
      <c r="D250">
        <v>14</v>
      </c>
      <c r="E250">
        <v>6</v>
      </c>
      <c r="F250" s="124">
        <v>41760.1034</v>
      </c>
      <c r="G250">
        <v>19</v>
      </c>
      <c r="H250">
        <v>10</v>
      </c>
      <c r="I250" s="124">
        <v>37823.133300000001</v>
      </c>
      <c r="J250">
        <v>22</v>
      </c>
      <c r="K250">
        <v>8</v>
      </c>
    </row>
    <row r="251" spans="1:11">
      <c r="A251" t="s">
        <v>893</v>
      </c>
      <c r="B251" t="s">
        <v>1414</v>
      </c>
      <c r="C251" s="124">
        <v>35654.702100000002</v>
      </c>
      <c r="D251">
        <v>98</v>
      </c>
      <c r="E251">
        <v>43</v>
      </c>
      <c r="F251" s="124">
        <v>46115.754500000003</v>
      </c>
      <c r="G251">
        <v>101</v>
      </c>
      <c r="H251">
        <v>66</v>
      </c>
      <c r="I251" s="124">
        <v>50573.658100000001</v>
      </c>
      <c r="J251">
        <v>104</v>
      </c>
      <c r="K251">
        <v>51</v>
      </c>
    </row>
    <row r="252" spans="1:11">
      <c r="A252" t="s">
        <v>637</v>
      </c>
      <c r="B252" t="s">
        <v>1415</v>
      </c>
      <c r="C252" s="124">
        <v>45996.113799999999</v>
      </c>
      <c r="D252">
        <v>250</v>
      </c>
      <c r="E252">
        <v>163</v>
      </c>
      <c r="F252" s="124">
        <v>57697.050300000003</v>
      </c>
      <c r="G252">
        <v>283</v>
      </c>
      <c r="H252">
        <v>214</v>
      </c>
      <c r="I252" s="124">
        <v>59000.254800000002</v>
      </c>
      <c r="J252">
        <v>300</v>
      </c>
      <c r="K252">
        <v>218</v>
      </c>
    </row>
    <row r="253" spans="1:11">
      <c r="A253" t="s">
        <v>311</v>
      </c>
      <c r="B253" t="s">
        <v>1416</v>
      </c>
      <c r="C253" s="124">
        <v>52139.967499999999</v>
      </c>
      <c r="D253">
        <v>64</v>
      </c>
      <c r="E253">
        <v>59</v>
      </c>
      <c r="F253" s="124">
        <v>59973.856099999997</v>
      </c>
      <c r="G253">
        <v>81</v>
      </c>
      <c r="H253">
        <v>58</v>
      </c>
      <c r="I253" s="124">
        <v>60281.5</v>
      </c>
      <c r="J253">
        <v>98</v>
      </c>
      <c r="K253">
        <v>74</v>
      </c>
    </row>
    <row r="254" spans="1:11">
      <c r="A254" t="s">
        <v>313</v>
      </c>
      <c r="B254" t="s">
        <v>1417</v>
      </c>
      <c r="C254" s="124">
        <v>37182.560700000002</v>
      </c>
      <c r="D254">
        <v>264</v>
      </c>
      <c r="E254">
        <v>123</v>
      </c>
      <c r="F254" s="124">
        <v>48447.528899999998</v>
      </c>
      <c r="G254">
        <v>236</v>
      </c>
      <c r="H254">
        <v>127</v>
      </c>
      <c r="I254" s="124">
        <v>52926.217900000003</v>
      </c>
      <c r="J254">
        <v>216</v>
      </c>
      <c r="K254">
        <v>119</v>
      </c>
    </row>
    <row r="255" spans="1:11">
      <c r="A255" t="s">
        <v>715</v>
      </c>
      <c r="B255" t="s">
        <v>1418</v>
      </c>
      <c r="C255" s="124">
        <v>34108.263200000001</v>
      </c>
      <c r="D255">
        <v>13</v>
      </c>
      <c r="E255">
        <v>6</v>
      </c>
      <c r="F255" s="124">
        <v>42205.45</v>
      </c>
      <c r="G255">
        <v>12</v>
      </c>
      <c r="H255">
        <v>8</v>
      </c>
      <c r="I255" s="124">
        <v>46540.105300000003</v>
      </c>
      <c r="J255">
        <v>12</v>
      </c>
      <c r="K255">
        <v>7</v>
      </c>
    </row>
    <row r="256" spans="1:11">
      <c r="A256" t="s">
        <v>496</v>
      </c>
      <c r="B256" t="s">
        <v>1419</v>
      </c>
      <c r="C256" s="124">
        <v>41119.066700000003</v>
      </c>
      <c r="D256">
        <v>10</v>
      </c>
      <c r="E256">
        <v>5</v>
      </c>
      <c r="F256" s="124">
        <v>46298</v>
      </c>
      <c r="G256">
        <v>10</v>
      </c>
      <c r="H256">
        <v>4</v>
      </c>
      <c r="I256" s="124">
        <v>45212.4545</v>
      </c>
      <c r="J256">
        <v>8</v>
      </c>
      <c r="K256">
        <v>3</v>
      </c>
    </row>
    <row r="257" spans="1:11">
      <c r="A257" t="s">
        <v>735</v>
      </c>
      <c r="B257" t="s">
        <v>1420</v>
      </c>
      <c r="C257" s="124">
        <v>40753.581100000003</v>
      </c>
      <c r="D257">
        <v>48</v>
      </c>
      <c r="E257">
        <v>26</v>
      </c>
      <c r="F257" s="124">
        <v>45771.524599999997</v>
      </c>
      <c r="G257">
        <v>43</v>
      </c>
      <c r="H257">
        <v>18</v>
      </c>
      <c r="I257" s="124">
        <v>46906.701800000003</v>
      </c>
      <c r="J257">
        <v>41</v>
      </c>
      <c r="K257">
        <v>16</v>
      </c>
    </row>
    <row r="258" spans="1:11">
      <c r="A258" t="s">
        <v>817</v>
      </c>
      <c r="B258" t="s">
        <v>1421</v>
      </c>
      <c r="C258" s="124">
        <v>40078</v>
      </c>
      <c r="D258">
        <v>17</v>
      </c>
      <c r="E258">
        <v>10</v>
      </c>
      <c r="F258" s="124">
        <v>46576.1875</v>
      </c>
      <c r="G258">
        <v>21</v>
      </c>
      <c r="H258">
        <v>11</v>
      </c>
      <c r="I258" s="124">
        <v>52463.647100000002</v>
      </c>
      <c r="J258">
        <v>22</v>
      </c>
      <c r="K258">
        <v>12</v>
      </c>
    </row>
    <row r="259" spans="1:11">
      <c r="A259" t="s">
        <v>932</v>
      </c>
      <c r="B259" t="s">
        <v>1469</v>
      </c>
      <c r="F259" s="124">
        <v>67773</v>
      </c>
      <c r="H259">
        <v>1</v>
      </c>
      <c r="I259" s="124">
        <v>57286.5</v>
      </c>
      <c r="J259">
        <v>1</v>
      </c>
      <c r="K259">
        <v>1</v>
      </c>
    </row>
    <row r="260" spans="1:11">
      <c r="A260" t="s">
        <v>851</v>
      </c>
      <c r="B260" t="s">
        <v>1422</v>
      </c>
      <c r="C260" s="124">
        <v>41913.706299999998</v>
      </c>
      <c r="D260">
        <v>71</v>
      </c>
      <c r="E260">
        <v>55</v>
      </c>
      <c r="F260" s="124">
        <v>53453.711900000002</v>
      </c>
      <c r="G260">
        <v>59</v>
      </c>
      <c r="H260">
        <v>59</v>
      </c>
      <c r="I260" s="124">
        <v>57822.758900000001</v>
      </c>
      <c r="J260">
        <v>52</v>
      </c>
      <c r="K260">
        <v>60</v>
      </c>
    </row>
    <row r="261" spans="1:11">
      <c r="A261" t="s">
        <v>392</v>
      </c>
      <c r="B261" t="s">
        <v>1423</v>
      </c>
      <c r="C261" s="124">
        <v>46961.592600000004</v>
      </c>
      <c r="D261">
        <v>15</v>
      </c>
      <c r="E261">
        <v>12</v>
      </c>
      <c r="F261" s="124">
        <v>45401.270299999996</v>
      </c>
      <c r="G261">
        <v>19</v>
      </c>
      <c r="H261">
        <v>18</v>
      </c>
      <c r="I261" s="124">
        <v>49122.342900000003</v>
      </c>
      <c r="J261">
        <v>19</v>
      </c>
      <c r="K261">
        <v>16</v>
      </c>
    </row>
    <row r="262" spans="1:11">
      <c r="A262" t="s">
        <v>827</v>
      </c>
      <c r="B262" t="s">
        <v>1602</v>
      </c>
      <c r="C262" s="124">
        <v>34052.666700000002</v>
      </c>
      <c r="D262">
        <v>4</v>
      </c>
      <c r="E262">
        <v>2</v>
      </c>
      <c r="F262" s="124">
        <v>60655</v>
      </c>
      <c r="G262">
        <v>3</v>
      </c>
      <c r="H262">
        <v>3</v>
      </c>
      <c r="I262" s="124">
        <v>36617.166700000002</v>
      </c>
      <c r="J262">
        <v>2</v>
      </c>
      <c r="K262">
        <v>4</v>
      </c>
    </row>
    <row r="263" spans="1:11">
      <c r="A263" t="s">
        <v>398</v>
      </c>
      <c r="B263" t="s">
        <v>1601</v>
      </c>
      <c r="C263" s="124">
        <v>43477.9545</v>
      </c>
      <c r="D263">
        <v>12</v>
      </c>
      <c r="E263">
        <v>10</v>
      </c>
      <c r="F263" s="124">
        <v>42514.85</v>
      </c>
      <c r="G263">
        <v>13</v>
      </c>
      <c r="H263">
        <v>7</v>
      </c>
      <c r="I263" s="124">
        <v>53112.3125</v>
      </c>
      <c r="J263">
        <v>10</v>
      </c>
      <c r="K263">
        <v>6</v>
      </c>
    </row>
    <row r="264" spans="1:11">
      <c r="A264" t="s">
        <v>849</v>
      </c>
      <c r="B264" t="s">
        <v>1425</v>
      </c>
      <c r="C264" s="124">
        <v>51176.4444</v>
      </c>
      <c r="D264">
        <v>6</v>
      </c>
      <c r="E264">
        <v>3</v>
      </c>
      <c r="F264" s="124">
        <v>28117.333299999998</v>
      </c>
      <c r="G264">
        <v>6</v>
      </c>
      <c r="I264" s="124">
        <v>43352</v>
      </c>
      <c r="J264">
        <v>3</v>
      </c>
      <c r="K264">
        <v>1</v>
      </c>
    </row>
    <row r="265" spans="1:11">
      <c r="A265" t="s">
        <v>699</v>
      </c>
      <c r="B265" t="s">
        <v>1426</v>
      </c>
      <c r="C265" s="124">
        <v>30301.5</v>
      </c>
      <c r="D265">
        <v>3</v>
      </c>
      <c r="E265">
        <v>1</v>
      </c>
      <c r="F265" s="124">
        <v>43599</v>
      </c>
      <c r="G265">
        <v>3</v>
      </c>
      <c r="H265">
        <v>2</v>
      </c>
      <c r="I265" s="124">
        <v>40171.142899999999</v>
      </c>
      <c r="J265">
        <v>5</v>
      </c>
      <c r="K265">
        <v>2</v>
      </c>
    </row>
    <row r="266" spans="1:11">
      <c r="A266" t="s">
        <v>1180</v>
      </c>
      <c r="B266" t="s">
        <v>1600</v>
      </c>
      <c r="C266" s="124">
        <v>59289</v>
      </c>
      <c r="E266">
        <v>1</v>
      </c>
    </row>
    <row r="267" spans="1:11">
      <c r="A267" t="s">
        <v>335</v>
      </c>
      <c r="B267" t="s">
        <v>1427</v>
      </c>
      <c r="C267" s="124">
        <v>48478.227800000001</v>
      </c>
      <c r="D267">
        <v>191</v>
      </c>
      <c r="E267">
        <v>125</v>
      </c>
      <c r="F267" s="124">
        <v>59240</v>
      </c>
      <c r="G267">
        <v>219</v>
      </c>
      <c r="H267">
        <v>147</v>
      </c>
      <c r="I267" s="124">
        <v>58277.917099999999</v>
      </c>
      <c r="J267">
        <v>236</v>
      </c>
      <c r="K267">
        <v>150</v>
      </c>
    </row>
    <row r="268" spans="1:11">
      <c r="A268" t="s">
        <v>466</v>
      </c>
      <c r="B268" t="s">
        <v>1428</v>
      </c>
      <c r="C268" s="124">
        <v>46265.9496</v>
      </c>
      <c r="D268">
        <v>86</v>
      </c>
      <c r="E268">
        <v>53</v>
      </c>
      <c r="F268" s="124">
        <v>58995.410400000001</v>
      </c>
      <c r="G268">
        <v>74</v>
      </c>
      <c r="H268">
        <v>60</v>
      </c>
      <c r="I268" s="124">
        <v>61316.007100000003</v>
      </c>
      <c r="J268">
        <v>74</v>
      </c>
      <c r="K268">
        <v>66</v>
      </c>
    </row>
    <row r="269" spans="1:11">
      <c r="A269" t="s">
        <v>343</v>
      </c>
      <c r="B269" t="s">
        <v>1429</v>
      </c>
      <c r="C269" s="124">
        <v>49176.4</v>
      </c>
      <c r="D269">
        <v>30</v>
      </c>
      <c r="E269">
        <v>30</v>
      </c>
      <c r="F269" s="124">
        <v>53479.742400000003</v>
      </c>
      <c r="G269">
        <v>41</v>
      </c>
      <c r="H269">
        <v>25</v>
      </c>
      <c r="I269" s="124">
        <v>59722.761899999998</v>
      </c>
      <c r="J269">
        <v>38</v>
      </c>
      <c r="K269">
        <v>25</v>
      </c>
    </row>
    <row r="270" spans="1:11">
      <c r="A270" t="s">
        <v>566</v>
      </c>
      <c r="B270" t="s">
        <v>1430</v>
      </c>
      <c r="C270" s="124">
        <v>38264.484199999999</v>
      </c>
      <c r="D270">
        <v>60</v>
      </c>
      <c r="E270">
        <v>35</v>
      </c>
      <c r="F270" s="124">
        <v>47233.352899999998</v>
      </c>
      <c r="G270">
        <v>63</v>
      </c>
      <c r="H270">
        <v>39</v>
      </c>
      <c r="I270" s="124">
        <v>53696.574500000002</v>
      </c>
      <c r="J270">
        <v>53</v>
      </c>
      <c r="K270">
        <v>41</v>
      </c>
    </row>
    <row r="271" spans="1:11">
      <c r="A271" t="s">
        <v>588</v>
      </c>
      <c r="B271" t="s">
        <v>1431</v>
      </c>
      <c r="C271" s="124">
        <v>43290.4516</v>
      </c>
      <c r="D271">
        <v>19</v>
      </c>
      <c r="E271">
        <v>12</v>
      </c>
      <c r="F271" s="124">
        <v>54782.138899999998</v>
      </c>
      <c r="G271">
        <v>21</v>
      </c>
      <c r="H271">
        <v>15</v>
      </c>
      <c r="I271" s="124">
        <v>52436.666700000002</v>
      </c>
      <c r="J271">
        <v>28</v>
      </c>
      <c r="K271">
        <v>17</v>
      </c>
    </row>
    <row r="272" spans="1:11">
      <c r="A272" t="s">
        <v>625</v>
      </c>
      <c r="B272" t="s">
        <v>1432</v>
      </c>
      <c r="C272" s="124">
        <v>40225.407399999996</v>
      </c>
      <c r="D272">
        <v>38</v>
      </c>
      <c r="E272">
        <v>16</v>
      </c>
      <c r="F272" s="124">
        <v>52933.529399999999</v>
      </c>
      <c r="G272">
        <v>29</v>
      </c>
      <c r="H272">
        <v>22</v>
      </c>
      <c r="I272" s="124">
        <v>57050.584900000002</v>
      </c>
      <c r="J272">
        <v>33</v>
      </c>
      <c r="K272">
        <v>20</v>
      </c>
    </row>
    <row r="273" spans="1:11">
      <c r="A273" t="s">
        <v>606</v>
      </c>
      <c r="B273" t="s">
        <v>1433</v>
      </c>
      <c r="C273" s="124">
        <v>39572.352099999996</v>
      </c>
      <c r="D273">
        <v>46</v>
      </c>
      <c r="E273">
        <v>25</v>
      </c>
      <c r="F273" s="124">
        <v>56145.475400000003</v>
      </c>
      <c r="G273">
        <v>36</v>
      </c>
      <c r="H273">
        <v>25</v>
      </c>
      <c r="I273" s="124">
        <v>58728.306499999999</v>
      </c>
      <c r="J273">
        <v>36</v>
      </c>
      <c r="K273">
        <v>26</v>
      </c>
    </row>
    <row r="274" spans="1:11">
      <c r="A274" t="s">
        <v>1020</v>
      </c>
      <c r="B274" t="s">
        <v>1599</v>
      </c>
      <c r="F274" s="124">
        <v>32521.5</v>
      </c>
      <c r="H274">
        <v>2</v>
      </c>
      <c r="I274" s="124">
        <v>52715.5</v>
      </c>
      <c r="J274">
        <v>1</v>
      </c>
      <c r="K274">
        <v>1</v>
      </c>
    </row>
    <row r="275" spans="1:11">
      <c r="A275" t="s">
        <v>897</v>
      </c>
      <c r="B275" t="s">
        <v>1435</v>
      </c>
      <c r="C275" s="124">
        <v>64656.888899999998</v>
      </c>
      <c r="E275">
        <v>9</v>
      </c>
      <c r="F275" s="124">
        <v>71741.444399999993</v>
      </c>
      <c r="H275">
        <v>9</v>
      </c>
      <c r="I275" s="124">
        <v>74670.266699999993</v>
      </c>
      <c r="J275">
        <v>4</v>
      </c>
      <c r="K275">
        <v>11</v>
      </c>
    </row>
    <row r="276" spans="1:11">
      <c r="A276" t="s">
        <v>540</v>
      </c>
      <c r="B276" t="s">
        <v>1598</v>
      </c>
      <c r="C276" s="124">
        <v>36810.333299999998</v>
      </c>
      <c r="D276">
        <v>2</v>
      </c>
      <c r="E276">
        <v>1</v>
      </c>
      <c r="F276" s="124">
        <v>44133.333299999998</v>
      </c>
      <c r="G276">
        <v>1</v>
      </c>
      <c r="H276">
        <v>2</v>
      </c>
      <c r="I276" s="124">
        <v>38613.333299999998</v>
      </c>
      <c r="J276">
        <v>2</v>
      </c>
      <c r="K276">
        <v>1</v>
      </c>
    </row>
    <row r="277" spans="1:11">
      <c r="A277" t="s">
        <v>552</v>
      </c>
      <c r="B277" t="s">
        <v>1437</v>
      </c>
      <c r="C277" s="124">
        <v>21645</v>
      </c>
      <c r="D277">
        <v>1</v>
      </c>
      <c r="E277">
        <v>1</v>
      </c>
      <c r="F277" s="124">
        <v>55954.5</v>
      </c>
      <c r="G277">
        <v>1</v>
      </c>
      <c r="H277">
        <v>1</v>
      </c>
      <c r="I277" s="124">
        <v>45325.5</v>
      </c>
      <c r="J277">
        <v>1</v>
      </c>
      <c r="K277">
        <v>1</v>
      </c>
    </row>
    <row r="278" spans="1:11">
      <c r="A278" t="s">
        <v>815</v>
      </c>
      <c r="B278" t="s">
        <v>1438</v>
      </c>
      <c r="C278" s="124">
        <v>29319.375</v>
      </c>
      <c r="D278">
        <v>6</v>
      </c>
      <c r="E278">
        <v>2</v>
      </c>
      <c r="F278" s="124">
        <v>70450.666700000002</v>
      </c>
      <c r="G278">
        <v>1</v>
      </c>
      <c r="H278">
        <v>2</v>
      </c>
      <c r="I278" s="124">
        <v>48784</v>
      </c>
      <c r="J278">
        <v>5</v>
      </c>
      <c r="K278">
        <v>3</v>
      </c>
    </row>
    <row r="279" spans="1:11">
      <c r="A279" t="s">
        <v>703</v>
      </c>
      <c r="B279" t="s">
        <v>1439</v>
      </c>
      <c r="C279" s="124">
        <v>49004.476199999997</v>
      </c>
      <c r="D279">
        <v>21</v>
      </c>
      <c r="E279">
        <v>21</v>
      </c>
      <c r="F279" s="124">
        <v>56710.924500000001</v>
      </c>
      <c r="G279">
        <v>25</v>
      </c>
      <c r="H279">
        <v>28</v>
      </c>
      <c r="I279" s="124">
        <v>59089.859600000003</v>
      </c>
      <c r="J279">
        <v>28</v>
      </c>
      <c r="K279">
        <v>29</v>
      </c>
    </row>
    <row r="280" spans="1:11">
      <c r="A280" t="s">
        <v>390</v>
      </c>
      <c r="B280" t="s">
        <v>1440</v>
      </c>
      <c r="C280" s="124">
        <v>45581</v>
      </c>
      <c r="D280">
        <v>5</v>
      </c>
      <c r="E280">
        <v>4</v>
      </c>
      <c r="F280" s="124">
        <v>53121.333299999998</v>
      </c>
      <c r="G280">
        <v>7</v>
      </c>
      <c r="H280">
        <v>5</v>
      </c>
      <c r="I280" s="124">
        <v>53573.2143</v>
      </c>
      <c r="J280">
        <v>8</v>
      </c>
      <c r="K280">
        <v>6</v>
      </c>
    </row>
    <row r="281" spans="1:11">
      <c r="A281" t="s">
        <v>679</v>
      </c>
      <c r="B281" t="s">
        <v>1441</v>
      </c>
      <c r="C281" s="124">
        <v>35996.199999999997</v>
      </c>
      <c r="D281">
        <v>4</v>
      </c>
      <c r="E281">
        <v>1</v>
      </c>
      <c r="F281" s="124">
        <v>41125.5</v>
      </c>
      <c r="G281">
        <v>2</v>
      </c>
      <c r="H281">
        <v>2</v>
      </c>
      <c r="I281" s="124">
        <v>42981</v>
      </c>
      <c r="J281">
        <v>3</v>
      </c>
      <c r="K281">
        <v>2</v>
      </c>
    </row>
    <row r="282" spans="1:11">
      <c r="A282" t="s">
        <v>476</v>
      </c>
      <c r="B282" t="s">
        <v>1442</v>
      </c>
      <c r="C282" s="124">
        <v>27273.142899999999</v>
      </c>
      <c r="D282">
        <v>6</v>
      </c>
      <c r="E282">
        <v>1</v>
      </c>
      <c r="F282" s="124">
        <v>27863.25</v>
      </c>
      <c r="G282">
        <v>3</v>
      </c>
      <c r="H282">
        <v>1</v>
      </c>
      <c r="I282" s="124">
        <v>45691.5</v>
      </c>
      <c r="J282">
        <v>1</v>
      </c>
      <c r="K282">
        <v>1</v>
      </c>
    </row>
    <row r="283" spans="1:11">
      <c r="A283" t="s">
        <v>797</v>
      </c>
      <c r="B283" t="s">
        <v>1597</v>
      </c>
      <c r="C283" s="124">
        <v>88449</v>
      </c>
      <c r="E283">
        <v>1</v>
      </c>
      <c r="F283" s="124">
        <v>114953</v>
      </c>
      <c r="H283">
        <v>1</v>
      </c>
      <c r="I283" s="124">
        <v>119202</v>
      </c>
      <c r="K283">
        <v>1</v>
      </c>
    </row>
    <row r="284" spans="1:11">
      <c r="A284" t="s">
        <v>394</v>
      </c>
      <c r="B284" t="s">
        <v>1596</v>
      </c>
      <c r="C284" s="124">
        <v>33144.142899999999</v>
      </c>
      <c r="D284">
        <v>4</v>
      </c>
      <c r="E284">
        <v>3</v>
      </c>
      <c r="F284" s="124">
        <v>36637.199999999997</v>
      </c>
      <c r="G284">
        <v>4</v>
      </c>
      <c r="H284">
        <v>1</v>
      </c>
      <c r="I284" s="124">
        <v>45501.25</v>
      </c>
      <c r="J284">
        <v>3</v>
      </c>
      <c r="K284">
        <v>1</v>
      </c>
    </row>
    <row r="285" spans="1:11">
      <c r="A285" t="s">
        <v>448</v>
      </c>
      <c r="B285" t="s">
        <v>1595</v>
      </c>
      <c r="C285" s="124">
        <v>36953.25</v>
      </c>
      <c r="D285">
        <v>3</v>
      </c>
      <c r="E285">
        <v>1</v>
      </c>
      <c r="F285" s="124">
        <v>30457.2857</v>
      </c>
      <c r="G285">
        <v>6</v>
      </c>
      <c r="H285">
        <v>1</v>
      </c>
      <c r="I285" s="124">
        <v>45932.666700000002</v>
      </c>
      <c r="J285">
        <v>2</v>
      </c>
      <c r="K285">
        <v>1</v>
      </c>
    </row>
    <row r="286" spans="1:11">
      <c r="A286" t="s">
        <v>739</v>
      </c>
      <c r="B286" t="s">
        <v>1594</v>
      </c>
      <c r="C286" s="124">
        <v>29808.833299999998</v>
      </c>
      <c r="D286">
        <v>4</v>
      </c>
      <c r="E286">
        <v>2</v>
      </c>
      <c r="F286" s="124">
        <v>38135.833299999998</v>
      </c>
      <c r="G286">
        <v>4</v>
      </c>
      <c r="H286">
        <v>2</v>
      </c>
      <c r="I286" s="124">
        <v>56632.6</v>
      </c>
      <c r="J286">
        <v>3</v>
      </c>
      <c r="K286">
        <v>2</v>
      </c>
    </row>
    <row r="287" spans="1:11">
      <c r="A287" t="s">
        <v>785</v>
      </c>
      <c r="B287" t="s">
        <v>1593</v>
      </c>
      <c r="C287" s="124">
        <v>37718.5</v>
      </c>
      <c r="D287">
        <v>1</v>
      </c>
      <c r="E287">
        <v>1</v>
      </c>
      <c r="F287" s="124">
        <v>42523</v>
      </c>
      <c r="G287">
        <v>3</v>
      </c>
      <c r="H287">
        <v>1</v>
      </c>
      <c r="I287" s="124">
        <v>44728</v>
      </c>
      <c r="J287">
        <v>2</v>
      </c>
      <c r="K287">
        <v>1</v>
      </c>
    </row>
    <row r="288" spans="1:11">
      <c r="A288" t="s">
        <v>645</v>
      </c>
      <c r="B288" t="s">
        <v>1592</v>
      </c>
      <c r="C288" s="124">
        <v>88078.333299999998</v>
      </c>
      <c r="D288">
        <v>1</v>
      </c>
      <c r="E288">
        <v>2</v>
      </c>
      <c r="F288" s="124">
        <v>64350.5</v>
      </c>
      <c r="G288">
        <v>4</v>
      </c>
      <c r="H288">
        <v>2</v>
      </c>
      <c r="I288" s="124">
        <v>61189</v>
      </c>
      <c r="J288">
        <v>4</v>
      </c>
      <c r="K288">
        <v>2</v>
      </c>
    </row>
    <row r="289" spans="1:11">
      <c r="A289" t="s">
        <v>1035</v>
      </c>
      <c r="B289" t="s">
        <v>1591</v>
      </c>
      <c r="F289" s="124">
        <v>36216.166700000002</v>
      </c>
      <c r="G289">
        <v>2</v>
      </c>
      <c r="H289">
        <v>4</v>
      </c>
      <c r="I289" s="124">
        <v>44049</v>
      </c>
      <c r="J289">
        <v>2</v>
      </c>
      <c r="K289">
        <v>1</v>
      </c>
    </row>
    <row r="290" spans="1:11">
      <c r="A290" t="s">
        <v>835</v>
      </c>
      <c r="B290" t="s">
        <v>1444</v>
      </c>
      <c r="C290" s="124">
        <v>57880.4444</v>
      </c>
      <c r="D290">
        <v>4</v>
      </c>
      <c r="E290">
        <v>5</v>
      </c>
      <c r="F290" s="124">
        <v>50111.7857</v>
      </c>
      <c r="G290">
        <v>7</v>
      </c>
      <c r="H290">
        <v>7</v>
      </c>
      <c r="I290" s="124">
        <v>53012.461499999998</v>
      </c>
      <c r="J290">
        <v>7</v>
      </c>
      <c r="K290">
        <v>6</v>
      </c>
    </row>
    <row r="291" spans="1:11">
      <c r="A291" t="s">
        <v>614</v>
      </c>
      <c r="B291" t="s">
        <v>1445</v>
      </c>
      <c r="C291" s="124">
        <v>56349.5789</v>
      </c>
      <c r="D291">
        <v>9</v>
      </c>
      <c r="E291">
        <v>10</v>
      </c>
      <c r="F291" s="124">
        <v>72301.833299999998</v>
      </c>
      <c r="G291">
        <v>6</v>
      </c>
      <c r="H291">
        <v>12</v>
      </c>
      <c r="I291" s="124">
        <v>66296</v>
      </c>
      <c r="J291">
        <v>6</v>
      </c>
      <c r="K291">
        <v>12</v>
      </c>
    </row>
    <row r="292" spans="1:11">
      <c r="A292" t="s">
        <v>891</v>
      </c>
      <c r="B292" t="s">
        <v>1446</v>
      </c>
      <c r="C292" s="124">
        <v>53169.950700000001</v>
      </c>
      <c r="D292">
        <v>193</v>
      </c>
      <c r="E292">
        <v>152</v>
      </c>
      <c r="F292" s="124">
        <v>65126.043599999997</v>
      </c>
      <c r="G292">
        <v>212</v>
      </c>
      <c r="H292">
        <v>155</v>
      </c>
      <c r="I292" s="124">
        <v>64324.743900000001</v>
      </c>
      <c r="J292">
        <v>208</v>
      </c>
      <c r="K292">
        <v>159</v>
      </c>
    </row>
    <row r="293" spans="1:11">
      <c r="A293" t="s">
        <v>436</v>
      </c>
      <c r="B293" t="s">
        <v>1590</v>
      </c>
      <c r="C293" s="124">
        <v>56554.404799999997</v>
      </c>
      <c r="D293">
        <v>19</v>
      </c>
      <c r="E293">
        <v>23</v>
      </c>
      <c r="F293" s="124">
        <v>65583.199999999997</v>
      </c>
      <c r="G293">
        <v>17</v>
      </c>
      <c r="H293">
        <v>28</v>
      </c>
      <c r="I293" s="124">
        <v>71965.233999999997</v>
      </c>
      <c r="J293">
        <v>17</v>
      </c>
      <c r="K293">
        <v>30</v>
      </c>
    </row>
    <row r="294" spans="1:11">
      <c r="A294" t="s">
        <v>751</v>
      </c>
      <c r="B294" t="s">
        <v>1448</v>
      </c>
      <c r="C294" s="124">
        <v>47388.606099999997</v>
      </c>
      <c r="D294">
        <v>35</v>
      </c>
      <c r="E294">
        <v>31</v>
      </c>
      <c r="F294" s="124">
        <v>57281.8871</v>
      </c>
      <c r="G294">
        <v>31</v>
      </c>
      <c r="H294">
        <v>31</v>
      </c>
      <c r="I294" s="124">
        <v>60919.9692</v>
      </c>
      <c r="J294">
        <v>31</v>
      </c>
      <c r="K294">
        <v>34</v>
      </c>
    </row>
    <row r="295" spans="1:11">
      <c r="A295" t="s">
        <v>568</v>
      </c>
      <c r="B295" t="s">
        <v>1449</v>
      </c>
      <c r="C295" s="124">
        <v>63294.3</v>
      </c>
      <c r="D295">
        <v>2</v>
      </c>
      <c r="E295">
        <v>8</v>
      </c>
      <c r="F295" s="124">
        <v>69871</v>
      </c>
      <c r="G295">
        <v>5</v>
      </c>
      <c r="H295">
        <v>5</v>
      </c>
      <c r="I295" s="124">
        <v>65012</v>
      </c>
      <c r="J295">
        <v>6</v>
      </c>
      <c r="K295">
        <v>5</v>
      </c>
    </row>
    <row r="296" spans="1:11">
      <c r="A296" t="s">
        <v>484</v>
      </c>
      <c r="B296" t="s">
        <v>1450</v>
      </c>
      <c r="C296" s="124">
        <v>43394.666700000002</v>
      </c>
      <c r="D296">
        <v>37</v>
      </c>
      <c r="E296">
        <v>20</v>
      </c>
      <c r="F296" s="124">
        <v>44683.4444</v>
      </c>
      <c r="G296">
        <v>41</v>
      </c>
      <c r="H296">
        <v>31</v>
      </c>
      <c r="I296" s="124">
        <v>52740.442999999999</v>
      </c>
      <c r="J296">
        <v>48</v>
      </c>
      <c r="K296">
        <v>31</v>
      </c>
    </row>
    <row r="297" spans="1:11">
      <c r="A297" t="s">
        <v>807</v>
      </c>
      <c r="B297" t="s">
        <v>1451</v>
      </c>
      <c r="C297" s="124">
        <v>55920.543700000002</v>
      </c>
      <c r="D297">
        <v>44</v>
      </c>
      <c r="E297">
        <v>59</v>
      </c>
      <c r="F297" s="124">
        <v>58146.713000000003</v>
      </c>
      <c r="G297">
        <v>59</v>
      </c>
      <c r="H297">
        <v>56</v>
      </c>
      <c r="I297" s="124">
        <v>60152.5893</v>
      </c>
      <c r="J297">
        <v>59</v>
      </c>
      <c r="K297">
        <v>53</v>
      </c>
    </row>
    <row r="298" spans="1:11">
      <c r="A298" t="s">
        <v>825</v>
      </c>
      <c r="B298" t="s">
        <v>1452</v>
      </c>
      <c r="C298" s="124">
        <v>60101.255799999999</v>
      </c>
      <c r="D298">
        <v>16</v>
      </c>
      <c r="E298">
        <v>27</v>
      </c>
      <c r="F298" s="124">
        <v>65590.166700000002</v>
      </c>
      <c r="G298">
        <v>27</v>
      </c>
      <c r="H298">
        <v>27</v>
      </c>
      <c r="I298" s="124">
        <v>62751.084699999999</v>
      </c>
      <c r="J298">
        <v>28</v>
      </c>
      <c r="K298">
        <v>31</v>
      </c>
    </row>
    <row r="299" spans="1:11">
      <c r="A299" t="s">
        <v>500</v>
      </c>
      <c r="B299" t="s">
        <v>1453</v>
      </c>
      <c r="C299" s="124">
        <v>54551.333299999998</v>
      </c>
      <c r="D299">
        <v>9</v>
      </c>
      <c r="E299">
        <v>9</v>
      </c>
      <c r="F299" s="124">
        <v>73658.571400000001</v>
      </c>
      <c r="G299">
        <v>4</v>
      </c>
      <c r="H299">
        <v>10</v>
      </c>
      <c r="I299" s="124">
        <v>60963.230799999998</v>
      </c>
      <c r="J299">
        <v>6</v>
      </c>
      <c r="K299">
        <v>7</v>
      </c>
    </row>
    <row r="300" spans="1:11">
      <c r="A300" t="s">
        <v>486</v>
      </c>
      <c r="B300" t="s">
        <v>1454</v>
      </c>
      <c r="C300" s="124">
        <v>55386.166700000002</v>
      </c>
      <c r="D300">
        <v>8</v>
      </c>
      <c r="E300">
        <v>10</v>
      </c>
      <c r="F300" s="124">
        <v>68498</v>
      </c>
      <c r="G300">
        <v>10</v>
      </c>
      <c r="H300">
        <v>14</v>
      </c>
      <c r="I300" s="124">
        <v>62465.217400000001</v>
      </c>
      <c r="J300">
        <v>10</v>
      </c>
      <c r="K300">
        <v>13</v>
      </c>
    </row>
    <row r="301" spans="1:11">
      <c r="A301" t="s">
        <v>895</v>
      </c>
      <c r="B301" t="s">
        <v>1455</v>
      </c>
      <c r="C301" s="124">
        <v>38346.2258</v>
      </c>
      <c r="D301">
        <v>23</v>
      </c>
      <c r="E301">
        <v>8</v>
      </c>
      <c r="F301" s="124">
        <v>47469.384599999998</v>
      </c>
      <c r="G301">
        <v>19</v>
      </c>
      <c r="H301">
        <v>7</v>
      </c>
      <c r="I301" s="124">
        <v>55980.263200000001</v>
      </c>
      <c r="J301">
        <v>13</v>
      </c>
      <c r="K301">
        <v>6</v>
      </c>
    </row>
    <row r="302" spans="1:11">
      <c r="A302" t="s">
        <v>853</v>
      </c>
      <c r="B302" t="s">
        <v>1456</v>
      </c>
      <c r="C302" s="124">
        <v>47111.625</v>
      </c>
      <c r="D302">
        <v>27</v>
      </c>
      <c r="E302">
        <v>21</v>
      </c>
      <c r="F302" s="124">
        <v>58580.904799999997</v>
      </c>
      <c r="G302">
        <v>32</v>
      </c>
      <c r="H302">
        <v>31</v>
      </c>
      <c r="I302" s="124">
        <v>55549.069000000003</v>
      </c>
      <c r="J302">
        <v>31</v>
      </c>
      <c r="K302">
        <v>27</v>
      </c>
    </row>
    <row r="303" spans="1:11">
      <c r="A303" t="s">
        <v>869</v>
      </c>
      <c r="B303" t="s">
        <v>1589</v>
      </c>
      <c r="C303" s="124">
        <v>43526.666700000002</v>
      </c>
      <c r="D303">
        <v>62</v>
      </c>
      <c r="E303">
        <v>34</v>
      </c>
      <c r="F303" s="124">
        <v>50680.7474</v>
      </c>
      <c r="G303">
        <v>60</v>
      </c>
      <c r="H303">
        <v>35</v>
      </c>
      <c r="I303" s="124">
        <v>52761.854399999997</v>
      </c>
      <c r="J303">
        <v>64</v>
      </c>
      <c r="K303">
        <v>39</v>
      </c>
    </row>
    <row r="304" spans="1:11">
      <c r="A304" t="s">
        <v>604</v>
      </c>
      <c r="B304" t="s">
        <v>1458</v>
      </c>
      <c r="C304" s="124">
        <v>56632.352899999998</v>
      </c>
      <c r="D304">
        <v>10</v>
      </c>
      <c r="E304">
        <v>7</v>
      </c>
      <c r="F304" s="124">
        <v>57318.400000000001</v>
      </c>
      <c r="G304">
        <v>11</v>
      </c>
      <c r="H304">
        <v>9</v>
      </c>
      <c r="I304" s="124">
        <v>67745.75</v>
      </c>
      <c r="J304">
        <v>7</v>
      </c>
      <c r="K304">
        <v>9</v>
      </c>
    </row>
    <row r="305" spans="1:11">
      <c r="A305" t="s">
        <v>993</v>
      </c>
      <c r="B305" t="s">
        <v>1588</v>
      </c>
      <c r="I305" s="124">
        <v>66830</v>
      </c>
      <c r="K305">
        <v>1</v>
      </c>
    </row>
    <row r="306" spans="1:11">
      <c r="A306" t="s">
        <v>1587</v>
      </c>
      <c r="C306" s="124">
        <v>12530938.036599994</v>
      </c>
      <c r="D306">
        <v>15139</v>
      </c>
      <c r="E306">
        <v>11023</v>
      </c>
      <c r="F306" s="124">
        <v>15351870.15959999</v>
      </c>
      <c r="G306">
        <v>15646</v>
      </c>
      <c r="H306">
        <v>12034</v>
      </c>
      <c r="I306" s="124">
        <v>16058511.048599999</v>
      </c>
      <c r="J306">
        <v>16909</v>
      </c>
      <c r="K306">
        <v>12097</v>
      </c>
    </row>
  </sheetData>
  <mergeCells count="3">
    <mergeCell ref="C4:E4"/>
    <mergeCell ref="F4:H4"/>
    <mergeCell ref="I4:K4"/>
  </mergeCells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576FB-4109-4835-A98A-6860408A0A01}">
  <dimension ref="B1:N325"/>
  <sheetViews>
    <sheetView topLeftCell="B1" workbookViewId="0">
      <pane ySplit="3" topLeftCell="A4" activePane="bottomLeft" state="frozen"/>
      <selection sqref="A1:L1"/>
      <selection pane="bottomLeft" sqref="A1:L1"/>
    </sheetView>
  </sheetViews>
  <sheetFormatPr defaultRowHeight="15"/>
  <cols>
    <col min="2" max="2" width="28.85546875" customWidth="1"/>
    <col min="3" max="3" width="15.7109375" bestFit="1" customWidth="1"/>
    <col min="7" max="7" width="38.28515625" bestFit="1" customWidth="1"/>
    <col min="10" max="10" width="38.28515625" bestFit="1" customWidth="1"/>
    <col min="13" max="13" width="54.28515625" bestFit="1" customWidth="1"/>
  </cols>
  <sheetData>
    <row r="1" spans="2:14">
      <c r="B1" s="23">
        <f t="shared" ref="B1" si="0">COLUMN(B1)</f>
        <v>2</v>
      </c>
      <c r="C1" s="23">
        <f>COLUMN(C1)</f>
        <v>3</v>
      </c>
    </row>
    <row r="2" spans="2:14">
      <c r="B2" s="23"/>
      <c r="C2" s="23"/>
    </row>
    <row r="3" spans="2:14">
      <c r="B3" s="24" t="s">
        <v>293</v>
      </c>
      <c r="C3" s="24" t="s">
        <v>292</v>
      </c>
      <c r="D3" t="s">
        <v>1130</v>
      </c>
      <c r="E3" t="s">
        <v>1131</v>
      </c>
      <c r="G3" s="24" t="s">
        <v>293</v>
      </c>
      <c r="H3" t="s">
        <v>1130</v>
      </c>
      <c r="J3" s="24" t="s">
        <v>293</v>
      </c>
      <c r="K3" t="s">
        <v>1131</v>
      </c>
      <c r="M3" s="24" t="s">
        <v>293</v>
      </c>
      <c r="N3" t="s">
        <v>1187</v>
      </c>
    </row>
    <row r="4" spans="2:14">
      <c r="B4" t="s">
        <v>316</v>
      </c>
      <c r="C4" t="s">
        <v>315</v>
      </c>
      <c r="D4" t="s">
        <v>1132</v>
      </c>
      <c r="E4" t="s">
        <v>1132</v>
      </c>
      <c r="G4" s="75" t="s">
        <v>342</v>
      </c>
      <c r="H4" s="75" t="s">
        <v>341</v>
      </c>
      <c r="J4" s="87" t="s">
        <v>364</v>
      </c>
      <c r="K4" s="87" t="s">
        <v>363</v>
      </c>
      <c r="M4" t="s">
        <v>316</v>
      </c>
      <c r="N4" t="s">
        <v>315</v>
      </c>
    </row>
    <row r="5" spans="2:14">
      <c r="B5" t="s">
        <v>318</v>
      </c>
      <c r="C5" t="s">
        <v>317</v>
      </c>
      <c r="D5" t="s">
        <v>1132</v>
      </c>
      <c r="E5" t="s">
        <v>1132</v>
      </c>
      <c r="G5" s="75" t="s">
        <v>369</v>
      </c>
      <c r="H5" s="75" t="s">
        <v>368</v>
      </c>
      <c r="J5" s="87" t="s">
        <v>451</v>
      </c>
      <c r="K5" s="87" t="s">
        <v>450</v>
      </c>
      <c r="M5" t="s">
        <v>318</v>
      </c>
      <c r="N5" t="s">
        <v>317</v>
      </c>
    </row>
    <row r="6" spans="2:14">
      <c r="B6" t="s">
        <v>320</v>
      </c>
      <c r="C6" t="s">
        <v>319</v>
      </c>
      <c r="D6" t="s">
        <v>1132</v>
      </c>
      <c r="E6" t="s">
        <v>1132</v>
      </c>
      <c r="G6" s="75" t="s">
        <v>427</v>
      </c>
      <c r="H6" s="75" t="s">
        <v>426</v>
      </c>
      <c r="J6" s="87" t="s">
        <v>573</v>
      </c>
      <c r="K6" s="87" t="s">
        <v>572</v>
      </c>
      <c r="M6" t="s">
        <v>320</v>
      </c>
      <c r="N6" t="s">
        <v>319</v>
      </c>
    </row>
    <row r="7" spans="2:14">
      <c r="B7" t="s">
        <v>322</v>
      </c>
      <c r="C7" t="s">
        <v>321</v>
      </c>
      <c r="D7" t="s">
        <v>1132</v>
      </c>
      <c r="E7" t="s">
        <v>1132</v>
      </c>
      <c r="G7" s="75" t="s">
        <v>433</v>
      </c>
      <c r="H7" s="75" t="s">
        <v>432</v>
      </c>
      <c r="J7" s="75" t="s">
        <v>342</v>
      </c>
      <c r="K7" s="75" t="s">
        <v>341</v>
      </c>
      <c r="M7" t="s">
        <v>322</v>
      </c>
      <c r="N7" t="s">
        <v>321</v>
      </c>
    </row>
    <row r="8" spans="2:14">
      <c r="B8" t="s">
        <v>324</v>
      </c>
      <c r="C8" t="s">
        <v>323</v>
      </c>
      <c r="D8" t="s">
        <v>1132</v>
      </c>
      <c r="E8" t="s">
        <v>1132</v>
      </c>
      <c r="G8" s="75" t="s">
        <v>479</v>
      </c>
      <c r="H8" s="75" t="s">
        <v>478</v>
      </c>
      <c r="J8" s="75" t="s">
        <v>369</v>
      </c>
      <c r="K8" s="75" t="s">
        <v>368</v>
      </c>
      <c r="M8" t="s">
        <v>324</v>
      </c>
      <c r="N8" t="s">
        <v>323</v>
      </c>
    </row>
    <row r="9" spans="2:14">
      <c r="B9" t="s">
        <v>326</v>
      </c>
      <c r="C9" t="s">
        <v>325</v>
      </c>
      <c r="D9" t="s">
        <v>1132</v>
      </c>
      <c r="E9" t="s">
        <v>1132</v>
      </c>
      <c r="G9" s="75" t="s">
        <v>481</v>
      </c>
      <c r="H9" s="75" t="s">
        <v>480</v>
      </c>
      <c r="J9" s="75" t="s">
        <v>427</v>
      </c>
      <c r="K9" s="75" t="s">
        <v>426</v>
      </c>
      <c r="M9" t="s">
        <v>326</v>
      </c>
      <c r="N9" t="s">
        <v>325</v>
      </c>
    </row>
    <row r="10" spans="2:14">
      <c r="B10" t="s">
        <v>328</v>
      </c>
      <c r="C10" t="s">
        <v>327</v>
      </c>
      <c r="D10" t="s">
        <v>1132</v>
      </c>
      <c r="E10" t="s">
        <v>1132</v>
      </c>
      <c r="G10" s="75" t="s">
        <v>495</v>
      </c>
      <c r="H10" s="75" t="s">
        <v>494</v>
      </c>
      <c r="J10" s="75" t="s">
        <v>433</v>
      </c>
      <c r="K10" s="75" t="s">
        <v>432</v>
      </c>
      <c r="M10" t="s">
        <v>328</v>
      </c>
      <c r="N10" t="s">
        <v>327</v>
      </c>
    </row>
    <row r="11" spans="2:14">
      <c r="B11" t="s">
        <v>330</v>
      </c>
      <c r="C11" t="s">
        <v>329</v>
      </c>
      <c r="D11" t="s">
        <v>1132</v>
      </c>
      <c r="E11" t="s">
        <v>1132</v>
      </c>
      <c r="G11" s="75" t="s">
        <v>517</v>
      </c>
      <c r="H11" s="75" t="s">
        <v>516</v>
      </c>
      <c r="J11" s="75" t="s">
        <v>479</v>
      </c>
      <c r="K11" s="75" t="s">
        <v>478</v>
      </c>
      <c r="M11" t="s">
        <v>330</v>
      </c>
      <c r="N11" t="s">
        <v>329</v>
      </c>
    </row>
    <row r="12" spans="2:14">
      <c r="B12" t="s">
        <v>332</v>
      </c>
      <c r="C12" t="s">
        <v>331</v>
      </c>
      <c r="D12" t="s">
        <v>1132</v>
      </c>
      <c r="E12" t="s">
        <v>1132</v>
      </c>
      <c r="G12" s="75" t="s">
        <v>519</v>
      </c>
      <c r="H12" s="75" t="s">
        <v>518</v>
      </c>
      <c r="J12" s="75" t="s">
        <v>481</v>
      </c>
      <c r="K12" s="75" t="s">
        <v>480</v>
      </c>
      <c r="M12" t="s">
        <v>332</v>
      </c>
      <c r="N12" t="s">
        <v>331</v>
      </c>
    </row>
    <row r="13" spans="2:14">
      <c r="B13" t="s">
        <v>334</v>
      </c>
      <c r="C13" t="s">
        <v>333</v>
      </c>
      <c r="D13" t="s">
        <v>1132</v>
      </c>
      <c r="E13" t="s">
        <v>1132</v>
      </c>
      <c r="G13" s="75" t="s">
        <v>535</v>
      </c>
      <c r="H13" s="75" t="s">
        <v>534</v>
      </c>
      <c r="J13" s="75" t="s">
        <v>495</v>
      </c>
      <c r="K13" s="75" t="s">
        <v>494</v>
      </c>
      <c r="M13" t="s">
        <v>334</v>
      </c>
      <c r="N13" t="s">
        <v>333</v>
      </c>
    </row>
    <row r="14" spans="2:14">
      <c r="B14" t="s">
        <v>336</v>
      </c>
      <c r="C14" t="s">
        <v>335</v>
      </c>
      <c r="D14" t="s">
        <v>1132</v>
      </c>
      <c r="E14" t="s">
        <v>1132</v>
      </c>
      <c r="G14" s="75" t="s">
        <v>545</v>
      </c>
      <c r="H14" s="75" t="s">
        <v>544</v>
      </c>
      <c r="J14" s="75" t="s">
        <v>517</v>
      </c>
      <c r="K14" s="75" t="s">
        <v>516</v>
      </c>
      <c r="M14" t="s">
        <v>336</v>
      </c>
      <c r="N14" t="s">
        <v>335</v>
      </c>
    </row>
    <row r="15" spans="2:14">
      <c r="B15" t="s">
        <v>338</v>
      </c>
      <c r="C15" t="s">
        <v>337</v>
      </c>
      <c r="D15" t="s">
        <v>1132</v>
      </c>
      <c r="E15" t="s">
        <v>1132</v>
      </c>
      <c r="G15" s="75" t="s">
        <v>565</v>
      </c>
      <c r="H15" s="75" t="s">
        <v>564</v>
      </c>
      <c r="J15" s="75" t="s">
        <v>519</v>
      </c>
      <c r="K15" s="75" t="s">
        <v>518</v>
      </c>
      <c r="M15" t="s">
        <v>338</v>
      </c>
      <c r="N15" t="s">
        <v>337</v>
      </c>
    </row>
    <row r="16" spans="2:14">
      <c r="B16" t="s">
        <v>340</v>
      </c>
      <c r="C16" t="s">
        <v>339</v>
      </c>
      <c r="D16" t="s">
        <v>1132</v>
      </c>
      <c r="E16" t="s">
        <v>1132</v>
      </c>
      <c r="G16" s="75" t="s">
        <v>571</v>
      </c>
      <c r="H16" s="75" t="s">
        <v>570</v>
      </c>
      <c r="J16" s="75" t="s">
        <v>535</v>
      </c>
      <c r="K16" s="75" t="s">
        <v>534</v>
      </c>
      <c r="M16" t="s">
        <v>340</v>
      </c>
      <c r="N16" t="s">
        <v>339</v>
      </c>
    </row>
    <row r="17" spans="2:14">
      <c r="B17" s="75" t="s">
        <v>342</v>
      </c>
      <c r="C17" s="75" t="s">
        <v>341</v>
      </c>
      <c r="D17" t="s">
        <v>1133</v>
      </c>
      <c r="E17" t="s">
        <v>1133</v>
      </c>
      <c r="G17" s="75" t="s">
        <v>591</v>
      </c>
      <c r="H17" s="75" t="s">
        <v>590</v>
      </c>
      <c r="J17" s="75" t="s">
        <v>545</v>
      </c>
      <c r="K17" s="75" t="s">
        <v>544</v>
      </c>
      <c r="M17" t="s">
        <v>344</v>
      </c>
      <c r="N17" t="s">
        <v>343</v>
      </c>
    </row>
    <row r="18" spans="2:14">
      <c r="B18" t="s">
        <v>344</v>
      </c>
      <c r="C18" t="s">
        <v>343</v>
      </c>
      <c r="D18" t="s">
        <v>1132</v>
      </c>
      <c r="E18" t="s">
        <v>1132</v>
      </c>
      <c r="G18" s="75" t="s">
        <v>593</v>
      </c>
      <c r="H18" s="75" t="s">
        <v>592</v>
      </c>
      <c r="J18" s="75" t="s">
        <v>565</v>
      </c>
      <c r="K18" s="75" t="s">
        <v>564</v>
      </c>
      <c r="M18" t="s">
        <v>346</v>
      </c>
      <c r="N18" t="s">
        <v>345</v>
      </c>
    </row>
    <row r="19" spans="2:14">
      <c r="B19" t="s">
        <v>346</v>
      </c>
      <c r="C19" t="s">
        <v>345</v>
      </c>
      <c r="D19" t="s">
        <v>1132</v>
      </c>
      <c r="E19" t="s">
        <v>1132</v>
      </c>
      <c r="G19" s="75" t="s">
        <v>609</v>
      </c>
      <c r="H19" s="75" t="s">
        <v>608</v>
      </c>
      <c r="J19" s="75" t="s">
        <v>571</v>
      </c>
      <c r="K19" s="75" t="s">
        <v>570</v>
      </c>
      <c r="M19" t="s">
        <v>348</v>
      </c>
      <c r="N19" t="s">
        <v>347</v>
      </c>
    </row>
    <row r="20" spans="2:14">
      <c r="B20" t="s">
        <v>348</v>
      </c>
      <c r="C20" t="s">
        <v>347</v>
      </c>
      <c r="D20" t="s">
        <v>1132</v>
      </c>
      <c r="E20" t="s">
        <v>1132</v>
      </c>
      <c r="G20" s="75" t="s">
        <v>619</v>
      </c>
      <c r="H20" s="75" t="s">
        <v>618</v>
      </c>
      <c r="J20" s="75" t="s">
        <v>591</v>
      </c>
      <c r="K20" s="75" t="s">
        <v>590</v>
      </c>
      <c r="M20" t="s">
        <v>350</v>
      </c>
      <c r="N20" t="s">
        <v>349</v>
      </c>
    </row>
    <row r="21" spans="2:14">
      <c r="B21" t="s">
        <v>350</v>
      </c>
      <c r="C21" t="s">
        <v>349</v>
      </c>
      <c r="D21" t="s">
        <v>1132</v>
      </c>
      <c r="E21" t="s">
        <v>1132</v>
      </c>
      <c r="G21" s="75" t="s">
        <v>650</v>
      </c>
      <c r="H21" s="75" t="s">
        <v>649</v>
      </c>
      <c r="J21" s="75" t="s">
        <v>593</v>
      </c>
      <c r="K21" s="75" t="s">
        <v>592</v>
      </c>
      <c r="M21" t="s">
        <v>352</v>
      </c>
      <c r="N21" t="s">
        <v>351</v>
      </c>
    </row>
    <row r="22" spans="2:14">
      <c r="B22" t="s">
        <v>352</v>
      </c>
      <c r="C22" t="s">
        <v>351</v>
      </c>
      <c r="D22" t="s">
        <v>1132</v>
      </c>
      <c r="E22" t="s">
        <v>1132</v>
      </c>
      <c r="G22" s="75" t="s">
        <v>670</v>
      </c>
      <c r="H22" s="75" t="s">
        <v>669</v>
      </c>
      <c r="J22" s="75" t="s">
        <v>609</v>
      </c>
      <c r="K22" s="75" t="s">
        <v>608</v>
      </c>
      <c r="M22" t="s">
        <v>354</v>
      </c>
      <c r="N22" t="s">
        <v>353</v>
      </c>
    </row>
    <row r="23" spans="2:14">
      <c r="B23" t="s">
        <v>354</v>
      </c>
      <c r="C23" t="s">
        <v>353</v>
      </c>
      <c r="D23" t="s">
        <v>1132</v>
      </c>
      <c r="E23" t="s">
        <v>1132</v>
      </c>
      <c r="G23" s="75" t="s">
        <v>678</v>
      </c>
      <c r="H23" s="75" t="s">
        <v>677</v>
      </c>
      <c r="J23" s="75" t="s">
        <v>619</v>
      </c>
      <c r="K23" s="75" t="s">
        <v>618</v>
      </c>
      <c r="M23" t="s">
        <v>356</v>
      </c>
      <c r="N23" t="s">
        <v>355</v>
      </c>
    </row>
    <row r="24" spans="2:14">
      <c r="B24" t="s">
        <v>356</v>
      </c>
      <c r="C24" t="s">
        <v>355</v>
      </c>
      <c r="D24" t="s">
        <v>1132</v>
      </c>
      <c r="E24" t="s">
        <v>1132</v>
      </c>
      <c r="G24" s="75" t="s">
        <v>738</v>
      </c>
      <c r="H24" s="75" t="s">
        <v>737</v>
      </c>
      <c r="J24" s="75" t="s">
        <v>650</v>
      </c>
      <c r="K24" s="75" t="s">
        <v>649</v>
      </c>
      <c r="M24" t="s">
        <v>358</v>
      </c>
      <c r="N24" t="s">
        <v>357</v>
      </c>
    </row>
    <row r="25" spans="2:14">
      <c r="B25" t="s">
        <v>358</v>
      </c>
      <c r="C25" t="s">
        <v>357</v>
      </c>
      <c r="D25" t="s">
        <v>1132</v>
      </c>
      <c r="E25" t="s">
        <v>1132</v>
      </c>
      <c r="G25" s="75" t="s">
        <v>764</v>
      </c>
      <c r="H25" s="75" t="s">
        <v>763</v>
      </c>
      <c r="J25" s="75" t="s">
        <v>670</v>
      </c>
      <c r="K25" s="75" t="s">
        <v>669</v>
      </c>
      <c r="M25" t="s">
        <v>360</v>
      </c>
      <c r="N25" t="s">
        <v>359</v>
      </c>
    </row>
    <row r="26" spans="2:14">
      <c r="B26" t="s">
        <v>360</v>
      </c>
      <c r="C26" t="s">
        <v>359</v>
      </c>
      <c r="D26" t="s">
        <v>1132</v>
      </c>
      <c r="E26" t="s">
        <v>1132</v>
      </c>
      <c r="G26" s="75" t="s">
        <v>800</v>
      </c>
      <c r="H26" s="75" t="s">
        <v>799</v>
      </c>
      <c r="J26" s="75" t="s">
        <v>678</v>
      </c>
      <c r="K26" s="75" t="s">
        <v>677</v>
      </c>
      <c r="M26" t="s">
        <v>362</v>
      </c>
      <c r="N26" t="s">
        <v>361</v>
      </c>
    </row>
    <row r="27" spans="2:14">
      <c r="B27" t="s">
        <v>362</v>
      </c>
      <c r="C27" t="s">
        <v>361</v>
      </c>
      <c r="D27" t="s">
        <v>1132</v>
      </c>
      <c r="E27" t="s">
        <v>1132</v>
      </c>
      <c r="G27" s="75" t="s">
        <v>830</v>
      </c>
      <c r="H27" s="75" t="s">
        <v>829</v>
      </c>
      <c r="J27" s="75" t="s">
        <v>738</v>
      </c>
      <c r="K27" s="75" t="s">
        <v>737</v>
      </c>
      <c r="M27" t="s">
        <v>1007</v>
      </c>
      <c r="N27" t="s">
        <v>365</v>
      </c>
    </row>
    <row r="28" spans="2:14">
      <c r="B28" t="s">
        <v>364</v>
      </c>
      <c r="C28" t="s">
        <v>363</v>
      </c>
      <c r="D28" t="s">
        <v>1132</v>
      </c>
      <c r="E28" t="s">
        <v>1133</v>
      </c>
      <c r="G28" s="75" t="s">
        <v>832</v>
      </c>
      <c r="H28" s="75" t="s">
        <v>831</v>
      </c>
      <c r="J28" s="75" t="s">
        <v>764</v>
      </c>
      <c r="K28" s="75" t="s">
        <v>763</v>
      </c>
      <c r="M28" t="s">
        <v>367</v>
      </c>
      <c r="N28" t="s">
        <v>366</v>
      </c>
    </row>
    <row r="29" spans="2:14">
      <c r="B29" t="s">
        <v>1007</v>
      </c>
      <c r="C29" t="s">
        <v>365</v>
      </c>
      <c r="D29" t="s">
        <v>1132</v>
      </c>
      <c r="E29" t="s">
        <v>1132</v>
      </c>
      <c r="G29" s="75" t="s">
        <v>846</v>
      </c>
      <c r="H29" s="75" t="s">
        <v>845</v>
      </c>
      <c r="J29" s="75" t="s">
        <v>800</v>
      </c>
      <c r="K29" s="75" t="s">
        <v>799</v>
      </c>
      <c r="M29" t="s">
        <v>1016</v>
      </c>
      <c r="N29" t="s">
        <v>1015</v>
      </c>
    </row>
    <row r="30" spans="2:14">
      <c r="B30" t="s">
        <v>367</v>
      </c>
      <c r="C30" t="s">
        <v>366</v>
      </c>
      <c r="D30" t="s">
        <v>1132</v>
      </c>
      <c r="E30" t="s">
        <v>1132</v>
      </c>
      <c r="G30" s="75" t="s">
        <v>850</v>
      </c>
      <c r="H30" s="75" t="s">
        <v>849</v>
      </c>
      <c r="J30" s="75" t="s">
        <v>830</v>
      </c>
      <c r="K30" s="75" t="s">
        <v>829</v>
      </c>
      <c r="M30" t="s">
        <v>371</v>
      </c>
      <c r="N30" t="s">
        <v>370</v>
      </c>
    </row>
    <row r="31" spans="2:14">
      <c r="B31" t="s">
        <v>1016</v>
      </c>
      <c r="C31" t="s">
        <v>1015</v>
      </c>
      <c r="D31" t="s">
        <v>1132</v>
      </c>
      <c r="E31" t="s">
        <v>1132</v>
      </c>
      <c r="G31" s="75" t="s">
        <v>862</v>
      </c>
      <c r="H31" s="75" t="s">
        <v>861</v>
      </c>
      <c r="J31" s="75" t="s">
        <v>832</v>
      </c>
      <c r="K31" s="75" t="s">
        <v>831</v>
      </c>
      <c r="M31" t="s">
        <v>373</v>
      </c>
      <c r="N31" t="s">
        <v>372</v>
      </c>
    </row>
    <row r="32" spans="2:14">
      <c r="B32" s="75" t="s">
        <v>369</v>
      </c>
      <c r="C32" s="75" t="s">
        <v>368</v>
      </c>
      <c r="D32" t="s">
        <v>1133</v>
      </c>
      <c r="E32" t="s">
        <v>1133</v>
      </c>
      <c r="G32" s="75" t="s">
        <v>876</v>
      </c>
      <c r="H32" s="75" t="s">
        <v>875</v>
      </c>
      <c r="J32" s="75" t="s">
        <v>846</v>
      </c>
      <c r="K32" s="75" t="s">
        <v>845</v>
      </c>
      <c r="M32" t="s">
        <v>375</v>
      </c>
      <c r="N32" t="s">
        <v>374</v>
      </c>
    </row>
    <row r="33" spans="2:14">
      <c r="B33" t="s">
        <v>371</v>
      </c>
      <c r="C33" t="s">
        <v>370</v>
      </c>
      <c r="D33" t="s">
        <v>1132</v>
      </c>
      <c r="E33" t="s">
        <v>1132</v>
      </c>
      <c r="G33" s="75" t="s">
        <v>888</v>
      </c>
      <c r="H33" s="75" t="s">
        <v>887</v>
      </c>
      <c r="J33" s="75" t="s">
        <v>850</v>
      </c>
      <c r="K33" s="75" t="s">
        <v>849</v>
      </c>
      <c r="M33" t="s">
        <v>377</v>
      </c>
      <c r="N33" t="s">
        <v>376</v>
      </c>
    </row>
    <row r="34" spans="2:14">
      <c r="B34" t="s">
        <v>373</v>
      </c>
      <c r="C34" t="s">
        <v>372</v>
      </c>
      <c r="D34" t="s">
        <v>1132</v>
      </c>
      <c r="E34" t="s">
        <v>1132</v>
      </c>
      <c r="J34" s="75" t="s">
        <v>862</v>
      </c>
      <c r="K34" s="75" t="s">
        <v>861</v>
      </c>
      <c r="M34" t="s">
        <v>379</v>
      </c>
      <c r="N34" t="s">
        <v>378</v>
      </c>
    </row>
    <row r="35" spans="2:14">
      <c r="B35" t="s">
        <v>375</v>
      </c>
      <c r="C35" t="s">
        <v>374</v>
      </c>
      <c r="D35" t="s">
        <v>1132</v>
      </c>
      <c r="E35" t="s">
        <v>1132</v>
      </c>
      <c r="J35" s="75" t="s">
        <v>876</v>
      </c>
      <c r="K35" s="75" t="s">
        <v>875</v>
      </c>
      <c r="M35" t="s">
        <v>381</v>
      </c>
      <c r="N35" t="s">
        <v>380</v>
      </c>
    </row>
    <row r="36" spans="2:14">
      <c r="B36" t="s">
        <v>377</v>
      </c>
      <c r="C36" t="s">
        <v>376</v>
      </c>
      <c r="D36" t="s">
        <v>1132</v>
      </c>
      <c r="E36" t="s">
        <v>1132</v>
      </c>
      <c r="J36" s="75" t="s">
        <v>888</v>
      </c>
      <c r="K36" s="75" t="s">
        <v>887</v>
      </c>
      <c r="M36" t="s">
        <v>996</v>
      </c>
      <c r="N36" t="s">
        <v>995</v>
      </c>
    </row>
    <row r="37" spans="2:14">
      <c r="B37" t="s">
        <v>379</v>
      </c>
      <c r="C37" t="s">
        <v>378</v>
      </c>
      <c r="D37" t="s">
        <v>1132</v>
      </c>
      <c r="E37" t="s">
        <v>1132</v>
      </c>
      <c r="M37" t="s">
        <v>383</v>
      </c>
      <c r="N37" t="s">
        <v>382</v>
      </c>
    </row>
    <row r="38" spans="2:14">
      <c r="B38" t="s">
        <v>381</v>
      </c>
      <c r="C38" t="s">
        <v>380</v>
      </c>
      <c r="D38" t="s">
        <v>1132</v>
      </c>
      <c r="E38" t="s">
        <v>1132</v>
      </c>
      <c r="M38" t="s">
        <v>385</v>
      </c>
      <c r="N38" t="s">
        <v>384</v>
      </c>
    </row>
    <row r="39" spans="2:14">
      <c r="B39" t="s">
        <v>996</v>
      </c>
      <c r="C39" t="s">
        <v>995</v>
      </c>
      <c r="D39" t="s">
        <v>1132</v>
      </c>
      <c r="E39" t="s">
        <v>1132</v>
      </c>
      <c r="M39" t="s">
        <v>387</v>
      </c>
      <c r="N39" t="s">
        <v>386</v>
      </c>
    </row>
    <row r="40" spans="2:14">
      <c r="B40" t="s">
        <v>383</v>
      </c>
      <c r="C40" t="s">
        <v>382</v>
      </c>
      <c r="D40" t="s">
        <v>1132</v>
      </c>
      <c r="E40" t="s">
        <v>1132</v>
      </c>
      <c r="M40" t="s">
        <v>389</v>
      </c>
      <c r="N40" t="s">
        <v>388</v>
      </c>
    </row>
    <row r="41" spans="2:14">
      <c r="B41" t="s">
        <v>385</v>
      </c>
      <c r="C41" t="s">
        <v>384</v>
      </c>
      <c r="D41" t="s">
        <v>1132</v>
      </c>
      <c r="E41" t="s">
        <v>1132</v>
      </c>
      <c r="M41" t="s">
        <v>391</v>
      </c>
      <c r="N41" t="s">
        <v>390</v>
      </c>
    </row>
    <row r="42" spans="2:14">
      <c r="B42" t="s">
        <v>387</v>
      </c>
      <c r="C42" t="s">
        <v>386</v>
      </c>
      <c r="D42" t="s">
        <v>1132</v>
      </c>
      <c r="E42" t="s">
        <v>1132</v>
      </c>
      <c r="M42" t="s">
        <v>393</v>
      </c>
      <c r="N42" t="s">
        <v>392</v>
      </c>
    </row>
    <row r="43" spans="2:14">
      <c r="B43" t="s">
        <v>389</v>
      </c>
      <c r="C43" t="s">
        <v>388</v>
      </c>
      <c r="D43" t="s">
        <v>1132</v>
      </c>
      <c r="E43" t="s">
        <v>1132</v>
      </c>
      <c r="M43" t="s">
        <v>395</v>
      </c>
      <c r="N43" t="s">
        <v>394</v>
      </c>
    </row>
    <row r="44" spans="2:14">
      <c r="B44" t="s">
        <v>391</v>
      </c>
      <c r="C44" t="s">
        <v>390</v>
      </c>
      <c r="D44" t="s">
        <v>1132</v>
      </c>
      <c r="E44" t="s">
        <v>1132</v>
      </c>
      <c r="M44" t="s">
        <v>397</v>
      </c>
      <c r="N44" t="s">
        <v>396</v>
      </c>
    </row>
    <row r="45" spans="2:14">
      <c r="B45" t="s">
        <v>393</v>
      </c>
      <c r="C45" t="s">
        <v>392</v>
      </c>
      <c r="D45" t="s">
        <v>1132</v>
      </c>
      <c r="E45" t="s">
        <v>1132</v>
      </c>
      <c r="M45" t="s">
        <v>399</v>
      </c>
      <c r="N45" t="s">
        <v>398</v>
      </c>
    </row>
    <row r="46" spans="2:14">
      <c r="B46" t="s">
        <v>395</v>
      </c>
      <c r="C46" t="s">
        <v>394</v>
      </c>
      <c r="D46" t="s">
        <v>1132</v>
      </c>
      <c r="E46" t="s">
        <v>1132</v>
      </c>
      <c r="M46" t="s">
        <v>401</v>
      </c>
      <c r="N46" t="s">
        <v>400</v>
      </c>
    </row>
    <row r="47" spans="2:14">
      <c r="B47" t="s">
        <v>397</v>
      </c>
      <c r="C47" t="s">
        <v>396</v>
      </c>
      <c r="D47" t="s">
        <v>1132</v>
      </c>
      <c r="E47" t="s">
        <v>1132</v>
      </c>
      <c r="M47" t="s">
        <v>403</v>
      </c>
      <c r="N47" t="s">
        <v>402</v>
      </c>
    </row>
    <row r="48" spans="2:14">
      <c r="B48" t="s">
        <v>399</v>
      </c>
      <c r="C48" t="s">
        <v>398</v>
      </c>
      <c r="D48" t="s">
        <v>1132</v>
      </c>
      <c r="E48" t="s">
        <v>1132</v>
      </c>
      <c r="M48" t="s">
        <v>405</v>
      </c>
      <c r="N48" t="s">
        <v>404</v>
      </c>
    </row>
    <row r="49" spans="2:14">
      <c r="B49" t="s">
        <v>401</v>
      </c>
      <c r="C49" t="s">
        <v>400</v>
      </c>
      <c r="D49" t="s">
        <v>1132</v>
      </c>
      <c r="E49" t="s">
        <v>1132</v>
      </c>
      <c r="M49" t="s">
        <v>407</v>
      </c>
      <c r="N49" t="s">
        <v>406</v>
      </c>
    </row>
    <row r="50" spans="2:14">
      <c r="B50" t="s">
        <v>403</v>
      </c>
      <c r="C50" t="s">
        <v>402</v>
      </c>
      <c r="D50" t="s">
        <v>1132</v>
      </c>
      <c r="E50" t="s">
        <v>1132</v>
      </c>
      <c r="M50" t="s">
        <v>409</v>
      </c>
      <c r="N50" t="s">
        <v>408</v>
      </c>
    </row>
    <row r="51" spans="2:14">
      <c r="B51" t="s">
        <v>405</v>
      </c>
      <c r="C51" t="s">
        <v>404</v>
      </c>
      <c r="D51" t="s">
        <v>1132</v>
      </c>
      <c r="E51" t="s">
        <v>1132</v>
      </c>
      <c r="M51" t="s">
        <v>411</v>
      </c>
      <c r="N51" t="s">
        <v>410</v>
      </c>
    </row>
    <row r="52" spans="2:14">
      <c r="B52" t="s">
        <v>407</v>
      </c>
      <c r="C52" t="s">
        <v>406</v>
      </c>
      <c r="D52" t="s">
        <v>1132</v>
      </c>
      <c r="E52" t="s">
        <v>1132</v>
      </c>
      <c r="M52" t="s">
        <v>413</v>
      </c>
      <c r="N52" t="s">
        <v>412</v>
      </c>
    </row>
    <row r="53" spans="2:14">
      <c r="B53" t="s">
        <v>409</v>
      </c>
      <c r="C53" t="s">
        <v>408</v>
      </c>
      <c r="D53" t="s">
        <v>1132</v>
      </c>
      <c r="E53" t="s">
        <v>1132</v>
      </c>
      <c r="M53" t="s">
        <v>415</v>
      </c>
      <c r="N53" t="s">
        <v>414</v>
      </c>
    </row>
    <row r="54" spans="2:14">
      <c r="B54" t="s">
        <v>411</v>
      </c>
      <c r="C54" t="s">
        <v>410</v>
      </c>
      <c r="D54" t="s">
        <v>1132</v>
      </c>
      <c r="E54" t="s">
        <v>1132</v>
      </c>
      <c r="M54" t="s">
        <v>417</v>
      </c>
      <c r="N54" t="s">
        <v>416</v>
      </c>
    </row>
    <row r="55" spans="2:14">
      <c r="B55" t="s">
        <v>413</v>
      </c>
      <c r="C55" t="s">
        <v>412</v>
      </c>
      <c r="D55" t="s">
        <v>1132</v>
      </c>
      <c r="E55" t="s">
        <v>1132</v>
      </c>
      <c r="M55" t="s">
        <v>419</v>
      </c>
      <c r="N55" t="s">
        <v>418</v>
      </c>
    </row>
    <row r="56" spans="2:14">
      <c r="B56" t="s">
        <v>415</v>
      </c>
      <c r="C56" t="s">
        <v>414</v>
      </c>
      <c r="D56" t="s">
        <v>1132</v>
      </c>
      <c r="E56" t="s">
        <v>1132</v>
      </c>
      <c r="M56" t="s">
        <v>421</v>
      </c>
      <c r="N56" t="s">
        <v>420</v>
      </c>
    </row>
    <row r="57" spans="2:14">
      <c r="B57" t="s">
        <v>417</v>
      </c>
      <c r="C57" t="s">
        <v>416</v>
      </c>
      <c r="D57" t="s">
        <v>1132</v>
      </c>
      <c r="E57" t="s">
        <v>1132</v>
      </c>
      <c r="M57" t="s">
        <v>423</v>
      </c>
      <c r="N57" t="s">
        <v>422</v>
      </c>
    </row>
    <row r="58" spans="2:14">
      <c r="B58" t="s">
        <v>419</v>
      </c>
      <c r="C58" t="s">
        <v>418</v>
      </c>
      <c r="D58" t="s">
        <v>1132</v>
      </c>
      <c r="E58" t="s">
        <v>1132</v>
      </c>
      <c r="M58" t="s">
        <v>425</v>
      </c>
      <c r="N58" t="s">
        <v>424</v>
      </c>
    </row>
    <row r="59" spans="2:14">
      <c r="B59" t="s">
        <v>421</v>
      </c>
      <c r="C59" t="s">
        <v>420</v>
      </c>
      <c r="D59" t="s">
        <v>1132</v>
      </c>
      <c r="E59" t="s">
        <v>1132</v>
      </c>
      <c r="M59" t="s">
        <v>429</v>
      </c>
      <c r="N59" t="s">
        <v>428</v>
      </c>
    </row>
    <row r="60" spans="2:14">
      <c r="B60" t="s">
        <v>423</v>
      </c>
      <c r="C60" t="s">
        <v>422</v>
      </c>
      <c r="D60" t="s">
        <v>1132</v>
      </c>
      <c r="E60" t="s">
        <v>1132</v>
      </c>
      <c r="M60" t="s">
        <v>431</v>
      </c>
      <c r="N60" t="s">
        <v>430</v>
      </c>
    </row>
    <row r="61" spans="2:14">
      <c r="B61" t="s">
        <v>425</v>
      </c>
      <c r="C61" t="s">
        <v>424</v>
      </c>
      <c r="D61" t="s">
        <v>1132</v>
      </c>
      <c r="E61" t="s">
        <v>1132</v>
      </c>
      <c r="M61" t="s">
        <v>435</v>
      </c>
      <c r="N61" t="s">
        <v>434</v>
      </c>
    </row>
    <row r="62" spans="2:14">
      <c r="B62" s="75" t="s">
        <v>427</v>
      </c>
      <c r="C62" s="75" t="s">
        <v>426</v>
      </c>
      <c r="D62" t="s">
        <v>1133</v>
      </c>
      <c r="E62" t="s">
        <v>1133</v>
      </c>
      <c r="M62" t="s">
        <v>437</v>
      </c>
      <c r="N62" t="s">
        <v>436</v>
      </c>
    </row>
    <row r="63" spans="2:14">
      <c r="B63" t="s">
        <v>429</v>
      </c>
      <c r="C63" t="s">
        <v>428</v>
      </c>
      <c r="D63" t="s">
        <v>1132</v>
      </c>
      <c r="E63" t="s">
        <v>1132</v>
      </c>
      <c r="M63" t="s">
        <v>439</v>
      </c>
      <c r="N63" t="s">
        <v>438</v>
      </c>
    </row>
    <row r="64" spans="2:14">
      <c r="B64" t="s">
        <v>431</v>
      </c>
      <c r="C64" t="s">
        <v>430</v>
      </c>
      <c r="D64" t="s">
        <v>1132</v>
      </c>
      <c r="E64" t="s">
        <v>1132</v>
      </c>
      <c r="M64" t="s">
        <v>441</v>
      </c>
      <c r="N64" t="s">
        <v>440</v>
      </c>
    </row>
    <row r="65" spans="2:14">
      <c r="B65" s="75" t="s">
        <v>433</v>
      </c>
      <c r="C65" s="75" t="s">
        <v>432</v>
      </c>
      <c r="D65" t="s">
        <v>1133</v>
      </c>
      <c r="E65" t="s">
        <v>1133</v>
      </c>
      <c r="M65" t="s">
        <v>443</v>
      </c>
      <c r="N65" t="s">
        <v>442</v>
      </c>
    </row>
    <row r="66" spans="2:14">
      <c r="B66" t="s">
        <v>435</v>
      </c>
      <c r="C66" t="s">
        <v>434</v>
      </c>
      <c r="D66" t="s">
        <v>1132</v>
      </c>
      <c r="E66" t="s">
        <v>1132</v>
      </c>
      <c r="M66" t="s">
        <v>310</v>
      </c>
      <c r="N66" t="s">
        <v>309</v>
      </c>
    </row>
    <row r="67" spans="2:14">
      <c r="B67" t="s">
        <v>437</v>
      </c>
      <c r="C67" t="s">
        <v>436</v>
      </c>
      <c r="D67" t="s">
        <v>1132</v>
      </c>
      <c r="E67" t="s">
        <v>1132</v>
      </c>
      <c r="M67" t="s">
        <v>445</v>
      </c>
      <c r="N67" t="s">
        <v>444</v>
      </c>
    </row>
    <row r="68" spans="2:14">
      <c r="B68" t="s">
        <v>439</v>
      </c>
      <c r="C68" t="s">
        <v>438</v>
      </c>
      <c r="D68" t="s">
        <v>1132</v>
      </c>
      <c r="E68" t="s">
        <v>1132</v>
      </c>
      <c r="M68" t="s">
        <v>447</v>
      </c>
      <c r="N68" t="s">
        <v>446</v>
      </c>
    </row>
    <row r="69" spans="2:14">
      <c r="B69" t="s">
        <v>441</v>
      </c>
      <c r="C69" t="s">
        <v>440</v>
      </c>
      <c r="D69" t="s">
        <v>1132</v>
      </c>
      <c r="E69" t="s">
        <v>1132</v>
      </c>
      <c r="M69" t="s">
        <v>449</v>
      </c>
      <c r="N69" t="s">
        <v>448</v>
      </c>
    </row>
    <row r="70" spans="2:14">
      <c r="B70" t="s">
        <v>443</v>
      </c>
      <c r="C70" t="s">
        <v>442</v>
      </c>
      <c r="D70" t="s">
        <v>1132</v>
      </c>
      <c r="E70" t="s">
        <v>1132</v>
      </c>
      <c r="M70" t="s">
        <v>453</v>
      </c>
      <c r="N70" t="s">
        <v>452</v>
      </c>
    </row>
    <row r="71" spans="2:14">
      <c r="B71" t="s">
        <v>310</v>
      </c>
      <c r="C71" t="s">
        <v>309</v>
      </c>
      <c r="D71" t="s">
        <v>1132</v>
      </c>
      <c r="E71" t="s">
        <v>1132</v>
      </c>
      <c r="M71" t="s">
        <v>455</v>
      </c>
      <c r="N71" t="s">
        <v>454</v>
      </c>
    </row>
    <row r="72" spans="2:14">
      <c r="B72" t="s">
        <v>445</v>
      </c>
      <c r="C72" t="s">
        <v>444</v>
      </c>
      <c r="D72" t="s">
        <v>1132</v>
      </c>
      <c r="E72" t="s">
        <v>1132</v>
      </c>
      <c r="M72" s="64" t="s">
        <v>1024</v>
      </c>
      <c r="N72" s="64" t="s">
        <v>1023</v>
      </c>
    </row>
    <row r="73" spans="2:14">
      <c r="B73" t="s">
        <v>447</v>
      </c>
      <c r="C73" t="s">
        <v>446</v>
      </c>
      <c r="D73" t="s">
        <v>1132</v>
      </c>
      <c r="E73" t="s">
        <v>1132</v>
      </c>
      <c r="M73" t="s">
        <v>457</v>
      </c>
      <c r="N73" t="s">
        <v>456</v>
      </c>
    </row>
    <row r="74" spans="2:14">
      <c r="B74" t="s">
        <v>449</v>
      </c>
      <c r="C74" t="s">
        <v>448</v>
      </c>
      <c r="D74" t="s">
        <v>1132</v>
      </c>
      <c r="E74" t="s">
        <v>1132</v>
      </c>
      <c r="M74" t="s">
        <v>459</v>
      </c>
      <c r="N74" t="s">
        <v>458</v>
      </c>
    </row>
    <row r="75" spans="2:14">
      <c r="B75" t="s">
        <v>451</v>
      </c>
      <c r="C75" t="s">
        <v>450</v>
      </c>
      <c r="D75" t="s">
        <v>1132</v>
      </c>
      <c r="E75" t="s">
        <v>1133</v>
      </c>
      <c r="M75" t="s">
        <v>461</v>
      </c>
      <c r="N75" t="s">
        <v>460</v>
      </c>
    </row>
    <row r="76" spans="2:14">
      <c r="B76" t="s">
        <v>453</v>
      </c>
      <c r="C76" t="s">
        <v>452</v>
      </c>
      <c r="D76" t="s">
        <v>1132</v>
      </c>
      <c r="E76" t="s">
        <v>1132</v>
      </c>
      <c r="M76" t="s">
        <v>463</v>
      </c>
      <c r="N76" t="s">
        <v>462</v>
      </c>
    </row>
    <row r="77" spans="2:14">
      <c r="B77" s="64" t="s">
        <v>1024</v>
      </c>
      <c r="C77" s="64" t="s">
        <v>1023</v>
      </c>
      <c r="D77" t="s">
        <v>1133</v>
      </c>
      <c r="E77" t="s">
        <v>1133</v>
      </c>
      <c r="M77" t="s">
        <v>465</v>
      </c>
      <c r="N77" t="s">
        <v>464</v>
      </c>
    </row>
    <row r="78" spans="2:14">
      <c r="B78" t="s">
        <v>455</v>
      </c>
      <c r="C78" t="s">
        <v>454</v>
      </c>
      <c r="D78" t="s">
        <v>1132</v>
      </c>
      <c r="E78" t="s">
        <v>1132</v>
      </c>
      <c r="M78" t="s">
        <v>467</v>
      </c>
      <c r="N78" t="s">
        <v>466</v>
      </c>
    </row>
    <row r="79" spans="2:14">
      <c r="B79" t="s">
        <v>457</v>
      </c>
      <c r="C79" t="s">
        <v>456</v>
      </c>
      <c r="D79" t="s">
        <v>1132</v>
      </c>
      <c r="E79" t="s">
        <v>1132</v>
      </c>
      <c r="M79" t="s">
        <v>469</v>
      </c>
      <c r="N79" t="s">
        <v>468</v>
      </c>
    </row>
    <row r="80" spans="2:14">
      <c r="B80" t="s">
        <v>459</v>
      </c>
      <c r="C80" t="s">
        <v>458</v>
      </c>
      <c r="D80" t="s">
        <v>1132</v>
      </c>
      <c r="E80" t="s">
        <v>1132</v>
      </c>
      <c r="M80" t="s">
        <v>471</v>
      </c>
      <c r="N80" t="s">
        <v>470</v>
      </c>
    </row>
    <row r="81" spans="2:14">
      <c r="B81" t="s">
        <v>461</v>
      </c>
      <c r="C81" t="s">
        <v>460</v>
      </c>
      <c r="D81" t="s">
        <v>1132</v>
      </c>
      <c r="E81" t="s">
        <v>1132</v>
      </c>
      <c r="M81" t="s">
        <v>473</v>
      </c>
      <c r="N81" t="s">
        <v>472</v>
      </c>
    </row>
    <row r="82" spans="2:14">
      <c r="B82" t="s">
        <v>463</v>
      </c>
      <c r="C82" t="s">
        <v>462</v>
      </c>
      <c r="D82" t="s">
        <v>1132</v>
      </c>
      <c r="E82" t="s">
        <v>1132</v>
      </c>
      <c r="M82" t="s">
        <v>475</v>
      </c>
      <c r="N82" t="s">
        <v>474</v>
      </c>
    </row>
    <row r="83" spans="2:14">
      <c r="B83" t="s">
        <v>465</v>
      </c>
      <c r="C83" t="s">
        <v>464</v>
      </c>
      <c r="D83" t="s">
        <v>1132</v>
      </c>
      <c r="E83" t="s">
        <v>1132</v>
      </c>
      <c r="M83" t="s">
        <v>477</v>
      </c>
      <c r="N83" t="s">
        <v>476</v>
      </c>
    </row>
    <row r="84" spans="2:14">
      <c r="B84" t="s">
        <v>467</v>
      </c>
      <c r="C84" t="s">
        <v>466</v>
      </c>
      <c r="D84" t="s">
        <v>1132</v>
      </c>
      <c r="E84" t="s">
        <v>1132</v>
      </c>
      <c r="M84" t="s">
        <v>483</v>
      </c>
      <c r="N84" t="s">
        <v>482</v>
      </c>
    </row>
    <row r="85" spans="2:14">
      <c r="B85" t="s">
        <v>469</v>
      </c>
      <c r="C85" t="s">
        <v>468</v>
      </c>
      <c r="D85" t="s">
        <v>1132</v>
      </c>
      <c r="E85" t="s">
        <v>1132</v>
      </c>
      <c r="M85" t="s">
        <v>485</v>
      </c>
      <c r="N85" t="s">
        <v>484</v>
      </c>
    </row>
    <row r="86" spans="2:14">
      <c r="B86" t="s">
        <v>471</v>
      </c>
      <c r="C86" t="s">
        <v>470</v>
      </c>
      <c r="D86" t="s">
        <v>1132</v>
      </c>
      <c r="E86" t="s">
        <v>1132</v>
      </c>
      <c r="M86" t="s">
        <v>487</v>
      </c>
      <c r="N86" t="s">
        <v>486</v>
      </c>
    </row>
    <row r="87" spans="2:14">
      <c r="B87" t="s">
        <v>473</v>
      </c>
      <c r="C87" t="s">
        <v>472</v>
      </c>
      <c r="D87" t="s">
        <v>1132</v>
      </c>
      <c r="E87" t="s">
        <v>1132</v>
      </c>
      <c r="M87" t="s">
        <v>489</v>
      </c>
      <c r="N87" t="s">
        <v>488</v>
      </c>
    </row>
    <row r="88" spans="2:14">
      <c r="B88" t="s">
        <v>475</v>
      </c>
      <c r="C88" t="s">
        <v>474</v>
      </c>
      <c r="D88" t="s">
        <v>1132</v>
      </c>
      <c r="E88" t="s">
        <v>1132</v>
      </c>
      <c r="M88" t="s">
        <v>491</v>
      </c>
      <c r="N88" t="s">
        <v>490</v>
      </c>
    </row>
    <row r="89" spans="2:14">
      <c r="B89" t="s">
        <v>477</v>
      </c>
      <c r="C89" t="s">
        <v>476</v>
      </c>
      <c r="D89" t="s">
        <v>1132</v>
      </c>
      <c r="E89" t="s">
        <v>1132</v>
      </c>
      <c r="M89" t="s">
        <v>493</v>
      </c>
      <c r="N89" t="s">
        <v>492</v>
      </c>
    </row>
    <row r="90" spans="2:14">
      <c r="B90" s="75" t="s">
        <v>479</v>
      </c>
      <c r="C90" s="75" t="s">
        <v>478</v>
      </c>
      <c r="D90" t="s">
        <v>1133</v>
      </c>
      <c r="E90" t="s">
        <v>1133</v>
      </c>
      <c r="M90" t="s">
        <v>497</v>
      </c>
      <c r="N90" t="s">
        <v>496</v>
      </c>
    </row>
    <row r="91" spans="2:14">
      <c r="B91" s="75" t="s">
        <v>481</v>
      </c>
      <c r="C91" s="75" t="s">
        <v>480</v>
      </c>
      <c r="D91" t="s">
        <v>1133</v>
      </c>
      <c r="E91" t="s">
        <v>1133</v>
      </c>
      <c r="M91" t="s">
        <v>499</v>
      </c>
      <c r="N91" t="s">
        <v>498</v>
      </c>
    </row>
    <row r="92" spans="2:14">
      <c r="B92" t="s">
        <v>483</v>
      </c>
      <c r="C92" t="s">
        <v>482</v>
      </c>
      <c r="D92" t="s">
        <v>1132</v>
      </c>
      <c r="E92" t="s">
        <v>1132</v>
      </c>
      <c r="M92" t="s">
        <v>501</v>
      </c>
      <c r="N92" s="8" t="s">
        <v>500</v>
      </c>
    </row>
    <row r="93" spans="2:14">
      <c r="B93" t="s">
        <v>485</v>
      </c>
      <c r="C93" t="s">
        <v>484</v>
      </c>
      <c r="D93" t="s">
        <v>1132</v>
      </c>
      <c r="E93" t="s">
        <v>1132</v>
      </c>
      <c r="M93" t="s">
        <v>503</v>
      </c>
      <c r="N93" t="s">
        <v>502</v>
      </c>
    </row>
    <row r="94" spans="2:14">
      <c r="B94" t="s">
        <v>487</v>
      </c>
      <c r="C94" t="s">
        <v>486</v>
      </c>
      <c r="D94" t="s">
        <v>1132</v>
      </c>
      <c r="E94" t="s">
        <v>1132</v>
      </c>
      <c r="M94" t="s">
        <v>505</v>
      </c>
      <c r="N94" t="s">
        <v>504</v>
      </c>
    </row>
    <row r="95" spans="2:14">
      <c r="B95" t="s">
        <v>489</v>
      </c>
      <c r="C95" t="s">
        <v>488</v>
      </c>
      <c r="D95" t="s">
        <v>1132</v>
      </c>
      <c r="E95" t="s">
        <v>1132</v>
      </c>
      <c r="M95" t="s">
        <v>507</v>
      </c>
      <c r="N95" t="s">
        <v>506</v>
      </c>
    </row>
    <row r="96" spans="2:14">
      <c r="B96" t="s">
        <v>491</v>
      </c>
      <c r="C96" t="s">
        <v>490</v>
      </c>
      <c r="D96" t="s">
        <v>1132</v>
      </c>
      <c r="E96" t="s">
        <v>1132</v>
      </c>
      <c r="M96" t="s">
        <v>509</v>
      </c>
      <c r="N96" t="s">
        <v>508</v>
      </c>
    </row>
    <row r="97" spans="2:14">
      <c r="B97" t="s">
        <v>493</v>
      </c>
      <c r="C97" t="s">
        <v>492</v>
      </c>
      <c r="D97" t="s">
        <v>1132</v>
      </c>
      <c r="E97" t="s">
        <v>1132</v>
      </c>
      <c r="M97" t="s">
        <v>1092</v>
      </c>
      <c r="N97" t="s">
        <v>1091</v>
      </c>
    </row>
    <row r="98" spans="2:14">
      <c r="B98" s="75" t="s">
        <v>495</v>
      </c>
      <c r="C98" s="75" t="s">
        <v>494</v>
      </c>
      <c r="D98" t="s">
        <v>1133</v>
      </c>
      <c r="E98" t="s">
        <v>1133</v>
      </c>
      <c r="M98" t="s">
        <v>1034</v>
      </c>
      <c r="N98" t="s">
        <v>1033</v>
      </c>
    </row>
    <row r="99" spans="2:14">
      <c r="B99" t="s">
        <v>497</v>
      </c>
      <c r="C99" t="s">
        <v>496</v>
      </c>
      <c r="D99" t="s">
        <v>1132</v>
      </c>
      <c r="E99" t="s">
        <v>1132</v>
      </c>
      <c r="M99" t="s">
        <v>1011</v>
      </c>
      <c r="N99" t="s">
        <v>997</v>
      </c>
    </row>
    <row r="100" spans="2:14">
      <c r="B100" t="s">
        <v>499</v>
      </c>
      <c r="C100" t="s">
        <v>498</v>
      </c>
      <c r="D100" t="s">
        <v>1132</v>
      </c>
      <c r="E100" t="s">
        <v>1132</v>
      </c>
      <c r="M100" t="s">
        <v>1013</v>
      </c>
      <c r="N100" t="s">
        <v>1012</v>
      </c>
    </row>
    <row r="101" spans="2:14">
      <c r="B101" t="s">
        <v>501</v>
      </c>
      <c r="C101" s="8" t="s">
        <v>500</v>
      </c>
      <c r="D101" t="s">
        <v>1132</v>
      </c>
      <c r="E101" t="s">
        <v>1132</v>
      </c>
      <c r="M101" t="s">
        <v>511</v>
      </c>
      <c r="N101" t="s">
        <v>510</v>
      </c>
    </row>
    <row r="102" spans="2:14">
      <c r="B102" t="s">
        <v>503</v>
      </c>
      <c r="C102" t="s">
        <v>502</v>
      </c>
      <c r="D102" t="s">
        <v>1132</v>
      </c>
      <c r="E102" t="s">
        <v>1132</v>
      </c>
      <c r="M102" t="s">
        <v>513</v>
      </c>
      <c r="N102" t="s">
        <v>512</v>
      </c>
    </row>
    <row r="103" spans="2:14">
      <c r="B103" t="s">
        <v>505</v>
      </c>
      <c r="C103" t="s">
        <v>504</v>
      </c>
      <c r="D103" t="s">
        <v>1132</v>
      </c>
      <c r="E103" t="s">
        <v>1132</v>
      </c>
      <c r="M103" t="s">
        <v>515</v>
      </c>
      <c r="N103" t="s">
        <v>514</v>
      </c>
    </row>
    <row r="104" spans="2:14">
      <c r="B104" t="s">
        <v>507</v>
      </c>
      <c r="C104" t="s">
        <v>506</v>
      </c>
      <c r="D104" t="s">
        <v>1132</v>
      </c>
      <c r="E104" t="s">
        <v>1132</v>
      </c>
      <c r="M104" t="s">
        <v>521</v>
      </c>
      <c r="N104" t="s">
        <v>520</v>
      </c>
    </row>
    <row r="105" spans="2:14">
      <c r="B105" t="s">
        <v>509</v>
      </c>
      <c r="C105" t="s">
        <v>508</v>
      </c>
      <c r="D105" t="s">
        <v>1132</v>
      </c>
      <c r="E105" t="s">
        <v>1132</v>
      </c>
      <c r="M105" t="s">
        <v>523</v>
      </c>
      <c r="N105" t="s">
        <v>522</v>
      </c>
    </row>
    <row r="106" spans="2:14">
      <c r="B106" t="s">
        <v>1092</v>
      </c>
      <c r="C106" t="s">
        <v>1091</v>
      </c>
      <c r="D106" t="s">
        <v>1132</v>
      </c>
      <c r="E106" t="s">
        <v>1132</v>
      </c>
      <c r="M106" t="s">
        <v>525</v>
      </c>
      <c r="N106" t="s">
        <v>524</v>
      </c>
    </row>
    <row r="107" spans="2:14">
      <c r="B107" t="s">
        <v>1034</v>
      </c>
      <c r="C107" t="s">
        <v>1033</v>
      </c>
      <c r="D107" t="s">
        <v>1132</v>
      </c>
      <c r="E107" t="s">
        <v>1132</v>
      </c>
      <c r="M107" t="s">
        <v>527</v>
      </c>
      <c r="N107" t="s">
        <v>526</v>
      </c>
    </row>
    <row r="108" spans="2:14">
      <c r="B108" t="s">
        <v>1011</v>
      </c>
      <c r="C108" t="s">
        <v>997</v>
      </c>
      <c r="D108" t="s">
        <v>1132</v>
      </c>
      <c r="E108" t="s">
        <v>1132</v>
      </c>
      <c r="M108" t="s">
        <v>529</v>
      </c>
      <c r="N108" t="s">
        <v>528</v>
      </c>
    </row>
    <row r="109" spans="2:14">
      <c r="B109" t="s">
        <v>1013</v>
      </c>
      <c r="C109" t="s">
        <v>1012</v>
      </c>
      <c r="D109" t="s">
        <v>1132</v>
      </c>
      <c r="E109" t="s">
        <v>1132</v>
      </c>
      <c r="M109" t="s">
        <v>531</v>
      </c>
      <c r="N109" t="s">
        <v>530</v>
      </c>
    </row>
    <row r="110" spans="2:14">
      <c r="B110" t="s">
        <v>511</v>
      </c>
      <c r="C110" t="s">
        <v>510</v>
      </c>
      <c r="D110" t="s">
        <v>1132</v>
      </c>
      <c r="E110" t="s">
        <v>1132</v>
      </c>
      <c r="M110" t="s">
        <v>533</v>
      </c>
      <c r="N110" t="s">
        <v>532</v>
      </c>
    </row>
    <row r="111" spans="2:14">
      <c r="B111" t="s">
        <v>513</v>
      </c>
      <c r="C111" t="s">
        <v>512</v>
      </c>
      <c r="D111" t="s">
        <v>1132</v>
      </c>
      <c r="E111" t="s">
        <v>1132</v>
      </c>
      <c r="M111" t="s">
        <v>537</v>
      </c>
      <c r="N111" t="s">
        <v>536</v>
      </c>
    </row>
    <row r="112" spans="2:14">
      <c r="B112" t="s">
        <v>515</v>
      </c>
      <c r="C112" t="s">
        <v>514</v>
      </c>
      <c r="D112" t="s">
        <v>1132</v>
      </c>
      <c r="E112" t="s">
        <v>1132</v>
      </c>
      <c r="M112" t="s">
        <v>539</v>
      </c>
      <c r="N112" t="s">
        <v>538</v>
      </c>
    </row>
    <row r="113" spans="2:14">
      <c r="B113" s="75" t="s">
        <v>517</v>
      </c>
      <c r="C113" s="75" t="s">
        <v>516</v>
      </c>
      <c r="D113" t="s">
        <v>1133</v>
      </c>
      <c r="E113" t="s">
        <v>1133</v>
      </c>
      <c r="M113" t="s">
        <v>541</v>
      </c>
      <c r="N113" t="s">
        <v>540</v>
      </c>
    </row>
    <row r="114" spans="2:14">
      <c r="B114" s="75" t="s">
        <v>519</v>
      </c>
      <c r="C114" s="75" t="s">
        <v>518</v>
      </c>
      <c r="D114" t="s">
        <v>1133</v>
      </c>
      <c r="E114" t="s">
        <v>1133</v>
      </c>
      <c r="M114" t="s">
        <v>543</v>
      </c>
      <c r="N114" t="s">
        <v>542</v>
      </c>
    </row>
    <row r="115" spans="2:14">
      <c r="B115" t="s">
        <v>521</v>
      </c>
      <c r="C115" t="s">
        <v>520</v>
      </c>
      <c r="D115" t="s">
        <v>1132</v>
      </c>
      <c r="E115" t="s">
        <v>1132</v>
      </c>
      <c r="M115" t="s">
        <v>547</v>
      </c>
      <c r="N115" t="s">
        <v>546</v>
      </c>
    </row>
    <row r="116" spans="2:14">
      <c r="B116" t="s">
        <v>523</v>
      </c>
      <c r="C116" t="s">
        <v>522</v>
      </c>
      <c r="D116" t="s">
        <v>1132</v>
      </c>
      <c r="E116" t="s">
        <v>1132</v>
      </c>
      <c r="M116" t="s">
        <v>549</v>
      </c>
      <c r="N116" t="s">
        <v>548</v>
      </c>
    </row>
    <row r="117" spans="2:14">
      <c r="B117" t="s">
        <v>525</v>
      </c>
      <c r="C117" t="s">
        <v>524</v>
      </c>
      <c r="D117" t="s">
        <v>1132</v>
      </c>
      <c r="E117" t="s">
        <v>1132</v>
      </c>
      <c r="M117" t="s">
        <v>551</v>
      </c>
      <c r="N117" t="s">
        <v>550</v>
      </c>
    </row>
    <row r="118" spans="2:14">
      <c r="B118" t="s">
        <v>527</v>
      </c>
      <c r="C118" t="s">
        <v>526</v>
      </c>
      <c r="D118" t="s">
        <v>1132</v>
      </c>
      <c r="E118" t="s">
        <v>1132</v>
      </c>
      <c r="M118" t="s">
        <v>553</v>
      </c>
      <c r="N118" t="s">
        <v>552</v>
      </c>
    </row>
    <row r="119" spans="2:14">
      <c r="B119" t="s">
        <v>529</v>
      </c>
      <c r="C119" t="s">
        <v>528</v>
      </c>
      <c r="D119" t="s">
        <v>1132</v>
      </c>
      <c r="E119" t="s">
        <v>1132</v>
      </c>
      <c r="M119" t="s">
        <v>555</v>
      </c>
      <c r="N119" t="s">
        <v>554</v>
      </c>
    </row>
    <row r="120" spans="2:14">
      <c r="B120" t="s">
        <v>531</v>
      </c>
      <c r="C120" t="s">
        <v>530</v>
      </c>
      <c r="D120" t="s">
        <v>1132</v>
      </c>
      <c r="E120" t="s">
        <v>1132</v>
      </c>
      <c r="M120" t="s">
        <v>557</v>
      </c>
      <c r="N120" t="s">
        <v>556</v>
      </c>
    </row>
    <row r="121" spans="2:14">
      <c r="B121" t="s">
        <v>533</v>
      </c>
      <c r="C121" t="s">
        <v>532</v>
      </c>
      <c r="D121" t="s">
        <v>1132</v>
      </c>
      <c r="E121" t="s">
        <v>1132</v>
      </c>
      <c r="M121" t="s">
        <v>559</v>
      </c>
      <c r="N121" t="s">
        <v>558</v>
      </c>
    </row>
    <row r="122" spans="2:14">
      <c r="B122" s="75" t="s">
        <v>535</v>
      </c>
      <c r="C122" s="75" t="s">
        <v>534</v>
      </c>
      <c r="D122" t="s">
        <v>1133</v>
      </c>
      <c r="E122" t="s">
        <v>1133</v>
      </c>
      <c r="M122" t="s">
        <v>561</v>
      </c>
      <c r="N122" t="s">
        <v>560</v>
      </c>
    </row>
    <row r="123" spans="2:14">
      <c r="B123" t="s">
        <v>537</v>
      </c>
      <c r="C123" t="s">
        <v>536</v>
      </c>
      <c r="D123" t="s">
        <v>1132</v>
      </c>
      <c r="E123" t="s">
        <v>1132</v>
      </c>
      <c r="M123" t="s">
        <v>563</v>
      </c>
      <c r="N123" t="s">
        <v>562</v>
      </c>
    </row>
    <row r="124" spans="2:14">
      <c r="B124" t="s">
        <v>539</v>
      </c>
      <c r="C124" t="s">
        <v>538</v>
      </c>
      <c r="D124" t="s">
        <v>1132</v>
      </c>
      <c r="E124" t="s">
        <v>1132</v>
      </c>
      <c r="M124" t="s">
        <v>1018</v>
      </c>
      <c r="N124" t="s">
        <v>1017</v>
      </c>
    </row>
    <row r="125" spans="2:14">
      <c r="B125" t="s">
        <v>541</v>
      </c>
      <c r="C125" t="s">
        <v>540</v>
      </c>
      <c r="D125" t="s">
        <v>1132</v>
      </c>
      <c r="E125" t="s">
        <v>1132</v>
      </c>
      <c r="M125" t="s">
        <v>898</v>
      </c>
      <c r="N125" t="s">
        <v>897</v>
      </c>
    </row>
    <row r="126" spans="2:14">
      <c r="B126" t="s">
        <v>543</v>
      </c>
      <c r="C126" t="s">
        <v>542</v>
      </c>
      <c r="D126" t="s">
        <v>1132</v>
      </c>
      <c r="E126" t="s">
        <v>1132</v>
      </c>
      <c r="M126" t="s">
        <v>567</v>
      </c>
      <c r="N126" t="s">
        <v>566</v>
      </c>
    </row>
    <row r="127" spans="2:14">
      <c r="B127" s="75" t="s">
        <v>545</v>
      </c>
      <c r="C127" s="75" t="s">
        <v>544</v>
      </c>
      <c r="D127" t="s">
        <v>1133</v>
      </c>
      <c r="E127" t="s">
        <v>1133</v>
      </c>
      <c r="M127" t="s">
        <v>569</v>
      </c>
      <c r="N127" t="s">
        <v>568</v>
      </c>
    </row>
    <row r="128" spans="2:14">
      <c r="B128" t="s">
        <v>547</v>
      </c>
      <c r="C128" t="s">
        <v>546</v>
      </c>
      <c r="D128" t="s">
        <v>1132</v>
      </c>
      <c r="E128" t="s">
        <v>1132</v>
      </c>
      <c r="M128" t="s">
        <v>575</v>
      </c>
      <c r="N128" t="s">
        <v>574</v>
      </c>
    </row>
    <row r="129" spans="2:14">
      <c r="B129" t="s">
        <v>549</v>
      </c>
      <c r="C129" t="s">
        <v>548</v>
      </c>
      <c r="D129" t="s">
        <v>1132</v>
      </c>
      <c r="E129" t="s">
        <v>1132</v>
      </c>
      <c r="M129" t="s">
        <v>577</v>
      </c>
      <c r="N129" t="s">
        <v>576</v>
      </c>
    </row>
    <row r="130" spans="2:14">
      <c r="B130" t="s">
        <v>551</v>
      </c>
      <c r="C130" t="s">
        <v>550</v>
      </c>
      <c r="D130" t="s">
        <v>1132</v>
      </c>
      <c r="E130" t="s">
        <v>1132</v>
      </c>
      <c r="M130" t="s">
        <v>579</v>
      </c>
      <c r="N130" t="s">
        <v>578</v>
      </c>
    </row>
    <row r="131" spans="2:14">
      <c r="B131" t="s">
        <v>553</v>
      </c>
      <c r="C131" t="s">
        <v>552</v>
      </c>
      <c r="D131" t="s">
        <v>1132</v>
      </c>
      <c r="E131" t="s">
        <v>1132</v>
      </c>
      <c r="M131" t="s">
        <v>581</v>
      </c>
      <c r="N131" t="s">
        <v>580</v>
      </c>
    </row>
    <row r="132" spans="2:14">
      <c r="B132" t="s">
        <v>555</v>
      </c>
      <c r="C132" t="s">
        <v>554</v>
      </c>
      <c r="D132" t="s">
        <v>1132</v>
      </c>
      <c r="E132" t="s">
        <v>1132</v>
      </c>
      <c r="M132" t="s">
        <v>583</v>
      </c>
      <c r="N132" t="s">
        <v>582</v>
      </c>
    </row>
    <row r="133" spans="2:14">
      <c r="B133" t="s">
        <v>557</v>
      </c>
      <c r="C133" t="s">
        <v>556</v>
      </c>
      <c r="D133" t="s">
        <v>1132</v>
      </c>
      <c r="E133" t="s">
        <v>1132</v>
      </c>
      <c r="M133" t="s">
        <v>585</v>
      </c>
      <c r="N133" t="s">
        <v>584</v>
      </c>
    </row>
    <row r="134" spans="2:14">
      <c r="B134" t="s">
        <v>559</v>
      </c>
      <c r="C134" t="s">
        <v>558</v>
      </c>
      <c r="D134" t="s">
        <v>1132</v>
      </c>
      <c r="E134" t="s">
        <v>1132</v>
      </c>
      <c r="M134" t="s">
        <v>587</v>
      </c>
      <c r="N134" t="s">
        <v>586</v>
      </c>
    </row>
    <row r="135" spans="2:14">
      <c r="B135" t="s">
        <v>561</v>
      </c>
      <c r="C135" t="s">
        <v>560</v>
      </c>
      <c r="D135" t="s">
        <v>1132</v>
      </c>
      <c r="E135" t="s">
        <v>1132</v>
      </c>
      <c r="M135" t="s">
        <v>589</v>
      </c>
      <c r="N135" t="s">
        <v>588</v>
      </c>
    </row>
    <row r="136" spans="2:14">
      <c r="B136" t="s">
        <v>563</v>
      </c>
      <c r="C136" t="s">
        <v>562</v>
      </c>
      <c r="D136" t="s">
        <v>1132</v>
      </c>
      <c r="E136" t="s">
        <v>1132</v>
      </c>
      <c r="M136" t="s">
        <v>595</v>
      </c>
      <c r="N136" t="s">
        <v>594</v>
      </c>
    </row>
    <row r="137" spans="2:14">
      <c r="B137" t="s">
        <v>1018</v>
      </c>
      <c r="C137" t="s">
        <v>1017</v>
      </c>
      <c r="D137" t="s">
        <v>1132</v>
      </c>
      <c r="E137" t="s">
        <v>1132</v>
      </c>
      <c r="M137" t="s">
        <v>597</v>
      </c>
      <c r="N137" t="s">
        <v>596</v>
      </c>
    </row>
    <row r="138" spans="2:14">
      <c r="B138" t="s">
        <v>898</v>
      </c>
      <c r="C138" t="s">
        <v>897</v>
      </c>
      <c r="D138" t="s">
        <v>1132</v>
      </c>
      <c r="E138" t="s">
        <v>1132</v>
      </c>
      <c r="M138" t="s">
        <v>599</v>
      </c>
      <c r="N138" t="s">
        <v>598</v>
      </c>
    </row>
    <row r="139" spans="2:14">
      <c r="B139" s="75" t="s">
        <v>565</v>
      </c>
      <c r="C139" s="75" t="s">
        <v>564</v>
      </c>
      <c r="D139" t="s">
        <v>1133</v>
      </c>
      <c r="E139" t="s">
        <v>1133</v>
      </c>
      <c r="M139" t="s">
        <v>601</v>
      </c>
      <c r="N139" t="s">
        <v>600</v>
      </c>
    </row>
    <row r="140" spans="2:14">
      <c r="B140" t="s">
        <v>567</v>
      </c>
      <c r="C140" t="s">
        <v>566</v>
      </c>
      <c r="D140" t="s">
        <v>1132</v>
      </c>
      <c r="E140" t="s">
        <v>1132</v>
      </c>
      <c r="M140" t="s">
        <v>603</v>
      </c>
      <c r="N140" t="s">
        <v>602</v>
      </c>
    </row>
    <row r="141" spans="2:14">
      <c r="B141" t="s">
        <v>569</v>
      </c>
      <c r="C141" t="s">
        <v>568</v>
      </c>
      <c r="D141" t="s">
        <v>1132</v>
      </c>
      <c r="E141" t="s">
        <v>1132</v>
      </c>
      <c r="M141" t="s">
        <v>605</v>
      </c>
      <c r="N141" t="s">
        <v>604</v>
      </c>
    </row>
    <row r="142" spans="2:14">
      <c r="B142" s="75" t="s">
        <v>571</v>
      </c>
      <c r="C142" s="75" t="s">
        <v>570</v>
      </c>
      <c r="D142" t="s">
        <v>1133</v>
      </c>
      <c r="E142" t="s">
        <v>1133</v>
      </c>
      <c r="M142" t="s">
        <v>607</v>
      </c>
      <c r="N142" t="s">
        <v>606</v>
      </c>
    </row>
    <row r="143" spans="2:14">
      <c r="B143" t="s">
        <v>573</v>
      </c>
      <c r="C143" t="s">
        <v>572</v>
      </c>
      <c r="D143" t="s">
        <v>1132</v>
      </c>
      <c r="E143" t="s">
        <v>1133</v>
      </c>
      <c r="M143" t="s">
        <v>611</v>
      </c>
      <c r="N143" t="s">
        <v>610</v>
      </c>
    </row>
    <row r="144" spans="2:14">
      <c r="B144" t="s">
        <v>575</v>
      </c>
      <c r="C144" t="s">
        <v>574</v>
      </c>
      <c r="D144" t="s">
        <v>1132</v>
      </c>
      <c r="E144" t="s">
        <v>1132</v>
      </c>
      <c r="M144" t="s">
        <v>900</v>
      </c>
      <c r="N144" t="s">
        <v>899</v>
      </c>
    </row>
    <row r="145" spans="2:14">
      <c r="B145" t="s">
        <v>577</v>
      </c>
      <c r="C145" t="s">
        <v>576</v>
      </c>
      <c r="D145" t="s">
        <v>1132</v>
      </c>
      <c r="E145" t="s">
        <v>1132</v>
      </c>
      <c r="M145" t="s">
        <v>613</v>
      </c>
      <c r="N145" t="s">
        <v>612</v>
      </c>
    </row>
    <row r="146" spans="2:14">
      <c r="B146" t="s">
        <v>579</v>
      </c>
      <c r="C146" t="s">
        <v>578</v>
      </c>
      <c r="D146" t="s">
        <v>1132</v>
      </c>
      <c r="E146" t="s">
        <v>1132</v>
      </c>
      <c r="M146" t="s">
        <v>615</v>
      </c>
      <c r="N146" t="s">
        <v>614</v>
      </c>
    </row>
    <row r="147" spans="2:14">
      <c r="B147" t="s">
        <v>581</v>
      </c>
      <c r="C147" t="s">
        <v>580</v>
      </c>
      <c r="D147" t="s">
        <v>1132</v>
      </c>
      <c r="E147" t="s">
        <v>1132</v>
      </c>
      <c r="M147" t="s">
        <v>617</v>
      </c>
      <c r="N147" t="s">
        <v>616</v>
      </c>
    </row>
    <row r="148" spans="2:14">
      <c r="B148" t="s">
        <v>583</v>
      </c>
      <c r="C148" t="s">
        <v>582</v>
      </c>
      <c r="D148" t="s">
        <v>1132</v>
      </c>
      <c r="E148" t="s">
        <v>1132</v>
      </c>
      <c r="M148" t="s">
        <v>1032</v>
      </c>
      <c r="N148" t="s">
        <v>620</v>
      </c>
    </row>
    <row r="149" spans="2:14">
      <c r="B149" t="s">
        <v>585</v>
      </c>
      <c r="C149" t="s">
        <v>584</v>
      </c>
      <c r="D149" t="s">
        <v>1132</v>
      </c>
      <c r="E149" t="s">
        <v>1132</v>
      </c>
      <c r="M149" t="s">
        <v>622</v>
      </c>
      <c r="N149" t="s">
        <v>621</v>
      </c>
    </row>
    <row r="150" spans="2:14">
      <c r="B150" t="s">
        <v>587</v>
      </c>
      <c r="C150" t="s">
        <v>586</v>
      </c>
      <c r="D150" t="s">
        <v>1132</v>
      </c>
      <c r="E150" t="s">
        <v>1132</v>
      </c>
      <c r="M150" t="s">
        <v>624</v>
      </c>
      <c r="N150" t="s">
        <v>623</v>
      </c>
    </row>
    <row r="151" spans="2:14">
      <c r="B151" t="s">
        <v>589</v>
      </c>
      <c r="C151" t="s">
        <v>588</v>
      </c>
      <c r="D151" t="s">
        <v>1132</v>
      </c>
      <c r="E151" t="s">
        <v>1132</v>
      </c>
      <c r="M151" t="s">
        <v>626</v>
      </c>
      <c r="N151" t="s">
        <v>625</v>
      </c>
    </row>
    <row r="152" spans="2:14">
      <c r="B152" s="75" t="s">
        <v>591</v>
      </c>
      <c r="C152" s="75" t="s">
        <v>590</v>
      </c>
      <c r="D152" t="s">
        <v>1133</v>
      </c>
      <c r="E152" t="s">
        <v>1133</v>
      </c>
      <c r="M152" t="s">
        <v>628</v>
      </c>
      <c r="N152" t="s">
        <v>627</v>
      </c>
    </row>
    <row r="153" spans="2:14">
      <c r="B153" s="75" t="s">
        <v>593</v>
      </c>
      <c r="C153" s="75" t="s">
        <v>592</v>
      </c>
      <c r="D153" t="s">
        <v>1133</v>
      </c>
      <c r="E153" t="s">
        <v>1133</v>
      </c>
      <c r="M153" t="s">
        <v>630</v>
      </c>
      <c r="N153" t="s">
        <v>629</v>
      </c>
    </row>
    <row r="154" spans="2:14">
      <c r="B154" t="s">
        <v>595</v>
      </c>
      <c r="C154" t="s">
        <v>594</v>
      </c>
      <c r="D154" t="s">
        <v>1132</v>
      </c>
      <c r="E154" t="s">
        <v>1132</v>
      </c>
      <c r="M154" t="s">
        <v>632</v>
      </c>
      <c r="N154" t="s">
        <v>631</v>
      </c>
    </row>
    <row r="155" spans="2:14">
      <c r="B155" t="s">
        <v>597</v>
      </c>
      <c r="C155" t="s">
        <v>596</v>
      </c>
      <c r="D155" t="s">
        <v>1132</v>
      </c>
      <c r="E155" t="s">
        <v>1132</v>
      </c>
      <c r="M155" t="s">
        <v>634</v>
      </c>
      <c r="N155" t="s">
        <v>633</v>
      </c>
    </row>
    <row r="156" spans="2:14">
      <c r="B156" t="s">
        <v>599</v>
      </c>
      <c r="C156" t="s">
        <v>598</v>
      </c>
      <c r="D156" t="s">
        <v>1132</v>
      </c>
      <c r="E156" t="s">
        <v>1132</v>
      </c>
      <c r="M156" t="s">
        <v>636</v>
      </c>
      <c r="N156" t="s">
        <v>635</v>
      </c>
    </row>
    <row r="157" spans="2:14">
      <c r="B157" t="s">
        <v>601</v>
      </c>
      <c r="C157" t="s">
        <v>600</v>
      </c>
      <c r="D157" t="s">
        <v>1132</v>
      </c>
      <c r="E157" t="s">
        <v>1132</v>
      </c>
      <c r="M157" t="s">
        <v>638</v>
      </c>
      <c r="N157" t="s">
        <v>637</v>
      </c>
    </row>
    <row r="158" spans="2:14">
      <c r="B158" t="s">
        <v>603</v>
      </c>
      <c r="C158" t="s">
        <v>602</v>
      </c>
      <c r="D158" t="s">
        <v>1132</v>
      </c>
      <c r="E158" t="s">
        <v>1132</v>
      </c>
      <c r="M158" t="s">
        <v>640</v>
      </c>
      <c r="N158" t="s">
        <v>639</v>
      </c>
    </row>
    <row r="159" spans="2:14">
      <c r="B159" t="s">
        <v>605</v>
      </c>
      <c r="C159" t="s">
        <v>604</v>
      </c>
      <c r="D159" t="s">
        <v>1132</v>
      </c>
      <c r="E159" t="s">
        <v>1132</v>
      </c>
      <c r="M159" t="s">
        <v>642</v>
      </c>
      <c r="N159" t="s">
        <v>641</v>
      </c>
    </row>
    <row r="160" spans="2:14">
      <c r="B160" t="s">
        <v>607</v>
      </c>
      <c r="C160" t="s">
        <v>606</v>
      </c>
      <c r="D160" t="s">
        <v>1132</v>
      </c>
      <c r="E160" t="s">
        <v>1132</v>
      </c>
      <c r="M160" t="s">
        <v>644</v>
      </c>
      <c r="N160" t="s">
        <v>643</v>
      </c>
    </row>
    <row r="161" spans="2:14">
      <c r="B161" s="75" t="s">
        <v>609</v>
      </c>
      <c r="C161" s="75" t="s">
        <v>608</v>
      </c>
      <c r="D161" t="s">
        <v>1133</v>
      </c>
      <c r="E161" t="s">
        <v>1133</v>
      </c>
      <c r="M161" t="s">
        <v>646</v>
      </c>
      <c r="N161" t="s">
        <v>645</v>
      </c>
    </row>
    <row r="162" spans="2:14">
      <c r="B162" t="s">
        <v>611</v>
      </c>
      <c r="C162" t="s">
        <v>610</v>
      </c>
      <c r="D162" t="s">
        <v>1132</v>
      </c>
      <c r="E162" t="s">
        <v>1132</v>
      </c>
      <c r="M162" t="s">
        <v>648</v>
      </c>
      <c r="N162" t="s">
        <v>647</v>
      </c>
    </row>
    <row r="163" spans="2:14">
      <c r="B163" t="s">
        <v>900</v>
      </c>
      <c r="C163" t="s">
        <v>899</v>
      </c>
      <c r="D163" t="s">
        <v>1132</v>
      </c>
      <c r="E163" t="s">
        <v>1132</v>
      </c>
      <c r="M163" t="s">
        <v>652</v>
      </c>
      <c r="N163" t="s">
        <v>651</v>
      </c>
    </row>
    <row r="164" spans="2:14">
      <c r="B164" t="s">
        <v>613</v>
      </c>
      <c r="C164" t="s">
        <v>612</v>
      </c>
      <c r="D164" t="s">
        <v>1132</v>
      </c>
      <c r="E164" t="s">
        <v>1132</v>
      </c>
      <c r="M164" t="s">
        <v>654</v>
      </c>
      <c r="N164" t="s">
        <v>653</v>
      </c>
    </row>
    <row r="165" spans="2:14">
      <c r="B165" t="s">
        <v>615</v>
      </c>
      <c r="C165" t="s">
        <v>614</v>
      </c>
      <c r="D165" t="s">
        <v>1132</v>
      </c>
      <c r="E165" t="s">
        <v>1132</v>
      </c>
      <c r="M165" t="s">
        <v>656</v>
      </c>
      <c r="N165" t="s">
        <v>655</v>
      </c>
    </row>
    <row r="166" spans="2:14">
      <c r="B166" t="s">
        <v>617</v>
      </c>
      <c r="C166" t="s">
        <v>616</v>
      </c>
      <c r="D166" t="s">
        <v>1132</v>
      </c>
      <c r="E166" t="s">
        <v>1132</v>
      </c>
      <c r="M166" t="s">
        <v>314</v>
      </c>
      <c r="N166" t="s">
        <v>313</v>
      </c>
    </row>
    <row r="167" spans="2:14">
      <c r="B167" s="75" t="s">
        <v>619</v>
      </c>
      <c r="C167" s="75" t="s">
        <v>618</v>
      </c>
      <c r="D167" t="s">
        <v>1133</v>
      </c>
      <c r="E167" t="s">
        <v>1133</v>
      </c>
      <c r="M167" t="s">
        <v>658</v>
      </c>
      <c r="N167" t="s">
        <v>657</v>
      </c>
    </row>
    <row r="168" spans="2:14">
      <c r="B168" t="s">
        <v>1032</v>
      </c>
      <c r="C168" t="s">
        <v>620</v>
      </c>
      <c r="D168" t="s">
        <v>1132</v>
      </c>
      <c r="E168" t="s">
        <v>1132</v>
      </c>
      <c r="M168" t="s">
        <v>660</v>
      </c>
      <c r="N168" t="s">
        <v>659</v>
      </c>
    </row>
    <row r="169" spans="2:14">
      <c r="B169" t="s">
        <v>622</v>
      </c>
      <c r="C169" t="s">
        <v>621</v>
      </c>
      <c r="D169" t="s">
        <v>1132</v>
      </c>
      <c r="E169" t="s">
        <v>1132</v>
      </c>
      <c r="M169" t="s">
        <v>662</v>
      </c>
      <c r="N169" t="s">
        <v>661</v>
      </c>
    </row>
    <row r="170" spans="2:14">
      <c r="B170" t="s">
        <v>624</v>
      </c>
      <c r="C170" t="s">
        <v>623</v>
      </c>
      <c r="D170" t="s">
        <v>1132</v>
      </c>
      <c r="E170" t="s">
        <v>1132</v>
      </c>
      <c r="M170" t="s">
        <v>664</v>
      </c>
      <c r="N170" t="s">
        <v>663</v>
      </c>
    </row>
    <row r="171" spans="2:14">
      <c r="B171" t="s">
        <v>626</v>
      </c>
      <c r="C171" t="s">
        <v>625</v>
      </c>
      <c r="D171" t="s">
        <v>1132</v>
      </c>
      <c r="E171" t="s">
        <v>1132</v>
      </c>
      <c r="M171" t="s">
        <v>666</v>
      </c>
      <c r="N171" t="s">
        <v>665</v>
      </c>
    </row>
    <row r="172" spans="2:14">
      <c r="B172" t="s">
        <v>628</v>
      </c>
      <c r="C172" t="s">
        <v>627</v>
      </c>
      <c r="D172" t="s">
        <v>1132</v>
      </c>
      <c r="E172" t="s">
        <v>1132</v>
      </c>
      <c r="M172" t="s">
        <v>668</v>
      </c>
      <c r="N172" t="s">
        <v>667</v>
      </c>
    </row>
    <row r="173" spans="2:14">
      <c r="B173" t="s">
        <v>630</v>
      </c>
      <c r="C173" t="s">
        <v>629</v>
      </c>
      <c r="D173" t="s">
        <v>1132</v>
      </c>
      <c r="E173" t="s">
        <v>1132</v>
      </c>
      <c r="M173" t="s">
        <v>672</v>
      </c>
      <c r="N173" t="s">
        <v>671</v>
      </c>
    </row>
    <row r="174" spans="2:14">
      <c r="B174" t="s">
        <v>632</v>
      </c>
      <c r="C174" t="s">
        <v>631</v>
      </c>
      <c r="D174" t="s">
        <v>1132</v>
      </c>
      <c r="E174" t="s">
        <v>1132</v>
      </c>
      <c r="M174" t="s">
        <v>674</v>
      </c>
      <c r="N174" t="s">
        <v>673</v>
      </c>
    </row>
    <row r="175" spans="2:14">
      <c r="B175" t="s">
        <v>634</v>
      </c>
      <c r="C175" t="s">
        <v>633</v>
      </c>
      <c r="D175" t="s">
        <v>1132</v>
      </c>
      <c r="E175" t="s">
        <v>1132</v>
      </c>
      <c r="M175" t="s">
        <v>676</v>
      </c>
      <c r="N175" t="s">
        <v>675</v>
      </c>
    </row>
    <row r="176" spans="2:14">
      <c r="B176" t="s">
        <v>636</v>
      </c>
      <c r="C176" t="s">
        <v>635</v>
      </c>
      <c r="D176" t="s">
        <v>1132</v>
      </c>
      <c r="E176" t="s">
        <v>1132</v>
      </c>
      <c r="M176" s="34" t="s">
        <v>680</v>
      </c>
      <c r="N176" s="34" t="s">
        <v>679</v>
      </c>
    </row>
    <row r="177" spans="2:14">
      <c r="B177" t="s">
        <v>638</v>
      </c>
      <c r="C177" t="s">
        <v>637</v>
      </c>
      <c r="D177" t="s">
        <v>1132</v>
      </c>
      <c r="E177" t="s">
        <v>1132</v>
      </c>
      <c r="M177" t="s">
        <v>1094</v>
      </c>
      <c r="N177" t="s">
        <v>1093</v>
      </c>
    </row>
    <row r="178" spans="2:14">
      <c r="B178" t="s">
        <v>640</v>
      </c>
      <c r="C178" t="s">
        <v>639</v>
      </c>
      <c r="D178" t="s">
        <v>1132</v>
      </c>
      <c r="E178" t="s">
        <v>1132</v>
      </c>
      <c r="M178" t="s">
        <v>682</v>
      </c>
      <c r="N178" t="s">
        <v>681</v>
      </c>
    </row>
    <row r="179" spans="2:14">
      <c r="B179" t="s">
        <v>642</v>
      </c>
      <c r="C179" t="s">
        <v>641</v>
      </c>
      <c r="D179" t="s">
        <v>1132</v>
      </c>
      <c r="E179" t="s">
        <v>1132</v>
      </c>
      <c r="M179" t="s">
        <v>684</v>
      </c>
      <c r="N179" t="s">
        <v>683</v>
      </c>
    </row>
    <row r="180" spans="2:14">
      <c r="B180" t="s">
        <v>644</v>
      </c>
      <c r="C180" t="s">
        <v>643</v>
      </c>
      <c r="D180" t="s">
        <v>1132</v>
      </c>
      <c r="E180" t="s">
        <v>1132</v>
      </c>
      <c r="M180" t="s">
        <v>686</v>
      </c>
      <c r="N180" t="s">
        <v>685</v>
      </c>
    </row>
    <row r="181" spans="2:14">
      <c r="B181" t="s">
        <v>646</v>
      </c>
      <c r="C181" t="s">
        <v>645</v>
      </c>
      <c r="D181" t="s">
        <v>1132</v>
      </c>
      <c r="E181" t="s">
        <v>1132</v>
      </c>
      <c r="M181" t="s">
        <v>688</v>
      </c>
      <c r="N181" t="s">
        <v>687</v>
      </c>
    </row>
    <row r="182" spans="2:14">
      <c r="B182" t="s">
        <v>648</v>
      </c>
      <c r="C182" t="s">
        <v>647</v>
      </c>
      <c r="D182" t="s">
        <v>1132</v>
      </c>
      <c r="E182" t="s">
        <v>1132</v>
      </c>
      <c r="M182" t="s">
        <v>690</v>
      </c>
      <c r="N182" t="s">
        <v>689</v>
      </c>
    </row>
    <row r="183" spans="2:14">
      <c r="B183" s="75" t="s">
        <v>650</v>
      </c>
      <c r="C183" s="75" t="s">
        <v>649</v>
      </c>
      <c r="D183" t="s">
        <v>1133</v>
      </c>
      <c r="E183" t="s">
        <v>1133</v>
      </c>
      <c r="M183" t="s">
        <v>1030</v>
      </c>
      <c r="N183" t="s">
        <v>1029</v>
      </c>
    </row>
    <row r="184" spans="2:14">
      <c r="B184" t="s">
        <v>652</v>
      </c>
      <c r="C184" t="s">
        <v>651</v>
      </c>
      <c r="D184" t="s">
        <v>1132</v>
      </c>
      <c r="E184" t="s">
        <v>1132</v>
      </c>
      <c r="M184" t="s">
        <v>692</v>
      </c>
      <c r="N184" t="s">
        <v>691</v>
      </c>
    </row>
    <row r="185" spans="2:14">
      <c r="B185" t="s">
        <v>654</v>
      </c>
      <c r="C185" t="s">
        <v>653</v>
      </c>
      <c r="D185" t="s">
        <v>1132</v>
      </c>
      <c r="E185" t="s">
        <v>1132</v>
      </c>
      <c r="M185" t="s">
        <v>694</v>
      </c>
      <c r="N185" s="8" t="s">
        <v>693</v>
      </c>
    </row>
    <row r="186" spans="2:14">
      <c r="B186" t="s">
        <v>656</v>
      </c>
      <c r="C186" t="s">
        <v>655</v>
      </c>
      <c r="D186" t="s">
        <v>1132</v>
      </c>
      <c r="E186" t="s">
        <v>1132</v>
      </c>
      <c r="M186" t="s">
        <v>696</v>
      </c>
      <c r="N186" t="s">
        <v>695</v>
      </c>
    </row>
    <row r="187" spans="2:14">
      <c r="B187" t="s">
        <v>314</v>
      </c>
      <c r="C187" t="s">
        <v>313</v>
      </c>
      <c r="D187" t="s">
        <v>1132</v>
      </c>
      <c r="E187" t="s">
        <v>1132</v>
      </c>
      <c r="M187" t="s">
        <v>698</v>
      </c>
      <c r="N187" t="s">
        <v>697</v>
      </c>
    </row>
    <row r="188" spans="2:14">
      <c r="B188" t="s">
        <v>658</v>
      </c>
      <c r="C188" t="s">
        <v>657</v>
      </c>
      <c r="D188" t="s">
        <v>1132</v>
      </c>
      <c r="E188" t="s">
        <v>1132</v>
      </c>
      <c r="M188" t="s">
        <v>700</v>
      </c>
      <c r="N188" t="s">
        <v>699</v>
      </c>
    </row>
    <row r="189" spans="2:14">
      <c r="B189" t="s">
        <v>660</v>
      </c>
      <c r="C189" t="s">
        <v>659</v>
      </c>
      <c r="D189" t="s">
        <v>1132</v>
      </c>
      <c r="E189" t="s">
        <v>1132</v>
      </c>
      <c r="M189" t="s">
        <v>903</v>
      </c>
      <c r="N189" t="s">
        <v>908</v>
      </c>
    </row>
    <row r="190" spans="2:14">
      <c r="B190" t="s">
        <v>662</v>
      </c>
      <c r="C190" t="s">
        <v>661</v>
      </c>
      <c r="D190" t="s">
        <v>1132</v>
      </c>
      <c r="E190" t="s">
        <v>1132</v>
      </c>
      <c r="M190" t="s">
        <v>702</v>
      </c>
      <c r="N190" t="s">
        <v>701</v>
      </c>
    </row>
    <row r="191" spans="2:14">
      <c r="B191" t="s">
        <v>664</v>
      </c>
      <c r="C191" t="s">
        <v>663</v>
      </c>
      <c r="D191" t="s">
        <v>1132</v>
      </c>
      <c r="E191" t="s">
        <v>1132</v>
      </c>
      <c r="M191" t="s">
        <v>1036</v>
      </c>
      <c r="N191" t="s">
        <v>1035</v>
      </c>
    </row>
    <row r="192" spans="2:14">
      <c r="B192" t="s">
        <v>666</v>
      </c>
      <c r="C192" t="s">
        <v>665</v>
      </c>
      <c r="D192" t="s">
        <v>1132</v>
      </c>
      <c r="E192" t="s">
        <v>1132</v>
      </c>
      <c r="M192" t="s">
        <v>704</v>
      </c>
      <c r="N192" t="s">
        <v>703</v>
      </c>
    </row>
    <row r="193" spans="2:14">
      <c r="B193" t="s">
        <v>668</v>
      </c>
      <c r="C193" t="s">
        <v>667</v>
      </c>
      <c r="D193" t="s">
        <v>1132</v>
      </c>
      <c r="E193" t="s">
        <v>1132</v>
      </c>
      <c r="M193" t="s">
        <v>706</v>
      </c>
      <c r="N193" t="s">
        <v>705</v>
      </c>
    </row>
    <row r="194" spans="2:14">
      <c r="B194" s="75" t="s">
        <v>670</v>
      </c>
      <c r="C194" s="75" t="s">
        <v>669</v>
      </c>
      <c r="D194" t="s">
        <v>1133</v>
      </c>
      <c r="E194" t="s">
        <v>1133</v>
      </c>
      <c r="M194" t="s">
        <v>708</v>
      </c>
      <c r="N194" t="s">
        <v>707</v>
      </c>
    </row>
    <row r="195" spans="2:14">
      <c r="B195" t="s">
        <v>672</v>
      </c>
      <c r="C195" t="s">
        <v>671</v>
      </c>
      <c r="D195" t="s">
        <v>1132</v>
      </c>
      <c r="E195" t="s">
        <v>1132</v>
      </c>
      <c r="M195" t="s">
        <v>710</v>
      </c>
      <c r="N195" t="s">
        <v>709</v>
      </c>
    </row>
    <row r="196" spans="2:14">
      <c r="B196" t="s">
        <v>674</v>
      </c>
      <c r="C196" t="s">
        <v>673</v>
      </c>
      <c r="D196" t="s">
        <v>1132</v>
      </c>
      <c r="E196" t="s">
        <v>1132</v>
      </c>
      <c r="M196" t="s">
        <v>1008</v>
      </c>
      <c r="N196" t="s">
        <v>920</v>
      </c>
    </row>
    <row r="197" spans="2:14">
      <c r="B197" t="s">
        <v>676</v>
      </c>
      <c r="C197" t="s">
        <v>675</v>
      </c>
      <c r="D197" t="s">
        <v>1132</v>
      </c>
      <c r="E197" t="s">
        <v>1132</v>
      </c>
      <c r="M197" t="s">
        <v>712</v>
      </c>
      <c r="N197" t="s">
        <v>711</v>
      </c>
    </row>
    <row r="198" spans="2:14">
      <c r="B198" s="75" t="s">
        <v>678</v>
      </c>
      <c r="C198" s="75" t="s">
        <v>677</v>
      </c>
      <c r="D198" t="s">
        <v>1133</v>
      </c>
      <c r="E198" t="s">
        <v>1133</v>
      </c>
      <c r="M198" t="s">
        <v>714</v>
      </c>
      <c r="N198" s="8" t="s">
        <v>713</v>
      </c>
    </row>
    <row r="199" spans="2:14">
      <c r="B199" s="34" t="s">
        <v>680</v>
      </c>
      <c r="C199" s="34" t="s">
        <v>679</v>
      </c>
      <c r="D199" t="s">
        <v>1132</v>
      </c>
      <c r="E199" t="s">
        <v>1132</v>
      </c>
      <c r="M199" t="s">
        <v>904</v>
      </c>
      <c r="N199" t="s">
        <v>909</v>
      </c>
    </row>
    <row r="200" spans="2:14">
      <c r="B200" t="s">
        <v>1094</v>
      </c>
      <c r="C200" t="s">
        <v>1093</v>
      </c>
      <c r="D200" t="s">
        <v>1132</v>
      </c>
      <c r="E200" t="s">
        <v>1132</v>
      </c>
      <c r="M200" t="s">
        <v>716</v>
      </c>
      <c r="N200" t="s">
        <v>715</v>
      </c>
    </row>
    <row r="201" spans="2:14">
      <c r="B201" t="s">
        <v>682</v>
      </c>
      <c r="C201" t="s">
        <v>681</v>
      </c>
      <c r="D201" t="s">
        <v>1132</v>
      </c>
      <c r="E201" t="s">
        <v>1132</v>
      </c>
      <c r="M201" t="s">
        <v>1010</v>
      </c>
      <c r="N201" t="s">
        <v>933</v>
      </c>
    </row>
    <row r="202" spans="2:14">
      <c r="B202" t="s">
        <v>684</v>
      </c>
      <c r="C202" t="s">
        <v>683</v>
      </c>
      <c r="D202" t="s">
        <v>1132</v>
      </c>
      <c r="E202" t="s">
        <v>1132</v>
      </c>
      <c r="M202" t="s">
        <v>718</v>
      </c>
      <c r="N202" t="s">
        <v>717</v>
      </c>
    </row>
    <row r="203" spans="2:14">
      <c r="B203" t="s">
        <v>686</v>
      </c>
      <c r="C203" t="s">
        <v>685</v>
      </c>
      <c r="D203" t="s">
        <v>1132</v>
      </c>
      <c r="E203" t="s">
        <v>1132</v>
      </c>
      <c r="M203" t="s">
        <v>720</v>
      </c>
      <c r="N203" t="s">
        <v>719</v>
      </c>
    </row>
    <row r="204" spans="2:14">
      <c r="B204" t="s">
        <v>688</v>
      </c>
      <c r="C204" t="s">
        <v>687</v>
      </c>
      <c r="D204" t="s">
        <v>1132</v>
      </c>
      <c r="E204" t="s">
        <v>1132</v>
      </c>
      <c r="M204" t="s">
        <v>722</v>
      </c>
      <c r="N204" t="s">
        <v>721</v>
      </c>
    </row>
    <row r="205" spans="2:14">
      <c r="B205" t="s">
        <v>690</v>
      </c>
      <c r="C205" t="s">
        <v>689</v>
      </c>
      <c r="D205" t="s">
        <v>1132</v>
      </c>
      <c r="E205" t="s">
        <v>1132</v>
      </c>
      <c r="M205" t="s">
        <v>724</v>
      </c>
      <c r="N205" t="s">
        <v>723</v>
      </c>
    </row>
    <row r="206" spans="2:14">
      <c r="B206" t="s">
        <v>1030</v>
      </c>
      <c r="C206" t="s">
        <v>1029</v>
      </c>
      <c r="D206" t="s">
        <v>1132</v>
      </c>
      <c r="E206" t="s">
        <v>1132</v>
      </c>
      <c r="M206" t="s">
        <v>726</v>
      </c>
      <c r="N206" t="s">
        <v>725</v>
      </c>
    </row>
    <row r="207" spans="2:14">
      <c r="B207" t="s">
        <v>692</v>
      </c>
      <c r="C207" t="s">
        <v>691</v>
      </c>
      <c r="D207" t="s">
        <v>1132</v>
      </c>
      <c r="E207" t="s">
        <v>1132</v>
      </c>
      <c r="M207" t="s">
        <v>728</v>
      </c>
      <c r="N207" t="s">
        <v>727</v>
      </c>
    </row>
    <row r="208" spans="2:14">
      <c r="B208" t="s">
        <v>694</v>
      </c>
      <c r="C208" s="8" t="s">
        <v>693</v>
      </c>
      <c r="D208" t="s">
        <v>1132</v>
      </c>
      <c r="E208" t="s">
        <v>1132</v>
      </c>
      <c r="M208" t="s">
        <v>730</v>
      </c>
      <c r="N208" t="s">
        <v>729</v>
      </c>
    </row>
    <row r="209" spans="2:14">
      <c r="B209" t="s">
        <v>696</v>
      </c>
      <c r="C209" t="s">
        <v>695</v>
      </c>
      <c r="D209" t="s">
        <v>1132</v>
      </c>
      <c r="E209" t="s">
        <v>1132</v>
      </c>
      <c r="M209" t="s">
        <v>732</v>
      </c>
      <c r="N209" t="s">
        <v>731</v>
      </c>
    </row>
    <row r="210" spans="2:14">
      <c r="B210" t="s">
        <v>698</v>
      </c>
      <c r="C210" t="s">
        <v>697</v>
      </c>
      <c r="D210" t="s">
        <v>1132</v>
      </c>
      <c r="E210" t="s">
        <v>1132</v>
      </c>
      <c r="M210" t="s">
        <v>734</v>
      </c>
      <c r="N210" t="s">
        <v>733</v>
      </c>
    </row>
    <row r="211" spans="2:14">
      <c r="B211" t="s">
        <v>700</v>
      </c>
      <c r="C211" t="s">
        <v>699</v>
      </c>
      <c r="D211" t="s">
        <v>1132</v>
      </c>
      <c r="E211" t="s">
        <v>1132</v>
      </c>
      <c r="M211" t="s">
        <v>736</v>
      </c>
      <c r="N211" t="s">
        <v>735</v>
      </c>
    </row>
    <row r="212" spans="2:14">
      <c r="B212" t="s">
        <v>903</v>
      </c>
      <c r="C212" t="s">
        <v>908</v>
      </c>
      <c r="D212" t="s">
        <v>1132</v>
      </c>
      <c r="E212" t="s">
        <v>1132</v>
      </c>
      <c r="M212" t="s">
        <v>1090</v>
      </c>
      <c r="N212" t="s">
        <v>1089</v>
      </c>
    </row>
    <row r="213" spans="2:14">
      <c r="B213" t="s">
        <v>702</v>
      </c>
      <c r="C213" t="s">
        <v>701</v>
      </c>
      <c r="D213" t="s">
        <v>1132</v>
      </c>
      <c r="E213" t="s">
        <v>1132</v>
      </c>
      <c r="M213" t="s">
        <v>740</v>
      </c>
      <c r="N213" t="s">
        <v>739</v>
      </c>
    </row>
    <row r="214" spans="2:14">
      <c r="B214" t="s">
        <v>1036</v>
      </c>
      <c r="C214" t="s">
        <v>1035</v>
      </c>
      <c r="D214" t="s">
        <v>1132</v>
      </c>
      <c r="E214" t="s">
        <v>1132</v>
      </c>
      <c r="M214" t="s">
        <v>742</v>
      </c>
      <c r="N214" t="s">
        <v>741</v>
      </c>
    </row>
    <row r="215" spans="2:14">
      <c r="B215" t="s">
        <v>704</v>
      </c>
      <c r="C215" t="s">
        <v>703</v>
      </c>
      <c r="D215" t="s">
        <v>1132</v>
      </c>
      <c r="E215" t="s">
        <v>1132</v>
      </c>
      <c r="M215" t="s">
        <v>744</v>
      </c>
      <c r="N215" t="s">
        <v>743</v>
      </c>
    </row>
    <row r="216" spans="2:14">
      <c r="B216" t="s">
        <v>706</v>
      </c>
      <c r="C216" t="s">
        <v>705</v>
      </c>
      <c r="D216" t="s">
        <v>1132</v>
      </c>
      <c r="E216" t="s">
        <v>1132</v>
      </c>
      <c r="M216" t="s">
        <v>746</v>
      </c>
      <c r="N216" t="s">
        <v>745</v>
      </c>
    </row>
    <row r="217" spans="2:14">
      <c r="B217" t="s">
        <v>708</v>
      </c>
      <c r="C217" t="s">
        <v>707</v>
      </c>
      <c r="D217" t="s">
        <v>1132</v>
      </c>
      <c r="E217" t="s">
        <v>1132</v>
      </c>
      <c r="M217" s="40" t="s">
        <v>748</v>
      </c>
      <c r="N217" t="s">
        <v>747</v>
      </c>
    </row>
    <row r="218" spans="2:14">
      <c r="B218" t="s">
        <v>710</v>
      </c>
      <c r="C218" t="s">
        <v>709</v>
      </c>
      <c r="D218" t="s">
        <v>1132</v>
      </c>
      <c r="E218" t="s">
        <v>1132</v>
      </c>
      <c r="M218" t="s">
        <v>750</v>
      </c>
      <c r="N218" t="s">
        <v>749</v>
      </c>
    </row>
    <row r="219" spans="2:14">
      <c r="B219" t="s">
        <v>1008</v>
      </c>
      <c r="C219" t="s">
        <v>920</v>
      </c>
      <c r="D219" t="s">
        <v>1132</v>
      </c>
      <c r="E219" t="s">
        <v>1132</v>
      </c>
      <c r="M219" t="s">
        <v>752</v>
      </c>
      <c r="N219" t="s">
        <v>751</v>
      </c>
    </row>
    <row r="220" spans="2:14">
      <c r="B220" t="s">
        <v>712</v>
      </c>
      <c r="C220" t="s">
        <v>711</v>
      </c>
      <c r="D220" t="s">
        <v>1132</v>
      </c>
      <c r="E220" t="s">
        <v>1132</v>
      </c>
      <c r="M220" t="s">
        <v>754</v>
      </c>
      <c r="N220" t="s">
        <v>753</v>
      </c>
    </row>
    <row r="221" spans="2:14">
      <c r="B221" t="s">
        <v>714</v>
      </c>
      <c r="C221" s="8" t="s">
        <v>713</v>
      </c>
      <c r="D221" t="s">
        <v>1132</v>
      </c>
      <c r="E221" t="s">
        <v>1132</v>
      </c>
      <c r="M221" t="s">
        <v>756</v>
      </c>
      <c r="N221" t="s">
        <v>755</v>
      </c>
    </row>
    <row r="222" spans="2:14">
      <c r="B222" t="s">
        <v>904</v>
      </c>
      <c r="C222" t="s">
        <v>909</v>
      </c>
      <c r="D222" t="s">
        <v>1132</v>
      </c>
      <c r="E222" t="s">
        <v>1132</v>
      </c>
      <c r="M222" t="s">
        <v>758</v>
      </c>
      <c r="N222" t="s">
        <v>757</v>
      </c>
    </row>
    <row r="223" spans="2:14">
      <c r="B223" t="s">
        <v>716</v>
      </c>
      <c r="C223" t="s">
        <v>715</v>
      </c>
      <c r="D223" t="s">
        <v>1132</v>
      </c>
      <c r="E223" t="s">
        <v>1132</v>
      </c>
      <c r="M223" t="s">
        <v>760</v>
      </c>
      <c r="N223" t="s">
        <v>759</v>
      </c>
    </row>
    <row r="224" spans="2:14">
      <c r="B224" t="s">
        <v>1010</v>
      </c>
      <c r="C224" t="s">
        <v>933</v>
      </c>
      <c r="D224" t="s">
        <v>1132</v>
      </c>
      <c r="E224" t="s">
        <v>1132</v>
      </c>
      <c r="M224" t="s">
        <v>762</v>
      </c>
      <c r="N224" t="s">
        <v>761</v>
      </c>
    </row>
    <row r="225" spans="2:14">
      <c r="B225" t="s">
        <v>718</v>
      </c>
      <c r="C225" t="s">
        <v>717</v>
      </c>
      <c r="D225" t="s">
        <v>1132</v>
      </c>
      <c r="E225" t="s">
        <v>1132</v>
      </c>
      <c r="M225" t="s">
        <v>766</v>
      </c>
      <c r="N225" t="s">
        <v>765</v>
      </c>
    </row>
    <row r="226" spans="2:14">
      <c r="B226" t="s">
        <v>720</v>
      </c>
      <c r="C226" t="s">
        <v>719</v>
      </c>
      <c r="D226" t="s">
        <v>1132</v>
      </c>
      <c r="E226" t="s">
        <v>1132</v>
      </c>
      <c r="M226" t="s">
        <v>768</v>
      </c>
      <c r="N226" t="s">
        <v>767</v>
      </c>
    </row>
    <row r="227" spans="2:14">
      <c r="B227" t="s">
        <v>722</v>
      </c>
      <c r="C227" t="s">
        <v>721</v>
      </c>
      <c r="D227" t="s">
        <v>1132</v>
      </c>
      <c r="E227" t="s">
        <v>1132</v>
      </c>
      <c r="M227" t="s">
        <v>770</v>
      </c>
      <c r="N227" t="s">
        <v>769</v>
      </c>
    </row>
    <row r="228" spans="2:14">
      <c r="B228" t="s">
        <v>724</v>
      </c>
      <c r="C228" t="s">
        <v>723</v>
      </c>
      <c r="D228" t="s">
        <v>1132</v>
      </c>
      <c r="E228" t="s">
        <v>1132</v>
      </c>
      <c r="M228" t="s">
        <v>772</v>
      </c>
      <c r="N228" t="s">
        <v>771</v>
      </c>
    </row>
    <row r="229" spans="2:14">
      <c r="B229" t="s">
        <v>726</v>
      </c>
      <c r="C229" t="s">
        <v>725</v>
      </c>
      <c r="D229" t="s">
        <v>1132</v>
      </c>
      <c r="E229" t="s">
        <v>1132</v>
      </c>
      <c r="M229" t="s">
        <v>774</v>
      </c>
      <c r="N229" t="s">
        <v>773</v>
      </c>
    </row>
    <row r="230" spans="2:14">
      <c r="B230" t="s">
        <v>728</v>
      </c>
      <c r="C230" t="s">
        <v>727</v>
      </c>
      <c r="D230" t="s">
        <v>1132</v>
      </c>
      <c r="E230" t="s">
        <v>1132</v>
      </c>
      <c r="M230" t="s">
        <v>776</v>
      </c>
      <c r="N230" t="s">
        <v>775</v>
      </c>
    </row>
    <row r="231" spans="2:14">
      <c r="B231" t="s">
        <v>730</v>
      </c>
      <c r="C231" t="s">
        <v>729</v>
      </c>
      <c r="D231" t="s">
        <v>1132</v>
      </c>
      <c r="E231" t="s">
        <v>1132</v>
      </c>
      <c r="M231" t="s">
        <v>778</v>
      </c>
      <c r="N231" t="s">
        <v>777</v>
      </c>
    </row>
    <row r="232" spans="2:14">
      <c r="B232" t="s">
        <v>732</v>
      </c>
      <c r="C232" t="s">
        <v>731</v>
      </c>
      <c r="D232" t="s">
        <v>1132</v>
      </c>
      <c r="E232" t="s">
        <v>1132</v>
      </c>
      <c r="M232" t="s">
        <v>780</v>
      </c>
      <c r="N232" t="s">
        <v>779</v>
      </c>
    </row>
    <row r="233" spans="2:14">
      <c r="B233" t="s">
        <v>734</v>
      </c>
      <c r="C233" t="s">
        <v>733</v>
      </c>
      <c r="D233" t="s">
        <v>1132</v>
      </c>
      <c r="E233" t="s">
        <v>1132</v>
      </c>
      <c r="M233" t="s">
        <v>907</v>
      </c>
      <c r="N233" t="s">
        <v>912</v>
      </c>
    </row>
    <row r="234" spans="2:14">
      <c r="B234" t="s">
        <v>736</v>
      </c>
      <c r="C234" t="s">
        <v>735</v>
      </c>
      <c r="D234" t="s">
        <v>1132</v>
      </c>
      <c r="E234" t="s">
        <v>1132</v>
      </c>
      <c r="M234" t="s">
        <v>782</v>
      </c>
      <c r="N234" t="s">
        <v>781</v>
      </c>
    </row>
    <row r="235" spans="2:14">
      <c r="B235" s="75" t="s">
        <v>738</v>
      </c>
      <c r="C235" s="75" t="s">
        <v>737</v>
      </c>
      <c r="D235" t="s">
        <v>1133</v>
      </c>
      <c r="E235" t="s">
        <v>1133</v>
      </c>
      <c r="M235" t="s">
        <v>784</v>
      </c>
      <c r="N235" t="s">
        <v>783</v>
      </c>
    </row>
    <row r="236" spans="2:14">
      <c r="B236" t="s">
        <v>1090</v>
      </c>
      <c r="C236" t="s">
        <v>1089</v>
      </c>
      <c r="D236" t="s">
        <v>1132</v>
      </c>
      <c r="E236" t="s">
        <v>1132</v>
      </c>
      <c r="M236" t="s">
        <v>786</v>
      </c>
      <c r="N236" t="s">
        <v>785</v>
      </c>
    </row>
    <row r="237" spans="2:14">
      <c r="B237" t="s">
        <v>740</v>
      </c>
      <c r="C237" t="s">
        <v>739</v>
      </c>
      <c r="D237" t="s">
        <v>1132</v>
      </c>
      <c r="E237" t="s">
        <v>1132</v>
      </c>
      <c r="M237" t="s">
        <v>788</v>
      </c>
      <c r="N237" t="s">
        <v>787</v>
      </c>
    </row>
    <row r="238" spans="2:14">
      <c r="B238" t="s">
        <v>742</v>
      </c>
      <c r="C238" t="s">
        <v>741</v>
      </c>
      <c r="D238" t="s">
        <v>1132</v>
      </c>
      <c r="E238" t="s">
        <v>1132</v>
      </c>
      <c r="M238" t="s">
        <v>790</v>
      </c>
      <c r="N238" t="s">
        <v>789</v>
      </c>
    </row>
    <row r="239" spans="2:14">
      <c r="B239" t="s">
        <v>744</v>
      </c>
      <c r="C239" t="s">
        <v>743</v>
      </c>
      <c r="D239" t="s">
        <v>1132</v>
      </c>
      <c r="E239" t="s">
        <v>1132</v>
      </c>
      <c r="M239" t="s">
        <v>792</v>
      </c>
      <c r="N239" t="s">
        <v>791</v>
      </c>
    </row>
    <row r="240" spans="2:14">
      <c r="B240" t="s">
        <v>746</v>
      </c>
      <c r="C240" t="s">
        <v>745</v>
      </c>
      <c r="D240" t="s">
        <v>1132</v>
      </c>
      <c r="E240" t="s">
        <v>1132</v>
      </c>
      <c r="M240" t="s">
        <v>794</v>
      </c>
      <c r="N240" t="s">
        <v>793</v>
      </c>
    </row>
    <row r="241" spans="2:14">
      <c r="B241" s="40" t="s">
        <v>748</v>
      </c>
      <c r="C241" t="s">
        <v>747</v>
      </c>
      <c r="D241" t="s">
        <v>1132</v>
      </c>
      <c r="E241" t="s">
        <v>1132</v>
      </c>
      <c r="M241" t="s">
        <v>796</v>
      </c>
      <c r="N241" t="s">
        <v>795</v>
      </c>
    </row>
    <row r="242" spans="2:14">
      <c r="B242" t="s">
        <v>750</v>
      </c>
      <c r="C242" t="s">
        <v>749</v>
      </c>
      <c r="D242" t="s">
        <v>1132</v>
      </c>
      <c r="E242" t="s">
        <v>1132</v>
      </c>
      <c r="M242" t="s">
        <v>798</v>
      </c>
      <c r="N242" t="s">
        <v>797</v>
      </c>
    </row>
    <row r="243" spans="2:14">
      <c r="B243" t="s">
        <v>752</v>
      </c>
      <c r="C243" t="s">
        <v>751</v>
      </c>
      <c r="D243" t="s">
        <v>1132</v>
      </c>
      <c r="E243" t="s">
        <v>1132</v>
      </c>
      <c r="M243" t="s">
        <v>802</v>
      </c>
      <c r="N243" t="s">
        <v>801</v>
      </c>
    </row>
    <row r="244" spans="2:14">
      <c r="B244" t="s">
        <v>754</v>
      </c>
      <c r="C244" t="s">
        <v>753</v>
      </c>
      <c r="D244" t="s">
        <v>1132</v>
      </c>
      <c r="E244" t="s">
        <v>1132</v>
      </c>
      <c r="M244" t="s">
        <v>1009</v>
      </c>
      <c r="N244" t="s">
        <v>934</v>
      </c>
    </row>
    <row r="245" spans="2:14">
      <c r="B245" t="s">
        <v>756</v>
      </c>
      <c r="C245" t="s">
        <v>755</v>
      </c>
      <c r="D245" t="s">
        <v>1132</v>
      </c>
      <c r="E245" t="s">
        <v>1132</v>
      </c>
      <c r="M245" t="s">
        <v>905</v>
      </c>
      <c r="N245" t="s">
        <v>910</v>
      </c>
    </row>
    <row r="246" spans="2:14">
      <c r="B246" t="s">
        <v>758</v>
      </c>
      <c r="C246" t="s">
        <v>757</v>
      </c>
      <c r="D246" t="s">
        <v>1132</v>
      </c>
      <c r="E246" t="s">
        <v>1132</v>
      </c>
      <c r="M246" t="s">
        <v>906</v>
      </c>
      <c r="N246" t="s">
        <v>911</v>
      </c>
    </row>
    <row r="247" spans="2:14">
      <c r="B247" t="s">
        <v>760</v>
      </c>
      <c r="C247" t="s">
        <v>759</v>
      </c>
      <c r="D247" t="s">
        <v>1132</v>
      </c>
      <c r="E247" t="s">
        <v>1132</v>
      </c>
      <c r="M247" t="s">
        <v>804</v>
      </c>
      <c r="N247" t="s">
        <v>803</v>
      </c>
    </row>
    <row r="248" spans="2:14">
      <c r="B248" t="s">
        <v>762</v>
      </c>
      <c r="C248" t="s">
        <v>761</v>
      </c>
      <c r="D248" t="s">
        <v>1132</v>
      </c>
      <c r="E248" t="s">
        <v>1132</v>
      </c>
      <c r="M248" t="s">
        <v>806</v>
      </c>
      <c r="N248" t="s">
        <v>805</v>
      </c>
    </row>
    <row r="249" spans="2:14">
      <c r="B249" s="75" t="s">
        <v>764</v>
      </c>
      <c r="C249" s="75" t="s">
        <v>763</v>
      </c>
      <c r="D249" t="s">
        <v>1133</v>
      </c>
      <c r="E249" t="s">
        <v>1133</v>
      </c>
      <c r="M249" t="s">
        <v>808</v>
      </c>
      <c r="N249" t="s">
        <v>807</v>
      </c>
    </row>
    <row r="250" spans="2:14">
      <c r="B250" t="s">
        <v>766</v>
      </c>
      <c r="C250" t="s">
        <v>765</v>
      </c>
      <c r="D250" t="s">
        <v>1132</v>
      </c>
      <c r="E250" t="s">
        <v>1132</v>
      </c>
      <c r="M250" t="s">
        <v>902</v>
      </c>
      <c r="N250" t="s">
        <v>901</v>
      </c>
    </row>
    <row r="251" spans="2:14">
      <c r="B251" t="s">
        <v>768</v>
      </c>
      <c r="C251" t="s">
        <v>767</v>
      </c>
      <c r="D251" t="s">
        <v>1132</v>
      </c>
      <c r="E251" t="s">
        <v>1132</v>
      </c>
      <c r="M251" t="s">
        <v>810</v>
      </c>
      <c r="N251" t="s">
        <v>809</v>
      </c>
    </row>
    <row r="252" spans="2:14">
      <c r="B252" t="s">
        <v>770</v>
      </c>
      <c r="C252" t="s">
        <v>769</v>
      </c>
      <c r="D252" t="s">
        <v>1132</v>
      </c>
      <c r="E252" t="s">
        <v>1132</v>
      </c>
      <c r="M252" t="s">
        <v>812</v>
      </c>
      <c r="N252" t="s">
        <v>811</v>
      </c>
    </row>
    <row r="253" spans="2:14">
      <c r="B253" t="s">
        <v>772</v>
      </c>
      <c r="C253" t="s">
        <v>771</v>
      </c>
      <c r="D253" t="s">
        <v>1132</v>
      </c>
      <c r="E253" t="s">
        <v>1132</v>
      </c>
      <c r="M253" t="s">
        <v>814</v>
      </c>
      <c r="N253" t="s">
        <v>813</v>
      </c>
    </row>
    <row r="254" spans="2:14">
      <c r="B254" t="s">
        <v>774</v>
      </c>
      <c r="C254" t="s">
        <v>773</v>
      </c>
      <c r="D254" t="s">
        <v>1132</v>
      </c>
      <c r="E254" t="s">
        <v>1132</v>
      </c>
      <c r="M254" t="s">
        <v>816</v>
      </c>
      <c r="N254" t="s">
        <v>815</v>
      </c>
    </row>
    <row r="255" spans="2:14">
      <c r="B255" t="s">
        <v>776</v>
      </c>
      <c r="C255" t="s">
        <v>775</v>
      </c>
      <c r="D255" t="s">
        <v>1132</v>
      </c>
      <c r="E255" t="s">
        <v>1132</v>
      </c>
      <c r="M255" t="s">
        <v>818</v>
      </c>
      <c r="N255" t="s">
        <v>817</v>
      </c>
    </row>
    <row r="256" spans="2:14">
      <c r="B256" t="s">
        <v>778</v>
      </c>
      <c r="C256" t="s">
        <v>777</v>
      </c>
      <c r="D256" t="s">
        <v>1132</v>
      </c>
      <c r="E256" t="s">
        <v>1132</v>
      </c>
      <c r="M256" t="s">
        <v>820</v>
      </c>
      <c r="N256" t="s">
        <v>819</v>
      </c>
    </row>
    <row r="257" spans="2:14">
      <c r="B257" t="s">
        <v>780</v>
      </c>
      <c r="C257" t="s">
        <v>779</v>
      </c>
      <c r="D257" t="s">
        <v>1132</v>
      </c>
      <c r="E257" t="s">
        <v>1132</v>
      </c>
      <c r="M257" t="s">
        <v>822</v>
      </c>
      <c r="N257" t="s">
        <v>821</v>
      </c>
    </row>
    <row r="258" spans="2:14">
      <c r="B258" t="s">
        <v>907</v>
      </c>
      <c r="C258" t="s">
        <v>912</v>
      </c>
      <c r="D258" t="s">
        <v>1132</v>
      </c>
      <c r="E258" t="s">
        <v>1132</v>
      </c>
      <c r="M258" t="s">
        <v>824</v>
      </c>
      <c r="N258" t="s">
        <v>823</v>
      </c>
    </row>
    <row r="259" spans="2:14">
      <c r="B259" t="s">
        <v>782</v>
      </c>
      <c r="C259" t="s">
        <v>781</v>
      </c>
      <c r="D259" t="s">
        <v>1132</v>
      </c>
      <c r="E259" t="s">
        <v>1132</v>
      </c>
      <c r="M259" t="s">
        <v>826</v>
      </c>
      <c r="N259" t="s">
        <v>825</v>
      </c>
    </row>
    <row r="260" spans="2:14">
      <c r="B260" t="s">
        <v>784</v>
      </c>
      <c r="C260" t="s">
        <v>783</v>
      </c>
      <c r="D260" t="s">
        <v>1132</v>
      </c>
      <c r="E260" t="s">
        <v>1132</v>
      </c>
      <c r="M260" t="s">
        <v>828</v>
      </c>
      <c r="N260" t="s">
        <v>827</v>
      </c>
    </row>
    <row r="261" spans="2:14">
      <c r="B261" t="s">
        <v>786</v>
      </c>
      <c r="C261" t="s">
        <v>785</v>
      </c>
      <c r="D261" t="s">
        <v>1132</v>
      </c>
      <c r="E261" t="s">
        <v>1132</v>
      </c>
      <c r="M261" t="s">
        <v>834</v>
      </c>
      <c r="N261" t="s">
        <v>833</v>
      </c>
    </row>
    <row r="262" spans="2:14">
      <c r="B262" t="s">
        <v>788</v>
      </c>
      <c r="C262" t="s">
        <v>787</v>
      </c>
      <c r="D262" t="s">
        <v>1132</v>
      </c>
      <c r="E262" t="s">
        <v>1132</v>
      </c>
      <c r="M262" t="s">
        <v>312</v>
      </c>
      <c r="N262" t="s">
        <v>311</v>
      </c>
    </row>
    <row r="263" spans="2:14">
      <c r="B263" t="s">
        <v>790</v>
      </c>
      <c r="C263" t="s">
        <v>789</v>
      </c>
      <c r="D263" t="s">
        <v>1132</v>
      </c>
      <c r="E263" t="s">
        <v>1132</v>
      </c>
      <c r="M263" t="s">
        <v>836</v>
      </c>
      <c r="N263" t="s">
        <v>835</v>
      </c>
    </row>
    <row r="264" spans="2:14">
      <c r="B264" t="s">
        <v>792</v>
      </c>
      <c r="C264" t="s">
        <v>791</v>
      </c>
      <c r="D264" t="s">
        <v>1132</v>
      </c>
      <c r="E264" t="s">
        <v>1132</v>
      </c>
      <c r="M264" t="s">
        <v>838</v>
      </c>
      <c r="N264" t="s">
        <v>837</v>
      </c>
    </row>
    <row r="265" spans="2:14">
      <c r="B265" t="s">
        <v>794</v>
      </c>
      <c r="C265" t="s">
        <v>793</v>
      </c>
      <c r="D265" t="s">
        <v>1132</v>
      </c>
      <c r="E265" t="s">
        <v>1132</v>
      </c>
      <c r="M265" t="s">
        <v>840</v>
      </c>
      <c r="N265" t="s">
        <v>839</v>
      </c>
    </row>
    <row r="266" spans="2:14">
      <c r="B266" t="s">
        <v>796</v>
      </c>
      <c r="C266" t="s">
        <v>795</v>
      </c>
      <c r="D266" t="s">
        <v>1132</v>
      </c>
      <c r="E266" t="s">
        <v>1132</v>
      </c>
      <c r="M266" t="s">
        <v>842</v>
      </c>
      <c r="N266" t="s">
        <v>841</v>
      </c>
    </row>
    <row r="267" spans="2:14">
      <c r="B267" t="s">
        <v>798</v>
      </c>
      <c r="C267" t="s">
        <v>797</v>
      </c>
      <c r="D267" t="s">
        <v>1132</v>
      </c>
      <c r="E267" t="s">
        <v>1132</v>
      </c>
      <c r="M267" t="s">
        <v>844</v>
      </c>
      <c r="N267" t="s">
        <v>843</v>
      </c>
    </row>
    <row r="268" spans="2:14">
      <c r="B268" s="75" t="s">
        <v>800</v>
      </c>
      <c r="C268" s="75" t="s">
        <v>799</v>
      </c>
      <c r="D268" t="s">
        <v>1133</v>
      </c>
      <c r="E268" t="s">
        <v>1133</v>
      </c>
      <c r="M268" t="s">
        <v>1019</v>
      </c>
      <c r="N268" t="s">
        <v>932</v>
      </c>
    </row>
    <row r="269" spans="2:14">
      <c r="B269" t="s">
        <v>802</v>
      </c>
      <c r="C269" t="s">
        <v>801</v>
      </c>
      <c r="D269" t="s">
        <v>1132</v>
      </c>
      <c r="E269" t="s">
        <v>1132</v>
      </c>
      <c r="M269" t="s">
        <v>848</v>
      </c>
      <c r="N269" t="s">
        <v>847</v>
      </c>
    </row>
    <row r="270" spans="2:14">
      <c r="B270" t="s">
        <v>1009</v>
      </c>
      <c r="C270" t="s">
        <v>934</v>
      </c>
      <c r="D270" t="s">
        <v>1132</v>
      </c>
      <c r="E270" t="s">
        <v>1132</v>
      </c>
      <c r="M270" t="s">
        <v>852</v>
      </c>
      <c r="N270" t="s">
        <v>851</v>
      </c>
    </row>
    <row r="271" spans="2:14">
      <c r="B271" t="s">
        <v>905</v>
      </c>
      <c r="C271" t="s">
        <v>910</v>
      </c>
      <c r="D271" t="s">
        <v>1132</v>
      </c>
      <c r="E271" t="s">
        <v>1132</v>
      </c>
      <c r="M271" t="s">
        <v>854</v>
      </c>
      <c r="N271" t="s">
        <v>853</v>
      </c>
    </row>
    <row r="272" spans="2:14">
      <c r="B272" t="s">
        <v>906</v>
      </c>
      <c r="C272" t="s">
        <v>911</v>
      </c>
      <c r="D272" t="s">
        <v>1132</v>
      </c>
      <c r="E272" t="s">
        <v>1132</v>
      </c>
      <c r="M272" t="s">
        <v>856</v>
      </c>
      <c r="N272" s="8" t="s">
        <v>855</v>
      </c>
    </row>
    <row r="273" spans="2:14">
      <c r="B273" t="s">
        <v>804</v>
      </c>
      <c r="C273" t="s">
        <v>803</v>
      </c>
      <c r="D273" t="s">
        <v>1132</v>
      </c>
      <c r="E273" t="s">
        <v>1132</v>
      </c>
      <c r="M273" t="s">
        <v>858</v>
      </c>
      <c r="N273" t="s">
        <v>857</v>
      </c>
    </row>
    <row r="274" spans="2:14">
      <c r="B274" t="s">
        <v>806</v>
      </c>
      <c r="C274" t="s">
        <v>805</v>
      </c>
      <c r="D274" t="s">
        <v>1132</v>
      </c>
      <c r="E274" t="s">
        <v>1132</v>
      </c>
      <c r="M274" t="s">
        <v>860</v>
      </c>
      <c r="N274" t="s">
        <v>859</v>
      </c>
    </row>
    <row r="275" spans="2:14">
      <c r="B275" t="s">
        <v>808</v>
      </c>
      <c r="C275" t="s">
        <v>807</v>
      </c>
      <c r="D275" t="s">
        <v>1132</v>
      </c>
      <c r="E275" t="s">
        <v>1132</v>
      </c>
      <c r="M275" t="s">
        <v>864</v>
      </c>
      <c r="N275" t="s">
        <v>863</v>
      </c>
    </row>
    <row r="276" spans="2:14">
      <c r="B276" t="s">
        <v>902</v>
      </c>
      <c r="C276" t="s">
        <v>901</v>
      </c>
      <c r="D276" t="s">
        <v>1132</v>
      </c>
      <c r="E276" t="s">
        <v>1132</v>
      </c>
      <c r="M276" t="s">
        <v>866</v>
      </c>
      <c r="N276" t="s">
        <v>865</v>
      </c>
    </row>
    <row r="277" spans="2:14">
      <c r="B277" t="s">
        <v>810</v>
      </c>
      <c r="C277" t="s">
        <v>809</v>
      </c>
      <c r="D277" t="s">
        <v>1132</v>
      </c>
      <c r="E277" t="s">
        <v>1132</v>
      </c>
      <c r="M277" t="s">
        <v>868</v>
      </c>
      <c r="N277" t="s">
        <v>867</v>
      </c>
    </row>
    <row r="278" spans="2:14">
      <c r="B278" t="s">
        <v>812</v>
      </c>
      <c r="C278" t="s">
        <v>811</v>
      </c>
      <c r="D278" t="s">
        <v>1132</v>
      </c>
      <c r="E278" t="s">
        <v>1132</v>
      </c>
      <c r="M278" t="s">
        <v>870</v>
      </c>
      <c r="N278" s="8" t="s">
        <v>869</v>
      </c>
    </row>
    <row r="279" spans="2:14">
      <c r="B279" t="s">
        <v>814</v>
      </c>
      <c r="C279" t="s">
        <v>813</v>
      </c>
      <c r="D279" t="s">
        <v>1132</v>
      </c>
      <c r="E279" t="s">
        <v>1132</v>
      </c>
      <c r="M279" t="s">
        <v>1021</v>
      </c>
      <c r="N279" t="s">
        <v>1020</v>
      </c>
    </row>
    <row r="280" spans="2:14">
      <c r="B280" t="s">
        <v>816</v>
      </c>
      <c r="C280" t="s">
        <v>815</v>
      </c>
      <c r="D280" t="s">
        <v>1132</v>
      </c>
      <c r="E280" t="s">
        <v>1132</v>
      </c>
      <c r="M280" t="s">
        <v>872</v>
      </c>
      <c r="N280" t="s">
        <v>871</v>
      </c>
    </row>
    <row r="281" spans="2:14">
      <c r="B281" t="s">
        <v>818</v>
      </c>
      <c r="C281" t="s">
        <v>817</v>
      </c>
      <c r="D281" t="s">
        <v>1132</v>
      </c>
      <c r="E281" t="s">
        <v>1132</v>
      </c>
      <c r="M281" t="s">
        <v>874</v>
      </c>
      <c r="N281" t="s">
        <v>873</v>
      </c>
    </row>
    <row r="282" spans="2:14">
      <c r="B282" t="s">
        <v>820</v>
      </c>
      <c r="C282" t="s">
        <v>819</v>
      </c>
      <c r="D282" t="s">
        <v>1132</v>
      </c>
      <c r="E282" t="s">
        <v>1132</v>
      </c>
      <c r="M282" t="s">
        <v>1031</v>
      </c>
      <c r="N282" t="s">
        <v>1014</v>
      </c>
    </row>
    <row r="283" spans="2:14">
      <c r="B283" t="s">
        <v>822</v>
      </c>
      <c r="C283" t="s">
        <v>821</v>
      </c>
      <c r="D283" t="s">
        <v>1132</v>
      </c>
      <c r="E283" t="s">
        <v>1132</v>
      </c>
      <c r="M283" t="s">
        <v>878</v>
      </c>
      <c r="N283" t="s">
        <v>877</v>
      </c>
    </row>
    <row r="284" spans="2:14">
      <c r="B284" t="s">
        <v>824</v>
      </c>
      <c r="C284" t="s">
        <v>823</v>
      </c>
      <c r="D284" t="s">
        <v>1132</v>
      </c>
      <c r="E284" t="s">
        <v>1132</v>
      </c>
      <c r="M284" t="s">
        <v>880</v>
      </c>
      <c r="N284" t="s">
        <v>879</v>
      </c>
    </row>
    <row r="285" spans="2:14">
      <c r="B285" t="s">
        <v>826</v>
      </c>
      <c r="C285" t="s">
        <v>825</v>
      </c>
      <c r="D285" t="s">
        <v>1132</v>
      </c>
      <c r="E285" t="s">
        <v>1132</v>
      </c>
      <c r="M285" t="s">
        <v>882</v>
      </c>
      <c r="N285" t="s">
        <v>881</v>
      </c>
    </row>
    <row r="286" spans="2:14">
      <c r="B286" t="s">
        <v>828</v>
      </c>
      <c r="C286" t="s">
        <v>827</v>
      </c>
      <c r="D286" t="s">
        <v>1132</v>
      </c>
      <c r="E286" t="s">
        <v>1132</v>
      </c>
      <c r="M286" t="s">
        <v>884</v>
      </c>
      <c r="N286" t="s">
        <v>883</v>
      </c>
    </row>
    <row r="287" spans="2:14">
      <c r="B287" s="75" t="s">
        <v>830</v>
      </c>
      <c r="C287" s="75" t="s">
        <v>829</v>
      </c>
      <c r="D287" t="s">
        <v>1133</v>
      </c>
      <c r="E287" t="s">
        <v>1133</v>
      </c>
      <c r="M287" t="s">
        <v>886</v>
      </c>
      <c r="N287" t="s">
        <v>885</v>
      </c>
    </row>
    <row r="288" spans="2:14">
      <c r="B288" s="75" t="s">
        <v>832</v>
      </c>
      <c r="C288" s="75" t="s">
        <v>831</v>
      </c>
      <c r="D288" t="s">
        <v>1133</v>
      </c>
      <c r="E288" t="s">
        <v>1133</v>
      </c>
      <c r="M288" t="s">
        <v>890</v>
      </c>
      <c r="N288" t="s">
        <v>889</v>
      </c>
    </row>
    <row r="289" spans="2:14">
      <c r="B289" t="s">
        <v>834</v>
      </c>
      <c r="C289" t="s">
        <v>833</v>
      </c>
      <c r="D289" t="s">
        <v>1132</v>
      </c>
      <c r="E289" t="s">
        <v>1132</v>
      </c>
      <c r="M289" t="s">
        <v>994</v>
      </c>
      <c r="N289" t="s">
        <v>993</v>
      </c>
    </row>
    <row r="290" spans="2:14">
      <c r="B290" t="s">
        <v>312</v>
      </c>
      <c r="C290" t="s">
        <v>311</v>
      </c>
      <c r="D290" t="s">
        <v>1132</v>
      </c>
      <c r="E290" t="s">
        <v>1132</v>
      </c>
      <c r="M290" t="s">
        <v>892</v>
      </c>
      <c r="N290" t="s">
        <v>891</v>
      </c>
    </row>
    <row r="291" spans="2:14">
      <c r="B291" t="s">
        <v>836</v>
      </c>
      <c r="C291" t="s">
        <v>835</v>
      </c>
      <c r="D291" t="s">
        <v>1132</v>
      </c>
      <c r="E291" t="s">
        <v>1132</v>
      </c>
      <c r="M291" t="s">
        <v>894</v>
      </c>
      <c r="N291" t="s">
        <v>893</v>
      </c>
    </row>
    <row r="292" spans="2:14">
      <c r="B292" t="s">
        <v>838</v>
      </c>
      <c r="C292" t="s">
        <v>837</v>
      </c>
      <c r="D292" t="s">
        <v>1132</v>
      </c>
      <c r="E292" t="s">
        <v>1132</v>
      </c>
      <c r="M292" t="s">
        <v>896</v>
      </c>
      <c r="N292" t="s">
        <v>895</v>
      </c>
    </row>
    <row r="293" spans="2:14">
      <c r="B293" t="s">
        <v>840</v>
      </c>
      <c r="C293" t="s">
        <v>839</v>
      </c>
      <c r="D293" t="s">
        <v>1132</v>
      </c>
      <c r="E293" t="s">
        <v>1132</v>
      </c>
    </row>
    <row r="294" spans="2:14">
      <c r="B294" t="s">
        <v>842</v>
      </c>
      <c r="C294" t="s">
        <v>841</v>
      </c>
      <c r="D294" t="s">
        <v>1132</v>
      </c>
      <c r="E294" t="s">
        <v>1132</v>
      </c>
    </row>
    <row r="295" spans="2:14">
      <c r="B295" t="s">
        <v>844</v>
      </c>
      <c r="C295" t="s">
        <v>843</v>
      </c>
      <c r="D295" t="s">
        <v>1132</v>
      </c>
      <c r="E295" t="s">
        <v>1132</v>
      </c>
    </row>
    <row r="296" spans="2:14">
      <c r="B296" t="s">
        <v>1019</v>
      </c>
      <c r="C296" t="s">
        <v>932</v>
      </c>
      <c r="D296" t="s">
        <v>1132</v>
      </c>
      <c r="E296" t="s">
        <v>1132</v>
      </c>
    </row>
    <row r="297" spans="2:14">
      <c r="B297" s="75" t="s">
        <v>846</v>
      </c>
      <c r="C297" s="75" t="s">
        <v>845</v>
      </c>
      <c r="D297" t="s">
        <v>1133</v>
      </c>
      <c r="E297" t="s">
        <v>1133</v>
      </c>
    </row>
    <row r="298" spans="2:14">
      <c r="B298" t="s">
        <v>848</v>
      </c>
      <c r="C298" t="s">
        <v>847</v>
      </c>
      <c r="D298" t="s">
        <v>1132</v>
      </c>
      <c r="E298" t="s">
        <v>1132</v>
      </c>
    </row>
    <row r="299" spans="2:14">
      <c r="B299" s="75" t="s">
        <v>850</v>
      </c>
      <c r="C299" s="75" t="s">
        <v>849</v>
      </c>
      <c r="D299" t="s">
        <v>1133</v>
      </c>
      <c r="E299" t="s">
        <v>1133</v>
      </c>
    </row>
    <row r="300" spans="2:14">
      <c r="B300" t="s">
        <v>852</v>
      </c>
      <c r="C300" t="s">
        <v>851</v>
      </c>
      <c r="D300" t="s">
        <v>1132</v>
      </c>
      <c r="E300" t="s">
        <v>1132</v>
      </c>
    </row>
    <row r="301" spans="2:14">
      <c r="B301" t="s">
        <v>854</v>
      </c>
      <c r="C301" t="s">
        <v>853</v>
      </c>
      <c r="D301" t="s">
        <v>1132</v>
      </c>
      <c r="E301" t="s">
        <v>1132</v>
      </c>
    </row>
    <row r="302" spans="2:14">
      <c r="B302" t="s">
        <v>856</v>
      </c>
      <c r="C302" s="8" t="s">
        <v>855</v>
      </c>
      <c r="D302" t="s">
        <v>1132</v>
      </c>
      <c r="E302" t="s">
        <v>1132</v>
      </c>
    </row>
    <row r="303" spans="2:14">
      <c r="B303" t="s">
        <v>858</v>
      </c>
      <c r="C303" t="s">
        <v>857</v>
      </c>
      <c r="D303" t="s">
        <v>1132</v>
      </c>
      <c r="E303" t="s">
        <v>1132</v>
      </c>
    </row>
    <row r="304" spans="2:14">
      <c r="B304" t="s">
        <v>860</v>
      </c>
      <c r="C304" t="s">
        <v>859</v>
      </c>
      <c r="D304" t="s">
        <v>1132</v>
      </c>
      <c r="E304" t="s">
        <v>1132</v>
      </c>
    </row>
    <row r="305" spans="2:5">
      <c r="B305" s="75" t="s">
        <v>862</v>
      </c>
      <c r="C305" s="75" t="s">
        <v>861</v>
      </c>
      <c r="D305" t="s">
        <v>1133</v>
      </c>
      <c r="E305" t="s">
        <v>1133</v>
      </c>
    </row>
    <row r="306" spans="2:5">
      <c r="B306" t="s">
        <v>864</v>
      </c>
      <c r="C306" t="s">
        <v>863</v>
      </c>
      <c r="D306" t="s">
        <v>1132</v>
      </c>
      <c r="E306" t="s">
        <v>1132</v>
      </c>
    </row>
    <row r="307" spans="2:5">
      <c r="B307" t="s">
        <v>866</v>
      </c>
      <c r="C307" t="s">
        <v>865</v>
      </c>
      <c r="D307" t="s">
        <v>1132</v>
      </c>
      <c r="E307" t="s">
        <v>1132</v>
      </c>
    </row>
    <row r="308" spans="2:5">
      <c r="B308" t="s">
        <v>868</v>
      </c>
      <c r="C308" t="s">
        <v>867</v>
      </c>
      <c r="D308" t="s">
        <v>1132</v>
      </c>
      <c r="E308" t="s">
        <v>1132</v>
      </c>
    </row>
    <row r="309" spans="2:5">
      <c r="B309" t="s">
        <v>870</v>
      </c>
      <c r="C309" s="8" t="s">
        <v>869</v>
      </c>
      <c r="D309" t="s">
        <v>1132</v>
      </c>
      <c r="E309" t="s">
        <v>1132</v>
      </c>
    </row>
    <row r="310" spans="2:5">
      <c r="B310" t="s">
        <v>1021</v>
      </c>
      <c r="C310" t="s">
        <v>1020</v>
      </c>
      <c r="D310" t="s">
        <v>1132</v>
      </c>
      <c r="E310" t="s">
        <v>1132</v>
      </c>
    </row>
    <row r="311" spans="2:5">
      <c r="B311" t="s">
        <v>872</v>
      </c>
      <c r="C311" t="s">
        <v>871</v>
      </c>
      <c r="D311" t="s">
        <v>1132</v>
      </c>
      <c r="E311" t="s">
        <v>1132</v>
      </c>
    </row>
    <row r="312" spans="2:5">
      <c r="B312" t="s">
        <v>874</v>
      </c>
      <c r="C312" t="s">
        <v>873</v>
      </c>
      <c r="D312" t="s">
        <v>1132</v>
      </c>
      <c r="E312" t="s">
        <v>1132</v>
      </c>
    </row>
    <row r="313" spans="2:5">
      <c r="B313" s="75" t="s">
        <v>876</v>
      </c>
      <c r="C313" s="75" t="s">
        <v>875</v>
      </c>
      <c r="D313" t="s">
        <v>1133</v>
      </c>
      <c r="E313" t="s">
        <v>1133</v>
      </c>
    </row>
    <row r="314" spans="2:5">
      <c r="B314" t="s">
        <v>1031</v>
      </c>
      <c r="C314" t="s">
        <v>1014</v>
      </c>
      <c r="D314" t="s">
        <v>1132</v>
      </c>
      <c r="E314" t="s">
        <v>1132</v>
      </c>
    </row>
    <row r="315" spans="2:5">
      <c r="B315" t="s">
        <v>878</v>
      </c>
      <c r="C315" t="s">
        <v>877</v>
      </c>
      <c r="D315" t="s">
        <v>1132</v>
      </c>
      <c r="E315" t="s">
        <v>1132</v>
      </c>
    </row>
    <row r="316" spans="2:5">
      <c r="B316" t="s">
        <v>880</v>
      </c>
      <c r="C316" t="s">
        <v>879</v>
      </c>
      <c r="D316" t="s">
        <v>1132</v>
      </c>
      <c r="E316" t="s">
        <v>1132</v>
      </c>
    </row>
    <row r="317" spans="2:5">
      <c r="B317" t="s">
        <v>882</v>
      </c>
      <c r="C317" t="s">
        <v>881</v>
      </c>
      <c r="D317" t="s">
        <v>1132</v>
      </c>
      <c r="E317" t="s">
        <v>1132</v>
      </c>
    </row>
    <row r="318" spans="2:5">
      <c r="B318" t="s">
        <v>884</v>
      </c>
      <c r="C318" t="s">
        <v>883</v>
      </c>
      <c r="D318" t="s">
        <v>1132</v>
      </c>
      <c r="E318" t="s">
        <v>1132</v>
      </c>
    </row>
    <row r="319" spans="2:5">
      <c r="B319" t="s">
        <v>886</v>
      </c>
      <c r="C319" t="s">
        <v>885</v>
      </c>
      <c r="D319" t="s">
        <v>1132</v>
      </c>
      <c r="E319" t="s">
        <v>1132</v>
      </c>
    </row>
    <row r="320" spans="2:5">
      <c r="B320" s="75" t="s">
        <v>888</v>
      </c>
      <c r="C320" s="75" t="s">
        <v>887</v>
      </c>
      <c r="D320" t="s">
        <v>1133</v>
      </c>
      <c r="E320" t="s">
        <v>1133</v>
      </c>
    </row>
    <row r="321" spans="2:5">
      <c r="B321" t="s">
        <v>890</v>
      </c>
      <c r="C321" t="s">
        <v>889</v>
      </c>
      <c r="D321" t="s">
        <v>1132</v>
      </c>
      <c r="E321" t="s">
        <v>1132</v>
      </c>
    </row>
    <row r="322" spans="2:5">
      <c r="B322" t="s">
        <v>994</v>
      </c>
      <c r="C322" t="s">
        <v>993</v>
      </c>
      <c r="D322" t="s">
        <v>1132</v>
      </c>
      <c r="E322" t="s">
        <v>1132</v>
      </c>
    </row>
    <row r="323" spans="2:5">
      <c r="B323" t="s">
        <v>892</v>
      </c>
      <c r="C323" t="s">
        <v>891</v>
      </c>
      <c r="D323" t="s">
        <v>1132</v>
      </c>
      <c r="E323" t="s">
        <v>1132</v>
      </c>
    </row>
    <row r="324" spans="2:5">
      <c r="B324" t="s">
        <v>894</v>
      </c>
      <c r="C324" t="s">
        <v>893</v>
      </c>
      <c r="D324" t="s">
        <v>1132</v>
      </c>
      <c r="E324" t="s">
        <v>1132</v>
      </c>
    </row>
    <row r="325" spans="2:5">
      <c r="B325" t="s">
        <v>896</v>
      </c>
      <c r="C325" t="s">
        <v>895</v>
      </c>
      <c r="D325" t="s">
        <v>1132</v>
      </c>
      <c r="E325" t="s">
        <v>1132</v>
      </c>
    </row>
  </sheetData>
  <autoFilter ref="B3:E3" xr:uid="{AA9576FB-4109-4835-A98A-6860408A0A01}">
    <sortState xmlns:xlrd2="http://schemas.microsoft.com/office/spreadsheetml/2017/richdata2" ref="B4:E324">
      <sortCondition ref="B3"/>
    </sortState>
  </autoFilter>
  <sortState xmlns:xlrd2="http://schemas.microsoft.com/office/spreadsheetml/2017/richdata2" ref="M4:N292">
    <sortCondition descending="1" sortBy="fontColor" ref="M4:M292" dxfId="0"/>
  </sortState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B257-9C68-48D2-8976-DB8F9364EC13}">
  <sheetPr>
    <pageSetUpPr fitToPage="1"/>
  </sheetPr>
  <dimension ref="A1:J57"/>
  <sheetViews>
    <sheetView topLeftCell="B1" zoomScaleNormal="100" workbookViewId="0">
      <selection activeCell="B4" sqref="B4"/>
    </sheetView>
  </sheetViews>
  <sheetFormatPr defaultRowHeight="15"/>
  <cols>
    <col min="1" max="1" width="4.85546875" style="187" customWidth="1"/>
    <col min="2" max="2" width="106" customWidth="1"/>
    <col min="3" max="3" width="22.42578125" customWidth="1"/>
    <col min="4" max="4" width="36.42578125" customWidth="1"/>
    <col min="5" max="5" width="59.7109375" customWidth="1"/>
    <col min="6" max="6" width="12" bestFit="1" customWidth="1"/>
    <col min="7" max="7" width="12" customWidth="1"/>
    <col min="8" max="8" width="14.140625" customWidth="1"/>
    <col min="9" max="9" width="10.140625" bestFit="1" customWidth="1"/>
    <col min="10" max="10" width="9.140625" bestFit="1" customWidth="1"/>
  </cols>
  <sheetData>
    <row r="1" spans="1:9" ht="21">
      <c r="B1" s="221" t="s">
        <v>1672</v>
      </c>
      <c r="C1" s="221"/>
      <c r="D1" s="221"/>
      <c r="E1" s="221"/>
    </row>
    <row r="3" spans="1:9">
      <c r="C3" s="119"/>
      <c r="D3" s="119"/>
    </row>
    <row r="4" spans="1:9" ht="22.5" customHeight="1">
      <c r="A4" s="188" t="str">
        <f>VLOOKUP(B4,CCDDD!$B$4:$C$325,2,FALSE)</f>
        <v>14005</v>
      </c>
      <c r="B4" s="172" t="s">
        <v>316</v>
      </c>
      <c r="C4" s="105" t="s">
        <v>1151</v>
      </c>
      <c r="D4" s="106"/>
    </row>
    <row r="7" spans="1:9" ht="12" customHeight="1">
      <c r="B7" s="128"/>
      <c r="C7" s="168"/>
      <c r="D7" s="168"/>
      <c r="E7" s="168"/>
      <c r="H7" s="128"/>
    </row>
    <row r="8" spans="1:9" ht="21" customHeight="1">
      <c r="A8" s="180" t="s">
        <v>1536</v>
      </c>
      <c r="B8" s="220" t="s">
        <v>1537</v>
      </c>
      <c r="C8" s="220"/>
      <c r="D8" s="220"/>
      <c r="E8" s="220"/>
      <c r="F8" s="167"/>
      <c r="G8" s="165"/>
      <c r="H8" s="165"/>
      <c r="I8" s="165"/>
    </row>
    <row r="9" spans="1:9" s="177" customFormat="1" ht="13.5" thickBot="1">
      <c r="A9" s="189"/>
      <c r="B9" s="178" t="s">
        <v>1519</v>
      </c>
      <c r="C9" s="178" t="s">
        <v>1497</v>
      </c>
      <c r="D9" s="178" t="s">
        <v>1501</v>
      </c>
      <c r="E9" s="178" t="s">
        <v>1496</v>
      </c>
      <c r="H9" s="179"/>
    </row>
    <row r="10" spans="1:9">
      <c r="A10" s="187" t="s">
        <v>1481</v>
      </c>
      <c r="B10" s="122" t="s">
        <v>1488</v>
      </c>
      <c r="C10" s="199">
        <f>VLOOKUP($A$4,'Prior SpEd Rates and Enroll'!$A$3:$F$322,5,FALSE)</f>
        <v>8027.91</v>
      </c>
      <c r="D10" s="201"/>
      <c r="E10" s="174" t="s">
        <v>1502</v>
      </c>
      <c r="F10" s="169"/>
    </row>
    <row r="11" spans="1:9">
      <c r="A11" s="187" t="s">
        <v>1482</v>
      </c>
      <c r="B11" s="121" t="s">
        <v>1489</v>
      </c>
      <c r="C11" s="200">
        <f>VLOOKUP($A$4,'Prior SpEd Rates and Enroll'!$A$3:$F$322,3,FALSE)</f>
        <v>9193.34</v>
      </c>
      <c r="D11" s="202"/>
      <c r="E11" s="175" t="s">
        <v>1503</v>
      </c>
      <c r="F11" s="169"/>
    </row>
    <row r="12" spans="1:9">
      <c r="A12" s="187" t="s">
        <v>1483</v>
      </c>
      <c r="B12" s="121" t="s">
        <v>1490</v>
      </c>
      <c r="C12" s="217">
        <f>IF($B$4="ESA 112",'ESA Calculations 2324 Supp'!$AF$34,IF($B$4='District Calculations'!$B$2,'District Calculations'!D43,"select district on District Calculations sheet"))</f>
        <v>9483.1</v>
      </c>
      <c r="D12" s="202"/>
      <c r="E12" s="218" t="s">
        <v>1499</v>
      </c>
      <c r="F12" s="169"/>
      <c r="G12" s="170"/>
    </row>
    <row r="13" spans="1:9">
      <c r="A13" s="187" t="s">
        <v>1484</v>
      </c>
      <c r="B13" s="121" t="s">
        <v>1492</v>
      </c>
      <c r="C13" s="210" t="s">
        <v>1500</v>
      </c>
      <c r="D13" s="205"/>
      <c r="E13" s="206"/>
      <c r="F13" s="171"/>
      <c r="G13" s="171"/>
    </row>
    <row r="14" spans="1:9">
      <c r="A14" s="187" t="s">
        <v>1485</v>
      </c>
      <c r="B14" s="121" t="s">
        <v>1493</v>
      </c>
      <c r="C14" s="217">
        <f>IF($B$4="ESA 112",'ESA Calculations 2425'!$AF$37,IF($B$4='District Calculations'!$B$2,'District Calculations'!$F$43,"select district on District Calculations sheet"))</f>
        <v>9959.739999999998</v>
      </c>
      <c r="D14" s="202"/>
      <c r="E14" s="218" t="s">
        <v>1499</v>
      </c>
      <c r="F14" s="169"/>
    </row>
    <row r="15" spans="1:9">
      <c r="A15" s="187" t="s">
        <v>1486</v>
      </c>
      <c r="B15" s="123" t="s">
        <v>1494</v>
      </c>
      <c r="C15" s="210" t="s">
        <v>1500</v>
      </c>
      <c r="D15" s="205"/>
      <c r="E15" s="206"/>
      <c r="F15" s="169"/>
    </row>
    <row r="16" spans="1:9" ht="15.75" thickBot="1">
      <c r="A16" s="187" t="s">
        <v>1487</v>
      </c>
      <c r="B16" s="120" t="s">
        <v>1498</v>
      </c>
      <c r="C16" s="211" t="s">
        <v>1500</v>
      </c>
      <c r="D16" s="208"/>
      <c r="E16" s="209"/>
      <c r="F16" s="169"/>
    </row>
    <row r="17" spans="1:10">
      <c r="F17" s="124"/>
      <c r="G17" s="124"/>
    </row>
    <row r="18" spans="1:10" ht="24" customHeight="1">
      <c r="A18" s="180" t="s">
        <v>1535</v>
      </c>
      <c r="B18" s="220" t="s">
        <v>1495</v>
      </c>
      <c r="C18" s="220"/>
      <c r="D18" s="220"/>
      <c r="E18" s="220"/>
      <c r="F18" s="165"/>
      <c r="G18" s="165"/>
      <c r="H18" s="165"/>
      <c r="I18" s="165"/>
      <c r="J18" s="165"/>
    </row>
    <row r="19" spans="1:10" s="177" customFormat="1" ht="13.5" thickBot="1">
      <c r="A19" s="189"/>
      <c r="B19" s="178" t="s">
        <v>1519</v>
      </c>
      <c r="C19" s="178" t="s">
        <v>1497</v>
      </c>
      <c r="D19" s="178" t="s">
        <v>1501</v>
      </c>
      <c r="E19" s="178" t="s">
        <v>1496</v>
      </c>
      <c r="G19" s="179"/>
    </row>
    <row r="20" spans="1:10">
      <c r="A20" s="187" t="s">
        <v>1504</v>
      </c>
      <c r="B20" s="122" t="s">
        <v>1508</v>
      </c>
      <c r="C20" s="197">
        <f>VLOOKUP($A$4,'Prior SpEd Rates and Enroll'!$A$3:$F$322,6,FALSE)</f>
        <v>606.33000000000004</v>
      </c>
      <c r="D20" s="203"/>
      <c r="E20" s="174" t="s">
        <v>1509</v>
      </c>
      <c r="F20" s="176"/>
    </row>
    <row r="21" spans="1:10">
      <c r="A21" s="187" t="s">
        <v>1511</v>
      </c>
      <c r="B21" s="121" t="s">
        <v>1522</v>
      </c>
      <c r="C21" s="181">
        <f>VLOOKUP(A4,'S275 detail'!$A:$K,4,FALSE)</f>
        <v>87</v>
      </c>
      <c r="D21" s="190"/>
      <c r="E21" s="175" t="s">
        <v>1549</v>
      </c>
      <c r="F21" s="176"/>
    </row>
    <row r="22" spans="1:10">
      <c r="A22" s="187" t="s">
        <v>1512</v>
      </c>
      <c r="B22" s="121" t="s">
        <v>1521</v>
      </c>
      <c r="C22" s="182">
        <f>VLOOKUP(A4,'S275 detail'!$A:$K,5,FALSE)</f>
        <v>43</v>
      </c>
      <c r="D22" s="190"/>
      <c r="E22" s="175" t="s">
        <v>1551</v>
      </c>
      <c r="F22" s="176"/>
    </row>
    <row r="23" spans="1:10">
      <c r="A23" s="187" t="s">
        <v>1505</v>
      </c>
      <c r="B23" s="121" t="s">
        <v>1520</v>
      </c>
      <c r="C23" s="198">
        <f>VLOOKUP($A$4,'Prior SpEd Rates and Enroll'!$A$3:$F$322,4,FALSE)</f>
        <v>614.78</v>
      </c>
      <c r="D23" s="204"/>
      <c r="E23" s="175" t="s">
        <v>1510</v>
      </c>
      <c r="F23" s="176"/>
    </row>
    <row r="24" spans="1:10">
      <c r="A24" s="187" t="s">
        <v>1513</v>
      </c>
      <c r="B24" s="121" t="s">
        <v>1523</v>
      </c>
      <c r="C24" s="182">
        <f>VLOOKUP(A4,'S275 detail'!$A:$K,7,FALSE)</f>
        <v>53</v>
      </c>
      <c r="D24" s="190"/>
      <c r="E24" s="175" t="s">
        <v>1550</v>
      </c>
      <c r="F24" s="176"/>
    </row>
    <row r="25" spans="1:10">
      <c r="A25" s="187" t="s">
        <v>1514</v>
      </c>
      <c r="B25" s="121" t="s">
        <v>1524</v>
      </c>
      <c r="C25" s="182">
        <f>VLOOKUP(A4,'S275 detail'!$A:$K,8,FALSE)</f>
        <v>49</v>
      </c>
      <c r="D25" s="190"/>
      <c r="E25" s="175" t="s">
        <v>1552</v>
      </c>
      <c r="F25" s="176"/>
    </row>
    <row r="26" spans="1:10">
      <c r="A26" s="187" t="s">
        <v>1506</v>
      </c>
      <c r="B26" s="121" t="s">
        <v>1525</v>
      </c>
      <c r="C26" s="219">
        <f>IF($B$4="ESA 112",SUM('ESA Calculations 2324 Supp'!$S$34:$W$34),IF($B$4='District Calculations'!$B$2,SUM('District Calculations'!$D$27:$D$31),"select district on District Calculations sheet"))</f>
        <v>620.99</v>
      </c>
      <c r="D26" s="204"/>
      <c r="E26" s="218" t="s">
        <v>1499</v>
      </c>
      <c r="F26" s="176"/>
    </row>
    <row r="27" spans="1:10">
      <c r="A27" s="187" t="s">
        <v>1515</v>
      </c>
      <c r="B27" s="121" t="s">
        <v>1526</v>
      </c>
      <c r="C27" s="182">
        <f>VLOOKUP(A4,'S275 detail'!$A:$K,10,FALSE)</f>
        <v>54</v>
      </c>
      <c r="D27" s="190"/>
      <c r="E27" s="175" t="s">
        <v>1553</v>
      </c>
      <c r="F27" s="176"/>
    </row>
    <row r="28" spans="1:10">
      <c r="A28" s="187" t="s">
        <v>1516</v>
      </c>
      <c r="B28" s="121" t="s">
        <v>1527</v>
      </c>
      <c r="C28" s="182">
        <f>VLOOKUP(A4,'S275 detail'!$A:$K,11,FALSE)</f>
        <v>50</v>
      </c>
      <c r="D28" s="190"/>
      <c r="E28" s="175" t="s">
        <v>1554</v>
      </c>
      <c r="F28" s="176"/>
    </row>
    <row r="29" spans="1:10">
      <c r="A29" s="187" t="s">
        <v>1507</v>
      </c>
      <c r="B29" s="121" t="s">
        <v>1528</v>
      </c>
      <c r="C29" s="219">
        <f>IF($B$4="ESA 112",SUM('ESA Calculations 2425'!$S$37:$W$37),IF($B$4='District Calculations'!$B$2,SUM('District Calculations'!$F$27:$F$31),"select district on District Calculations sheet"))</f>
        <v>620.99</v>
      </c>
      <c r="D29" s="204"/>
      <c r="E29" s="218" t="s">
        <v>1499</v>
      </c>
      <c r="F29" s="176"/>
    </row>
    <row r="30" spans="1:10">
      <c r="A30" s="187" t="s">
        <v>1517</v>
      </c>
      <c r="B30" s="121" t="s">
        <v>1529</v>
      </c>
      <c r="C30" s="210" t="s">
        <v>1531</v>
      </c>
      <c r="D30" s="190"/>
      <c r="E30" s="212" t="s">
        <v>1532</v>
      </c>
      <c r="F30" s="176"/>
    </row>
    <row r="31" spans="1:10" ht="15.75" thickBot="1">
      <c r="A31" s="187" t="s">
        <v>1518</v>
      </c>
      <c r="B31" s="120" t="s">
        <v>1530</v>
      </c>
      <c r="C31" s="211" t="s">
        <v>1531</v>
      </c>
      <c r="D31" s="191"/>
      <c r="E31" s="213" t="s">
        <v>1532</v>
      </c>
      <c r="F31" s="176"/>
    </row>
    <row r="32" spans="1:10">
      <c r="F32" s="98"/>
      <c r="G32" s="98"/>
      <c r="H32" s="98"/>
    </row>
    <row r="33" spans="1:10">
      <c r="F33" s="124"/>
      <c r="G33" s="124"/>
    </row>
    <row r="34" spans="1:10" ht="24" customHeight="1">
      <c r="A34" s="180" t="s">
        <v>1534</v>
      </c>
      <c r="B34" s="220" t="s">
        <v>1533</v>
      </c>
      <c r="C34" s="220"/>
      <c r="D34" s="220"/>
      <c r="E34" s="220"/>
      <c r="F34" s="165"/>
      <c r="G34" s="165"/>
      <c r="H34" s="165"/>
      <c r="I34" s="165"/>
      <c r="J34" s="165"/>
    </row>
    <row r="35" spans="1:10" s="177" customFormat="1" ht="13.5" thickBot="1">
      <c r="A35" s="189"/>
      <c r="B35" s="178" t="s">
        <v>1519</v>
      </c>
      <c r="C35" s="178" t="s">
        <v>1497</v>
      </c>
      <c r="D35" s="178" t="s">
        <v>1501</v>
      </c>
      <c r="E35" s="178" t="s">
        <v>1496</v>
      </c>
      <c r="G35" s="179"/>
    </row>
    <row r="36" spans="1:10">
      <c r="A36" s="187" t="s">
        <v>1538</v>
      </c>
      <c r="B36" s="122" t="s">
        <v>1567</v>
      </c>
      <c r="C36" s="183">
        <f>VLOOKUP(A4,'S275 detail'!$A:$K,3,FALSE)</f>
        <v>40636.907700000003</v>
      </c>
      <c r="D36" s="192"/>
      <c r="E36" s="174" t="s">
        <v>1558</v>
      </c>
    </row>
    <row r="37" spans="1:10">
      <c r="A37" s="187" t="s">
        <v>1539</v>
      </c>
      <c r="B37" s="121" t="s">
        <v>1544</v>
      </c>
      <c r="C37" s="184">
        <f>VLOOKUP(A4,'S275 detail'!$A:$K,6,FALSE)</f>
        <v>54649.686300000001</v>
      </c>
      <c r="D37" s="193"/>
      <c r="E37" s="175" t="s">
        <v>1559</v>
      </c>
    </row>
    <row r="38" spans="1:10">
      <c r="A38" s="187" t="s">
        <v>1540</v>
      </c>
      <c r="B38" s="121" t="s">
        <v>1547</v>
      </c>
      <c r="C38" s="184">
        <f>VLOOKUP(A4,'S275 detail'!$A:$K,9,FALSE)</f>
        <v>65774.538499999995</v>
      </c>
      <c r="D38" s="193"/>
      <c r="E38" s="175" t="s">
        <v>1560</v>
      </c>
    </row>
    <row r="39" spans="1:10">
      <c r="A39" s="187" t="s">
        <v>1541</v>
      </c>
      <c r="B39" s="121" t="s">
        <v>1555</v>
      </c>
      <c r="C39" s="210" t="s">
        <v>1531</v>
      </c>
      <c r="D39" s="194"/>
      <c r="E39" s="212" t="s">
        <v>1557</v>
      </c>
    </row>
    <row r="40" spans="1:10">
      <c r="A40" s="187" t="s">
        <v>1542</v>
      </c>
      <c r="B40" s="121" t="s">
        <v>1548</v>
      </c>
      <c r="C40" s="210" t="s">
        <v>1531</v>
      </c>
      <c r="D40" s="193"/>
      <c r="E40" s="212" t="s">
        <v>1532</v>
      </c>
    </row>
    <row r="41" spans="1:10" ht="15.75" thickBot="1">
      <c r="A41" s="187" t="s">
        <v>1543</v>
      </c>
      <c r="B41" s="120" t="s">
        <v>1556</v>
      </c>
      <c r="C41" s="211" t="s">
        <v>1531</v>
      </c>
      <c r="D41" s="195"/>
      <c r="E41" s="213" t="s">
        <v>1532</v>
      </c>
    </row>
    <row r="42" spans="1:10">
      <c r="F42" s="124"/>
      <c r="G42" s="124"/>
    </row>
    <row r="43" spans="1:10" ht="24" customHeight="1">
      <c r="A43" s="180" t="s">
        <v>1545</v>
      </c>
      <c r="B43" s="220" t="s">
        <v>1546</v>
      </c>
      <c r="C43" s="220"/>
      <c r="D43" s="220"/>
      <c r="E43" s="220"/>
      <c r="F43" s="165"/>
      <c r="G43" s="165"/>
      <c r="H43" s="165"/>
      <c r="I43" s="165"/>
      <c r="J43" s="165"/>
    </row>
    <row r="44" spans="1:10" s="177" customFormat="1" ht="13.5" thickBot="1">
      <c r="A44" s="189"/>
      <c r="B44" s="178" t="s">
        <v>1519</v>
      </c>
      <c r="C44" s="178" t="s">
        <v>1497</v>
      </c>
      <c r="D44" s="178" t="s">
        <v>1501</v>
      </c>
      <c r="E44" s="178" t="s">
        <v>1496</v>
      </c>
    </row>
    <row r="45" spans="1:10" ht="15.75" thickBot="1">
      <c r="A45" s="187" t="s">
        <v>1561</v>
      </c>
      <c r="B45" s="122" t="s">
        <v>1569</v>
      </c>
      <c r="C45" s="183">
        <f>VLOOKUP($A$4,Prog21Data,'F196&amp;F195 Program 21'!D$2)+VLOOKUP($A$4,Prog21Data,'F196&amp;F195 Program 21'!E$2)+VLOOKUP($A$4,Prog21Data,'F196&amp;F195 Program 21'!F$2)</f>
        <v>36092.620000000003</v>
      </c>
      <c r="D45" s="192"/>
      <c r="E45" s="185" t="s">
        <v>1574</v>
      </c>
    </row>
    <row r="46" spans="1:10">
      <c r="A46" s="187" t="s">
        <v>1562</v>
      </c>
      <c r="B46" s="121" t="s">
        <v>1568</v>
      </c>
      <c r="C46" s="184">
        <f>VLOOKUP($A$4,Prog21Data,'F196&amp;F195 Program 21'!P$2)+VLOOKUP($A$4,Prog21Data,'F196&amp;F195 Program 21'!Q$2)+VLOOKUP($A$4,Prog21Data,'F196&amp;F195 Program 21'!R$2)</f>
        <v>48813.45</v>
      </c>
      <c r="D46" s="192"/>
      <c r="E46" s="173" t="s">
        <v>1576</v>
      </c>
    </row>
    <row r="47" spans="1:10">
      <c r="A47" s="187" t="s">
        <v>1563</v>
      </c>
      <c r="B47" s="121" t="s">
        <v>1570</v>
      </c>
      <c r="C47" s="184">
        <f>VLOOKUP($A$4,Prog21Data,'F196&amp;F195 Program 21'!T$2)+VLOOKUP($A$4,Prog21Data,'F196&amp;F195 Program 21'!U$2)+VLOOKUP($A$4,Prog21Data,'F196&amp;F195 Program 21'!V$2)</f>
        <v>65837</v>
      </c>
      <c r="D47" s="193"/>
      <c r="E47" s="186" t="s">
        <v>1575</v>
      </c>
    </row>
    <row r="48" spans="1:10">
      <c r="A48" s="187" t="s">
        <v>1564</v>
      </c>
      <c r="B48" s="121" t="s">
        <v>1571</v>
      </c>
      <c r="C48" s="210" t="s">
        <v>1500</v>
      </c>
      <c r="D48" s="205"/>
      <c r="E48" s="206"/>
    </row>
    <row r="49" spans="1:10">
      <c r="A49" s="187" t="s">
        <v>1565</v>
      </c>
      <c r="B49" s="121" t="s">
        <v>1572</v>
      </c>
      <c r="C49" s="210" t="s">
        <v>1531</v>
      </c>
      <c r="D49" s="193"/>
      <c r="E49" s="173" t="s">
        <v>1673</v>
      </c>
    </row>
    <row r="50" spans="1:10" ht="15.75" thickBot="1">
      <c r="A50" s="187" t="s">
        <v>1566</v>
      </c>
      <c r="B50" s="120" t="s">
        <v>1573</v>
      </c>
      <c r="C50" s="211" t="s">
        <v>1500</v>
      </c>
      <c r="D50" s="208"/>
      <c r="E50" s="209"/>
    </row>
    <row r="52" spans="1:10" ht="24" customHeight="1">
      <c r="A52" s="180" t="s">
        <v>1577</v>
      </c>
      <c r="B52" s="220" t="s">
        <v>1578</v>
      </c>
      <c r="C52" s="220"/>
      <c r="D52" s="220"/>
      <c r="E52" s="220"/>
      <c r="F52" s="165"/>
      <c r="G52" s="165"/>
      <c r="H52" s="165"/>
      <c r="I52" s="165"/>
      <c r="J52" s="165"/>
    </row>
    <row r="53" spans="1:10" s="177" customFormat="1" ht="13.5" thickBot="1">
      <c r="A53" s="189"/>
      <c r="B53" s="178" t="s">
        <v>1519</v>
      </c>
      <c r="C53" s="178" t="s">
        <v>1497</v>
      </c>
      <c r="D53" s="178" t="s">
        <v>1501</v>
      </c>
      <c r="E53" s="178" t="s">
        <v>1496</v>
      </c>
    </row>
    <row r="54" spans="1:10">
      <c r="A54" s="187" t="s">
        <v>1580</v>
      </c>
      <c r="B54" s="122" t="s">
        <v>1579</v>
      </c>
      <c r="C54" s="214" t="s">
        <v>1531</v>
      </c>
      <c r="D54" s="192"/>
      <c r="E54" s="215" t="s">
        <v>1674</v>
      </c>
    </row>
    <row r="55" spans="1:10">
      <c r="A55" s="187" t="s">
        <v>1581</v>
      </c>
      <c r="B55" s="121" t="s">
        <v>1584</v>
      </c>
      <c r="C55" s="210" t="s">
        <v>1500</v>
      </c>
      <c r="D55" s="207"/>
      <c r="E55" s="206"/>
    </row>
    <row r="56" spans="1:10">
      <c r="A56" s="187" t="s">
        <v>1582</v>
      </c>
      <c r="B56" s="121" t="s">
        <v>1585</v>
      </c>
      <c r="C56" s="210" t="s">
        <v>1531</v>
      </c>
      <c r="D56" s="193"/>
      <c r="E56" s="212" t="s">
        <v>1675</v>
      </c>
    </row>
    <row r="57" spans="1:10" ht="15.75" thickBot="1">
      <c r="A57" s="187" t="s">
        <v>1583</v>
      </c>
      <c r="B57" s="120" t="s">
        <v>1586</v>
      </c>
      <c r="C57" s="211" t="s">
        <v>1500</v>
      </c>
      <c r="D57" s="208"/>
      <c r="E57" s="209"/>
    </row>
  </sheetData>
  <mergeCells count="6">
    <mergeCell ref="B52:E52"/>
    <mergeCell ref="B1:E1"/>
    <mergeCell ref="B8:E8"/>
    <mergeCell ref="B18:E18"/>
    <mergeCell ref="B34:E34"/>
    <mergeCell ref="B43:E43"/>
  </mergeCells>
  <pageMargins left="0.25" right="0.25" top="0.75" bottom="0.75" header="0.3" footer="0.3"/>
  <pageSetup scale="5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0FC1C77-E23E-4B5E-A21F-991A85CFA617}">
          <x14:formula1>
            <xm:f>CCDDD!$M$4:$M$292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36D3E-D54D-48DD-AFB6-CD6EB40EBC05}">
  <sheetPr>
    <tabColor theme="7" tint="0.39997558519241921"/>
    <pageSetUpPr fitToPage="1"/>
  </sheetPr>
  <dimension ref="A1:F56"/>
  <sheetViews>
    <sheetView zoomScaleNormal="100" workbookViewId="0">
      <pane ySplit="9" topLeftCell="A10" activePane="bottomLeft" state="frozen"/>
      <selection sqref="A1:O1"/>
      <selection pane="bottomLeft" activeCell="B2" sqref="B2"/>
    </sheetView>
  </sheetViews>
  <sheetFormatPr defaultRowHeight="15"/>
  <cols>
    <col min="1" max="1" width="24.140625" customWidth="1"/>
    <col min="2" max="2" width="32" bestFit="1" customWidth="1"/>
    <col min="3" max="3" width="12.28515625" style="71" bestFit="1" customWidth="1"/>
    <col min="4" max="4" width="29.85546875" bestFit="1" customWidth="1"/>
    <col min="5" max="5" width="10.140625" bestFit="1" customWidth="1"/>
    <col min="6" max="6" width="30" customWidth="1"/>
  </cols>
  <sheetData>
    <row r="1" spans="1:6" ht="61.5" customHeight="1">
      <c r="A1" s="223" t="s">
        <v>1491</v>
      </c>
      <c r="B1" s="223"/>
      <c r="C1" s="223"/>
      <c r="D1" s="223"/>
      <c r="E1" s="223"/>
      <c r="F1" s="223"/>
    </row>
    <row r="2" spans="1:6" ht="23.25">
      <c r="A2" s="127" t="str">
        <f>VLOOKUP(B2,CCDDD!$B$4:$C$325,2,FALSE)</f>
        <v>14005</v>
      </c>
      <c r="B2" s="106" t="str">
        <f>'Funding Survey'!$B$4</f>
        <v>Aberdeen School District</v>
      </c>
      <c r="D2" s="105" t="s">
        <v>1470</v>
      </c>
    </row>
    <row r="3" spans="1:6" s="113" customFormat="1" ht="15.75">
      <c r="A3" s="109" t="s">
        <v>1144</v>
      </c>
      <c r="B3" s="110">
        <f>SUM(B45:B50)</f>
        <v>5532230.5100000007</v>
      </c>
      <c r="C3" s="111"/>
      <c r="D3" s="110">
        <f>SUM(D45:D50)</f>
        <v>5562884.4699999997</v>
      </c>
      <c r="E3" s="112"/>
      <c r="F3" s="110">
        <f>SUM(F45:F50)</f>
        <v>6180481.2599999998</v>
      </c>
    </row>
    <row r="4" spans="1:6" s="113" customFormat="1" ht="15.75">
      <c r="A4" s="109" t="s">
        <v>1145</v>
      </c>
      <c r="B4" s="114">
        <f>B56</f>
        <v>835085.1</v>
      </c>
      <c r="C4" s="111"/>
      <c r="D4" s="114">
        <f>D56</f>
        <v>839703.73</v>
      </c>
      <c r="E4" s="112"/>
      <c r="F4" s="114">
        <f>F56</f>
        <v>1293084.67</v>
      </c>
    </row>
    <row r="5" spans="1:6" s="113" customFormat="1" ht="16.5" thickBot="1">
      <c r="A5" s="109" t="s">
        <v>1146</v>
      </c>
      <c r="B5" s="115">
        <f>SUM(B3:B4)</f>
        <v>6367315.6100000003</v>
      </c>
      <c r="C5" s="111"/>
      <c r="D5" s="115">
        <f>SUM(D3:D4)</f>
        <v>6402588.1999999993</v>
      </c>
      <c r="E5" s="112"/>
      <c r="F5" s="115">
        <f>SUM(F3:F4)</f>
        <v>7473565.9299999997</v>
      </c>
    </row>
    <row r="6" spans="1:6" s="113" customFormat="1" ht="16.5" thickTop="1">
      <c r="A6" s="116"/>
      <c r="B6" s="117"/>
      <c r="C6" s="117"/>
    </row>
    <row r="7" spans="1:6" s="113" customFormat="1" ht="15.75">
      <c r="A7" s="109" t="s">
        <v>1149</v>
      </c>
      <c r="B7" s="117"/>
      <c r="C7" s="117"/>
      <c r="D7" s="118">
        <f>D5-B5</f>
        <v>35272.58999999892</v>
      </c>
    </row>
    <row r="8" spans="1:6" s="113" customFormat="1" ht="15.75">
      <c r="A8" s="109" t="s">
        <v>1150</v>
      </c>
      <c r="B8" s="117"/>
      <c r="C8" s="117"/>
      <c r="F8" s="118">
        <f>F5-D5</f>
        <v>1070977.7300000004</v>
      </c>
    </row>
    <row r="9" spans="1:6" ht="15.75" thickBot="1">
      <c r="A9" s="76" t="str">
        <f>IFERROR(VLOOKUP($A$2,CCDDD!$H$4:$H$33,1,FALSE),"No")</f>
        <v>No</v>
      </c>
      <c r="B9" t="s">
        <v>1122</v>
      </c>
      <c r="D9" t="s">
        <v>1173</v>
      </c>
      <c r="E9" s="76" t="str">
        <f>IFERROR(VLOOKUP($A$2,CCDDD!$K$4:$K$36,1,FALSE),"No")</f>
        <v>No</v>
      </c>
      <c r="F9" t="s">
        <v>1123</v>
      </c>
    </row>
    <row r="10" spans="1:6" ht="15.75" thickBot="1">
      <c r="A10" s="78" t="s">
        <v>1105</v>
      </c>
      <c r="B10" s="77">
        <f>VLOOKUP($A$2,'2324 Jun 24 Enroll'!$A$3:$AL$327,28,FALSE)</f>
        <v>17</v>
      </c>
      <c r="D10" s="77">
        <f>B10</f>
        <v>17</v>
      </c>
      <c r="F10" s="77">
        <f>D10</f>
        <v>17</v>
      </c>
    </row>
    <row r="11" spans="1:6" ht="30.75" thickBot="1">
      <c r="A11" s="78" t="s">
        <v>1095</v>
      </c>
      <c r="B11" s="77">
        <f>VLOOKUP($A$2,'2324 Jun 24 Enroll'!$A$3:$AL$327,MATCH($A11,'2324 Jun 24 Enroll'!$3:$3,0),FALSE)</f>
        <v>0</v>
      </c>
      <c r="D11" s="77">
        <f t="shared" ref="D11:D33" si="0">B11</f>
        <v>0</v>
      </c>
      <c r="F11" s="77">
        <f t="shared" ref="F11:F33" si="1">D11</f>
        <v>0</v>
      </c>
    </row>
    <row r="12" spans="1:6" ht="30.75" thickBot="1">
      <c r="A12" s="79" t="s">
        <v>297</v>
      </c>
      <c r="B12" s="77">
        <f>VLOOKUP($A$2,'2324 Jun 24 Enroll'!$A$3:$AL$327,MATCH($A12,'2324 Jun 24 Enroll'!$3:$3,0),FALSE)</f>
        <v>810.49</v>
      </c>
      <c r="D12" s="77">
        <f t="shared" si="0"/>
        <v>810.49</v>
      </c>
      <c r="F12" s="77">
        <f t="shared" si="1"/>
        <v>810.49</v>
      </c>
    </row>
    <row r="13" spans="1:6" ht="30.75" thickBot="1">
      <c r="A13" s="79" t="s">
        <v>301</v>
      </c>
      <c r="B13" s="77">
        <f>VLOOKUP($A$2,'2324 Jun 24 Enroll'!$A$3:$AL$327,MATCH($A13,'2324 Jun 24 Enroll'!$3:$3,0),FALSE)</f>
        <v>209.2</v>
      </c>
      <c r="D13" s="77">
        <f t="shared" si="0"/>
        <v>209.2</v>
      </c>
      <c r="F13" s="77">
        <f t="shared" si="1"/>
        <v>209.2</v>
      </c>
    </row>
    <row r="14" spans="1:6" ht="30.75" thickBot="1">
      <c r="A14" s="79" t="s">
        <v>298</v>
      </c>
      <c r="B14" s="77">
        <f>VLOOKUP($A$2,'2324 Jun 24 Enroll'!$A$3:$AL$327,MATCH($A14,'2324 Jun 24 Enroll'!$3:$3,0),FALSE)</f>
        <v>463.8</v>
      </c>
      <c r="D14" s="77">
        <f t="shared" si="0"/>
        <v>463.8</v>
      </c>
      <c r="F14" s="77">
        <f t="shared" si="1"/>
        <v>463.8</v>
      </c>
    </row>
    <row r="15" spans="1:6" ht="30.75" thickBot="1">
      <c r="A15" s="79" t="s">
        <v>295</v>
      </c>
      <c r="B15" s="77">
        <f>VLOOKUP($A$2,'2324 Jun 24 Enroll'!$A$3:$AL$327,MATCH($A15,'2324 Jun 24 Enroll'!$3:$3,0),FALSE)</f>
        <v>476.68</v>
      </c>
      <c r="D15" s="77">
        <f t="shared" si="0"/>
        <v>476.68</v>
      </c>
      <c r="F15" s="77">
        <f t="shared" si="1"/>
        <v>476.68</v>
      </c>
    </row>
    <row r="16" spans="1:6" ht="30.75" thickBot="1">
      <c r="A16" s="79" t="s">
        <v>299</v>
      </c>
      <c r="B16" s="77">
        <f>VLOOKUP($A$2,'2324 Jun 24 Enroll'!$A$3:$AL$327,MATCH($A16,'2324 Jun 24 Enroll'!$3:$3,0),FALSE)</f>
        <v>935.49</v>
      </c>
      <c r="D16" s="77">
        <f t="shared" si="0"/>
        <v>935.49</v>
      </c>
      <c r="F16" s="77">
        <f t="shared" si="1"/>
        <v>935.49</v>
      </c>
    </row>
    <row r="17" spans="1:6" ht="30.75" thickBot="1">
      <c r="A17" s="80" t="s">
        <v>300</v>
      </c>
      <c r="B17" s="82">
        <f>SUM(B12:B16)</f>
        <v>2895.66</v>
      </c>
      <c r="D17" s="82">
        <f>SUM(D12:D16)</f>
        <v>2895.66</v>
      </c>
      <c r="F17" s="82">
        <f>SUM(F12:F16)</f>
        <v>2895.66</v>
      </c>
    </row>
    <row r="18" spans="1:6" ht="30.75" thickBot="1">
      <c r="A18" s="79" t="s">
        <v>302</v>
      </c>
      <c r="B18" s="77">
        <f>VLOOKUP($A$2,'2324 Jun 24 Enroll'!$A$3:$AL$327,MATCH($A18,'2324 Jun 24 Enroll'!$3:$3,0),FALSE)</f>
        <v>94.47</v>
      </c>
      <c r="D18" s="77">
        <f t="shared" si="0"/>
        <v>94.47</v>
      </c>
      <c r="F18" s="77">
        <f t="shared" si="1"/>
        <v>94.47</v>
      </c>
    </row>
    <row r="19" spans="1:6" ht="30.75" thickBot="1">
      <c r="A19" s="79" t="s">
        <v>303</v>
      </c>
      <c r="B19" s="77">
        <f>VLOOKUP($A$2,'2324 Jun 24 Enroll'!$A$3:$AL$327,MATCH($A19,'2324 Jun 24 Enroll'!$3:$3,0),FALSE)</f>
        <v>9.8800000000000008</v>
      </c>
      <c r="D19" s="77">
        <f t="shared" si="0"/>
        <v>9.8800000000000008</v>
      </c>
      <c r="F19" s="77">
        <f t="shared" si="1"/>
        <v>9.8800000000000008</v>
      </c>
    </row>
    <row r="20" spans="1:6" ht="30.75" thickBot="1">
      <c r="A20" s="79" t="s">
        <v>304</v>
      </c>
      <c r="B20" s="77">
        <f>VLOOKUP($A$2,'2324 Jun 24 Enroll'!$A$3:$AL$327,MATCH($A20,'2324 Jun 24 Enroll'!$3:$3,0),FALSE)</f>
        <v>44.77</v>
      </c>
      <c r="D20" s="77">
        <f t="shared" si="0"/>
        <v>44.77</v>
      </c>
      <c r="F20" s="77">
        <f t="shared" si="1"/>
        <v>44.77</v>
      </c>
    </row>
    <row r="21" spans="1:6" ht="30.75" thickBot="1">
      <c r="A21" s="79" t="s">
        <v>305</v>
      </c>
      <c r="B21" s="77">
        <f>VLOOKUP($A$2,'2324 Jun 24 Enroll'!$A$3:$AL$327,MATCH($A21,'2324 Jun 24 Enroll'!$3:$3,0),FALSE)</f>
        <v>0</v>
      </c>
      <c r="D21" s="77">
        <f t="shared" si="0"/>
        <v>0</v>
      </c>
      <c r="F21" s="77">
        <f t="shared" si="1"/>
        <v>0</v>
      </c>
    </row>
    <row r="22" spans="1:6" ht="30.75" thickBot="1">
      <c r="A22" s="79" t="s">
        <v>306</v>
      </c>
      <c r="B22" s="77">
        <f>VLOOKUP($A$2,'2324 Jun 24 Enroll'!$A$3:$AL$327,MATCH($A22,'2324 Jun 24 Enroll'!$3:$3,0),FALSE)</f>
        <v>12.48</v>
      </c>
      <c r="D22" s="77">
        <f t="shared" si="0"/>
        <v>12.48</v>
      </c>
      <c r="F22" s="77">
        <f t="shared" si="1"/>
        <v>12.48</v>
      </c>
    </row>
    <row r="23" spans="1:6" ht="30.75" thickBot="1">
      <c r="A23" s="79" t="s">
        <v>307</v>
      </c>
      <c r="B23" s="77">
        <f>VLOOKUP($A$2,'2324 Jun 24 Enroll'!$A$3:$AL$327,MATCH($A23,'2324 Jun 24 Enroll'!$3:$3,0),FALSE)</f>
        <v>24.3</v>
      </c>
      <c r="D23" s="77">
        <f t="shared" si="0"/>
        <v>24.3</v>
      </c>
      <c r="F23" s="77">
        <f t="shared" si="1"/>
        <v>24.3</v>
      </c>
    </row>
    <row r="24" spans="1:6" ht="30.75" thickBot="1">
      <c r="A24" s="79" t="s">
        <v>308</v>
      </c>
      <c r="B24" s="77">
        <f>VLOOKUP($A$2,'2324 Jun 24 Enroll'!$A$3:$AL$327,MATCH($A24,'2324 Jun 24 Enroll'!$3:$3,0),FALSE)</f>
        <v>39.28</v>
      </c>
      <c r="D24" s="77">
        <f t="shared" si="0"/>
        <v>39.28</v>
      </c>
      <c r="E24" s="6"/>
      <c r="F24" s="77">
        <f t="shared" si="1"/>
        <v>39.28</v>
      </c>
    </row>
    <row r="25" spans="1:6" ht="15.75" thickBot="1">
      <c r="A25" s="80" t="s">
        <v>1121</v>
      </c>
      <c r="B25" s="82">
        <f>SUM(B17:B24)</f>
        <v>3120.84</v>
      </c>
      <c r="D25" s="82">
        <f>SUM(D17:D24)</f>
        <v>3120.84</v>
      </c>
      <c r="E25" s="6"/>
      <c r="F25" s="82">
        <f>SUM(F17:F24)</f>
        <v>3120.84</v>
      </c>
    </row>
    <row r="26" spans="1:6" ht="15.75" thickBot="1">
      <c r="D26" s="7"/>
      <c r="E26" s="7"/>
    </row>
    <row r="27" spans="1:6" ht="15.75" thickBot="1">
      <c r="A27" s="79" t="s">
        <v>1066</v>
      </c>
      <c r="B27" s="77">
        <f>VLOOKUP($A$2,'2324 Jun 24 Enroll'!$A$3:$AL$327,MATCH($A27,'2324 Jun 24 Enroll'!$3:$3,0),FALSE)</f>
        <v>65.33</v>
      </c>
      <c r="D27" s="77">
        <f t="shared" si="0"/>
        <v>65.33</v>
      </c>
      <c r="F27" s="77">
        <f t="shared" si="1"/>
        <v>65.33</v>
      </c>
    </row>
    <row r="28" spans="1:6" ht="15.75" thickBot="1">
      <c r="A28" s="79" t="s">
        <v>1082</v>
      </c>
      <c r="B28" s="77">
        <f>VLOOKUP($A$2,'2324 Jun 24 Enroll'!$A$3:$AL$327,MATCH($A28,'2324 Jun 24 Enroll'!$3:$3,0),FALSE)</f>
        <v>0</v>
      </c>
      <c r="D28" s="77">
        <f t="shared" si="0"/>
        <v>0</v>
      </c>
      <c r="F28" s="77">
        <f t="shared" si="1"/>
        <v>0</v>
      </c>
    </row>
    <row r="29" spans="1:6" ht="15.75" thickBot="1">
      <c r="A29" s="79" t="s">
        <v>1083</v>
      </c>
      <c r="B29" s="77">
        <f>VLOOKUP($A$2,'2324 Jun 24 Enroll'!$A$3:$AL$327,MATCH($A29,'2324 Jun 24 Enroll'!$3:$3,0),FALSE)</f>
        <v>0</v>
      </c>
      <c r="D29" s="77">
        <f t="shared" si="0"/>
        <v>0</v>
      </c>
      <c r="F29" s="77">
        <f t="shared" si="1"/>
        <v>0</v>
      </c>
    </row>
    <row r="30" spans="1:6" ht="15.75" thickBot="1">
      <c r="A30" s="79" t="s">
        <v>1067</v>
      </c>
      <c r="B30" s="77">
        <f>VLOOKUP($A$2,'2324 Jun 24 Enroll'!$A$3:$AL$327,MATCH($A30,'2324 Jun 24 Enroll'!$3:$3,0),FALSE)</f>
        <v>301.33</v>
      </c>
      <c r="D30" s="77">
        <f t="shared" si="0"/>
        <v>301.33</v>
      </c>
      <c r="F30" s="77">
        <f t="shared" si="1"/>
        <v>301.33</v>
      </c>
    </row>
    <row r="31" spans="1:6" ht="15.75" thickBot="1">
      <c r="A31" s="79" t="s">
        <v>1068</v>
      </c>
      <c r="B31" s="77">
        <f>VLOOKUP($A$2,'2324 Jun 24 Enroll'!$A$3:$AL$327,MATCH($A31,'2324 Jun 24 Enroll'!$3:$3,0),FALSE)</f>
        <v>254.33</v>
      </c>
      <c r="D31" s="77">
        <f t="shared" si="0"/>
        <v>254.33</v>
      </c>
      <c r="F31" s="77">
        <f t="shared" si="1"/>
        <v>254.33</v>
      </c>
    </row>
    <row r="32" spans="1:6" ht="15.75" thickBot="1">
      <c r="A32" s="79" t="s">
        <v>1069</v>
      </c>
      <c r="B32" s="77">
        <f>VLOOKUP($A$2,'2324 Jun 24 Enroll'!$A$3:$AL$327,MATCH($A32,'2324 Jun 24 Enroll'!$3:$3,0),FALSE)</f>
        <v>3107.85</v>
      </c>
      <c r="D32" s="77">
        <f t="shared" si="0"/>
        <v>3107.85</v>
      </c>
      <c r="F32" s="77">
        <f t="shared" si="1"/>
        <v>3107.85</v>
      </c>
    </row>
    <row r="33" spans="1:6" ht="15.75" thickBot="1">
      <c r="A33" s="79" t="s">
        <v>1076</v>
      </c>
      <c r="B33" s="77">
        <f>VLOOKUP($A$2,'2324 Jun 24 Enroll'!$A$3:$AL$327,MATCH($A33,'2324 Jun 24 Enroll'!$3:$3,0),FALSE)</f>
        <v>555.66</v>
      </c>
      <c r="D33" s="77">
        <f t="shared" si="0"/>
        <v>555.66</v>
      </c>
      <c r="F33" s="77">
        <f t="shared" si="1"/>
        <v>555.66</v>
      </c>
    </row>
    <row r="34" spans="1:6" ht="15.75" thickBot="1"/>
    <row r="35" spans="1:6" ht="15.75" thickBot="1">
      <c r="A35" s="79" t="s">
        <v>1071</v>
      </c>
      <c r="B35" s="83">
        <v>0.15</v>
      </c>
      <c r="C35" s="96"/>
      <c r="D35" s="83">
        <v>0.15</v>
      </c>
      <c r="F35" s="83">
        <v>0.16</v>
      </c>
    </row>
    <row r="36" spans="1:6" ht="15.75" thickBot="1">
      <c r="A36" s="79" t="s">
        <v>1125</v>
      </c>
      <c r="B36" s="77">
        <v>1.2</v>
      </c>
      <c r="D36" s="77">
        <v>1.2</v>
      </c>
      <c r="F36" s="77">
        <v>1.2</v>
      </c>
    </row>
    <row r="37" spans="1:6" ht="15.75" thickBot="1">
      <c r="A37" s="79" t="s">
        <v>1126</v>
      </c>
      <c r="B37" s="77">
        <v>1.1200000000000001</v>
      </c>
      <c r="D37" s="77">
        <v>1.1200000000000001</v>
      </c>
      <c r="F37" s="77">
        <v>1.1200000000000001</v>
      </c>
    </row>
    <row r="38" spans="1:6" ht="33.75" customHeight="1" thickBot="1">
      <c r="A38" s="79" t="s">
        <v>1127</v>
      </c>
      <c r="B38" s="77">
        <v>1.06</v>
      </c>
      <c r="D38" s="77">
        <v>1.06</v>
      </c>
      <c r="F38" s="77">
        <v>1.06</v>
      </c>
    </row>
    <row r="39" spans="1:6" ht="15.75" thickBot="1">
      <c r="A39" s="79" t="s">
        <v>1128</v>
      </c>
      <c r="B39" s="77">
        <v>1.1200000000000001</v>
      </c>
      <c r="D39" s="77">
        <v>1.1200000000000001</v>
      </c>
      <c r="F39" s="77">
        <v>1.1200000000000001</v>
      </c>
    </row>
    <row r="40" spans="1:6" ht="15.75" thickBot="1">
      <c r="A40" s="79" t="s">
        <v>1129</v>
      </c>
      <c r="B40" s="77">
        <v>1.06</v>
      </c>
      <c r="D40" s="77">
        <v>1.06</v>
      </c>
      <c r="F40" s="77">
        <v>1.06</v>
      </c>
    </row>
    <row r="41" spans="1:6" ht="15.75" thickBot="1"/>
    <row r="42" spans="1:6" ht="15.75" thickBot="1">
      <c r="A42" s="79" t="s">
        <v>1070</v>
      </c>
      <c r="B42" s="83">
        <f>ROUND(SUM(B28:B31)/B32,4)</f>
        <v>0.17879999999999999</v>
      </c>
      <c r="D42" s="83">
        <f>ROUND(SUM(D28:D31)/D32,4)</f>
        <v>0.17879999999999999</v>
      </c>
      <c r="F42" s="83">
        <f>ROUND(SUM(F28:F31)/F32,4)</f>
        <v>0.17879999999999999</v>
      </c>
    </row>
    <row r="43" spans="1:6" ht="15.75" thickBot="1">
      <c r="A43" s="79" t="s">
        <v>1065</v>
      </c>
      <c r="B43" s="77">
        <f>IF($A$9=A2,"Use ESA Calculations Sheet",VLOOKUP($A$2,'SpEd BEA Rate 2324'!$A$4:$AT$325,45,FALSE))</f>
        <v>9430.94</v>
      </c>
      <c r="D43" s="77">
        <f>IF($A$9=A2,"Use ESA Calculations Sheet",VLOOKUP($A$2,'SpEd BEA Rate 2324 Supp'!$A$4:$AT$325,45,FALSE))</f>
        <v>9483.1</v>
      </c>
      <c r="F43" s="77">
        <f>IF($E$9=A2,"Use ESA Calculations Sheet",VLOOKUP($A$2,'SpEd BEA Rate 2425'!$A$4:$AT$325,45,FALSE))</f>
        <v>9959.739999999998</v>
      </c>
    </row>
    <row r="44" spans="1:6" ht="15.75" thickBot="1"/>
    <row r="45" spans="1:6" ht="15.75" thickBot="1">
      <c r="A45" s="84" t="s">
        <v>1072</v>
      </c>
      <c r="B45" s="85">
        <f>ROUND(B27*B36*B$43,2)</f>
        <v>739347.97</v>
      </c>
      <c r="D45" s="85">
        <f>ROUND(D27*D36*D$43,2)</f>
        <v>743437.11</v>
      </c>
      <c r="F45" s="85">
        <f>ROUND(F27*F36*F$43,2)</f>
        <v>780803.78</v>
      </c>
    </row>
    <row r="46" spans="1:6" ht="36" customHeight="1" thickBot="1">
      <c r="A46" s="86" t="s">
        <v>1084</v>
      </c>
      <c r="B46" s="85">
        <f>ROUND(B28*((B37*B$43)-VLOOKUP($A$2,'2324 Jun 24 Enroll'!$A$38:$AL$325,30,FALSE)),2)</f>
        <v>0</v>
      </c>
      <c r="D46" s="85">
        <f>ROUND(D28*((D37*D$43)-VLOOKUP($A$2,'2324 Jun 24 Enroll'!$A$38:$AL$325,30,FALSE)),2)</f>
        <v>0</v>
      </c>
      <c r="F46" s="85">
        <f>ROUND(F28*((F37*F$43)-VLOOKUP($A$2,'2324 Jun 24 Enroll'!$A$38:$AL$325,30,FALSE)),2)</f>
        <v>0</v>
      </c>
    </row>
    <row r="47" spans="1:6" ht="15.75" thickBot="1">
      <c r="A47" s="86" t="s">
        <v>1085</v>
      </c>
      <c r="B47" s="85">
        <f>ROUND(B29*((B38*B$43)-VLOOKUP($A$2,'2324 Jun 24 Enroll'!$A$38:$AL$325,30,FALSE)),2)</f>
        <v>0</v>
      </c>
      <c r="D47" s="85">
        <f>ROUND(D29*((D38*D$43)-VLOOKUP($A$2,'2324 Jun 24 Enroll'!$A$38:$AL$325,30,FALSE)),2)</f>
        <v>0</v>
      </c>
      <c r="F47" s="85">
        <f>ROUND(F29*((F38*F$43)-VLOOKUP($A$2,'2324 Jun 24 Enroll'!$A$38:$AL$325,30,FALSE)),2)</f>
        <v>0</v>
      </c>
    </row>
    <row r="48" spans="1:6" ht="30.75" thickBot="1">
      <c r="A48" s="86" t="s">
        <v>1073</v>
      </c>
      <c r="B48" s="85">
        <f>ROUND(B30*((B39*B$43)-VLOOKUP($A$2,'2324 Jun 24 Enroll'!$A$38:$AL$325,30,FALSE)),2)</f>
        <v>3176220.93</v>
      </c>
      <c r="D48" s="85">
        <f>ROUND(D30*((D39*D$43)-VLOOKUP($A$2,'2324 Jun 24 Enroll'!$A$38:$AL$325,30,FALSE)),2)</f>
        <v>3193824.39</v>
      </c>
      <c r="F48" s="85">
        <f>ROUND(F30*((F39*F$43)-VLOOKUP($A$2,'2324 Jun 24 Enroll'!$A$38:$AL$325,30,FALSE)),2)</f>
        <v>3354685.4399999999</v>
      </c>
    </row>
    <row r="49" spans="1:6" ht="30.75" thickBot="1">
      <c r="A49" s="86" t="s">
        <v>1074</v>
      </c>
      <c r="B49" s="85">
        <f>ROUND(B31*((B40*B$43)-VLOOKUP($A$2,'2324 Jun 24 Enroll'!$A$38:$AL$325,30,FALSE)),2)</f>
        <v>2536895.06</v>
      </c>
      <c r="D49" s="85">
        <f>ROUND(D31*((D40*D$43)-VLOOKUP($A$2,'2324 Jun 24 Enroll'!$A$38:$AL$325,30,FALSE)),2)</f>
        <v>2550956.86</v>
      </c>
      <c r="F49" s="85">
        <f>ROUND(F31*((F40*F$43)-VLOOKUP($A$2,'2324 Jun 24 Enroll'!$A$38:$AL$325,30,FALSE)),2)</f>
        <v>2679454.14</v>
      </c>
    </row>
    <row r="50" spans="1:6" ht="33" customHeight="1" thickBot="1">
      <c r="A50" s="86" t="s">
        <v>1075</v>
      </c>
      <c r="B50" s="85">
        <f>IF(B42&lt;B35,0,ROUND(((((B46+B47+B48+B49)*-1)/B42)*(B42-B35)),2))</f>
        <v>-920233.45</v>
      </c>
      <c r="C50" s="97"/>
      <c r="D50" s="85">
        <f>IF(D42&lt;D35,0,ROUND(((((D46+D47+D48+D49)*-1)/D42)*(D42-D35)),2))</f>
        <v>-925333.89</v>
      </c>
      <c r="F50" s="85">
        <f>IF(F42&lt;F35,0,ROUND(((((F46+F47+F48+F49)*-1)/F42)*(F42-F35)),2))</f>
        <v>-634462.1</v>
      </c>
    </row>
    <row r="51" spans="1:6" ht="15.75" thickBot="1"/>
    <row r="52" spans="1:6" ht="15.75" thickBot="1">
      <c r="A52" s="86" t="s">
        <v>1077</v>
      </c>
      <c r="B52" s="6">
        <f>ROUND(B33*B$43,2)</f>
        <v>5240396.12</v>
      </c>
      <c r="D52" s="6">
        <f>ROUND(D33*D$43,2)</f>
        <v>5269379.3499999996</v>
      </c>
      <c r="F52" s="6">
        <f>ROUND(F33*F$43,2)</f>
        <v>5534229.1299999999</v>
      </c>
    </row>
    <row r="53" spans="1:6" ht="15.75" thickBot="1">
      <c r="A53" s="81" t="s">
        <v>1078</v>
      </c>
      <c r="B53" s="35">
        <f>IF($A$9=A2,"Use ESA Calculations Sheet",VLOOKUP($A$2,'2324 Jun 24 Enroll'!$A$38:$AL$325,32,FALSE))</f>
        <v>0.1603</v>
      </c>
      <c r="D53" s="35">
        <f>IF($A$9=A2,"Use ESA Calculations Sheet",VLOOKUP($A$2,'2324 Jun 24 Enroll'!$A$38:$AL$325,32,FALSE))</f>
        <v>0.1603</v>
      </c>
      <c r="F53" s="35">
        <f>IF($E$9=A2,"Use ESA Calculations Sheet",VLOOKUP($A$2,'2324 Jun 24 Enroll'!$A$38:$AL$325,37,FALSE))</f>
        <v>0.15</v>
      </c>
    </row>
    <row r="54" spans="1:6" ht="15.75" thickBot="1">
      <c r="A54" s="86" t="s">
        <v>1079</v>
      </c>
      <c r="B54" s="6">
        <f>ROUND(B52/(1+B53),2)</f>
        <v>4516414.82</v>
      </c>
      <c r="D54" s="6">
        <f>ROUND(D52/(1+D53),2)</f>
        <v>4541393.91</v>
      </c>
      <c r="F54" s="6">
        <f>ROUND(F52/(1+F53),2)</f>
        <v>4812373.16</v>
      </c>
    </row>
    <row r="55" spans="1:6" ht="15.75" thickBot="1">
      <c r="A55" s="81" t="s">
        <v>1080</v>
      </c>
      <c r="B55">
        <f>IF($A$9=A2,"Use ESA Calculations Sheet",VLOOKUP($A$2,'2324 Jun 24 Enroll'!$A$38:$AL$325,33,FALSE))</f>
        <v>0.18490000000000001</v>
      </c>
      <c r="D55">
        <f>IF($A$9=A2,"Use ESA Calculations Sheet",VLOOKUP($A$2,'2324 Jun 24 Enroll'!$A$38:$AL$325,33,FALSE))</f>
        <v>0.18490000000000001</v>
      </c>
      <c r="F55">
        <f>IF($E$9=A2,"Use ESA Calculations Sheet",VLOOKUP($A$2,'2324 Jun 24 Enroll'!$A$38:$AL$325,38,FALSE))</f>
        <v>0.26870000000000005</v>
      </c>
    </row>
    <row r="56" spans="1:6" ht="30.75" thickBot="1">
      <c r="A56" s="86" t="s">
        <v>1081</v>
      </c>
      <c r="B56" s="85">
        <f>ROUND(B54*B55,2)</f>
        <v>835085.1</v>
      </c>
      <c r="D56" s="85">
        <f>ROUND(D54*D55,2)</f>
        <v>839703.73</v>
      </c>
      <c r="F56" s="85">
        <f>ROUND(F54*F55,2)</f>
        <v>1293084.67</v>
      </c>
    </row>
  </sheetData>
  <mergeCells count="1">
    <mergeCell ref="A1:F1"/>
  </mergeCells>
  <pageMargins left="0.25" right="0.25" top="0.75" bottom="0.75" header="0.3" footer="0.3"/>
  <pageSetup scale="74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8A16F-81B0-4F37-91AD-3FE1E897D5D0}">
  <sheetPr>
    <tabColor theme="7" tint="0.39997558519241921"/>
  </sheetPr>
  <dimension ref="A1:AO63"/>
  <sheetViews>
    <sheetView zoomScale="90" zoomScaleNormal="90" workbookViewId="0">
      <pane xSplit="2" ySplit="3" topLeftCell="C4" activePane="bottomRight" state="frozen"/>
      <selection sqref="A1:O1"/>
      <selection pane="topRight" sqref="A1:O1"/>
      <selection pane="bottomLeft" sqref="A1:O1"/>
      <selection pane="bottomRight" activeCell="B36" sqref="B36"/>
    </sheetView>
  </sheetViews>
  <sheetFormatPr defaultRowHeight="15"/>
  <cols>
    <col min="1" max="1" width="16.85546875" customWidth="1"/>
    <col min="2" max="2" width="32" bestFit="1" customWidth="1"/>
    <col min="3" max="3" width="19.140625" style="71" customWidth="1"/>
    <col min="4" max="4" width="15.5703125" customWidth="1"/>
    <col min="5" max="5" width="10" bestFit="1" customWidth="1"/>
    <col min="6" max="6" width="13.42578125" bestFit="1" customWidth="1"/>
    <col min="7" max="10" width="10" bestFit="1" customWidth="1"/>
    <col min="13" max="14" width="9.7109375" customWidth="1"/>
    <col min="17" max="17" width="10" bestFit="1" customWidth="1"/>
    <col min="18" max="18" width="11.140625" bestFit="1" customWidth="1"/>
    <col min="22" max="22" width="10" bestFit="1" customWidth="1"/>
    <col min="23" max="23" width="8.7109375" bestFit="1" customWidth="1"/>
    <col min="24" max="24" width="11.140625" bestFit="1" customWidth="1"/>
    <col min="25" max="25" width="10" bestFit="1" customWidth="1"/>
    <col min="26" max="26" width="9.5703125" bestFit="1" customWidth="1"/>
    <col min="32" max="32" width="13.28515625" bestFit="1" customWidth="1"/>
    <col min="33" max="33" width="12.140625" bestFit="1" customWidth="1"/>
    <col min="34" max="34" width="10.7109375" customWidth="1"/>
    <col min="35" max="35" width="12.28515625" customWidth="1"/>
    <col min="36" max="36" width="15" bestFit="1" customWidth="1"/>
    <col min="37" max="37" width="13.85546875" bestFit="1" customWidth="1"/>
    <col min="38" max="38" width="12.85546875" bestFit="1" customWidth="1"/>
    <col min="39" max="40" width="15" bestFit="1" customWidth="1"/>
    <col min="41" max="41" width="13.85546875" bestFit="1" customWidth="1"/>
  </cols>
  <sheetData>
    <row r="1" spans="1:41" ht="61.5" customHeight="1">
      <c r="A1" s="223" t="s">
        <v>1491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</row>
    <row r="2" spans="1:41" ht="15.75" thickBot="1">
      <c r="C2"/>
      <c r="D2" s="71" t="s">
        <v>1106</v>
      </c>
      <c r="E2" s="71" t="s">
        <v>1107</v>
      </c>
      <c r="F2" s="71" t="s">
        <v>1108</v>
      </c>
      <c r="G2" s="71" t="s">
        <v>1109</v>
      </c>
      <c r="H2" s="71" t="s">
        <v>1110</v>
      </c>
      <c r="I2" s="71" t="s">
        <v>1111</v>
      </c>
      <c r="J2" s="71" t="s">
        <v>1112</v>
      </c>
      <c r="K2" s="71" t="s">
        <v>1113</v>
      </c>
      <c r="L2" s="71" t="s">
        <v>1114</v>
      </c>
      <c r="M2" s="71" t="s">
        <v>1116</v>
      </c>
      <c r="N2" s="71" t="s">
        <v>1117</v>
      </c>
      <c r="O2" s="71" t="s">
        <v>1118</v>
      </c>
      <c r="P2" s="71" t="s">
        <v>1119</v>
      </c>
      <c r="Q2" s="71" t="s">
        <v>1120</v>
      </c>
      <c r="R2" s="71" t="s">
        <v>1115</v>
      </c>
      <c r="S2" s="71" t="s">
        <v>1136</v>
      </c>
      <c r="T2" s="71" t="s">
        <v>1137</v>
      </c>
      <c r="U2" s="71" t="s">
        <v>1138</v>
      </c>
      <c r="V2" s="71" t="s">
        <v>1139</v>
      </c>
      <c r="W2" s="71" t="s">
        <v>1140</v>
      </c>
      <c r="X2" s="71" t="s">
        <v>1141</v>
      </c>
      <c r="Y2" s="71" t="s">
        <v>1142</v>
      </c>
    </row>
    <row r="3" spans="1:41" ht="60.75" thickBot="1">
      <c r="A3" s="39" t="s">
        <v>1143</v>
      </c>
      <c r="B3" s="39" t="s">
        <v>293</v>
      </c>
      <c r="C3" s="78" t="s">
        <v>1105</v>
      </c>
      <c r="D3" s="78" t="s">
        <v>1095</v>
      </c>
      <c r="E3" s="79" t="s">
        <v>297</v>
      </c>
      <c r="F3" s="79" t="s">
        <v>301</v>
      </c>
      <c r="G3" s="79" t="s">
        <v>298</v>
      </c>
      <c r="H3" s="79" t="s">
        <v>295</v>
      </c>
      <c r="I3" s="79" t="s">
        <v>299</v>
      </c>
      <c r="J3" s="80" t="s">
        <v>300</v>
      </c>
      <c r="K3" s="79" t="s">
        <v>302</v>
      </c>
      <c r="L3" s="79" t="s">
        <v>303</v>
      </c>
      <c r="M3" s="79" t="s">
        <v>304</v>
      </c>
      <c r="N3" s="79" t="s">
        <v>305</v>
      </c>
      <c r="O3" s="79" t="s">
        <v>306</v>
      </c>
      <c r="P3" s="79" t="s">
        <v>307</v>
      </c>
      <c r="Q3" s="79" t="s">
        <v>308</v>
      </c>
      <c r="R3" s="80" t="s">
        <v>1121</v>
      </c>
      <c r="S3" s="79" t="s">
        <v>1066</v>
      </c>
      <c r="T3" s="79" t="s">
        <v>1082</v>
      </c>
      <c r="U3" s="79" t="s">
        <v>1083</v>
      </c>
      <c r="V3" s="79" t="s">
        <v>1067</v>
      </c>
      <c r="W3" s="79" t="s">
        <v>1068</v>
      </c>
      <c r="X3" s="79" t="s">
        <v>1069</v>
      </c>
      <c r="Y3" s="95" t="s">
        <v>1076</v>
      </c>
      <c r="Z3" s="25" t="s">
        <v>1070</v>
      </c>
      <c r="AA3" s="25" t="s">
        <v>1071</v>
      </c>
      <c r="AB3" s="37" t="s">
        <v>1086</v>
      </c>
      <c r="AC3" s="37" t="s">
        <v>1087</v>
      </c>
      <c r="AD3" s="37" t="s">
        <v>1078</v>
      </c>
      <c r="AE3" s="36" t="s">
        <v>1080</v>
      </c>
      <c r="AF3" s="216" t="s">
        <v>1147</v>
      </c>
      <c r="AG3" s="37" t="s">
        <v>1072</v>
      </c>
      <c r="AH3" s="37" t="s">
        <v>1084</v>
      </c>
      <c r="AI3" s="37" t="s">
        <v>1085</v>
      </c>
      <c r="AJ3" s="37" t="s">
        <v>1073</v>
      </c>
      <c r="AK3" s="37" t="s">
        <v>1074</v>
      </c>
      <c r="AL3" s="37" t="s">
        <v>1075</v>
      </c>
      <c r="AM3" s="37" t="s">
        <v>1077</v>
      </c>
      <c r="AN3" s="46" t="s">
        <v>1079</v>
      </c>
      <c r="AO3" s="37" t="s">
        <v>1081</v>
      </c>
    </row>
    <row r="4" spans="1:41" ht="15.75" thickBot="1">
      <c r="A4" s="40" t="s">
        <v>494</v>
      </c>
      <c r="B4" s="40" t="s">
        <v>495</v>
      </c>
      <c r="C4" s="77">
        <f>VLOOKUP($A4,'2324 Jun 24 Enroll'!$A$3:$AL$327,MATCH(C$3,'2324 Jun 24 Enroll'!$3:$3,0),FALSE)</f>
        <v>17</v>
      </c>
      <c r="D4" s="77">
        <f>VLOOKUP($A4,'2324 Jun 24 Enroll'!$A$3:$AL$327,MATCH(D$3,'2324 Jun 24 Enroll'!$3:$3,0),FALSE)</f>
        <v>0</v>
      </c>
      <c r="E4" s="77">
        <f>VLOOKUP($A4,'2324 Jun 24 Enroll'!$A$3:$AL$327,MATCH(E$3,'2324 Jun 24 Enroll'!$3:$3,0),FALSE)</f>
        <v>79.3</v>
      </c>
      <c r="F4" s="77">
        <f>VLOOKUP($A4,'2324 Jun 24 Enroll'!$A$3:$AL$327,MATCH(F$3,'2324 Jun 24 Enroll'!$3:$3,0),FALSE)</f>
        <v>19</v>
      </c>
      <c r="G4" s="77">
        <f>VLOOKUP($A4,'2324 Jun 24 Enroll'!$A$3:$AL$327,MATCH(G$3,'2324 Jun 24 Enroll'!$3:$3,0),FALSE)</f>
        <v>40.799999999999997</v>
      </c>
      <c r="H4" s="77">
        <f>VLOOKUP($A4,'2324 Jun 24 Enroll'!$A$3:$AL$327,MATCH(H$3,'2324 Jun 24 Enroll'!$3:$3,0),FALSE)</f>
        <v>28.6</v>
      </c>
      <c r="I4" s="77">
        <f>VLOOKUP($A4,'2324 Jun 24 Enroll'!$A$3:$AL$327,MATCH(I$3,'2324 Jun 24 Enroll'!$3:$3,0),FALSE)</f>
        <v>0</v>
      </c>
      <c r="J4" s="108">
        <f>VLOOKUP($A4,'2324 Jun 24 Enroll'!$A$3:$AL$327,MATCH(J$3,'2324 Jun 24 Enroll'!$3:$3,0),FALSE)</f>
        <v>167.7</v>
      </c>
      <c r="K4" s="77">
        <f>VLOOKUP($A4,'2324 Jun 24 Enroll'!$A$3:$AL$327,MATCH(K$3,'2324 Jun 24 Enroll'!$3:$3,0),FALSE)</f>
        <v>0</v>
      </c>
      <c r="L4" s="77">
        <f>VLOOKUP($A4,'2324 Jun 24 Enroll'!$A$3:$AL$327,MATCH(L$3,'2324 Jun 24 Enroll'!$3:$3,0),FALSE)</f>
        <v>0</v>
      </c>
      <c r="M4" s="77">
        <f>VLOOKUP($A4,'2324 Jun 24 Enroll'!$A$3:$AL$327,MATCH(M$3,'2324 Jun 24 Enroll'!$3:$3,0),FALSE)</f>
        <v>0</v>
      </c>
      <c r="N4" s="77">
        <f>VLOOKUP($A4,'2324 Jun 24 Enroll'!$A$3:$AL$327,MATCH(N$3,'2324 Jun 24 Enroll'!$3:$3,0),FALSE)</f>
        <v>0</v>
      </c>
      <c r="O4" s="77">
        <f>VLOOKUP($A4,'2324 Jun 24 Enroll'!$A$3:$AL$327,MATCH(O$3,'2324 Jun 24 Enroll'!$3:$3,0),FALSE)</f>
        <v>0</v>
      </c>
      <c r="P4" s="77">
        <f>VLOOKUP($A4,'2324 Jun 24 Enroll'!$A$3:$AL$327,MATCH(P$3,'2324 Jun 24 Enroll'!$3:$3,0),FALSE)</f>
        <v>0</v>
      </c>
      <c r="Q4" s="77">
        <f>VLOOKUP($A4,'2324 Jun 24 Enroll'!$A$3:$AL$327,MATCH(Q$3,'2324 Jun 24 Enroll'!$3:$3,0),FALSE)</f>
        <v>0</v>
      </c>
      <c r="R4" s="108">
        <f>SUM(J4:Q4)</f>
        <v>167.7</v>
      </c>
      <c r="S4" s="77">
        <f>VLOOKUP($A4,'2324 Jun 24 Enroll'!$A$3:$AL$327,MATCH(S$3,'2324 Jun 24 Enroll'!$3:$3,0),FALSE)</f>
        <v>0.67</v>
      </c>
      <c r="T4" s="77">
        <f>VLOOKUP($A4,'2324 Jun 24 Enroll'!$A$3:$AL$327,MATCH(T$3,'2324 Jun 24 Enroll'!$3:$3,0),FALSE)</f>
        <v>0</v>
      </c>
      <c r="U4" s="77">
        <f>VLOOKUP($A4,'2324 Jun 24 Enroll'!$A$3:$AL$327,MATCH(U$3,'2324 Jun 24 Enroll'!$3:$3,0),FALSE)</f>
        <v>0</v>
      </c>
      <c r="V4" s="77">
        <f>VLOOKUP($A4,'2324 Jun 24 Enroll'!$A$3:$AL$327,MATCH(V$3,'2324 Jun 24 Enroll'!$3:$3,0),FALSE)</f>
        <v>16.78</v>
      </c>
      <c r="W4" s="77">
        <f>VLOOKUP($A4,'2324 Jun 24 Enroll'!$A$3:$AL$327,MATCH(W$3,'2324 Jun 24 Enroll'!$3:$3,0),FALSE)</f>
        <v>1</v>
      </c>
      <c r="X4" s="77">
        <f>VLOOKUP($A4,'2324 Jun 24 Enroll'!$A$3:$AL$327,MATCH(X$3,'2324 Jun 24 Enroll'!$3:$3,0),FALSE)</f>
        <v>167.7</v>
      </c>
      <c r="Y4" s="77">
        <f>VLOOKUP($A4,'2324 Jun 24 Enroll'!$A$3:$AL$327,MATCH(Y$3,'2324 Jun 24 Enroll'!$3:$3,0),FALSE)</f>
        <v>17.78</v>
      </c>
      <c r="Z4" s="92">
        <f>ROUND((T4+U4+V4+W4)/X4,4)</f>
        <v>0.106</v>
      </c>
      <c r="AA4" s="92">
        <f>IF(Z4&lt;$B$37,0,Z4-$B$37)</f>
        <v>0</v>
      </c>
      <c r="AB4" s="93">
        <v>132.1</v>
      </c>
      <c r="AC4" s="93">
        <f>ROUND(AB4*24/145,2)</f>
        <v>21.86</v>
      </c>
      <c r="AD4" s="94">
        <f>VLOOKUP($A4,'2324 Jun 24 Enroll'!$A$3:$AL$327,MATCH(AD$3,'2324 Jun 24 Enroll'!$3:$3,0),FALSE)</f>
        <v>0.24010000000000001</v>
      </c>
      <c r="AE4" s="94">
        <f>VLOOKUP($A4,'2324 Jun 24 Enroll'!$A$3:$AL$327,MATCH(AE$3,'2324 Jun 24 Enroll'!$3:$3,0),FALSE)</f>
        <v>0.2056</v>
      </c>
      <c r="AF4" s="93">
        <f>VLOOKUP($A4,'SpEd BEA Rate 2324'!$A$4:$AT$34,45,FALSE)</f>
        <v>10315.82</v>
      </c>
      <c r="AG4" s="102">
        <f t="shared" ref="AG4:AG33" si="0">ROUND(S4*$B$38*$AF$34,2)</f>
        <v>7617.8</v>
      </c>
      <c r="AH4" s="102">
        <f t="shared" ref="AH4:AH33" si="1">ROUND(T4*(($B$39*$AF$34)-$AC$34),2)</f>
        <v>0</v>
      </c>
      <c r="AI4" s="102">
        <f t="shared" ref="AI4:AI33" si="2">ROUND(U4*(($B$40*$AF$34)-$AC$34),2)</f>
        <v>0</v>
      </c>
      <c r="AJ4" s="102">
        <f t="shared" ref="AJ4:AJ33" si="3">ROUND(V4*(($B$41*$AF$34)-$AC$34),2)</f>
        <v>177717.24</v>
      </c>
      <c r="AK4" s="102">
        <f t="shared" ref="AK4:AK33" si="4">ROUND(W4*(($B$42*$AF$34)-$AC$34),2)</f>
        <v>10022.52</v>
      </c>
      <c r="AL4" s="102">
        <f t="shared" ref="AL4:AL33" si="5">IF($Z$34&lt;$B$37,0,ROUND(((((AH4+AI4+AJ4+AK4)*-1)/$Z$34)*$AA$34),2))</f>
        <v>-4638.5600000000004</v>
      </c>
      <c r="AM4" s="45">
        <f>ROUND(Y4*$AF$34,2)</f>
        <v>168463.37</v>
      </c>
      <c r="AN4" s="45">
        <f>ROUND(AM4/(1+AD4),2)</f>
        <v>135846.6</v>
      </c>
      <c r="AO4" s="102">
        <f>ROUND(AN4*AE4,2)</f>
        <v>27930.06</v>
      </c>
    </row>
    <row r="5" spans="1:41" ht="15.75" thickBot="1">
      <c r="A5" s="40" t="s">
        <v>426</v>
      </c>
      <c r="B5" s="40" t="s">
        <v>427</v>
      </c>
      <c r="C5" s="77">
        <f>VLOOKUP($A5,'2324 Jun 24 Enroll'!$A$3:$AL$327,MATCH(C$3,'2324 Jun 24 Enroll'!$3:$3,0),FALSE)</f>
        <v>17</v>
      </c>
      <c r="D5" s="77">
        <f>VLOOKUP($A5,'2324 Jun 24 Enroll'!$A$3:$AL$327,MATCH(D$3,'2324 Jun 24 Enroll'!$3:$3,0),FALSE)</f>
        <v>0</v>
      </c>
      <c r="E5" s="77">
        <f>VLOOKUP($A5,'2324 Jun 24 Enroll'!$A$3:$AL$327,MATCH(E$3,'2324 Jun 24 Enroll'!$3:$3,0),FALSE)</f>
        <v>112.4</v>
      </c>
      <c r="F5" s="77">
        <f>VLOOKUP($A5,'2324 Jun 24 Enroll'!$A$3:$AL$327,MATCH(F$3,'2324 Jun 24 Enroll'!$3:$3,0),FALSE)</f>
        <v>28.7</v>
      </c>
      <c r="G5" s="77">
        <f>VLOOKUP($A5,'2324 Jun 24 Enroll'!$A$3:$AL$327,MATCH(G$3,'2324 Jun 24 Enroll'!$3:$3,0),FALSE)</f>
        <v>49.28</v>
      </c>
      <c r="H5" s="77">
        <f>VLOOKUP($A5,'2324 Jun 24 Enroll'!$A$3:$AL$327,MATCH(H$3,'2324 Jun 24 Enroll'!$3:$3,0),FALSE)</f>
        <v>55.14</v>
      </c>
      <c r="I5" s="77">
        <f>VLOOKUP($A5,'2324 Jun 24 Enroll'!$A$3:$AL$327,MATCH(I$3,'2324 Jun 24 Enroll'!$3:$3,0),FALSE)</f>
        <v>82.24</v>
      </c>
      <c r="J5" s="108">
        <f>VLOOKUP($A5,'2324 Jun 24 Enroll'!$A$3:$AL$327,MATCH(J$3,'2324 Jun 24 Enroll'!$3:$3,0),FALSE)</f>
        <v>327.76</v>
      </c>
      <c r="K5" s="77">
        <f>VLOOKUP($A5,'2324 Jun 24 Enroll'!$A$3:$AL$327,MATCH(K$3,'2324 Jun 24 Enroll'!$3:$3,0),FALSE)</f>
        <v>9.89</v>
      </c>
      <c r="L5" s="77">
        <f>VLOOKUP($A5,'2324 Jun 24 Enroll'!$A$3:$AL$327,MATCH(L$3,'2324 Jun 24 Enroll'!$3:$3,0),FALSE)</f>
        <v>1.37</v>
      </c>
      <c r="M5" s="77">
        <f>VLOOKUP($A5,'2324 Jun 24 Enroll'!$A$3:$AL$327,MATCH(M$3,'2324 Jun 24 Enroll'!$3:$3,0),FALSE)</f>
        <v>5.6</v>
      </c>
      <c r="N5" s="77">
        <f>VLOOKUP($A5,'2324 Jun 24 Enroll'!$A$3:$AL$327,MATCH(N$3,'2324 Jun 24 Enroll'!$3:$3,0),FALSE)</f>
        <v>0</v>
      </c>
      <c r="O5" s="77">
        <f>VLOOKUP($A5,'2324 Jun 24 Enroll'!$A$3:$AL$327,MATCH(O$3,'2324 Jun 24 Enroll'!$3:$3,0),FALSE)</f>
        <v>0</v>
      </c>
      <c r="P5" s="77">
        <f>VLOOKUP($A5,'2324 Jun 24 Enroll'!$A$3:$AL$327,MATCH(P$3,'2324 Jun 24 Enroll'!$3:$3,0),FALSE)</f>
        <v>0</v>
      </c>
      <c r="Q5" s="77">
        <f>VLOOKUP($A5,'2324 Jun 24 Enroll'!$A$3:$AL$327,MATCH(Q$3,'2324 Jun 24 Enroll'!$3:$3,0),FALSE)</f>
        <v>0</v>
      </c>
      <c r="R5" s="108">
        <f t="shared" ref="R5:R33" si="6">SUM(J5:Q5)</f>
        <v>344.62</v>
      </c>
      <c r="S5" s="77">
        <f>VLOOKUP($A5,'2324 Jun 24 Enroll'!$A$3:$AL$327,MATCH(S$3,'2324 Jun 24 Enroll'!$3:$3,0),FALSE)</f>
        <v>3.33</v>
      </c>
      <c r="T5" s="77">
        <f>VLOOKUP($A5,'2324 Jun 24 Enroll'!$A$3:$AL$327,MATCH(T$3,'2324 Jun 24 Enroll'!$3:$3,0),FALSE)</f>
        <v>0</v>
      </c>
      <c r="U5" s="77">
        <f>VLOOKUP($A5,'2324 Jun 24 Enroll'!$A$3:$AL$327,MATCH(U$3,'2324 Jun 24 Enroll'!$3:$3,0),FALSE)</f>
        <v>0</v>
      </c>
      <c r="V5" s="77">
        <f>VLOOKUP($A5,'2324 Jun 24 Enroll'!$A$3:$AL$327,MATCH(V$3,'2324 Jun 24 Enroll'!$3:$3,0),FALSE)</f>
        <v>37.78</v>
      </c>
      <c r="W5" s="77">
        <f>VLOOKUP($A5,'2324 Jun 24 Enroll'!$A$3:$AL$327,MATCH(W$3,'2324 Jun 24 Enroll'!$3:$3,0),FALSE)</f>
        <v>11.11</v>
      </c>
      <c r="X5" s="77">
        <f>VLOOKUP($A5,'2324 Jun 24 Enroll'!$A$3:$AL$327,MATCH(X$3,'2324 Jun 24 Enroll'!$3:$3,0),FALSE)</f>
        <v>347.36</v>
      </c>
      <c r="Y5" s="77">
        <f>VLOOKUP($A5,'2324 Jun 24 Enroll'!$A$3:$AL$327,MATCH(Y$3,'2324 Jun 24 Enroll'!$3:$3,0),FALSE)</f>
        <v>48.89</v>
      </c>
      <c r="Z5" s="92">
        <f t="shared" ref="Z5:Z32" si="7">ROUND((T5+U5+V5+W5)/X5,4)</f>
        <v>0.14069999999999999</v>
      </c>
      <c r="AA5" s="92">
        <f t="shared" ref="AA5:AA33" si="8">IF(Z5&lt;$B$37,0,Z5-$B$37)</f>
        <v>0</v>
      </c>
      <c r="AB5" s="93">
        <v>119.43</v>
      </c>
      <c r="AC5" s="93">
        <f t="shared" ref="AC5:AC33" si="9">ROUND(AB5*24/145,2)</f>
        <v>19.77</v>
      </c>
      <c r="AD5" s="94">
        <f>VLOOKUP($A5,'2324 Jun 24 Enroll'!$A$3:$AL$327,MATCH(AD$3,'2324 Jun 24 Enroll'!$3:$3,0),FALSE)</f>
        <v>0.25600000000000001</v>
      </c>
      <c r="AE5" s="94">
        <f>VLOOKUP($A5,'2324 Jun 24 Enroll'!$A$3:$AL$327,MATCH(AE$3,'2324 Jun 24 Enroll'!$3:$3,0),FALSE)</f>
        <v>0.2056</v>
      </c>
      <c r="AF5" s="93">
        <f>VLOOKUP($A5,'SpEd BEA Rate 2324'!$A$4:$AT$34,45,FALSE)</f>
        <v>9797.5000000000018</v>
      </c>
      <c r="AG5" s="102">
        <f t="shared" si="0"/>
        <v>37861.620000000003</v>
      </c>
      <c r="AH5" s="102">
        <f t="shared" si="1"/>
        <v>0</v>
      </c>
      <c r="AI5" s="102">
        <f t="shared" si="2"/>
        <v>0</v>
      </c>
      <c r="AJ5" s="102">
        <f t="shared" si="3"/>
        <v>400128.57</v>
      </c>
      <c r="AK5" s="102">
        <f t="shared" si="4"/>
        <v>111350.23</v>
      </c>
      <c r="AL5" s="102">
        <f t="shared" si="5"/>
        <v>-12637.32</v>
      </c>
      <c r="AM5" s="45">
        <f t="shared" ref="AM5:AM33" si="10">ROUND(Y5*$AF$34,2)</f>
        <v>463226.88</v>
      </c>
      <c r="AN5" s="45">
        <f t="shared" ref="AN5:AN33" si="11">ROUND(AM5/(1+AD5),2)</f>
        <v>368811.21</v>
      </c>
      <c r="AO5" s="102">
        <f t="shared" ref="AO5:AO33" si="12">ROUND(AN5*AE5,2)</f>
        <v>75827.58</v>
      </c>
    </row>
    <row r="6" spans="1:41" ht="15.75" thickBot="1">
      <c r="A6" s="40" t="s">
        <v>829</v>
      </c>
      <c r="B6" s="40" t="s">
        <v>830</v>
      </c>
      <c r="C6" s="77">
        <f>VLOOKUP($A6,'2324 Jun 24 Enroll'!$A$3:$AL$327,MATCH(C$3,'2324 Jun 24 Enroll'!$3:$3,0),FALSE)</f>
        <v>17.989999999999998</v>
      </c>
      <c r="D6" s="77">
        <f>VLOOKUP($A6,'2324 Jun 24 Enroll'!$A$3:$AL$327,MATCH(D$3,'2324 Jun 24 Enroll'!$3:$3,0),FALSE)</f>
        <v>0</v>
      </c>
      <c r="E6" s="77">
        <f>VLOOKUP($A6,'2324 Jun 24 Enroll'!$A$3:$AL$327,MATCH(E$3,'2324 Jun 24 Enroll'!$3:$3,0),FALSE)</f>
        <v>218.72</v>
      </c>
      <c r="F6" s="77">
        <f>VLOOKUP($A6,'2324 Jun 24 Enroll'!$A$3:$AL$327,MATCH(F$3,'2324 Jun 24 Enroll'!$3:$3,0),FALSE)</f>
        <v>56.7</v>
      </c>
      <c r="G6" s="77">
        <f>VLOOKUP($A6,'2324 Jun 24 Enroll'!$A$3:$AL$327,MATCH(G$3,'2324 Jun 24 Enroll'!$3:$3,0),FALSE)</f>
        <v>102.7</v>
      </c>
      <c r="H6" s="77">
        <f>VLOOKUP($A6,'2324 Jun 24 Enroll'!$A$3:$AL$327,MATCH(H$3,'2324 Jun 24 Enroll'!$3:$3,0),FALSE)</f>
        <v>113.43</v>
      </c>
      <c r="I6" s="77">
        <f>VLOOKUP($A6,'2324 Jun 24 Enroll'!$A$3:$AL$327,MATCH(I$3,'2324 Jun 24 Enroll'!$3:$3,0),FALSE)</f>
        <v>151.75</v>
      </c>
      <c r="J6" s="108">
        <f>VLOOKUP($A6,'2324 Jun 24 Enroll'!$A$3:$AL$327,MATCH(J$3,'2324 Jun 24 Enroll'!$3:$3,0),FALSE)</f>
        <v>643.29999999999995</v>
      </c>
      <c r="K6" s="77">
        <f>VLOOKUP($A6,'2324 Jun 24 Enroll'!$A$3:$AL$327,MATCH(K$3,'2324 Jun 24 Enroll'!$3:$3,0),FALSE)</f>
        <v>27.72</v>
      </c>
      <c r="L6" s="77">
        <f>VLOOKUP($A6,'2324 Jun 24 Enroll'!$A$3:$AL$327,MATCH(L$3,'2324 Jun 24 Enroll'!$3:$3,0),FALSE)</f>
        <v>2.61</v>
      </c>
      <c r="M6" s="77">
        <f>VLOOKUP($A6,'2324 Jun 24 Enroll'!$A$3:$AL$327,MATCH(M$3,'2324 Jun 24 Enroll'!$3:$3,0),FALSE)</f>
        <v>0</v>
      </c>
      <c r="N6" s="77">
        <f>VLOOKUP($A6,'2324 Jun 24 Enroll'!$A$3:$AL$327,MATCH(N$3,'2324 Jun 24 Enroll'!$3:$3,0),FALSE)</f>
        <v>0</v>
      </c>
      <c r="O6" s="77">
        <f>VLOOKUP($A6,'2324 Jun 24 Enroll'!$A$3:$AL$327,MATCH(O$3,'2324 Jun 24 Enroll'!$3:$3,0),FALSE)</f>
        <v>0</v>
      </c>
      <c r="P6" s="77">
        <f>VLOOKUP($A6,'2324 Jun 24 Enroll'!$A$3:$AL$327,MATCH(P$3,'2324 Jun 24 Enroll'!$3:$3,0),FALSE)</f>
        <v>0</v>
      </c>
      <c r="Q6" s="77">
        <f>VLOOKUP($A6,'2324 Jun 24 Enroll'!$A$3:$AL$327,MATCH(Q$3,'2324 Jun 24 Enroll'!$3:$3,0),FALSE)</f>
        <v>0</v>
      </c>
      <c r="R6" s="108">
        <f t="shared" si="6"/>
        <v>673.63</v>
      </c>
      <c r="S6" s="77">
        <f>VLOOKUP($A6,'2324 Jun 24 Enroll'!$A$3:$AL$327,MATCH(S$3,'2324 Jun 24 Enroll'!$3:$3,0),FALSE)</f>
        <v>3.78</v>
      </c>
      <c r="T6" s="77">
        <f>VLOOKUP($A6,'2324 Jun 24 Enroll'!$A$3:$AL$327,MATCH(T$3,'2324 Jun 24 Enroll'!$3:$3,0),FALSE)</f>
        <v>0</v>
      </c>
      <c r="U6" s="77">
        <f>VLOOKUP($A6,'2324 Jun 24 Enroll'!$A$3:$AL$327,MATCH(U$3,'2324 Jun 24 Enroll'!$3:$3,0),FALSE)</f>
        <v>0</v>
      </c>
      <c r="V6" s="77">
        <f>VLOOKUP($A6,'2324 Jun 24 Enroll'!$A$3:$AL$327,MATCH(V$3,'2324 Jun 24 Enroll'!$3:$3,0),FALSE)</f>
        <v>61.33</v>
      </c>
      <c r="W6" s="77">
        <f>VLOOKUP($A6,'2324 Jun 24 Enroll'!$A$3:$AL$327,MATCH(W$3,'2324 Jun 24 Enroll'!$3:$3,0),FALSE)</f>
        <v>34.33</v>
      </c>
      <c r="X6" s="77">
        <f>VLOOKUP($A6,'2324 Jun 24 Enroll'!$A$3:$AL$327,MATCH(X$3,'2324 Jun 24 Enroll'!$3:$3,0),FALSE)</f>
        <v>673.63</v>
      </c>
      <c r="Y6" s="77">
        <f>VLOOKUP($A6,'2324 Jun 24 Enroll'!$A$3:$AL$327,MATCH(Y$3,'2324 Jun 24 Enroll'!$3:$3,0),FALSE)</f>
        <v>95.66</v>
      </c>
      <c r="Z6" s="92">
        <f t="shared" si="7"/>
        <v>0.14199999999999999</v>
      </c>
      <c r="AA6" s="92">
        <f t="shared" si="8"/>
        <v>0</v>
      </c>
      <c r="AB6" s="93">
        <v>119.42</v>
      </c>
      <c r="AC6" s="93">
        <f t="shared" si="9"/>
        <v>19.77</v>
      </c>
      <c r="AD6" s="94">
        <f>VLOOKUP($A6,'2324 Jun 24 Enroll'!$A$3:$AL$327,MATCH(AD$3,'2324 Jun 24 Enroll'!$3:$3,0),FALSE)</f>
        <v>0.15939999999999999</v>
      </c>
      <c r="AE6" s="94">
        <f>VLOOKUP($A6,'2324 Jun 24 Enroll'!$A$3:$AL$327,MATCH(AE$3,'2324 Jun 24 Enroll'!$3:$3,0),FALSE)</f>
        <v>0.2056</v>
      </c>
      <c r="AF6" s="93">
        <f>VLOOKUP($A6,'SpEd BEA Rate 2324'!$A$4:$AT$34,45,FALSE)</f>
        <v>9547.4</v>
      </c>
      <c r="AG6" s="102">
        <f t="shared" si="0"/>
        <v>42978.06</v>
      </c>
      <c r="AH6" s="102">
        <f t="shared" si="1"/>
        <v>0</v>
      </c>
      <c r="AI6" s="102">
        <f t="shared" si="2"/>
        <v>0</v>
      </c>
      <c r="AJ6" s="102">
        <f t="shared" si="3"/>
        <v>649546.99</v>
      </c>
      <c r="AK6" s="102">
        <f t="shared" si="4"/>
        <v>344073.21</v>
      </c>
      <c r="AL6" s="102">
        <f t="shared" si="5"/>
        <v>-24549.78</v>
      </c>
      <c r="AM6" s="45">
        <f t="shared" si="10"/>
        <v>906367.02</v>
      </c>
      <c r="AN6" s="45">
        <f t="shared" si="11"/>
        <v>781755.24</v>
      </c>
      <c r="AO6" s="102">
        <f t="shared" si="12"/>
        <v>160728.88</v>
      </c>
    </row>
    <row r="7" spans="1:41" ht="15.75" thickBot="1">
      <c r="A7" s="40" t="s">
        <v>518</v>
      </c>
      <c r="B7" s="40" t="s">
        <v>519</v>
      </c>
      <c r="C7" s="77">
        <f>VLOOKUP($A7,'2324 Jun 24 Enroll'!$A$3:$AL$327,MATCH(C$3,'2324 Jun 24 Enroll'!$3:$3,0),FALSE)</f>
        <v>17</v>
      </c>
      <c r="D7" s="77">
        <f>VLOOKUP($A7,'2324 Jun 24 Enroll'!$A$3:$AL$327,MATCH(D$3,'2324 Jun 24 Enroll'!$3:$3,0),FALSE)</f>
        <v>34.340000000000003</v>
      </c>
      <c r="E7" s="77">
        <f>VLOOKUP($A7,'2324 Jun 24 Enroll'!$A$3:$AL$327,MATCH(E$3,'2324 Jun 24 Enroll'!$3:$3,0),FALSE)</f>
        <v>315.48</v>
      </c>
      <c r="F7" s="77">
        <f>VLOOKUP($A7,'2324 Jun 24 Enroll'!$A$3:$AL$327,MATCH(F$3,'2324 Jun 24 Enroll'!$3:$3,0),FALSE)</f>
        <v>99.4</v>
      </c>
      <c r="G7" s="77">
        <f>VLOOKUP($A7,'2324 Jun 24 Enroll'!$A$3:$AL$327,MATCH(G$3,'2324 Jun 24 Enroll'!$3:$3,0),FALSE)</f>
        <v>186.98</v>
      </c>
      <c r="H7" s="77">
        <f>VLOOKUP($A7,'2324 Jun 24 Enroll'!$A$3:$AL$327,MATCH(H$3,'2324 Jun 24 Enroll'!$3:$3,0),FALSE)</f>
        <v>147.32</v>
      </c>
      <c r="I7" s="77">
        <f>VLOOKUP($A7,'2324 Jun 24 Enroll'!$A$3:$AL$327,MATCH(I$3,'2324 Jun 24 Enroll'!$3:$3,0),FALSE)</f>
        <v>279.11</v>
      </c>
      <c r="J7" s="108">
        <f>VLOOKUP($A7,'2324 Jun 24 Enroll'!$A$3:$AL$327,MATCH(J$3,'2324 Jun 24 Enroll'!$3:$3,0),FALSE)</f>
        <v>1028.29</v>
      </c>
      <c r="K7" s="77">
        <f>VLOOKUP($A7,'2324 Jun 24 Enroll'!$A$3:$AL$327,MATCH(K$3,'2324 Jun 24 Enroll'!$3:$3,0),FALSE)</f>
        <v>33.950000000000003</v>
      </c>
      <c r="L7" s="77">
        <f>VLOOKUP($A7,'2324 Jun 24 Enroll'!$A$3:$AL$327,MATCH(L$3,'2324 Jun 24 Enroll'!$3:$3,0),FALSE)</f>
        <v>2.36</v>
      </c>
      <c r="M7" s="77">
        <f>VLOOKUP($A7,'2324 Jun 24 Enroll'!$A$3:$AL$327,MATCH(M$3,'2324 Jun 24 Enroll'!$3:$3,0),FALSE)</f>
        <v>0.1</v>
      </c>
      <c r="N7" s="77">
        <f>VLOOKUP($A7,'2324 Jun 24 Enroll'!$A$3:$AL$327,MATCH(N$3,'2324 Jun 24 Enroll'!$3:$3,0),FALSE)</f>
        <v>0</v>
      </c>
      <c r="O7" s="77">
        <f>VLOOKUP($A7,'2324 Jun 24 Enroll'!$A$3:$AL$327,MATCH(O$3,'2324 Jun 24 Enroll'!$3:$3,0),FALSE)</f>
        <v>0</v>
      </c>
      <c r="P7" s="77">
        <f>VLOOKUP($A7,'2324 Jun 24 Enroll'!$A$3:$AL$327,MATCH(P$3,'2324 Jun 24 Enroll'!$3:$3,0),FALSE)</f>
        <v>1.1299999999999999</v>
      </c>
      <c r="Q7" s="77">
        <f>VLOOKUP($A7,'2324 Jun 24 Enroll'!$A$3:$AL$327,MATCH(Q$3,'2324 Jun 24 Enroll'!$3:$3,0),FALSE)</f>
        <v>37.229999999999997</v>
      </c>
      <c r="R7" s="108">
        <f t="shared" si="6"/>
        <v>1103.06</v>
      </c>
      <c r="S7" s="77">
        <f>VLOOKUP($A7,'2324 Jun 24 Enroll'!$A$3:$AL$327,MATCH(S$3,'2324 Jun 24 Enroll'!$3:$3,0),FALSE)</f>
        <v>10.220000000000001</v>
      </c>
      <c r="T7" s="77">
        <f>VLOOKUP($A7,'2324 Jun 24 Enroll'!$A$3:$AL$327,MATCH(T$3,'2324 Jun 24 Enroll'!$3:$3,0),FALSE)</f>
        <v>0</v>
      </c>
      <c r="U7" s="77">
        <f>VLOOKUP($A7,'2324 Jun 24 Enroll'!$A$3:$AL$327,MATCH(U$3,'2324 Jun 24 Enroll'!$3:$3,0),FALSE)</f>
        <v>0</v>
      </c>
      <c r="V7" s="77">
        <f>VLOOKUP($A7,'2324 Jun 24 Enroll'!$A$3:$AL$327,MATCH(V$3,'2324 Jun 24 Enroll'!$3:$3,0),FALSE)</f>
        <v>121.78</v>
      </c>
      <c r="W7" s="77">
        <f>VLOOKUP($A7,'2324 Jun 24 Enroll'!$A$3:$AL$327,MATCH(W$3,'2324 Jun 24 Enroll'!$3:$3,0),FALSE)</f>
        <v>62.11</v>
      </c>
      <c r="X7" s="77">
        <f>VLOOKUP($A7,'2324 Jun 24 Enroll'!$A$3:$AL$327,MATCH(X$3,'2324 Jun 24 Enroll'!$3:$3,0),FALSE)</f>
        <v>1138.68</v>
      </c>
      <c r="Y7" s="77">
        <f>VLOOKUP($A7,'2324 Jun 24 Enroll'!$A$3:$AL$327,MATCH(Y$3,'2324 Jun 24 Enroll'!$3:$3,0),FALSE)</f>
        <v>183.89</v>
      </c>
      <c r="Z7" s="92">
        <f t="shared" si="7"/>
        <v>0.1615</v>
      </c>
      <c r="AA7" s="92">
        <f t="shared" si="8"/>
        <v>1.150000000000001E-2</v>
      </c>
      <c r="AB7" s="93">
        <v>137.26</v>
      </c>
      <c r="AC7" s="93">
        <f t="shared" si="9"/>
        <v>22.72</v>
      </c>
      <c r="AD7" s="94">
        <f>VLOOKUP($A7,'2324 Jun 24 Enroll'!$A$3:$AL$327,MATCH(AD$3,'2324 Jun 24 Enroll'!$3:$3,0),FALSE)</f>
        <v>0.19919999999999999</v>
      </c>
      <c r="AE7" s="94">
        <f>VLOOKUP($A7,'2324 Jun 24 Enroll'!$A$3:$AL$327,MATCH(AE$3,'2324 Jun 24 Enroll'!$3:$3,0),FALSE)</f>
        <v>0.2056</v>
      </c>
      <c r="AF7" s="93">
        <f>VLOOKUP($A7,'SpEd BEA Rate 2324'!$A$4:$AT$34,45,FALSE)</f>
        <v>9550.31</v>
      </c>
      <c r="AG7" s="102">
        <f t="shared" si="0"/>
        <v>116199.93</v>
      </c>
      <c r="AH7" s="102">
        <f t="shared" si="1"/>
        <v>0</v>
      </c>
      <c r="AI7" s="102">
        <f t="shared" si="2"/>
        <v>0</v>
      </c>
      <c r="AJ7" s="102">
        <f t="shared" si="3"/>
        <v>1289773.8799999999</v>
      </c>
      <c r="AK7" s="102">
        <f t="shared" si="4"/>
        <v>622498.89</v>
      </c>
      <c r="AL7" s="102">
        <f t="shared" si="5"/>
        <v>-47247.31</v>
      </c>
      <c r="AM7" s="45">
        <f t="shared" si="10"/>
        <v>1742335.68</v>
      </c>
      <c r="AN7" s="45">
        <f t="shared" si="11"/>
        <v>1452915.01</v>
      </c>
      <c r="AO7" s="102">
        <f t="shared" si="12"/>
        <v>298719.33</v>
      </c>
    </row>
    <row r="8" spans="1:41" ht="15.75" thickBot="1">
      <c r="A8" s="40" t="s">
        <v>669</v>
      </c>
      <c r="B8" s="40" t="s">
        <v>670</v>
      </c>
      <c r="C8" s="77">
        <f>VLOOKUP($A8,'2324 Jun 24 Enroll'!$A$3:$AL$327,MATCH(C$3,'2324 Jun 24 Enroll'!$3:$3,0),FALSE)</f>
        <v>17</v>
      </c>
      <c r="D8" s="77">
        <f>VLOOKUP($A8,'2324 Jun 24 Enroll'!$A$3:$AL$327,MATCH(D$3,'2324 Jun 24 Enroll'!$3:$3,0),FALSE)</f>
        <v>0</v>
      </c>
      <c r="E8" s="77">
        <f>VLOOKUP($A8,'2324 Jun 24 Enroll'!$A$3:$AL$327,MATCH(E$3,'2324 Jun 24 Enroll'!$3:$3,0),FALSE)</f>
        <v>49.6</v>
      </c>
      <c r="F8" s="77">
        <f>VLOOKUP($A8,'2324 Jun 24 Enroll'!$A$3:$AL$327,MATCH(F$3,'2324 Jun 24 Enroll'!$3:$3,0),FALSE)</f>
        <v>12</v>
      </c>
      <c r="G8" s="77">
        <f>VLOOKUP($A8,'2324 Jun 24 Enroll'!$A$3:$AL$327,MATCH(G$3,'2324 Jun 24 Enroll'!$3:$3,0),FALSE)</f>
        <v>24.9</v>
      </c>
      <c r="H8" s="77">
        <f>VLOOKUP($A8,'2324 Jun 24 Enroll'!$A$3:$AL$327,MATCH(H$3,'2324 Jun 24 Enroll'!$3:$3,0),FALSE)</f>
        <v>22.56</v>
      </c>
      <c r="I8" s="77">
        <f>VLOOKUP($A8,'2324 Jun 24 Enroll'!$A$3:$AL$327,MATCH(I$3,'2324 Jun 24 Enroll'!$3:$3,0),FALSE)</f>
        <v>0</v>
      </c>
      <c r="J8" s="108">
        <f>VLOOKUP($A8,'2324 Jun 24 Enroll'!$A$3:$AL$327,MATCH(J$3,'2324 Jun 24 Enroll'!$3:$3,0),FALSE)</f>
        <v>109.06</v>
      </c>
      <c r="K8" s="77">
        <f>VLOOKUP($A8,'2324 Jun 24 Enroll'!$A$3:$AL$327,MATCH(K$3,'2324 Jun 24 Enroll'!$3:$3,0),FALSE)</f>
        <v>0</v>
      </c>
      <c r="L8" s="77">
        <f>VLOOKUP($A8,'2324 Jun 24 Enroll'!$A$3:$AL$327,MATCH(L$3,'2324 Jun 24 Enroll'!$3:$3,0),FALSE)</f>
        <v>0</v>
      </c>
      <c r="M8" s="77">
        <f>VLOOKUP($A8,'2324 Jun 24 Enroll'!$A$3:$AL$327,MATCH(M$3,'2324 Jun 24 Enroll'!$3:$3,0),FALSE)</f>
        <v>0</v>
      </c>
      <c r="N8" s="77">
        <f>VLOOKUP($A8,'2324 Jun 24 Enroll'!$A$3:$AL$327,MATCH(N$3,'2324 Jun 24 Enroll'!$3:$3,0),FALSE)</f>
        <v>0</v>
      </c>
      <c r="O8" s="77">
        <f>VLOOKUP($A8,'2324 Jun 24 Enroll'!$A$3:$AL$327,MATCH(O$3,'2324 Jun 24 Enroll'!$3:$3,0),FALSE)</f>
        <v>0</v>
      </c>
      <c r="P8" s="77">
        <f>VLOOKUP($A8,'2324 Jun 24 Enroll'!$A$3:$AL$327,MATCH(P$3,'2324 Jun 24 Enroll'!$3:$3,0),FALSE)</f>
        <v>0</v>
      </c>
      <c r="Q8" s="77">
        <f>VLOOKUP($A8,'2324 Jun 24 Enroll'!$A$3:$AL$327,MATCH(Q$3,'2324 Jun 24 Enroll'!$3:$3,0),FALSE)</f>
        <v>0</v>
      </c>
      <c r="R8" s="108">
        <f t="shared" si="6"/>
        <v>109.06</v>
      </c>
      <c r="S8" s="77">
        <f>VLOOKUP($A8,'2324 Jun 24 Enroll'!$A$3:$AL$327,MATCH(S$3,'2324 Jun 24 Enroll'!$3:$3,0),FALSE)</f>
        <v>2</v>
      </c>
      <c r="T8" s="77">
        <f>VLOOKUP($A8,'2324 Jun 24 Enroll'!$A$3:$AL$327,MATCH(T$3,'2324 Jun 24 Enroll'!$3:$3,0),FALSE)</f>
        <v>0</v>
      </c>
      <c r="U8" s="77">
        <f>VLOOKUP($A8,'2324 Jun 24 Enroll'!$A$3:$AL$327,MATCH(U$3,'2324 Jun 24 Enroll'!$3:$3,0),FALSE)</f>
        <v>0</v>
      </c>
      <c r="V8" s="77">
        <f>VLOOKUP($A8,'2324 Jun 24 Enroll'!$A$3:$AL$327,MATCH(V$3,'2324 Jun 24 Enroll'!$3:$3,0),FALSE)</f>
        <v>11.44</v>
      </c>
      <c r="W8" s="77">
        <f>VLOOKUP($A8,'2324 Jun 24 Enroll'!$A$3:$AL$327,MATCH(W$3,'2324 Jun 24 Enroll'!$3:$3,0),FALSE)</f>
        <v>4.78</v>
      </c>
      <c r="X8" s="77">
        <f>VLOOKUP($A8,'2324 Jun 24 Enroll'!$A$3:$AL$327,MATCH(X$3,'2324 Jun 24 Enroll'!$3:$3,0),FALSE)</f>
        <v>109.06</v>
      </c>
      <c r="Y8" s="77">
        <f>VLOOKUP($A8,'2324 Jun 24 Enroll'!$A$3:$AL$327,MATCH(Y$3,'2324 Jun 24 Enroll'!$3:$3,0),FALSE)</f>
        <v>16.22</v>
      </c>
      <c r="Z8" s="92">
        <f t="shared" si="7"/>
        <v>0.1487</v>
      </c>
      <c r="AA8" s="92">
        <f t="shared" si="8"/>
        <v>0</v>
      </c>
      <c r="AB8" s="93">
        <v>117.82</v>
      </c>
      <c r="AC8" s="93">
        <f t="shared" si="9"/>
        <v>19.5</v>
      </c>
      <c r="AD8" s="94">
        <f>VLOOKUP($A8,'2324 Jun 24 Enroll'!$A$3:$AL$327,MATCH(AD$3,'2324 Jun 24 Enroll'!$3:$3,0),FALSE)</f>
        <v>0.21729999999999999</v>
      </c>
      <c r="AE8" s="94">
        <f>VLOOKUP($A8,'2324 Jun 24 Enroll'!$A$3:$AL$327,MATCH(AE$3,'2324 Jun 24 Enroll'!$3:$3,0),FALSE)</f>
        <v>0.2056</v>
      </c>
      <c r="AF8" s="93">
        <f>VLOOKUP($A8,'SpEd BEA Rate 2324'!$A$4:$AT$34,45,FALSE)</f>
        <v>9837.1100000000042</v>
      </c>
      <c r="AG8" s="102">
        <f t="shared" si="0"/>
        <v>22739.71</v>
      </c>
      <c r="AH8" s="102">
        <f t="shared" si="1"/>
        <v>0</v>
      </c>
      <c r="AI8" s="102">
        <f t="shared" si="2"/>
        <v>0</v>
      </c>
      <c r="AJ8" s="102">
        <f t="shared" si="3"/>
        <v>121161.22</v>
      </c>
      <c r="AK8" s="102">
        <f t="shared" si="4"/>
        <v>47907.66</v>
      </c>
      <c r="AL8" s="102">
        <f t="shared" si="5"/>
        <v>-4177.25</v>
      </c>
      <c r="AM8" s="45">
        <f t="shared" si="10"/>
        <v>153682.54999999999</v>
      </c>
      <c r="AN8" s="45">
        <f t="shared" si="11"/>
        <v>126248.71</v>
      </c>
      <c r="AO8" s="102">
        <f t="shared" si="12"/>
        <v>25956.73</v>
      </c>
    </row>
    <row r="9" spans="1:41" ht="15.75" thickBot="1">
      <c r="A9" s="40" t="s">
        <v>677</v>
      </c>
      <c r="B9" s="40" t="s">
        <v>678</v>
      </c>
      <c r="C9" s="77">
        <f>VLOOKUP($A9,'2324 Jun 24 Enroll'!$A$3:$AL$327,MATCH(C$3,'2324 Jun 24 Enroll'!$3:$3,0),FALSE)</f>
        <v>17</v>
      </c>
      <c r="D9" s="77">
        <f>VLOOKUP($A9,'2324 Jun 24 Enroll'!$A$3:$AL$327,MATCH(D$3,'2324 Jun 24 Enroll'!$3:$3,0),FALSE)</f>
        <v>3</v>
      </c>
      <c r="E9" s="77">
        <f>VLOOKUP($A9,'2324 Jun 24 Enroll'!$A$3:$AL$327,MATCH(E$3,'2324 Jun 24 Enroll'!$3:$3,0),FALSE)</f>
        <v>15.2</v>
      </c>
      <c r="F9" s="77">
        <f>VLOOKUP($A9,'2324 Jun 24 Enroll'!$A$3:$AL$327,MATCH(F$3,'2324 Jun 24 Enroll'!$3:$3,0),FALSE)</f>
        <v>4</v>
      </c>
      <c r="G9" s="77">
        <f>VLOOKUP($A9,'2324 Jun 24 Enroll'!$A$3:$AL$327,MATCH(G$3,'2324 Jun 24 Enroll'!$3:$3,0),FALSE)</f>
        <v>4.5</v>
      </c>
      <c r="H9" s="77">
        <f>VLOOKUP($A9,'2324 Jun 24 Enroll'!$A$3:$AL$327,MATCH(H$3,'2324 Jun 24 Enroll'!$3:$3,0),FALSE)</f>
        <v>0</v>
      </c>
      <c r="I9" s="77">
        <f>VLOOKUP($A9,'2324 Jun 24 Enroll'!$A$3:$AL$327,MATCH(I$3,'2324 Jun 24 Enroll'!$3:$3,0),FALSE)</f>
        <v>0</v>
      </c>
      <c r="J9" s="108">
        <f>VLOOKUP($A9,'2324 Jun 24 Enroll'!$A$3:$AL$327,MATCH(J$3,'2324 Jun 24 Enroll'!$3:$3,0),FALSE)</f>
        <v>23.7</v>
      </c>
      <c r="K9" s="77">
        <f>VLOOKUP($A9,'2324 Jun 24 Enroll'!$A$3:$AL$327,MATCH(K$3,'2324 Jun 24 Enroll'!$3:$3,0),FALSE)</f>
        <v>0</v>
      </c>
      <c r="L9" s="77">
        <f>VLOOKUP($A9,'2324 Jun 24 Enroll'!$A$3:$AL$327,MATCH(L$3,'2324 Jun 24 Enroll'!$3:$3,0),FALSE)</f>
        <v>0</v>
      </c>
      <c r="M9" s="77">
        <f>VLOOKUP($A9,'2324 Jun 24 Enroll'!$A$3:$AL$327,MATCH(M$3,'2324 Jun 24 Enroll'!$3:$3,0),FALSE)</f>
        <v>0</v>
      </c>
      <c r="N9" s="77">
        <f>VLOOKUP($A9,'2324 Jun 24 Enroll'!$A$3:$AL$327,MATCH(N$3,'2324 Jun 24 Enroll'!$3:$3,0),FALSE)</f>
        <v>0</v>
      </c>
      <c r="O9" s="77">
        <f>VLOOKUP($A9,'2324 Jun 24 Enroll'!$A$3:$AL$327,MATCH(O$3,'2324 Jun 24 Enroll'!$3:$3,0),FALSE)</f>
        <v>0</v>
      </c>
      <c r="P9" s="77">
        <f>VLOOKUP($A9,'2324 Jun 24 Enroll'!$A$3:$AL$327,MATCH(P$3,'2324 Jun 24 Enroll'!$3:$3,0),FALSE)</f>
        <v>0</v>
      </c>
      <c r="Q9" s="77">
        <f>VLOOKUP($A9,'2324 Jun 24 Enroll'!$A$3:$AL$327,MATCH(Q$3,'2324 Jun 24 Enroll'!$3:$3,0),FALSE)</f>
        <v>0</v>
      </c>
      <c r="R9" s="108">
        <f t="shared" si="6"/>
        <v>23.7</v>
      </c>
      <c r="S9" s="77">
        <f>VLOOKUP($A9,'2324 Jun 24 Enroll'!$A$3:$AL$327,MATCH(S$3,'2324 Jun 24 Enroll'!$3:$3,0),FALSE)</f>
        <v>0</v>
      </c>
      <c r="T9" s="77">
        <f>VLOOKUP($A9,'2324 Jun 24 Enroll'!$A$3:$AL$327,MATCH(T$3,'2324 Jun 24 Enroll'!$3:$3,0),FALSE)</f>
        <v>0</v>
      </c>
      <c r="U9" s="77">
        <f>VLOOKUP($A9,'2324 Jun 24 Enroll'!$A$3:$AL$327,MATCH(U$3,'2324 Jun 24 Enroll'!$3:$3,0),FALSE)</f>
        <v>0</v>
      </c>
      <c r="V9" s="77">
        <f>VLOOKUP($A9,'2324 Jun 24 Enroll'!$A$3:$AL$327,MATCH(V$3,'2324 Jun 24 Enroll'!$3:$3,0),FALSE)</f>
        <v>3.89</v>
      </c>
      <c r="W9" s="77">
        <f>VLOOKUP($A9,'2324 Jun 24 Enroll'!$A$3:$AL$327,MATCH(W$3,'2324 Jun 24 Enroll'!$3:$3,0),FALSE)</f>
        <v>0</v>
      </c>
      <c r="X9" s="77">
        <f>VLOOKUP($A9,'2324 Jun 24 Enroll'!$A$3:$AL$327,MATCH(X$3,'2324 Jun 24 Enroll'!$3:$3,0),FALSE)</f>
        <v>26.7</v>
      </c>
      <c r="Y9" s="77">
        <f>VLOOKUP($A9,'2324 Jun 24 Enroll'!$A$3:$AL$327,MATCH(Y$3,'2324 Jun 24 Enroll'!$3:$3,0),FALSE)</f>
        <v>3.89</v>
      </c>
      <c r="Z9" s="92">
        <f t="shared" si="7"/>
        <v>0.1457</v>
      </c>
      <c r="AA9" s="92">
        <f t="shared" si="8"/>
        <v>0</v>
      </c>
      <c r="AB9" s="93">
        <v>130.18</v>
      </c>
      <c r="AC9" s="93">
        <f t="shared" si="9"/>
        <v>21.55</v>
      </c>
      <c r="AD9" s="94">
        <f>VLOOKUP($A9,'2324 Jun 24 Enroll'!$A$3:$AL$327,MATCH(AD$3,'2324 Jun 24 Enroll'!$3:$3,0),FALSE)</f>
        <v>0.72509999999999997</v>
      </c>
      <c r="AE9" s="94">
        <f>VLOOKUP($A9,'2324 Jun 24 Enroll'!$A$3:$AL$327,MATCH(AE$3,'2324 Jun 24 Enroll'!$3:$3,0),FALSE)</f>
        <v>0.2056</v>
      </c>
      <c r="AF9" s="93">
        <f>VLOOKUP($A9,'SpEd BEA Rate 2324'!$A$4:$AT$34,45,FALSE)</f>
        <v>10454.469999999999</v>
      </c>
      <c r="AG9" s="102">
        <f t="shared" si="0"/>
        <v>0</v>
      </c>
      <c r="AH9" s="102">
        <f t="shared" si="1"/>
        <v>0</v>
      </c>
      <c r="AI9" s="102">
        <f t="shared" si="2"/>
        <v>0</v>
      </c>
      <c r="AJ9" s="102">
        <f t="shared" si="3"/>
        <v>41199.050000000003</v>
      </c>
      <c r="AK9" s="102">
        <f t="shared" si="4"/>
        <v>0</v>
      </c>
      <c r="AL9" s="102">
        <f t="shared" si="5"/>
        <v>-1017.92</v>
      </c>
      <c r="AM9" s="45">
        <f t="shared" si="10"/>
        <v>36857.279999999999</v>
      </c>
      <c r="AN9" s="45">
        <f t="shared" si="11"/>
        <v>21365.3</v>
      </c>
      <c r="AO9" s="102">
        <f t="shared" si="12"/>
        <v>4392.71</v>
      </c>
    </row>
    <row r="10" spans="1:41" ht="15.75" thickBot="1">
      <c r="A10" s="40" t="s">
        <v>570</v>
      </c>
      <c r="B10" s="40" t="s">
        <v>571</v>
      </c>
      <c r="C10" s="77">
        <f>VLOOKUP($A10,'2324 Jun 24 Enroll'!$A$3:$AL$327,MATCH(C$3,'2324 Jun 24 Enroll'!$3:$3,0),FALSE)</f>
        <v>17</v>
      </c>
      <c r="D10" s="77">
        <f>VLOOKUP($A10,'2324 Jun 24 Enroll'!$A$3:$AL$327,MATCH(D$3,'2324 Jun 24 Enroll'!$3:$3,0),FALSE)</f>
        <v>0</v>
      </c>
      <c r="E10" s="77">
        <f>VLOOKUP($A10,'2324 Jun 24 Enroll'!$A$3:$AL$327,MATCH(E$3,'2324 Jun 24 Enroll'!$3:$3,0),FALSE)</f>
        <v>33.4</v>
      </c>
      <c r="F10" s="77">
        <f>VLOOKUP($A10,'2324 Jun 24 Enroll'!$A$3:$AL$327,MATCH(F$3,'2324 Jun 24 Enroll'!$3:$3,0),FALSE)</f>
        <v>9</v>
      </c>
      <c r="G10" s="77">
        <f>VLOOKUP($A10,'2324 Jun 24 Enroll'!$A$3:$AL$327,MATCH(G$3,'2324 Jun 24 Enroll'!$3:$3,0),FALSE)</f>
        <v>13.3</v>
      </c>
      <c r="H10" s="77">
        <f>VLOOKUP($A10,'2324 Jun 24 Enroll'!$A$3:$AL$327,MATCH(H$3,'2324 Jun 24 Enroll'!$3:$3,0),FALSE)</f>
        <v>15.4</v>
      </c>
      <c r="I10" s="77">
        <f>VLOOKUP($A10,'2324 Jun 24 Enroll'!$A$3:$AL$327,MATCH(I$3,'2324 Jun 24 Enroll'!$3:$3,0),FALSE)</f>
        <v>28.84</v>
      </c>
      <c r="J10" s="108">
        <f>VLOOKUP($A10,'2324 Jun 24 Enroll'!$A$3:$AL$327,MATCH(J$3,'2324 Jun 24 Enroll'!$3:$3,0),FALSE)</f>
        <v>99.94</v>
      </c>
      <c r="K10" s="77">
        <f>VLOOKUP($A10,'2324 Jun 24 Enroll'!$A$3:$AL$327,MATCH(K$3,'2324 Jun 24 Enroll'!$3:$3,0),FALSE)</f>
        <v>0</v>
      </c>
      <c r="L10" s="77">
        <f>VLOOKUP($A10,'2324 Jun 24 Enroll'!$A$3:$AL$327,MATCH(L$3,'2324 Jun 24 Enroll'!$3:$3,0),FALSE)</f>
        <v>0</v>
      </c>
      <c r="M10" s="77">
        <f>VLOOKUP($A10,'2324 Jun 24 Enroll'!$A$3:$AL$327,MATCH(M$3,'2324 Jun 24 Enroll'!$3:$3,0),FALSE)</f>
        <v>0</v>
      </c>
      <c r="N10" s="77">
        <f>VLOOKUP($A10,'2324 Jun 24 Enroll'!$A$3:$AL$327,MATCH(N$3,'2324 Jun 24 Enroll'!$3:$3,0),FALSE)</f>
        <v>0</v>
      </c>
      <c r="O10" s="77">
        <f>VLOOKUP($A10,'2324 Jun 24 Enroll'!$A$3:$AL$327,MATCH(O$3,'2324 Jun 24 Enroll'!$3:$3,0),FALSE)</f>
        <v>0</v>
      </c>
      <c r="P10" s="77">
        <f>VLOOKUP($A10,'2324 Jun 24 Enroll'!$A$3:$AL$327,MATCH(P$3,'2324 Jun 24 Enroll'!$3:$3,0),FALSE)</f>
        <v>0</v>
      </c>
      <c r="Q10" s="77">
        <f>VLOOKUP($A10,'2324 Jun 24 Enroll'!$A$3:$AL$327,MATCH(Q$3,'2324 Jun 24 Enroll'!$3:$3,0),FALSE)</f>
        <v>0</v>
      </c>
      <c r="R10" s="108">
        <f t="shared" si="6"/>
        <v>99.94</v>
      </c>
      <c r="S10" s="77">
        <f>VLOOKUP($A10,'2324 Jun 24 Enroll'!$A$3:$AL$327,MATCH(S$3,'2324 Jun 24 Enroll'!$3:$3,0),FALSE)</f>
        <v>2</v>
      </c>
      <c r="T10" s="77">
        <f>VLOOKUP($A10,'2324 Jun 24 Enroll'!$A$3:$AL$327,MATCH(T$3,'2324 Jun 24 Enroll'!$3:$3,0),FALSE)</f>
        <v>0</v>
      </c>
      <c r="U10" s="77">
        <f>VLOOKUP($A10,'2324 Jun 24 Enroll'!$A$3:$AL$327,MATCH(U$3,'2324 Jun 24 Enroll'!$3:$3,0),FALSE)</f>
        <v>0</v>
      </c>
      <c r="V10" s="77">
        <f>VLOOKUP($A10,'2324 Jun 24 Enroll'!$A$3:$AL$327,MATCH(V$3,'2324 Jun 24 Enroll'!$3:$3,0),FALSE)</f>
        <v>7.44</v>
      </c>
      <c r="W10" s="77">
        <f>VLOOKUP($A10,'2324 Jun 24 Enroll'!$A$3:$AL$327,MATCH(W$3,'2324 Jun 24 Enroll'!$3:$3,0),FALSE)</f>
        <v>3.33</v>
      </c>
      <c r="X10" s="77">
        <f>VLOOKUP($A10,'2324 Jun 24 Enroll'!$A$3:$AL$327,MATCH(X$3,'2324 Jun 24 Enroll'!$3:$3,0),FALSE)</f>
        <v>99.95</v>
      </c>
      <c r="Y10" s="77">
        <f>VLOOKUP($A10,'2324 Jun 24 Enroll'!$A$3:$AL$327,MATCH(Y$3,'2324 Jun 24 Enroll'!$3:$3,0),FALSE)</f>
        <v>10.77</v>
      </c>
      <c r="Z10" s="92">
        <f t="shared" si="7"/>
        <v>0.10780000000000001</v>
      </c>
      <c r="AA10" s="92">
        <f t="shared" si="8"/>
        <v>0</v>
      </c>
      <c r="AB10" s="93">
        <v>135.93</v>
      </c>
      <c r="AC10" s="93">
        <f t="shared" si="9"/>
        <v>22.5</v>
      </c>
      <c r="AD10" s="94">
        <f>VLOOKUP($A10,'2324 Jun 24 Enroll'!$A$3:$AL$327,MATCH(AD$3,'2324 Jun 24 Enroll'!$3:$3,0),FALSE)</f>
        <v>0.34100000000000003</v>
      </c>
      <c r="AE10" s="94">
        <f>VLOOKUP($A10,'2324 Jun 24 Enroll'!$A$3:$AL$327,MATCH(AE$3,'2324 Jun 24 Enroll'!$3:$3,0),FALSE)</f>
        <v>0.2056</v>
      </c>
      <c r="AF10" s="93">
        <f>VLOOKUP($A10,'SpEd BEA Rate 2324'!$A$4:$AT$34,45,FALSE)</f>
        <v>9614.75</v>
      </c>
      <c r="AG10" s="102">
        <f t="shared" si="0"/>
        <v>22739.71</v>
      </c>
      <c r="AH10" s="102">
        <f t="shared" si="1"/>
        <v>0</v>
      </c>
      <c r="AI10" s="102">
        <f t="shared" si="2"/>
        <v>0</v>
      </c>
      <c r="AJ10" s="102">
        <f t="shared" si="3"/>
        <v>78797.16</v>
      </c>
      <c r="AK10" s="102">
        <f t="shared" si="4"/>
        <v>33375</v>
      </c>
      <c r="AL10" s="102">
        <f t="shared" si="5"/>
        <v>-2771.48</v>
      </c>
      <c r="AM10" s="45">
        <f t="shared" si="10"/>
        <v>102044.46</v>
      </c>
      <c r="AN10" s="45">
        <f t="shared" si="11"/>
        <v>76095.789999999994</v>
      </c>
      <c r="AO10" s="102">
        <f t="shared" si="12"/>
        <v>15645.29</v>
      </c>
    </row>
    <row r="11" spans="1:41" ht="15.75" thickBot="1">
      <c r="A11" s="40" t="s">
        <v>861</v>
      </c>
      <c r="B11" s="40" t="s">
        <v>862</v>
      </c>
      <c r="C11" s="77">
        <f>VLOOKUP($A11,'2324 Jun 24 Enroll'!$A$3:$AL$327,MATCH(C$3,'2324 Jun 24 Enroll'!$3:$3,0),FALSE)</f>
        <v>17</v>
      </c>
      <c r="D11" s="77">
        <f>VLOOKUP($A11,'2324 Jun 24 Enroll'!$A$3:$AL$327,MATCH(D$3,'2324 Jun 24 Enroll'!$3:$3,0),FALSE)</f>
        <v>17.399999999999999</v>
      </c>
      <c r="E11" s="77">
        <f>VLOOKUP($A11,'2324 Jun 24 Enroll'!$A$3:$AL$327,MATCH(E$3,'2324 Jun 24 Enroll'!$3:$3,0),FALSE)</f>
        <v>73.599999999999994</v>
      </c>
      <c r="F11" s="77">
        <f>VLOOKUP($A11,'2324 Jun 24 Enroll'!$A$3:$AL$327,MATCH(F$3,'2324 Jun 24 Enroll'!$3:$3,0),FALSE)</f>
        <v>20</v>
      </c>
      <c r="G11" s="77">
        <f>VLOOKUP($A11,'2324 Jun 24 Enroll'!$A$3:$AL$327,MATCH(G$3,'2324 Jun 24 Enroll'!$3:$3,0),FALSE)</f>
        <v>25.64</v>
      </c>
      <c r="H11" s="77">
        <f>VLOOKUP($A11,'2324 Jun 24 Enroll'!$A$3:$AL$327,MATCH(H$3,'2324 Jun 24 Enroll'!$3:$3,0),FALSE)</f>
        <v>42.98</v>
      </c>
      <c r="I11" s="77">
        <f>VLOOKUP($A11,'2324 Jun 24 Enroll'!$A$3:$AL$327,MATCH(I$3,'2324 Jun 24 Enroll'!$3:$3,0),FALSE)</f>
        <v>72.08</v>
      </c>
      <c r="J11" s="108">
        <f>VLOOKUP($A11,'2324 Jun 24 Enroll'!$A$3:$AL$327,MATCH(J$3,'2324 Jun 24 Enroll'!$3:$3,0),FALSE)</f>
        <v>234.3</v>
      </c>
      <c r="K11" s="77">
        <f>VLOOKUP($A11,'2324 Jun 24 Enroll'!$A$3:$AL$327,MATCH(K$3,'2324 Jun 24 Enroll'!$3:$3,0),FALSE)</f>
        <v>3.22</v>
      </c>
      <c r="L11" s="77">
        <f>VLOOKUP($A11,'2324 Jun 24 Enroll'!$A$3:$AL$327,MATCH(L$3,'2324 Jun 24 Enroll'!$3:$3,0),FALSE)</f>
        <v>0.27</v>
      </c>
      <c r="M11" s="77">
        <f>VLOOKUP($A11,'2324 Jun 24 Enroll'!$A$3:$AL$327,MATCH(M$3,'2324 Jun 24 Enroll'!$3:$3,0),FALSE)</f>
        <v>0</v>
      </c>
      <c r="N11" s="77">
        <f>VLOOKUP($A11,'2324 Jun 24 Enroll'!$A$3:$AL$327,MATCH(N$3,'2324 Jun 24 Enroll'!$3:$3,0),FALSE)</f>
        <v>0</v>
      </c>
      <c r="O11" s="77">
        <f>VLOOKUP($A11,'2324 Jun 24 Enroll'!$A$3:$AL$327,MATCH(O$3,'2324 Jun 24 Enroll'!$3:$3,0),FALSE)</f>
        <v>0</v>
      </c>
      <c r="P11" s="77">
        <f>VLOOKUP($A11,'2324 Jun 24 Enroll'!$A$3:$AL$327,MATCH(P$3,'2324 Jun 24 Enroll'!$3:$3,0),FALSE)</f>
        <v>0</v>
      </c>
      <c r="Q11" s="77">
        <f>VLOOKUP($A11,'2324 Jun 24 Enroll'!$A$3:$AL$327,MATCH(Q$3,'2324 Jun 24 Enroll'!$3:$3,0),FALSE)</f>
        <v>0</v>
      </c>
      <c r="R11" s="108">
        <f t="shared" si="6"/>
        <v>237.79000000000002</v>
      </c>
      <c r="S11" s="77">
        <f>VLOOKUP($A11,'2324 Jun 24 Enroll'!$A$3:$AL$327,MATCH(S$3,'2324 Jun 24 Enroll'!$3:$3,0),FALSE)</f>
        <v>3.89</v>
      </c>
      <c r="T11" s="77">
        <f>VLOOKUP($A11,'2324 Jun 24 Enroll'!$A$3:$AL$327,MATCH(T$3,'2324 Jun 24 Enroll'!$3:$3,0),FALSE)</f>
        <v>0</v>
      </c>
      <c r="U11" s="77">
        <f>VLOOKUP($A11,'2324 Jun 24 Enroll'!$A$3:$AL$327,MATCH(U$3,'2324 Jun 24 Enroll'!$3:$3,0),FALSE)</f>
        <v>0</v>
      </c>
      <c r="V11" s="77">
        <f>VLOOKUP($A11,'2324 Jun 24 Enroll'!$A$3:$AL$327,MATCH(V$3,'2324 Jun 24 Enroll'!$3:$3,0),FALSE)</f>
        <v>38.11</v>
      </c>
      <c r="W11" s="77">
        <f>VLOOKUP($A11,'2324 Jun 24 Enroll'!$A$3:$AL$327,MATCH(W$3,'2324 Jun 24 Enroll'!$3:$3,0),FALSE)</f>
        <v>4</v>
      </c>
      <c r="X11" s="77">
        <f>VLOOKUP($A11,'2324 Jun 24 Enroll'!$A$3:$AL$327,MATCH(X$3,'2324 Jun 24 Enroll'!$3:$3,0),FALSE)</f>
        <v>255.77</v>
      </c>
      <c r="Y11" s="77">
        <f>VLOOKUP($A11,'2324 Jun 24 Enroll'!$A$3:$AL$327,MATCH(Y$3,'2324 Jun 24 Enroll'!$3:$3,0),FALSE)</f>
        <v>42.11</v>
      </c>
      <c r="Z11" s="92">
        <f t="shared" si="7"/>
        <v>0.1646</v>
      </c>
      <c r="AA11" s="92">
        <f t="shared" si="8"/>
        <v>1.4600000000000002E-2</v>
      </c>
      <c r="AB11" s="93">
        <v>130.53</v>
      </c>
      <c r="AC11" s="93">
        <f t="shared" si="9"/>
        <v>21.6</v>
      </c>
      <c r="AD11" s="94">
        <f>VLOOKUP($A11,'2324 Jun 24 Enroll'!$A$3:$AL$327,MATCH(AD$3,'2324 Jun 24 Enroll'!$3:$3,0),FALSE)</f>
        <v>0.25659999999999999</v>
      </c>
      <c r="AE11" s="94">
        <f>VLOOKUP($A11,'2324 Jun 24 Enroll'!$A$3:$AL$327,MATCH(AE$3,'2324 Jun 24 Enroll'!$3:$3,0),FALSE)</f>
        <v>0.2056</v>
      </c>
      <c r="AF11" s="93">
        <f>VLOOKUP($A11,'SpEd BEA Rate 2324'!$A$4:$AT$34,45,FALSE)</f>
        <v>9678.5399999999991</v>
      </c>
      <c r="AG11" s="102">
        <f t="shared" si="0"/>
        <v>44228.74</v>
      </c>
      <c r="AH11" s="102">
        <f t="shared" si="1"/>
        <v>0</v>
      </c>
      <c r="AI11" s="102">
        <f t="shared" si="2"/>
        <v>0</v>
      </c>
      <c r="AJ11" s="102">
        <f t="shared" si="3"/>
        <v>403623.6</v>
      </c>
      <c r="AK11" s="102">
        <f t="shared" si="4"/>
        <v>40090.089999999997</v>
      </c>
      <c r="AL11" s="102">
        <f t="shared" si="5"/>
        <v>-10963.02</v>
      </c>
      <c r="AM11" s="45">
        <f t="shared" si="10"/>
        <v>398987.2</v>
      </c>
      <c r="AN11" s="45">
        <f t="shared" si="11"/>
        <v>317513.28999999998</v>
      </c>
      <c r="AO11" s="102">
        <f t="shared" si="12"/>
        <v>65280.73</v>
      </c>
    </row>
    <row r="12" spans="1:41" ht="15.75" thickBot="1">
      <c r="A12" s="40" t="s">
        <v>516</v>
      </c>
      <c r="B12" s="40" t="s">
        <v>517</v>
      </c>
      <c r="C12" s="77">
        <f>VLOOKUP($A12,'2324 Jun 24 Enroll'!$A$3:$AL$327,MATCH(C$3,'2324 Jun 24 Enroll'!$3:$3,0),FALSE)</f>
        <v>17</v>
      </c>
      <c r="D12" s="77">
        <f>VLOOKUP($A12,'2324 Jun 24 Enroll'!$A$3:$AL$327,MATCH(D$3,'2324 Jun 24 Enroll'!$3:$3,0),FALSE)</f>
        <v>0</v>
      </c>
      <c r="E12" s="77">
        <f>VLOOKUP($A12,'2324 Jun 24 Enroll'!$A$3:$AL$327,MATCH(E$3,'2324 Jun 24 Enroll'!$3:$3,0),FALSE)</f>
        <v>15</v>
      </c>
      <c r="F12" s="77">
        <f>VLOOKUP($A12,'2324 Jun 24 Enroll'!$A$3:$AL$327,MATCH(F$3,'2324 Jun 24 Enroll'!$3:$3,0),FALSE)</f>
        <v>5.7</v>
      </c>
      <c r="G12" s="77">
        <f>VLOOKUP($A12,'2324 Jun 24 Enroll'!$A$3:$AL$327,MATCH(G$3,'2324 Jun 24 Enroll'!$3:$3,0),FALSE)</f>
        <v>10.1</v>
      </c>
      <c r="H12" s="77">
        <f>VLOOKUP($A12,'2324 Jun 24 Enroll'!$A$3:$AL$327,MATCH(H$3,'2324 Jun 24 Enroll'!$3:$3,0),FALSE)</f>
        <v>5.0999999999999996</v>
      </c>
      <c r="I12" s="77">
        <f>VLOOKUP($A12,'2324 Jun 24 Enroll'!$A$3:$AL$327,MATCH(I$3,'2324 Jun 24 Enroll'!$3:$3,0),FALSE)</f>
        <v>11.88</v>
      </c>
      <c r="J12" s="108">
        <f>VLOOKUP($A12,'2324 Jun 24 Enroll'!$A$3:$AL$327,MATCH(J$3,'2324 Jun 24 Enroll'!$3:$3,0),FALSE)</f>
        <v>47.78</v>
      </c>
      <c r="K12" s="77">
        <f>VLOOKUP($A12,'2324 Jun 24 Enroll'!$A$3:$AL$327,MATCH(K$3,'2324 Jun 24 Enroll'!$3:$3,0),FALSE)</f>
        <v>0.55000000000000004</v>
      </c>
      <c r="L12" s="77">
        <f>VLOOKUP($A12,'2324 Jun 24 Enroll'!$A$3:$AL$327,MATCH(L$3,'2324 Jun 24 Enroll'!$3:$3,0),FALSE)</f>
        <v>0.18</v>
      </c>
      <c r="M12" s="77">
        <f>VLOOKUP($A12,'2324 Jun 24 Enroll'!$A$3:$AL$327,MATCH(M$3,'2324 Jun 24 Enroll'!$3:$3,0),FALSE)</f>
        <v>0</v>
      </c>
      <c r="N12" s="77">
        <f>VLOOKUP($A12,'2324 Jun 24 Enroll'!$A$3:$AL$327,MATCH(N$3,'2324 Jun 24 Enroll'!$3:$3,0),FALSE)</f>
        <v>0</v>
      </c>
      <c r="O12" s="77">
        <f>VLOOKUP($A12,'2324 Jun 24 Enroll'!$A$3:$AL$327,MATCH(O$3,'2324 Jun 24 Enroll'!$3:$3,0),FALSE)</f>
        <v>0</v>
      </c>
      <c r="P12" s="77">
        <f>VLOOKUP($A12,'2324 Jun 24 Enroll'!$A$3:$AL$327,MATCH(P$3,'2324 Jun 24 Enroll'!$3:$3,0),FALSE)</f>
        <v>0</v>
      </c>
      <c r="Q12" s="77">
        <f>VLOOKUP($A12,'2324 Jun 24 Enroll'!$A$3:$AL$327,MATCH(Q$3,'2324 Jun 24 Enroll'!$3:$3,0),FALSE)</f>
        <v>0</v>
      </c>
      <c r="R12" s="108">
        <f t="shared" si="6"/>
        <v>48.51</v>
      </c>
      <c r="S12" s="77">
        <f>VLOOKUP($A12,'2324 Jun 24 Enroll'!$A$3:$AL$327,MATCH(S$3,'2324 Jun 24 Enroll'!$3:$3,0),FALSE)</f>
        <v>0</v>
      </c>
      <c r="T12" s="77">
        <f>VLOOKUP($A12,'2324 Jun 24 Enroll'!$A$3:$AL$327,MATCH(T$3,'2324 Jun 24 Enroll'!$3:$3,0),FALSE)</f>
        <v>0</v>
      </c>
      <c r="U12" s="77">
        <f>VLOOKUP($A12,'2324 Jun 24 Enroll'!$A$3:$AL$327,MATCH(U$3,'2324 Jun 24 Enroll'!$3:$3,0),FALSE)</f>
        <v>0</v>
      </c>
      <c r="V12" s="77">
        <f>VLOOKUP($A12,'2324 Jun 24 Enroll'!$A$3:$AL$327,MATCH(V$3,'2324 Jun 24 Enroll'!$3:$3,0),FALSE)</f>
        <v>12</v>
      </c>
      <c r="W12" s="77">
        <f>VLOOKUP($A12,'2324 Jun 24 Enroll'!$A$3:$AL$327,MATCH(W$3,'2324 Jun 24 Enroll'!$3:$3,0),FALSE)</f>
        <v>0</v>
      </c>
      <c r="X12" s="77">
        <f>VLOOKUP($A12,'2324 Jun 24 Enroll'!$A$3:$AL$327,MATCH(X$3,'2324 Jun 24 Enroll'!$3:$3,0),FALSE)</f>
        <v>48.51</v>
      </c>
      <c r="Y12" s="77">
        <f>VLOOKUP($A12,'2324 Jun 24 Enroll'!$A$3:$AL$327,MATCH(Y$3,'2324 Jun 24 Enroll'!$3:$3,0),FALSE)</f>
        <v>12</v>
      </c>
      <c r="Z12" s="92">
        <f t="shared" si="7"/>
        <v>0.24740000000000001</v>
      </c>
      <c r="AA12" s="92">
        <f t="shared" si="8"/>
        <v>9.7400000000000014E-2</v>
      </c>
      <c r="AB12" s="93">
        <v>127.81</v>
      </c>
      <c r="AC12" s="93">
        <f t="shared" si="9"/>
        <v>21.15</v>
      </c>
      <c r="AD12" s="94">
        <f>VLOOKUP($A12,'2324 Jun 24 Enroll'!$A$3:$AL$327,MATCH(AD$3,'2324 Jun 24 Enroll'!$3:$3,0),FALSE)</f>
        <v>0.46110000000000001</v>
      </c>
      <c r="AE12" s="94">
        <f>VLOOKUP($A12,'2324 Jun 24 Enroll'!$A$3:$AL$327,MATCH(AE$3,'2324 Jun 24 Enroll'!$3:$3,0),FALSE)</f>
        <v>0.2056</v>
      </c>
      <c r="AF12" s="93">
        <f>VLOOKUP($A12,'SpEd BEA Rate 2324'!$A$4:$AT$34,45,FALSE)</f>
        <v>9636.64</v>
      </c>
      <c r="AG12" s="102">
        <f t="shared" si="0"/>
        <v>0</v>
      </c>
      <c r="AH12" s="102">
        <f t="shared" si="1"/>
        <v>0</v>
      </c>
      <c r="AI12" s="102">
        <f t="shared" si="2"/>
        <v>0</v>
      </c>
      <c r="AJ12" s="102">
        <f t="shared" si="3"/>
        <v>127092.19</v>
      </c>
      <c r="AK12" s="102">
        <f t="shared" si="4"/>
        <v>0</v>
      </c>
      <c r="AL12" s="102">
        <f t="shared" si="5"/>
        <v>-3140.12</v>
      </c>
      <c r="AM12" s="45">
        <f t="shared" si="10"/>
        <v>113698.56</v>
      </c>
      <c r="AN12" s="45">
        <f t="shared" si="11"/>
        <v>77817.100000000006</v>
      </c>
      <c r="AO12" s="102">
        <f t="shared" si="12"/>
        <v>15999.2</v>
      </c>
    </row>
    <row r="13" spans="1:41" ht="15.75" thickBot="1">
      <c r="A13" s="40" t="s">
        <v>544</v>
      </c>
      <c r="B13" s="40" t="s">
        <v>545</v>
      </c>
      <c r="C13" s="77">
        <f>VLOOKUP($A13,'2324 Jun 24 Enroll'!$A$3:$AL$327,MATCH(C$3,'2324 Jun 24 Enroll'!$3:$3,0),FALSE)</f>
        <v>17</v>
      </c>
      <c r="D13" s="77">
        <f>VLOOKUP($A13,'2324 Jun 24 Enroll'!$A$3:$AL$327,MATCH(D$3,'2324 Jun 24 Enroll'!$3:$3,0),FALSE)</f>
        <v>0</v>
      </c>
      <c r="E13" s="77">
        <f>VLOOKUP($A13,'2324 Jun 24 Enroll'!$A$3:$AL$327,MATCH(E$3,'2324 Jun 24 Enroll'!$3:$3,0),FALSE)</f>
        <v>53.9</v>
      </c>
      <c r="F13" s="77">
        <f>VLOOKUP($A13,'2324 Jun 24 Enroll'!$A$3:$AL$327,MATCH(F$3,'2324 Jun 24 Enroll'!$3:$3,0),FALSE)</f>
        <v>24.5</v>
      </c>
      <c r="G13" s="77">
        <f>VLOOKUP($A13,'2324 Jun 24 Enroll'!$A$3:$AL$327,MATCH(G$3,'2324 Jun 24 Enroll'!$3:$3,0),FALSE)</f>
        <v>28.2</v>
      </c>
      <c r="H13" s="77">
        <f>VLOOKUP($A13,'2324 Jun 24 Enroll'!$A$3:$AL$327,MATCH(H$3,'2324 Jun 24 Enroll'!$3:$3,0),FALSE)</f>
        <v>34.200000000000003</v>
      </c>
      <c r="I13" s="77">
        <f>VLOOKUP($A13,'2324 Jun 24 Enroll'!$A$3:$AL$327,MATCH(I$3,'2324 Jun 24 Enroll'!$3:$3,0),FALSE)</f>
        <v>51.94</v>
      </c>
      <c r="J13" s="108">
        <f>VLOOKUP($A13,'2324 Jun 24 Enroll'!$A$3:$AL$327,MATCH(J$3,'2324 Jun 24 Enroll'!$3:$3,0),FALSE)</f>
        <v>192.74</v>
      </c>
      <c r="K13" s="77">
        <f>VLOOKUP($A13,'2324 Jun 24 Enroll'!$A$3:$AL$327,MATCH(K$3,'2324 Jun 24 Enroll'!$3:$3,0),FALSE)</f>
        <v>2.15</v>
      </c>
      <c r="L13" s="77">
        <f>VLOOKUP($A13,'2324 Jun 24 Enroll'!$A$3:$AL$327,MATCH(L$3,'2324 Jun 24 Enroll'!$3:$3,0),FALSE)</f>
        <v>3.46</v>
      </c>
      <c r="M13" s="77">
        <f>VLOOKUP($A13,'2324 Jun 24 Enroll'!$A$3:$AL$327,MATCH(M$3,'2324 Jun 24 Enroll'!$3:$3,0),FALSE)</f>
        <v>0.5</v>
      </c>
      <c r="N13" s="77">
        <f>VLOOKUP($A13,'2324 Jun 24 Enroll'!$A$3:$AL$327,MATCH(N$3,'2324 Jun 24 Enroll'!$3:$3,0),FALSE)</f>
        <v>0</v>
      </c>
      <c r="O13" s="77">
        <f>VLOOKUP($A13,'2324 Jun 24 Enroll'!$A$3:$AL$327,MATCH(O$3,'2324 Jun 24 Enroll'!$3:$3,0),FALSE)</f>
        <v>0.5</v>
      </c>
      <c r="P13" s="77">
        <f>VLOOKUP($A13,'2324 Jun 24 Enroll'!$A$3:$AL$327,MATCH(P$3,'2324 Jun 24 Enroll'!$3:$3,0),FALSE)</f>
        <v>2.7</v>
      </c>
      <c r="Q13" s="77">
        <f>VLOOKUP($A13,'2324 Jun 24 Enroll'!$A$3:$AL$327,MATCH(Q$3,'2324 Jun 24 Enroll'!$3:$3,0),FALSE)</f>
        <v>5.97</v>
      </c>
      <c r="R13" s="108">
        <f t="shared" si="6"/>
        <v>208.02</v>
      </c>
      <c r="S13" s="77">
        <f>VLOOKUP($A13,'2324 Jun 24 Enroll'!$A$3:$AL$327,MATCH(S$3,'2324 Jun 24 Enroll'!$3:$3,0),FALSE)</f>
        <v>1.56</v>
      </c>
      <c r="T13" s="77">
        <f>VLOOKUP($A13,'2324 Jun 24 Enroll'!$A$3:$AL$327,MATCH(T$3,'2324 Jun 24 Enroll'!$3:$3,0),FALSE)</f>
        <v>0</v>
      </c>
      <c r="U13" s="77">
        <f>VLOOKUP($A13,'2324 Jun 24 Enroll'!$A$3:$AL$327,MATCH(U$3,'2324 Jun 24 Enroll'!$3:$3,0),FALSE)</f>
        <v>0</v>
      </c>
      <c r="V13" s="77">
        <f>VLOOKUP($A13,'2324 Jun 24 Enroll'!$A$3:$AL$327,MATCH(V$3,'2324 Jun 24 Enroll'!$3:$3,0),FALSE)</f>
        <v>16.329999999999998</v>
      </c>
      <c r="W13" s="77">
        <f>VLOOKUP($A13,'2324 Jun 24 Enroll'!$A$3:$AL$327,MATCH(W$3,'2324 Jun 24 Enroll'!$3:$3,0),FALSE)</f>
        <v>21.67</v>
      </c>
      <c r="X13" s="77">
        <f>VLOOKUP($A13,'2324 Jun 24 Enroll'!$A$3:$AL$327,MATCH(X$3,'2324 Jun 24 Enroll'!$3:$3,0),FALSE)</f>
        <v>208.02</v>
      </c>
      <c r="Y13" s="77">
        <f>VLOOKUP($A13,'2324 Jun 24 Enroll'!$A$3:$AL$327,MATCH(Y$3,'2324 Jun 24 Enroll'!$3:$3,0),FALSE)</f>
        <v>38</v>
      </c>
      <c r="Z13" s="92">
        <f t="shared" si="7"/>
        <v>0.1827</v>
      </c>
      <c r="AA13" s="92">
        <f t="shared" si="8"/>
        <v>3.2700000000000007E-2</v>
      </c>
      <c r="AB13" s="93">
        <v>140.57</v>
      </c>
      <c r="AC13" s="93">
        <f t="shared" si="9"/>
        <v>23.27</v>
      </c>
      <c r="AD13" s="94">
        <f>VLOOKUP($A13,'2324 Jun 24 Enroll'!$A$3:$AL$327,MATCH(AD$3,'2324 Jun 24 Enroll'!$3:$3,0),FALSE)</f>
        <v>0.25519999999999998</v>
      </c>
      <c r="AE13" s="94">
        <f>VLOOKUP($A13,'2324 Jun 24 Enroll'!$A$3:$AL$327,MATCH(AE$3,'2324 Jun 24 Enroll'!$3:$3,0),FALSE)</f>
        <v>0.2056</v>
      </c>
      <c r="AF13" s="93">
        <f>VLOOKUP($A13,'SpEd BEA Rate 2324'!$A$4:$AT$34,45,FALSE)</f>
        <v>9420.4100000000017</v>
      </c>
      <c r="AG13" s="102">
        <f t="shared" si="0"/>
        <v>17736.98</v>
      </c>
      <c r="AH13" s="102">
        <f t="shared" si="1"/>
        <v>0</v>
      </c>
      <c r="AI13" s="102">
        <f t="shared" si="2"/>
        <v>0</v>
      </c>
      <c r="AJ13" s="102">
        <f t="shared" si="3"/>
        <v>172951.28</v>
      </c>
      <c r="AK13" s="102">
        <f t="shared" si="4"/>
        <v>217188.07</v>
      </c>
      <c r="AL13" s="102">
        <f t="shared" si="5"/>
        <v>-9639.33</v>
      </c>
      <c r="AM13" s="45">
        <f t="shared" si="10"/>
        <v>360045.44</v>
      </c>
      <c r="AN13" s="45">
        <f t="shared" si="11"/>
        <v>286843.08</v>
      </c>
      <c r="AO13" s="102">
        <f t="shared" si="12"/>
        <v>58974.94</v>
      </c>
    </row>
    <row r="14" spans="1:41" ht="15.75" thickBot="1">
      <c r="A14" s="40" t="s">
        <v>887</v>
      </c>
      <c r="B14" s="40" t="s">
        <v>888</v>
      </c>
      <c r="C14" s="77">
        <f>VLOOKUP($A14,'2324 Jun 24 Enroll'!$A$3:$AL$327,MATCH(C$3,'2324 Jun 24 Enroll'!$3:$3,0),FALSE)</f>
        <v>17</v>
      </c>
      <c r="D14" s="77">
        <f>VLOOKUP($A14,'2324 Jun 24 Enroll'!$A$3:$AL$327,MATCH(D$3,'2324 Jun 24 Enroll'!$3:$3,0),FALSE)</f>
        <v>0</v>
      </c>
      <c r="E14" s="77">
        <f>VLOOKUP($A14,'2324 Jun 24 Enroll'!$A$3:$AL$327,MATCH(E$3,'2324 Jun 24 Enroll'!$3:$3,0),FALSE)</f>
        <v>35.6</v>
      </c>
      <c r="F14" s="77">
        <f>VLOOKUP($A14,'2324 Jun 24 Enroll'!$A$3:$AL$327,MATCH(F$3,'2324 Jun 24 Enroll'!$3:$3,0),FALSE)</f>
        <v>6.1</v>
      </c>
      <c r="G14" s="77">
        <f>VLOOKUP($A14,'2324 Jun 24 Enroll'!$A$3:$AL$327,MATCH(G$3,'2324 Jun 24 Enroll'!$3:$3,0),FALSE)</f>
        <v>15.7</v>
      </c>
      <c r="H14" s="77">
        <f>VLOOKUP($A14,'2324 Jun 24 Enroll'!$A$3:$AL$327,MATCH(H$3,'2324 Jun 24 Enroll'!$3:$3,0),FALSE)</f>
        <v>17.100000000000001</v>
      </c>
      <c r="I14" s="77">
        <f>VLOOKUP($A14,'2324 Jun 24 Enroll'!$A$3:$AL$327,MATCH(I$3,'2324 Jun 24 Enroll'!$3:$3,0),FALSE)</f>
        <v>25.93</v>
      </c>
      <c r="J14" s="108">
        <f>VLOOKUP($A14,'2324 Jun 24 Enroll'!$A$3:$AL$327,MATCH(J$3,'2324 Jun 24 Enroll'!$3:$3,0),FALSE)</f>
        <v>100.43</v>
      </c>
      <c r="K14" s="77">
        <f>VLOOKUP($A14,'2324 Jun 24 Enroll'!$A$3:$AL$327,MATCH(K$3,'2324 Jun 24 Enroll'!$3:$3,0),FALSE)</f>
        <v>0</v>
      </c>
      <c r="L14" s="77">
        <f>VLOOKUP($A14,'2324 Jun 24 Enroll'!$A$3:$AL$327,MATCH(L$3,'2324 Jun 24 Enroll'!$3:$3,0),FALSE)</f>
        <v>0</v>
      </c>
      <c r="M14" s="77">
        <f>VLOOKUP($A14,'2324 Jun 24 Enroll'!$A$3:$AL$327,MATCH(M$3,'2324 Jun 24 Enroll'!$3:$3,0),FALSE)</f>
        <v>0</v>
      </c>
      <c r="N14" s="77">
        <f>VLOOKUP($A14,'2324 Jun 24 Enroll'!$A$3:$AL$327,MATCH(N$3,'2324 Jun 24 Enroll'!$3:$3,0),FALSE)</f>
        <v>0</v>
      </c>
      <c r="O14" s="77">
        <f>VLOOKUP($A14,'2324 Jun 24 Enroll'!$A$3:$AL$327,MATCH(O$3,'2324 Jun 24 Enroll'!$3:$3,0),FALSE)</f>
        <v>0</v>
      </c>
      <c r="P14" s="77">
        <f>VLOOKUP($A14,'2324 Jun 24 Enroll'!$A$3:$AL$327,MATCH(P$3,'2324 Jun 24 Enroll'!$3:$3,0),FALSE)</f>
        <v>0</v>
      </c>
      <c r="Q14" s="77">
        <f>VLOOKUP($A14,'2324 Jun 24 Enroll'!$A$3:$AL$327,MATCH(Q$3,'2324 Jun 24 Enroll'!$3:$3,0),FALSE)</f>
        <v>0</v>
      </c>
      <c r="R14" s="108">
        <f t="shared" si="6"/>
        <v>100.43</v>
      </c>
      <c r="S14" s="77">
        <f>VLOOKUP($A14,'2324 Jun 24 Enroll'!$A$3:$AL$327,MATCH(S$3,'2324 Jun 24 Enroll'!$3:$3,0),FALSE)</f>
        <v>0.22</v>
      </c>
      <c r="T14" s="77">
        <f>VLOOKUP($A14,'2324 Jun 24 Enroll'!$A$3:$AL$327,MATCH(T$3,'2324 Jun 24 Enroll'!$3:$3,0),FALSE)</f>
        <v>0</v>
      </c>
      <c r="U14" s="77">
        <f>VLOOKUP($A14,'2324 Jun 24 Enroll'!$A$3:$AL$327,MATCH(U$3,'2324 Jun 24 Enroll'!$3:$3,0),FALSE)</f>
        <v>0</v>
      </c>
      <c r="V14" s="77">
        <f>VLOOKUP($A14,'2324 Jun 24 Enroll'!$A$3:$AL$327,MATCH(V$3,'2324 Jun 24 Enroll'!$3:$3,0),FALSE)</f>
        <v>12.33</v>
      </c>
      <c r="W14" s="77">
        <f>VLOOKUP($A14,'2324 Jun 24 Enroll'!$A$3:$AL$327,MATCH(W$3,'2324 Jun 24 Enroll'!$3:$3,0),FALSE)</f>
        <v>3.89</v>
      </c>
      <c r="X14" s="77">
        <f>VLOOKUP($A14,'2324 Jun 24 Enroll'!$A$3:$AL$327,MATCH(X$3,'2324 Jun 24 Enroll'!$3:$3,0),FALSE)</f>
        <v>100.43</v>
      </c>
      <c r="Y14" s="77">
        <f>VLOOKUP($A14,'2324 Jun 24 Enroll'!$A$3:$AL$327,MATCH(Y$3,'2324 Jun 24 Enroll'!$3:$3,0),FALSE)</f>
        <v>16.22</v>
      </c>
      <c r="Z14" s="92">
        <f t="shared" si="7"/>
        <v>0.1615</v>
      </c>
      <c r="AA14" s="92">
        <f t="shared" si="8"/>
        <v>1.150000000000001E-2</v>
      </c>
      <c r="AB14" s="93">
        <v>127.88</v>
      </c>
      <c r="AC14" s="93">
        <f t="shared" si="9"/>
        <v>21.17</v>
      </c>
      <c r="AD14" s="94">
        <f>VLOOKUP($A14,'2324 Jun 24 Enroll'!$A$3:$AL$327,MATCH(AD$3,'2324 Jun 24 Enroll'!$3:$3,0),FALSE)</f>
        <v>0.4</v>
      </c>
      <c r="AE14" s="94">
        <f>VLOOKUP($A14,'2324 Jun 24 Enroll'!$A$3:$AL$327,MATCH(AE$3,'2324 Jun 24 Enroll'!$3:$3,0),FALSE)</f>
        <v>0.2056</v>
      </c>
      <c r="AF14" s="93">
        <f>VLOOKUP($A14,'SpEd BEA Rate 2324'!$A$4:$AT$34,45,FALSE)</f>
        <v>9658.42</v>
      </c>
      <c r="AG14" s="102">
        <f t="shared" si="0"/>
        <v>2501.37</v>
      </c>
      <c r="AH14" s="102">
        <f t="shared" si="1"/>
        <v>0</v>
      </c>
      <c r="AI14" s="102">
        <f t="shared" si="2"/>
        <v>0</v>
      </c>
      <c r="AJ14" s="102">
        <f t="shared" si="3"/>
        <v>130587.22</v>
      </c>
      <c r="AK14" s="102">
        <f t="shared" si="4"/>
        <v>38987.61</v>
      </c>
      <c r="AL14" s="102">
        <f t="shared" si="5"/>
        <v>-4189.76</v>
      </c>
      <c r="AM14" s="45">
        <f t="shared" si="10"/>
        <v>153682.54999999999</v>
      </c>
      <c r="AN14" s="45">
        <f t="shared" si="11"/>
        <v>109773.25</v>
      </c>
      <c r="AO14" s="102">
        <f t="shared" si="12"/>
        <v>22569.38</v>
      </c>
    </row>
    <row r="15" spans="1:41" ht="15.75" thickBot="1">
      <c r="A15" s="40" t="s">
        <v>341</v>
      </c>
      <c r="B15" s="40" t="s">
        <v>342</v>
      </c>
      <c r="C15" s="77">
        <f>VLOOKUP($A15,'2324 Jun 24 Enroll'!$A$3:$AL$327,MATCH(C$3,'2324 Jun 24 Enroll'!$3:$3,0),FALSE)</f>
        <v>17</v>
      </c>
      <c r="D15" s="77">
        <f>VLOOKUP($A15,'2324 Jun 24 Enroll'!$A$3:$AL$327,MATCH(D$3,'2324 Jun 24 Enroll'!$3:$3,0),FALSE)</f>
        <v>0</v>
      </c>
      <c r="E15" s="77">
        <f>VLOOKUP($A15,'2324 Jun 24 Enroll'!$A$3:$AL$327,MATCH(E$3,'2324 Jun 24 Enroll'!$3:$3,0),FALSE)</f>
        <v>33.5</v>
      </c>
      <c r="F15" s="77">
        <f>VLOOKUP($A15,'2324 Jun 24 Enroll'!$A$3:$AL$327,MATCH(F$3,'2324 Jun 24 Enroll'!$3:$3,0),FALSE)</f>
        <v>7.2</v>
      </c>
      <c r="G15" s="77">
        <f>VLOOKUP($A15,'2324 Jun 24 Enroll'!$A$3:$AL$327,MATCH(G$3,'2324 Jun 24 Enroll'!$3:$3,0),FALSE)</f>
        <v>20.3</v>
      </c>
      <c r="H15" s="77">
        <f>VLOOKUP($A15,'2324 Jun 24 Enroll'!$A$3:$AL$327,MATCH(H$3,'2324 Jun 24 Enroll'!$3:$3,0),FALSE)</f>
        <v>15.6</v>
      </c>
      <c r="I15" s="77">
        <f>VLOOKUP($A15,'2324 Jun 24 Enroll'!$A$3:$AL$327,MATCH(I$3,'2324 Jun 24 Enroll'!$3:$3,0),FALSE)</f>
        <v>22.4</v>
      </c>
      <c r="J15" s="108">
        <f>VLOOKUP($A15,'2324 Jun 24 Enroll'!$A$3:$AL$327,MATCH(J$3,'2324 Jun 24 Enroll'!$3:$3,0),FALSE)</f>
        <v>99</v>
      </c>
      <c r="K15" s="77">
        <f>VLOOKUP($A15,'2324 Jun 24 Enroll'!$A$3:$AL$327,MATCH(K$3,'2324 Jun 24 Enroll'!$3:$3,0),FALSE)</f>
        <v>0</v>
      </c>
      <c r="L15" s="77">
        <f>VLOOKUP($A15,'2324 Jun 24 Enroll'!$A$3:$AL$327,MATCH(L$3,'2324 Jun 24 Enroll'!$3:$3,0),FALSE)</f>
        <v>0</v>
      </c>
      <c r="M15" s="77">
        <f>VLOOKUP($A15,'2324 Jun 24 Enroll'!$A$3:$AL$327,MATCH(M$3,'2324 Jun 24 Enroll'!$3:$3,0),FALSE)</f>
        <v>0</v>
      </c>
      <c r="N15" s="77">
        <f>VLOOKUP($A15,'2324 Jun 24 Enroll'!$A$3:$AL$327,MATCH(N$3,'2324 Jun 24 Enroll'!$3:$3,0),FALSE)</f>
        <v>0</v>
      </c>
      <c r="O15" s="77">
        <f>VLOOKUP($A15,'2324 Jun 24 Enroll'!$A$3:$AL$327,MATCH(O$3,'2324 Jun 24 Enroll'!$3:$3,0),FALSE)</f>
        <v>0</v>
      </c>
      <c r="P15" s="77">
        <f>VLOOKUP($A15,'2324 Jun 24 Enroll'!$A$3:$AL$327,MATCH(P$3,'2324 Jun 24 Enroll'!$3:$3,0),FALSE)</f>
        <v>0</v>
      </c>
      <c r="Q15" s="77">
        <f>VLOOKUP($A15,'2324 Jun 24 Enroll'!$A$3:$AL$327,MATCH(Q$3,'2324 Jun 24 Enroll'!$3:$3,0),FALSE)</f>
        <v>0</v>
      </c>
      <c r="R15" s="108">
        <f t="shared" si="6"/>
        <v>99</v>
      </c>
      <c r="S15" s="77">
        <f>VLOOKUP($A15,'2324 Jun 24 Enroll'!$A$3:$AL$327,MATCH(S$3,'2324 Jun 24 Enroll'!$3:$3,0),FALSE)</f>
        <v>1</v>
      </c>
      <c r="T15" s="77">
        <f>VLOOKUP($A15,'2324 Jun 24 Enroll'!$A$3:$AL$327,MATCH(T$3,'2324 Jun 24 Enroll'!$3:$3,0),FALSE)</f>
        <v>0</v>
      </c>
      <c r="U15" s="77">
        <f>VLOOKUP($A15,'2324 Jun 24 Enroll'!$A$3:$AL$327,MATCH(U$3,'2324 Jun 24 Enroll'!$3:$3,0),FALSE)</f>
        <v>0</v>
      </c>
      <c r="V15" s="77">
        <f>VLOOKUP($A15,'2324 Jun 24 Enroll'!$A$3:$AL$327,MATCH(V$3,'2324 Jun 24 Enroll'!$3:$3,0),FALSE)</f>
        <v>13.11</v>
      </c>
      <c r="W15" s="77">
        <f>VLOOKUP($A15,'2324 Jun 24 Enroll'!$A$3:$AL$327,MATCH(W$3,'2324 Jun 24 Enroll'!$3:$3,0),FALSE)</f>
        <v>1.1100000000000001</v>
      </c>
      <c r="X15" s="77">
        <f>VLOOKUP($A15,'2324 Jun 24 Enroll'!$A$3:$AL$327,MATCH(X$3,'2324 Jun 24 Enroll'!$3:$3,0),FALSE)</f>
        <v>99</v>
      </c>
      <c r="Y15" s="77">
        <f>VLOOKUP($A15,'2324 Jun 24 Enroll'!$A$3:$AL$327,MATCH(Y$3,'2324 Jun 24 Enroll'!$3:$3,0),FALSE)</f>
        <v>14.22</v>
      </c>
      <c r="Z15" s="92">
        <f t="shared" si="7"/>
        <v>0.14360000000000001</v>
      </c>
      <c r="AA15" s="92">
        <f t="shared" si="8"/>
        <v>0</v>
      </c>
      <c r="AB15" s="93">
        <v>128.81</v>
      </c>
      <c r="AC15" s="93">
        <f t="shared" si="9"/>
        <v>21.32</v>
      </c>
      <c r="AD15" s="94">
        <f>VLOOKUP($A15,'2324 Jun 24 Enroll'!$A$3:$AL$327,MATCH(AD$3,'2324 Jun 24 Enroll'!$3:$3,0),FALSE)</f>
        <v>0.2621</v>
      </c>
      <c r="AE15" s="94">
        <f>VLOOKUP($A15,'2324 Jun 24 Enroll'!$A$3:$AL$327,MATCH(AE$3,'2324 Jun 24 Enroll'!$3:$3,0),FALSE)</f>
        <v>0.2056</v>
      </c>
      <c r="AF15" s="93">
        <f>VLOOKUP($A15,'SpEd BEA Rate 2324'!$A$4:$AT$34,45,FALSE)</f>
        <v>9603.9699999999993</v>
      </c>
      <c r="AG15" s="102">
        <f t="shared" si="0"/>
        <v>11369.86</v>
      </c>
      <c r="AH15" s="102">
        <f t="shared" si="1"/>
        <v>0</v>
      </c>
      <c r="AI15" s="102">
        <f t="shared" si="2"/>
        <v>0</v>
      </c>
      <c r="AJ15" s="102">
        <f t="shared" si="3"/>
        <v>138848.21</v>
      </c>
      <c r="AK15" s="102">
        <f t="shared" si="4"/>
        <v>11125</v>
      </c>
      <c r="AL15" s="102">
        <f t="shared" si="5"/>
        <v>-3705.45</v>
      </c>
      <c r="AM15" s="45">
        <f t="shared" si="10"/>
        <v>134732.79</v>
      </c>
      <c r="AN15" s="45">
        <f t="shared" si="11"/>
        <v>106752.86</v>
      </c>
      <c r="AO15" s="102">
        <f t="shared" si="12"/>
        <v>21948.39</v>
      </c>
    </row>
    <row r="16" spans="1:41" ht="15.75" thickBot="1">
      <c r="A16" s="40" t="s">
        <v>368</v>
      </c>
      <c r="B16" s="40" t="s">
        <v>369</v>
      </c>
      <c r="C16" s="77">
        <f>VLOOKUP($A16,'2324 Jun 24 Enroll'!$A$3:$AL$327,MATCH(C$3,'2324 Jun 24 Enroll'!$3:$3,0),FALSE)</f>
        <v>17.36</v>
      </c>
      <c r="D16" s="77">
        <f>VLOOKUP($A16,'2324 Jun 24 Enroll'!$A$3:$AL$327,MATCH(D$3,'2324 Jun 24 Enroll'!$3:$3,0),FALSE)</f>
        <v>0</v>
      </c>
      <c r="E16" s="77">
        <f>VLOOKUP($A16,'2324 Jun 24 Enroll'!$A$3:$AL$327,MATCH(E$3,'2324 Jun 24 Enroll'!$3:$3,0),FALSE)</f>
        <v>46</v>
      </c>
      <c r="F16" s="77">
        <f>VLOOKUP($A16,'2324 Jun 24 Enroll'!$A$3:$AL$327,MATCH(F$3,'2324 Jun 24 Enroll'!$3:$3,0),FALSE)</f>
        <v>7</v>
      </c>
      <c r="G16" s="77">
        <f>VLOOKUP($A16,'2324 Jun 24 Enroll'!$A$3:$AL$327,MATCH(G$3,'2324 Jun 24 Enroll'!$3:$3,0),FALSE)</f>
        <v>18</v>
      </c>
      <c r="H16" s="77">
        <f>VLOOKUP($A16,'2324 Jun 24 Enroll'!$A$3:$AL$327,MATCH(H$3,'2324 Jun 24 Enroll'!$3:$3,0),FALSE)</f>
        <v>19.3</v>
      </c>
      <c r="I16" s="77">
        <f>VLOOKUP($A16,'2324 Jun 24 Enroll'!$A$3:$AL$327,MATCH(I$3,'2324 Jun 24 Enroll'!$3:$3,0),FALSE)</f>
        <v>0</v>
      </c>
      <c r="J16" s="108">
        <f>VLOOKUP($A16,'2324 Jun 24 Enroll'!$A$3:$AL$327,MATCH(J$3,'2324 Jun 24 Enroll'!$3:$3,0),FALSE)</f>
        <v>90.3</v>
      </c>
      <c r="K16" s="77">
        <f>VLOOKUP($A16,'2324 Jun 24 Enroll'!$A$3:$AL$327,MATCH(K$3,'2324 Jun 24 Enroll'!$3:$3,0),FALSE)</f>
        <v>0</v>
      </c>
      <c r="L16" s="77">
        <f>VLOOKUP($A16,'2324 Jun 24 Enroll'!$A$3:$AL$327,MATCH(L$3,'2324 Jun 24 Enroll'!$3:$3,0),FALSE)</f>
        <v>0</v>
      </c>
      <c r="M16" s="77">
        <f>VLOOKUP($A16,'2324 Jun 24 Enroll'!$A$3:$AL$327,MATCH(M$3,'2324 Jun 24 Enroll'!$3:$3,0),FALSE)</f>
        <v>0</v>
      </c>
      <c r="N16" s="77">
        <f>VLOOKUP($A16,'2324 Jun 24 Enroll'!$A$3:$AL$327,MATCH(N$3,'2324 Jun 24 Enroll'!$3:$3,0),FALSE)</f>
        <v>0</v>
      </c>
      <c r="O16" s="77">
        <f>VLOOKUP($A16,'2324 Jun 24 Enroll'!$A$3:$AL$327,MATCH(O$3,'2324 Jun 24 Enroll'!$3:$3,0),FALSE)</f>
        <v>0</v>
      </c>
      <c r="P16" s="77">
        <f>VLOOKUP($A16,'2324 Jun 24 Enroll'!$A$3:$AL$327,MATCH(P$3,'2324 Jun 24 Enroll'!$3:$3,0),FALSE)</f>
        <v>0</v>
      </c>
      <c r="Q16" s="77">
        <f>VLOOKUP($A16,'2324 Jun 24 Enroll'!$A$3:$AL$327,MATCH(Q$3,'2324 Jun 24 Enroll'!$3:$3,0),FALSE)</f>
        <v>0</v>
      </c>
      <c r="R16" s="108">
        <f t="shared" si="6"/>
        <v>90.3</v>
      </c>
      <c r="S16" s="77">
        <f>VLOOKUP($A16,'2324 Jun 24 Enroll'!$A$3:$AL$327,MATCH(S$3,'2324 Jun 24 Enroll'!$3:$3,0),FALSE)</f>
        <v>0</v>
      </c>
      <c r="T16" s="77">
        <f>VLOOKUP($A16,'2324 Jun 24 Enroll'!$A$3:$AL$327,MATCH(T$3,'2324 Jun 24 Enroll'!$3:$3,0),FALSE)</f>
        <v>0</v>
      </c>
      <c r="U16" s="77">
        <f>VLOOKUP($A16,'2324 Jun 24 Enroll'!$A$3:$AL$327,MATCH(U$3,'2324 Jun 24 Enroll'!$3:$3,0),FALSE)</f>
        <v>0</v>
      </c>
      <c r="V16" s="77">
        <f>VLOOKUP($A16,'2324 Jun 24 Enroll'!$A$3:$AL$327,MATCH(V$3,'2324 Jun 24 Enroll'!$3:$3,0),FALSE)</f>
        <v>10.220000000000001</v>
      </c>
      <c r="W16" s="77">
        <f>VLOOKUP($A16,'2324 Jun 24 Enroll'!$A$3:$AL$327,MATCH(W$3,'2324 Jun 24 Enroll'!$3:$3,0),FALSE)</f>
        <v>0</v>
      </c>
      <c r="X16" s="77">
        <f>VLOOKUP($A16,'2324 Jun 24 Enroll'!$A$3:$AL$327,MATCH(X$3,'2324 Jun 24 Enroll'!$3:$3,0),FALSE)</f>
        <v>90.3</v>
      </c>
      <c r="Y16" s="77">
        <f>VLOOKUP($A16,'2324 Jun 24 Enroll'!$A$3:$AL$327,MATCH(Y$3,'2324 Jun 24 Enroll'!$3:$3,0),FALSE)</f>
        <v>10.220000000000001</v>
      </c>
      <c r="Z16" s="92">
        <f t="shared" si="7"/>
        <v>0.1132</v>
      </c>
      <c r="AA16" s="92">
        <f t="shared" si="8"/>
        <v>0</v>
      </c>
      <c r="AB16" s="93">
        <v>116.64</v>
      </c>
      <c r="AC16" s="93">
        <f t="shared" si="9"/>
        <v>19.309999999999999</v>
      </c>
      <c r="AD16" s="94">
        <f>VLOOKUP($A16,'2324 Jun 24 Enroll'!$A$3:$AL$327,MATCH(AD$3,'2324 Jun 24 Enroll'!$3:$3,0),FALSE)</f>
        <v>0.318</v>
      </c>
      <c r="AE16" s="94">
        <f>VLOOKUP($A16,'2324 Jun 24 Enroll'!$A$3:$AL$327,MATCH(AE$3,'2324 Jun 24 Enroll'!$3:$3,0),FALSE)</f>
        <v>0.2056</v>
      </c>
      <c r="AF16" s="93">
        <f>VLOOKUP($A16,'SpEd BEA Rate 2324'!$A$4:$AT$34,45,FALSE)</f>
        <v>10017.060000000001</v>
      </c>
      <c r="AG16" s="102">
        <f t="shared" si="0"/>
        <v>0</v>
      </c>
      <c r="AH16" s="102">
        <f t="shared" si="1"/>
        <v>0</v>
      </c>
      <c r="AI16" s="102">
        <f t="shared" si="2"/>
        <v>0</v>
      </c>
      <c r="AJ16" s="102">
        <f t="shared" si="3"/>
        <v>108240.18</v>
      </c>
      <c r="AK16" s="102">
        <f t="shared" si="4"/>
        <v>0</v>
      </c>
      <c r="AL16" s="102">
        <f t="shared" si="5"/>
        <v>-2674.33</v>
      </c>
      <c r="AM16" s="45">
        <f t="shared" si="10"/>
        <v>96833.27</v>
      </c>
      <c r="AN16" s="45">
        <f t="shared" si="11"/>
        <v>73469.86</v>
      </c>
      <c r="AO16" s="102">
        <f t="shared" si="12"/>
        <v>15105.4</v>
      </c>
    </row>
    <row r="17" spans="1:41" ht="15.75" thickBot="1">
      <c r="A17" s="40" t="s">
        <v>831</v>
      </c>
      <c r="B17" s="40" t="s">
        <v>832</v>
      </c>
      <c r="C17" s="77">
        <f>VLOOKUP($A17,'2324 Jun 24 Enroll'!$A$3:$AL$327,MATCH(C$3,'2324 Jun 24 Enroll'!$3:$3,0),FALSE)</f>
        <v>17</v>
      </c>
      <c r="D17" s="77">
        <f>VLOOKUP($A17,'2324 Jun 24 Enroll'!$A$3:$AL$327,MATCH(D$3,'2324 Jun 24 Enroll'!$3:$3,0),FALSE)</f>
        <v>0</v>
      </c>
      <c r="E17" s="77">
        <f>VLOOKUP($A17,'2324 Jun 24 Enroll'!$A$3:$AL$327,MATCH(E$3,'2324 Jun 24 Enroll'!$3:$3,0),FALSE)</f>
        <v>58.2</v>
      </c>
      <c r="F17" s="77">
        <f>VLOOKUP($A17,'2324 Jun 24 Enroll'!$A$3:$AL$327,MATCH(F$3,'2324 Jun 24 Enroll'!$3:$3,0),FALSE)</f>
        <v>17.5</v>
      </c>
      <c r="G17" s="77">
        <f>VLOOKUP($A17,'2324 Jun 24 Enroll'!$A$3:$AL$327,MATCH(G$3,'2324 Jun 24 Enroll'!$3:$3,0),FALSE)</f>
        <v>21.9</v>
      </c>
      <c r="H17" s="77">
        <f>VLOOKUP($A17,'2324 Jun 24 Enroll'!$A$3:$AL$327,MATCH(H$3,'2324 Jun 24 Enroll'!$3:$3,0),FALSE)</f>
        <v>37.159999999999997</v>
      </c>
      <c r="I17" s="77">
        <f>VLOOKUP($A17,'2324 Jun 24 Enroll'!$A$3:$AL$327,MATCH(I$3,'2324 Jun 24 Enroll'!$3:$3,0),FALSE)</f>
        <v>66.650000000000006</v>
      </c>
      <c r="J17" s="108">
        <f>VLOOKUP($A17,'2324 Jun 24 Enroll'!$A$3:$AL$327,MATCH(J$3,'2324 Jun 24 Enroll'!$3:$3,0),FALSE)</f>
        <v>201.41</v>
      </c>
      <c r="K17" s="77">
        <f>VLOOKUP($A17,'2324 Jun 24 Enroll'!$A$3:$AL$327,MATCH(K$3,'2324 Jun 24 Enroll'!$3:$3,0),FALSE)</f>
        <v>3.6</v>
      </c>
      <c r="L17" s="77">
        <f>VLOOKUP($A17,'2324 Jun 24 Enroll'!$A$3:$AL$327,MATCH(L$3,'2324 Jun 24 Enroll'!$3:$3,0),FALSE)</f>
        <v>0.09</v>
      </c>
      <c r="M17" s="77">
        <f>VLOOKUP($A17,'2324 Jun 24 Enroll'!$A$3:$AL$327,MATCH(M$3,'2324 Jun 24 Enroll'!$3:$3,0),FALSE)</f>
        <v>0</v>
      </c>
      <c r="N17" s="77">
        <f>VLOOKUP($A17,'2324 Jun 24 Enroll'!$A$3:$AL$327,MATCH(N$3,'2324 Jun 24 Enroll'!$3:$3,0),FALSE)</f>
        <v>0</v>
      </c>
      <c r="O17" s="77">
        <f>VLOOKUP($A17,'2324 Jun 24 Enroll'!$A$3:$AL$327,MATCH(O$3,'2324 Jun 24 Enroll'!$3:$3,0),FALSE)</f>
        <v>0</v>
      </c>
      <c r="P17" s="77">
        <f>VLOOKUP($A17,'2324 Jun 24 Enroll'!$A$3:$AL$327,MATCH(P$3,'2324 Jun 24 Enroll'!$3:$3,0),FALSE)</f>
        <v>0</v>
      </c>
      <c r="Q17" s="77">
        <f>VLOOKUP($A17,'2324 Jun 24 Enroll'!$A$3:$AL$327,MATCH(Q$3,'2324 Jun 24 Enroll'!$3:$3,0),FALSE)</f>
        <v>0</v>
      </c>
      <c r="R17" s="108">
        <f t="shared" si="6"/>
        <v>205.1</v>
      </c>
      <c r="S17" s="77">
        <f>VLOOKUP($A17,'2324 Jun 24 Enroll'!$A$3:$AL$327,MATCH(S$3,'2324 Jun 24 Enroll'!$3:$3,0),FALSE)</f>
        <v>1.89</v>
      </c>
      <c r="T17" s="77">
        <f>VLOOKUP($A17,'2324 Jun 24 Enroll'!$A$3:$AL$327,MATCH(T$3,'2324 Jun 24 Enroll'!$3:$3,0),FALSE)</f>
        <v>0</v>
      </c>
      <c r="U17" s="77">
        <f>VLOOKUP($A17,'2324 Jun 24 Enroll'!$A$3:$AL$327,MATCH(U$3,'2324 Jun 24 Enroll'!$3:$3,0),FALSE)</f>
        <v>0</v>
      </c>
      <c r="V17" s="77">
        <f>VLOOKUP($A17,'2324 Jun 24 Enroll'!$A$3:$AL$327,MATCH(V$3,'2324 Jun 24 Enroll'!$3:$3,0),FALSE)</f>
        <v>11.89</v>
      </c>
      <c r="W17" s="77">
        <f>VLOOKUP($A17,'2324 Jun 24 Enroll'!$A$3:$AL$327,MATCH(W$3,'2324 Jun 24 Enroll'!$3:$3,0),FALSE)</f>
        <v>7.56</v>
      </c>
      <c r="X17" s="77">
        <f>VLOOKUP($A17,'2324 Jun 24 Enroll'!$A$3:$AL$327,MATCH(X$3,'2324 Jun 24 Enroll'!$3:$3,0),FALSE)</f>
        <v>206.71</v>
      </c>
      <c r="Y17" s="77">
        <f>VLOOKUP($A17,'2324 Jun 24 Enroll'!$A$3:$AL$327,MATCH(Y$3,'2324 Jun 24 Enroll'!$3:$3,0),FALSE)</f>
        <v>19.45</v>
      </c>
      <c r="Z17" s="92">
        <f t="shared" si="7"/>
        <v>9.4100000000000003E-2</v>
      </c>
      <c r="AA17" s="92">
        <f t="shared" si="8"/>
        <v>0</v>
      </c>
      <c r="AB17" s="93">
        <v>118.73</v>
      </c>
      <c r="AC17" s="93">
        <f t="shared" si="9"/>
        <v>19.649999999999999</v>
      </c>
      <c r="AD17" s="94">
        <f>VLOOKUP($A17,'2324 Jun 24 Enroll'!$A$3:$AL$327,MATCH(AD$3,'2324 Jun 24 Enroll'!$3:$3,0),FALSE)</f>
        <v>0.2142</v>
      </c>
      <c r="AE17" s="94">
        <f>VLOOKUP($A17,'2324 Jun 24 Enroll'!$A$3:$AL$327,MATCH(AE$3,'2324 Jun 24 Enroll'!$3:$3,0),FALSE)</f>
        <v>0.2056</v>
      </c>
      <c r="AF17" s="93">
        <f>VLOOKUP($A17,'SpEd BEA Rate 2324'!$A$4:$AT$34,45,FALSE)</f>
        <v>9495.4399999999987</v>
      </c>
      <c r="AG17" s="102">
        <f t="shared" si="0"/>
        <v>21489.03</v>
      </c>
      <c r="AH17" s="102">
        <f t="shared" si="1"/>
        <v>0</v>
      </c>
      <c r="AI17" s="102">
        <f t="shared" si="2"/>
        <v>0</v>
      </c>
      <c r="AJ17" s="102">
        <f t="shared" si="3"/>
        <v>125927.18</v>
      </c>
      <c r="AK17" s="102">
        <f t="shared" si="4"/>
        <v>75770.27</v>
      </c>
      <c r="AL17" s="102">
        <f t="shared" si="5"/>
        <v>-4983.42</v>
      </c>
      <c r="AM17" s="45">
        <f t="shared" si="10"/>
        <v>184286.42</v>
      </c>
      <c r="AN17" s="45">
        <f t="shared" si="11"/>
        <v>151776</v>
      </c>
      <c r="AO17" s="102">
        <f t="shared" si="12"/>
        <v>31205.15</v>
      </c>
    </row>
    <row r="18" spans="1:41" ht="15.75" thickBot="1">
      <c r="A18" s="40" t="s">
        <v>478</v>
      </c>
      <c r="B18" s="40" t="s">
        <v>479</v>
      </c>
      <c r="C18" s="77">
        <f>VLOOKUP($A18,'2324 Jun 24 Enroll'!$A$3:$AL$327,MATCH(C$3,'2324 Jun 24 Enroll'!$3:$3,0),FALSE)</f>
        <v>17</v>
      </c>
      <c r="D18" s="77">
        <f>VLOOKUP($A18,'2324 Jun 24 Enroll'!$A$3:$AL$327,MATCH(D$3,'2324 Jun 24 Enroll'!$3:$3,0),FALSE)</f>
        <v>0</v>
      </c>
      <c r="E18" s="77">
        <f>VLOOKUP($A18,'2324 Jun 24 Enroll'!$A$3:$AL$327,MATCH(E$3,'2324 Jun 24 Enroll'!$3:$3,0),FALSE)</f>
        <v>19.899999999999999</v>
      </c>
      <c r="F18" s="77">
        <f>VLOOKUP($A18,'2324 Jun 24 Enroll'!$A$3:$AL$327,MATCH(F$3,'2324 Jun 24 Enroll'!$3:$3,0),FALSE)</f>
        <v>4.9000000000000004</v>
      </c>
      <c r="G18" s="77">
        <f>VLOOKUP($A18,'2324 Jun 24 Enroll'!$A$3:$AL$327,MATCH(G$3,'2324 Jun 24 Enroll'!$3:$3,0),FALSE)</f>
        <v>4</v>
      </c>
      <c r="H18" s="77">
        <f>VLOOKUP($A18,'2324 Jun 24 Enroll'!$A$3:$AL$327,MATCH(H$3,'2324 Jun 24 Enroll'!$3:$3,0),FALSE)</f>
        <v>7.5</v>
      </c>
      <c r="I18" s="77">
        <f>VLOOKUP($A18,'2324 Jun 24 Enroll'!$A$3:$AL$327,MATCH(I$3,'2324 Jun 24 Enroll'!$3:$3,0),FALSE)</f>
        <v>25.3</v>
      </c>
      <c r="J18" s="108">
        <f>VLOOKUP($A18,'2324 Jun 24 Enroll'!$A$3:$AL$327,MATCH(J$3,'2324 Jun 24 Enroll'!$3:$3,0),FALSE)</f>
        <v>61.6</v>
      </c>
      <c r="K18" s="77">
        <f>VLOOKUP($A18,'2324 Jun 24 Enroll'!$A$3:$AL$327,MATCH(K$3,'2324 Jun 24 Enroll'!$3:$3,0),FALSE)</f>
        <v>0</v>
      </c>
      <c r="L18" s="77">
        <f>VLOOKUP($A18,'2324 Jun 24 Enroll'!$A$3:$AL$327,MATCH(L$3,'2324 Jun 24 Enroll'!$3:$3,0),FALSE)</f>
        <v>0</v>
      </c>
      <c r="M18" s="77">
        <f>VLOOKUP($A18,'2324 Jun 24 Enroll'!$A$3:$AL$327,MATCH(M$3,'2324 Jun 24 Enroll'!$3:$3,0),FALSE)</f>
        <v>0</v>
      </c>
      <c r="N18" s="77">
        <f>VLOOKUP($A18,'2324 Jun 24 Enroll'!$A$3:$AL$327,MATCH(N$3,'2324 Jun 24 Enroll'!$3:$3,0),FALSE)</f>
        <v>0</v>
      </c>
      <c r="O18" s="77">
        <f>VLOOKUP($A18,'2324 Jun 24 Enroll'!$A$3:$AL$327,MATCH(O$3,'2324 Jun 24 Enroll'!$3:$3,0),FALSE)</f>
        <v>0</v>
      </c>
      <c r="P18" s="77">
        <f>VLOOKUP($A18,'2324 Jun 24 Enroll'!$A$3:$AL$327,MATCH(P$3,'2324 Jun 24 Enroll'!$3:$3,0),FALSE)</f>
        <v>0</v>
      </c>
      <c r="Q18" s="77">
        <f>VLOOKUP($A18,'2324 Jun 24 Enroll'!$A$3:$AL$327,MATCH(Q$3,'2324 Jun 24 Enroll'!$3:$3,0),FALSE)</f>
        <v>0</v>
      </c>
      <c r="R18" s="108">
        <f t="shared" si="6"/>
        <v>61.6</v>
      </c>
      <c r="S18" s="77">
        <f>VLOOKUP($A18,'2324 Jun 24 Enroll'!$A$3:$AL$327,MATCH(S$3,'2324 Jun 24 Enroll'!$3:$3,0),FALSE)</f>
        <v>0.78</v>
      </c>
      <c r="T18" s="77">
        <f>VLOOKUP($A18,'2324 Jun 24 Enroll'!$A$3:$AL$327,MATCH(T$3,'2324 Jun 24 Enroll'!$3:$3,0),FALSE)</f>
        <v>0</v>
      </c>
      <c r="U18" s="77">
        <f>VLOOKUP($A18,'2324 Jun 24 Enroll'!$A$3:$AL$327,MATCH(U$3,'2324 Jun 24 Enroll'!$3:$3,0),FALSE)</f>
        <v>0</v>
      </c>
      <c r="V18" s="77">
        <f>VLOOKUP($A18,'2324 Jun 24 Enroll'!$A$3:$AL$327,MATCH(V$3,'2324 Jun 24 Enroll'!$3:$3,0),FALSE)</f>
        <v>10.44</v>
      </c>
      <c r="W18" s="77">
        <f>VLOOKUP($A18,'2324 Jun 24 Enroll'!$A$3:$AL$327,MATCH(W$3,'2324 Jun 24 Enroll'!$3:$3,0),FALSE)</f>
        <v>0.44</v>
      </c>
      <c r="X18" s="77">
        <f>VLOOKUP($A18,'2324 Jun 24 Enroll'!$A$3:$AL$327,MATCH(X$3,'2324 Jun 24 Enroll'!$3:$3,0),FALSE)</f>
        <v>61.89</v>
      </c>
      <c r="Y18" s="77">
        <f>VLOOKUP($A18,'2324 Jun 24 Enroll'!$A$3:$AL$327,MATCH(Y$3,'2324 Jun 24 Enroll'!$3:$3,0),FALSE)</f>
        <v>10.88</v>
      </c>
      <c r="Z18" s="92">
        <f t="shared" si="7"/>
        <v>0.17580000000000001</v>
      </c>
      <c r="AA18" s="92">
        <f t="shared" si="8"/>
        <v>2.5800000000000017E-2</v>
      </c>
      <c r="AB18" s="93">
        <v>134.80000000000001</v>
      </c>
      <c r="AC18" s="93">
        <f t="shared" si="9"/>
        <v>22.31</v>
      </c>
      <c r="AD18" s="94">
        <f>VLOOKUP($A18,'2324 Jun 24 Enroll'!$A$3:$AL$327,MATCH(AD$3,'2324 Jun 24 Enroll'!$3:$3,0),FALSE)</f>
        <v>0.42220000000000002</v>
      </c>
      <c r="AE18" s="94">
        <f>VLOOKUP($A18,'2324 Jun 24 Enroll'!$A$3:$AL$327,MATCH(AE$3,'2324 Jun 24 Enroll'!$3:$3,0),FALSE)</f>
        <v>0.2056</v>
      </c>
      <c r="AF18" s="93">
        <f>VLOOKUP($A18,'SpEd BEA Rate 2324'!$A$4:$AT$34,45,FALSE)</f>
        <v>9834.7699999999986</v>
      </c>
      <c r="AG18" s="102">
        <f t="shared" si="0"/>
        <v>8868.49</v>
      </c>
      <c r="AH18" s="102">
        <f t="shared" si="1"/>
        <v>0</v>
      </c>
      <c r="AI18" s="102">
        <f t="shared" si="2"/>
        <v>0</v>
      </c>
      <c r="AJ18" s="102">
        <f t="shared" si="3"/>
        <v>110570.2</v>
      </c>
      <c r="AK18" s="102">
        <f t="shared" si="4"/>
        <v>4409.91</v>
      </c>
      <c r="AL18" s="102">
        <f t="shared" si="5"/>
        <v>-2840.86</v>
      </c>
      <c r="AM18" s="45">
        <f t="shared" si="10"/>
        <v>103086.69</v>
      </c>
      <c r="AN18" s="45">
        <f t="shared" si="11"/>
        <v>72483.960000000006</v>
      </c>
      <c r="AO18" s="102">
        <f t="shared" si="12"/>
        <v>14902.7</v>
      </c>
    </row>
    <row r="19" spans="1:41" ht="15.75" thickBot="1">
      <c r="A19" s="40" t="s">
        <v>534</v>
      </c>
      <c r="B19" s="40" t="s">
        <v>535</v>
      </c>
      <c r="C19" s="77">
        <f>VLOOKUP($A19,'2324 Jun 24 Enroll'!$A$3:$AL$327,MATCH(C$3,'2324 Jun 24 Enroll'!$3:$3,0),FALSE)</f>
        <v>17</v>
      </c>
      <c r="D19" s="77">
        <f>VLOOKUP($A19,'2324 Jun 24 Enroll'!$A$3:$AL$327,MATCH(D$3,'2324 Jun 24 Enroll'!$3:$3,0),FALSE)</f>
        <v>0</v>
      </c>
      <c r="E19" s="77">
        <f>VLOOKUP($A19,'2324 Jun 24 Enroll'!$A$3:$AL$327,MATCH(E$3,'2324 Jun 24 Enroll'!$3:$3,0),FALSE)</f>
        <v>27.5</v>
      </c>
      <c r="F19" s="77">
        <f>VLOOKUP($A19,'2324 Jun 24 Enroll'!$A$3:$AL$327,MATCH(F$3,'2324 Jun 24 Enroll'!$3:$3,0),FALSE)</f>
        <v>7.2</v>
      </c>
      <c r="G19" s="77">
        <f>VLOOKUP($A19,'2324 Jun 24 Enroll'!$A$3:$AL$327,MATCH(G$3,'2324 Jun 24 Enroll'!$3:$3,0),FALSE)</f>
        <v>13.7</v>
      </c>
      <c r="H19" s="77">
        <f>VLOOKUP($A19,'2324 Jun 24 Enroll'!$A$3:$AL$327,MATCH(H$3,'2324 Jun 24 Enroll'!$3:$3,0),FALSE)</f>
        <v>10.8</v>
      </c>
      <c r="I19" s="77">
        <f>VLOOKUP($A19,'2324 Jun 24 Enroll'!$A$3:$AL$327,MATCH(I$3,'2324 Jun 24 Enroll'!$3:$3,0),FALSE)</f>
        <v>25.69</v>
      </c>
      <c r="J19" s="108">
        <f>VLOOKUP($A19,'2324 Jun 24 Enroll'!$A$3:$AL$327,MATCH(J$3,'2324 Jun 24 Enroll'!$3:$3,0),FALSE)</f>
        <v>84.89</v>
      </c>
      <c r="K19" s="77">
        <f>VLOOKUP($A19,'2324 Jun 24 Enroll'!$A$3:$AL$327,MATCH(K$3,'2324 Jun 24 Enroll'!$3:$3,0),FALSE)</f>
        <v>0.96</v>
      </c>
      <c r="L19" s="77">
        <f>VLOOKUP($A19,'2324 Jun 24 Enroll'!$A$3:$AL$327,MATCH(L$3,'2324 Jun 24 Enroll'!$3:$3,0),FALSE)</f>
        <v>0</v>
      </c>
      <c r="M19" s="77">
        <f>VLOOKUP($A19,'2324 Jun 24 Enroll'!$A$3:$AL$327,MATCH(M$3,'2324 Jun 24 Enroll'!$3:$3,0),FALSE)</f>
        <v>0</v>
      </c>
      <c r="N19" s="77">
        <f>VLOOKUP($A19,'2324 Jun 24 Enroll'!$A$3:$AL$327,MATCH(N$3,'2324 Jun 24 Enroll'!$3:$3,0),FALSE)</f>
        <v>0</v>
      </c>
      <c r="O19" s="77">
        <f>VLOOKUP($A19,'2324 Jun 24 Enroll'!$A$3:$AL$327,MATCH(O$3,'2324 Jun 24 Enroll'!$3:$3,0),FALSE)</f>
        <v>0</v>
      </c>
      <c r="P19" s="77">
        <f>VLOOKUP($A19,'2324 Jun 24 Enroll'!$A$3:$AL$327,MATCH(P$3,'2324 Jun 24 Enroll'!$3:$3,0),FALSE)</f>
        <v>0</v>
      </c>
      <c r="Q19" s="77">
        <f>VLOOKUP($A19,'2324 Jun 24 Enroll'!$A$3:$AL$327,MATCH(Q$3,'2324 Jun 24 Enroll'!$3:$3,0),FALSE)</f>
        <v>0</v>
      </c>
      <c r="R19" s="108">
        <f t="shared" si="6"/>
        <v>85.85</v>
      </c>
      <c r="S19" s="77">
        <f>VLOOKUP($A19,'2324 Jun 24 Enroll'!$A$3:$AL$327,MATCH(S$3,'2324 Jun 24 Enroll'!$3:$3,0),FALSE)</f>
        <v>0.67</v>
      </c>
      <c r="T19" s="77">
        <f>VLOOKUP($A19,'2324 Jun 24 Enroll'!$A$3:$AL$327,MATCH(T$3,'2324 Jun 24 Enroll'!$3:$3,0),FALSE)</f>
        <v>0</v>
      </c>
      <c r="U19" s="77">
        <f>VLOOKUP($A19,'2324 Jun 24 Enroll'!$A$3:$AL$327,MATCH(U$3,'2324 Jun 24 Enroll'!$3:$3,0),FALSE)</f>
        <v>0</v>
      </c>
      <c r="V19" s="77">
        <f>VLOOKUP($A19,'2324 Jun 24 Enroll'!$A$3:$AL$327,MATCH(V$3,'2324 Jun 24 Enroll'!$3:$3,0),FALSE)</f>
        <v>9.56</v>
      </c>
      <c r="W19" s="77">
        <f>VLOOKUP($A19,'2324 Jun 24 Enroll'!$A$3:$AL$327,MATCH(W$3,'2324 Jun 24 Enroll'!$3:$3,0),FALSE)</f>
        <v>0.78</v>
      </c>
      <c r="X19" s="77">
        <f>VLOOKUP($A19,'2324 Jun 24 Enroll'!$A$3:$AL$327,MATCH(X$3,'2324 Jun 24 Enroll'!$3:$3,0),FALSE)</f>
        <v>85.85</v>
      </c>
      <c r="Y19" s="77">
        <f>VLOOKUP($A19,'2324 Jun 24 Enroll'!$A$3:$AL$327,MATCH(Y$3,'2324 Jun 24 Enroll'!$3:$3,0),FALSE)</f>
        <v>10.34</v>
      </c>
      <c r="Z19" s="92">
        <f t="shared" si="7"/>
        <v>0.12039999999999999</v>
      </c>
      <c r="AA19" s="92">
        <f t="shared" si="8"/>
        <v>0</v>
      </c>
      <c r="AB19" s="93">
        <v>129.01</v>
      </c>
      <c r="AC19" s="93">
        <f t="shared" si="9"/>
        <v>21.35</v>
      </c>
      <c r="AD19" s="94">
        <f>VLOOKUP($A19,'2324 Jun 24 Enroll'!$A$3:$AL$327,MATCH(AD$3,'2324 Jun 24 Enroll'!$3:$3,0),FALSE)</f>
        <v>0.30470000000000003</v>
      </c>
      <c r="AE19" s="94">
        <f>VLOOKUP($A19,'2324 Jun 24 Enroll'!$A$3:$AL$327,MATCH(AE$3,'2324 Jun 24 Enroll'!$3:$3,0),FALSE)</f>
        <v>0.2056</v>
      </c>
      <c r="AF19" s="93">
        <f>VLOOKUP($A19,'SpEd BEA Rate 2324'!$A$4:$AT$34,45,FALSE)</f>
        <v>9790.4499999999989</v>
      </c>
      <c r="AG19" s="102">
        <f t="shared" si="0"/>
        <v>7617.8</v>
      </c>
      <c r="AH19" s="102">
        <f t="shared" si="1"/>
        <v>0</v>
      </c>
      <c r="AI19" s="102">
        <f t="shared" si="2"/>
        <v>0</v>
      </c>
      <c r="AJ19" s="102">
        <f t="shared" si="3"/>
        <v>101250.11</v>
      </c>
      <c r="AK19" s="102">
        <f t="shared" si="4"/>
        <v>7817.57</v>
      </c>
      <c r="AL19" s="102">
        <f t="shared" si="5"/>
        <v>-2694.78</v>
      </c>
      <c r="AM19" s="45">
        <f t="shared" si="10"/>
        <v>97970.26</v>
      </c>
      <c r="AN19" s="45">
        <f t="shared" si="11"/>
        <v>75090.259999999995</v>
      </c>
      <c r="AO19" s="102">
        <f t="shared" si="12"/>
        <v>15438.56</v>
      </c>
    </row>
    <row r="20" spans="1:41" ht="15.75" thickBot="1">
      <c r="A20" s="40" t="s">
        <v>737</v>
      </c>
      <c r="B20" s="40" t="s">
        <v>738</v>
      </c>
      <c r="C20" s="77">
        <f>VLOOKUP($A20,'2324 Jun 24 Enroll'!$A$3:$AL$327,MATCH(C$3,'2324 Jun 24 Enroll'!$3:$3,0),FALSE)</f>
        <v>17</v>
      </c>
      <c r="D20" s="77">
        <f>VLOOKUP($A20,'2324 Jun 24 Enroll'!$A$3:$AL$327,MATCH(D$3,'2324 Jun 24 Enroll'!$3:$3,0),FALSE)</f>
        <v>0</v>
      </c>
      <c r="E20" s="77">
        <f>VLOOKUP($A20,'2324 Jun 24 Enroll'!$A$3:$AL$327,MATCH(E$3,'2324 Jun 24 Enroll'!$3:$3,0),FALSE)</f>
        <v>11.5</v>
      </c>
      <c r="F20" s="77">
        <f>VLOOKUP($A20,'2324 Jun 24 Enroll'!$A$3:$AL$327,MATCH(F$3,'2324 Jun 24 Enroll'!$3:$3,0),FALSE)</f>
        <v>2.5</v>
      </c>
      <c r="G20" s="77">
        <f>VLOOKUP($A20,'2324 Jun 24 Enroll'!$A$3:$AL$327,MATCH(G$3,'2324 Jun 24 Enroll'!$3:$3,0),FALSE)</f>
        <v>13.1</v>
      </c>
      <c r="H20" s="77">
        <f>VLOOKUP($A20,'2324 Jun 24 Enroll'!$A$3:$AL$327,MATCH(H$3,'2324 Jun 24 Enroll'!$3:$3,0),FALSE)</f>
        <v>0</v>
      </c>
      <c r="I20" s="77">
        <f>VLOOKUP($A20,'2324 Jun 24 Enroll'!$A$3:$AL$327,MATCH(I$3,'2324 Jun 24 Enroll'!$3:$3,0),FALSE)</f>
        <v>0</v>
      </c>
      <c r="J20" s="108">
        <f>VLOOKUP($A20,'2324 Jun 24 Enroll'!$A$3:$AL$327,MATCH(J$3,'2324 Jun 24 Enroll'!$3:$3,0),FALSE)</f>
        <v>27.1</v>
      </c>
      <c r="K20" s="77">
        <f>VLOOKUP($A20,'2324 Jun 24 Enroll'!$A$3:$AL$327,MATCH(K$3,'2324 Jun 24 Enroll'!$3:$3,0),FALSE)</f>
        <v>0</v>
      </c>
      <c r="L20" s="77">
        <f>VLOOKUP($A20,'2324 Jun 24 Enroll'!$A$3:$AL$327,MATCH(L$3,'2324 Jun 24 Enroll'!$3:$3,0),FALSE)</f>
        <v>0</v>
      </c>
      <c r="M20" s="77">
        <f>VLOOKUP($A20,'2324 Jun 24 Enroll'!$A$3:$AL$327,MATCH(M$3,'2324 Jun 24 Enroll'!$3:$3,0),FALSE)</f>
        <v>0</v>
      </c>
      <c r="N20" s="77">
        <f>VLOOKUP($A20,'2324 Jun 24 Enroll'!$A$3:$AL$327,MATCH(N$3,'2324 Jun 24 Enroll'!$3:$3,0),FALSE)</f>
        <v>0</v>
      </c>
      <c r="O20" s="77">
        <f>VLOOKUP($A20,'2324 Jun 24 Enroll'!$A$3:$AL$327,MATCH(O$3,'2324 Jun 24 Enroll'!$3:$3,0),FALSE)</f>
        <v>0</v>
      </c>
      <c r="P20" s="77">
        <f>VLOOKUP($A20,'2324 Jun 24 Enroll'!$A$3:$AL$327,MATCH(P$3,'2324 Jun 24 Enroll'!$3:$3,0),FALSE)</f>
        <v>0</v>
      </c>
      <c r="Q20" s="77">
        <f>VLOOKUP($A20,'2324 Jun 24 Enroll'!$A$3:$AL$327,MATCH(Q$3,'2324 Jun 24 Enroll'!$3:$3,0),FALSE)</f>
        <v>0</v>
      </c>
      <c r="R20" s="108">
        <f t="shared" si="6"/>
        <v>27.1</v>
      </c>
      <c r="S20" s="77">
        <f>VLOOKUP($A20,'2324 Jun 24 Enroll'!$A$3:$AL$327,MATCH(S$3,'2324 Jun 24 Enroll'!$3:$3,0),FALSE)</f>
        <v>0</v>
      </c>
      <c r="T20" s="77">
        <f>VLOOKUP($A20,'2324 Jun 24 Enroll'!$A$3:$AL$327,MATCH(T$3,'2324 Jun 24 Enroll'!$3:$3,0),FALSE)</f>
        <v>0</v>
      </c>
      <c r="U20" s="77">
        <f>VLOOKUP($A20,'2324 Jun 24 Enroll'!$A$3:$AL$327,MATCH(U$3,'2324 Jun 24 Enroll'!$3:$3,0),FALSE)</f>
        <v>0</v>
      </c>
      <c r="V20" s="77">
        <f>VLOOKUP($A20,'2324 Jun 24 Enroll'!$A$3:$AL$327,MATCH(V$3,'2324 Jun 24 Enroll'!$3:$3,0),FALSE)</f>
        <v>3.56</v>
      </c>
      <c r="W20" s="77">
        <f>VLOOKUP($A20,'2324 Jun 24 Enroll'!$A$3:$AL$327,MATCH(W$3,'2324 Jun 24 Enroll'!$3:$3,0),FALSE)</f>
        <v>0</v>
      </c>
      <c r="X20" s="77">
        <f>VLOOKUP($A20,'2324 Jun 24 Enroll'!$A$3:$AL$327,MATCH(X$3,'2324 Jun 24 Enroll'!$3:$3,0),FALSE)</f>
        <v>27.1</v>
      </c>
      <c r="Y20" s="77">
        <f>VLOOKUP($A20,'2324 Jun 24 Enroll'!$A$3:$AL$327,MATCH(Y$3,'2324 Jun 24 Enroll'!$3:$3,0),FALSE)</f>
        <v>3.56</v>
      </c>
      <c r="Z20" s="92">
        <f t="shared" si="7"/>
        <v>0.13139999999999999</v>
      </c>
      <c r="AA20" s="92">
        <f t="shared" si="8"/>
        <v>0</v>
      </c>
      <c r="AB20" s="93">
        <v>123.8</v>
      </c>
      <c r="AC20" s="93">
        <f t="shared" si="9"/>
        <v>20.49</v>
      </c>
      <c r="AD20" s="94">
        <f>VLOOKUP($A20,'2324 Jun 24 Enroll'!$A$3:$AL$327,MATCH(AD$3,'2324 Jun 24 Enroll'!$3:$3,0),FALSE)</f>
        <v>0.21310000000000001</v>
      </c>
      <c r="AE20" s="94">
        <f>VLOOKUP($A20,'2324 Jun 24 Enroll'!$A$3:$AL$327,MATCH(AE$3,'2324 Jun 24 Enroll'!$3:$3,0),FALSE)</f>
        <v>0.2056</v>
      </c>
      <c r="AF20" s="93">
        <f>VLOOKUP($A20,'SpEd BEA Rate 2324'!$A$4:$AT$34,45,FALSE)</f>
        <v>9755.3800000000028</v>
      </c>
      <c r="AG20" s="102">
        <f t="shared" si="0"/>
        <v>0</v>
      </c>
      <c r="AH20" s="102">
        <f t="shared" si="1"/>
        <v>0</v>
      </c>
      <c r="AI20" s="102">
        <f t="shared" si="2"/>
        <v>0</v>
      </c>
      <c r="AJ20" s="102">
        <f t="shared" si="3"/>
        <v>37704.019999999997</v>
      </c>
      <c r="AK20" s="102">
        <f t="shared" si="4"/>
        <v>0</v>
      </c>
      <c r="AL20" s="102">
        <f t="shared" si="5"/>
        <v>-931.57</v>
      </c>
      <c r="AM20" s="45">
        <f t="shared" si="10"/>
        <v>33730.57</v>
      </c>
      <c r="AN20" s="45">
        <f t="shared" si="11"/>
        <v>27805.27</v>
      </c>
      <c r="AO20" s="102">
        <f t="shared" si="12"/>
        <v>5716.76</v>
      </c>
    </row>
    <row r="21" spans="1:41" ht="15.75" thickBot="1">
      <c r="A21" s="40" t="s">
        <v>480</v>
      </c>
      <c r="B21" s="40" t="s">
        <v>481</v>
      </c>
      <c r="C21" s="77">
        <f>VLOOKUP($A21,'2324 Jun 24 Enroll'!$A$3:$AL$327,MATCH(C$3,'2324 Jun 24 Enroll'!$3:$3,0),FALSE)</f>
        <v>17.27</v>
      </c>
      <c r="D21" s="77">
        <f>VLOOKUP($A21,'2324 Jun 24 Enroll'!$A$3:$AL$327,MATCH(D$3,'2324 Jun 24 Enroll'!$3:$3,0),FALSE)</f>
        <v>0</v>
      </c>
      <c r="E21" s="77">
        <f>VLOOKUP($A21,'2324 Jun 24 Enroll'!$A$3:$AL$327,MATCH(E$3,'2324 Jun 24 Enroll'!$3:$3,0),FALSE)</f>
        <v>235.89</v>
      </c>
      <c r="F21" s="77">
        <f>VLOOKUP($A21,'2324 Jun 24 Enroll'!$A$3:$AL$327,MATCH(F$3,'2324 Jun 24 Enroll'!$3:$3,0),FALSE)</f>
        <v>61.5</v>
      </c>
      <c r="G21" s="77">
        <f>VLOOKUP($A21,'2324 Jun 24 Enroll'!$A$3:$AL$327,MATCH(G$3,'2324 Jun 24 Enroll'!$3:$3,0),FALSE)</f>
        <v>116.2</v>
      </c>
      <c r="H21" s="77">
        <f>VLOOKUP($A21,'2324 Jun 24 Enroll'!$A$3:$AL$327,MATCH(H$3,'2324 Jun 24 Enroll'!$3:$3,0),FALSE)</f>
        <v>137.91</v>
      </c>
      <c r="I21" s="77">
        <f>VLOOKUP($A21,'2324 Jun 24 Enroll'!$A$3:$AL$327,MATCH(I$3,'2324 Jun 24 Enroll'!$3:$3,0),FALSE)</f>
        <v>297.08</v>
      </c>
      <c r="J21" s="108">
        <f>VLOOKUP($A21,'2324 Jun 24 Enroll'!$A$3:$AL$327,MATCH(J$3,'2324 Jun 24 Enroll'!$3:$3,0),FALSE)</f>
        <v>848.58</v>
      </c>
      <c r="K21" s="77">
        <f>VLOOKUP($A21,'2324 Jun 24 Enroll'!$A$3:$AL$327,MATCH(K$3,'2324 Jun 24 Enroll'!$3:$3,0),FALSE)</f>
        <v>34.869999999999997</v>
      </c>
      <c r="L21" s="77">
        <f>VLOOKUP($A21,'2324 Jun 24 Enroll'!$A$3:$AL$327,MATCH(L$3,'2324 Jun 24 Enroll'!$3:$3,0),FALSE)</f>
        <v>4.21</v>
      </c>
      <c r="M21" s="77">
        <f>VLOOKUP($A21,'2324 Jun 24 Enroll'!$A$3:$AL$327,MATCH(M$3,'2324 Jun 24 Enroll'!$3:$3,0),FALSE)</f>
        <v>0</v>
      </c>
      <c r="N21" s="77">
        <f>VLOOKUP($A21,'2324 Jun 24 Enroll'!$A$3:$AL$327,MATCH(N$3,'2324 Jun 24 Enroll'!$3:$3,0),FALSE)</f>
        <v>0</v>
      </c>
      <c r="O21" s="77">
        <f>VLOOKUP($A21,'2324 Jun 24 Enroll'!$A$3:$AL$327,MATCH(O$3,'2324 Jun 24 Enroll'!$3:$3,0),FALSE)</f>
        <v>458.7</v>
      </c>
      <c r="P21" s="77">
        <f>VLOOKUP($A21,'2324 Jun 24 Enroll'!$A$3:$AL$327,MATCH(P$3,'2324 Jun 24 Enroll'!$3:$3,0),FALSE)</f>
        <v>351.3</v>
      </c>
      <c r="Q21" s="77">
        <f>VLOOKUP($A21,'2324 Jun 24 Enroll'!$A$3:$AL$327,MATCH(Q$3,'2324 Jun 24 Enroll'!$3:$3,0),FALSE)</f>
        <v>1235.3399999999999</v>
      </c>
      <c r="R21" s="108">
        <f t="shared" si="6"/>
        <v>2933</v>
      </c>
      <c r="S21" s="77">
        <f>VLOOKUP($A21,'2324 Jun 24 Enroll'!$A$3:$AL$327,MATCH(S$3,'2324 Jun 24 Enroll'!$3:$3,0),FALSE)</f>
        <v>4.33</v>
      </c>
      <c r="T21" s="77">
        <f>VLOOKUP($A21,'2324 Jun 24 Enroll'!$A$3:$AL$327,MATCH(T$3,'2324 Jun 24 Enroll'!$3:$3,0),FALSE)</f>
        <v>0</v>
      </c>
      <c r="U21" s="77">
        <f>VLOOKUP($A21,'2324 Jun 24 Enroll'!$A$3:$AL$327,MATCH(U$3,'2324 Jun 24 Enroll'!$3:$3,0),FALSE)</f>
        <v>0</v>
      </c>
      <c r="V21" s="77">
        <f>VLOOKUP($A21,'2324 Jun 24 Enroll'!$A$3:$AL$327,MATCH(V$3,'2324 Jun 24 Enroll'!$3:$3,0),FALSE)</f>
        <v>385.56</v>
      </c>
      <c r="W21" s="77">
        <f>VLOOKUP($A21,'2324 Jun 24 Enroll'!$A$3:$AL$327,MATCH(W$3,'2324 Jun 24 Enroll'!$3:$3,0),FALSE)</f>
        <v>87.22</v>
      </c>
      <c r="X21" s="77">
        <f>VLOOKUP($A21,'2324 Jun 24 Enroll'!$A$3:$AL$327,MATCH(X$3,'2324 Jun 24 Enroll'!$3:$3,0),FALSE)</f>
        <v>2933</v>
      </c>
      <c r="Y21" s="77">
        <f>VLOOKUP($A21,'2324 Jun 24 Enroll'!$A$3:$AL$327,MATCH(Y$3,'2324 Jun 24 Enroll'!$3:$3,0),FALSE)</f>
        <v>472.78</v>
      </c>
      <c r="Z21" s="92">
        <f t="shared" si="7"/>
        <v>0.16120000000000001</v>
      </c>
      <c r="AA21" s="92">
        <f t="shared" si="8"/>
        <v>1.1200000000000015E-2</v>
      </c>
      <c r="AB21" s="93">
        <v>121.45</v>
      </c>
      <c r="AC21" s="93">
        <f t="shared" si="9"/>
        <v>20.100000000000001</v>
      </c>
      <c r="AD21" s="94">
        <f>VLOOKUP($A21,'2324 Jun 24 Enroll'!$A$3:$AL$327,MATCH(AD$3,'2324 Jun 24 Enroll'!$3:$3,0),FALSE)</f>
        <v>8.4699999999999998E-2</v>
      </c>
      <c r="AE21" s="94">
        <f>VLOOKUP($A21,'2324 Jun 24 Enroll'!$A$3:$AL$327,MATCH(AE$3,'2324 Jun 24 Enroll'!$3:$3,0),FALSE)</f>
        <v>0.2056</v>
      </c>
      <c r="AF21" s="93">
        <f>VLOOKUP($A21,'SpEd BEA Rate 2324'!$A$4:$AT$34,45,FALSE)</f>
        <v>9105.0500000000029</v>
      </c>
      <c r="AG21" s="102">
        <f t="shared" si="0"/>
        <v>49231.48</v>
      </c>
      <c r="AH21" s="102">
        <f t="shared" si="1"/>
        <v>0</v>
      </c>
      <c r="AI21" s="102">
        <f t="shared" si="2"/>
        <v>0</v>
      </c>
      <c r="AJ21" s="102">
        <f t="shared" si="3"/>
        <v>4083471.97</v>
      </c>
      <c r="AK21" s="102">
        <f t="shared" si="4"/>
        <v>874164.44</v>
      </c>
      <c r="AL21" s="102">
        <f t="shared" si="5"/>
        <v>-122490.37</v>
      </c>
      <c r="AM21" s="45">
        <f t="shared" si="10"/>
        <v>4479533.7699999996</v>
      </c>
      <c r="AN21" s="45">
        <f t="shared" si="11"/>
        <v>4129744.42</v>
      </c>
      <c r="AO21" s="102">
        <f t="shared" si="12"/>
        <v>849075.45</v>
      </c>
    </row>
    <row r="22" spans="1:41" ht="15.75" thickBot="1">
      <c r="A22" s="40" t="s">
        <v>875</v>
      </c>
      <c r="B22" s="40" t="s">
        <v>876</v>
      </c>
      <c r="C22" s="77">
        <f>VLOOKUP($A22,'2324 Jun 24 Enroll'!$A$3:$AL$327,MATCH(C$3,'2324 Jun 24 Enroll'!$3:$3,0),FALSE)</f>
        <v>17</v>
      </c>
      <c r="D22" s="77">
        <f>VLOOKUP($A22,'2324 Jun 24 Enroll'!$A$3:$AL$327,MATCH(D$3,'2324 Jun 24 Enroll'!$3:$3,0),FALSE)</f>
        <v>0</v>
      </c>
      <c r="E22" s="77">
        <f>VLOOKUP($A22,'2324 Jun 24 Enroll'!$A$3:$AL$327,MATCH(E$3,'2324 Jun 24 Enroll'!$3:$3,0),FALSE)</f>
        <v>281.57</v>
      </c>
      <c r="F22" s="77">
        <f>VLOOKUP($A22,'2324 Jun 24 Enroll'!$A$3:$AL$327,MATCH(F$3,'2324 Jun 24 Enroll'!$3:$3,0),FALSE)</f>
        <v>81.599999999999994</v>
      </c>
      <c r="G22" s="77">
        <f>VLOOKUP($A22,'2324 Jun 24 Enroll'!$A$3:$AL$327,MATCH(G$3,'2324 Jun 24 Enroll'!$3:$3,0),FALSE)</f>
        <v>169</v>
      </c>
      <c r="H22" s="77">
        <f>VLOOKUP($A22,'2324 Jun 24 Enroll'!$A$3:$AL$327,MATCH(H$3,'2324 Jun 24 Enroll'!$3:$3,0),FALSE)</f>
        <v>179.3</v>
      </c>
      <c r="I22" s="77">
        <f>VLOOKUP($A22,'2324 Jun 24 Enroll'!$A$3:$AL$327,MATCH(I$3,'2324 Jun 24 Enroll'!$3:$3,0),FALSE)</f>
        <v>331.73</v>
      </c>
      <c r="J22" s="108">
        <f>VLOOKUP($A22,'2324 Jun 24 Enroll'!$A$3:$AL$327,MATCH(J$3,'2324 Jun 24 Enroll'!$3:$3,0),FALSE)</f>
        <v>1043.2</v>
      </c>
      <c r="K22" s="77">
        <f>VLOOKUP($A22,'2324 Jun 24 Enroll'!$A$3:$AL$327,MATCH(K$3,'2324 Jun 24 Enroll'!$3:$3,0),FALSE)</f>
        <v>18.96</v>
      </c>
      <c r="L22" s="77">
        <f>VLOOKUP($A22,'2324 Jun 24 Enroll'!$A$3:$AL$327,MATCH(L$3,'2324 Jun 24 Enroll'!$3:$3,0),FALSE)</f>
        <v>0.09</v>
      </c>
      <c r="M22" s="77">
        <f>VLOOKUP($A22,'2324 Jun 24 Enroll'!$A$3:$AL$327,MATCH(M$3,'2324 Jun 24 Enroll'!$3:$3,0),FALSE)</f>
        <v>0</v>
      </c>
      <c r="N22" s="77">
        <f>VLOOKUP($A22,'2324 Jun 24 Enroll'!$A$3:$AL$327,MATCH(N$3,'2324 Jun 24 Enroll'!$3:$3,0),FALSE)</f>
        <v>0</v>
      </c>
      <c r="O22" s="77">
        <f>VLOOKUP($A22,'2324 Jun 24 Enroll'!$A$3:$AL$327,MATCH(O$3,'2324 Jun 24 Enroll'!$3:$3,0),FALSE)</f>
        <v>0</v>
      </c>
      <c r="P22" s="77">
        <f>VLOOKUP($A22,'2324 Jun 24 Enroll'!$A$3:$AL$327,MATCH(P$3,'2324 Jun 24 Enroll'!$3:$3,0),FALSE)</f>
        <v>0</v>
      </c>
      <c r="Q22" s="77">
        <f>VLOOKUP($A22,'2324 Jun 24 Enroll'!$A$3:$AL$327,MATCH(Q$3,'2324 Jun 24 Enroll'!$3:$3,0),FALSE)</f>
        <v>22.05</v>
      </c>
      <c r="R22" s="108">
        <f t="shared" si="6"/>
        <v>1084.3</v>
      </c>
      <c r="S22" s="77">
        <f>VLOOKUP($A22,'2324 Jun 24 Enroll'!$A$3:$AL$327,MATCH(S$3,'2324 Jun 24 Enroll'!$3:$3,0),FALSE)</f>
        <v>7.67</v>
      </c>
      <c r="T22" s="77">
        <f>VLOOKUP($A22,'2324 Jun 24 Enroll'!$A$3:$AL$327,MATCH(T$3,'2324 Jun 24 Enroll'!$3:$3,0),FALSE)</f>
        <v>0</v>
      </c>
      <c r="U22" s="77">
        <f>VLOOKUP($A22,'2324 Jun 24 Enroll'!$A$3:$AL$327,MATCH(U$3,'2324 Jun 24 Enroll'!$3:$3,0),FALSE)</f>
        <v>0</v>
      </c>
      <c r="V22" s="77">
        <f>VLOOKUP($A22,'2324 Jun 24 Enroll'!$A$3:$AL$327,MATCH(V$3,'2324 Jun 24 Enroll'!$3:$3,0),FALSE)</f>
        <v>121.78</v>
      </c>
      <c r="W22" s="77">
        <f>VLOOKUP($A22,'2324 Jun 24 Enroll'!$A$3:$AL$327,MATCH(W$3,'2324 Jun 24 Enroll'!$3:$3,0),FALSE)</f>
        <v>35.56</v>
      </c>
      <c r="X22" s="77">
        <f>VLOOKUP($A22,'2324 Jun 24 Enroll'!$A$3:$AL$327,MATCH(X$3,'2324 Jun 24 Enroll'!$3:$3,0),FALSE)</f>
        <v>1084.3</v>
      </c>
      <c r="Y22" s="77">
        <f>VLOOKUP($A22,'2324 Jun 24 Enroll'!$A$3:$AL$327,MATCH(Y$3,'2324 Jun 24 Enroll'!$3:$3,0),FALSE)</f>
        <v>157.34</v>
      </c>
      <c r="Z22" s="92">
        <f t="shared" si="7"/>
        <v>0.14510000000000001</v>
      </c>
      <c r="AA22" s="92">
        <f t="shared" si="8"/>
        <v>0</v>
      </c>
      <c r="AB22" s="93">
        <v>122.12</v>
      </c>
      <c r="AC22" s="93">
        <f t="shared" si="9"/>
        <v>20.21</v>
      </c>
      <c r="AD22" s="94">
        <f>VLOOKUP($A22,'2324 Jun 24 Enroll'!$A$3:$AL$327,MATCH(AD$3,'2324 Jun 24 Enroll'!$3:$3,0),FALSE)</f>
        <v>0.18959999999999999</v>
      </c>
      <c r="AE22" s="94">
        <f>VLOOKUP($A22,'2324 Jun 24 Enroll'!$A$3:$AL$327,MATCH(AE$3,'2324 Jun 24 Enroll'!$3:$3,0),FALSE)</f>
        <v>0.2056</v>
      </c>
      <c r="AF22" s="93">
        <f>VLOOKUP($A22,'SpEd BEA Rate 2324'!$A$4:$AT$34,45,FALSE)</f>
        <v>9629.4399999999987</v>
      </c>
      <c r="AG22" s="102">
        <f t="shared" si="0"/>
        <v>87206.8</v>
      </c>
      <c r="AH22" s="102">
        <f t="shared" si="1"/>
        <v>0</v>
      </c>
      <c r="AI22" s="102">
        <f t="shared" si="2"/>
        <v>0</v>
      </c>
      <c r="AJ22" s="102">
        <f t="shared" si="3"/>
        <v>1289773.8799999999</v>
      </c>
      <c r="AK22" s="102">
        <f t="shared" si="4"/>
        <v>356400.91</v>
      </c>
      <c r="AL22" s="102">
        <f t="shared" si="5"/>
        <v>-40672.720000000001</v>
      </c>
      <c r="AM22" s="45">
        <f t="shared" si="10"/>
        <v>1490777.62</v>
      </c>
      <c r="AN22" s="45">
        <f t="shared" si="11"/>
        <v>1253175.54</v>
      </c>
      <c r="AO22" s="102">
        <f t="shared" si="12"/>
        <v>257652.89</v>
      </c>
    </row>
    <row r="23" spans="1:41" ht="15.75" thickBot="1">
      <c r="A23" s="40" t="s">
        <v>564</v>
      </c>
      <c r="B23" s="40" t="s">
        <v>565</v>
      </c>
      <c r="C23" s="77">
        <f>VLOOKUP($A23,'2324 Jun 24 Enroll'!$A$3:$AL$327,MATCH(C$3,'2324 Jun 24 Enroll'!$3:$3,0),FALSE)</f>
        <v>17</v>
      </c>
      <c r="D23" s="77">
        <f>VLOOKUP($A23,'2324 Jun 24 Enroll'!$A$3:$AL$327,MATCH(D$3,'2324 Jun 24 Enroll'!$3:$3,0),FALSE)</f>
        <v>4.8</v>
      </c>
      <c r="E23" s="77">
        <f>VLOOKUP($A23,'2324 Jun 24 Enroll'!$A$3:$AL$327,MATCH(E$3,'2324 Jun 24 Enroll'!$3:$3,0),FALSE)</f>
        <v>60.6</v>
      </c>
      <c r="F23" s="77">
        <f>VLOOKUP($A23,'2324 Jun 24 Enroll'!$A$3:$AL$327,MATCH(F$3,'2324 Jun 24 Enroll'!$3:$3,0),FALSE)</f>
        <v>13.9</v>
      </c>
      <c r="G23" s="77">
        <f>VLOOKUP($A23,'2324 Jun 24 Enroll'!$A$3:$AL$327,MATCH(G$3,'2324 Jun 24 Enroll'!$3:$3,0),FALSE)</f>
        <v>37.1</v>
      </c>
      <c r="H23" s="77">
        <f>VLOOKUP($A23,'2324 Jun 24 Enroll'!$A$3:$AL$327,MATCH(H$3,'2324 Jun 24 Enroll'!$3:$3,0),FALSE)</f>
        <v>29.35</v>
      </c>
      <c r="I23" s="77">
        <f>VLOOKUP($A23,'2324 Jun 24 Enroll'!$A$3:$AL$327,MATCH(I$3,'2324 Jun 24 Enroll'!$3:$3,0),FALSE)</f>
        <v>50.19</v>
      </c>
      <c r="J23" s="108">
        <f>VLOOKUP($A23,'2324 Jun 24 Enroll'!$A$3:$AL$327,MATCH(J$3,'2324 Jun 24 Enroll'!$3:$3,0),FALSE)</f>
        <v>191.14</v>
      </c>
      <c r="K23" s="77">
        <f>VLOOKUP($A23,'2324 Jun 24 Enroll'!$A$3:$AL$327,MATCH(K$3,'2324 Jun 24 Enroll'!$3:$3,0),FALSE)</f>
        <v>4.3899999999999997</v>
      </c>
      <c r="L23" s="77">
        <f>VLOOKUP($A23,'2324 Jun 24 Enroll'!$A$3:$AL$327,MATCH(L$3,'2324 Jun 24 Enroll'!$3:$3,0),FALSE)</f>
        <v>0</v>
      </c>
      <c r="M23" s="77">
        <f>VLOOKUP($A23,'2324 Jun 24 Enroll'!$A$3:$AL$327,MATCH(M$3,'2324 Jun 24 Enroll'!$3:$3,0),FALSE)</f>
        <v>0</v>
      </c>
      <c r="N23" s="77">
        <f>VLOOKUP($A23,'2324 Jun 24 Enroll'!$A$3:$AL$327,MATCH(N$3,'2324 Jun 24 Enroll'!$3:$3,0),FALSE)</f>
        <v>0</v>
      </c>
      <c r="O23" s="77">
        <f>VLOOKUP($A23,'2324 Jun 24 Enroll'!$A$3:$AL$327,MATCH(O$3,'2324 Jun 24 Enroll'!$3:$3,0),FALSE)</f>
        <v>0</v>
      </c>
      <c r="P23" s="77">
        <f>VLOOKUP($A23,'2324 Jun 24 Enroll'!$A$3:$AL$327,MATCH(P$3,'2324 Jun 24 Enroll'!$3:$3,0),FALSE)</f>
        <v>0</v>
      </c>
      <c r="Q23" s="77">
        <f>VLOOKUP($A23,'2324 Jun 24 Enroll'!$A$3:$AL$327,MATCH(Q$3,'2324 Jun 24 Enroll'!$3:$3,0),FALSE)</f>
        <v>0</v>
      </c>
      <c r="R23" s="108">
        <f t="shared" si="6"/>
        <v>195.52999999999997</v>
      </c>
      <c r="S23" s="77">
        <f>VLOOKUP($A23,'2324 Jun 24 Enroll'!$A$3:$AL$327,MATCH(S$3,'2324 Jun 24 Enroll'!$3:$3,0),FALSE)</f>
        <v>0.56000000000000005</v>
      </c>
      <c r="T23" s="77">
        <f>VLOOKUP($A23,'2324 Jun 24 Enroll'!$A$3:$AL$327,MATCH(T$3,'2324 Jun 24 Enroll'!$3:$3,0),FALSE)</f>
        <v>0</v>
      </c>
      <c r="U23" s="77">
        <f>VLOOKUP($A23,'2324 Jun 24 Enroll'!$A$3:$AL$327,MATCH(U$3,'2324 Jun 24 Enroll'!$3:$3,0),FALSE)</f>
        <v>0</v>
      </c>
      <c r="V23" s="77">
        <f>VLOOKUP($A23,'2324 Jun 24 Enroll'!$A$3:$AL$327,MATCH(V$3,'2324 Jun 24 Enroll'!$3:$3,0),FALSE)</f>
        <v>29</v>
      </c>
      <c r="W23" s="77">
        <f>VLOOKUP($A23,'2324 Jun 24 Enroll'!$A$3:$AL$327,MATCH(W$3,'2324 Jun 24 Enroll'!$3:$3,0),FALSE)</f>
        <v>2.89</v>
      </c>
      <c r="X23" s="77">
        <f>VLOOKUP($A23,'2324 Jun 24 Enroll'!$A$3:$AL$327,MATCH(X$3,'2324 Jun 24 Enroll'!$3:$3,0),FALSE)</f>
        <v>200.32</v>
      </c>
      <c r="Y23" s="77">
        <f>VLOOKUP($A23,'2324 Jun 24 Enroll'!$A$3:$AL$327,MATCH(Y$3,'2324 Jun 24 Enroll'!$3:$3,0),FALSE)</f>
        <v>31.89</v>
      </c>
      <c r="Z23" s="92">
        <f t="shared" si="7"/>
        <v>0.15920000000000001</v>
      </c>
      <c r="AA23" s="92">
        <f t="shared" si="8"/>
        <v>9.2000000000000137E-3</v>
      </c>
      <c r="AB23" s="93">
        <v>133.91999999999999</v>
      </c>
      <c r="AC23" s="93">
        <f t="shared" si="9"/>
        <v>22.17</v>
      </c>
      <c r="AD23" s="94">
        <f>VLOOKUP($A23,'2324 Jun 24 Enroll'!$A$3:$AL$327,MATCH(AD$3,'2324 Jun 24 Enroll'!$3:$3,0),FALSE)</f>
        <v>0.16400000000000001</v>
      </c>
      <c r="AE23" s="94">
        <f>VLOOKUP($A23,'2324 Jun 24 Enroll'!$A$3:$AL$327,MATCH(AE$3,'2324 Jun 24 Enroll'!$3:$3,0),FALSE)</f>
        <v>0.2056</v>
      </c>
      <c r="AF23" s="93">
        <f>VLOOKUP($A23,'SpEd BEA Rate 2324'!$A$4:$AT$34,45,FALSE)</f>
        <v>9587.09</v>
      </c>
      <c r="AG23" s="102">
        <f t="shared" si="0"/>
        <v>6367.12</v>
      </c>
      <c r="AH23" s="102">
        <f t="shared" si="1"/>
        <v>0</v>
      </c>
      <c r="AI23" s="102">
        <f t="shared" si="2"/>
        <v>0</v>
      </c>
      <c r="AJ23" s="102">
        <f t="shared" si="3"/>
        <v>307139.45</v>
      </c>
      <c r="AK23" s="102">
        <f t="shared" si="4"/>
        <v>28965.09</v>
      </c>
      <c r="AL23" s="102">
        <f t="shared" si="5"/>
        <v>-8304.27</v>
      </c>
      <c r="AM23" s="45">
        <f t="shared" si="10"/>
        <v>302153.92</v>
      </c>
      <c r="AN23" s="45">
        <f t="shared" si="11"/>
        <v>259582.41</v>
      </c>
      <c r="AO23" s="102">
        <f t="shared" si="12"/>
        <v>53370.14</v>
      </c>
    </row>
    <row r="24" spans="1:41" ht="15.75" thickBot="1">
      <c r="A24" s="40" t="s">
        <v>590</v>
      </c>
      <c r="B24" s="40" t="s">
        <v>591</v>
      </c>
      <c r="C24" s="77">
        <f>VLOOKUP($A24,'2324 Jun 24 Enroll'!$A$3:$AL$327,MATCH(C$3,'2324 Jun 24 Enroll'!$3:$3,0),FALSE)</f>
        <v>17</v>
      </c>
      <c r="D24" s="77">
        <f>VLOOKUP($A24,'2324 Jun 24 Enroll'!$A$3:$AL$327,MATCH(D$3,'2324 Jun 24 Enroll'!$3:$3,0),FALSE)</f>
        <v>0</v>
      </c>
      <c r="E24" s="77">
        <f>VLOOKUP($A24,'2324 Jun 24 Enroll'!$A$3:$AL$327,MATCH(E$3,'2324 Jun 24 Enroll'!$3:$3,0),FALSE)</f>
        <v>222.39</v>
      </c>
      <c r="F24" s="77">
        <f>VLOOKUP($A24,'2324 Jun 24 Enroll'!$A$3:$AL$327,MATCH(F$3,'2324 Jun 24 Enroll'!$3:$3,0),FALSE)</f>
        <v>66.5</v>
      </c>
      <c r="G24" s="77">
        <f>VLOOKUP($A24,'2324 Jun 24 Enroll'!$A$3:$AL$327,MATCH(G$3,'2324 Jun 24 Enroll'!$3:$3,0),FALSE)</f>
        <v>115.25</v>
      </c>
      <c r="H24" s="77">
        <f>VLOOKUP($A24,'2324 Jun 24 Enroll'!$A$3:$AL$327,MATCH(H$3,'2324 Jun 24 Enroll'!$3:$3,0),FALSE)</f>
        <v>112.72</v>
      </c>
      <c r="I24" s="77">
        <f>VLOOKUP($A24,'2324 Jun 24 Enroll'!$A$3:$AL$327,MATCH(I$3,'2324 Jun 24 Enroll'!$3:$3,0),FALSE)</f>
        <v>200.27</v>
      </c>
      <c r="J24" s="108">
        <f>VLOOKUP($A24,'2324 Jun 24 Enroll'!$A$3:$AL$327,MATCH(J$3,'2324 Jun 24 Enroll'!$3:$3,0),FALSE)</f>
        <v>717.13</v>
      </c>
      <c r="K24" s="77">
        <f>VLOOKUP($A24,'2324 Jun 24 Enroll'!$A$3:$AL$327,MATCH(K$3,'2324 Jun 24 Enroll'!$3:$3,0),FALSE)</f>
        <v>8.4499999999999993</v>
      </c>
      <c r="L24" s="77">
        <f>VLOOKUP($A24,'2324 Jun 24 Enroll'!$A$3:$AL$327,MATCH(L$3,'2324 Jun 24 Enroll'!$3:$3,0),FALSE)</f>
        <v>0.74</v>
      </c>
      <c r="M24" s="77">
        <f>VLOOKUP($A24,'2324 Jun 24 Enroll'!$A$3:$AL$327,MATCH(M$3,'2324 Jun 24 Enroll'!$3:$3,0),FALSE)</f>
        <v>0</v>
      </c>
      <c r="N24" s="77">
        <f>VLOOKUP($A24,'2324 Jun 24 Enroll'!$A$3:$AL$327,MATCH(N$3,'2324 Jun 24 Enroll'!$3:$3,0),FALSE)</f>
        <v>0</v>
      </c>
      <c r="O24" s="77">
        <f>VLOOKUP($A24,'2324 Jun 24 Enroll'!$A$3:$AL$327,MATCH(O$3,'2324 Jun 24 Enroll'!$3:$3,0),FALSE)</f>
        <v>15.03</v>
      </c>
      <c r="P24" s="77">
        <f>VLOOKUP($A24,'2324 Jun 24 Enroll'!$A$3:$AL$327,MATCH(P$3,'2324 Jun 24 Enroll'!$3:$3,0),FALSE)</f>
        <v>4.71</v>
      </c>
      <c r="Q24" s="77">
        <f>VLOOKUP($A24,'2324 Jun 24 Enroll'!$A$3:$AL$327,MATCH(Q$3,'2324 Jun 24 Enroll'!$3:$3,0),FALSE)</f>
        <v>5.91</v>
      </c>
      <c r="R24" s="108">
        <f t="shared" si="6"/>
        <v>751.97</v>
      </c>
      <c r="S24" s="77">
        <f>VLOOKUP($A24,'2324 Jun 24 Enroll'!$A$3:$AL$327,MATCH(S$3,'2324 Jun 24 Enroll'!$3:$3,0),FALSE)</f>
        <v>6.67</v>
      </c>
      <c r="T24" s="77">
        <f>VLOOKUP($A24,'2324 Jun 24 Enroll'!$A$3:$AL$327,MATCH(T$3,'2324 Jun 24 Enroll'!$3:$3,0),FALSE)</f>
        <v>0</v>
      </c>
      <c r="U24" s="77">
        <f>VLOOKUP($A24,'2324 Jun 24 Enroll'!$A$3:$AL$327,MATCH(U$3,'2324 Jun 24 Enroll'!$3:$3,0),FALSE)</f>
        <v>0</v>
      </c>
      <c r="V24" s="77">
        <f>VLOOKUP($A24,'2324 Jun 24 Enroll'!$A$3:$AL$327,MATCH(V$3,'2324 Jun 24 Enroll'!$3:$3,0),FALSE)</f>
        <v>76.44</v>
      </c>
      <c r="W24" s="77">
        <f>VLOOKUP($A24,'2324 Jun 24 Enroll'!$A$3:$AL$327,MATCH(W$3,'2324 Jun 24 Enroll'!$3:$3,0),FALSE)</f>
        <v>7.22</v>
      </c>
      <c r="X24" s="77">
        <f>VLOOKUP($A24,'2324 Jun 24 Enroll'!$A$3:$AL$327,MATCH(X$3,'2324 Jun 24 Enroll'!$3:$3,0),FALSE)</f>
        <v>751.97</v>
      </c>
      <c r="Y24" s="77">
        <f>VLOOKUP($A24,'2324 Jun 24 Enroll'!$A$3:$AL$327,MATCH(Y$3,'2324 Jun 24 Enroll'!$3:$3,0),FALSE)</f>
        <v>83.66</v>
      </c>
      <c r="Z24" s="92">
        <f t="shared" si="7"/>
        <v>0.1113</v>
      </c>
      <c r="AA24" s="92">
        <f t="shared" si="8"/>
        <v>0</v>
      </c>
      <c r="AB24" s="93">
        <v>125.6</v>
      </c>
      <c r="AC24" s="93">
        <f t="shared" si="9"/>
        <v>20.79</v>
      </c>
      <c r="AD24" s="94">
        <f>VLOOKUP($A24,'2324 Jun 24 Enroll'!$A$3:$AL$327,MATCH(AD$3,'2324 Jun 24 Enroll'!$3:$3,0),FALSE)</f>
        <v>0.21049999999999999</v>
      </c>
      <c r="AE24" s="94">
        <f>VLOOKUP($A24,'2324 Jun 24 Enroll'!$A$3:$AL$327,MATCH(AE$3,'2324 Jun 24 Enroll'!$3:$3,0),FALSE)</f>
        <v>0.2056</v>
      </c>
      <c r="AF24" s="93">
        <f>VLOOKUP($A24,'SpEd BEA Rate 2324'!$A$4:$AT$34,45,FALSE)</f>
        <v>9517.18</v>
      </c>
      <c r="AG24" s="102">
        <f t="shared" si="0"/>
        <v>75836.94</v>
      </c>
      <c r="AH24" s="102">
        <f t="shared" si="1"/>
        <v>0</v>
      </c>
      <c r="AI24" s="102">
        <f t="shared" si="2"/>
        <v>0</v>
      </c>
      <c r="AJ24" s="102">
        <f t="shared" si="3"/>
        <v>809577.23</v>
      </c>
      <c r="AK24" s="102">
        <f t="shared" si="4"/>
        <v>72362.61</v>
      </c>
      <c r="AL24" s="102">
        <f t="shared" si="5"/>
        <v>-21790.45</v>
      </c>
      <c r="AM24" s="45">
        <f t="shared" si="10"/>
        <v>792668.46</v>
      </c>
      <c r="AN24" s="45">
        <f t="shared" si="11"/>
        <v>654827.31000000006</v>
      </c>
      <c r="AO24" s="102">
        <f t="shared" si="12"/>
        <v>134632.49</v>
      </c>
    </row>
    <row r="25" spans="1:41" ht="15.75" thickBot="1">
      <c r="A25" s="40" t="s">
        <v>649</v>
      </c>
      <c r="B25" s="40" t="s">
        <v>650</v>
      </c>
      <c r="C25" s="77">
        <f>VLOOKUP($A25,'2324 Jun 24 Enroll'!$A$3:$AL$327,MATCH(C$3,'2324 Jun 24 Enroll'!$3:$3,0),FALSE)</f>
        <v>17.84</v>
      </c>
      <c r="D25" s="77">
        <f>VLOOKUP($A25,'2324 Jun 24 Enroll'!$A$3:$AL$327,MATCH(D$3,'2324 Jun 24 Enroll'!$3:$3,0),FALSE)</f>
        <v>13.9</v>
      </c>
      <c r="E25" s="77">
        <f>VLOOKUP($A25,'2324 Jun 24 Enroll'!$A$3:$AL$327,MATCH(E$3,'2324 Jun 24 Enroll'!$3:$3,0),FALSE)</f>
        <v>266.06</v>
      </c>
      <c r="F25" s="77">
        <f>VLOOKUP($A25,'2324 Jun 24 Enroll'!$A$3:$AL$327,MATCH(F$3,'2324 Jun 24 Enroll'!$3:$3,0),FALSE)</f>
        <v>69.02</v>
      </c>
      <c r="G25" s="77">
        <f>VLOOKUP($A25,'2324 Jun 24 Enroll'!$A$3:$AL$327,MATCH(G$3,'2324 Jun 24 Enroll'!$3:$3,0),FALSE)</f>
        <v>126.27</v>
      </c>
      <c r="H25" s="77">
        <f>VLOOKUP($A25,'2324 Jun 24 Enroll'!$A$3:$AL$327,MATCH(H$3,'2324 Jun 24 Enroll'!$3:$3,0),FALSE)</f>
        <v>152.88999999999999</v>
      </c>
      <c r="I25" s="77">
        <f>VLOOKUP($A25,'2324 Jun 24 Enroll'!$A$3:$AL$327,MATCH(I$3,'2324 Jun 24 Enroll'!$3:$3,0),FALSE)</f>
        <v>287.17</v>
      </c>
      <c r="J25" s="108">
        <f>VLOOKUP($A25,'2324 Jun 24 Enroll'!$A$3:$AL$327,MATCH(J$3,'2324 Jun 24 Enroll'!$3:$3,0),FALSE)</f>
        <v>901.41</v>
      </c>
      <c r="K25" s="77">
        <f>VLOOKUP($A25,'2324 Jun 24 Enroll'!$A$3:$AL$327,MATCH(K$3,'2324 Jun 24 Enroll'!$3:$3,0),FALSE)</f>
        <v>11.8</v>
      </c>
      <c r="L25" s="77">
        <f>VLOOKUP($A25,'2324 Jun 24 Enroll'!$A$3:$AL$327,MATCH(L$3,'2324 Jun 24 Enroll'!$3:$3,0),FALSE)</f>
        <v>1.1599999999999999</v>
      </c>
      <c r="M25" s="77">
        <f>VLOOKUP($A25,'2324 Jun 24 Enroll'!$A$3:$AL$327,MATCH(M$3,'2324 Jun 24 Enroll'!$3:$3,0),FALSE)</f>
        <v>1.2</v>
      </c>
      <c r="N25" s="77">
        <f>VLOOKUP($A25,'2324 Jun 24 Enroll'!$A$3:$AL$327,MATCH(N$3,'2324 Jun 24 Enroll'!$3:$3,0),FALSE)</f>
        <v>0</v>
      </c>
      <c r="O25" s="77">
        <f>VLOOKUP($A25,'2324 Jun 24 Enroll'!$A$3:$AL$327,MATCH(O$3,'2324 Jun 24 Enroll'!$3:$3,0),FALSE)</f>
        <v>2.93</v>
      </c>
      <c r="P25" s="77">
        <f>VLOOKUP($A25,'2324 Jun 24 Enroll'!$A$3:$AL$327,MATCH(P$3,'2324 Jun 24 Enroll'!$3:$3,0),FALSE)</f>
        <v>11.64</v>
      </c>
      <c r="Q25" s="77">
        <f>VLOOKUP($A25,'2324 Jun 24 Enroll'!$A$3:$AL$327,MATCH(Q$3,'2324 Jun 24 Enroll'!$3:$3,0),FALSE)</f>
        <v>48.32</v>
      </c>
      <c r="R25" s="108">
        <f t="shared" si="6"/>
        <v>978.45999999999992</v>
      </c>
      <c r="S25" s="77">
        <f>VLOOKUP($A25,'2324 Jun 24 Enroll'!$A$3:$AL$327,MATCH(S$3,'2324 Jun 24 Enroll'!$3:$3,0),FALSE)</f>
        <v>18.559999999999999</v>
      </c>
      <c r="T25" s="77">
        <f>VLOOKUP($A25,'2324 Jun 24 Enroll'!$A$3:$AL$327,MATCH(T$3,'2324 Jun 24 Enroll'!$3:$3,0),FALSE)</f>
        <v>0</v>
      </c>
      <c r="U25" s="77">
        <f>VLOOKUP($A25,'2324 Jun 24 Enroll'!$A$3:$AL$327,MATCH(U$3,'2324 Jun 24 Enroll'!$3:$3,0),FALSE)</f>
        <v>0</v>
      </c>
      <c r="V25" s="77">
        <f>VLOOKUP($A25,'2324 Jun 24 Enroll'!$A$3:$AL$327,MATCH(V$3,'2324 Jun 24 Enroll'!$3:$3,0),FALSE)</f>
        <v>202.89</v>
      </c>
      <c r="W25" s="77">
        <f>VLOOKUP($A25,'2324 Jun 24 Enroll'!$A$3:$AL$327,MATCH(W$3,'2324 Jun 24 Enroll'!$3:$3,0),FALSE)</f>
        <v>16.559999999999999</v>
      </c>
      <c r="X25" s="77">
        <f>VLOOKUP($A25,'2324 Jun 24 Enroll'!$A$3:$AL$327,MATCH(X$3,'2324 Jun 24 Enroll'!$3:$3,0),FALSE)</f>
        <v>992.08</v>
      </c>
      <c r="Y25" s="77">
        <f>VLOOKUP($A25,'2324 Jun 24 Enroll'!$A$3:$AL$327,MATCH(Y$3,'2324 Jun 24 Enroll'!$3:$3,0),FALSE)</f>
        <v>219.45</v>
      </c>
      <c r="Z25" s="92">
        <f t="shared" si="7"/>
        <v>0.22120000000000001</v>
      </c>
      <c r="AA25" s="92">
        <f t="shared" si="8"/>
        <v>7.1200000000000013E-2</v>
      </c>
      <c r="AB25" s="93">
        <v>130.24</v>
      </c>
      <c r="AC25" s="93">
        <f t="shared" si="9"/>
        <v>21.56</v>
      </c>
      <c r="AD25" s="94">
        <f>VLOOKUP($A25,'2324 Jun 24 Enroll'!$A$3:$AL$327,MATCH(AD$3,'2324 Jun 24 Enroll'!$3:$3,0),FALSE)</f>
        <v>0.1807</v>
      </c>
      <c r="AE25" s="94">
        <f>VLOOKUP($A25,'2324 Jun 24 Enroll'!$A$3:$AL$327,MATCH(AE$3,'2324 Jun 24 Enroll'!$3:$3,0),FALSE)</f>
        <v>0.2056</v>
      </c>
      <c r="AF25" s="93">
        <f>VLOOKUP($A25,'SpEd BEA Rate 2324'!$A$4:$AT$34,45,FALSE)</f>
        <v>9401.4</v>
      </c>
      <c r="AG25" s="102">
        <f t="shared" si="0"/>
        <v>211024.53</v>
      </c>
      <c r="AH25" s="102">
        <f t="shared" si="1"/>
        <v>0</v>
      </c>
      <c r="AI25" s="102">
        <f t="shared" si="2"/>
        <v>0</v>
      </c>
      <c r="AJ25" s="102">
        <f t="shared" si="3"/>
        <v>2148811.16</v>
      </c>
      <c r="AK25" s="102">
        <f t="shared" si="4"/>
        <v>165972.98000000001</v>
      </c>
      <c r="AL25" s="102">
        <f t="shared" si="5"/>
        <v>-57192.33</v>
      </c>
      <c r="AM25" s="45">
        <f t="shared" si="10"/>
        <v>2079262.42</v>
      </c>
      <c r="AN25" s="45">
        <f t="shared" si="11"/>
        <v>1761042.11</v>
      </c>
      <c r="AO25" s="102">
        <f t="shared" si="12"/>
        <v>362070.26</v>
      </c>
    </row>
    <row r="26" spans="1:41" ht="15.75" thickBot="1">
      <c r="A26" s="40" t="s">
        <v>618</v>
      </c>
      <c r="B26" s="40" t="s">
        <v>619</v>
      </c>
      <c r="C26" s="77">
        <f>VLOOKUP($A26,'2324 Jun 24 Enroll'!$A$3:$AL$327,MATCH(C$3,'2324 Jun 24 Enroll'!$3:$3,0),FALSE)</f>
        <v>17.34</v>
      </c>
      <c r="D26" s="77">
        <f>VLOOKUP($A26,'2324 Jun 24 Enroll'!$A$3:$AL$327,MATCH(D$3,'2324 Jun 24 Enroll'!$3:$3,0),FALSE)</f>
        <v>0</v>
      </c>
      <c r="E26" s="77">
        <f>VLOOKUP($A26,'2324 Jun 24 Enroll'!$A$3:$AL$327,MATCH(E$3,'2324 Jun 24 Enroll'!$3:$3,0),FALSE)</f>
        <v>84.2</v>
      </c>
      <c r="F26" s="77">
        <f>VLOOKUP($A26,'2324 Jun 24 Enroll'!$A$3:$AL$327,MATCH(F$3,'2324 Jun 24 Enroll'!$3:$3,0),FALSE)</f>
        <v>19.5</v>
      </c>
      <c r="G26" s="77">
        <f>VLOOKUP($A26,'2324 Jun 24 Enroll'!$A$3:$AL$327,MATCH(G$3,'2324 Jun 24 Enroll'!$3:$3,0),FALSE)</f>
        <v>46.5</v>
      </c>
      <c r="H26" s="77">
        <f>VLOOKUP($A26,'2324 Jun 24 Enroll'!$A$3:$AL$327,MATCH(H$3,'2324 Jun 24 Enroll'!$3:$3,0),FALSE)</f>
        <v>61.38</v>
      </c>
      <c r="I26" s="77">
        <f>VLOOKUP($A26,'2324 Jun 24 Enroll'!$A$3:$AL$327,MATCH(I$3,'2324 Jun 24 Enroll'!$3:$3,0),FALSE)</f>
        <v>90.37</v>
      </c>
      <c r="J26" s="108">
        <f>VLOOKUP($A26,'2324 Jun 24 Enroll'!$A$3:$AL$327,MATCH(J$3,'2324 Jun 24 Enroll'!$3:$3,0),FALSE)</f>
        <v>301.95</v>
      </c>
      <c r="K26" s="77">
        <f>VLOOKUP($A26,'2324 Jun 24 Enroll'!$A$3:$AL$327,MATCH(K$3,'2324 Jun 24 Enroll'!$3:$3,0),FALSE)</f>
        <v>7.04</v>
      </c>
      <c r="L26" s="77">
        <f>VLOOKUP($A26,'2324 Jun 24 Enroll'!$A$3:$AL$327,MATCH(L$3,'2324 Jun 24 Enroll'!$3:$3,0),FALSE)</f>
        <v>1.1200000000000001</v>
      </c>
      <c r="M26" s="77">
        <f>VLOOKUP($A26,'2324 Jun 24 Enroll'!$A$3:$AL$327,MATCH(M$3,'2324 Jun 24 Enroll'!$3:$3,0),FALSE)</f>
        <v>0</v>
      </c>
      <c r="N26" s="77">
        <f>VLOOKUP($A26,'2324 Jun 24 Enroll'!$A$3:$AL$327,MATCH(N$3,'2324 Jun 24 Enroll'!$3:$3,0),FALSE)</f>
        <v>0</v>
      </c>
      <c r="O26" s="77">
        <f>VLOOKUP($A26,'2324 Jun 24 Enroll'!$A$3:$AL$327,MATCH(O$3,'2324 Jun 24 Enroll'!$3:$3,0),FALSE)</f>
        <v>0</v>
      </c>
      <c r="P26" s="77">
        <f>VLOOKUP($A26,'2324 Jun 24 Enroll'!$A$3:$AL$327,MATCH(P$3,'2324 Jun 24 Enroll'!$3:$3,0),FALSE)</f>
        <v>0</v>
      </c>
      <c r="Q26" s="77">
        <f>VLOOKUP($A26,'2324 Jun 24 Enroll'!$A$3:$AL$327,MATCH(Q$3,'2324 Jun 24 Enroll'!$3:$3,0),FALSE)</f>
        <v>0</v>
      </c>
      <c r="R26" s="108">
        <f t="shared" si="6"/>
        <v>310.11</v>
      </c>
      <c r="S26" s="77">
        <f>VLOOKUP($A26,'2324 Jun 24 Enroll'!$A$3:$AL$327,MATCH(S$3,'2324 Jun 24 Enroll'!$3:$3,0),FALSE)</f>
        <v>1.78</v>
      </c>
      <c r="T26" s="77">
        <f>VLOOKUP($A26,'2324 Jun 24 Enroll'!$A$3:$AL$327,MATCH(T$3,'2324 Jun 24 Enroll'!$3:$3,0),FALSE)</f>
        <v>0</v>
      </c>
      <c r="U26" s="77">
        <f>VLOOKUP($A26,'2324 Jun 24 Enroll'!$A$3:$AL$327,MATCH(U$3,'2324 Jun 24 Enroll'!$3:$3,0),FALSE)</f>
        <v>0</v>
      </c>
      <c r="V26" s="77">
        <f>VLOOKUP($A26,'2324 Jun 24 Enroll'!$A$3:$AL$327,MATCH(V$3,'2324 Jun 24 Enroll'!$3:$3,0),FALSE)</f>
        <v>26</v>
      </c>
      <c r="W26" s="77">
        <f>VLOOKUP($A26,'2324 Jun 24 Enroll'!$A$3:$AL$327,MATCH(W$3,'2324 Jun 24 Enroll'!$3:$3,0),FALSE)</f>
        <v>14.44</v>
      </c>
      <c r="X26" s="77">
        <f>VLOOKUP($A26,'2324 Jun 24 Enroll'!$A$3:$AL$327,MATCH(X$3,'2324 Jun 24 Enroll'!$3:$3,0),FALSE)</f>
        <v>310.10000000000002</v>
      </c>
      <c r="Y26" s="77">
        <f>VLOOKUP($A26,'2324 Jun 24 Enroll'!$A$3:$AL$327,MATCH(Y$3,'2324 Jun 24 Enroll'!$3:$3,0),FALSE)</f>
        <v>40.44</v>
      </c>
      <c r="Z26" s="92">
        <f t="shared" si="7"/>
        <v>0.13039999999999999</v>
      </c>
      <c r="AA26" s="92">
        <f t="shared" si="8"/>
        <v>0</v>
      </c>
      <c r="AB26" s="93">
        <v>126.23</v>
      </c>
      <c r="AC26" s="93">
        <f t="shared" si="9"/>
        <v>20.89</v>
      </c>
      <c r="AD26" s="94">
        <f>VLOOKUP($A26,'2324 Jun 24 Enroll'!$A$3:$AL$327,MATCH(AD$3,'2324 Jun 24 Enroll'!$3:$3,0),FALSE)</f>
        <v>0.13009999999999999</v>
      </c>
      <c r="AE26" s="94">
        <f>VLOOKUP($A26,'2324 Jun 24 Enroll'!$A$3:$AL$327,MATCH(AE$3,'2324 Jun 24 Enroll'!$3:$3,0),FALSE)</f>
        <v>0.2056</v>
      </c>
      <c r="AF26" s="93">
        <f>VLOOKUP($A26,'SpEd BEA Rate 2324'!$A$4:$AT$34,45,FALSE)</f>
        <v>9511.8499999999985</v>
      </c>
      <c r="AG26" s="102">
        <f t="shared" si="0"/>
        <v>20238.34</v>
      </c>
      <c r="AH26" s="102">
        <f t="shared" si="1"/>
        <v>0</v>
      </c>
      <c r="AI26" s="102">
        <f t="shared" si="2"/>
        <v>0</v>
      </c>
      <c r="AJ26" s="102">
        <f t="shared" si="3"/>
        <v>275366.40999999997</v>
      </c>
      <c r="AK26" s="102">
        <f t="shared" si="4"/>
        <v>144725.23000000001</v>
      </c>
      <c r="AL26" s="102">
        <f t="shared" si="5"/>
        <v>-10379.379999999999</v>
      </c>
      <c r="AM26" s="45">
        <f t="shared" si="10"/>
        <v>383164.15</v>
      </c>
      <c r="AN26" s="45">
        <f t="shared" si="11"/>
        <v>339053.31</v>
      </c>
      <c r="AO26" s="102">
        <f t="shared" si="12"/>
        <v>69709.36</v>
      </c>
    </row>
    <row r="27" spans="1:41" ht="15.75" thickBot="1">
      <c r="A27" s="40" t="s">
        <v>763</v>
      </c>
      <c r="B27" s="40" t="s">
        <v>764</v>
      </c>
      <c r="C27" s="77">
        <f>VLOOKUP($A27,'2324 Jun 24 Enroll'!$A$3:$AL$327,MATCH(C$3,'2324 Jun 24 Enroll'!$3:$3,0),FALSE)</f>
        <v>17</v>
      </c>
      <c r="D27" s="77">
        <f>VLOOKUP($A27,'2324 Jun 24 Enroll'!$A$3:$AL$327,MATCH(D$3,'2324 Jun 24 Enroll'!$3:$3,0),FALSE)</f>
        <v>6.14</v>
      </c>
      <c r="E27" s="77">
        <f>VLOOKUP($A27,'2324 Jun 24 Enroll'!$A$3:$AL$327,MATCH(E$3,'2324 Jun 24 Enroll'!$3:$3,0),FALSE)</f>
        <v>38.6</v>
      </c>
      <c r="F27" s="77">
        <f>VLOOKUP($A27,'2324 Jun 24 Enroll'!$A$3:$AL$327,MATCH(F$3,'2324 Jun 24 Enroll'!$3:$3,0),FALSE)</f>
        <v>6</v>
      </c>
      <c r="G27" s="77">
        <f>VLOOKUP($A27,'2324 Jun 24 Enroll'!$A$3:$AL$327,MATCH(G$3,'2324 Jun 24 Enroll'!$3:$3,0),FALSE)</f>
        <v>22.4</v>
      </c>
      <c r="H27" s="77">
        <f>VLOOKUP($A27,'2324 Jun 24 Enroll'!$A$3:$AL$327,MATCH(H$3,'2324 Jun 24 Enroll'!$3:$3,0),FALSE)</f>
        <v>9</v>
      </c>
      <c r="I27" s="77">
        <f>VLOOKUP($A27,'2324 Jun 24 Enroll'!$A$3:$AL$327,MATCH(I$3,'2324 Jun 24 Enroll'!$3:$3,0),FALSE)</f>
        <v>0</v>
      </c>
      <c r="J27" s="108">
        <f>VLOOKUP($A27,'2324 Jun 24 Enroll'!$A$3:$AL$327,MATCH(J$3,'2324 Jun 24 Enroll'!$3:$3,0),FALSE)</f>
        <v>76</v>
      </c>
      <c r="K27" s="77">
        <f>VLOOKUP($A27,'2324 Jun 24 Enroll'!$A$3:$AL$327,MATCH(K$3,'2324 Jun 24 Enroll'!$3:$3,0),FALSE)</f>
        <v>0</v>
      </c>
      <c r="L27" s="77">
        <f>VLOOKUP($A27,'2324 Jun 24 Enroll'!$A$3:$AL$327,MATCH(L$3,'2324 Jun 24 Enroll'!$3:$3,0),FALSE)</f>
        <v>0</v>
      </c>
      <c r="M27" s="77">
        <f>VLOOKUP($A27,'2324 Jun 24 Enroll'!$A$3:$AL$327,MATCH(M$3,'2324 Jun 24 Enroll'!$3:$3,0),FALSE)</f>
        <v>0</v>
      </c>
      <c r="N27" s="77">
        <f>VLOOKUP($A27,'2324 Jun 24 Enroll'!$A$3:$AL$327,MATCH(N$3,'2324 Jun 24 Enroll'!$3:$3,0),FALSE)</f>
        <v>0</v>
      </c>
      <c r="O27" s="77">
        <f>VLOOKUP($A27,'2324 Jun 24 Enroll'!$A$3:$AL$327,MATCH(O$3,'2324 Jun 24 Enroll'!$3:$3,0),FALSE)</f>
        <v>0</v>
      </c>
      <c r="P27" s="77">
        <f>VLOOKUP($A27,'2324 Jun 24 Enroll'!$A$3:$AL$327,MATCH(P$3,'2324 Jun 24 Enroll'!$3:$3,0),FALSE)</f>
        <v>0</v>
      </c>
      <c r="Q27" s="77">
        <f>VLOOKUP($A27,'2324 Jun 24 Enroll'!$A$3:$AL$327,MATCH(Q$3,'2324 Jun 24 Enroll'!$3:$3,0),FALSE)</f>
        <v>0</v>
      </c>
      <c r="R27" s="108">
        <f t="shared" si="6"/>
        <v>76</v>
      </c>
      <c r="S27" s="77">
        <f>VLOOKUP($A27,'2324 Jun 24 Enroll'!$A$3:$AL$327,MATCH(S$3,'2324 Jun 24 Enroll'!$3:$3,0),FALSE)</f>
        <v>0</v>
      </c>
      <c r="T27" s="77">
        <f>VLOOKUP($A27,'2324 Jun 24 Enroll'!$A$3:$AL$327,MATCH(T$3,'2324 Jun 24 Enroll'!$3:$3,0),FALSE)</f>
        <v>0</v>
      </c>
      <c r="U27" s="77">
        <f>VLOOKUP($A27,'2324 Jun 24 Enroll'!$A$3:$AL$327,MATCH(U$3,'2324 Jun 24 Enroll'!$3:$3,0),FALSE)</f>
        <v>0</v>
      </c>
      <c r="V27" s="77">
        <f>VLOOKUP($A27,'2324 Jun 24 Enroll'!$A$3:$AL$327,MATCH(V$3,'2324 Jun 24 Enroll'!$3:$3,0),FALSE)</f>
        <v>8.2200000000000006</v>
      </c>
      <c r="W27" s="77">
        <f>VLOOKUP($A27,'2324 Jun 24 Enroll'!$A$3:$AL$327,MATCH(W$3,'2324 Jun 24 Enroll'!$3:$3,0),FALSE)</f>
        <v>0</v>
      </c>
      <c r="X27" s="77">
        <f>VLOOKUP($A27,'2324 Jun 24 Enroll'!$A$3:$AL$327,MATCH(X$3,'2324 Jun 24 Enroll'!$3:$3,0),FALSE)</f>
        <v>82.14</v>
      </c>
      <c r="Y27" s="77">
        <f>VLOOKUP($A27,'2324 Jun 24 Enroll'!$A$3:$AL$327,MATCH(Y$3,'2324 Jun 24 Enroll'!$3:$3,0),FALSE)</f>
        <v>8.2200000000000006</v>
      </c>
      <c r="Z27" s="92">
        <f t="shared" si="7"/>
        <v>0.10009999999999999</v>
      </c>
      <c r="AA27" s="92">
        <f t="shared" si="8"/>
        <v>0</v>
      </c>
      <c r="AB27" s="93">
        <v>117.72</v>
      </c>
      <c r="AC27" s="93">
        <f t="shared" si="9"/>
        <v>19.48</v>
      </c>
      <c r="AD27" s="94">
        <f>VLOOKUP($A27,'2324 Jun 24 Enroll'!$A$3:$AL$327,MATCH(AD$3,'2324 Jun 24 Enroll'!$3:$3,0),FALSE)</f>
        <v>0.40949999999999998</v>
      </c>
      <c r="AE27" s="94">
        <f>VLOOKUP($A27,'2324 Jun 24 Enroll'!$A$3:$AL$327,MATCH(AE$3,'2324 Jun 24 Enroll'!$3:$3,0),FALSE)</f>
        <v>0.2056</v>
      </c>
      <c r="AF27" s="93">
        <f>VLOOKUP($A27,'SpEd BEA Rate 2324'!$A$4:$AT$34,45,FALSE)</f>
        <v>10524.869999999999</v>
      </c>
      <c r="AG27" s="102">
        <f t="shared" si="0"/>
        <v>0</v>
      </c>
      <c r="AH27" s="102">
        <f t="shared" si="1"/>
        <v>0</v>
      </c>
      <c r="AI27" s="102">
        <f t="shared" si="2"/>
        <v>0</v>
      </c>
      <c r="AJ27" s="102">
        <f t="shared" si="3"/>
        <v>87058.15</v>
      </c>
      <c r="AK27" s="102">
        <f t="shared" si="4"/>
        <v>0</v>
      </c>
      <c r="AL27" s="102">
        <f t="shared" si="5"/>
        <v>-2150.98</v>
      </c>
      <c r="AM27" s="45">
        <f t="shared" si="10"/>
        <v>77883.509999999995</v>
      </c>
      <c r="AN27" s="45">
        <f t="shared" si="11"/>
        <v>55256.13</v>
      </c>
      <c r="AO27" s="102">
        <f t="shared" si="12"/>
        <v>11360.66</v>
      </c>
    </row>
    <row r="28" spans="1:41" ht="15.75" thickBot="1">
      <c r="A28" s="40" t="s">
        <v>608</v>
      </c>
      <c r="B28" s="40" t="s">
        <v>609</v>
      </c>
      <c r="C28" s="77">
        <f>VLOOKUP($A28,'2324 Jun 24 Enroll'!$A$3:$AL$327,MATCH(C$3,'2324 Jun 24 Enroll'!$3:$3,0),FALSE)</f>
        <v>17</v>
      </c>
      <c r="D28" s="77">
        <f>VLOOKUP($A28,'2324 Jun 24 Enroll'!$A$3:$AL$327,MATCH(D$3,'2324 Jun 24 Enroll'!$3:$3,0),FALSE)</f>
        <v>0</v>
      </c>
      <c r="E28" s="77">
        <f>VLOOKUP($A28,'2324 Jun 24 Enroll'!$A$3:$AL$327,MATCH(E$3,'2324 Jun 24 Enroll'!$3:$3,0),FALSE)</f>
        <v>32.200000000000003</v>
      </c>
      <c r="F28" s="77">
        <f>VLOOKUP($A28,'2324 Jun 24 Enroll'!$A$3:$AL$327,MATCH(F$3,'2324 Jun 24 Enroll'!$3:$3,0),FALSE)</f>
        <v>7.3</v>
      </c>
      <c r="G28" s="77">
        <f>VLOOKUP($A28,'2324 Jun 24 Enroll'!$A$3:$AL$327,MATCH(G$3,'2324 Jun 24 Enroll'!$3:$3,0),FALSE)</f>
        <v>15.4</v>
      </c>
      <c r="H28" s="77">
        <f>VLOOKUP($A28,'2324 Jun 24 Enroll'!$A$3:$AL$327,MATCH(H$3,'2324 Jun 24 Enroll'!$3:$3,0),FALSE)</f>
        <v>11.1</v>
      </c>
      <c r="I28" s="77">
        <f>VLOOKUP($A28,'2324 Jun 24 Enroll'!$A$3:$AL$327,MATCH(I$3,'2324 Jun 24 Enroll'!$3:$3,0),FALSE)</f>
        <v>0</v>
      </c>
      <c r="J28" s="108">
        <f>VLOOKUP($A28,'2324 Jun 24 Enroll'!$A$3:$AL$327,MATCH(J$3,'2324 Jun 24 Enroll'!$3:$3,0),FALSE)</f>
        <v>66</v>
      </c>
      <c r="K28" s="77">
        <f>VLOOKUP($A28,'2324 Jun 24 Enroll'!$A$3:$AL$327,MATCH(K$3,'2324 Jun 24 Enroll'!$3:$3,0),FALSE)</f>
        <v>0</v>
      </c>
      <c r="L28" s="77">
        <f>VLOOKUP($A28,'2324 Jun 24 Enroll'!$A$3:$AL$327,MATCH(L$3,'2324 Jun 24 Enroll'!$3:$3,0),FALSE)</f>
        <v>0</v>
      </c>
      <c r="M28" s="77">
        <f>VLOOKUP($A28,'2324 Jun 24 Enroll'!$A$3:$AL$327,MATCH(M$3,'2324 Jun 24 Enroll'!$3:$3,0),FALSE)</f>
        <v>0</v>
      </c>
      <c r="N28" s="77">
        <f>VLOOKUP($A28,'2324 Jun 24 Enroll'!$A$3:$AL$327,MATCH(N$3,'2324 Jun 24 Enroll'!$3:$3,0),FALSE)</f>
        <v>0</v>
      </c>
      <c r="O28" s="77">
        <f>VLOOKUP($A28,'2324 Jun 24 Enroll'!$A$3:$AL$327,MATCH(O$3,'2324 Jun 24 Enroll'!$3:$3,0),FALSE)</f>
        <v>0</v>
      </c>
      <c r="P28" s="77">
        <f>VLOOKUP($A28,'2324 Jun 24 Enroll'!$A$3:$AL$327,MATCH(P$3,'2324 Jun 24 Enroll'!$3:$3,0),FALSE)</f>
        <v>0</v>
      </c>
      <c r="Q28" s="77">
        <f>VLOOKUP($A28,'2324 Jun 24 Enroll'!$A$3:$AL$327,MATCH(Q$3,'2324 Jun 24 Enroll'!$3:$3,0),FALSE)</f>
        <v>0</v>
      </c>
      <c r="R28" s="108">
        <f t="shared" si="6"/>
        <v>66</v>
      </c>
      <c r="S28" s="77">
        <f>VLOOKUP($A28,'2324 Jun 24 Enroll'!$A$3:$AL$327,MATCH(S$3,'2324 Jun 24 Enroll'!$3:$3,0),FALSE)</f>
        <v>0</v>
      </c>
      <c r="T28" s="77">
        <f>VLOOKUP($A28,'2324 Jun 24 Enroll'!$A$3:$AL$327,MATCH(T$3,'2324 Jun 24 Enroll'!$3:$3,0),FALSE)</f>
        <v>0</v>
      </c>
      <c r="U28" s="77">
        <f>VLOOKUP($A28,'2324 Jun 24 Enroll'!$A$3:$AL$327,MATCH(U$3,'2324 Jun 24 Enroll'!$3:$3,0),FALSE)</f>
        <v>0</v>
      </c>
      <c r="V28" s="77">
        <f>VLOOKUP($A28,'2324 Jun 24 Enroll'!$A$3:$AL$327,MATCH(V$3,'2324 Jun 24 Enroll'!$3:$3,0),FALSE)</f>
        <v>7.78</v>
      </c>
      <c r="W28" s="77">
        <f>VLOOKUP($A28,'2324 Jun 24 Enroll'!$A$3:$AL$327,MATCH(W$3,'2324 Jun 24 Enroll'!$3:$3,0),FALSE)</f>
        <v>0.11</v>
      </c>
      <c r="X28" s="77">
        <f>VLOOKUP($A28,'2324 Jun 24 Enroll'!$A$3:$AL$327,MATCH(X$3,'2324 Jun 24 Enroll'!$3:$3,0),FALSE)</f>
        <v>66</v>
      </c>
      <c r="Y28" s="77">
        <f>VLOOKUP($A28,'2324 Jun 24 Enroll'!$A$3:$AL$327,MATCH(Y$3,'2324 Jun 24 Enroll'!$3:$3,0),FALSE)</f>
        <v>7.89</v>
      </c>
      <c r="Z28" s="92">
        <f t="shared" si="7"/>
        <v>0.1195</v>
      </c>
      <c r="AA28" s="92">
        <f t="shared" si="8"/>
        <v>0</v>
      </c>
      <c r="AB28" s="93">
        <v>135.22</v>
      </c>
      <c r="AC28" s="93">
        <f t="shared" si="9"/>
        <v>22.38</v>
      </c>
      <c r="AD28" s="94">
        <f>VLOOKUP($A28,'2324 Jun 24 Enroll'!$A$3:$AL$327,MATCH(AD$3,'2324 Jun 24 Enroll'!$3:$3,0),FALSE)</f>
        <v>0.36559999999999998</v>
      </c>
      <c r="AE28" s="94">
        <f>VLOOKUP($A28,'2324 Jun 24 Enroll'!$A$3:$AL$327,MATCH(AE$3,'2324 Jun 24 Enroll'!$3:$3,0),FALSE)</f>
        <v>0.2056</v>
      </c>
      <c r="AF28" s="93">
        <f>VLOOKUP($A28,'SpEd BEA Rate 2324'!$A$4:$AT$34,45,FALSE)</f>
        <v>10360.629999999999</v>
      </c>
      <c r="AG28" s="102">
        <f t="shared" si="0"/>
        <v>0</v>
      </c>
      <c r="AH28" s="102">
        <f t="shared" si="1"/>
        <v>0</v>
      </c>
      <c r="AI28" s="102">
        <f t="shared" si="2"/>
        <v>0</v>
      </c>
      <c r="AJ28" s="102">
        <f t="shared" si="3"/>
        <v>82398.100000000006</v>
      </c>
      <c r="AK28" s="102">
        <f t="shared" si="4"/>
        <v>1102.48</v>
      </c>
      <c r="AL28" s="102">
        <f t="shared" si="5"/>
        <v>-2063.08</v>
      </c>
      <c r="AM28" s="45">
        <f t="shared" si="10"/>
        <v>74756.800000000003</v>
      </c>
      <c r="AN28" s="45">
        <f t="shared" si="11"/>
        <v>54742.82</v>
      </c>
      <c r="AO28" s="102">
        <f t="shared" si="12"/>
        <v>11255.12</v>
      </c>
    </row>
    <row r="29" spans="1:41" ht="15.75" thickBot="1">
      <c r="A29" s="40" t="s">
        <v>592</v>
      </c>
      <c r="B29" s="40" t="s">
        <v>593</v>
      </c>
      <c r="C29" s="77">
        <f>VLOOKUP($A29,'2324 Jun 24 Enroll'!$A$3:$AL$327,MATCH(C$3,'2324 Jun 24 Enroll'!$3:$3,0),FALSE)</f>
        <v>17</v>
      </c>
      <c r="D29" s="77">
        <f>VLOOKUP($A29,'2324 Jun 24 Enroll'!$A$3:$AL$327,MATCH(D$3,'2324 Jun 24 Enroll'!$3:$3,0),FALSE)</f>
        <v>0</v>
      </c>
      <c r="E29" s="77">
        <f>VLOOKUP($A29,'2324 Jun 24 Enroll'!$A$3:$AL$327,MATCH(E$3,'2324 Jun 24 Enroll'!$3:$3,0),FALSE)</f>
        <v>19</v>
      </c>
      <c r="F29" s="77">
        <f>VLOOKUP($A29,'2324 Jun 24 Enroll'!$A$3:$AL$327,MATCH(F$3,'2324 Jun 24 Enroll'!$3:$3,0),FALSE)</f>
        <v>6</v>
      </c>
      <c r="G29" s="77">
        <f>VLOOKUP($A29,'2324 Jun 24 Enroll'!$A$3:$AL$327,MATCH(G$3,'2324 Jun 24 Enroll'!$3:$3,0),FALSE)</f>
        <v>14.2</v>
      </c>
      <c r="H29" s="77">
        <f>VLOOKUP($A29,'2324 Jun 24 Enroll'!$A$3:$AL$327,MATCH(H$3,'2324 Jun 24 Enroll'!$3:$3,0),FALSE)</f>
        <v>6.1</v>
      </c>
      <c r="I29" s="77">
        <f>VLOOKUP($A29,'2324 Jun 24 Enroll'!$A$3:$AL$327,MATCH(I$3,'2324 Jun 24 Enroll'!$3:$3,0),FALSE)</f>
        <v>22.44</v>
      </c>
      <c r="J29" s="108">
        <f>VLOOKUP($A29,'2324 Jun 24 Enroll'!$A$3:$AL$327,MATCH(J$3,'2324 Jun 24 Enroll'!$3:$3,0),FALSE)</f>
        <v>67.739999999999995</v>
      </c>
      <c r="K29" s="77">
        <f>VLOOKUP($A29,'2324 Jun 24 Enroll'!$A$3:$AL$327,MATCH(K$3,'2324 Jun 24 Enroll'!$3:$3,0),FALSE)</f>
        <v>0</v>
      </c>
      <c r="L29" s="77">
        <f>VLOOKUP($A29,'2324 Jun 24 Enroll'!$A$3:$AL$327,MATCH(L$3,'2324 Jun 24 Enroll'!$3:$3,0),FALSE)</f>
        <v>0</v>
      </c>
      <c r="M29" s="77">
        <f>VLOOKUP($A29,'2324 Jun 24 Enroll'!$A$3:$AL$327,MATCH(M$3,'2324 Jun 24 Enroll'!$3:$3,0),FALSE)</f>
        <v>0</v>
      </c>
      <c r="N29" s="77">
        <f>VLOOKUP($A29,'2324 Jun 24 Enroll'!$A$3:$AL$327,MATCH(N$3,'2324 Jun 24 Enroll'!$3:$3,0),FALSE)</f>
        <v>0</v>
      </c>
      <c r="O29" s="77">
        <f>VLOOKUP($A29,'2324 Jun 24 Enroll'!$A$3:$AL$327,MATCH(O$3,'2324 Jun 24 Enroll'!$3:$3,0),FALSE)</f>
        <v>0</v>
      </c>
      <c r="P29" s="77">
        <f>VLOOKUP($A29,'2324 Jun 24 Enroll'!$A$3:$AL$327,MATCH(P$3,'2324 Jun 24 Enroll'!$3:$3,0),FALSE)</f>
        <v>0</v>
      </c>
      <c r="Q29" s="77">
        <f>VLOOKUP($A29,'2324 Jun 24 Enroll'!$A$3:$AL$327,MATCH(Q$3,'2324 Jun 24 Enroll'!$3:$3,0),FALSE)</f>
        <v>0</v>
      </c>
      <c r="R29" s="108">
        <f t="shared" si="6"/>
        <v>67.739999999999995</v>
      </c>
      <c r="S29" s="77">
        <f>VLOOKUP($A29,'2324 Jun 24 Enroll'!$A$3:$AL$327,MATCH(S$3,'2324 Jun 24 Enroll'!$3:$3,0),FALSE)</f>
        <v>0</v>
      </c>
      <c r="T29" s="77">
        <f>VLOOKUP($A29,'2324 Jun 24 Enroll'!$A$3:$AL$327,MATCH(T$3,'2324 Jun 24 Enroll'!$3:$3,0),FALSE)</f>
        <v>0</v>
      </c>
      <c r="U29" s="77">
        <f>VLOOKUP($A29,'2324 Jun 24 Enroll'!$A$3:$AL$327,MATCH(U$3,'2324 Jun 24 Enroll'!$3:$3,0),FALSE)</f>
        <v>0</v>
      </c>
      <c r="V29" s="77">
        <f>VLOOKUP($A29,'2324 Jun 24 Enroll'!$A$3:$AL$327,MATCH(V$3,'2324 Jun 24 Enroll'!$3:$3,0),FALSE)</f>
        <v>4.22</v>
      </c>
      <c r="W29" s="77">
        <f>VLOOKUP($A29,'2324 Jun 24 Enroll'!$A$3:$AL$327,MATCH(W$3,'2324 Jun 24 Enroll'!$3:$3,0),FALSE)</f>
        <v>1</v>
      </c>
      <c r="X29" s="77">
        <f>VLOOKUP($A29,'2324 Jun 24 Enroll'!$A$3:$AL$327,MATCH(X$3,'2324 Jun 24 Enroll'!$3:$3,0),FALSE)</f>
        <v>67.739999999999995</v>
      </c>
      <c r="Y29" s="77">
        <f>VLOOKUP($A29,'2324 Jun 24 Enroll'!$A$3:$AL$327,MATCH(Y$3,'2324 Jun 24 Enroll'!$3:$3,0),FALSE)</f>
        <v>5.22</v>
      </c>
      <c r="Z29" s="92">
        <f t="shared" si="7"/>
        <v>7.7100000000000002E-2</v>
      </c>
      <c r="AA29" s="92">
        <f t="shared" si="8"/>
        <v>0</v>
      </c>
      <c r="AB29" s="93">
        <v>117.52</v>
      </c>
      <c r="AC29" s="93">
        <f t="shared" si="9"/>
        <v>19.45</v>
      </c>
      <c r="AD29" s="94">
        <f>VLOOKUP($A29,'2324 Jun 24 Enroll'!$A$3:$AL$327,MATCH(AD$3,'2324 Jun 24 Enroll'!$3:$3,0),FALSE)</f>
        <v>0.26869999999999999</v>
      </c>
      <c r="AE29" s="94">
        <f>VLOOKUP($A29,'2324 Jun 24 Enroll'!$A$3:$AL$327,MATCH(AE$3,'2324 Jun 24 Enroll'!$3:$3,0),FALSE)</f>
        <v>0.2056</v>
      </c>
      <c r="AF29" s="93">
        <f>VLOOKUP($A29,'SpEd BEA Rate 2324'!$A$4:$AT$34,45,FALSE)</f>
        <v>9485.4</v>
      </c>
      <c r="AG29" s="102">
        <f t="shared" si="0"/>
        <v>0</v>
      </c>
      <c r="AH29" s="102">
        <f t="shared" si="1"/>
        <v>0</v>
      </c>
      <c r="AI29" s="102">
        <f t="shared" si="2"/>
        <v>0</v>
      </c>
      <c r="AJ29" s="102">
        <f t="shared" si="3"/>
        <v>44694.09</v>
      </c>
      <c r="AK29" s="102">
        <f t="shared" si="4"/>
        <v>10022.52</v>
      </c>
      <c r="AL29" s="102">
        <f t="shared" si="5"/>
        <v>-1351.91</v>
      </c>
      <c r="AM29" s="45">
        <f t="shared" si="10"/>
        <v>49458.87</v>
      </c>
      <c r="AN29" s="45">
        <f t="shared" si="11"/>
        <v>38983.9</v>
      </c>
      <c r="AO29" s="102">
        <f t="shared" si="12"/>
        <v>8015.09</v>
      </c>
    </row>
    <row r="30" spans="1:41" ht="15.75" thickBot="1">
      <c r="A30" s="40" t="s">
        <v>799</v>
      </c>
      <c r="B30" s="40" t="s">
        <v>800</v>
      </c>
      <c r="C30" s="77">
        <f>VLOOKUP($A30,'2324 Jun 24 Enroll'!$A$3:$AL$327,MATCH(C$3,'2324 Jun 24 Enroll'!$3:$3,0),FALSE)</f>
        <v>17</v>
      </c>
      <c r="D30" s="77">
        <f>VLOOKUP($A30,'2324 Jun 24 Enroll'!$A$3:$AL$327,MATCH(D$3,'2324 Jun 24 Enroll'!$3:$3,0),FALSE)</f>
        <v>27.5</v>
      </c>
      <c r="E30" s="77">
        <f>VLOOKUP($A30,'2324 Jun 24 Enroll'!$A$3:$AL$327,MATCH(E$3,'2324 Jun 24 Enroll'!$3:$3,0),FALSE)</f>
        <v>196.26</v>
      </c>
      <c r="F30" s="77">
        <f>VLOOKUP($A30,'2324 Jun 24 Enroll'!$A$3:$AL$327,MATCH(F$3,'2324 Jun 24 Enroll'!$3:$3,0),FALSE)</f>
        <v>45.23</v>
      </c>
      <c r="G30" s="77">
        <f>VLOOKUP($A30,'2324 Jun 24 Enroll'!$A$3:$AL$327,MATCH(G$3,'2324 Jun 24 Enroll'!$3:$3,0),FALSE)</f>
        <v>131.4</v>
      </c>
      <c r="H30" s="77">
        <f>VLOOKUP($A30,'2324 Jun 24 Enroll'!$A$3:$AL$327,MATCH(H$3,'2324 Jun 24 Enroll'!$3:$3,0),FALSE)</f>
        <v>125.12</v>
      </c>
      <c r="I30" s="77">
        <f>VLOOKUP($A30,'2324 Jun 24 Enroll'!$A$3:$AL$327,MATCH(I$3,'2324 Jun 24 Enroll'!$3:$3,0),FALSE)</f>
        <v>255.47</v>
      </c>
      <c r="J30" s="108">
        <f>VLOOKUP($A30,'2324 Jun 24 Enroll'!$A$3:$AL$327,MATCH(J$3,'2324 Jun 24 Enroll'!$3:$3,0),FALSE)</f>
        <v>753.48</v>
      </c>
      <c r="K30" s="77">
        <f>VLOOKUP($A30,'2324 Jun 24 Enroll'!$A$3:$AL$327,MATCH(K$3,'2324 Jun 24 Enroll'!$3:$3,0),FALSE)</f>
        <v>4.34</v>
      </c>
      <c r="L30" s="77">
        <f>VLOOKUP($A30,'2324 Jun 24 Enroll'!$A$3:$AL$327,MATCH(L$3,'2324 Jun 24 Enroll'!$3:$3,0),FALSE)</f>
        <v>0.48</v>
      </c>
      <c r="M30" s="77">
        <f>VLOOKUP($A30,'2324 Jun 24 Enroll'!$A$3:$AL$327,MATCH(M$3,'2324 Jun 24 Enroll'!$3:$3,0),FALSE)</f>
        <v>8.4</v>
      </c>
      <c r="N30" s="77">
        <f>VLOOKUP($A30,'2324 Jun 24 Enroll'!$A$3:$AL$327,MATCH(N$3,'2324 Jun 24 Enroll'!$3:$3,0),FALSE)</f>
        <v>0</v>
      </c>
      <c r="O30" s="77">
        <f>VLOOKUP($A30,'2324 Jun 24 Enroll'!$A$3:$AL$327,MATCH(O$3,'2324 Jun 24 Enroll'!$3:$3,0),FALSE)</f>
        <v>0</v>
      </c>
      <c r="P30" s="77">
        <f>VLOOKUP($A30,'2324 Jun 24 Enroll'!$A$3:$AL$327,MATCH(P$3,'2324 Jun 24 Enroll'!$3:$3,0),FALSE)</f>
        <v>0</v>
      </c>
      <c r="Q30" s="77">
        <f>VLOOKUP($A30,'2324 Jun 24 Enroll'!$A$3:$AL$327,MATCH(Q$3,'2324 Jun 24 Enroll'!$3:$3,0),FALSE)</f>
        <v>0</v>
      </c>
      <c r="R30" s="108">
        <f t="shared" si="6"/>
        <v>766.7</v>
      </c>
      <c r="S30" s="77">
        <f>VLOOKUP($A30,'2324 Jun 24 Enroll'!$A$3:$AL$327,MATCH(S$3,'2324 Jun 24 Enroll'!$3:$3,0),FALSE)</f>
        <v>7.11</v>
      </c>
      <c r="T30" s="77">
        <f>VLOOKUP($A30,'2324 Jun 24 Enroll'!$A$3:$AL$327,MATCH(T$3,'2324 Jun 24 Enroll'!$3:$3,0),FALSE)</f>
        <v>0</v>
      </c>
      <c r="U30" s="77">
        <f>VLOOKUP($A30,'2324 Jun 24 Enroll'!$A$3:$AL$327,MATCH(U$3,'2324 Jun 24 Enroll'!$3:$3,0),FALSE)</f>
        <v>0</v>
      </c>
      <c r="V30" s="77">
        <f>VLOOKUP($A30,'2324 Jun 24 Enroll'!$A$3:$AL$327,MATCH(V$3,'2324 Jun 24 Enroll'!$3:$3,0),FALSE)</f>
        <v>80.67</v>
      </c>
      <c r="W30" s="77">
        <f>VLOOKUP($A30,'2324 Jun 24 Enroll'!$A$3:$AL$327,MATCH(W$3,'2324 Jun 24 Enroll'!$3:$3,0),FALSE)</f>
        <v>44.22</v>
      </c>
      <c r="X30" s="77">
        <f>VLOOKUP($A30,'2324 Jun 24 Enroll'!$A$3:$AL$327,MATCH(X$3,'2324 Jun 24 Enroll'!$3:$3,0),FALSE)</f>
        <v>795.5</v>
      </c>
      <c r="Y30" s="77">
        <f>VLOOKUP($A30,'2324 Jun 24 Enroll'!$A$3:$AL$327,MATCH(Y$3,'2324 Jun 24 Enroll'!$3:$3,0),FALSE)</f>
        <v>124.89</v>
      </c>
      <c r="Z30" s="92">
        <f t="shared" si="7"/>
        <v>0.157</v>
      </c>
      <c r="AA30" s="92">
        <f t="shared" si="8"/>
        <v>7.0000000000000062E-3</v>
      </c>
      <c r="AB30" s="93">
        <v>124.01</v>
      </c>
      <c r="AC30" s="93">
        <f t="shared" si="9"/>
        <v>20.53</v>
      </c>
      <c r="AD30" s="94">
        <f>VLOOKUP($A30,'2324 Jun 24 Enroll'!$A$3:$AL$327,MATCH(AD$3,'2324 Jun 24 Enroll'!$3:$3,0),FALSE)</f>
        <v>0.15629999999999999</v>
      </c>
      <c r="AE30" s="94">
        <f>VLOOKUP($A30,'2324 Jun 24 Enroll'!$A$3:$AL$327,MATCH(AE$3,'2324 Jun 24 Enroll'!$3:$3,0),FALSE)</f>
        <v>0.2056</v>
      </c>
      <c r="AF30" s="93">
        <f>VLOOKUP($A30,'SpEd BEA Rate 2324'!$A$4:$AT$34,45,FALSE)</f>
        <v>9488.23</v>
      </c>
      <c r="AG30" s="102">
        <f t="shared" si="0"/>
        <v>80839.679999999993</v>
      </c>
      <c r="AH30" s="102">
        <f t="shared" si="1"/>
        <v>0</v>
      </c>
      <c r="AI30" s="102">
        <f t="shared" si="2"/>
        <v>0</v>
      </c>
      <c r="AJ30" s="102">
        <f t="shared" si="3"/>
        <v>854377.23</v>
      </c>
      <c r="AK30" s="102">
        <f t="shared" si="4"/>
        <v>443195.96</v>
      </c>
      <c r="AL30" s="102">
        <f t="shared" si="5"/>
        <v>-32059.68</v>
      </c>
      <c r="AM30" s="45">
        <f t="shared" si="10"/>
        <v>1183317.76</v>
      </c>
      <c r="AN30" s="45">
        <f t="shared" si="11"/>
        <v>1023365.7</v>
      </c>
      <c r="AO30" s="102">
        <f t="shared" si="12"/>
        <v>210403.99</v>
      </c>
    </row>
    <row r="31" spans="1:41" ht="15.75" thickBot="1">
      <c r="A31" s="40" t="s">
        <v>845</v>
      </c>
      <c r="B31" s="40" t="s">
        <v>846</v>
      </c>
      <c r="C31" s="77">
        <f>VLOOKUP($A31,'2324 Jun 24 Enroll'!$A$3:$AL$327,MATCH(C$3,'2324 Jun 24 Enroll'!$3:$3,0),FALSE)</f>
        <v>17</v>
      </c>
      <c r="D31" s="77">
        <f>VLOOKUP($A31,'2324 Jun 24 Enroll'!$A$3:$AL$327,MATCH(D$3,'2324 Jun 24 Enroll'!$3:$3,0),FALSE)</f>
        <v>0</v>
      </c>
      <c r="E31" s="77">
        <f>VLOOKUP($A31,'2324 Jun 24 Enroll'!$A$3:$AL$327,MATCH(E$3,'2324 Jun 24 Enroll'!$3:$3,0),FALSE)</f>
        <v>111.23</v>
      </c>
      <c r="F31" s="77">
        <f>VLOOKUP($A31,'2324 Jun 24 Enroll'!$A$3:$AL$327,MATCH(F$3,'2324 Jun 24 Enroll'!$3:$3,0),FALSE)</f>
        <v>32.5</v>
      </c>
      <c r="G31" s="77">
        <f>VLOOKUP($A31,'2324 Jun 24 Enroll'!$A$3:$AL$327,MATCH(G$3,'2324 Jun 24 Enroll'!$3:$3,0),FALSE)</f>
        <v>67.83</v>
      </c>
      <c r="H31" s="77">
        <f>VLOOKUP($A31,'2324 Jun 24 Enroll'!$A$3:$AL$327,MATCH(H$3,'2324 Jun 24 Enroll'!$3:$3,0),FALSE)</f>
        <v>51.04</v>
      </c>
      <c r="I31" s="77">
        <f>VLOOKUP($A31,'2324 Jun 24 Enroll'!$A$3:$AL$327,MATCH(I$3,'2324 Jun 24 Enroll'!$3:$3,0),FALSE)</f>
        <v>124.37</v>
      </c>
      <c r="J31" s="108">
        <f>VLOOKUP($A31,'2324 Jun 24 Enroll'!$A$3:$AL$327,MATCH(J$3,'2324 Jun 24 Enroll'!$3:$3,0),FALSE)</f>
        <v>386.97</v>
      </c>
      <c r="K31" s="77">
        <f>VLOOKUP($A31,'2324 Jun 24 Enroll'!$A$3:$AL$327,MATCH(K$3,'2324 Jun 24 Enroll'!$3:$3,0),FALSE)</f>
        <v>6.53</v>
      </c>
      <c r="L31" s="77">
        <f>VLOOKUP($A31,'2324 Jun 24 Enroll'!$A$3:$AL$327,MATCH(L$3,'2324 Jun 24 Enroll'!$3:$3,0),FALSE)</f>
        <v>0.31</v>
      </c>
      <c r="M31" s="77">
        <f>VLOOKUP($A31,'2324 Jun 24 Enroll'!$A$3:$AL$327,MATCH(M$3,'2324 Jun 24 Enroll'!$3:$3,0),FALSE)</f>
        <v>0</v>
      </c>
      <c r="N31" s="77">
        <f>VLOOKUP($A31,'2324 Jun 24 Enroll'!$A$3:$AL$327,MATCH(N$3,'2324 Jun 24 Enroll'!$3:$3,0),FALSE)</f>
        <v>0</v>
      </c>
      <c r="O31" s="77">
        <f>VLOOKUP($A31,'2324 Jun 24 Enroll'!$A$3:$AL$327,MATCH(O$3,'2324 Jun 24 Enroll'!$3:$3,0),FALSE)</f>
        <v>2.83</v>
      </c>
      <c r="P31" s="77">
        <f>VLOOKUP($A31,'2324 Jun 24 Enroll'!$A$3:$AL$327,MATCH(P$3,'2324 Jun 24 Enroll'!$3:$3,0),FALSE)</f>
        <v>1.93</v>
      </c>
      <c r="Q31" s="77">
        <f>VLOOKUP($A31,'2324 Jun 24 Enroll'!$A$3:$AL$327,MATCH(Q$3,'2324 Jun 24 Enroll'!$3:$3,0),FALSE)</f>
        <v>11.49</v>
      </c>
      <c r="R31" s="108">
        <f t="shared" si="6"/>
        <v>410.06</v>
      </c>
      <c r="S31" s="77">
        <f>VLOOKUP($A31,'2324 Jun 24 Enroll'!$A$3:$AL$327,MATCH(S$3,'2324 Jun 24 Enroll'!$3:$3,0),FALSE)</f>
        <v>2.78</v>
      </c>
      <c r="T31" s="77">
        <f>VLOOKUP($A31,'2324 Jun 24 Enroll'!$A$3:$AL$327,MATCH(T$3,'2324 Jun 24 Enroll'!$3:$3,0),FALSE)</f>
        <v>0</v>
      </c>
      <c r="U31" s="77">
        <f>VLOOKUP($A31,'2324 Jun 24 Enroll'!$A$3:$AL$327,MATCH(U$3,'2324 Jun 24 Enroll'!$3:$3,0),FALSE)</f>
        <v>0</v>
      </c>
      <c r="V31" s="77">
        <f>VLOOKUP($A31,'2324 Jun 24 Enroll'!$A$3:$AL$327,MATCH(V$3,'2324 Jun 24 Enroll'!$3:$3,0),FALSE)</f>
        <v>46.33</v>
      </c>
      <c r="W31" s="77">
        <f>VLOOKUP($A31,'2324 Jun 24 Enroll'!$A$3:$AL$327,MATCH(W$3,'2324 Jun 24 Enroll'!$3:$3,0),FALSE)</f>
        <v>22.22</v>
      </c>
      <c r="X31" s="77">
        <f>VLOOKUP($A31,'2324 Jun 24 Enroll'!$A$3:$AL$327,MATCH(X$3,'2324 Jun 24 Enroll'!$3:$3,0),FALSE)</f>
        <v>410.42</v>
      </c>
      <c r="Y31" s="77">
        <f>VLOOKUP($A31,'2324 Jun 24 Enroll'!$A$3:$AL$327,MATCH(Y$3,'2324 Jun 24 Enroll'!$3:$3,0),FALSE)</f>
        <v>68.55</v>
      </c>
      <c r="Z31" s="92">
        <f t="shared" si="7"/>
        <v>0.16700000000000001</v>
      </c>
      <c r="AA31" s="92">
        <f t="shared" si="8"/>
        <v>1.7000000000000015E-2</v>
      </c>
      <c r="AB31" s="93">
        <v>132.54</v>
      </c>
      <c r="AC31" s="93">
        <f t="shared" si="9"/>
        <v>21.94</v>
      </c>
      <c r="AD31" s="94">
        <f>VLOOKUP($A31,'2324 Jun 24 Enroll'!$A$3:$AL$327,MATCH(AD$3,'2324 Jun 24 Enroll'!$3:$3,0),FALSE)</f>
        <v>0.2656</v>
      </c>
      <c r="AE31" s="94">
        <f>VLOOKUP($A31,'2324 Jun 24 Enroll'!$A$3:$AL$327,MATCH(AE$3,'2324 Jun 24 Enroll'!$3:$3,0),FALSE)</f>
        <v>0.2056</v>
      </c>
      <c r="AF31" s="93">
        <f>VLOOKUP($A31,'SpEd BEA Rate 2324'!$A$4:$AT$34,45,FALSE)</f>
        <v>9668.3800000000028</v>
      </c>
      <c r="AG31" s="102">
        <f t="shared" si="0"/>
        <v>31608.2</v>
      </c>
      <c r="AH31" s="102">
        <f t="shared" si="1"/>
        <v>0</v>
      </c>
      <c r="AI31" s="102">
        <f t="shared" si="2"/>
        <v>0</v>
      </c>
      <c r="AJ31" s="102">
        <f t="shared" si="3"/>
        <v>490681.75</v>
      </c>
      <c r="AK31" s="102">
        <f t="shared" si="4"/>
        <v>222700.46</v>
      </c>
      <c r="AL31" s="102">
        <f t="shared" si="5"/>
        <v>-17625.830000000002</v>
      </c>
      <c r="AM31" s="45">
        <f t="shared" si="10"/>
        <v>649503.02</v>
      </c>
      <c r="AN31" s="45">
        <f t="shared" si="11"/>
        <v>513197.71</v>
      </c>
      <c r="AO31" s="102">
        <f t="shared" si="12"/>
        <v>105513.45</v>
      </c>
    </row>
    <row r="32" spans="1:41" ht="15.75" thickBot="1">
      <c r="A32" s="40" t="s">
        <v>432</v>
      </c>
      <c r="B32" s="40" t="s">
        <v>433</v>
      </c>
      <c r="C32" s="77">
        <f>VLOOKUP($A32,'2324 Jun 24 Enroll'!$A$3:$AL$327,MATCH(C$3,'2324 Jun 24 Enroll'!$3:$3,0),FALSE)</f>
        <v>17</v>
      </c>
      <c r="D32" s="77">
        <f>VLOOKUP($A32,'2324 Jun 24 Enroll'!$A$3:$AL$327,MATCH(D$3,'2324 Jun 24 Enroll'!$3:$3,0),FALSE)</f>
        <v>0</v>
      </c>
      <c r="E32" s="77">
        <f>VLOOKUP($A32,'2324 Jun 24 Enroll'!$A$3:$AL$327,MATCH(E$3,'2324 Jun 24 Enroll'!$3:$3,0),FALSE)</f>
        <v>15</v>
      </c>
      <c r="F32" s="77">
        <f>VLOOKUP($A32,'2324 Jun 24 Enroll'!$A$3:$AL$327,MATCH(F$3,'2324 Jun 24 Enroll'!$3:$3,0),FALSE)</f>
        <v>1</v>
      </c>
      <c r="G32" s="77">
        <f>VLOOKUP($A32,'2324 Jun 24 Enroll'!$A$3:$AL$327,MATCH(G$3,'2324 Jun 24 Enroll'!$3:$3,0),FALSE)</f>
        <v>3</v>
      </c>
      <c r="H32" s="77">
        <f>VLOOKUP($A32,'2324 Jun 24 Enroll'!$A$3:$AL$327,MATCH(H$3,'2324 Jun 24 Enroll'!$3:$3,0),FALSE)</f>
        <v>0</v>
      </c>
      <c r="I32" s="77">
        <f>VLOOKUP($A32,'2324 Jun 24 Enroll'!$A$3:$AL$327,MATCH(I$3,'2324 Jun 24 Enroll'!$3:$3,0),FALSE)</f>
        <v>0</v>
      </c>
      <c r="J32" s="108">
        <f>VLOOKUP($A32,'2324 Jun 24 Enroll'!$A$3:$AL$327,MATCH(J$3,'2324 Jun 24 Enroll'!$3:$3,0),FALSE)</f>
        <v>19</v>
      </c>
      <c r="K32" s="77">
        <f>VLOOKUP($A32,'2324 Jun 24 Enroll'!$A$3:$AL$327,MATCH(K$3,'2324 Jun 24 Enroll'!$3:$3,0),FALSE)</f>
        <v>0</v>
      </c>
      <c r="L32" s="77">
        <f>VLOOKUP($A32,'2324 Jun 24 Enroll'!$A$3:$AL$327,MATCH(L$3,'2324 Jun 24 Enroll'!$3:$3,0),FALSE)</f>
        <v>0</v>
      </c>
      <c r="M32" s="77">
        <f>VLOOKUP($A32,'2324 Jun 24 Enroll'!$A$3:$AL$327,MATCH(M$3,'2324 Jun 24 Enroll'!$3:$3,0),FALSE)</f>
        <v>0</v>
      </c>
      <c r="N32" s="77">
        <f>VLOOKUP($A32,'2324 Jun 24 Enroll'!$A$3:$AL$327,MATCH(N$3,'2324 Jun 24 Enroll'!$3:$3,0),FALSE)</f>
        <v>0</v>
      </c>
      <c r="O32" s="77">
        <f>VLOOKUP($A32,'2324 Jun 24 Enroll'!$A$3:$AL$327,MATCH(O$3,'2324 Jun 24 Enroll'!$3:$3,0),FALSE)</f>
        <v>0</v>
      </c>
      <c r="P32" s="77">
        <f>VLOOKUP($A32,'2324 Jun 24 Enroll'!$A$3:$AL$327,MATCH(P$3,'2324 Jun 24 Enroll'!$3:$3,0),FALSE)</f>
        <v>0</v>
      </c>
      <c r="Q32" s="77">
        <f>VLOOKUP($A32,'2324 Jun 24 Enroll'!$A$3:$AL$327,MATCH(Q$3,'2324 Jun 24 Enroll'!$3:$3,0),FALSE)</f>
        <v>0</v>
      </c>
      <c r="R32" s="108">
        <f t="shared" si="6"/>
        <v>19</v>
      </c>
      <c r="S32" s="77">
        <f>VLOOKUP($A32,'2324 Jun 24 Enroll'!$A$3:$AL$327,MATCH(S$3,'2324 Jun 24 Enroll'!$3:$3,0),FALSE)</f>
        <v>0</v>
      </c>
      <c r="T32" s="77">
        <f>VLOOKUP($A32,'2324 Jun 24 Enroll'!$A$3:$AL$327,MATCH(T$3,'2324 Jun 24 Enroll'!$3:$3,0),FALSE)</f>
        <v>0</v>
      </c>
      <c r="U32" s="77">
        <f>VLOOKUP($A32,'2324 Jun 24 Enroll'!$A$3:$AL$327,MATCH(U$3,'2324 Jun 24 Enroll'!$3:$3,0),FALSE)</f>
        <v>0</v>
      </c>
      <c r="V32" s="77">
        <f>VLOOKUP($A32,'2324 Jun 24 Enroll'!$A$3:$AL$327,MATCH(V$3,'2324 Jun 24 Enroll'!$3:$3,0),FALSE)</f>
        <v>2.44</v>
      </c>
      <c r="W32" s="77">
        <f>VLOOKUP($A32,'2324 Jun 24 Enroll'!$A$3:$AL$327,MATCH(W$3,'2324 Jun 24 Enroll'!$3:$3,0),FALSE)</f>
        <v>0</v>
      </c>
      <c r="X32" s="77">
        <f>VLOOKUP($A32,'2324 Jun 24 Enroll'!$A$3:$AL$327,MATCH(X$3,'2324 Jun 24 Enroll'!$3:$3,0),FALSE)</f>
        <v>19</v>
      </c>
      <c r="Y32" s="77">
        <f>VLOOKUP($A32,'2324 Jun 24 Enroll'!$A$3:$AL$327,MATCH(Y$3,'2324 Jun 24 Enroll'!$3:$3,0),FALSE)</f>
        <v>2.44</v>
      </c>
      <c r="Z32" s="92">
        <f t="shared" si="7"/>
        <v>0.12839999999999999</v>
      </c>
      <c r="AA32" s="92">
        <f t="shared" si="8"/>
        <v>0</v>
      </c>
      <c r="AB32" s="93">
        <v>146.15</v>
      </c>
      <c r="AC32" s="93">
        <f t="shared" si="9"/>
        <v>24.19</v>
      </c>
      <c r="AD32" s="94">
        <f>VLOOKUP($A32,'2324 Jun 24 Enroll'!$A$3:$AL$327,MATCH(AD$3,'2324 Jun 24 Enroll'!$3:$3,0),FALSE)</f>
        <v>0.40489999999999998</v>
      </c>
      <c r="AE32" s="94">
        <f>VLOOKUP($A32,'2324 Jun 24 Enroll'!$A$3:$AL$327,MATCH(AE$3,'2324 Jun 24 Enroll'!$3:$3,0),FALSE)</f>
        <v>0.2056</v>
      </c>
      <c r="AF32" s="93">
        <f>VLOOKUP($A32,'SpEd BEA Rate 2324'!$A$4:$AT$34,45,FALSE)</f>
        <v>10999.390000000001</v>
      </c>
      <c r="AG32" s="102">
        <f t="shared" si="0"/>
        <v>0</v>
      </c>
      <c r="AH32" s="102">
        <f t="shared" si="1"/>
        <v>0</v>
      </c>
      <c r="AI32" s="102">
        <f t="shared" si="2"/>
        <v>0</v>
      </c>
      <c r="AJ32" s="102">
        <f t="shared" si="3"/>
        <v>25842.080000000002</v>
      </c>
      <c r="AK32" s="102">
        <f t="shared" si="4"/>
        <v>0</v>
      </c>
      <c r="AL32" s="102">
        <f t="shared" si="5"/>
        <v>-638.49</v>
      </c>
      <c r="AM32" s="45">
        <f t="shared" si="10"/>
        <v>23118.71</v>
      </c>
      <c r="AN32" s="45">
        <f t="shared" si="11"/>
        <v>16455.77</v>
      </c>
      <c r="AO32" s="102">
        <f t="shared" si="12"/>
        <v>3383.31</v>
      </c>
    </row>
    <row r="33" spans="1:41" ht="15.75" thickBot="1">
      <c r="A33" s="40" t="s">
        <v>849</v>
      </c>
      <c r="B33" s="40" t="s">
        <v>850</v>
      </c>
      <c r="C33" s="77">
        <f>VLOOKUP($A33,'2324 Jun 24 Enroll'!$A$3:$AL$327,MATCH(C$3,'2324 Jun 24 Enroll'!$3:$3,0),FALSE)</f>
        <v>17.14</v>
      </c>
      <c r="D33" s="77">
        <f>VLOOKUP($A33,'2324 Jun 24 Enroll'!$A$3:$AL$327,MATCH(D$3,'2324 Jun 24 Enroll'!$3:$3,0),FALSE)</f>
        <v>0</v>
      </c>
      <c r="E33" s="77">
        <f>VLOOKUP($A33,'2324 Jun 24 Enroll'!$A$3:$AL$327,MATCH(E$3,'2324 Jun 24 Enroll'!$3:$3,0),FALSE)</f>
        <v>81.17</v>
      </c>
      <c r="F33" s="77">
        <f>VLOOKUP($A33,'2324 Jun 24 Enroll'!$A$3:$AL$327,MATCH(F$3,'2324 Jun 24 Enroll'!$3:$3,0),FALSE)</f>
        <v>16.7</v>
      </c>
      <c r="G33" s="77">
        <f>VLOOKUP($A33,'2324 Jun 24 Enroll'!$A$3:$AL$327,MATCH(G$3,'2324 Jun 24 Enroll'!$3:$3,0),FALSE)</f>
        <v>49.41</v>
      </c>
      <c r="H33" s="77">
        <f>VLOOKUP($A33,'2324 Jun 24 Enroll'!$A$3:$AL$327,MATCH(H$3,'2324 Jun 24 Enroll'!$3:$3,0),FALSE)</f>
        <v>41.5</v>
      </c>
      <c r="I33" s="77">
        <f>VLOOKUP($A33,'2324 Jun 24 Enroll'!$A$3:$AL$327,MATCH(I$3,'2324 Jun 24 Enroll'!$3:$3,0),FALSE)</f>
        <v>84.61</v>
      </c>
      <c r="J33" s="108">
        <f>VLOOKUP($A33,'2324 Jun 24 Enroll'!$A$3:$AL$327,MATCH(J$3,'2324 Jun 24 Enroll'!$3:$3,0),FALSE)</f>
        <v>273.39</v>
      </c>
      <c r="K33" s="77">
        <f>VLOOKUP($A33,'2324 Jun 24 Enroll'!$A$3:$AL$327,MATCH(K$3,'2324 Jun 24 Enroll'!$3:$3,0),FALSE)</f>
        <v>9.08</v>
      </c>
      <c r="L33" s="77">
        <f>VLOOKUP($A33,'2324 Jun 24 Enroll'!$A$3:$AL$327,MATCH(L$3,'2324 Jun 24 Enroll'!$3:$3,0),FALSE)</f>
        <v>0.48</v>
      </c>
      <c r="M33" s="77">
        <f>VLOOKUP($A33,'2324 Jun 24 Enroll'!$A$3:$AL$327,MATCH(M$3,'2324 Jun 24 Enroll'!$3:$3,0),FALSE)</f>
        <v>0</v>
      </c>
      <c r="N33" s="77">
        <f>VLOOKUP($A33,'2324 Jun 24 Enroll'!$A$3:$AL$327,MATCH(N$3,'2324 Jun 24 Enroll'!$3:$3,0),FALSE)</f>
        <v>0</v>
      </c>
      <c r="O33" s="77">
        <f>VLOOKUP($A33,'2324 Jun 24 Enroll'!$A$3:$AL$327,MATCH(O$3,'2324 Jun 24 Enroll'!$3:$3,0),FALSE)</f>
        <v>0</v>
      </c>
      <c r="P33" s="77">
        <f>VLOOKUP($A33,'2324 Jun 24 Enroll'!$A$3:$AL$327,MATCH(P$3,'2324 Jun 24 Enroll'!$3:$3,0),FALSE)</f>
        <v>0</v>
      </c>
      <c r="Q33" s="77">
        <f>VLOOKUP($A33,'2324 Jun 24 Enroll'!$A$3:$AL$327,MATCH(Q$3,'2324 Jun 24 Enroll'!$3:$3,0),FALSE)</f>
        <v>0</v>
      </c>
      <c r="R33" s="108">
        <f t="shared" si="6"/>
        <v>282.95</v>
      </c>
      <c r="S33" s="77">
        <f>VLOOKUP($A33,'2324 Jun 24 Enroll'!$A$3:$AL$327,MATCH(S$3,'2324 Jun 24 Enroll'!$3:$3,0),FALSE)</f>
        <v>0.89</v>
      </c>
      <c r="T33" s="77">
        <f>VLOOKUP($A33,'2324 Jun 24 Enroll'!$A$3:$AL$327,MATCH(T$3,'2324 Jun 24 Enroll'!$3:$3,0),FALSE)</f>
        <v>0</v>
      </c>
      <c r="U33" s="77">
        <f>VLOOKUP($A33,'2324 Jun 24 Enroll'!$A$3:$AL$327,MATCH(U$3,'2324 Jun 24 Enroll'!$3:$3,0),FALSE)</f>
        <v>0</v>
      </c>
      <c r="V33" s="77">
        <f>VLOOKUP($A33,'2324 Jun 24 Enroll'!$A$3:$AL$327,MATCH(V$3,'2324 Jun 24 Enroll'!$3:$3,0),FALSE)</f>
        <v>28.78</v>
      </c>
      <c r="W33" s="77">
        <f>VLOOKUP($A33,'2324 Jun 24 Enroll'!$A$3:$AL$327,MATCH(W$3,'2324 Jun 24 Enroll'!$3:$3,0),FALSE)</f>
        <v>1.56</v>
      </c>
      <c r="X33" s="77">
        <f>VLOOKUP($A33,'2324 Jun 24 Enroll'!$A$3:$AL$327,MATCH(X$3,'2324 Jun 24 Enroll'!$3:$3,0),FALSE)</f>
        <v>287.66000000000003</v>
      </c>
      <c r="Y33" s="77">
        <f>VLOOKUP($A33,'2324 Jun 24 Enroll'!$A$3:$AL$327,MATCH(Y$3,'2324 Jun 24 Enroll'!$3:$3,0),FALSE)</f>
        <v>30.34</v>
      </c>
      <c r="Z33" s="92">
        <f>ROUND((T33+U33+V33+W33)/X33,4)</f>
        <v>0.1055</v>
      </c>
      <c r="AA33" s="92">
        <f t="shared" si="8"/>
        <v>0</v>
      </c>
      <c r="AB33" s="93">
        <v>127.47</v>
      </c>
      <c r="AC33" s="93">
        <f t="shared" si="9"/>
        <v>21.1</v>
      </c>
      <c r="AD33" s="94">
        <f>VLOOKUP($A33,'2324 Jun 24 Enroll'!$A$3:$AL$327,MATCH(AD$3,'2324 Jun 24 Enroll'!$3:$3,0),FALSE)</f>
        <v>0.31909999999999999</v>
      </c>
      <c r="AE33" s="94">
        <f>VLOOKUP($A33,'2324 Jun 24 Enroll'!$A$3:$AL$327,MATCH(AE$3,'2324 Jun 24 Enroll'!$3:$3,0),FALSE)</f>
        <v>0.2056</v>
      </c>
      <c r="AF33" s="93">
        <f>VLOOKUP($A33,'SpEd BEA Rate 2324'!$A$4:$AT$34,45,FALSE)</f>
        <v>9482.9700000000012</v>
      </c>
      <c r="AG33" s="102">
        <f t="shared" si="0"/>
        <v>10119.17</v>
      </c>
      <c r="AH33" s="102">
        <f t="shared" si="1"/>
        <v>0</v>
      </c>
      <c r="AI33" s="102">
        <f t="shared" si="2"/>
        <v>0</v>
      </c>
      <c r="AJ33" s="102">
        <f t="shared" si="3"/>
        <v>304809.43</v>
      </c>
      <c r="AK33" s="102">
        <f t="shared" si="4"/>
        <v>15635.14</v>
      </c>
      <c r="AL33" s="102">
        <f t="shared" si="5"/>
        <v>-7917.36</v>
      </c>
      <c r="AM33" s="45">
        <f t="shared" si="10"/>
        <v>287467.86</v>
      </c>
      <c r="AN33" s="45">
        <f t="shared" si="11"/>
        <v>217927.27</v>
      </c>
      <c r="AO33" s="102">
        <f t="shared" si="12"/>
        <v>44805.85</v>
      </c>
    </row>
    <row r="34" spans="1:41">
      <c r="A34" s="64" t="s">
        <v>1023</v>
      </c>
      <c r="B34" s="64" t="s">
        <v>1024</v>
      </c>
      <c r="C34" s="64"/>
      <c r="D34" s="90">
        <f>SUM(D4:D33)</f>
        <v>107.08</v>
      </c>
      <c r="E34" s="90">
        <f t="shared" ref="E34:Y34" si="13">SUM(E4:E33)</f>
        <v>2842.97</v>
      </c>
      <c r="F34" s="90">
        <f t="shared" si="13"/>
        <v>758.15</v>
      </c>
      <c r="G34" s="90">
        <f t="shared" si="13"/>
        <v>1507.0600000000004</v>
      </c>
      <c r="H34" s="90">
        <f t="shared" si="13"/>
        <v>1489.5999999999995</v>
      </c>
      <c r="I34" s="90">
        <f t="shared" si="13"/>
        <v>2587.5100000000002</v>
      </c>
      <c r="J34" s="90">
        <f t="shared" si="13"/>
        <v>9185.2899999999991</v>
      </c>
      <c r="K34" s="90">
        <f t="shared" si="13"/>
        <v>187.5</v>
      </c>
      <c r="L34" s="90">
        <f t="shared" si="13"/>
        <v>18.93</v>
      </c>
      <c r="M34" s="90">
        <f t="shared" si="13"/>
        <v>15.8</v>
      </c>
      <c r="N34" s="90">
        <f t="shared" si="13"/>
        <v>0</v>
      </c>
      <c r="O34" s="90">
        <f t="shared" si="13"/>
        <v>479.98999999999995</v>
      </c>
      <c r="P34" s="90">
        <f t="shared" si="13"/>
        <v>373.40999999999997</v>
      </c>
      <c r="Q34" s="90">
        <f t="shared" si="13"/>
        <v>1366.31</v>
      </c>
      <c r="R34" s="90">
        <f t="shared" si="13"/>
        <v>11627.23</v>
      </c>
      <c r="S34" s="90">
        <f t="shared" si="13"/>
        <v>82.36</v>
      </c>
      <c r="T34" s="90">
        <f t="shared" si="13"/>
        <v>0</v>
      </c>
      <c r="U34" s="90">
        <f t="shared" si="13"/>
        <v>0</v>
      </c>
      <c r="V34" s="90">
        <f t="shared" si="13"/>
        <v>1418.1</v>
      </c>
      <c r="W34" s="90">
        <f t="shared" si="13"/>
        <v>389.11000000000007</v>
      </c>
      <c r="X34" s="90">
        <f t="shared" si="13"/>
        <v>11746.89</v>
      </c>
      <c r="Y34" s="90">
        <f t="shared" si="13"/>
        <v>1807.2100000000005</v>
      </c>
      <c r="Z34" s="91">
        <f>ROUND((T34+U34+V34+W34)/X34,4)</f>
        <v>0.15379999999999999</v>
      </c>
      <c r="AA34" s="91">
        <f>IF(Z34&lt;$B$37,0,Z34-$B$37)</f>
        <v>3.7999999999999978E-3</v>
      </c>
      <c r="AB34" s="64">
        <f>ROUND(SUMPRODUCT(X4:X33,AB4:AB33)/X34,2)</f>
        <v>125.98</v>
      </c>
      <c r="AC34" s="64">
        <f>ROUND(AB34*24/145,2)</f>
        <v>20.85</v>
      </c>
      <c r="AD34" s="64"/>
      <c r="AE34" s="64"/>
      <c r="AF34" s="90">
        <f>ROUND(SUMPRODUCT($X4:$X33,AF4:AF33)/$X34,2)</f>
        <v>9474.8799999999992</v>
      </c>
      <c r="AG34" s="103">
        <f t="shared" ref="AG34:AO34" si="14">SUM(AG4:AG33)</f>
        <v>936421.36</v>
      </c>
      <c r="AH34" s="103">
        <f t="shared" si="14"/>
        <v>0</v>
      </c>
      <c r="AI34" s="103">
        <f t="shared" si="14"/>
        <v>0</v>
      </c>
      <c r="AJ34" s="103">
        <f t="shared" si="14"/>
        <v>15019119.229999999</v>
      </c>
      <c r="AK34" s="103">
        <f t="shared" si="14"/>
        <v>3899863.85</v>
      </c>
      <c r="AL34" s="103">
        <f t="shared" si="14"/>
        <v>-467439.11</v>
      </c>
      <c r="AM34" s="103">
        <f t="shared" si="14"/>
        <v>17123097.859999999</v>
      </c>
      <c r="AN34" s="103">
        <f t="shared" si="14"/>
        <v>14579717.190000001</v>
      </c>
      <c r="AO34" s="103">
        <f t="shared" si="14"/>
        <v>2997589.8499999996</v>
      </c>
    </row>
    <row r="35" spans="1:41">
      <c r="C35"/>
    </row>
    <row r="36" spans="1:41" ht="15.75" thickBot="1">
      <c r="B36" t="s">
        <v>1122</v>
      </c>
      <c r="C36" t="s">
        <v>1124</v>
      </c>
      <c r="D36" t="s">
        <v>1123</v>
      </c>
    </row>
    <row r="37" spans="1:41" ht="30.75" thickBot="1">
      <c r="A37" s="79" t="s">
        <v>1071</v>
      </c>
      <c r="B37" s="83">
        <v>0.15</v>
      </c>
    </row>
    <row r="38" spans="1:41" ht="30.75" thickBot="1">
      <c r="A38" s="79" t="s">
        <v>1125</v>
      </c>
      <c r="B38" s="77">
        <v>1.2</v>
      </c>
    </row>
    <row r="39" spans="1:41" ht="30.75" thickBot="1">
      <c r="A39" s="79" t="s">
        <v>1126</v>
      </c>
      <c r="B39" s="77">
        <v>1.1200000000000001</v>
      </c>
    </row>
    <row r="40" spans="1:41" ht="33.75" customHeight="1" thickBot="1">
      <c r="A40" s="79" t="s">
        <v>1127</v>
      </c>
      <c r="B40" s="77">
        <v>1.06</v>
      </c>
    </row>
    <row r="41" spans="1:41" ht="30.75" thickBot="1">
      <c r="A41" s="79" t="s">
        <v>1128</v>
      </c>
      <c r="B41" s="77">
        <v>1.1200000000000001</v>
      </c>
    </row>
    <row r="42" spans="1:41" ht="30.75" thickBot="1">
      <c r="A42" s="79" t="s">
        <v>1129</v>
      </c>
      <c r="B42" s="77">
        <v>1.06</v>
      </c>
    </row>
    <row r="43" spans="1:41" s="71" customForma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41" s="71" customFormat="1" ht="15.75" thickBot="1">
      <c r="A44"/>
      <c r="B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41" ht="15.75" thickBot="1">
      <c r="A45" s="79" t="s">
        <v>1070</v>
      </c>
      <c r="B45" s="83">
        <f>Z34</f>
        <v>0.15379999999999999</v>
      </c>
      <c r="C45" s="83">
        <f>'ESA Calculations 2324 Supp'!Z34</f>
        <v>0.15379999999999999</v>
      </c>
      <c r="D45" s="83">
        <f>'ESA Calculations 2425'!Z37</f>
        <v>0.1462</v>
      </c>
    </row>
    <row r="46" spans="1:41" ht="15.75" thickBot="1">
      <c r="A46" s="79" t="s">
        <v>1065</v>
      </c>
      <c r="B46" s="77">
        <f>AF34</f>
        <v>9474.8799999999992</v>
      </c>
      <c r="C46" s="77">
        <f>'ESA Calculations 2324 Supp'!AF34</f>
        <v>9524.89</v>
      </c>
      <c r="D46" s="77">
        <f>'ESA Calculations 2425'!AF37</f>
        <v>10013.84</v>
      </c>
    </row>
    <row r="47" spans="1:41" ht="15.75" thickBot="1"/>
    <row r="48" spans="1:41" s="71" customFormat="1" ht="30.75" thickBot="1">
      <c r="A48" s="84" t="s">
        <v>1072</v>
      </c>
      <c r="B48" s="85">
        <f>AG34</f>
        <v>936421.36</v>
      </c>
      <c r="C48" s="85">
        <f>'ESA Calculations 2324 Supp'!B45</f>
        <v>941363.94</v>
      </c>
      <c r="D48" s="85">
        <f>'ESA Calculations 2425'!B48</f>
        <v>1303441.47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s="71" customFormat="1" ht="30.75" thickBot="1">
      <c r="A49" s="86" t="s">
        <v>1084</v>
      </c>
      <c r="B49" s="85">
        <f>AH34</f>
        <v>0</v>
      </c>
      <c r="C49" s="85">
        <f>'ESA Calculations 2324 Supp'!B46</f>
        <v>0</v>
      </c>
      <c r="D49" s="85">
        <f>'ESA Calculations 2425'!B49</f>
        <v>7500.3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s="71" customFormat="1" ht="30.75" thickBot="1">
      <c r="A50" s="86" t="s">
        <v>1085</v>
      </c>
      <c r="B50" s="85">
        <f>AI34</f>
        <v>0</v>
      </c>
      <c r="C50" s="85">
        <f>'ESA Calculations 2324 Supp'!B47</f>
        <v>0</v>
      </c>
      <c r="D50" s="85">
        <f>'ESA Calculations 2425'!B50</f>
        <v>9428.35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s="71" customFormat="1" ht="30.75" thickBot="1">
      <c r="A51" s="86" t="s">
        <v>1073</v>
      </c>
      <c r="B51" s="85">
        <f>AJ34</f>
        <v>15019119.229999999</v>
      </c>
      <c r="C51" s="85">
        <f>'ESA Calculations 2324 Supp'!B48</f>
        <v>15098548.699999997</v>
      </c>
      <c r="D51" s="85">
        <f>'ESA Calculations 2425'!B51</f>
        <v>17814001.180000003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s="71" customFormat="1" ht="30.75" thickBot="1">
      <c r="A52" s="86" t="s">
        <v>1074</v>
      </c>
      <c r="B52" s="85">
        <f>AK34</f>
        <v>3899863.85</v>
      </c>
      <c r="C52" s="85">
        <f>'ESA Calculations 2324 Supp'!B49</f>
        <v>3920490.7800000003</v>
      </c>
      <c r="D52" s="85">
        <f>'ESA Calculations 2425'!B52</f>
        <v>4815343.8099999996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s="71" customFormat="1" ht="45.75" thickBot="1">
      <c r="A53" s="86" t="s">
        <v>1075</v>
      </c>
      <c r="B53" s="85">
        <f>AL34</f>
        <v>-467439.11</v>
      </c>
      <c r="C53" s="85">
        <f>'ESA Calculations 2324 Supp'!B50</f>
        <v>-469911.27999999991</v>
      </c>
      <c r="D53" s="85">
        <f>'ESA Calculations 2425'!B53</f>
        <v>0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ht="15.75" thickBot="1"/>
    <row r="55" spans="1:33" ht="30.75" thickBot="1">
      <c r="A55" s="86" t="s">
        <v>1081</v>
      </c>
      <c r="B55" s="85">
        <f>AO34</f>
        <v>2997589.8499999996</v>
      </c>
      <c r="C55" s="85">
        <f>'ESA Calculations 2324 Supp'!B52</f>
        <v>3013411.65</v>
      </c>
      <c r="D55" s="85">
        <f>'ESA Calculations 2425'!B55</f>
        <v>3319463.02</v>
      </c>
    </row>
    <row r="57" spans="1:33" s="113" customFormat="1" ht="15.75">
      <c r="A57" s="112" t="s">
        <v>1144</v>
      </c>
      <c r="B57" s="110">
        <f>SUM(B48:B53)</f>
        <v>19387965.329999998</v>
      </c>
      <c r="C57" s="110">
        <f t="shared" ref="C57:D57" si="15">SUM(C48:C53)</f>
        <v>19490492.139999997</v>
      </c>
      <c r="D57" s="110">
        <f t="shared" si="15"/>
        <v>23949715.110000003</v>
      </c>
    </row>
    <row r="58" spans="1:33" s="113" customFormat="1" ht="15.75">
      <c r="A58" s="112" t="s">
        <v>1145</v>
      </c>
      <c r="B58" s="114">
        <f>B55</f>
        <v>2997589.8499999996</v>
      </c>
      <c r="C58" s="114">
        <f t="shared" ref="C58:D58" si="16">C55</f>
        <v>3013411.65</v>
      </c>
      <c r="D58" s="114">
        <f t="shared" si="16"/>
        <v>3319463.02</v>
      </c>
    </row>
    <row r="59" spans="1:33" s="113" customFormat="1" ht="16.5" thickBot="1">
      <c r="A59" s="112" t="s">
        <v>1146</v>
      </c>
      <c r="B59" s="115">
        <f>SUM(B57:B58)</f>
        <v>22385555.18</v>
      </c>
      <c r="C59" s="115">
        <f t="shared" ref="C59:D59" si="17">SUM(C57:C58)</f>
        <v>22503903.789999995</v>
      </c>
      <c r="D59" s="115">
        <f t="shared" si="17"/>
        <v>27269178.130000003</v>
      </c>
    </row>
    <row r="60" spans="1:33" s="113" customFormat="1" ht="16.5" thickTop="1">
      <c r="C60" s="117"/>
    </row>
    <row r="61" spans="1:33" s="113" customFormat="1" ht="15.75">
      <c r="C61" s="117"/>
    </row>
    <row r="62" spans="1:33" s="113" customFormat="1" ht="15.75">
      <c r="A62" s="112" t="s">
        <v>1149</v>
      </c>
      <c r="C62" s="118">
        <f>C59-B59</f>
        <v>118348.60999999568</v>
      </c>
    </row>
    <row r="63" spans="1:33" s="113" customFormat="1" ht="15.75">
      <c r="A63" s="112" t="s">
        <v>1150</v>
      </c>
      <c r="C63" s="117"/>
      <c r="D63" s="118">
        <f>D59-C59</f>
        <v>4765274.3400000073</v>
      </c>
    </row>
  </sheetData>
  <mergeCells count="1">
    <mergeCell ref="A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F5E7A-F156-40E1-A142-18199B77FDE4}">
  <sheetPr>
    <tabColor theme="7" tint="0.39997558519241921"/>
  </sheetPr>
  <dimension ref="A1:AO57"/>
  <sheetViews>
    <sheetView zoomScale="90" zoomScaleNormal="90" workbookViewId="0">
      <pane xSplit="2" ySplit="3" topLeftCell="C4" activePane="bottomRight" state="frozen"/>
      <selection activeCell="B1" sqref="B1:O1"/>
      <selection pane="topRight" activeCell="B1" sqref="B1:O1"/>
      <selection pane="bottomLeft" activeCell="B1" sqref="B1:O1"/>
      <selection pane="bottomRight" activeCell="AB35" sqref="AB35"/>
    </sheetView>
  </sheetViews>
  <sheetFormatPr defaultRowHeight="15"/>
  <cols>
    <col min="1" max="1" width="14" bestFit="1" customWidth="1"/>
    <col min="2" max="2" width="32" bestFit="1" customWidth="1"/>
    <col min="3" max="3" width="9.140625" style="71"/>
    <col min="4" max="4" width="8.7109375" bestFit="1" customWidth="1"/>
    <col min="5" max="5" width="10" bestFit="1" customWidth="1"/>
    <col min="6" max="6" width="13.42578125" bestFit="1" customWidth="1"/>
    <col min="7" max="10" width="10" bestFit="1" customWidth="1"/>
    <col min="13" max="14" width="9.7109375" customWidth="1"/>
    <col min="17" max="17" width="10" bestFit="1" customWidth="1"/>
    <col min="18" max="18" width="11.140625" bestFit="1" customWidth="1"/>
    <col min="22" max="22" width="10" bestFit="1" customWidth="1"/>
    <col min="23" max="23" width="8.7109375" bestFit="1" customWidth="1"/>
    <col min="24" max="24" width="11.140625" bestFit="1" customWidth="1"/>
    <col min="25" max="25" width="10" bestFit="1" customWidth="1"/>
    <col min="26" max="26" width="9.5703125" bestFit="1" customWidth="1"/>
    <col min="32" max="32" width="13.28515625" bestFit="1" customWidth="1"/>
    <col min="33" max="33" width="12.140625" bestFit="1" customWidth="1"/>
    <col min="34" max="34" width="10.7109375" customWidth="1"/>
    <col min="35" max="35" width="12.28515625" customWidth="1"/>
    <col min="36" max="36" width="15" bestFit="1" customWidth="1"/>
    <col min="37" max="37" width="13.85546875" bestFit="1" customWidth="1"/>
    <col min="38" max="38" width="12.85546875" bestFit="1" customWidth="1"/>
    <col min="39" max="40" width="15" bestFit="1" customWidth="1"/>
    <col min="41" max="41" width="13.85546875" bestFit="1" customWidth="1"/>
  </cols>
  <sheetData>
    <row r="1" spans="1:41" ht="61.5" customHeight="1">
      <c r="A1" s="223" t="s">
        <v>1491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</row>
    <row r="2" spans="1:41" ht="15.75" thickBot="1">
      <c r="C2"/>
      <c r="D2" s="71" t="s">
        <v>1106</v>
      </c>
      <c r="E2" s="71" t="s">
        <v>1107</v>
      </c>
      <c r="F2" s="71" t="s">
        <v>1108</v>
      </c>
      <c r="G2" s="71" t="s">
        <v>1109</v>
      </c>
      <c r="H2" s="71" t="s">
        <v>1110</v>
      </c>
      <c r="I2" s="71" t="s">
        <v>1111</v>
      </c>
      <c r="J2" s="71" t="s">
        <v>1112</v>
      </c>
      <c r="K2" s="71" t="s">
        <v>1113</v>
      </c>
      <c r="L2" s="71" t="s">
        <v>1114</v>
      </c>
      <c r="M2" s="71" t="s">
        <v>1116</v>
      </c>
      <c r="N2" s="71" t="s">
        <v>1117</v>
      </c>
      <c r="O2" s="71" t="s">
        <v>1118</v>
      </c>
      <c r="P2" s="71" t="s">
        <v>1119</v>
      </c>
      <c r="Q2" s="71" t="s">
        <v>1120</v>
      </c>
      <c r="R2" s="71" t="s">
        <v>1115</v>
      </c>
      <c r="S2" s="71" t="s">
        <v>1136</v>
      </c>
      <c r="T2" s="71" t="s">
        <v>1137</v>
      </c>
      <c r="U2" s="71" t="s">
        <v>1138</v>
      </c>
      <c r="V2" s="71" t="s">
        <v>1139</v>
      </c>
      <c r="W2" s="71" t="s">
        <v>1140</v>
      </c>
      <c r="X2" s="71" t="s">
        <v>1141</v>
      </c>
      <c r="Y2" s="71" t="s">
        <v>1142</v>
      </c>
    </row>
    <row r="3" spans="1:41" ht="60.75" thickBot="1">
      <c r="A3" s="39" t="s">
        <v>1143</v>
      </c>
      <c r="B3" s="39" t="s">
        <v>293</v>
      </c>
      <c r="C3" s="78" t="s">
        <v>1105</v>
      </c>
      <c r="D3" s="78" t="s">
        <v>1095</v>
      </c>
      <c r="E3" s="79" t="s">
        <v>297</v>
      </c>
      <c r="F3" s="79" t="s">
        <v>301</v>
      </c>
      <c r="G3" s="79" t="s">
        <v>298</v>
      </c>
      <c r="H3" s="79" t="s">
        <v>295</v>
      </c>
      <c r="I3" s="79" t="s">
        <v>299</v>
      </c>
      <c r="J3" s="80" t="s">
        <v>300</v>
      </c>
      <c r="K3" s="79" t="s">
        <v>302</v>
      </c>
      <c r="L3" s="79" t="s">
        <v>303</v>
      </c>
      <c r="M3" s="79" t="s">
        <v>304</v>
      </c>
      <c r="N3" s="79" t="s">
        <v>305</v>
      </c>
      <c r="O3" s="79" t="s">
        <v>306</v>
      </c>
      <c r="P3" s="79" t="s">
        <v>307</v>
      </c>
      <c r="Q3" s="79" t="s">
        <v>308</v>
      </c>
      <c r="R3" s="80" t="s">
        <v>1121</v>
      </c>
      <c r="S3" s="79" t="s">
        <v>1066</v>
      </c>
      <c r="T3" s="79" t="s">
        <v>1082</v>
      </c>
      <c r="U3" s="79" t="s">
        <v>1083</v>
      </c>
      <c r="V3" s="79" t="s">
        <v>1067</v>
      </c>
      <c r="W3" s="79" t="s">
        <v>1068</v>
      </c>
      <c r="X3" s="79" t="s">
        <v>1069</v>
      </c>
      <c r="Y3" s="95" t="s">
        <v>1076</v>
      </c>
      <c r="Z3" s="25" t="s">
        <v>1070</v>
      </c>
      <c r="AA3" s="25" t="s">
        <v>1071</v>
      </c>
      <c r="AB3" s="37" t="s">
        <v>1086</v>
      </c>
      <c r="AC3" s="37" t="s">
        <v>1087</v>
      </c>
      <c r="AD3" s="37" t="s">
        <v>1078</v>
      </c>
      <c r="AE3" s="36" t="s">
        <v>1080</v>
      </c>
      <c r="AF3" s="216" t="s">
        <v>1147</v>
      </c>
      <c r="AG3" s="37" t="s">
        <v>1072</v>
      </c>
      <c r="AH3" s="37" t="s">
        <v>1084</v>
      </c>
      <c r="AI3" s="37" t="s">
        <v>1085</v>
      </c>
      <c r="AJ3" s="37" t="s">
        <v>1073</v>
      </c>
      <c r="AK3" s="37" t="s">
        <v>1074</v>
      </c>
      <c r="AL3" s="37" t="s">
        <v>1075</v>
      </c>
      <c r="AM3" s="37" t="s">
        <v>1077</v>
      </c>
      <c r="AN3" s="46" t="s">
        <v>1079</v>
      </c>
      <c r="AO3" s="37" t="s">
        <v>1081</v>
      </c>
    </row>
    <row r="4" spans="1:41" ht="15.75" thickBot="1">
      <c r="A4" s="40" t="s">
        <v>494</v>
      </c>
      <c r="B4" s="40" t="s">
        <v>495</v>
      </c>
      <c r="C4" s="77">
        <f>'ESA Calculations 2324'!C4</f>
        <v>17</v>
      </c>
      <c r="D4" s="77">
        <f>'ESA Calculations 2324'!D4</f>
        <v>0</v>
      </c>
      <c r="E4" s="77">
        <f>'ESA Calculations 2324'!E4</f>
        <v>79.3</v>
      </c>
      <c r="F4" s="77">
        <f>'ESA Calculations 2324'!F4</f>
        <v>19</v>
      </c>
      <c r="G4" s="77">
        <f>'ESA Calculations 2324'!G4</f>
        <v>40.799999999999997</v>
      </c>
      <c r="H4" s="77">
        <f>'ESA Calculations 2324'!H4</f>
        <v>28.6</v>
      </c>
      <c r="I4" s="77">
        <f>'ESA Calculations 2324'!I4</f>
        <v>0</v>
      </c>
      <c r="J4" s="108">
        <f>VLOOKUP($A4,'2324 Jun 24 Enroll'!$A$3:$AL$327,MATCH(J$3,'2324 Jun 24 Enroll'!$3:$3,0),FALSE)</f>
        <v>167.7</v>
      </c>
      <c r="K4" s="77">
        <f>'ESA Calculations 2324'!K4</f>
        <v>0</v>
      </c>
      <c r="L4" s="77">
        <f>'ESA Calculations 2324'!L4</f>
        <v>0</v>
      </c>
      <c r="M4" s="77">
        <f>'ESA Calculations 2324'!M4</f>
        <v>0</v>
      </c>
      <c r="N4" s="77">
        <f>'ESA Calculations 2324'!N4</f>
        <v>0</v>
      </c>
      <c r="O4" s="77">
        <f>'ESA Calculations 2324'!O4</f>
        <v>0</v>
      </c>
      <c r="P4" s="77">
        <f>'ESA Calculations 2324'!P4</f>
        <v>0</v>
      </c>
      <c r="Q4" s="77">
        <f>'ESA Calculations 2324'!Q4</f>
        <v>0</v>
      </c>
      <c r="R4" s="108">
        <f>SUM(J4:Q4)</f>
        <v>167.7</v>
      </c>
      <c r="S4" s="77">
        <f>'ESA Calculations 2324'!S4</f>
        <v>0.67</v>
      </c>
      <c r="T4" s="77">
        <f>'ESA Calculations 2324'!T4</f>
        <v>0</v>
      </c>
      <c r="U4" s="77">
        <f>'ESA Calculations 2324'!U4</f>
        <v>0</v>
      </c>
      <c r="V4" s="77">
        <f>'ESA Calculations 2324'!V4</f>
        <v>16.78</v>
      </c>
      <c r="W4" s="77">
        <f>'ESA Calculations 2324'!W4</f>
        <v>1</v>
      </c>
      <c r="X4" s="77">
        <f>'ESA Calculations 2324'!X4</f>
        <v>167.7</v>
      </c>
      <c r="Y4" s="77">
        <f>'ESA Calculations 2324'!Y4</f>
        <v>17.78</v>
      </c>
      <c r="Z4" s="92">
        <f>ROUND((T4+U4+V4+W4)/X4,4)</f>
        <v>0.106</v>
      </c>
      <c r="AA4" s="92">
        <f>IF(Z4&lt;$B$37,0,Z4-$B$37)</f>
        <v>0</v>
      </c>
      <c r="AB4" s="93">
        <v>132.1</v>
      </c>
      <c r="AC4" s="93">
        <f>ROUND(AB4*24/145,2)</f>
        <v>21.86</v>
      </c>
      <c r="AD4" s="94">
        <f>VLOOKUP($A4,'2324 Jun 24 Enroll'!$A$3:$AL$327,MATCH(AD$3,'2324 Jun 24 Enroll'!$3:$3,0),FALSE)</f>
        <v>0.24010000000000001</v>
      </c>
      <c r="AE4" s="94">
        <f>VLOOKUP($A4,'2324 Jun 24 Enroll'!$A$3:$AL$327,MATCH(AE$3,'2324 Jun 24 Enroll'!$3:$3,0),FALSE)</f>
        <v>0.2056</v>
      </c>
      <c r="AF4" s="93">
        <f>VLOOKUP($A4,'SpEd BEA Rate 2324 Supp'!$A$4:$AT$34,45,FALSE)</f>
        <v>10372.079999999998</v>
      </c>
      <c r="AG4" s="102">
        <f t="shared" ref="AG4:AG33" si="0">ROUND(S4*$B$38*$AF$34,2)</f>
        <v>7658.01</v>
      </c>
      <c r="AH4" s="102">
        <f t="shared" ref="AH4:AH33" si="1">ROUND(T4*(($B$39*$AF$34)-$AC$34),2)</f>
        <v>0</v>
      </c>
      <c r="AI4" s="102">
        <f t="shared" ref="AI4:AI33" si="2">ROUND(U4*(($B$40*$AF$34)-$AC$34),2)</f>
        <v>0</v>
      </c>
      <c r="AJ4" s="102">
        <f t="shared" ref="AJ4:AJ33" si="3">ROUND(V4*(($B$41*$AF$34)-$AC$34),2)</f>
        <v>178657.11</v>
      </c>
      <c r="AK4" s="102">
        <f t="shared" ref="AK4:AK33" si="4">ROUND(W4*(($B$42*$AF$34)-$AC$34),2)</f>
        <v>10075.530000000001</v>
      </c>
      <c r="AL4" s="102">
        <f t="shared" ref="AL4:AL33" si="5">IF($Z$34&lt;$B$37,0,ROUND(((((AH4+AI4+AJ4+AK4)*-1)/$Z$34)*$AA$34),2))</f>
        <v>-4663.1000000000004</v>
      </c>
      <c r="AM4" s="45">
        <f>ROUND(Y4*$AF$34,2)</f>
        <v>169352.54</v>
      </c>
      <c r="AN4" s="45">
        <f>ROUND(AM4/(1+AD4),2)</f>
        <v>136563.62</v>
      </c>
      <c r="AO4" s="102">
        <f>ROUND(AN4*AE4,2)</f>
        <v>28077.48</v>
      </c>
    </row>
    <row r="5" spans="1:41" ht="15.75" thickBot="1">
      <c r="A5" s="40" t="s">
        <v>426</v>
      </c>
      <c r="B5" s="40" t="s">
        <v>427</v>
      </c>
      <c r="C5" s="77">
        <f>'ESA Calculations 2324'!C5</f>
        <v>17</v>
      </c>
      <c r="D5" s="77">
        <f>'ESA Calculations 2324'!D5</f>
        <v>0</v>
      </c>
      <c r="E5" s="77">
        <f>'ESA Calculations 2324'!E5</f>
        <v>112.4</v>
      </c>
      <c r="F5" s="77">
        <f>'ESA Calculations 2324'!F5</f>
        <v>28.7</v>
      </c>
      <c r="G5" s="77">
        <f>'ESA Calculations 2324'!G5</f>
        <v>49.28</v>
      </c>
      <c r="H5" s="77">
        <f>'ESA Calculations 2324'!H5</f>
        <v>55.14</v>
      </c>
      <c r="I5" s="77">
        <f>'ESA Calculations 2324'!I5</f>
        <v>82.24</v>
      </c>
      <c r="J5" s="108">
        <f>VLOOKUP($A5,'2324 Jun 24 Enroll'!$A$3:$AL$327,MATCH(J$3,'2324 Jun 24 Enroll'!$3:$3,0),FALSE)</f>
        <v>327.76</v>
      </c>
      <c r="K5" s="77">
        <f>'ESA Calculations 2324'!K5</f>
        <v>9.89</v>
      </c>
      <c r="L5" s="77">
        <f>'ESA Calculations 2324'!L5</f>
        <v>1.37</v>
      </c>
      <c r="M5" s="77">
        <f>'ESA Calculations 2324'!M5</f>
        <v>5.6</v>
      </c>
      <c r="N5" s="77">
        <f>'ESA Calculations 2324'!N5</f>
        <v>0</v>
      </c>
      <c r="O5" s="77">
        <f>'ESA Calculations 2324'!O5</f>
        <v>0</v>
      </c>
      <c r="P5" s="77">
        <f>'ESA Calculations 2324'!P5</f>
        <v>0</v>
      </c>
      <c r="Q5" s="77">
        <f>'ESA Calculations 2324'!Q5</f>
        <v>0</v>
      </c>
      <c r="R5" s="108">
        <f t="shared" ref="R5:R33" si="6">SUM(J5:Q5)</f>
        <v>344.62</v>
      </c>
      <c r="S5" s="77">
        <f>'ESA Calculations 2324'!S5</f>
        <v>3.33</v>
      </c>
      <c r="T5" s="77">
        <f>'ESA Calculations 2324'!T5</f>
        <v>0</v>
      </c>
      <c r="U5" s="77">
        <f>'ESA Calculations 2324'!U5</f>
        <v>0</v>
      </c>
      <c r="V5" s="77">
        <f>'ESA Calculations 2324'!V5</f>
        <v>37.78</v>
      </c>
      <c r="W5" s="77">
        <f>'ESA Calculations 2324'!W5</f>
        <v>11.11</v>
      </c>
      <c r="X5" s="77">
        <f>'ESA Calculations 2324'!X5</f>
        <v>347.36</v>
      </c>
      <c r="Y5" s="77">
        <f>'ESA Calculations 2324'!Y5</f>
        <v>48.89</v>
      </c>
      <c r="Z5" s="92">
        <f t="shared" ref="Z5:Z32" si="7">ROUND((T5+U5+V5+W5)/X5,4)</f>
        <v>0.14069999999999999</v>
      </c>
      <c r="AA5" s="92">
        <f t="shared" ref="AA5:AA33" si="8">IF(Z5&lt;$B$37,0,Z5-$B$37)</f>
        <v>0</v>
      </c>
      <c r="AB5" s="93">
        <v>119.43</v>
      </c>
      <c r="AC5" s="93">
        <f t="shared" ref="AC5:AC33" si="9">ROUND(AB5*24/145,2)</f>
        <v>19.77</v>
      </c>
      <c r="AD5" s="94">
        <f>VLOOKUP($A5,'2324 Jun 24 Enroll'!$A$3:$AL$327,MATCH(AD$3,'2324 Jun 24 Enroll'!$3:$3,0),FALSE)</f>
        <v>0.25600000000000001</v>
      </c>
      <c r="AE5" s="94">
        <f>VLOOKUP($A5,'2324 Jun 24 Enroll'!$A$3:$AL$327,MATCH(AE$3,'2324 Jun 24 Enroll'!$3:$3,0),FALSE)</f>
        <v>0.2056</v>
      </c>
      <c r="AF5" s="93">
        <f>VLOOKUP($A5,'SpEd BEA Rate 2324 Supp'!$A$4:$AT$34,45,FALSE)</f>
        <v>9849.6500000000033</v>
      </c>
      <c r="AG5" s="102">
        <f t="shared" si="0"/>
        <v>38061.46</v>
      </c>
      <c r="AH5" s="102">
        <f t="shared" si="1"/>
        <v>0</v>
      </c>
      <c r="AI5" s="102">
        <f t="shared" si="2"/>
        <v>0</v>
      </c>
      <c r="AJ5" s="102">
        <f t="shared" si="3"/>
        <v>402244.67</v>
      </c>
      <c r="AK5" s="102">
        <f t="shared" si="4"/>
        <v>111939.18</v>
      </c>
      <c r="AL5" s="102">
        <f t="shared" si="5"/>
        <v>-12704.15</v>
      </c>
      <c r="AM5" s="45">
        <f t="shared" ref="AM5:AM33" si="10">ROUND(Y5*$AF$34,2)</f>
        <v>465671.87</v>
      </c>
      <c r="AN5" s="45">
        <f t="shared" ref="AN5:AN33" si="11">ROUND(AM5/(1+AD5),2)</f>
        <v>370757.86</v>
      </c>
      <c r="AO5" s="102">
        <f t="shared" ref="AO5:AO33" si="12">ROUND(AN5*AE5,2)</f>
        <v>76227.820000000007</v>
      </c>
    </row>
    <row r="6" spans="1:41" ht="15.75" thickBot="1">
      <c r="A6" s="40" t="s">
        <v>829</v>
      </c>
      <c r="B6" s="40" t="s">
        <v>830</v>
      </c>
      <c r="C6" s="77">
        <f>'ESA Calculations 2324'!C6</f>
        <v>17.989999999999998</v>
      </c>
      <c r="D6" s="77">
        <f>'ESA Calculations 2324'!D6</f>
        <v>0</v>
      </c>
      <c r="E6" s="77">
        <f>'ESA Calculations 2324'!E6</f>
        <v>218.72</v>
      </c>
      <c r="F6" s="77">
        <f>'ESA Calculations 2324'!F6</f>
        <v>56.7</v>
      </c>
      <c r="G6" s="77">
        <f>'ESA Calculations 2324'!G6</f>
        <v>102.7</v>
      </c>
      <c r="H6" s="77">
        <f>'ESA Calculations 2324'!H6</f>
        <v>113.43</v>
      </c>
      <c r="I6" s="77">
        <f>'ESA Calculations 2324'!I6</f>
        <v>151.75</v>
      </c>
      <c r="J6" s="108">
        <f>VLOOKUP($A6,'2324 Jun 24 Enroll'!$A$3:$AL$327,MATCH(J$3,'2324 Jun 24 Enroll'!$3:$3,0),FALSE)</f>
        <v>643.29999999999995</v>
      </c>
      <c r="K6" s="77">
        <f>'ESA Calculations 2324'!K6</f>
        <v>27.72</v>
      </c>
      <c r="L6" s="77">
        <f>'ESA Calculations 2324'!L6</f>
        <v>2.61</v>
      </c>
      <c r="M6" s="77">
        <f>'ESA Calculations 2324'!M6</f>
        <v>0</v>
      </c>
      <c r="N6" s="77">
        <f>'ESA Calculations 2324'!N6</f>
        <v>0</v>
      </c>
      <c r="O6" s="77">
        <f>'ESA Calculations 2324'!O6</f>
        <v>0</v>
      </c>
      <c r="P6" s="77">
        <f>'ESA Calculations 2324'!P6</f>
        <v>0</v>
      </c>
      <c r="Q6" s="77">
        <f>'ESA Calculations 2324'!Q6</f>
        <v>0</v>
      </c>
      <c r="R6" s="108">
        <f t="shared" si="6"/>
        <v>673.63</v>
      </c>
      <c r="S6" s="77">
        <f>'ESA Calculations 2324'!S6</f>
        <v>3.78</v>
      </c>
      <c r="T6" s="77">
        <f>'ESA Calculations 2324'!T6</f>
        <v>0</v>
      </c>
      <c r="U6" s="77">
        <f>'ESA Calculations 2324'!U6</f>
        <v>0</v>
      </c>
      <c r="V6" s="77">
        <f>'ESA Calculations 2324'!V6</f>
        <v>61.33</v>
      </c>
      <c r="W6" s="77">
        <f>'ESA Calculations 2324'!W6</f>
        <v>34.33</v>
      </c>
      <c r="X6" s="77">
        <f>'ESA Calculations 2324'!X6</f>
        <v>673.63</v>
      </c>
      <c r="Y6" s="77">
        <f>'ESA Calculations 2324'!Y6</f>
        <v>95.66</v>
      </c>
      <c r="Z6" s="92">
        <f t="shared" si="7"/>
        <v>0.14199999999999999</v>
      </c>
      <c r="AA6" s="92">
        <f t="shared" si="8"/>
        <v>0</v>
      </c>
      <c r="AB6" s="93">
        <v>119.42</v>
      </c>
      <c r="AC6" s="93">
        <f t="shared" si="9"/>
        <v>19.77</v>
      </c>
      <c r="AD6" s="94">
        <f>VLOOKUP($A6,'2324 Jun 24 Enroll'!$A$3:$AL$327,MATCH(AD$3,'2324 Jun 24 Enroll'!$3:$3,0),FALSE)</f>
        <v>0.15939999999999999</v>
      </c>
      <c r="AE6" s="94">
        <f>VLOOKUP($A6,'2324 Jun 24 Enroll'!$A$3:$AL$327,MATCH(AE$3,'2324 Jun 24 Enroll'!$3:$3,0),FALSE)</f>
        <v>0.2056</v>
      </c>
      <c r="AF6" s="93">
        <f>VLOOKUP($A6,'SpEd BEA Rate 2324 Supp'!$A$4:$AT$34,45,FALSE)</f>
        <v>9600.41</v>
      </c>
      <c r="AG6" s="102">
        <f t="shared" si="0"/>
        <v>43204.9</v>
      </c>
      <c r="AH6" s="102">
        <f t="shared" si="1"/>
        <v>0</v>
      </c>
      <c r="AI6" s="102">
        <f t="shared" si="2"/>
        <v>0</v>
      </c>
      <c r="AJ6" s="102">
        <f t="shared" si="3"/>
        <v>652982.15</v>
      </c>
      <c r="AK6" s="102">
        <f t="shared" si="4"/>
        <v>345893.06</v>
      </c>
      <c r="AL6" s="102">
        <f t="shared" si="5"/>
        <v>-24679.62</v>
      </c>
      <c r="AM6" s="45">
        <f t="shared" si="10"/>
        <v>911150.98</v>
      </c>
      <c r="AN6" s="45">
        <f t="shared" si="11"/>
        <v>785881.47</v>
      </c>
      <c r="AO6" s="102">
        <f t="shared" si="12"/>
        <v>161577.23000000001</v>
      </c>
    </row>
    <row r="7" spans="1:41" ht="15.75" thickBot="1">
      <c r="A7" s="40" t="s">
        <v>518</v>
      </c>
      <c r="B7" s="40" t="s">
        <v>519</v>
      </c>
      <c r="C7" s="77">
        <f>'ESA Calculations 2324'!C7</f>
        <v>17</v>
      </c>
      <c r="D7" s="77">
        <f>'ESA Calculations 2324'!D7</f>
        <v>34.340000000000003</v>
      </c>
      <c r="E7" s="77">
        <f>'ESA Calculations 2324'!E7</f>
        <v>315.48</v>
      </c>
      <c r="F7" s="77">
        <f>'ESA Calculations 2324'!F7</f>
        <v>99.4</v>
      </c>
      <c r="G7" s="77">
        <f>'ESA Calculations 2324'!G7</f>
        <v>186.98</v>
      </c>
      <c r="H7" s="77">
        <f>'ESA Calculations 2324'!H7</f>
        <v>147.32</v>
      </c>
      <c r="I7" s="77">
        <f>'ESA Calculations 2324'!I7</f>
        <v>279.11</v>
      </c>
      <c r="J7" s="108">
        <f>VLOOKUP($A7,'2324 Jun 24 Enroll'!$A$3:$AL$327,MATCH(J$3,'2324 Jun 24 Enroll'!$3:$3,0),FALSE)</f>
        <v>1028.29</v>
      </c>
      <c r="K7" s="77">
        <f>'ESA Calculations 2324'!K7</f>
        <v>33.950000000000003</v>
      </c>
      <c r="L7" s="77">
        <f>'ESA Calculations 2324'!L7</f>
        <v>2.36</v>
      </c>
      <c r="M7" s="77">
        <f>'ESA Calculations 2324'!M7</f>
        <v>0.1</v>
      </c>
      <c r="N7" s="77">
        <f>'ESA Calculations 2324'!N7</f>
        <v>0</v>
      </c>
      <c r="O7" s="77">
        <f>'ESA Calculations 2324'!O7</f>
        <v>0</v>
      </c>
      <c r="P7" s="77">
        <f>'ESA Calculations 2324'!P7</f>
        <v>1.1299999999999999</v>
      </c>
      <c r="Q7" s="77">
        <f>'ESA Calculations 2324'!Q7</f>
        <v>37.229999999999997</v>
      </c>
      <c r="R7" s="108">
        <f t="shared" si="6"/>
        <v>1103.06</v>
      </c>
      <c r="S7" s="77">
        <f>'ESA Calculations 2324'!S7</f>
        <v>10.220000000000001</v>
      </c>
      <c r="T7" s="77">
        <f>'ESA Calculations 2324'!T7</f>
        <v>0</v>
      </c>
      <c r="U7" s="77">
        <f>'ESA Calculations 2324'!U7</f>
        <v>0</v>
      </c>
      <c r="V7" s="77">
        <f>'ESA Calculations 2324'!V7</f>
        <v>121.78</v>
      </c>
      <c r="W7" s="77">
        <f>'ESA Calculations 2324'!W7</f>
        <v>62.11</v>
      </c>
      <c r="X7" s="77">
        <f>'ESA Calculations 2324'!X7</f>
        <v>1138.68</v>
      </c>
      <c r="Y7" s="77">
        <f>'ESA Calculations 2324'!Y7</f>
        <v>183.89</v>
      </c>
      <c r="Z7" s="92">
        <f t="shared" si="7"/>
        <v>0.1615</v>
      </c>
      <c r="AA7" s="92">
        <f t="shared" si="8"/>
        <v>1.150000000000001E-2</v>
      </c>
      <c r="AB7" s="93">
        <v>137.26</v>
      </c>
      <c r="AC7" s="93">
        <f t="shared" si="9"/>
        <v>22.72</v>
      </c>
      <c r="AD7" s="94">
        <f>VLOOKUP($A7,'2324 Jun 24 Enroll'!$A$3:$AL$327,MATCH(AD$3,'2324 Jun 24 Enroll'!$3:$3,0),FALSE)</f>
        <v>0.19919999999999999</v>
      </c>
      <c r="AE7" s="94">
        <f>VLOOKUP($A7,'2324 Jun 24 Enroll'!$A$3:$AL$327,MATCH(AE$3,'2324 Jun 24 Enroll'!$3:$3,0),FALSE)</f>
        <v>0.2056</v>
      </c>
      <c r="AF7" s="93">
        <f>VLOOKUP($A7,'SpEd BEA Rate 2324 Supp'!$A$4:$AT$34,45,FALSE)</f>
        <v>9601</v>
      </c>
      <c r="AG7" s="102">
        <f t="shared" si="0"/>
        <v>116813.25</v>
      </c>
      <c r="AH7" s="102">
        <f t="shared" si="1"/>
        <v>0</v>
      </c>
      <c r="AI7" s="102">
        <f t="shared" si="2"/>
        <v>0</v>
      </c>
      <c r="AJ7" s="102">
        <f t="shared" si="3"/>
        <v>1296594.92</v>
      </c>
      <c r="AK7" s="102">
        <f t="shared" si="4"/>
        <v>625791.38</v>
      </c>
      <c r="AL7" s="102">
        <f t="shared" si="5"/>
        <v>-47497.19</v>
      </c>
      <c r="AM7" s="45">
        <f t="shared" si="10"/>
        <v>1751532.02</v>
      </c>
      <c r="AN7" s="45">
        <f t="shared" si="11"/>
        <v>1460583.74</v>
      </c>
      <c r="AO7" s="102">
        <f t="shared" si="12"/>
        <v>300296.02</v>
      </c>
    </row>
    <row r="8" spans="1:41" ht="15.75" thickBot="1">
      <c r="A8" s="40" t="s">
        <v>669</v>
      </c>
      <c r="B8" s="40" t="s">
        <v>670</v>
      </c>
      <c r="C8" s="77">
        <f>'ESA Calculations 2324'!C8</f>
        <v>17</v>
      </c>
      <c r="D8" s="77">
        <f>'ESA Calculations 2324'!D8</f>
        <v>0</v>
      </c>
      <c r="E8" s="77">
        <f>'ESA Calculations 2324'!E8</f>
        <v>49.6</v>
      </c>
      <c r="F8" s="77">
        <f>'ESA Calculations 2324'!F8</f>
        <v>12</v>
      </c>
      <c r="G8" s="77">
        <f>'ESA Calculations 2324'!G8</f>
        <v>24.9</v>
      </c>
      <c r="H8" s="77">
        <f>'ESA Calculations 2324'!H8</f>
        <v>22.56</v>
      </c>
      <c r="I8" s="77">
        <f>'ESA Calculations 2324'!I8</f>
        <v>0</v>
      </c>
      <c r="J8" s="108">
        <f>VLOOKUP($A8,'2324 Jun 24 Enroll'!$A$3:$AL$327,MATCH(J$3,'2324 Jun 24 Enroll'!$3:$3,0),FALSE)</f>
        <v>109.06</v>
      </c>
      <c r="K8" s="77">
        <f>'ESA Calculations 2324'!K8</f>
        <v>0</v>
      </c>
      <c r="L8" s="77">
        <f>'ESA Calculations 2324'!L8</f>
        <v>0</v>
      </c>
      <c r="M8" s="77">
        <f>'ESA Calculations 2324'!M8</f>
        <v>0</v>
      </c>
      <c r="N8" s="77">
        <f>'ESA Calculations 2324'!N8</f>
        <v>0</v>
      </c>
      <c r="O8" s="77">
        <f>'ESA Calculations 2324'!O8</f>
        <v>0</v>
      </c>
      <c r="P8" s="77">
        <f>'ESA Calculations 2324'!P8</f>
        <v>0</v>
      </c>
      <c r="Q8" s="77">
        <f>'ESA Calculations 2324'!Q8</f>
        <v>0</v>
      </c>
      <c r="R8" s="108">
        <f t="shared" si="6"/>
        <v>109.06</v>
      </c>
      <c r="S8" s="77">
        <f>'ESA Calculations 2324'!S8</f>
        <v>2</v>
      </c>
      <c r="T8" s="77">
        <f>'ESA Calculations 2324'!T8</f>
        <v>0</v>
      </c>
      <c r="U8" s="77">
        <f>'ESA Calculations 2324'!U8</f>
        <v>0</v>
      </c>
      <c r="V8" s="77">
        <f>'ESA Calculations 2324'!V8</f>
        <v>11.44</v>
      </c>
      <c r="W8" s="77">
        <f>'ESA Calculations 2324'!W8</f>
        <v>4.78</v>
      </c>
      <c r="X8" s="77">
        <f>'ESA Calculations 2324'!X8</f>
        <v>109.06</v>
      </c>
      <c r="Y8" s="77">
        <f>'ESA Calculations 2324'!Y8</f>
        <v>16.22</v>
      </c>
      <c r="Z8" s="92">
        <f t="shared" si="7"/>
        <v>0.1487</v>
      </c>
      <c r="AA8" s="92">
        <f t="shared" si="8"/>
        <v>0</v>
      </c>
      <c r="AB8" s="93">
        <v>117.82</v>
      </c>
      <c r="AC8" s="93">
        <f t="shared" si="9"/>
        <v>19.5</v>
      </c>
      <c r="AD8" s="94">
        <f>VLOOKUP($A8,'2324 Jun 24 Enroll'!$A$3:$AL$327,MATCH(AD$3,'2324 Jun 24 Enroll'!$3:$3,0),FALSE)</f>
        <v>0.21729999999999999</v>
      </c>
      <c r="AE8" s="94">
        <f>VLOOKUP($A8,'2324 Jun 24 Enroll'!$A$3:$AL$327,MATCH(AE$3,'2324 Jun 24 Enroll'!$3:$3,0),FALSE)</f>
        <v>0.2056</v>
      </c>
      <c r="AF8" s="93">
        <f>VLOOKUP($A8,'SpEd BEA Rate 2324 Supp'!$A$4:$AT$34,45,FALSE)</f>
        <v>9890.340000000002</v>
      </c>
      <c r="AG8" s="102">
        <f t="shared" si="0"/>
        <v>22859.74</v>
      </c>
      <c r="AH8" s="102">
        <f t="shared" si="1"/>
        <v>0</v>
      </c>
      <c r="AI8" s="102">
        <f t="shared" si="2"/>
        <v>0</v>
      </c>
      <c r="AJ8" s="102">
        <f t="shared" si="3"/>
        <v>121801.99</v>
      </c>
      <c r="AK8" s="102">
        <f t="shared" si="4"/>
        <v>48161.05</v>
      </c>
      <c r="AL8" s="102">
        <f t="shared" si="5"/>
        <v>-4199.3500000000004</v>
      </c>
      <c r="AM8" s="45">
        <f t="shared" si="10"/>
        <v>154493.72</v>
      </c>
      <c r="AN8" s="45">
        <f t="shared" si="11"/>
        <v>126915.07</v>
      </c>
      <c r="AO8" s="102">
        <f t="shared" si="12"/>
        <v>26093.74</v>
      </c>
    </row>
    <row r="9" spans="1:41" ht="15.75" thickBot="1">
      <c r="A9" s="40" t="s">
        <v>677</v>
      </c>
      <c r="B9" s="40" t="s">
        <v>678</v>
      </c>
      <c r="C9" s="77">
        <f>'ESA Calculations 2324'!C9</f>
        <v>17</v>
      </c>
      <c r="D9" s="77">
        <f>'ESA Calculations 2324'!D9</f>
        <v>3</v>
      </c>
      <c r="E9" s="77">
        <f>'ESA Calculations 2324'!E9</f>
        <v>15.2</v>
      </c>
      <c r="F9" s="77">
        <f>'ESA Calculations 2324'!F9</f>
        <v>4</v>
      </c>
      <c r="G9" s="77">
        <f>'ESA Calculations 2324'!G9</f>
        <v>4.5</v>
      </c>
      <c r="H9" s="77">
        <f>'ESA Calculations 2324'!H9</f>
        <v>0</v>
      </c>
      <c r="I9" s="77">
        <f>'ESA Calculations 2324'!I9</f>
        <v>0</v>
      </c>
      <c r="J9" s="108">
        <f>VLOOKUP($A9,'2324 Jun 24 Enroll'!$A$3:$AL$327,MATCH(J$3,'2324 Jun 24 Enroll'!$3:$3,0),FALSE)</f>
        <v>23.7</v>
      </c>
      <c r="K9" s="77">
        <f>'ESA Calculations 2324'!K9</f>
        <v>0</v>
      </c>
      <c r="L9" s="77">
        <f>'ESA Calculations 2324'!L9</f>
        <v>0</v>
      </c>
      <c r="M9" s="77">
        <f>'ESA Calculations 2324'!M9</f>
        <v>0</v>
      </c>
      <c r="N9" s="77">
        <f>'ESA Calculations 2324'!N9</f>
        <v>0</v>
      </c>
      <c r="O9" s="77">
        <f>'ESA Calculations 2324'!O9</f>
        <v>0</v>
      </c>
      <c r="P9" s="77">
        <f>'ESA Calculations 2324'!P9</f>
        <v>0</v>
      </c>
      <c r="Q9" s="77">
        <f>'ESA Calculations 2324'!Q9</f>
        <v>0</v>
      </c>
      <c r="R9" s="108">
        <f t="shared" si="6"/>
        <v>23.7</v>
      </c>
      <c r="S9" s="77">
        <f>'ESA Calculations 2324'!S9</f>
        <v>0</v>
      </c>
      <c r="T9" s="77">
        <f>'ESA Calculations 2324'!T9</f>
        <v>0</v>
      </c>
      <c r="U9" s="77">
        <f>'ESA Calculations 2324'!U9</f>
        <v>0</v>
      </c>
      <c r="V9" s="77">
        <f>'ESA Calculations 2324'!V9</f>
        <v>3.89</v>
      </c>
      <c r="W9" s="77">
        <f>'ESA Calculations 2324'!W9</f>
        <v>0</v>
      </c>
      <c r="X9" s="77">
        <f>'ESA Calculations 2324'!X9</f>
        <v>26.7</v>
      </c>
      <c r="Y9" s="77">
        <f>'ESA Calculations 2324'!Y9</f>
        <v>3.89</v>
      </c>
      <c r="Z9" s="92">
        <f t="shared" si="7"/>
        <v>0.1457</v>
      </c>
      <c r="AA9" s="92">
        <f t="shared" si="8"/>
        <v>0</v>
      </c>
      <c r="AB9" s="93">
        <v>130.18</v>
      </c>
      <c r="AC9" s="93">
        <f t="shared" si="9"/>
        <v>21.55</v>
      </c>
      <c r="AD9" s="94">
        <f>VLOOKUP($A9,'2324 Jun 24 Enroll'!$A$3:$AL$327,MATCH(AD$3,'2324 Jun 24 Enroll'!$3:$3,0),FALSE)</f>
        <v>0.72509999999999997</v>
      </c>
      <c r="AE9" s="94">
        <f>VLOOKUP($A9,'2324 Jun 24 Enroll'!$A$3:$AL$327,MATCH(AE$3,'2324 Jun 24 Enroll'!$3:$3,0),FALSE)</f>
        <v>0.2056</v>
      </c>
      <c r="AF9" s="93">
        <f>VLOOKUP($A9,'SpEd BEA Rate 2324 Supp'!$A$4:$AT$34,45,FALSE)</f>
        <v>10510.26</v>
      </c>
      <c r="AG9" s="102">
        <f t="shared" si="0"/>
        <v>0</v>
      </c>
      <c r="AH9" s="102">
        <f t="shared" si="1"/>
        <v>0</v>
      </c>
      <c r="AI9" s="102">
        <f t="shared" si="2"/>
        <v>0</v>
      </c>
      <c r="AJ9" s="102">
        <f t="shared" si="3"/>
        <v>41416.93</v>
      </c>
      <c r="AK9" s="102">
        <f t="shared" si="4"/>
        <v>0</v>
      </c>
      <c r="AL9" s="102">
        <f t="shared" si="5"/>
        <v>-1023.31</v>
      </c>
      <c r="AM9" s="45">
        <f t="shared" si="10"/>
        <v>37051.82</v>
      </c>
      <c r="AN9" s="45">
        <f t="shared" si="11"/>
        <v>21478.07</v>
      </c>
      <c r="AO9" s="102">
        <f t="shared" si="12"/>
        <v>4415.8900000000003</v>
      </c>
    </row>
    <row r="10" spans="1:41" ht="15.75" thickBot="1">
      <c r="A10" s="40" t="s">
        <v>570</v>
      </c>
      <c r="B10" s="40" t="s">
        <v>571</v>
      </c>
      <c r="C10" s="77">
        <f>'ESA Calculations 2324'!C10</f>
        <v>17</v>
      </c>
      <c r="D10" s="77">
        <f>'ESA Calculations 2324'!D10</f>
        <v>0</v>
      </c>
      <c r="E10" s="77">
        <f>'ESA Calculations 2324'!E10</f>
        <v>33.4</v>
      </c>
      <c r="F10" s="77">
        <f>'ESA Calculations 2324'!F10</f>
        <v>9</v>
      </c>
      <c r="G10" s="77">
        <f>'ESA Calculations 2324'!G10</f>
        <v>13.3</v>
      </c>
      <c r="H10" s="77">
        <f>'ESA Calculations 2324'!H10</f>
        <v>15.4</v>
      </c>
      <c r="I10" s="77">
        <f>'ESA Calculations 2324'!I10</f>
        <v>28.84</v>
      </c>
      <c r="J10" s="108">
        <f>VLOOKUP($A10,'2324 Jun 24 Enroll'!$A$3:$AL$327,MATCH(J$3,'2324 Jun 24 Enroll'!$3:$3,0),FALSE)</f>
        <v>99.94</v>
      </c>
      <c r="K10" s="77">
        <f>'ESA Calculations 2324'!K10</f>
        <v>0</v>
      </c>
      <c r="L10" s="77">
        <f>'ESA Calculations 2324'!L10</f>
        <v>0</v>
      </c>
      <c r="M10" s="77">
        <f>'ESA Calculations 2324'!M10</f>
        <v>0</v>
      </c>
      <c r="N10" s="77">
        <f>'ESA Calculations 2324'!N10</f>
        <v>0</v>
      </c>
      <c r="O10" s="77">
        <f>'ESA Calculations 2324'!O10</f>
        <v>0</v>
      </c>
      <c r="P10" s="77">
        <f>'ESA Calculations 2324'!P10</f>
        <v>0</v>
      </c>
      <c r="Q10" s="77">
        <f>'ESA Calculations 2324'!Q10</f>
        <v>0</v>
      </c>
      <c r="R10" s="108">
        <f t="shared" si="6"/>
        <v>99.94</v>
      </c>
      <c r="S10" s="77">
        <f>'ESA Calculations 2324'!S10</f>
        <v>2</v>
      </c>
      <c r="T10" s="77">
        <f>'ESA Calculations 2324'!T10</f>
        <v>0</v>
      </c>
      <c r="U10" s="77">
        <f>'ESA Calculations 2324'!U10</f>
        <v>0</v>
      </c>
      <c r="V10" s="77">
        <f>'ESA Calculations 2324'!V10</f>
        <v>7.44</v>
      </c>
      <c r="W10" s="77">
        <f>'ESA Calculations 2324'!W10</f>
        <v>3.33</v>
      </c>
      <c r="X10" s="77">
        <f>'ESA Calculations 2324'!X10</f>
        <v>99.95</v>
      </c>
      <c r="Y10" s="77">
        <f>'ESA Calculations 2324'!Y10</f>
        <v>10.77</v>
      </c>
      <c r="Z10" s="92">
        <f t="shared" si="7"/>
        <v>0.10780000000000001</v>
      </c>
      <c r="AA10" s="92">
        <f t="shared" si="8"/>
        <v>0</v>
      </c>
      <c r="AB10" s="93">
        <v>135.93</v>
      </c>
      <c r="AC10" s="93">
        <f t="shared" si="9"/>
        <v>22.5</v>
      </c>
      <c r="AD10" s="94">
        <f>VLOOKUP($A10,'2324 Jun 24 Enroll'!$A$3:$AL$327,MATCH(AD$3,'2324 Jun 24 Enroll'!$3:$3,0),FALSE)</f>
        <v>0.34100000000000003</v>
      </c>
      <c r="AE10" s="94">
        <f>VLOOKUP($A10,'2324 Jun 24 Enroll'!$A$3:$AL$327,MATCH(AE$3,'2324 Jun 24 Enroll'!$3:$3,0),FALSE)</f>
        <v>0.2056</v>
      </c>
      <c r="AF10" s="93">
        <f>VLOOKUP($A10,'SpEd BEA Rate 2324 Supp'!$A$4:$AT$34,45,FALSE)</f>
        <v>9665.44</v>
      </c>
      <c r="AG10" s="102">
        <f t="shared" si="0"/>
        <v>22859.74</v>
      </c>
      <c r="AH10" s="102">
        <f t="shared" si="1"/>
        <v>0</v>
      </c>
      <c r="AI10" s="102">
        <f t="shared" si="2"/>
        <v>0</v>
      </c>
      <c r="AJ10" s="102">
        <f t="shared" si="3"/>
        <v>79213.88</v>
      </c>
      <c r="AK10" s="102">
        <f t="shared" si="4"/>
        <v>33551.53</v>
      </c>
      <c r="AL10" s="102">
        <f t="shared" si="5"/>
        <v>-2786.14</v>
      </c>
      <c r="AM10" s="45">
        <f t="shared" si="10"/>
        <v>102583.07</v>
      </c>
      <c r="AN10" s="45">
        <f t="shared" si="11"/>
        <v>76497.440000000002</v>
      </c>
      <c r="AO10" s="102">
        <f t="shared" si="12"/>
        <v>15727.87</v>
      </c>
    </row>
    <row r="11" spans="1:41" ht="15.75" thickBot="1">
      <c r="A11" s="40" t="s">
        <v>861</v>
      </c>
      <c r="B11" s="40" t="s">
        <v>862</v>
      </c>
      <c r="C11" s="77">
        <f>'ESA Calculations 2324'!C11</f>
        <v>17</v>
      </c>
      <c r="D11" s="77">
        <f>'ESA Calculations 2324'!D11</f>
        <v>17.399999999999999</v>
      </c>
      <c r="E11" s="77">
        <f>'ESA Calculations 2324'!E11</f>
        <v>73.599999999999994</v>
      </c>
      <c r="F11" s="77">
        <f>'ESA Calculations 2324'!F11</f>
        <v>20</v>
      </c>
      <c r="G11" s="77">
        <f>'ESA Calculations 2324'!G11</f>
        <v>25.64</v>
      </c>
      <c r="H11" s="77">
        <f>'ESA Calculations 2324'!H11</f>
        <v>42.98</v>
      </c>
      <c r="I11" s="77">
        <f>'ESA Calculations 2324'!I11</f>
        <v>72.08</v>
      </c>
      <c r="J11" s="108">
        <f>VLOOKUP($A11,'2324 Jun 24 Enroll'!$A$3:$AL$327,MATCH(J$3,'2324 Jun 24 Enroll'!$3:$3,0),FALSE)</f>
        <v>234.3</v>
      </c>
      <c r="K11" s="77">
        <f>'ESA Calculations 2324'!K11</f>
        <v>3.22</v>
      </c>
      <c r="L11" s="77">
        <f>'ESA Calculations 2324'!L11</f>
        <v>0.27</v>
      </c>
      <c r="M11" s="77">
        <f>'ESA Calculations 2324'!M11</f>
        <v>0</v>
      </c>
      <c r="N11" s="77">
        <f>'ESA Calculations 2324'!N11</f>
        <v>0</v>
      </c>
      <c r="O11" s="77">
        <f>'ESA Calculations 2324'!O11</f>
        <v>0</v>
      </c>
      <c r="P11" s="77">
        <f>'ESA Calculations 2324'!P11</f>
        <v>0</v>
      </c>
      <c r="Q11" s="77">
        <f>'ESA Calculations 2324'!Q11</f>
        <v>0</v>
      </c>
      <c r="R11" s="108">
        <f t="shared" si="6"/>
        <v>237.79000000000002</v>
      </c>
      <c r="S11" s="77">
        <f>'ESA Calculations 2324'!S11</f>
        <v>3.89</v>
      </c>
      <c r="T11" s="77">
        <f>'ESA Calculations 2324'!T11</f>
        <v>0</v>
      </c>
      <c r="U11" s="77">
        <f>'ESA Calculations 2324'!U11</f>
        <v>0</v>
      </c>
      <c r="V11" s="77">
        <f>'ESA Calculations 2324'!V11</f>
        <v>38.11</v>
      </c>
      <c r="W11" s="77">
        <f>'ESA Calculations 2324'!W11</f>
        <v>4</v>
      </c>
      <c r="X11" s="77">
        <f>'ESA Calculations 2324'!X11</f>
        <v>255.77</v>
      </c>
      <c r="Y11" s="77">
        <f>'ESA Calculations 2324'!Y11</f>
        <v>42.11</v>
      </c>
      <c r="Z11" s="92">
        <f t="shared" si="7"/>
        <v>0.1646</v>
      </c>
      <c r="AA11" s="92">
        <f t="shared" si="8"/>
        <v>1.4600000000000002E-2</v>
      </c>
      <c r="AB11" s="93">
        <v>130.53</v>
      </c>
      <c r="AC11" s="93">
        <f t="shared" si="9"/>
        <v>21.6</v>
      </c>
      <c r="AD11" s="94">
        <f>VLOOKUP($A11,'2324 Jun 24 Enroll'!$A$3:$AL$327,MATCH(AD$3,'2324 Jun 24 Enroll'!$3:$3,0),FALSE)</f>
        <v>0.25659999999999999</v>
      </c>
      <c r="AE11" s="94">
        <f>VLOOKUP($A11,'2324 Jun 24 Enroll'!$A$3:$AL$327,MATCH(AE$3,'2324 Jun 24 Enroll'!$3:$3,0),FALSE)</f>
        <v>0.2056</v>
      </c>
      <c r="AF11" s="93">
        <f>VLOOKUP($A11,'SpEd BEA Rate 2324 Supp'!$A$4:$AT$34,45,FALSE)</f>
        <v>9730.6899999999987</v>
      </c>
      <c r="AG11" s="102">
        <f t="shared" si="0"/>
        <v>44462.19</v>
      </c>
      <c r="AH11" s="102">
        <f t="shared" si="1"/>
        <v>0</v>
      </c>
      <c r="AI11" s="102">
        <f t="shared" si="2"/>
        <v>0</v>
      </c>
      <c r="AJ11" s="102">
        <f t="shared" si="3"/>
        <v>405758.19</v>
      </c>
      <c r="AK11" s="102">
        <f t="shared" si="4"/>
        <v>40302.129999999997</v>
      </c>
      <c r="AL11" s="102">
        <f t="shared" si="5"/>
        <v>-11021</v>
      </c>
      <c r="AM11" s="45">
        <f t="shared" si="10"/>
        <v>401093.12</v>
      </c>
      <c r="AN11" s="45">
        <f t="shared" si="11"/>
        <v>319189.18</v>
      </c>
      <c r="AO11" s="102">
        <f t="shared" si="12"/>
        <v>65625.3</v>
      </c>
    </row>
    <row r="12" spans="1:41" ht="15.75" thickBot="1">
      <c r="A12" s="40" t="s">
        <v>516</v>
      </c>
      <c r="B12" s="40" t="s">
        <v>517</v>
      </c>
      <c r="C12" s="77">
        <f>'ESA Calculations 2324'!C12</f>
        <v>17</v>
      </c>
      <c r="D12" s="77">
        <f>'ESA Calculations 2324'!D12</f>
        <v>0</v>
      </c>
      <c r="E12" s="77">
        <f>'ESA Calculations 2324'!E12</f>
        <v>15</v>
      </c>
      <c r="F12" s="77">
        <f>'ESA Calculations 2324'!F12</f>
        <v>5.7</v>
      </c>
      <c r="G12" s="77">
        <f>'ESA Calculations 2324'!G12</f>
        <v>10.1</v>
      </c>
      <c r="H12" s="77">
        <f>'ESA Calculations 2324'!H12</f>
        <v>5.0999999999999996</v>
      </c>
      <c r="I12" s="77">
        <f>'ESA Calculations 2324'!I12</f>
        <v>11.88</v>
      </c>
      <c r="J12" s="108">
        <f>VLOOKUP($A12,'2324 Jun 24 Enroll'!$A$3:$AL$327,MATCH(J$3,'2324 Jun 24 Enroll'!$3:$3,0),FALSE)</f>
        <v>47.78</v>
      </c>
      <c r="K12" s="77">
        <f>'ESA Calculations 2324'!K12</f>
        <v>0.55000000000000004</v>
      </c>
      <c r="L12" s="77">
        <f>'ESA Calculations 2324'!L12</f>
        <v>0.18</v>
      </c>
      <c r="M12" s="77">
        <f>'ESA Calculations 2324'!M12</f>
        <v>0</v>
      </c>
      <c r="N12" s="77">
        <f>'ESA Calculations 2324'!N12</f>
        <v>0</v>
      </c>
      <c r="O12" s="77">
        <f>'ESA Calculations 2324'!O12</f>
        <v>0</v>
      </c>
      <c r="P12" s="77">
        <f>'ESA Calculations 2324'!P12</f>
        <v>0</v>
      </c>
      <c r="Q12" s="77">
        <f>'ESA Calculations 2324'!Q12</f>
        <v>0</v>
      </c>
      <c r="R12" s="108">
        <f t="shared" si="6"/>
        <v>48.51</v>
      </c>
      <c r="S12" s="77">
        <f>'ESA Calculations 2324'!S12</f>
        <v>0</v>
      </c>
      <c r="T12" s="77">
        <f>'ESA Calculations 2324'!T12</f>
        <v>0</v>
      </c>
      <c r="U12" s="77">
        <f>'ESA Calculations 2324'!U12</f>
        <v>0</v>
      </c>
      <c r="V12" s="77">
        <f>'ESA Calculations 2324'!V12</f>
        <v>12</v>
      </c>
      <c r="W12" s="77">
        <f>'ESA Calculations 2324'!W12</f>
        <v>0</v>
      </c>
      <c r="X12" s="77">
        <f>'ESA Calculations 2324'!X12</f>
        <v>48.51</v>
      </c>
      <c r="Y12" s="77">
        <f>'ESA Calculations 2324'!Y12</f>
        <v>12</v>
      </c>
      <c r="Z12" s="92">
        <f t="shared" si="7"/>
        <v>0.24740000000000001</v>
      </c>
      <c r="AA12" s="92">
        <f t="shared" si="8"/>
        <v>9.7400000000000014E-2</v>
      </c>
      <c r="AB12" s="93">
        <v>127.81</v>
      </c>
      <c r="AC12" s="93">
        <f t="shared" si="9"/>
        <v>21.15</v>
      </c>
      <c r="AD12" s="94">
        <f>VLOOKUP($A12,'2324 Jun 24 Enroll'!$A$3:$AL$327,MATCH(AD$3,'2324 Jun 24 Enroll'!$3:$3,0),FALSE)</f>
        <v>0.46110000000000001</v>
      </c>
      <c r="AE12" s="94">
        <f>VLOOKUP($A12,'2324 Jun 24 Enroll'!$A$3:$AL$327,MATCH(AE$3,'2324 Jun 24 Enroll'!$3:$3,0),FALSE)</f>
        <v>0.2056</v>
      </c>
      <c r="AF12" s="93">
        <f>VLOOKUP($A12,'SpEd BEA Rate 2324 Supp'!$A$4:$AT$34,45,FALSE)</f>
        <v>9691.93</v>
      </c>
      <c r="AG12" s="102">
        <f t="shared" si="0"/>
        <v>0</v>
      </c>
      <c r="AH12" s="102">
        <f t="shared" si="1"/>
        <v>0</v>
      </c>
      <c r="AI12" s="102">
        <f t="shared" si="2"/>
        <v>0</v>
      </c>
      <c r="AJ12" s="102">
        <f t="shared" si="3"/>
        <v>127764.32</v>
      </c>
      <c r="AK12" s="102">
        <f t="shared" si="4"/>
        <v>0</v>
      </c>
      <c r="AL12" s="102">
        <f t="shared" si="5"/>
        <v>-3156.73</v>
      </c>
      <c r="AM12" s="45">
        <f t="shared" si="10"/>
        <v>114298.68</v>
      </c>
      <c r="AN12" s="45">
        <f t="shared" si="11"/>
        <v>78227.83</v>
      </c>
      <c r="AO12" s="102">
        <f t="shared" si="12"/>
        <v>16083.64</v>
      </c>
    </row>
    <row r="13" spans="1:41" ht="15.75" thickBot="1">
      <c r="A13" s="40" t="s">
        <v>544</v>
      </c>
      <c r="B13" s="40" t="s">
        <v>545</v>
      </c>
      <c r="C13" s="77">
        <f>'ESA Calculations 2324'!C13</f>
        <v>17</v>
      </c>
      <c r="D13" s="77">
        <f>'ESA Calculations 2324'!D13</f>
        <v>0</v>
      </c>
      <c r="E13" s="77">
        <f>'ESA Calculations 2324'!E13</f>
        <v>53.9</v>
      </c>
      <c r="F13" s="77">
        <f>'ESA Calculations 2324'!F13</f>
        <v>24.5</v>
      </c>
      <c r="G13" s="77">
        <f>'ESA Calculations 2324'!G13</f>
        <v>28.2</v>
      </c>
      <c r="H13" s="77">
        <f>'ESA Calculations 2324'!H13</f>
        <v>34.200000000000003</v>
      </c>
      <c r="I13" s="77">
        <f>'ESA Calculations 2324'!I13</f>
        <v>51.94</v>
      </c>
      <c r="J13" s="108">
        <f>VLOOKUP($A13,'2324 Jun 24 Enroll'!$A$3:$AL$327,MATCH(J$3,'2324 Jun 24 Enroll'!$3:$3,0),FALSE)</f>
        <v>192.74</v>
      </c>
      <c r="K13" s="77">
        <f>'ESA Calculations 2324'!K13</f>
        <v>2.15</v>
      </c>
      <c r="L13" s="77">
        <f>'ESA Calculations 2324'!L13</f>
        <v>3.46</v>
      </c>
      <c r="M13" s="77">
        <f>'ESA Calculations 2324'!M13</f>
        <v>0.5</v>
      </c>
      <c r="N13" s="77">
        <f>'ESA Calculations 2324'!N13</f>
        <v>0</v>
      </c>
      <c r="O13" s="77">
        <f>'ESA Calculations 2324'!O13</f>
        <v>0.5</v>
      </c>
      <c r="P13" s="77">
        <f>'ESA Calculations 2324'!P13</f>
        <v>2.7</v>
      </c>
      <c r="Q13" s="77">
        <f>'ESA Calculations 2324'!Q13</f>
        <v>5.97</v>
      </c>
      <c r="R13" s="108">
        <f t="shared" si="6"/>
        <v>208.02</v>
      </c>
      <c r="S13" s="77">
        <f>'ESA Calculations 2324'!S13</f>
        <v>1.56</v>
      </c>
      <c r="T13" s="77">
        <f>'ESA Calculations 2324'!T13</f>
        <v>0</v>
      </c>
      <c r="U13" s="77">
        <f>'ESA Calculations 2324'!U13</f>
        <v>0</v>
      </c>
      <c r="V13" s="77">
        <f>'ESA Calculations 2324'!V13</f>
        <v>16.329999999999998</v>
      </c>
      <c r="W13" s="77">
        <f>'ESA Calculations 2324'!W13</f>
        <v>21.67</v>
      </c>
      <c r="X13" s="77">
        <f>'ESA Calculations 2324'!X13</f>
        <v>208.02</v>
      </c>
      <c r="Y13" s="77">
        <f>'ESA Calculations 2324'!Y13</f>
        <v>38</v>
      </c>
      <c r="Z13" s="92">
        <f t="shared" si="7"/>
        <v>0.1827</v>
      </c>
      <c r="AA13" s="92">
        <f t="shared" si="8"/>
        <v>3.2700000000000007E-2</v>
      </c>
      <c r="AB13" s="93">
        <v>140.57</v>
      </c>
      <c r="AC13" s="93">
        <f t="shared" si="9"/>
        <v>23.27</v>
      </c>
      <c r="AD13" s="94">
        <f>VLOOKUP($A13,'2324 Jun 24 Enroll'!$A$3:$AL$327,MATCH(AD$3,'2324 Jun 24 Enroll'!$3:$3,0),FALSE)</f>
        <v>0.25519999999999998</v>
      </c>
      <c r="AE13" s="94">
        <f>VLOOKUP($A13,'2324 Jun 24 Enroll'!$A$3:$AL$327,MATCH(AE$3,'2324 Jun 24 Enroll'!$3:$3,0),FALSE)</f>
        <v>0.2056</v>
      </c>
      <c r="AF13" s="93">
        <f>VLOOKUP($A13,'SpEd BEA Rate 2324 Supp'!$A$4:$AT$34,45,FALSE)</f>
        <v>9472.59</v>
      </c>
      <c r="AG13" s="102">
        <f t="shared" si="0"/>
        <v>17830.59</v>
      </c>
      <c r="AH13" s="102">
        <f t="shared" si="1"/>
        <v>0</v>
      </c>
      <c r="AI13" s="102">
        <f t="shared" si="2"/>
        <v>0</v>
      </c>
      <c r="AJ13" s="102">
        <f t="shared" si="3"/>
        <v>173865.95</v>
      </c>
      <c r="AK13" s="102">
        <f t="shared" si="4"/>
        <v>218336.81</v>
      </c>
      <c r="AL13" s="102">
        <f t="shared" si="5"/>
        <v>-9690.32</v>
      </c>
      <c r="AM13" s="45">
        <f t="shared" si="10"/>
        <v>361945.82</v>
      </c>
      <c r="AN13" s="45">
        <f t="shared" si="11"/>
        <v>288357.09000000003</v>
      </c>
      <c r="AO13" s="102">
        <f t="shared" si="12"/>
        <v>59286.22</v>
      </c>
    </row>
    <row r="14" spans="1:41" ht="15.75" thickBot="1">
      <c r="A14" s="40" t="s">
        <v>887</v>
      </c>
      <c r="B14" s="40" t="s">
        <v>888</v>
      </c>
      <c r="C14" s="77">
        <f>'ESA Calculations 2324'!C14</f>
        <v>17</v>
      </c>
      <c r="D14" s="77">
        <f>'ESA Calculations 2324'!D14</f>
        <v>0</v>
      </c>
      <c r="E14" s="77">
        <f>'ESA Calculations 2324'!E14</f>
        <v>35.6</v>
      </c>
      <c r="F14" s="77">
        <f>'ESA Calculations 2324'!F14</f>
        <v>6.1</v>
      </c>
      <c r="G14" s="77">
        <f>'ESA Calculations 2324'!G14</f>
        <v>15.7</v>
      </c>
      <c r="H14" s="77">
        <f>'ESA Calculations 2324'!H14</f>
        <v>17.100000000000001</v>
      </c>
      <c r="I14" s="77">
        <f>'ESA Calculations 2324'!I14</f>
        <v>25.93</v>
      </c>
      <c r="J14" s="108">
        <f>VLOOKUP($A14,'2324 Jun 24 Enroll'!$A$3:$AL$327,MATCH(J$3,'2324 Jun 24 Enroll'!$3:$3,0),FALSE)</f>
        <v>100.43</v>
      </c>
      <c r="K14" s="77">
        <f>'ESA Calculations 2324'!K14</f>
        <v>0</v>
      </c>
      <c r="L14" s="77">
        <f>'ESA Calculations 2324'!L14</f>
        <v>0</v>
      </c>
      <c r="M14" s="77">
        <f>'ESA Calculations 2324'!M14</f>
        <v>0</v>
      </c>
      <c r="N14" s="77">
        <f>'ESA Calculations 2324'!N14</f>
        <v>0</v>
      </c>
      <c r="O14" s="77">
        <f>'ESA Calculations 2324'!O14</f>
        <v>0</v>
      </c>
      <c r="P14" s="77">
        <f>'ESA Calculations 2324'!P14</f>
        <v>0</v>
      </c>
      <c r="Q14" s="77">
        <f>'ESA Calculations 2324'!Q14</f>
        <v>0</v>
      </c>
      <c r="R14" s="108">
        <f t="shared" si="6"/>
        <v>100.43</v>
      </c>
      <c r="S14" s="77">
        <f>'ESA Calculations 2324'!S14</f>
        <v>0.22</v>
      </c>
      <c r="T14" s="77">
        <f>'ESA Calculations 2324'!T14</f>
        <v>0</v>
      </c>
      <c r="U14" s="77">
        <f>'ESA Calculations 2324'!U14</f>
        <v>0</v>
      </c>
      <c r="V14" s="77">
        <f>'ESA Calculations 2324'!V14</f>
        <v>12.33</v>
      </c>
      <c r="W14" s="77">
        <f>'ESA Calculations 2324'!W14</f>
        <v>3.89</v>
      </c>
      <c r="X14" s="77">
        <f>'ESA Calculations 2324'!X14</f>
        <v>100.43</v>
      </c>
      <c r="Y14" s="77">
        <f>'ESA Calculations 2324'!Y14</f>
        <v>16.22</v>
      </c>
      <c r="Z14" s="92">
        <f t="shared" si="7"/>
        <v>0.1615</v>
      </c>
      <c r="AA14" s="92">
        <f t="shared" si="8"/>
        <v>1.150000000000001E-2</v>
      </c>
      <c r="AB14" s="93">
        <v>127.88</v>
      </c>
      <c r="AC14" s="93">
        <f t="shared" si="9"/>
        <v>21.17</v>
      </c>
      <c r="AD14" s="94">
        <f>VLOOKUP($A14,'2324 Jun 24 Enroll'!$A$3:$AL$327,MATCH(AD$3,'2324 Jun 24 Enroll'!$3:$3,0),FALSE)</f>
        <v>0.4</v>
      </c>
      <c r="AE14" s="94">
        <f>VLOOKUP($A14,'2324 Jun 24 Enroll'!$A$3:$AL$327,MATCH(AE$3,'2324 Jun 24 Enroll'!$3:$3,0),FALSE)</f>
        <v>0.2056</v>
      </c>
      <c r="AF14" s="93">
        <f>VLOOKUP($A14,'SpEd BEA Rate 2324 Supp'!$A$4:$AT$34,45,FALSE)</f>
        <v>9711.44</v>
      </c>
      <c r="AG14" s="102">
        <f t="shared" si="0"/>
        <v>2514.5700000000002</v>
      </c>
      <c r="AH14" s="102">
        <f t="shared" si="1"/>
        <v>0</v>
      </c>
      <c r="AI14" s="102">
        <f t="shared" si="2"/>
        <v>0</v>
      </c>
      <c r="AJ14" s="102">
        <f t="shared" si="3"/>
        <v>131277.84</v>
      </c>
      <c r="AK14" s="102">
        <f t="shared" si="4"/>
        <v>39193.82</v>
      </c>
      <c r="AL14" s="102">
        <f t="shared" si="5"/>
        <v>-4211.91</v>
      </c>
      <c r="AM14" s="45">
        <f t="shared" si="10"/>
        <v>154493.72</v>
      </c>
      <c r="AN14" s="45">
        <f t="shared" si="11"/>
        <v>110352.66</v>
      </c>
      <c r="AO14" s="102">
        <f t="shared" si="12"/>
        <v>22688.51</v>
      </c>
    </row>
    <row r="15" spans="1:41" ht="15.75" thickBot="1">
      <c r="A15" s="40" t="s">
        <v>341</v>
      </c>
      <c r="B15" s="40" t="s">
        <v>342</v>
      </c>
      <c r="C15" s="77">
        <f>'ESA Calculations 2324'!C15</f>
        <v>17</v>
      </c>
      <c r="D15" s="77">
        <f>'ESA Calculations 2324'!D15</f>
        <v>0</v>
      </c>
      <c r="E15" s="77">
        <f>'ESA Calculations 2324'!E15</f>
        <v>33.5</v>
      </c>
      <c r="F15" s="77">
        <f>'ESA Calculations 2324'!F15</f>
        <v>7.2</v>
      </c>
      <c r="G15" s="77">
        <f>'ESA Calculations 2324'!G15</f>
        <v>20.3</v>
      </c>
      <c r="H15" s="77">
        <f>'ESA Calculations 2324'!H15</f>
        <v>15.6</v>
      </c>
      <c r="I15" s="77">
        <f>'ESA Calculations 2324'!I15</f>
        <v>22.4</v>
      </c>
      <c r="J15" s="108">
        <f>VLOOKUP($A15,'2324 Jun 24 Enroll'!$A$3:$AL$327,MATCH(J$3,'2324 Jun 24 Enroll'!$3:$3,0),FALSE)</f>
        <v>99</v>
      </c>
      <c r="K15" s="77">
        <f>'ESA Calculations 2324'!K15</f>
        <v>0</v>
      </c>
      <c r="L15" s="77">
        <f>'ESA Calculations 2324'!L15</f>
        <v>0</v>
      </c>
      <c r="M15" s="77">
        <f>'ESA Calculations 2324'!M15</f>
        <v>0</v>
      </c>
      <c r="N15" s="77">
        <f>'ESA Calculations 2324'!N15</f>
        <v>0</v>
      </c>
      <c r="O15" s="77">
        <f>'ESA Calculations 2324'!O15</f>
        <v>0</v>
      </c>
      <c r="P15" s="77">
        <f>'ESA Calculations 2324'!P15</f>
        <v>0</v>
      </c>
      <c r="Q15" s="77">
        <f>'ESA Calculations 2324'!Q15</f>
        <v>0</v>
      </c>
      <c r="R15" s="108">
        <f t="shared" si="6"/>
        <v>99</v>
      </c>
      <c r="S15" s="77">
        <f>'ESA Calculations 2324'!S15</f>
        <v>1</v>
      </c>
      <c r="T15" s="77">
        <f>'ESA Calculations 2324'!T15</f>
        <v>0</v>
      </c>
      <c r="U15" s="77">
        <f>'ESA Calculations 2324'!U15</f>
        <v>0</v>
      </c>
      <c r="V15" s="77">
        <f>'ESA Calculations 2324'!V15</f>
        <v>13.11</v>
      </c>
      <c r="W15" s="77">
        <f>'ESA Calculations 2324'!W15</f>
        <v>1.1100000000000001</v>
      </c>
      <c r="X15" s="77">
        <f>'ESA Calculations 2324'!X15</f>
        <v>99</v>
      </c>
      <c r="Y15" s="77">
        <f>'ESA Calculations 2324'!Y15</f>
        <v>14.22</v>
      </c>
      <c r="Z15" s="92">
        <f t="shared" si="7"/>
        <v>0.14360000000000001</v>
      </c>
      <c r="AA15" s="92">
        <f t="shared" si="8"/>
        <v>0</v>
      </c>
      <c r="AB15" s="93">
        <v>128.81</v>
      </c>
      <c r="AC15" s="93">
        <f t="shared" si="9"/>
        <v>21.32</v>
      </c>
      <c r="AD15" s="94">
        <f>VLOOKUP($A15,'2324 Jun 24 Enroll'!$A$3:$AL$327,MATCH(AD$3,'2324 Jun 24 Enroll'!$3:$3,0),FALSE)</f>
        <v>0.2621</v>
      </c>
      <c r="AE15" s="94">
        <f>VLOOKUP($A15,'2324 Jun 24 Enroll'!$A$3:$AL$327,MATCH(AE$3,'2324 Jun 24 Enroll'!$3:$3,0),FALSE)</f>
        <v>0.2056</v>
      </c>
      <c r="AF15" s="93">
        <f>VLOOKUP($A15,'SpEd BEA Rate 2324 Supp'!$A$4:$AT$34,45,FALSE)</f>
        <v>9653.8300000000017</v>
      </c>
      <c r="AG15" s="102">
        <f t="shared" si="0"/>
        <v>11429.87</v>
      </c>
      <c r="AH15" s="102">
        <f t="shared" si="1"/>
        <v>0</v>
      </c>
      <c r="AI15" s="102">
        <f t="shared" si="2"/>
        <v>0</v>
      </c>
      <c r="AJ15" s="102">
        <f t="shared" si="3"/>
        <v>139582.51999999999</v>
      </c>
      <c r="AK15" s="102">
        <f t="shared" si="4"/>
        <v>11183.84</v>
      </c>
      <c r="AL15" s="102">
        <f t="shared" si="5"/>
        <v>-3725.05</v>
      </c>
      <c r="AM15" s="45">
        <f t="shared" si="10"/>
        <v>135443.94</v>
      </c>
      <c r="AN15" s="45">
        <f t="shared" si="11"/>
        <v>107316.33</v>
      </c>
      <c r="AO15" s="102">
        <f t="shared" si="12"/>
        <v>22064.240000000002</v>
      </c>
    </row>
    <row r="16" spans="1:41" ht="15.75" thickBot="1">
      <c r="A16" s="40" t="s">
        <v>368</v>
      </c>
      <c r="B16" s="40" t="s">
        <v>369</v>
      </c>
      <c r="C16" s="77">
        <f>'ESA Calculations 2324'!C16</f>
        <v>17.36</v>
      </c>
      <c r="D16" s="77">
        <f>'ESA Calculations 2324'!D16</f>
        <v>0</v>
      </c>
      <c r="E16" s="77">
        <f>'ESA Calculations 2324'!E16</f>
        <v>46</v>
      </c>
      <c r="F16" s="77">
        <f>'ESA Calculations 2324'!F16</f>
        <v>7</v>
      </c>
      <c r="G16" s="77">
        <f>'ESA Calculations 2324'!G16</f>
        <v>18</v>
      </c>
      <c r="H16" s="77">
        <f>'ESA Calculations 2324'!H16</f>
        <v>19.3</v>
      </c>
      <c r="I16" s="77">
        <f>'ESA Calculations 2324'!I16</f>
        <v>0</v>
      </c>
      <c r="J16" s="108">
        <f>VLOOKUP($A16,'2324 Jun 24 Enroll'!$A$3:$AL$327,MATCH(J$3,'2324 Jun 24 Enroll'!$3:$3,0),FALSE)</f>
        <v>90.3</v>
      </c>
      <c r="K16" s="77">
        <f>'ESA Calculations 2324'!K16</f>
        <v>0</v>
      </c>
      <c r="L16" s="77">
        <f>'ESA Calculations 2324'!L16</f>
        <v>0</v>
      </c>
      <c r="M16" s="77">
        <f>'ESA Calculations 2324'!M16</f>
        <v>0</v>
      </c>
      <c r="N16" s="77">
        <f>'ESA Calculations 2324'!N16</f>
        <v>0</v>
      </c>
      <c r="O16" s="77">
        <f>'ESA Calculations 2324'!O16</f>
        <v>0</v>
      </c>
      <c r="P16" s="77">
        <f>'ESA Calculations 2324'!P16</f>
        <v>0</v>
      </c>
      <c r="Q16" s="77">
        <f>'ESA Calculations 2324'!Q16</f>
        <v>0</v>
      </c>
      <c r="R16" s="108">
        <f t="shared" si="6"/>
        <v>90.3</v>
      </c>
      <c r="S16" s="77">
        <f>'ESA Calculations 2324'!S16</f>
        <v>0</v>
      </c>
      <c r="T16" s="77">
        <f>'ESA Calculations 2324'!T16</f>
        <v>0</v>
      </c>
      <c r="U16" s="77">
        <f>'ESA Calculations 2324'!U16</f>
        <v>0</v>
      </c>
      <c r="V16" s="77">
        <f>'ESA Calculations 2324'!V16</f>
        <v>10.220000000000001</v>
      </c>
      <c r="W16" s="77">
        <f>'ESA Calculations 2324'!W16</f>
        <v>0</v>
      </c>
      <c r="X16" s="77">
        <f>'ESA Calculations 2324'!X16</f>
        <v>90.3</v>
      </c>
      <c r="Y16" s="77">
        <f>'ESA Calculations 2324'!Y16</f>
        <v>10.220000000000001</v>
      </c>
      <c r="Z16" s="92">
        <f t="shared" si="7"/>
        <v>0.1132</v>
      </c>
      <c r="AA16" s="92">
        <f t="shared" si="8"/>
        <v>0</v>
      </c>
      <c r="AB16" s="93">
        <v>116.64</v>
      </c>
      <c r="AC16" s="93">
        <f t="shared" si="9"/>
        <v>19.309999999999999</v>
      </c>
      <c r="AD16" s="94">
        <f>VLOOKUP($A16,'2324 Jun 24 Enroll'!$A$3:$AL$327,MATCH(AD$3,'2324 Jun 24 Enroll'!$3:$3,0),FALSE)</f>
        <v>0.318</v>
      </c>
      <c r="AE16" s="94">
        <f>VLOOKUP($A16,'2324 Jun 24 Enroll'!$A$3:$AL$327,MATCH(AE$3,'2324 Jun 24 Enroll'!$3:$3,0),FALSE)</f>
        <v>0.2056</v>
      </c>
      <c r="AF16" s="93">
        <f>VLOOKUP($A16,'SpEd BEA Rate 2324 Supp'!$A$4:$AT$34,45,FALSE)</f>
        <v>10073.449999999999</v>
      </c>
      <c r="AG16" s="102">
        <f t="shared" si="0"/>
        <v>0</v>
      </c>
      <c r="AH16" s="102">
        <f t="shared" si="1"/>
        <v>0</v>
      </c>
      <c r="AI16" s="102">
        <f t="shared" si="2"/>
        <v>0</v>
      </c>
      <c r="AJ16" s="102">
        <f t="shared" si="3"/>
        <v>108812.61</v>
      </c>
      <c r="AK16" s="102">
        <f t="shared" si="4"/>
        <v>0</v>
      </c>
      <c r="AL16" s="102">
        <f t="shared" si="5"/>
        <v>-2688.48</v>
      </c>
      <c r="AM16" s="45">
        <f t="shared" si="10"/>
        <v>97344.38</v>
      </c>
      <c r="AN16" s="45">
        <f t="shared" si="11"/>
        <v>73857.649999999994</v>
      </c>
      <c r="AO16" s="102">
        <f t="shared" si="12"/>
        <v>15185.13</v>
      </c>
    </row>
    <row r="17" spans="1:41" ht="15.75" thickBot="1">
      <c r="A17" s="40" t="s">
        <v>831</v>
      </c>
      <c r="B17" s="40" t="s">
        <v>832</v>
      </c>
      <c r="C17" s="77">
        <f>'ESA Calculations 2324'!C17</f>
        <v>17</v>
      </c>
      <c r="D17" s="77">
        <f>'ESA Calculations 2324'!D17</f>
        <v>0</v>
      </c>
      <c r="E17" s="77">
        <f>'ESA Calculations 2324'!E17</f>
        <v>58.2</v>
      </c>
      <c r="F17" s="77">
        <f>'ESA Calculations 2324'!F17</f>
        <v>17.5</v>
      </c>
      <c r="G17" s="77">
        <f>'ESA Calculations 2324'!G17</f>
        <v>21.9</v>
      </c>
      <c r="H17" s="77">
        <f>'ESA Calculations 2324'!H17</f>
        <v>37.159999999999997</v>
      </c>
      <c r="I17" s="77">
        <f>'ESA Calculations 2324'!I17</f>
        <v>66.650000000000006</v>
      </c>
      <c r="J17" s="108">
        <f>VLOOKUP($A17,'2324 Jun 24 Enroll'!$A$3:$AL$327,MATCH(J$3,'2324 Jun 24 Enroll'!$3:$3,0),FALSE)</f>
        <v>201.41</v>
      </c>
      <c r="K17" s="77">
        <f>'ESA Calculations 2324'!K17</f>
        <v>3.6</v>
      </c>
      <c r="L17" s="77">
        <f>'ESA Calculations 2324'!L17</f>
        <v>0.09</v>
      </c>
      <c r="M17" s="77">
        <f>'ESA Calculations 2324'!M17</f>
        <v>0</v>
      </c>
      <c r="N17" s="77">
        <f>'ESA Calculations 2324'!N17</f>
        <v>0</v>
      </c>
      <c r="O17" s="77">
        <f>'ESA Calculations 2324'!O17</f>
        <v>0</v>
      </c>
      <c r="P17" s="77">
        <f>'ESA Calculations 2324'!P17</f>
        <v>0</v>
      </c>
      <c r="Q17" s="77">
        <f>'ESA Calculations 2324'!Q17</f>
        <v>0</v>
      </c>
      <c r="R17" s="108">
        <f t="shared" si="6"/>
        <v>205.1</v>
      </c>
      <c r="S17" s="77">
        <f>'ESA Calculations 2324'!S17</f>
        <v>1.89</v>
      </c>
      <c r="T17" s="77">
        <f>'ESA Calculations 2324'!T17</f>
        <v>0</v>
      </c>
      <c r="U17" s="77">
        <f>'ESA Calculations 2324'!U17</f>
        <v>0</v>
      </c>
      <c r="V17" s="77">
        <f>'ESA Calculations 2324'!V17</f>
        <v>11.89</v>
      </c>
      <c r="W17" s="77">
        <f>'ESA Calculations 2324'!W17</f>
        <v>7.56</v>
      </c>
      <c r="X17" s="77">
        <f>'ESA Calculations 2324'!X17</f>
        <v>206.71</v>
      </c>
      <c r="Y17" s="77">
        <f>'ESA Calculations 2324'!Y17</f>
        <v>19.45</v>
      </c>
      <c r="Z17" s="92">
        <f t="shared" si="7"/>
        <v>9.4100000000000003E-2</v>
      </c>
      <c r="AA17" s="92">
        <f t="shared" si="8"/>
        <v>0</v>
      </c>
      <c r="AB17" s="93">
        <v>118.73</v>
      </c>
      <c r="AC17" s="93">
        <f t="shared" si="9"/>
        <v>19.649999999999999</v>
      </c>
      <c r="AD17" s="94">
        <f>VLOOKUP($A17,'2324 Jun 24 Enroll'!$A$3:$AL$327,MATCH(AD$3,'2324 Jun 24 Enroll'!$3:$3,0),FALSE)</f>
        <v>0.2142</v>
      </c>
      <c r="AE17" s="94">
        <f>VLOOKUP($A17,'2324 Jun 24 Enroll'!$A$3:$AL$327,MATCH(AE$3,'2324 Jun 24 Enroll'!$3:$3,0),FALSE)</f>
        <v>0.2056</v>
      </c>
      <c r="AF17" s="93">
        <f>VLOOKUP($A17,'SpEd BEA Rate 2324 Supp'!$A$4:$AT$34,45,FALSE)</f>
        <v>9546.14</v>
      </c>
      <c r="AG17" s="102">
        <f t="shared" si="0"/>
        <v>21602.45</v>
      </c>
      <c r="AH17" s="102">
        <f t="shared" si="1"/>
        <v>0</v>
      </c>
      <c r="AI17" s="102">
        <f t="shared" si="2"/>
        <v>0</v>
      </c>
      <c r="AJ17" s="102">
        <f t="shared" si="3"/>
        <v>126593.15</v>
      </c>
      <c r="AK17" s="102">
        <f t="shared" si="4"/>
        <v>76171.03</v>
      </c>
      <c r="AL17" s="102">
        <f t="shared" si="5"/>
        <v>-5009.78</v>
      </c>
      <c r="AM17" s="45">
        <f t="shared" si="10"/>
        <v>185259.11</v>
      </c>
      <c r="AN17" s="45">
        <f t="shared" si="11"/>
        <v>152577.1</v>
      </c>
      <c r="AO17" s="102">
        <f t="shared" si="12"/>
        <v>31369.85</v>
      </c>
    </row>
    <row r="18" spans="1:41" ht="15.75" thickBot="1">
      <c r="A18" s="40" t="s">
        <v>478</v>
      </c>
      <c r="B18" s="40" t="s">
        <v>479</v>
      </c>
      <c r="C18" s="77">
        <f>'ESA Calculations 2324'!C18</f>
        <v>17</v>
      </c>
      <c r="D18" s="77">
        <f>'ESA Calculations 2324'!D18</f>
        <v>0</v>
      </c>
      <c r="E18" s="77">
        <f>'ESA Calculations 2324'!E18</f>
        <v>19.899999999999999</v>
      </c>
      <c r="F18" s="77">
        <f>'ESA Calculations 2324'!F18</f>
        <v>4.9000000000000004</v>
      </c>
      <c r="G18" s="77">
        <f>'ESA Calculations 2324'!G18</f>
        <v>4</v>
      </c>
      <c r="H18" s="77">
        <f>'ESA Calculations 2324'!H18</f>
        <v>7.5</v>
      </c>
      <c r="I18" s="77">
        <f>'ESA Calculations 2324'!I18</f>
        <v>25.3</v>
      </c>
      <c r="J18" s="108">
        <f>VLOOKUP($A18,'2324 Jun 24 Enroll'!$A$3:$AL$327,MATCH(J$3,'2324 Jun 24 Enroll'!$3:$3,0),FALSE)</f>
        <v>61.6</v>
      </c>
      <c r="K18" s="77">
        <f>'ESA Calculations 2324'!K18</f>
        <v>0</v>
      </c>
      <c r="L18" s="77">
        <f>'ESA Calculations 2324'!L18</f>
        <v>0</v>
      </c>
      <c r="M18" s="77">
        <f>'ESA Calculations 2324'!M18</f>
        <v>0</v>
      </c>
      <c r="N18" s="77">
        <f>'ESA Calculations 2324'!N18</f>
        <v>0</v>
      </c>
      <c r="O18" s="77">
        <f>'ESA Calculations 2324'!O18</f>
        <v>0</v>
      </c>
      <c r="P18" s="77">
        <f>'ESA Calculations 2324'!P18</f>
        <v>0</v>
      </c>
      <c r="Q18" s="77">
        <f>'ESA Calculations 2324'!Q18</f>
        <v>0</v>
      </c>
      <c r="R18" s="108">
        <f t="shared" si="6"/>
        <v>61.6</v>
      </c>
      <c r="S18" s="77">
        <f>'ESA Calculations 2324'!S18</f>
        <v>0.78</v>
      </c>
      <c r="T18" s="77">
        <f>'ESA Calculations 2324'!T18</f>
        <v>0</v>
      </c>
      <c r="U18" s="77">
        <f>'ESA Calculations 2324'!U18</f>
        <v>0</v>
      </c>
      <c r="V18" s="77">
        <f>'ESA Calculations 2324'!V18</f>
        <v>10.44</v>
      </c>
      <c r="W18" s="77">
        <f>'ESA Calculations 2324'!W18</f>
        <v>0.44</v>
      </c>
      <c r="X18" s="77">
        <f>'ESA Calculations 2324'!X18</f>
        <v>61.89</v>
      </c>
      <c r="Y18" s="77">
        <f>'ESA Calculations 2324'!Y18</f>
        <v>10.88</v>
      </c>
      <c r="Z18" s="92">
        <f t="shared" si="7"/>
        <v>0.17580000000000001</v>
      </c>
      <c r="AA18" s="92">
        <f t="shared" si="8"/>
        <v>2.5800000000000017E-2</v>
      </c>
      <c r="AB18" s="93">
        <v>134.80000000000001</v>
      </c>
      <c r="AC18" s="93">
        <f t="shared" si="9"/>
        <v>22.31</v>
      </c>
      <c r="AD18" s="94">
        <f>VLOOKUP($A18,'2324 Jun 24 Enroll'!$A$3:$AL$327,MATCH(AD$3,'2324 Jun 24 Enroll'!$3:$3,0),FALSE)</f>
        <v>0.42220000000000002</v>
      </c>
      <c r="AE18" s="94">
        <f>VLOOKUP($A18,'2324 Jun 24 Enroll'!$A$3:$AL$327,MATCH(AE$3,'2324 Jun 24 Enroll'!$3:$3,0),FALSE)</f>
        <v>0.2056</v>
      </c>
      <c r="AF18" s="93">
        <f>VLOOKUP($A18,'SpEd BEA Rate 2324 Supp'!$A$4:$AT$34,45,FALSE)</f>
        <v>9886.2999999999993</v>
      </c>
      <c r="AG18" s="102">
        <f t="shared" si="0"/>
        <v>8915.2999999999993</v>
      </c>
      <c r="AH18" s="102">
        <f t="shared" si="1"/>
        <v>0</v>
      </c>
      <c r="AI18" s="102">
        <f t="shared" si="2"/>
        <v>0</v>
      </c>
      <c r="AJ18" s="102">
        <f t="shared" si="3"/>
        <v>111154.96</v>
      </c>
      <c r="AK18" s="102">
        <f t="shared" si="4"/>
        <v>4433.2299999999996</v>
      </c>
      <c r="AL18" s="102">
        <f t="shared" si="5"/>
        <v>-2855.89</v>
      </c>
      <c r="AM18" s="45">
        <f t="shared" si="10"/>
        <v>103630.8</v>
      </c>
      <c r="AN18" s="45">
        <f t="shared" si="11"/>
        <v>72866.539999999994</v>
      </c>
      <c r="AO18" s="102">
        <f t="shared" si="12"/>
        <v>14981.36</v>
      </c>
    </row>
    <row r="19" spans="1:41" ht="15.75" thickBot="1">
      <c r="A19" s="40" t="s">
        <v>534</v>
      </c>
      <c r="B19" s="40" t="s">
        <v>535</v>
      </c>
      <c r="C19" s="77">
        <f>'ESA Calculations 2324'!C19</f>
        <v>17</v>
      </c>
      <c r="D19" s="77">
        <f>'ESA Calculations 2324'!D19</f>
        <v>0</v>
      </c>
      <c r="E19" s="77">
        <f>'ESA Calculations 2324'!E19</f>
        <v>27.5</v>
      </c>
      <c r="F19" s="77">
        <f>'ESA Calculations 2324'!F19</f>
        <v>7.2</v>
      </c>
      <c r="G19" s="77">
        <f>'ESA Calculations 2324'!G19</f>
        <v>13.7</v>
      </c>
      <c r="H19" s="77">
        <f>'ESA Calculations 2324'!H19</f>
        <v>10.8</v>
      </c>
      <c r="I19" s="77">
        <f>'ESA Calculations 2324'!I19</f>
        <v>25.69</v>
      </c>
      <c r="J19" s="108">
        <f>VLOOKUP($A19,'2324 Jun 24 Enroll'!$A$3:$AL$327,MATCH(J$3,'2324 Jun 24 Enroll'!$3:$3,0),FALSE)</f>
        <v>84.89</v>
      </c>
      <c r="K19" s="77">
        <f>'ESA Calculations 2324'!K19</f>
        <v>0.96</v>
      </c>
      <c r="L19" s="77">
        <f>'ESA Calculations 2324'!L19</f>
        <v>0</v>
      </c>
      <c r="M19" s="77">
        <f>'ESA Calculations 2324'!M19</f>
        <v>0</v>
      </c>
      <c r="N19" s="77">
        <f>'ESA Calculations 2324'!N19</f>
        <v>0</v>
      </c>
      <c r="O19" s="77">
        <f>'ESA Calculations 2324'!O19</f>
        <v>0</v>
      </c>
      <c r="P19" s="77">
        <f>'ESA Calculations 2324'!P19</f>
        <v>0</v>
      </c>
      <c r="Q19" s="77">
        <f>'ESA Calculations 2324'!Q19</f>
        <v>0</v>
      </c>
      <c r="R19" s="108">
        <f t="shared" si="6"/>
        <v>85.85</v>
      </c>
      <c r="S19" s="77">
        <f>'ESA Calculations 2324'!S19</f>
        <v>0.67</v>
      </c>
      <c r="T19" s="77">
        <f>'ESA Calculations 2324'!T19</f>
        <v>0</v>
      </c>
      <c r="U19" s="77">
        <f>'ESA Calculations 2324'!U19</f>
        <v>0</v>
      </c>
      <c r="V19" s="77">
        <f>'ESA Calculations 2324'!V19</f>
        <v>9.56</v>
      </c>
      <c r="W19" s="77">
        <f>'ESA Calculations 2324'!W19</f>
        <v>0.78</v>
      </c>
      <c r="X19" s="77">
        <f>'ESA Calculations 2324'!X19</f>
        <v>85.85</v>
      </c>
      <c r="Y19" s="77">
        <f>'ESA Calculations 2324'!Y19</f>
        <v>10.34</v>
      </c>
      <c r="Z19" s="92">
        <f t="shared" si="7"/>
        <v>0.12039999999999999</v>
      </c>
      <c r="AA19" s="92">
        <f t="shared" si="8"/>
        <v>0</v>
      </c>
      <c r="AB19" s="93">
        <v>129.01</v>
      </c>
      <c r="AC19" s="93">
        <f t="shared" si="9"/>
        <v>21.35</v>
      </c>
      <c r="AD19" s="94">
        <f>VLOOKUP($A19,'2324 Jun 24 Enroll'!$A$3:$AL$327,MATCH(AD$3,'2324 Jun 24 Enroll'!$3:$3,0),FALSE)</f>
        <v>0.30470000000000003</v>
      </c>
      <c r="AE19" s="94">
        <f>VLOOKUP($A19,'2324 Jun 24 Enroll'!$A$3:$AL$327,MATCH(AE$3,'2324 Jun 24 Enroll'!$3:$3,0),FALSE)</f>
        <v>0.2056</v>
      </c>
      <c r="AF19" s="93">
        <f>VLOOKUP($A19,'SpEd BEA Rate 2324 Supp'!$A$4:$AT$34,45,FALSE)</f>
        <v>9841.74</v>
      </c>
      <c r="AG19" s="102">
        <f t="shared" si="0"/>
        <v>7658.01</v>
      </c>
      <c r="AH19" s="102">
        <f t="shared" si="1"/>
        <v>0</v>
      </c>
      <c r="AI19" s="102">
        <f t="shared" si="2"/>
        <v>0</v>
      </c>
      <c r="AJ19" s="102">
        <f t="shared" si="3"/>
        <v>101785.58</v>
      </c>
      <c r="AK19" s="102">
        <f t="shared" si="4"/>
        <v>7858.92</v>
      </c>
      <c r="AL19" s="102">
        <f t="shared" si="5"/>
        <v>-2709.03</v>
      </c>
      <c r="AM19" s="45">
        <f t="shared" si="10"/>
        <v>98487.360000000001</v>
      </c>
      <c r="AN19" s="45">
        <f t="shared" si="11"/>
        <v>75486.59</v>
      </c>
      <c r="AO19" s="102">
        <f t="shared" si="12"/>
        <v>15520.04</v>
      </c>
    </row>
    <row r="20" spans="1:41" ht="15.75" thickBot="1">
      <c r="A20" s="40" t="s">
        <v>737</v>
      </c>
      <c r="B20" s="40" t="s">
        <v>738</v>
      </c>
      <c r="C20" s="77">
        <f>'ESA Calculations 2324'!C20</f>
        <v>17</v>
      </c>
      <c r="D20" s="77">
        <f>'ESA Calculations 2324'!D20</f>
        <v>0</v>
      </c>
      <c r="E20" s="77">
        <f>'ESA Calculations 2324'!E20</f>
        <v>11.5</v>
      </c>
      <c r="F20" s="77">
        <f>'ESA Calculations 2324'!F20</f>
        <v>2.5</v>
      </c>
      <c r="G20" s="77">
        <f>'ESA Calculations 2324'!G20</f>
        <v>13.1</v>
      </c>
      <c r="H20" s="77">
        <f>'ESA Calculations 2324'!H20</f>
        <v>0</v>
      </c>
      <c r="I20" s="77">
        <f>'ESA Calculations 2324'!I20</f>
        <v>0</v>
      </c>
      <c r="J20" s="108">
        <f>VLOOKUP($A20,'2324 Jun 24 Enroll'!$A$3:$AL$327,MATCH(J$3,'2324 Jun 24 Enroll'!$3:$3,0),FALSE)</f>
        <v>27.1</v>
      </c>
      <c r="K20" s="77">
        <f>'ESA Calculations 2324'!K20</f>
        <v>0</v>
      </c>
      <c r="L20" s="77">
        <f>'ESA Calculations 2324'!L20</f>
        <v>0</v>
      </c>
      <c r="M20" s="77">
        <f>'ESA Calculations 2324'!M20</f>
        <v>0</v>
      </c>
      <c r="N20" s="77">
        <f>'ESA Calculations 2324'!N20</f>
        <v>0</v>
      </c>
      <c r="O20" s="77">
        <f>'ESA Calculations 2324'!O20</f>
        <v>0</v>
      </c>
      <c r="P20" s="77">
        <f>'ESA Calculations 2324'!P20</f>
        <v>0</v>
      </c>
      <c r="Q20" s="77">
        <f>'ESA Calculations 2324'!Q20</f>
        <v>0</v>
      </c>
      <c r="R20" s="108">
        <f t="shared" si="6"/>
        <v>27.1</v>
      </c>
      <c r="S20" s="77">
        <f>'ESA Calculations 2324'!S20</f>
        <v>0</v>
      </c>
      <c r="T20" s="77">
        <f>'ESA Calculations 2324'!T20</f>
        <v>0</v>
      </c>
      <c r="U20" s="77">
        <f>'ESA Calculations 2324'!U20</f>
        <v>0</v>
      </c>
      <c r="V20" s="77">
        <f>'ESA Calculations 2324'!V20</f>
        <v>3.56</v>
      </c>
      <c r="W20" s="77">
        <f>'ESA Calculations 2324'!W20</f>
        <v>0</v>
      </c>
      <c r="X20" s="77">
        <f>'ESA Calculations 2324'!X20</f>
        <v>27.1</v>
      </c>
      <c r="Y20" s="77">
        <f>'ESA Calculations 2324'!Y20</f>
        <v>3.56</v>
      </c>
      <c r="Z20" s="92">
        <f t="shared" si="7"/>
        <v>0.13139999999999999</v>
      </c>
      <c r="AA20" s="92">
        <f t="shared" si="8"/>
        <v>0</v>
      </c>
      <c r="AB20" s="93">
        <v>123.8</v>
      </c>
      <c r="AC20" s="93">
        <f t="shared" si="9"/>
        <v>20.49</v>
      </c>
      <c r="AD20" s="94">
        <f>VLOOKUP($A20,'2324 Jun 24 Enroll'!$A$3:$AL$327,MATCH(AD$3,'2324 Jun 24 Enroll'!$3:$3,0),FALSE)</f>
        <v>0.21310000000000001</v>
      </c>
      <c r="AE20" s="94">
        <f>VLOOKUP($A20,'2324 Jun 24 Enroll'!$A$3:$AL$327,MATCH(AE$3,'2324 Jun 24 Enroll'!$3:$3,0),FALSE)</f>
        <v>0.2056</v>
      </c>
      <c r="AF20" s="93">
        <f>VLOOKUP($A20,'SpEd BEA Rate 2324 Supp'!$A$4:$AT$34,45,FALSE)</f>
        <v>9811.1800000000021</v>
      </c>
      <c r="AG20" s="102">
        <f t="shared" si="0"/>
        <v>0</v>
      </c>
      <c r="AH20" s="102">
        <f t="shared" si="1"/>
        <v>0</v>
      </c>
      <c r="AI20" s="102">
        <f t="shared" si="2"/>
        <v>0</v>
      </c>
      <c r="AJ20" s="102">
        <f t="shared" si="3"/>
        <v>37903.42</v>
      </c>
      <c r="AK20" s="102">
        <f t="shared" si="4"/>
        <v>0</v>
      </c>
      <c r="AL20" s="102">
        <f t="shared" si="5"/>
        <v>-936.5</v>
      </c>
      <c r="AM20" s="45">
        <f t="shared" si="10"/>
        <v>33908.61</v>
      </c>
      <c r="AN20" s="45">
        <f t="shared" si="11"/>
        <v>27952.03</v>
      </c>
      <c r="AO20" s="102">
        <f t="shared" si="12"/>
        <v>5746.94</v>
      </c>
    </row>
    <row r="21" spans="1:41" ht="15.75" thickBot="1">
      <c r="A21" s="40" t="s">
        <v>480</v>
      </c>
      <c r="B21" s="40" t="s">
        <v>481</v>
      </c>
      <c r="C21" s="77">
        <f>'ESA Calculations 2324'!C21</f>
        <v>17.27</v>
      </c>
      <c r="D21" s="77">
        <f>'ESA Calculations 2324'!D21</f>
        <v>0</v>
      </c>
      <c r="E21" s="77">
        <f>'ESA Calculations 2324'!E21</f>
        <v>235.89</v>
      </c>
      <c r="F21" s="77">
        <f>'ESA Calculations 2324'!F21</f>
        <v>61.5</v>
      </c>
      <c r="G21" s="77">
        <f>'ESA Calculations 2324'!G21</f>
        <v>116.2</v>
      </c>
      <c r="H21" s="77">
        <f>'ESA Calculations 2324'!H21</f>
        <v>137.91</v>
      </c>
      <c r="I21" s="77">
        <f>'ESA Calculations 2324'!I21</f>
        <v>297.08</v>
      </c>
      <c r="J21" s="108">
        <f>VLOOKUP($A21,'2324 Jun 24 Enroll'!$A$3:$AL$327,MATCH(J$3,'2324 Jun 24 Enroll'!$3:$3,0),FALSE)</f>
        <v>848.58</v>
      </c>
      <c r="K21" s="77">
        <f>'ESA Calculations 2324'!K21</f>
        <v>34.869999999999997</v>
      </c>
      <c r="L21" s="77">
        <f>'ESA Calculations 2324'!L21</f>
        <v>4.21</v>
      </c>
      <c r="M21" s="77">
        <f>'ESA Calculations 2324'!M21</f>
        <v>0</v>
      </c>
      <c r="N21" s="77">
        <f>'ESA Calculations 2324'!N21</f>
        <v>0</v>
      </c>
      <c r="O21" s="77">
        <f>'ESA Calculations 2324'!O21</f>
        <v>458.7</v>
      </c>
      <c r="P21" s="77">
        <f>'ESA Calculations 2324'!P21</f>
        <v>351.3</v>
      </c>
      <c r="Q21" s="77">
        <f>'ESA Calculations 2324'!Q21</f>
        <v>1235.3399999999999</v>
      </c>
      <c r="R21" s="108">
        <f t="shared" si="6"/>
        <v>2933</v>
      </c>
      <c r="S21" s="77">
        <f>'ESA Calculations 2324'!S21</f>
        <v>4.33</v>
      </c>
      <c r="T21" s="77">
        <f>'ESA Calculations 2324'!T21</f>
        <v>0</v>
      </c>
      <c r="U21" s="77">
        <f>'ESA Calculations 2324'!U21</f>
        <v>0</v>
      </c>
      <c r="V21" s="77">
        <f>'ESA Calculations 2324'!V21</f>
        <v>385.56</v>
      </c>
      <c r="W21" s="77">
        <f>'ESA Calculations 2324'!W21</f>
        <v>87.22</v>
      </c>
      <c r="X21" s="77">
        <f>'ESA Calculations 2324'!X21</f>
        <v>2933</v>
      </c>
      <c r="Y21" s="77">
        <f>'ESA Calculations 2324'!Y21</f>
        <v>472.78</v>
      </c>
      <c r="Z21" s="92">
        <f t="shared" si="7"/>
        <v>0.16120000000000001</v>
      </c>
      <c r="AA21" s="92">
        <f t="shared" si="8"/>
        <v>1.1200000000000015E-2</v>
      </c>
      <c r="AB21" s="93">
        <v>121.45</v>
      </c>
      <c r="AC21" s="93">
        <f t="shared" si="9"/>
        <v>20.100000000000001</v>
      </c>
      <c r="AD21" s="94">
        <f>VLOOKUP($A21,'2324 Jun 24 Enroll'!$A$3:$AL$327,MATCH(AD$3,'2324 Jun 24 Enroll'!$3:$3,0),FALSE)</f>
        <v>8.4699999999999998E-2</v>
      </c>
      <c r="AE21" s="94">
        <f>VLOOKUP($A21,'2324 Jun 24 Enroll'!$A$3:$AL$327,MATCH(AE$3,'2324 Jun 24 Enroll'!$3:$3,0),FALSE)</f>
        <v>0.2056</v>
      </c>
      <c r="AF21" s="93">
        <f>VLOOKUP($A21,'SpEd BEA Rate 2324 Supp'!$A$4:$AT$34,45,FALSE)</f>
        <v>9150.65</v>
      </c>
      <c r="AG21" s="102">
        <f t="shared" si="0"/>
        <v>49491.33</v>
      </c>
      <c r="AH21" s="102">
        <f t="shared" si="1"/>
        <v>0</v>
      </c>
      <c r="AI21" s="102">
        <f t="shared" si="2"/>
        <v>0</v>
      </c>
      <c r="AJ21" s="102">
        <f t="shared" si="3"/>
        <v>4105067.65</v>
      </c>
      <c r="AK21" s="102">
        <f t="shared" si="4"/>
        <v>878788.02</v>
      </c>
      <c r="AL21" s="102">
        <f t="shared" si="5"/>
        <v>-123138.18</v>
      </c>
      <c r="AM21" s="45">
        <f t="shared" si="10"/>
        <v>4503177.49</v>
      </c>
      <c r="AN21" s="45">
        <f t="shared" si="11"/>
        <v>4151541.89</v>
      </c>
      <c r="AO21" s="102">
        <f t="shared" si="12"/>
        <v>853557.01</v>
      </c>
    </row>
    <row r="22" spans="1:41" ht="15.75" thickBot="1">
      <c r="A22" s="40" t="s">
        <v>875</v>
      </c>
      <c r="B22" s="40" t="s">
        <v>876</v>
      </c>
      <c r="C22" s="77">
        <f>'ESA Calculations 2324'!C22</f>
        <v>17</v>
      </c>
      <c r="D22" s="77">
        <f>'ESA Calculations 2324'!D22</f>
        <v>0</v>
      </c>
      <c r="E22" s="77">
        <f>'ESA Calculations 2324'!E22</f>
        <v>281.57</v>
      </c>
      <c r="F22" s="77">
        <f>'ESA Calculations 2324'!F22</f>
        <v>81.599999999999994</v>
      </c>
      <c r="G22" s="77">
        <f>'ESA Calculations 2324'!G22</f>
        <v>169</v>
      </c>
      <c r="H22" s="77">
        <f>'ESA Calculations 2324'!H22</f>
        <v>179.3</v>
      </c>
      <c r="I22" s="77">
        <f>'ESA Calculations 2324'!I22</f>
        <v>331.73</v>
      </c>
      <c r="J22" s="108">
        <f>VLOOKUP($A22,'2324 Jun 24 Enroll'!$A$3:$AL$327,MATCH(J$3,'2324 Jun 24 Enroll'!$3:$3,0),FALSE)</f>
        <v>1043.2</v>
      </c>
      <c r="K22" s="77">
        <f>'ESA Calculations 2324'!K22</f>
        <v>18.96</v>
      </c>
      <c r="L22" s="77">
        <f>'ESA Calculations 2324'!L22</f>
        <v>0.09</v>
      </c>
      <c r="M22" s="77">
        <f>'ESA Calculations 2324'!M22</f>
        <v>0</v>
      </c>
      <c r="N22" s="77">
        <f>'ESA Calculations 2324'!N22</f>
        <v>0</v>
      </c>
      <c r="O22" s="77">
        <f>'ESA Calculations 2324'!O22</f>
        <v>0</v>
      </c>
      <c r="P22" s="77">
        <f>'ESA Calculations 2324'!P22</f>
        <v>0</v>
      </c>
      <c r="Q22" s="77">
        <f>'ESA Calculations 2324'!Q22</f>
        <v>22.05</v>
      </c>
      <c r="R22" s="108">
        <f t="shared" si="6"/>
        <v>1084.3</v>
      </c>
      <c r="S22" s="77">
        <f>'ESA Calculations 2324'!S22</f>
        <v>7.67</v>
      </c>
      <c r="T22" s="77">
        <f>'ESA Calculations 2324'!T22</f>
        <v>0</v>
      </c>
      <c r="U22" s="77">
        <f>'ESA Calculations 2324'!U22</f>
        <v>0</v>
      </c>
      <c r="V22" s="77">
        <f>'ESA Calculations 2324'!V22</f>
        <v>121.78</v>
      </c>
      <c r="W22" s="77">
        <f>'ESA Calculations 2324'!W22</f>
        <v>35.56</v>
      </c>
      <c r="X22" s="77">
        <f>'ESA Calculations 2324'!X22</f>
        <v>1084.3</v>
      </c>
      <c r="Y22" s="77">
        <f>'ESA Calculations 2324'!Y22</f>
        <v>157.34</v>
      </c>
      <c r="Z22" s="92">
        <f t="shared" si="7"/>
        <v>0.14510000000000001</v>
      </c>
      <c r="AA22" s="92">
        <f t="shared" si="8"/>
        <v>0</v>
      </c>
      <c r="AB22" s="93">
        <v>122.12</v>
      </c>
      <c r="AC22" s="93">
        <f t="shared" si="9"/>
        <v>20.21</v>
      </c>
      <c r="AD22" s="94">
        <f>VLOOKUP($A22,'2324 Jun 24 Enroll'!$A$3:$AL$327,MATCH(AD$3,'2324 Jun 24 Enroll'!$3:$3,0),FALSE)</f>
        <v>0.18959999999999999</v>
      </c>
      <c r="AE22" s="94">
        <f>VLOOKUP($A22,'2324 Jun 24 Enroll'!$A$3:$AL$327,MATCH(AE$3,'2324 Jun 24 Enroll'!$3:$3,0),FALSE)</f>
        <v>0.2056</v>
      </c>
      <c r="AF22" s="93">
        <f>VLOOKUP($A22,'SpEd BEA Rate 2324 Supp'!$A$4:$AT$34,45,FALSE)</f>
        <v>9679.2999999999993</v>
      </c>
      <c r="AG22" s="102">
        <f t="shared" si="0"/>
        <v>87667.09</v>
      </c>
      <c r="AH22" s="102">
        <f t="shared" si="1"/>
        <v>0</v>
      </c>
      <c r="AI22" s="102">
        <f t="shared" si="2"/>
        <v>0</v>
      </c>
      <c r="AJ22" s="102">
        <f t="shared" si="3"/>
        <v>1296594.92</v>
      </c>
      <c r="AK22" s="102">
        <f t="shared" si="4"/>
        <v>358285.97</v>
      </c>
      <c r="AL22" s="102">
        <f t="shared" si="5"/>
        <v>-40887.82</v>
      </c>
      <c r="AM22" s="45">
        <f t="shared" si="10"/>
        <v>1498646.19</v>
      </c>
      <c r="AN22" s="45">
        <f t="shared" si="11"/>
        <v>1259790.01</v>
      </c>
      <c r="AO22" s="102">
        <f t="shared" si="12"/>
        <v>259012.83</v>
      </c>
    </row>
    <row r="23" spans="1:41" ht="15.75" thickBot="1">
      <c r="A23" s="40" t="s">
        <v>564</v>
      </c>
      <c r="B23" s="40" t="s">
        <v>565</v>
      </c>
      <c r="C23" s="77">
        <f>'ESA Calculations 2324'!C23</f>
        <v>17</v>
      </c>
      <c r="D23" s="77">
        <f>'ESA Calculations 2324'!D23</f>
        <v>4.8</v>
      </c>
      <c r="E23" s="77">
        <f>'ESA Calculations 2324'!E23</f>
        <v>60.6</v>
      </c>
      <c r="F23" s="77">
        <f>'ESA Calculations 2324'!F23</f>
        <v>13.9</v>
      </c>
      <c r="G23" s="77">
        <f>'ESA Calculations 2324'!G23</f>
        <v>37.1</v>
      </c>
      <c r="H23" s="77">
        <f>'ESA Calculations 2324'!H23</f>
        <v>29.35</v>
      </c>
      <c r="I23" s="77">
        <f>'ESA Calculations 2324'!I23</f>
        <v>50.19</v>
      </c>
      <c r="J23" s="108">
        <f>VLOOKUP($A23,'2324 Jun 24 Enroll'!$A$3:$AL$327,MATCH(J$3,'2324 Jun 24 Enroll'!$3:$3,0),FALSE)</f>
        <v>191.14</v>
      </c>
      <c r="K23" s="77">
        <f>'ESA Calculations 2324'!K23</f>
        <v>4.3899999999999997</v>
      </c>
      <c r="L23" s="77">
        <f>'ESA Calculations 2324'!L23</f>
        <v>0</v>
      </c>
      <c r="M23" s="77">
        <f>'ESA Calculations 2324'!M23</f>
        <v>0</v>
      </c>
      <c r="N23" s="77">
        <f>'ESA Calculations 2324'!N23</f>
        <v>0</v>
      </c>
      <c r="O23" s="77">
        <f>'ESA Calculations 2324'!O23</f>
        <v>0</v>
      </c>
      <c r="P23" s="77">
        <f>'ESA Calculations 2324'!P23</f>
        <v>0</v>
      </c>
      <c r="Q23" s="77">
        <f>'ESA Calculations 2324'!Q23</f>
        <v>0</v>
      </c>
      <c r="R23" s="108">
        <f t="shared" si="6"/>
        <v>195.52999999999997</v>
      </c>
      <c r="S23" s="77">
        <f>'ESA Calculations 2324'!S23</f>
        <v>0.56000000000000005</v>
      </c>
      <c r="T23" s="77">
        <f>'ESA Calculations 2324'!T23</f>
        <v>0</v>
      </c>
      <c r="U23" s="77">
        <f>'ESA Calculations 2324'!U23</f>
        <v>0</v>
      </c>
      <c r="V23" s="77">
        <f>'ESA Calculations 2324'!V23</f>
        <v>29</v>
      </c>
      <c r="W23" s="77">
        <f>'ESA Calculations 2324'!W23</f>
        <v>2.89</v>
      </c>
      <c r="X23" s="77">
        <f>'ESA Calculations 2324'!X23</f>
        <v>200.32</v>
      </c>
      <c r="Y23" s="77">
        <f>'ESA Calculations 2324'!Y23</f>
        <v>31.89</v>
      </c>
      <c r="Z23" s="92">
        <f t="shared" si="7"/>
        <v>0.15920000000000001</v>
      </c>
      <c r="AA23" s="92">
        <f t="shared" si="8"/>
        <v>9.2000000000000137E-3</v>
      </c>
      <c r="AB23" s="93">
        <v>133.91999999999999</v>
      </c>
      <c r="AC23" s="93">
        <f t="shared" si="9"/>
        <v>22.17</v>
      </c>
      <c r="AD23" s="94">
        <f>VLOOKUP($A23,'2324 Jun 24 Enroll'!$A$3:$AL$327,MATCH(AD$3,'2324 Jun 24 Enroll'!$3:$3,0),FALSE)</f>
        <v>0.16400000000000001</v>
      </c>
      <c r="AE23" s="94">
        <f>VLOOKUP($A23,'2324 Jun 24 Enroll'!$A$3:$AL$327,MATCH(AE$3,'2324 Jun 24 Enroll'!$3:$3,0),FALSE)</f>
        <v>0.2056</v>
      </c>
      <c r="AF23" s="93">
        <f>VLOOKUP($A23,'SpEd BEA Rate 2324 Supp'!$A$4:$AT$34,45,FALSE)</f>
        <v>9640.1200000000008</v>
      </c>
      <c r="AG23" s="102">
        <f t="shared" si="0"/>
        <v>6400.73</v>
      </c>
      <c r="AH23" s="102">
        <f t="shared" si="1"/>
        <v>0</v>
      </c>
      <c r="AI23" s="102">
        <f t="shared" si="2"/>
        <v>0</v>
      </c>
      <c r="AJ23" s="102">
        <f t="shared" si="3"/>
        <v>308763.78000000003</v>
      </c>
      <c r="AK23" s="102">
        <f t="shared" si="4"/>
        <v>29118.29</v>
      </c>
      <c r="AL23" s="102">
        <f t="shared" si="5"/>
        <v>-8348.19</v>
      </c>
      <c r="AM23" s="45">
        <f t="shared" si="10"/>
        <v>303748.74</v>
      </c>
      <c r="AN23" s="45">
        <f t="shared" si="11"/>
        <v>260952.53</v>
      </c>
      <c r="AO23" s="102">
        <f t="shared" si="12"/>
        <v>53651.839999999997</v>
      </c>
    </row>
    <row r="24" spans="1:41" ht="15.75" thickBot="1">
      <c r="A24" s="40" t="s">
        <v>590</v>
      </c>
      <c r="B24" s="40" t="s">
        <v>591</v>
      </c>
      <c r="C24" s="77">
        <f>'ESA Calculations 2324'!C24</f>
        <v>17</v>
      </c>
      <c r="D24" s="77">
        <f>'ESA Calculations 2324'!D24</f>
        <v>0</v>
      </c>
      <c r="E24" s="77">
        <f>'ESA Calculations 2324'!E24</f>
        <v>222.39</v>
      </c>
      <c r="F24" s="77">
        <f>'ESA Calculations 2324'!F24</f>
        <v>66.5</v>
      </c>
      <c r="G24" s="77">
        <f>'ESA Calculations 2324'!G24</f>
        <v>115.25</v>
      </c>
      <c r="H24" s="77">
        <f>'ESA Calculations 2324'!H24</f>
        <v>112.72</v>
      </c>
      <c r="I24" s="77">
        <f>'ESA Calculations 2324'!I24</f>
        <v>200.27</v>
      </c>
      <c r="J24" s="108">
        <f>VLOOKUP($A24,'2324 Jun 24 Enroll'!$A$3:$AL$327,MATCH(J$3,'2324 Jun 24 Enroll'!$3:$3,0),FALSE)</f>
        <v>717.13</v>
      </c>
      <c r="K24" s="77">
        <f>'ESA Calculations 2324'!K24</f>
        <v>8.4499999999999993</v>
      </c>
      <c r="L24" s="77">
        <f>'ESA Calculations 2324'!L24</f>
        <v>0.74</v>
      </c>
      <c r="M24" s="77">
        <f>'ESA Calculations 2324'!M24</f>
        <v>0</v>
      </c>
      <c r="N24" s="77">
        <f>'ESA Calculations 2324'!N24</f>
        <v>0</v>
      </c>
      <c r="O24" s="77">
        <f>'ESA Calculations 2324'!O24</f>
        <v>15.03</v>
      </c>
      <c r="P24" s="77">
        <f>'ESA Calculations 2324'!P24</f>
        <v>4.71</v>
      </c>
      <c r="Q24" s="77">
        <f>'ESA Calculations 2324'!Q24</f>
        <v>5.91</v>
      </c>
      <c r="R24" s="108">
        <f t="shared" si="6"/>
        <v>751.97</v>
      </c>
      <c r="S24" s="77">
        <f>'ESA Calculations 2324'!S24</f>
        <v>6.67</v>
      </c>
      <c r="T24" s="77">
        <f>'ESA Calculations 2324'!T24</f>
        <v>0</v>
      </c>
      <c r="U24" s="77">
        <f>'ESA Calculations 2324'!U24</f>
        <v>0</v>
      </c>
      <c r="V24" s="77">
        <f>'ESA Calculations 2324'!V24</f>
        <v>76.44</v>
      </c>
      <c r="W24" s="77">
        <f>'ESA Calculations 2324'!W24</f>
        <v>7.22</v>
      </c>
      <c r="X24" s="77">
        <f>'ESA Calculations 2324'!X24</f>
        <v>751.97</v>
      </c>
      <c r="Y24" s="77">
        <f>'ESA Calculations 2324'!Y24</f>
        <v>83.66</v>
      </c>
      <c r="Z24" s="92">
        <f t="shared" si="7"/>
        <v>0.1113</v>
      </c>
      <c r="AA24" s="92">
        <f t="shared" si="8"/>
        <v>0</v>
      </c>
      <c r="AB24" s="93">
        <v>125.6</v>
      </c>
      <c r="AC24" s="93">
        <f t="shared" si="9"/>
        <v>20.79</v>
      </c>
      <c r="AD24" s="94">
        <f>VLOOKUP($A24,'2324 Jun 24 Enroll'!$A$3:$AL$327,MATCH(AD$3,'2324 Jun 24 Enroll'!$3:$3,0),FALSE)</f>
        <v>0.21049999999999999</v>
      </c>
      <c r="AE24" s="94">
        <f>VLOOKUP($A24,'2324 Jun 24 Enroll'!$A$3:$AL$327,MATCH(AE$3,'2324 Jun 24 Enroll'!$3:$3,0),FALSE)</f>
        <v>0.2056</v>
      </c>
      <c r="AF24" s="93">
        <f>VLOOKUP($A24,'SpEd BEA Rate 2324 Supp'!$A$4:$AT$34,45,FALSE)</f>
        <v>9569.3300000000017</v>
      </c>
      <c r="AG24" s="102">
        <f t="shared" si="0"/>
        <v>76237.22</v>
      </c>
      <c r="AH24" s="102">
        <f t="shared" si="1"/>
        <v>0</v>
      </c>
      <c r="AI24" s="102">
        <f t="shared" si="2"/>
        <v>0</v>
      </c>
      <c r="AJ24" s="102">
        <f t="shared" si="3"/>
        <v>813858.73</v>
      </c>
      <c r="AK24" s="102">
        <f t="shared" si="4"/>
        <v>72745.350000000006</v>
      </c>
      <c r="AL24" s="102">
        <f t="shared" si="5"/>
        <v>-21905.69</v>
      </c>
      <c r="AM24" s="45">
        <f t="shared" si="10"/>
        <v>796852.3</v>
      </c>
      <c r="AN24" s="45">
        <f t="shared" si="11"/>
        <v>658283.6</v>
      </c>
      <c r="AO24" s="102">
        <f t="shared" si="12"/>
        <v>135343.10999999999</v>
      </c>
    </row>
    <row r="25" spans="1:41" ht="15.75" thickBot="1">
      <c r="A25" s="40" t="s">
        <v>649</v>
      </c>
      <c r="B25" s="40" t="s">
        <v>650</v>
      </c>
      <c r="C25" s="77">
        <f>'ESA Calculations 2324'!C25</f>
        <v>17.84</v>
      </c>
      <c r="D25" s="77">
        <f>'ESA Calculations 2324'!D25</f>
        <v>13.9</v>
      </c>
      <c r="E25" s="77">
        <f>'ESA Calculations 2324'!E25</f>
        <v>266.06</v>
      </c>
      <c r="F25" s="77">
        <f>'ESA Calculations 2324'!F25</f>
        <v>69.02</v>
      </c>
      <c r="G25" s="77">
        <f>'ESA Calculations 2324'!G25</f>
        <v>126.27</v>
      </c>
      <c r="H25" s="77">
        <f>'ESA Calculations 2324'!H25</f>
        <v>152.88999999999999</v>
      </c>
      <c r="I25" s="77">
        <f>'ESA Calculations 2324'!I25</f>
        <v>287.17</v>
      </c>
      <c r="J25" s="108">
        <f>VLOOKUP($A25,'2324 Jun 24 Enroll'!$A$3:$AL$327,MATCH(J$3,'2324 Jun 24 Enroll'!$3:$3,0),FALSE)</f>
        <v>901.41</v>
      </c>
      <c r="K25" s="77">
        <f>'ESA Calculations 2324'!K25</f>
        <v>11.8</v>
      </c>
      <c r="L25" s="77">
        <f>'ESA Calculations 2324'!L25</f>
        <v>1.1599999999999999</v>
      </c>
      <c r="M25" s="77">
        <f>'ESA Calculations 2324'!M25</f>
        <v>1.2</v>
      </c>
      <c r="N25" s="77">
        <f>'ESA Calculations 2324'!N25</f>
        <v>0</v>
      </c>
      <c r="O25" s="77">
        <f>'ESA Calculations 2324'!O25</f>
        <v>2.93</v>
      </c>
      <c r="P25" s="77">
        <f>'ESA Calculations 2324'!P25</f>
        <v>11.64</v>
      </c>
      <c r="Q25" s="77">
        <f>'ESA Calculations 2324'!Q25</f>
        <v>48.32</v>
      </c>
      <c r="R25" s="108">
        <f t="shared" si="6"/>
        <v>978.45999999999992</v>
      </c>
      <c r="S25" s="77">
        <f>'ESA Calculations 2324'!S25</f>
        <v>18.559999999999999</v>
      </c>
      <c r="T25" s="77">
        <f>'ESA Calculations 2324'!T25</f>
        <v>0</v>
      </c>
      <c r="U25" s="77">
        <f>'ESA Calculations 2324'!U25</f>
        <v>0</v>
      </c>
      <c r="V25" s="77">
        <f>'ESA Calculations 2324'!V25</f>
        <v>202.89</v>
      </c>
      <c r="W25" s="77">
        <f>'ESA Calculations 2324'!W25</f>
        <v>16.559999999999999</v>
      </c>
      <c r="X25" s="77">
        <f>'ESA Calculations 2324'!X25</f>
        <v>992.08</v>
      </c>
      <c r="Y25" s="77">
        <f>'ESA Calculations 2324'!Y25</f>
        <v>219.45</v>
      </c>
      <c r="Z25" s="92">
        <f t="shared" si="7"/>
        <v>0.22120000000000001</v>
      </c>
      <c r="AA25" s="92">
        <f t="shared" si="8"/>
        <v>7.1200000000000013E-2</v>
      </c>
      <c r="AB25" s="93">
        <v>130.24</v>
      </c>
      <c r="AC25" s="93">
        <f t="shared" si="9"/>
        <v>21.56</v>
      </c>
      <c r="AD25" s="94">
        <f>VLOOKUP($A25,'2324 Jun 24 Enroll'!$A$3:$AL$327,MATCH(AD$3,'2324 Jun 24 Enroll'!$3:$3,0),FALSE)</f>
        <v>0.1807</v>
      </c>
      <c r="AE25" s="94">
        <f>VLOOKUP($A25,'2324 Jun 24 Enroll'!$A$3:$AL$327,MATCH(AE$3,'2324 Jun 24 Enroll'!$3:$3,0),FALSE)</f>
        <v>0.2056</v>
      </c>
      <c r="AF25" s="93">
        <f>VLOOKUP($A25,'SpEd BEA Rate 2324 Supp'!$A$4:$AT$34,45,FALSE)</f>
        <v>9452.0999999999985</v>
      </c>
      <c r="AG25" s="102">
        <f t="shared" si="0"/>
        <v>212138.35</v>
      </c>
      <c r="AH25" s="102">
        <f t="shared" si="1"/>
        <v>0</v>
      </c>
      <c r="AI25" s="102">
        <f t="shared" si="2"/>
        <v>0</v>
      </c>
      <c r="AJ25" s="102">
        <f t="shared" si="3"/>
        <v>2160175.27</v>
      </c>
      <c r="AK25" s="102">
        <f t="shared" si="4"/>
        <v>166850.82999999999</v>
      </c>
      <c r="AL25" s="102">
        <f t="shared" si="5"/>
        <v>-57494.79</v>
      </c>
      <c r="AM25" s="45">
        <f t="shared" si="10"/>
        <v>2090237.11</v>
      </c>
      <c r="AN25" s="45">
        <f t="shared" si="11"/>
        <v>1770337.18</v>
      </c>
      <c r="AO25" s="102">
        <f t="shared" si="12"/>
        <v>363981.32</v>
      </c>
    </row>
    <row r="26" spans="1:41" ht="15.75" thickBot="1">
      <c r="A26" s="40" t="s">
        <v>618</v>
      </c>
      <c r="B26" s="40" t="s">
        <v>619</v>
      </c>
      <c r="C26" s="77">
        <f>'ESA Calculations 2324'!C26</f>
        <v>17.34</v>
      </c>
      <c r="D26" s="77">
        <f>'ESA Calculations 2324'!D26</f>
        <v>0</v>
      </c>
      <c r="E26" s="77">
        <f>'ESA Calculations 2324'!E26</f>
        <v>84.2</v>
      </c>
      <c r="F26" s="77">
        <f>'ESA Calculations 2324'!F26</f>
        <v>19.5</v>
      </c>
      <c r="G26" s="77">
        <f>'ESA Calculations 2324'!G26</f>
        <v>46.5</v>
      </c>
      <c r="H26" s="77">
        <f>'ESA Calculations 2324'!H26</f>
        <v>61.38</v>
      </c>
      <c r="I26" s="77">
        <f>'ESA Calculations 2324'!I26</f>
        <v>90.37</v>
      </c>
      <c r="J26" s="108">
        <f>VLOOKUP($A26,'2324 Jun 24 Enroll'!$A$3:$AL$327,MATCH(J$3,'2324 Jun 24 Enroll'!$3:$3,0),FALSE)</f>
        <v>301.95</v>
      </c>
      <c r="K26" s="77">
        <f>'ESA Calculations 2324'!K26</f>
        <v>7.04</v>
      </c>
      <c r="L26" s="77">
        <f>'ESA Calculations 2324'!L26</f>
        <v>1.1200000000000001</v>
      </c>
      <c r="M26" s="77">
        <f>'ESA Calculations 2324'!M26</f>
        <v>0</v>
      </c>
      <c r="N26" s="77">
        <f>'ESA Calculations 2324'!N26</f>
        <v>0</v>
      </c>
      <c r="O26" s="77">
        <f>'ESA Calculations 2324'!O26</f>
        <v>0</v>
      </c>
      <c r="P26" s="77">
        <f>'ESA Calculations 2324'!P26</f>
        <v>0</v>
      </c>
      <c r="Q26" s="77">
        <f>'ESA Calculations 2324'!Q26</f>
        <v>0</v>
      </c>
      <c r="R26" s="108">
        <f t="shared" si="6"/>
        <v>310.11</v>
      </c>
      <c r="S26" s="77">
        <f>'ESA Calculations 2324'!S26</f>
        <v>1.78</v>
      </c>
      <c r="T26" s="77">
        <f>'ESA Calculations 2324'!T26</f>
        <v>0</v>
      </c>
      <c r="U26" s="77">
        <f>'ESA Calculations 2324'!U26</f>
        <v>0</v>
      </c>
      <c r="V26" s="77">
        <f>'ESA Calculations 2324'!V26</f>
        <v>26</v>
      </c>
      <c r="W26" s="77">
        <f>'ESA Calculations 2324'!W26</f>
        <v>14.44</v>
      </c>
      <c r="X26" s="77">
        <f>'ESA Calculations 2324'!X26</f>
        <v>310.10000000000002</v>
      </c>
      <c r="Y26" s="77">
        <f>'ESA Calculations 2324'!Y26</f>
        <v>40.44</v>
      </c>
      <c r="Z26" s="92">
        <f t="shared" si="7"/>
        <v>0.13039999999999999</v>
      </c>
      <c r="AA26" s="92">
        <f t="shared" si="8"/>
        <v>0</v>
      </c>
      <c r="AB26" s="93">
        <v>126.23</v>
      </c>
      <c r="AC26" s="93">
        <f t="shared" si="9"/>
        <v>20.89</v>
      </c>
      <c r="AD26" s="94">
        <f>VLOOKUP($A26,'2324 Jun 24 Enroll'!$A$3:$AL$327,MATCH(AD$3,'2324 Jun 24 Enroll'!$3:$3,0),FALSE)</f>
        <v>0.13009999999999999</v>
      </c>
      <c r="AE26" s="94">
        <f>VLOOKUP($A26,'2324 Jun 24 Enroll'!$A$3:$AL$327,MATCH(AE$3,'2324 Jun 24 Enroll'!$3:$3,0),FALSE)</f>
        <v>0.2056</v>
      </c>
      <c r="AF26" s="93">
        <f>VLOOKUP($A26,'SpEd BEA Rate 2324 Supp'!$A$4:$AT$34,45,FALSE)</f>
        <v>9562.5499999999993</v>
      </c>
      <c r="AG26" s="102">
        <f t="shared" si="0"/>
        <v>20345.169999999998</v>
      </c>
      <c r="AH26" s="102">
        <f t="shared" si="1"/>
        <v>0</v>
      </c>
      <c r="AI26" s="102">
        <f t="shared" si="2"/>
        <v>0</v>
      </c>
      <c r="AJ26" s="102">
        <f t="shared" si="3"/>
        <v>276822.7</v>
      </c>
      <c r="AK26" s="102">
        <f t="shared" si="4"/>
        <v>145490.70000000001</v>
      </c>
      <c r="AL26" s="102">
        <f t="shared" si="5"/>
        <v>-10434.27</v>
      </c>
      <c r="AM26" s="45">
        <f t="shared" si="10"/>
        <v>385186.55</v>
      </c>
      <c r="AN26" s="45">
        <f t="shared" si="11"/>
        <v>340842.89</v>
      </c>
      <c r="AO26" s="102">
        <f t="shared" si="12"/>
        <v>70077.3</v>
      </c>
    </row>
    <row r="27" spans="1:41" ht="15.75" thickBot="1">
      <c r="A27" s="40" t="s">
        <v>763</v>
      </c>
      <c r="B27" s="40" t="s">
        <v>764</v>
      </c>
      <c r="C27" s="77">
        <f>'ESA Calculations 2324'!C27</f>
        <v>17</v>
      </c>
      <c r="D27" s="77">
        <f>'ESA Calculations 2324'!D27</f>
        <v>6.14</v>
      </c>
      <c r="E27" s="77">
        <f>'ESA Calculations 2324'!E27</f>
        <v>38.6</v>
      </c>
      <c r="F27" s="77">
        <f>'ESA Calculations 2324'!F27</f>
        <v>6</v>
      </c>
      <c r="G27" s="77">
        <f>'ESA Calculations 2324'!G27</f>
        <v>22.4</v>
      </c>
      <c r="H27" s="77">
        <f>'ESA Calculations 2324'!H27</f>
        <v>9</v>
      </c>
      <c r="I27" s="77">
        <f>'ESA Calculations 2324'!I27</f>
        <v>0</v>
      </c>
      <c r="J27" s="108">
        <f>VLOOKUP($A27,'2324 Jun 24 Enroll'!$A$3:$AL$327,MATCH(J$3,'2324 Jun 24 Enroll'!$3:$3,0),FALSE)</f>
        <v>76</v>
      </c>
      <c r="K27" s="77">
        <f>'ESA Calculations 2324'!K27</f>
        <v>0</v>
      </c>
      <c r="L27" s="77">
        <f>'ESA Calculations 2324'!L27</f>
        <v>0</v>
      </c>
      <c r="M27" s="77">
        <f>'ESA Calculations 2324'!M27</f>
        <v>0</v>
      </c>
      <c r="N27" s="77">
        <f>'ESA Calculations 2324'!N27</f>
        <v>0</v>
      </c>
      <c r="O27" s="77">
        <f>'ESA Calculations 2324'!O27</f>
        <v>0</v>
      </c>
      <c r="P27" s="77">
        <f>'ESA Calculations 2324'!P27</f>
        <v>0</v>
      </c>
      <c r="Q27" s="77">
        <f>'ESA Calculations 2324'!Q27</f>
        <v>0</v>
      </c>
      <c r="R27" s="108">
        <f t="shared" si="6"/>
        <v>76</v>
      </c>
      <c r="S27" s="77">
        <f>'ESA Calculations 2324'!S27</f>
        <v>0</v>
      </c>
      <c r="T27" s="77">
        <f>'ESA Calculations 2324'!T27</f>
        <v>0</v>
      </c>
      <c r="U27" s="77">
        <f>'ESA Calculations 2324'!U27</f>
        <v>0</v>
      </c>
      <c r="V27" s="77">
        <f>'ESA Calculations 2324'!V27</f>
        <v>8.2200000000000006</v>
      </c>
      <c r="W27" s="77">
        <f>'ESA Calculations 2324'!W27</f>
        <v>0</v>
      </c>
      <c r="X27" s="77">
        <f>'ESA Calculations 2324'!X27</f>
        <v>82.14</v>
      </c>
      <c r="Y27" s="77">
        <f>'ESA Calculations 2324'!Y27</f>
        <v>8.2200000000000006</v>
      </c>
      <c r="Z27" s="92">
        <f t="shared" si="7"/>
        <v>0.10009999999999999</v>
      </c>
      <c r="AA27" s="92">
        <f t="shared" si="8"/>
        <v>0</v>
      </c>
      <c r="AB27" s="93">
        <v>117.72</v>
      </c>
      <c r="AC27" s="93">
        <f t="shared" si="9"/>
        <v>19.48</v>
      </c>
      <c r="AD27" s="94">
        <f>VLOOKUP($A27,'2324 Jun 24 Enroll'!$A$3:$AL$327,MATCH(AD$3,'2324 Jun 24 Enroll'!$3:$3,0),FALSE)</f>
        <v>0.40949999999999998</v>
      </c>
      <c r="AE27" s="94">
        <f>VLOOKUP($A27,'2324 Jun 24 Enroll'!$A$3:$AL$327,MATCH(AE$3,'2324 Jun 24 Enroll'!$3:$3,0),FALSE)</f>
        <v>0.2056</v>
      </c>
      <c r="AF27" s="93">
        <f>VLOOKUP($A27,'SpEd BEA Rate 2324 Supp'!$A$4:$AT$34,45,FALSE)</f>
        <v>10581.16</v>
      </c>
      <c r="AG27" s="102">
        <f t="shared" si="0"/>
        <v>0</v>
      </c>
      <c r="AH27" s="102">
        <f t="shared" si="1"/>
        <v>0</v>
      </c>
      <c r="AI27" s="102">
        <f t="shared" si="2"/>
        <v>0</v>
      </c>
      <c r="AJ27" s="102">
        <f t="shared" si="3"/>
        <v>87518.56</v>
      </c>
      <c r="AK27" s="102">
        <f t="shared" si="4"/>
        <v>0</v>
      </c>
      <c r="AL27" s="102">
        <f t="shared" si="5"/>
        <v>-2162.36</v>
      </c>
      <c r="AM27" s="45">
        <f t="shared" si="10"/>
        <v>78294.600000000006</v>
      </c>
      <c r="AN27" s="45">
        <f t="shared" si="11"/>
        <v>55547.78</v>
      </c>
      <c r="AO27" s="102">
        <f t="shared" si="12"/>
        <v>11420.62</v>
      </c>
    </row>
    <row r="28" spans="1:41" ht="15.75" thickBot="1">
      <c r="A28" s="40" t="s">
        <v>608</v>
      </c>
      <c r="B28" s="40" t="s">
        <v>609</v>
      </c>
      <c r="C28" s="77">
        <f>'ESA Calculations 2324'!C28</f>
        <v>17</v>
      </c>
      <c r="D28" s="77">
        <f>'ESA Calculations 2324'!D28</f>
        <v>0</v>
      </c>
      <c r="E28" s="77">
        <f>'ESA Calculations 2324'!E28</f>
        <v>32.200000000000003</v>
      </c>
      <c r="F28" s="77">
        <f>'ESA Calculations 2324'!F28</f>
        <v>7.3</v>
      </c>
      <c r="G28" s="77">
        <f>'ESA Calculations 2324'!G28</f>
        <v>15.4</v>
      </c>
      <c r="H28" s="77">
        <f>'ESA Calculations 2324'!H28</f>
        <v>11.1</v>
      </c>
      <c r="I28" s="77">
        <f>'ESA Calculations 2324'!I28</f>
        <v>0</v>
      </c>
      <c r="J28" s="108">
        <f>VLOOKUP($A28,'2324 Jun 24 Enroll'!$A$3:$AL$327,MATCH(J$3,'2324 Jun 24 Enroll'!$3:$3,0),FALSE)</f>
        <v>66</v>
      </c>
      <c r="K28" s="77">
        <f>'ESA Calculations 2324'!K28</f>
        <v>0</v>
      </c>
      <c r="L28" s="77">
        <f>'ESA Calculations 2324'!L28</f>
        <v>0</v>
      </c>
      <c r="M28" s="77">
        <f>'ESA Calculations 2324'!M28</f>
        <v>0</v>
      </c>
      <c r="N28" s="77">
        <f>'ESA Calculations 2324'!N28</f>
        <v>0</v>
      </c>
      <c r="O28" s="77">
        <f>'ESA Calculations 2324'!O28</f>
        <v>0</v>
      </c>
      <c r="P28" s="77">
        <f>'ESA Calculations 2324'!P28</f>
        <v>0</v>
      </c>
      <c r="Q28" s="77">
        <f>'ESA Calculations 2324'!Q28</f>
        <v>0</v>
      </c>
      <c r="R28" s="108">
        <f t="shared" si="6"/>
        <v>66</v>
      </c>
      <c r="S28" s="77">
        <f>'ESA Calculations 2324'!S28</f>
        <v>0</v>
      </c>
      <c r="T28" s="77">
        <f>'ESA Calculations 2324'!T28</f>
        <v>0</v>
      </c>
      <c r="U28" s="77">
        <f>'ESA Calculations 2324'!U28</f>
        <v>0</v>
      </c>
      <c r="V28" s="77">
        <f>'ESA Calculations 2324'!V28</f>
        <v>7.78</v>
      </c>
      <c r="W28" s="77">
        <f>'ESA Calculations 2324'!W28</f>
        <v>0.11</v>
      </c>
      <c r="X28" s="77">
        <f>'ESA Calculations 2324'!X28</f>
        <v>66</v>
      </c>
      <c r="Y28" s="77">
        <f>'ESA Calculations 2324'!Y28</f>
        <v>7.89</v>
      </c>
      <c r="Z28" s="92">
        <f t="shared" si="7"/>
        <v>0.1195</v>
      </c>
      <c r="AA28" s="92">
        <f t="shared" si="8"/>
        <v>0</v>
      </c>
      <c r="AB28" s="93">
        <v>135.22</v>
      </c>
      <c r="AC28" s="93">
        <f t="shared" si="9"/>
        <v>22.38</v>
      </c>
      <c r="AD28" s="94">
        <f>VLOOKUP($A28,'2324 Jun 24 Enroll'!$A$3:$AL$327,MATCH(AD$3,'2324 Jun 24 Enroll'!$3:$3,0),FALSE)</f>
        <v>0.36559999999999998</v>
      </c>
      <c r="AE28" s="94">
        <f>VLOOKUP($A28,'2324 Jun 24 Enroll'!$A$3:$AL$327,MATCH(AE$3,'2324 Jun 24 Enroll'!$3:$3,0),FALSE)</f>
        <v>0.2056</v>
      </c>
      <c r="AF28" s="93">
        <f>VLOOKUP($A28,'SpEd BEA Rate 2324 Supp'!$A$4:$AT$34,45,FALSE)</f>
        <v>10418.040000000001</v>
      </c>
      <c r="AG28" s="102">
        <f t="shared" si="0"/>
        <v>0</v>
      </c>
      <c r="AH28" s="102">
        <f t="shared" si="1"/>
        <v>0</v>
      </c>
      <c r="AI28" s="102">
        <f t="shared" si="2"/>
        <v>0</v>
      </c>
      <c r="AJ28" s="102">
        <f t="shared" si="3"/>
        <v>82833.87</v>
      </c>
      <c r="AK28" s="102">
        <f t="shared" si="4"/>
        <v>1108.31</v>
      </c>
      <c r="AL28" s="102">
        <f t="shared" si="5"/>
        <v>-2073.9899999999998</v>
      </c>
      <c r="AM28" s="45">
        <f t="shared" si="10"/>
        <v>75151.38</v>
      </c>
      <c r="AN28" s="45">
        <f t="shared" si="11"/>
        <v>55031.77</v>
      </c>
      <c r="AO28" s="102">
        <f t="shared" si="12"/>
        <v>11314.53</v>
      </c>
    </row>
    <row r="29" spans="1:41" ht="15.75" thickBot="1">
      <c r="A29" s="40" t="s">
        <v>592</v>
      </c>
      <c r="B29" s="40" t="s">
        <v>593</v>
      </c>
      <c r="C29" s="77">
        <f>'ESA Calculations 2324'!C29</f>
        <v>17</v>
      </c>
      <c r="D29" s="77">
        <f>'ESA Calculations 2324'!D29</f>
        <v>0</v>
      </c>
      <c r="E29" s="77">
        <f>'ESA Calculations 2324'!E29</f>
        <v>19</v>
      </c>
      <c r="F29" s="77">
        <f>'ESA Calculations 2324'!F29</f>
        <v>6</v>
      </c>
      <c r="G29" s="77">
        <f>'ESA Calculations 2324'!G29</f>
        <v>14.2</v>
      </c>
      <c r="H29" s="77">
        <f>'ESA Calculations 2324'!H29</f>
        <v>6.1</v>
      </c>
      <c r="I29" s="77">
        <f>'ESA Calculations 2324'!I29</f>
        <v>22.44</v>
      </c>
      <c r="J29" s="108">
        <f>VLOOKUP($A29,'2324 Jun 24 Enroll'!$A$3:$AL$327,MATCH(J$3,'2324 Jun 24 Enroll'!$3:$3,0),FALSE)</f>
        <v>67.739999999999995</v>
      </c>
      <c r="K29" s="77">
        <f>'ESA Calculations 2324'!K29</f>
        <v>0</v>
      </c>
      <c r="L29" s="77">
        <f>'ESA Calculations 2324'!L29</f>
        <v>0</v>
      </c>
      <c r="M29" s="77">
        <f>'ESA Calculations 2324'!M29</f>
        <v>0</v>
      </c>
      <c r="N29" s="77">
        <f>'ESA Calculations 2324'!N29</f>
        <v>0</v>
      </c>
      <c r="O29" s="77">
        <f>'ESA Calculations 2324'!O29</f>
        <v>0</v>
      </c>
      <c r="P29" s="77">
        <f>'ESA Calculations 2324'!P29</f>
        <v>0</v>
      </c>
      <c r="Q29" s="77">
        <f>'ESA Calculations 2324'!Q29</f>
        <v>0</v>
      </c>
      <c r="R29" s="108">
        <f t="shared" si="6"/>
        <v>67.739999999999995</v>
      </c>
      <c r="S29" s="77">
        <f>'ESA Calculations 2324'!S29</f>
        <v>0</v>
      </c>
      <c r="T29" s="77">
        <f>'ESA Calculations 2324'!T29</f>
        <v>0</v>
      </c>
      <c r="U29" s="77">
        <f>'ESA Calculations 2324'!U29</f>
        <v>0</v>
      </c>
      <c r="V29" s="77">
        <f>'ESA Calculations 2324'!V29</f>
        <v>4.22</v>
      </c>
      <c r="W29" s="77">
        <f>'ESA Calculations 2324'!W29</f>
        <v>1</v>
      </c>
      <c r="X29" s="77">
        <f>'ESA Calculations 2324'!X29</f>
        <v>67.739999999999995</v>
      </c>
      <c r="Y29" s="77">
        <f>'ESA Calculations 2324'!Y29</f>
        <v>5.22</v>
      </c>
      <c r="Z29" s="92">
        <f t="shared" si="7"/>
        <v>7.7100000000000002E-2</v>
      </c>
      <c r="AA29" s="92">
        <f t="shared" si="8"/>
        <v>0</v>
      </c>
      <c r="AB29" s="93">
        <v>117.52</v>
      </c>
      <c r="AC29" s="93">
        <f t="shared" si="9"/>
        <v>19.45</v>
      </c>
      <c r="AD29" s="94">
        <f>VLOOKUP($A29,'2324 Jun 24 Enroll'!$A$3:$AL$327,MATCH(AD$3,'2324 Jun 24 Enroll'!$3:$3,0),FALSE)</f>
        <v>0.26869999999999999</v>
      </c>
      <c r="AE29" s="94">
        <f>VLOOKUP($A29,'2324 Jun 24 Enroll'!$A$3:$AL$327,MATCH(AE$3,'2324 Jun 24 Enroll'!$3:$3,0),FALSE)</f>
        <v>0.2056</v>
      </c>
      <c r="AF29" s="93">
        <f>VLOOKUP($A29,'SpEd BEA Rate 2324 Supp'!$A$4:$AT$34,45,FALSE)</f>
        <v>9534.4</v>
      </c>
      <c r="AG29" s="102">
        <f t="shared" si="0"/>
        <v>0</v>
      </c>
      <c r="AH29" s="102">
        <f t="shared" si="1"/>
        <v>0</v>
      </c>
      <c r="AI29" s="102">
        <f t="shared" si="2"/>
        <v>0</v>
      </c>
      <c r="AJ29" s="102">
        <f t="shared" si="3"/>
        <v>44930.45</v>
      </c>
      <c r="AK29" s="102">
        <f t="shared" si="4"/>
        <v>10075.530000000001</v>
      </c>
      <c r="AL29" s="102">
        <f t="shared" si="5"/>
        <v>-1359.06</v>
      </c>
      <c r="AM29" s="45">
        <f t="shared" si="10"/>
        <v>49719.93</v>
      </c>
      <c r="AN29" s="45">
        <f t="shared" si="11"/>
        <v>39189.67</v>
      </c>
      <c r="AO29" s="102">
        <f t="shared" si="12"/>
        <v>8057.4</v>
      </c>
    </row>
    <row r="30" spans="1:41" ht="15.75" thickBot="1">
      <c r="A30" s="40" t="s">
        <v>799</v>
      </c>
      <c r="B30" s="40" t="s">
        <v>800</v>
      </c>
      <c r="C30" s="77">
        <f>'ESA Calculations 2324'!C30</f>
        <v>17</v>
      </c>
      <c r="D30" s="77">
        <f>'ESA Calculations 2324'!D30</f>
        <v>27.5</v>
      </c>
      <c r="E30" s="77">
        <f>'ESA Calculations 2324'!E30</f>
        <v>196.26</v>
      </c>
      <c r="F30" s="77">
        <f>'ESA Calculations 2324'!F30</f>
        <v>45.23</v>
      </c>
      <c r="G30" s="77">
        <f>'ESA Calculations 2324'!G30</f>
        <v>131.4</v>
      </c>
      <c r="H30" s="77">
        <f>'ESA Calculations 2324'!H30</f>
        <v>125.12</v>
      </c>
      <c r="I30" s="77">
        <f>'ESA Calculations 2324'!I30</f>
        <v>255.47</v>
      </c>
      <c r="J30" s="108">
        <f>VLOOKUP($A30,'2324 Jun 24 Enroll'!$A$3:$AL$327,MATCH(J$3,'2324 Jun 24 Enroll'!$3:$3,0),FALSE)</f>
        <v>753.48</v>
      </c>
      <c r="K30" s="77">
        <f>'ESA Calculations 2324'!K30</f>
        <v>4.34</v>
      </c>
      <c r="L30" s="77">
        <f>'ESA Calculations 2324'!L30</f>
        <v>0.48</v>
      </c>
      <c r="M30" s="77">
        <f>'ESA Calculations 2324'!M30</f>
        <v>8.4</v>
      </c>
      <c r="N30" s="77">
        <f>'ESA Calculations 2324'!N30</f>
        <v>0</v>
      </c>
      <c r="O30" s="77">
        <f>'ESA Calculations 2324'!O30</f>
        <v>0</v>
      </c>
      <c r="P30" s="77">
        <f>'ESA Calculations 2324'!P30</f>
        <v>0</v>
      </c>
      <c r="Q30" s="77">
        <f>'ESA Calculations 2324'!Q30</f>
        <v>0</v>
      </c>
      <c r="R30" s="108">
        <f t="shared" si="6"/>
        <v>766.7</v>
      </c>
      <c r="S30" s="77">
        <f>'ESA Calculations 2324'!S30</f>
        <v>7.11</v>
      </c>
      <c r="T30" s="77">
        <f>'ESA Calculations 2324'!T30</f>
        <v>0</v>
      </c>
      <c r="U30" s="77">
        <f>'ESA Calculations 2324'!U30</f>
        <v>0</v>
      </c>
      <c r="V30" s="77">
        <f>'ESA Calculations 2324'!V30</f>
        <v>80.67</v>
      </c>
      <c r="W30" s="77">
        <f>'ESA Calculations 2324'!W30</f>
        <v>44.22</v>
      </c>
      <c r="X30" s="77">
        <f>'ESA Calculations 2324'!X30</f>
        <v>795.5</v>
      </c>
      <c r="Y30" s="77">
        <f>'ESA Calculations 2324'!Y30</f>
        <v>124.89</v>
      </c>
      <c r="Z30" s="92">
        <f t="shared" si="7"/>
        <v>0.157</v>
      </c>
      <c r="AA30" s="92">
        <f t="shared" si="8"/>
        <v>7.0000000000000062E-3</v>
      </c>
      <c r="AB30" s="93">
        <v>124.01</v>
      </c>
      <c r="AC30" s="93">
        <f t="shared" si="9"/>
        <v>20.53</v>
      </c>
      <c r="AD30" s="94">
        <f>VLOOKUP($A30,'2324 Jun 24 Enroll'!$A$3:$AL$327,MATCH(AD$3,'2324 Jun 24 Enroll'!$3:$3,0),FALSE)</f>
        <v>0.15629999999999999</v>
      </c>
      <c r="AE30" s="94">
        <f>VLOOKUP($A30,'2324 Jun 24 Enroll'!$A$3:$AL$327,MATCH(AE$3,'2324 Jun 24 Enroll'!$3:$3,0),FALSE)</f>
        <v>0.2056</v>
      </c>
      <c r="AF30" s="93">
        <f>VLOOKUP($A30,'SpEd BEA Rate 2324 Supp'!$A$4:$AT$34,45,FALSE)</f>
        <v>9538.93</v>
      </c>
      <c r="AG30" s="102">
        <f t="shared" si="0"/>
        <v>81266.36</v>
      </c>
      <c r="AH30" s="102">
        <f t="shared" si="1"/>
        <v>0</v>
      </c>
      <c r="AI30" s="102">
        <f t="shared" si="2"/>
        <v>0</v>
      </c>
      <c r="AJ30" s="102">
        <f t="shared" si="3"/>
        <v>858895.65</v>
      </c>
      <c r="AK30" s="102">
        <f t="shared" si="4"/>
        <v>445540.09</v>
      </c>
      <c r="AL30" s="102">
        <f t="shared" si="5"/>
        <v>-32229.23</v>
      </c>
      <c r="AM30" s="45">
        <f t="shared" si="10"/>
        <v>1189563.51</v>
      </c>
      <c r="AN30" s="45">
        <f t="shared" si="11"/>
        <v>1028767.2</v>
      </c>
      <c r="AO30" s="102">
        <f t="shared" si="12"/>
        <v>211514.54</v>
      </c>
    </row>
    <row r="31" spans="1:41" ht="15.75" thickBot="1">
      <c r="A31" s="40" t="s">
        <v>845</v>
      </c>
      <c r="B31" s="40" t="s">
        <v>846</v>
      </c>
      <c r="C31" s="77">
        <f>'ESA Calculations 2324'!C31</f>
        <v>17</v>
      </c>
      <c r="D31" s="77">
        <f>'ESA Calculations 2324'!D31</f>
        <v>0</v>
      </c>
      <c r="E31" s="77">
        <f>'ESA Calculations 2324'!E31</f>
        <v>111.23</v>
      </c>
      <c r="F31" s="77">
        <f>'ESA Calculations 2324'!F31</f>
        <v>32.5</v>
      </c>
      <c r="G31" s="77">
        <f>'ESA Calculations 2324'!G31</f>
        <v>67.83</v>
      </c>
      <c r="H31" s="77">
        <f>'ESA Calculations 2324'!H31</f>
        <v>51.04</v>
      </c>
      <c r="I31" s="77">
        <f>'ESA Calculations 2324'!I31</f>
        <v>124.37</v>
      </c>
      <c r="J31" s="108">
        <f>VLOOKUP($A31,'2324 Jun 24 Enroll'!$A$3:$AL$327,MATCH(J$3,'2324 Jun 24 Enroll'!$3:$3,0),FALSE)</f>
        <v>386.97</v>
      </c>
      <c r="K31" s="77">
        <f>'ESA Calculations 2324'!K31</f>
        <v>6.53</v>
      </c>
      <c r="L31" s="77">
        <f>'ESA Calculations 2324'!L31</f>
        <v>0.31</v>
      </c>
      <c r="M31" s="77">
        <f>'ESA Calculations 2324'!M31</f>
        <v>0</v>
      </c>
      <c r="N31" s="77">
        <f>'ESA Calculations 2324'!N31</f>
        <v>0</v>
      </c>
      <c r="O31" s="77">
        <f>'ESA Calculations 2324'!O31</f>
        <v>2.83</v>
      </c>
      <c r="P31" s="77">
        <f>'ESA Calculations 2324'!P31</f>
        <v>1.93</v>
      </c>
      <c r="Q31" s="77">
        <f>'ESA Calculations 2324'!Q31</f>
        <v>11.49</v>
      </c>
      <c r="R31" s="108">
        <f t="shared" si="6"/>
        <v>410.06</v>
      </c>
      <c r="S31" s="77">
        <f>'ESA Calculations 2324'!S31</f>
        <v>2.78</v>
      </c>
      <c r="T31" s="77">
        <f>'ESA Calculations 2324'!T31</f>
        <v>0</v>
      </c>
      <c r="U31" s="77">
        <f>'ESA Calculations 2324'!U31</f>
        <v>0</v>
      </c>
      <c r="V31" s="77">
        <f>'ESA Calculations 2324'!V31</f>
        <v>46.33</v>
      </c>
      <c r="W31" s="77">
        <f>'ESA Calculations 2324'!W31</f>
        <v>22.22</v>
      </c>
      <c r="X31" s="77">
        <f>'ESA Calculations 2324'!X31</f>
        <v>410.42</v>
      </c>
      <c r="Y31" s="77">
        <f>'ESA Calculations 2324'!Y31</f>
        <v>68.55</v>
      </c>
      <c r="Z31" s="92">
        <f t="shared" si="7"/>
        <v>0.16700000000000001</v>
      </c>
      <c r="AA31" s="92">
        <f t="shared" si="8"/>
        <v>1.7000000000000015E-2</v>
      </c>
      <c r="AB31" s="93">
        <v>132.54</v>
      </c>
      <c r="AC31" s="93">
        <f t="shared" si="9"/>
        <v>21.94</v>
      </c>
      <c r="AD31" s="94">
        <f>VLOOKUP($A31,'2324 Jun 24 Enroll'!$A$3:$AL$327,MATCH(AD$3,'2324 Jun 24 Enroll'!$3:$3,0),FALSE)</f>
        <v>0.2656</v>
      </c>
      <c r="AE31" s="94">
        <f>VLOOKUP($A31,'2324 Jun 24 Enroll'!$A$3:$AL$327,MATCH(AE$3,'2324 Jun 24 Enroll'!$3:$3,0),FALSE)</f>
        <v>0.2056</v>
      </c>
      <c r="AF31" s="93">
        <f>VLOOKUP($A31,'SpEd BEA Rate 2324 Supp'!$A$4:$AT$34,45,FALSE)</f>
        <v>9719.090000000002</v>
      </c>
      <c r="AG31" s="102">
        <f t="shared" si="0"/>
        <v>31775.03</v>
      </c>
      <c r="AH31" s="102">
        <f t="shared" si="1"/>
        <v>0</v>
      </c>
      <c r="AI31" s="102">
        <f t="shared" si="2"/>
        <v>0</v>
      </c>
      <c r="AJ31" s="102">
        <f t="shared" si="3"/>
        <v>493276.75</v>
      </c>
      <c r="AK31" s="102">
        <f t="shared" si="4"/>
        <v>223878.35</v>
      </c>
      <c r="AL31" s="102">
        <f t="shared" si="5"/>
        <v>-17719.05</v>
      </c>
      <c r="AM31" s="45">
        <f t="shared" si="10"/>
        <v>652931.21</v>
      </c>
      <c r="AN31" s="45">
        <f t="shared" si="11"/>
        <v>515906.46</v>
      </c>
      <c r="AO31" s="102">
        <f t="shared" si="12"/>
        <v>106070.37</v>
      </c>
    </row>
    <row r="32" spans="1:41" ht="15.75" thickBot="1">
      <c r="A32" s="40" t="s">
        <v>432</v>
      </c>
      <c r="B32" s="40" t="s">
        <v>433</v>
      </c>
      <c r="C32" s="77">
        <f>'ESA Calculations 2324'!C32</f>
        <v>17</v>
      </c>
      <c r="D32" s="77">
        <f>'ESA Calculations 2324'!D32</f>
        <v>0</v>
      </c>
      <c r="E32" s="77">
        <f>'ESA Calculations 2324'!E32</f>
        <v>15</v>
      </c>
      <c r="F32" s="77">
        <f>'ESA Calculations 2324'!F32</f>
        <v>1</v>
      </c>
      <c r="G32" s="77">
        <f>'ESA Calculations 2324'!G32</f>
        <v>3</v>
      </c>
      <c r="H32" s="77">
        <f>'ESA Calculations 2324'!H32</f>
        <v>0</v>
      </c>
      <c r="I32" s="77">
        <f>'ESA Calculations 2324'!I32</f>
        <v>0</v>
      </c>
      <c r="J32" s="108">
        <f>VLOOKUP($A32,'2324 Jun 24 Enroll'!$A$3:$AL$327,MATCH(J$3,'2324 Jun 24 Enroll'!$3:$3,0),FALSE)</f>
        <v>19</v>
      </c>
      <c r="K32" s="77">
        <f>'ESA Calculations 2324'!K32</f>
        <v>0</v>
      </c>
      <c r="L32" s="77">
        <f>'ESA Calculations 2324'!L32</f>
        <v>0</v>
      </c>
      <c r="M32" s="77">
        <f>'ESA Calculations 2324'!M32</f>
        <v>0</v>
      </c>
      <c r="N32" s="77">
        <f>'ESA Calculations 2324'!N32</f>
        <v>0</v>
      </c>
      <c r="O32" s="77">
        <f>'ESA Calculations 2324'!O32</f>
        <v>0</v>
      </c>
      <c r="P32" s="77">
        <f>'ESA Calculations 2324'!P32</f>
        <v>0</v>
      </c>
      <c r="Q32" s="77">
        <f>'ESA Calculations 2324'!Q32</f>
        <v>0</v>
      </c>
      <c r="R32" s="108">
        <f t="shared" si="6"/>
        <v>19</v>
      </c>
      <c r="S32" s="77">
        <f>'ESA Calculations 2324'!S32</f>
        <v>0</v>
      </c>
      <c r="T32" s="77">
        <f>'ESA Calculations 2324'!T32</f>
        <v>0</v>
      </c>
      <c r="U32" s="77">
        <f>'ESA Calculations 2324'!U32</f>
        <v>0</v>
      </c>
      <c r="V32" s="77">
        <f>'ESA Calculations 2324'!V32</f>
        <v>2.44</v>
      </c>
      <c r="W32" s="77">
        <f>'ESA Calculations 2324'!W32</f>
        <v>0</v>
      </c>
      <c r="X32" s="77">
        <f>'ESA Calculations 2324'!X32</f>
        <v>19</v>
      </c>
      <c r="Y32" s="77">
        <f>'ESA Calculations 2324'!Y32</f>
        <v>2.44</v>
      </c>
      <c r="Z32" s="92">
        <f t="shared" si="7"/>
        <v>0.12839999999999999</v>
      </c>
      <c r="AA32" s="92">
        <f t="shared" si="8"/>
        <v>0</v>
      </c>
      <c r="AB32" s="93">
        <v>146.15</v>
      </c>
      <c r="AC32" s="93">
        <f t="shared" si="9"/>
        <v>24.19</v>
      </c>
      <c r="AD32" s="94">
        <f>VLOOKUP($A32,'2324 Jun 24 Enroll'!$A$3:$AL$327,MATCH(AD$3,'2324 Jun 24 Enroll'!$3:$3,0),FALSE)</f>
        <v>0.40489999999999998</v>
      </c>
      <c r="AE32" s="94">
        <f>VLOOKUP($A32,'2324 Jun 24 Enroll'!$A$3:$AL$327,MATCH(AE$3,'2324 Jun 24 Enroll'!$3:$3,0),FALSE)</f>
        <v>0.2056</v>
      </c>
      <c r="AF32" s="93">
        <f>VLOOKUP($A32,'SpEd BEA Rate 2324 Supp'!$A$4:$AT$34,45,FALSE)</f>
        <v>11064.740000000002</v>
      </c>
      <c r="AG32" s="102">
        <f t="shared" si="0"/>
        <v>0</v>
      </c>
      <c r="AH32" s="102">
        <f t="shared" si="1"/>
        <v>0</v>
      </c>
      <c r="AI32" s="102">
        <f t="shared" si="2"/>
        <v>0</v>
      </c>
      <c r="AJ32" s="102">
        <f t="shared" si="3"/>
        <v>25978.75</v>
      </c>
      <c r="AK32" s="102">
        <f t="shared" si="4"/>
        <v>0</v>
      </c>
      <c r="AL32" s="102">
        <f t="shared" si="5"/>
        <v>-641.87</v>
      </c>
      <c r="AM32" s="45">
        <f t="shared" si="10"/>
        <v>23240.73</v>
      </c>
      <c r="AN32" s="45">
        <f t="shared" si="11"/>
        <v>16542.62</v>
      </c>
      <c r="AO32" s="102">
        <f t="shared" si="12"/>
        <v>3401.16</v>
      </c>
    </row>
    <row r="33" spans="1:41" ht="15.75" thickBot="1">
      <c r="A33" s="40" t="s">
        <v>849</v>
      </c>
      <c r="B33" s="40" t="s">
        <v>850</v>
      </c>
      <c r="C33" s="77">
        <f>'ESA Calculations 2324'!C33</f>
        <v>17.14</v>
      </c>
      <c r="D33" s="77">
        <f>'ESA Calculations 2324'!D33</f>
        <v>0</v>
      </c>
      <c r="E33" s="77">
        <f>'ESA Calculations 2324'!E33</f>
        <v>81.17</v>
      </c>
      <c r="F33" s="77">
        <f>'ESA Calculations 2324'!F33</f>
        <v>16.7</v>
      </c>
      <c r="G33" s="77">
        <f>'ESA Calculations 2324'!G33</f>
        <v>49.41</v>
      </c>
      <c r="H33" s="77">
        <f>'ESA Calculations 2324'!H33</f>
        <v>41.5</v>
      </c>
      <c r="I33" s="77">
        <f>'ESA Calculations 2324'!I33</f>
        <v>84.61</v>
      </c>
      <c r="J33" s="108">
        <f>VLOOKUP($A33,'2324 Jun 24 Enroll'!$A$3:$AL$327,MATCH(J$3,'2324 Jun 24 Enroll'!$3:$3,0),FALSE)</f>
        <v>273.39</v>
      </c>
      <c r="K33" s="77">
        <f>'ESA Calculations 2324'!K33</f>
        <v>9.08</v>
      </c>
      <c r="L33" s="77">
        <f>'ESA Calculations 2324'!L33</f>
        <v>0.48</v>
      </c>
      <c r="M33" s="77">
        <f>'ESA Calculations 2324'!M33</f>
        <v>0</v>
      </c>
      <c r="N33" s="77">
        <f>'ESA Calculations 2324'!N33</f>
        <v>0</v>
      </c>
      <c r="O33" s="77">
        <f>'ESA Calculations 2324'!O33</f>
        <v>0</v>
      </c>
      <c r="P33" s="77">
        <f>'ESA Calculations 2324'!P33</f>
        <v>0</v>
      </c>
      <c r="Q33" s="77">
        <f>'ESA Calculations 2324'!Q33</f>
        <v>0</v>
      </c>
      <c r="R33" s="108">
        <f t="shared" si="6"/>
        <v>282.95</v>
      </c>
      <c r="S33" s="77">
        <f>'ESA Calculations 2324'!S33</f>
        <v>0.89</v>
      </c>
      <c r="T33" s="77">
        <f>'ESA Calculations 2324'!T33</f>
        <v>0</v>
      </c>
      <c r="U33" s="77">
        <f>'ESA Calculations 2324'!U33</f>
        <v>0</v>
      </c>
      <c r="V33" s="77">
        <f>'ESA Calculations 2324'!V33</f>
        <v>28.78</v>
      </c>
      <c r="W33" s="77">
        <f>'ESA Calculations 2324'!W33</f>
        <v>1.56</v>
      </c>
      <c r="X33" s="77">
        <f>'ESA Calculations 2324'!X33</f>
        <v>287.66000000000003</v>
      </c>
      <c r="Y33" s="77">
        <f>'ESA Calculations 2324'!Y33</f>
        <v>30.34</v>
      </c>
      <c r="Z33" s="92">
        <f>ROUND((T33+U33+V33+W33)/X33,4)</f>
        <v>0.1055</v>
      </c>
      <c r="AA33" s="92">
        <f t="shared" si="8"/>
        <v>0</v>
      </c>
      <c r="AB33" s="93">
        <v>127.47</v>
      </c>
      <c r="AC33" s="93">
        <f t="shared" si="9"/>
        <v>21.1</v>
      </c>
      <c r="AD33" s="94">
        <f>VLOOKUP($A33,'2324 Jun 24 Enroll'!$A$3:$AL$327,MATCH(AD$3,'2324 Jun 24 Enroll'!$3:$3,0),FALSE)</f>
        <v>0.31909999999999999</v>
      </c>
      <c r="AE33" s="94">
        <f>VLOOKUP($A33,'2324 Jun 24 Enroll'!$A$3:$AL$327,MATCH(AE$3,'2324 Jun 24 Enroll'!$3:$3,0),FALSE)</f>
        <v>0.2056</v>
      </c>
      <c r="AF33" s="93">
        <f>VLOOKUP($A33,'SpEd BEA Rate 2324 Supp'!$A$4:$AT$34,45,FALSE)</f>
        <v>9533.6700000000019</v>
      </c>
      <c r="AG33" s="102">
        <f t="shared" si="0"/>
        <v>10172.58</v>
      </c>
      <c r="AH33" s="102">
        <f t="shared" si="1"/>
        <v>0</v>
      </c>
      <c r="AI33" s="102">
        <f t="shared" si="2"/>
        <v>0</v>
      </c>
      <c r="AJ33" s="102">
        <f t="shared" si="3"/>
        <v>306421.43</v>
      </c>
      <c r="AK33" s="102">
        <f t="shared" si="4"/>
        <v>15717.83</v>
      </c>
      <c r="AL33" s="102">
        <f t="shared" si="5"/>
        <v>-7959.23</v>
      </c>
      <c r="AM33" s="45">
        <f t="shared" si="10"/>
        <v>288985.15999999997</v>
      </c>
      <c r="AN33" s="45">
        <f t="shared" si="11"/>
        <v>219077.52</v>
      </c>
      <c r="AO33" s="102">
        <f t="shared" si="12"/>
        <v>45042.34</v>
      </c>
    </row>
    <row r="34" spans="1:41">
      <c r="A34" s="64" t="s">
        <v>1023</v>
      </c>
      <c r="B34" s="64" t="s">
        <v>1024</v>
      </c>
      <c r="C34" s="64"/>
      <c r="D34" s="90">
        <f>SUM(D4:D33)</f>
        <v>107.08</v>
      </c>
      <c r="E34" s="90">
        <f t="shared" ref="E34:Y34" si="13">SUM(E4:E33)</f>
        <v>2842.97</v>
      </c>
      <c r="F34" s="90">
        <f t="shared" si="13"/>
        <v>758.15</v>
      </c>
      <c r="G34" s="90">
        <f t="shared" si="13"/>
        <v>1507.0600000000004</v>
      </c>
      <c r="H34" s="90">
        <f t="shared" si="13"/>
        <v>1489.5999999999995</v>
      </c>
      <c r="I34" s="90">
        <f t="shared" si="13"/>
        <v>2587.5100000000002</v>
      </c>
      <c r="J34" s="90">
        <f t="shared" si="13"/>
        <v>9185.2899999999991</v>
      </c>
      <c r="K34" s="90">
        <f t="shared" si="13"/>
        <v>187.5</v>
      </c>
      <c r="L34" s="90">
        <f t="shared" si="13"/>
        <v>18.93</v>
      </c>
      <c r="M34" s="90">
        <f t="shared" si="13"/>
        <v>15.8</v>
      </c>
      <c r="N34" s="90">
        <f t="shared" si="13"/>
        <v>0</v>
      </c>
      <c r="O34" s="90">
        <f t="shared" si="13"/>
        <v>479.98999999999995</v>
      </c>
      <c r="P34" s="90">
        <f t="shared" si="13"/>
        <v>373.40999999999997</v>
      </c>
      <c r="Q34" s="90">
        <f t="shared" si="13"/>
        <v>1366.31</v>
      </c>
      <c r="R34" s="90">
        <f t="shared" si="13"/>
        <v>11627.23</v>
      </c>
      <c r="S34" s="90">
        <f t="shared" si="13"/>
        <v>82.36</v>
      </c>
      <c r="T34" s="90">
        <f t="shared" si="13"/>
        <v>0</v>
      </c>
      <c r="U34" s="90">
        <f t="shared" si="13"/>
        <v>0</v>
      </c>
      <c r="V34" s="90">
        <f t="shared" si="13"/>
        <v>1418.1</v>
      </c>
      <c r="W34" s="90">
        <f t="shared" si="13"/>
        <v>389.11000000000007</v>
      </c>
      <c r="X34" s="90">
        <f t="shared" si="13"/>
        <v>11746.89</v>
      </c>
      <c r="Y34" s="90">
        <f t="shared" si="13"/>
        <v>1807.2100000000005</v>
      </c>
      <c r="Z34" s="91">
        <f>ROUND((T34+U34+V34+W34)/X34,4)</f>
        <v>0.15379999999999999</v>
      </c>
      <c r="AA34" s="91">
        <f>IF(Z34&lt;$B$37,0,Z34-$B$37)</f>
        <v>3.7999999999999978E-3</v>
      </c>
      <c r="AB34" s="64">
        <f>ROUND(SUMPRODUCT(X4:X33,AB4:AB33)/X34,2)</f>
        <v>125.98</v>
      </c>
      <c r="AC34" s="64">
        <f>ROUND(AB34*24/145,2)</f>
        <v>20.85</v>
      </c>
      <c r="AD34" s="64"/>
      <c r="AE34" s="64"/>
      <c r="AF34" s="90">
        <f>ROUND(SUMPRODUCT($X4:$X33,AF4:AF33)/$X34,2)</f>
        <v>9524.89</v>
      </c>
      <c r="AG34" s="103">
        <f t="shared" ref="AG34:AO34" si="14">SUM(AG4:AG33)</f>
        <v>941363.94</v>
      </c>
      <c r="AH34" s="103">
        <f t="shared" si="14"/>
        <v>0</v>
      </c>
      <c r="AI34" s="103">
        <f t="shared" si="14"/>
        <v>0</v>
      </c>
      <c r="AJ34" s="103">
        <f t="shared" si="14"/>
        <v>15098548.699999997</v>
      </c>
      <c r="AK34" s="103">
        <f t="shared" si="14"/>
        <v>3920490.7800000003</v>
      </c>
      <c r="AL34" s="103">
        <f t="shared" si="14"/>
        <v>-469911.27999999991</v>
      </c>
      <c r="AM34" s="103">
        <f t="shared" si="14"/>
        <v>17213476.460000001</v>
      </c>
      <c r="AN34" s="103">
        <f t="shared" si="14"/>
        <v>14656671.389999997</v>
      </c>
      <c r="AO34" s="103">
        <f t="shared" si="14"/>
        <v>3013411.65</v>
      </c>
    </row>
    <row r="35" spans="1:41">
      <c r="C35"/>
    </row>
    <row r="36" spans="1:41" ht="15.75" thickBot="1">
      <c r="B36" t="s">
        <v>1124</v>
      </c>
      <c r="C36"/>
    </row>
    <row r="37" spans="1:41" ht="30.75" thickBot="1">
      <c r="A37" s="79" t="s">
        <v>1071</v>
      </c>
      <c r="B37" s="83">
        <v>0.15</v>
      </c>
    </row>
    <row r="38" spans="1:41" ht="30.75" thickBot="1">
      <c r="A38" s="79" t="s">
        <v>1125</v>
      </c>
      <c r="B38" s="77">
        <v>1.2</v>
      </c>
    </row>
    <row r="39" spans="1:41" ht="30.75" thickBot="1">
      <c r="A39" s="79" t="s">
        <v>1126</v>
      </c>
      <c r="B39" s="77">
        <v>1.1200000000000001</v>
      </c>
    </row>
    <row r="40" spans="1:41" ht="33.75" customHeight="1" thickBot="1">
      <c r="A40" s="79" t="s">
        <v>1127</v>
      </c>
      <c r="B40" s="77">
        <v>1.06</v>
      </c>
    </row>
    <row r="41" spans="1:41" ht="30.75" thickBot="1">
      <c r="A41" s="79" t="s">
        <v>1128</v>
      </c>
      <c r="B41" s="77">
        <v>1.1200000000000001</v>
      </c>
    </row>
    <row r="42" spans="1:41" ht="30.75" thickBot="1">
      <c r="A42" s="79" t="s">
        <v>1129</v>
      </c>
      <c r="B42" s="77">
        <v>1.06</v>
      </c>
    </row>
    <row r="43" spans="1:41" s="71" customForma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41" s="71" customFormat="1" ht="15.75" thickBot="1">
      <c r="A44"/>
      <c r="B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41" s="71" customFormat="1" ht="30.75" thickBot="1">
      <c r="A45" s="84" t="s">
        <v>1072</v>
      </c>
      <c r="B45" s="85">
        <f>AG34</f>
        <v>941363.94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41" s="71" customFormat="1" ht="30.75" thickBot="1">
      <c r="A46" s="86" t="s">
        <v>1084</v>
      </c>
      <c r="B46" s="85">
        <f>AH34</f>
        <v>0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41" s="71" customFormat="1" ht="30.75" thickBot="1">
      <c r="A47" s="86" t="s">
        <v>1085</v>
      </c>
      <c r="B47" s="85">
        <f>AI34</f>
        <v>0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41" s="71" customFormat="1" ht="45.75" thickBot="1">
      <c r="A48" s="86" t="s">
        <v>1073</v>
      </c>
      <c r="B48" s="85">
        <f>AJ34</f>
        <v>15098548.699999997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s="71" customFormat="1" ht="45.75" thickBot="1">
      <c r="A49" s="86" t="s">
        <v>1074</v>
      </c>
      <c r="B49" s="85">
        <f>AK34</f>
        <v>3920490.7800000003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s="71" customFormat="1" ht="45.75" thickBot="1">
      <c r="A50" s="86" t="s">
        <v>1075</v>
      </c>
      <c r="B50" s="85">
        <f>AL34</f>
        <v>-469911.27999999991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ht="15.75" thickBot="1"/>
    <row r="52" spans="1:33" ht="30.75" thickBot="1">
      <c r="A52" s="86" t="s">
        <v>1081</v>
      </c>
      <c r="B52" s="85">
        <f>AO34</f>
        <v>3013411.65</v>
      </c>
    </row>
    <row r="54" spans="1:33">
      <c r="A54" s="98" t="s">
        <v>1144</v>
      </c>
      <c r="B54" s="99">
        <f>SUM(B45:B50)</f>
        <v>19490492.139999997</v>
      </c>
    </row>
    <row r="55" spans="1:33">
      <c r="A55" s="98" t="s">
        <v>1145</v>
      </c>
      <c r="B55" s="100">
        <f>B52</f>
        <v>3013411.65</v>
      </c>
    </row>
    <row r="56" spans="1:33" ht="15.75" thickBot="1">
      <c r="A56" s="98" t="s">
        <v>1146</v>
      </c>
      <c r="B56" s="101">
        <f>SUM(B54:B55)</f>
        <v>22503903.789999995</v>
      </c>
    </row>
    <row r="57" spans="1:33" ht="15.75" thickTop="1"/>
  </sheetData>
  <mergeCells count="1">
    <mergeCell ref="A1:L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A6B8E-0CAB-4514-85FF-258581C38B58}">
  <sheetPr>
    <tabColor theme="7" tint="0.39997558519241921"/>
  </sheetPr>
  <dimension ref="A1:AO60"/>
  <sheetViews>
    <sheetView zoomScale="90" zoomScaleNormal="90" workbookViewId="0">
      <pane xSplit="2" ySplit="3" topLeftCell="C4" activePane="bottomRight" state="frozen"/>
      <selection sqref="A1:O1"/>
      <selection pane="topRight" sqref="A1:O1"/>
      <selection pane="bottomLeft" sqref="A1:O1"/>
      <selection pane="bottomRight" sqref="A1:L1"/>
    </sheetView>
  </sheetViews>
  <sheetFormatPr defaultRowHeight="15"/>
  <cols>
    <col min="1" max="1" width="14" bestFit="1" customWidth="1"/>
    <col min="2" max="2" width="32" bestFit="1" customWidth="1"/>
    <col min="3" max="3" width="9.140625" style="71"/>
    <col min="4" max="4" width="8.7109375" bestFit="1" customWidth="1"/>
    <col min="5" max="5" width="10" bestFit="1" customWidth="1"/>
    <col min="6" max="6" width="13.42578125" bestFit="1" customWidth="1"/>
    <col min="7" max="9" width="10" bestFit="1" customWidth="1"/>
    <col min="10" max="10" width="11.85546875" customWidth="1"/>
    <col min="13" max="14" width="9.7109375" customWidth="1"/>
    <col min="17" max="17" width="10" bestFit="1" customWidth="1"/>
    <col min="18" max="18" width="11.140625" bestFit="1" customWidth="1"/>
    <col min="22" max="22" width="10" bestFit="1" customWidth="1"/>
    <col min="23" max="23" width="8.7109375" bestFit="1" customWidth="1"/>
    <col min="24" max="24" width="11.140625" bestFit="1" customWidth="1"/>
    <col min="25" max="25" width="10" bestFit="1" customWidth="1"/>
    <col min="26" max="26" width="9.5703125" bestFit="1" customWidth="1"/>
    <col min="32" max="32" width="13.28515625" bestFit="1" customWidth="1"/>
    <col min="33" max="33" width="13.85546875" bestFit="1" customWidth="1"/>
    <col min="34" max="34" width="10.7109375" customWidth="1"/>
    <col min="35" max="35" width="12.28515625" customWidth="1"/>
    <col min="36" max="36" width="15" bestFit="1" customWidth="1"/>
    <col min="37" max="37" width="13.85546875" bestFit="1" customWidth="1"/>
    <col min="38" max="38" width="12.85546875" bestFit="1" customWidth="1"/>
    <col min="39" max="40" width="15" bestFit="1" customWidth="1"/>
    <col min="41" max="41" width="13.85546875" bestFit="1" customWidth="1"/>
  </cols>
  <sheetData>
    <row r="1" spans="1:41" ht="61.5" customHeight="1">
      <c r="A1" s="223" t="s">
        <v>1491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</row>
    <row r="2" spans="1:41" ht="15.75" thickBot="1">
      <c r="C2"/>
      <c r="D2" s="71" t="s">
        <v>1106</v>
      </c>
      <c r="E2" s="71" t="s">
        <v>1107</v>
      </c>
      <c r="F2" s="71" t="s">
        <v>1108</v>
      </c>
      <c r="G2" s="71" t="s">
        <v>1109</v>
      </c>
      <c r="H2" s="71" t="s">
        <v>1110</v>
      </c>
      <c r="I2" s="71" t="s">
        <v>1111</v>
      </c>
      <c r="J2" s="71" t="s">
        <v>1112</v>
      </c>
      <c r="K2" s="71" t="s">
        <v>1113</v>
      </c>
      <c r="L2" s="71" t="s">
        <v>1114</v>
      </c>
      <c r="M2" s="71" t="s">
        <v>1116</v>
      </c>
      <c r="N2" s="71" t="s">
        <v>1117</v>
      </c>
      <c r="O2" s="71" t="s">
        <v>1118</v>
      </c>
      <c r="P2" s="71" t="s">
        <v>1119</v>
      </c>
      <c r="Q2" s="71" t="s">
        <v>1120</v>
      </c>
      <c r="R2" s="71" t="s">
        <v>1115</v>
      </c>
      <c r="S2" s="71" t="s">
        <v>1136</v>
      </c>
      <c r="T2" s="71" t="s">
        <v>1137</v>
      </c>
      <c r="U2" s="71" t="s">
        <v>1138</v>
      </c>
      <c r="V2" s="71" t="s">
        <v>1139</v>
      </c>
      <c r="W2" s="71" t="s">
        <v>1140</v>
      </c>
      <c r="X2" s="71" t="s">
        <v>1141</v>
      </c>
      <c r="Y2" s="71" t="s">
        <v>1142</v>
      </c>
    </row>
    <row r="3" spans="1:41" ht="75.75" thickBot="1">
      <c r="A3" s="39" t="s">
        <v>1143</v>
      </c>
      <c r="B3" s="39" t="s">
        <v>293</v>
      </c>
      <c r="C3" s="78" t="s">
        <v>1105</v>
      </c>
      <c r="D3" s="78" t="s">
        <v>1095</v>
      </c>
      <c r="E3" s="79" t="s">
        <v>297</v>
      </c>
      <c r="F3" s="79" t="s">
        <v>301</v>
      </c>
      <c r="G3" s="79" t="s">
        <v>298</v>
      </c>
      <c r="H3" s="79" t="s">
        <v>295</v>
      </c>
      <c r="I3" s="79" t="s">
        <v>299</v>
      </c>
      <c r="J3" s="80" t="s">
        <v>300</v>
      </c>
      <c r="K3" s="79" t="s">
        <v>302</v>
      </c>
      <c r="L3" s="79" t="s">
        <v>303</v>
      </c>
      <c r="M3" s="79" t="s">
        <v>304</v>
      </c>
      <c r="N3" s="79" t="s">
        <v>305</v>
      </c>
      <c r="O3" s="79" t="s">
        <v>306</v>
      </c>
      <c r="P3" s="79" t="s">
        <v>307</v>
      </c>
      <c r="Q3" s="79" t="s">
        <v>308</v>
      </c>
      <c r="R3" s="80" t="s">
        <v>1121</v>
      </c>
      <c r="S3" s="79" t="s">
        <v>1066</v>
      </c>
      <c r="T3" s="79" t="s">
        <v>1082</v>
      </c>
      <c r="U3" s="79" t="s">
        <v>1083</v>
      </c>
      <c r="V3" s="79" t="s">
        <v>1067</v>
      </c>
      <c r="W3" s="79" t="s">
        <v>1068</v>
      </c>
      <c r="X3" s="79" t="s">
        <v>1069</v>
      </c>
      <c r="Y3" s="95" t="s">
        <v>1076</v>
      </c>
      <c r="Z3" s="25" t="s">
        <v>1070</v>
      </c>
      <c r="AA3" s="25" t="s">
        <v>1071</v>
      </c>
      <c r="AB3" s="37" t="s">
        <v>1086</v>
      </c>
      <c r="AC3" s="37" t="s">
        <v>1087</v>
      </c>
      <c r="AD3" s="37" t="s">
        <v>1134</v>
      </c>
      <c r="AE3" s="36" t="s">
        <v>1135</v>
      </c>
      <c r="AF3" s="216" t="s">
        <v>1147</v>
      </c>
      <c r="AG3" s="37" t="s">
        <v>1072</v>
      </c>
      <c r="AH3" s="37" t="s">
        <v>1084</v>
      </c>
      <c r="AI3" s="37" t="s">
        <v>1085</v>
      </c>
      <c r="AJ3" s="37" t="s">
        <v>1073</v>
      </c>
      <c r="AK3" s="37" t="s">
        <v>1074</v>
      </c>
      <c r="AL3" s="37" t="s">
        <v>1075</v>
      </c>
      <c r="AM3" s="37" t="s">
        <v>1077</v>
      </c>
      <c r="AN3" s="46" t="s">
        <v>1079</v>
      </c>
      <c r="AO3" s="37" t="s">
        <v>1081</v>
      </c>
    </row>
    <row r="4" spans="1:41" ht="15.75" thickBot="1">
      <c r="A4" s="40" t="s">
        <v>572</v>
      </c>
      <c r="B4" s="40" t="s">
        <v>573</v>
      </c>
      <c r="C4" s="77">
        <f>VLOOKUP($A4,'2324 Jun 24 Enroll'!$A$3:$AL$327,MATCH(C$3,'2324 Jun 24 Enroll'!$3:$3,0),FALSE)</f>
        <v>17</v>
      </c>
      <c r="D4" s="77">
        <f>VLOOKUP($A4,'2324 Jun 24 Enroll'!$A$3:$AL$327,MATCH(D$3,'2324 Jun 24 Enroll'!$3:$3,0),FALSE)</f>
        <v>0</v>
      </c>
      <c r="E4" s="77">
        <f>VLOOKUP($A4,'2324 Jun 24 Enroll'!$A$3:$AL$327,MATCH(E$3,'2324 Jun 24 Enroll'!$3:$3,0),FALSE)</f>
        <v>176.76</v>
      </c>
      <c r="F4" s="77">
        <f>VLOOKUP($A4,'2324 Jun 24 Enroll'!$A$3:$AL$327,MATCH(F$3,'2324 Jun 24 Enroll'!$3:$3,0),FALSE)</f>
        <v>51.3</v>
      </c>
      <c r="G4" s="77">
        <f>VLOOKUP($A4,'2324 Jun 24 Enroll'!$A$3:$AL$327,MATCH(G$3,'2324 Jun 24 Enroll'!$3:$3,0),FALSE)</f>
        <v>85.52</v>
      </c>
      <c r="H4" s="77">
        <f>VLOOKUP($A4,'2324 Jun 24 Enroll'!$A$3:$AL$327,MATCH(H$3,'2324 Jun 24 Enroll'!$3:$3,0),FALSE)</f>
        <v>101.08</v>
      </c>
      <c r="I4" s="77">
        <f>VLOOKUP($A4,'2324 Jun 24 Enroll'!$A$3:$AL$327,MATCH(I$3,'2324 Jun 24 Enroll'!$3:$3,0),FALSE)</f>
        <v>233.09</v>
      </c>
      <c r="J4" s="108">
        <f>VLOOKUP($A4,'2324 Jun 24 Enroll'!$A$3:$AL$327,MATCH(J$3,'2324 Jun 24 Enroll'!$3:$3,0),FALSE)</f>
        <v>647.75</v>
      </c>
      <c r="K4" s="77">
        <f>VLOOKUP($A4,'2324 Jun 24 Enroll'!$A$3:$AL$327,MATCH(K$3,'2324 Jun 24 Enroll'!$3:$3,0),FALSE)</f>
        <v>0.89</v>
      </c>
      <c r="L4" s="77">
        <f>VLOOKUP($A4,'2324 Jun 24 Enroll'!$A$3:$AL$327,MATCH(L$3,'2324 Jun 24 Enroll'!$3:$3,0),FALSE)</f>
        <v>0</v>
      </c>
      <c r="M4" s="77">
        <f>VLOOKUP($A4,'2324 Jun 24 Enroll'!$A$3:$AL$327,MATCH(M$3,'2324 Jun 24 Enroll'!$3:$3,0),FALSE)</f>
        <v>0</v>
      </c>
      <c r="N4" s="77">
        <f>VLOOKUP($A4,'2324 Jun 24 Enroll'!$A$3:$AL$327,MATCH(N$3,'2324 Jun 24 Enroll'!$3:$3,0),FALSE)</f>
        <v>0</v>
      </c>
      <c r="O4" s="77">
        <f>VLOOKUP($A4,'2324 Jun 24 Enroll'!$A$3:$AL$327,MATCH(O$3,'2324 Jun 24 Enroll'!$3:$3,0),FALSE)</f>
        <v>0</v>
      </c>
      <c r="P4" s="77">
        <f>VLOOKUP($A4,'2324 Jun 24 Enroll'!$A$3:$AL$327,MATCH(P$3,'2324 Jun 24 Enroll'!$3:$3,0),FALSE)</f>
        <v>0</v>
      </c>
      <c r="Q4" s="77">
        <f>VLOOKUP($A4,'2324 Jun 24 Enroll'!$A$3:$AL$327,MATCH(Q$3,'2324 Jun 24 Enroll'!$3:$3,0),FALSE)</f>
        <v>0</v>
      </c>
      <c r="R4" s="108">
        <f t="shared" ref="R4:R6" si="0">SUM(J4:Q4)</f>
        <v>648.64</v>
      </c>
      <c r="S4" s="77">
        <f>VLOOKUP($A4,'2324 Jun 24 Enroll'!$A$3:$AL$327,MATCH(S$3,'2324 Jun 24 Enroll'!$3:$3,0),FALSE)</f>
        <v>6</v>
      </c>
      <c r="T4" s="77">
        <f>VLOOKUP($A4,'2324 Jun 24 Enroll'!$A$3:$AL$327,MATCH(T$3,'2324 Jun 24 Enroll'!$3:$3,0),FALSE)</f>
        <v>0</v>
      </c>
      <c r="U4" s="77">
        <f>VLOOKUP($A4,'2324 Jun 24 Enroll'!$A$3:$AL$327,MATCH(U$3,'2324 Jun 24 Enroll'!$3:$3,0),FALSE)</f>
        <v>0</v>
      </c>
      <c r="V4" s="77">
        <f>VLOOKUP($A4,'2324 Jun 24 Enroll'!$A$3:$AL$327,MATCH(V$3,'2324 Jun 24 Enroll'!$3:$3,0),FALSE)</f>
        <v>71.11</v>
      </c>
      <c r="W4" s="77">
        <f>VLOOKUP($A4,'2324 Jun 24 Enroll'!$A$3:$AL$327,MATCH(W$3,'2324 Jun 24 Enroll'!$3:$3,0),FALSE)</f>
        <v>11.22</v>
      </c>
      <c r="X4" s="77">
        <f>VLOOKUP($A4,'2324 Jun 24 Enroll'!$A$3:$AL$327,MATCH(X$3,'2324 Jun 24 Enroll'!$3:$3,0),FALSE)</f>
        <v>649.23</v>
      </c>
      <c r="Y4" s="77">
        <f>VLOOKUP($A4,'2324 Jun 24 Enroll'!$A$3:$AL$327,MATCH(Y$3,'2324 Jun 24 Enroll'!$3:$3,0),FALSE)</f>
        <v>82.33</v>
      </c>
      <c r="Z4" s="92">
        <f t="shared" ref="Z4:Z6" si="1">ROUND((T4+U4+V4+W4)/X4,4)</f>
        <v>0.1268</v>
      </c>
      <c r="AA4" s="92">
        <f t="shared" ref="AA4:AA6" si="2">IF(Z4&lt;$B$40,0,Z4-$B$40)</f>
        <v>0</v>
      </c>
      <c r="AB4" s="93">
        <v>132.1</v>
      </c>
      <c r="AC4" s="93">
        <f t="shared" ref="AC4:AC6" si="3">ROUND(AB4*24/145,2)</f>
        <v>21.86</v>
      </c>
      <c r="AD4" s="94">
        <f>VLOOKUP($A4,'2324 Jun 24 Enroll'!$A$3:$AL$327,MATCH(AD$3,'2324 Jun 24 Enroll'!$3:$3,0),FALSE)</f>
        <v>0.20899999999999999</v>
      </c>
      <c r="AE4" s="94">
        <f>VLOOKUP($A4,'2324 Jun 24 Enroll'!$A$3:$AL$327,MATCH(AE$3,'2324 Jun 24 Enroll'!$3:$3,0),FALSE)</f>
        <v>0.19130000000000003</v>
      </c>
      <c r="AF4" s="93">
        <f>VLOOKUP($A4,'SpEd BEA Rate 2425'!$A$4:$AT$37,45,FALSE)</f>
        <v>10001.129999999997</v>
      </c>
      <c r="AG4" s="102">
        <f>ROUND(S4*$B$41*$AF$37,2)</f>
        <v>72099.649999999994</v>
      </c>
      <c r="AH4" s="102">
        <f>ROUND(T4*(($B$42*$AF$37)-$AC$37),2)</f>
        <v>0</v>
      </c>
      <c r="AI4" s="102">
        <f>ROUND(U4*(($B$43*$AF$37)-$AC$37),2)</f>
        <v>0</v>
      </c>
      <c r="AJ4" s="102">
        <f>ROUND(V4*(($B$44*$AF$37)-$AC$37),2)</f>
        <v>796039.53</v>
      </c>
      <c r="AK4" s="102">
        <f>ROUND(W4*(($B$45*$AF$37)-$AC$37),2)</f>
        <v>118860.76</v>
      </c>
      <c r="AL4" s="102">
        <f>IF($Z$37&lt;$B$40,0,ROUND(((((AH4+AI4+AJ4+AK4)*-1)/$Z$37)*$AA$37),2))</f>
        <v>0</v>
      </c>
      <c r="AM4" s="45">
        <f>ROUND(Y4*$AF$37,2)</f>
        <v>824439.45</v>
      </c>
      <c r="AN4" s="45">
        <f>ROUND(AM4/(1+AD4),2)</f>
        <v>681918.49</v>
      </c>
      <c r="AO4" s="102">
        <f>ROUND(AN4*AE4,2)</f>
        <v>130451.01</v>
      </c>
    </row>
    <row r="5" spans="1:41" ht="15.75" thickBot="1">
      <c r="A5" s="40" t="s">
        <v>450</v>
      </c>
      <c r="B5" s="40" t="s">
        <v>451</v>
      </c>
      <c r="C5" s="77">
        <f>VLOOKUP($A5,'2324 Jun 24 Enroll'!$A$3:$AL$327,MATCH(C$3,'2324 Jun 24 Enroll'!$3:$3,0),FALSE)</f>
        <v>17</v>
      </c>
      <c r="D5" s="77">
        <f>VLOOKUP($A5,'2324 Jun 24 Enroll'!$A$3:$AL$327,MATCH(D$3,'2324 Jun 24 Enroll'!$3:$3,0),FALSE)</f>
        <v>0</v>
      </c>
      <c r="E5" s="77">
        <f>VLOOKUP($A5,'2324 Jun 24 Enroll'!$A$3:$AL$327,MATCH(E$3,'2324 Jun 24 Enroll'!$3:$3,0),FALSE)</f>
        <v>138.71</v>
      </c>
      <c r="F5" s="77">
        <f>VLOOKUP($A5,'2324 Jun 24 Enroll'!$A$3:$AL$327,MATCH(F$3,'2324 Jun 24 Enroll'!$3:$3,0),FALSE)</f>
        <v>27.4</v>
      </c>
      <c r="G5" s="77">
        <f>VLOOKUP($A5,'2324 Jun 24 Enroll'!$A$3:$AL$327,MATCH(G$3,'2324 Jun 24 Enroll'!$3:$3,0),FALSE)</f>
        <v>74.7</v>
      </c>
      <c r="H5" s="77">
        <f>VLOOKUP($A5,'2324 Jun 24 Enroll'!$A$3:$AL$327,MATCH(H$3,'2324 Jun 24 Enroll'!$3:$3,0),FALSE)</f>
        <v>47.45</v>
      </c>
      <c r="I5" s="77">
        <f>VLOOKUP($A5,'2324 Jun 24 Enroll'!$A$3:$AL$327,MATCH(I$3,'2324 Jun 24 Enroll'!$3:$3,0),FALSE)</f>
        <v>87.17</v>
      </c>
      <c r="J5" s="108">
        <f>VLOOKUP($A5,'2324 Jun 24 Enroll'!$A$3:$AL$327,MATCH(J$3,'2324 Jun 24 Enroll'!$3:$3,0),FALSE)</f>
        <v>375.43</v>
      </c>
      <c r="K5" s="77">
        <f>VLOOKUP($A5,'2324 Jun 24 Enroll'!$A$3:$AL$327,MATCH(K$3,'2324 Jun 24 Enroll'!$3:$3,0),FALSE)</f>
        <v>4.45</v>
      </c>
      <c r="L5" s="77">
        <f>VLOOKUP($A5,'2324 Jun 24 Enroll'!$A$3:$AL$327,MATCH(L$3,'2324 Jun 24 Enroll'!$3:$3,0),FALSE)</f>
        <v>0.42</v>
      </c>
      <c r="M5" s="77">
        <f>VLOOKUP($A5,'2324 Jun 24 Enroll'!$A$3:$AL$327,MATCH(M$3,'2324 Jun 24 Enroll'!$3:$3,0),FALSE)</f>
        <v>0</v>
      </c>
      <c r="N5" s="77">
        <f>VLOOKUP($A5,'2324 Jun 24 Enroll'!$A$3:$AL$327,MATCH(N$3,'2324 Jun 24 Enroll'!$3:$3,0),FALSE)</f>
        <v>0</v>
      </c>
      <c r="O5" s="77">
        <f>VLOOKUP($A5,'2324 Jun 24 Enroll'!$A$3:$AL$327,MATCH(O$3,'2324 Jun 24 Enroll'!$3:$3,0),FALSE)</f>
        <v>0</v>
      </c>
      <c r="P5" s="77">
        <f>VLOOKUP($A5,'2324 Jun 24 Enroll'!$A$3:$AL$327,MATCH(P$3,'2324 Jun 24 Enroll'!$3:$3,0),FALSE)</f>
        <v>0</v>
      </c>
      <c r="Q5" s="77">
        <f>VLOOKUP($A5,'2324 Jun 24 Enroll'!$A$3:$AL$327,MATCH(Q$3,'2324 Jun 24 Enroll'!$3:$3,0),FALSE)</f>
        <v>0</v>
      </c>
      <c r="R5" s="108">
        <f t="shared" si="0"/>
        <v>380.3</v>
      </c>
      <c r="S5" s="77">
        <f>VLOOKUP($A5,'2324 Jun 24 Enroll'!$A$3:$AL$327,MATCH(S$3,'2324 Jun 24 Enroll'!$3:$3,0),FALSE)</f>
        <v>6</v>
      </c>
      <c r="T5" s="77">
        <f>VLOOKUP($A5,'2324 Jun 24 Enroll'!$A$3:$AL$327,MATCH(T$3,'2324 Jun 24 Enroll'!$3:$3,0),FALSE)</f>
        <v>0</v>
      </c>
      <c r="U5" s="77">
        <f>VLOOKUP($A5,'2324 Jun 24 Enroll'!$A$3:$AL$327,MATCH(U$3,'2324 Jun 24 Enroll'!$3:$3,0),FALSE)</f>
        <v>0</v>
      </c>
      <c r="V5" s="77">
        <f>VLOOKUP($A5,'2324 Jun 24 Enroll'!$A$3:$AL$327,MATCH(V$3,'2324 Jun 24 Enroll'!$3:$3,0),FALSE)</f>
        <v>24.67</v>
      </c>
      <c r="W5" s="77">
        <f>VLOOKUP($A5,'2324 Jun 24 Enroll'!$A$3:$AL$327,MATCH(W$3,'2324 Jun 24 Enroll'!$3:$3,0),FALSE)</f>
        <v>5.22</v>
      </c>
      <c r="X5" s="77">
        <f>VLOOKUP($A5,'2324 Jun 24 Enroll'!$A$3:$AL$327,MATCH(X$3,'2324 Jun 24 Enroll'!$3:$3,0),FALSE)</f>
        <v>386.18</v>
      </c>
      <c r="Y5" s="77">
        <f>VLOOKUP($A5,'2324 Jun 24 Enroll'!$A$3:$AL$327,MATCH(Y$3,'2324 Jun 24 Enroll'!$3:$3,0),FALSE)</f>
        <v>29.89</v>
      </c>
      <c r="Z5" s="92">
        <f t="shared" si="1"/>
        <v>7.7399999999999997E-2</v>
      </c>
      <c r="AA5" s="92">
        <f t="shared" si="2"/>
        <v>0</v>
      </c>
      <c r="AB5" s="93">
        <v>132.1</v>
      </c>
      <c r="AC5" s="93">
        <f t="shared" si="3"/>
        <v>21.86</v>
      </c>
      <c r="AD5" s="94">
        <f>VLOOKUP($A5,'2324 Jun 24 Enroll'!$A$3:$AL$327,MATCH(AD$3,'2324 Jun 24 Enroll'!$3:$3,0),FALSE)</f>
        <v>0.2185</v>
      </c>
      <c r="AE5" s="94">
        <f>VLOOKUP($A5,'2324 Jun 24 Enroll'!$A$3:$AL$327,MATCH(AE$3,'2324 Jun 24 Enroll'!$3:$3,0),FALSE)</f>
        <v>0.19130000000000003</v>
      </c>
      <c r="AF5" s="93">
        <f>VLOOKUP($A5,'SpEd BEA Rate 2425'!$A$4:$AT$37,45,FALSE)</f>
        <v>10447.450000000003</v>
      </c>
      <c r="AG5" s="102">
        <f>ROUND(S5*$B$41*$AF$37,2)</f>
        <v>72099.649999999994</v>
      </c>
      <c r="AH5" s="102">
        <f t="shared" ref="AH5:AH36" si="4">ROUND(T5*(($B$42*$AF$37)-$AC$37),2)</f>
        <v>0</v>
      </c>
      <c r="AI5" s="102">
        <f t="shared" ref="AI5:AI36" si="5">ROUND(U5*(($B$43*$AF$37)-$AC$37),2)</f>
        <v>0</v>
      </c>
      <c r="AJ5" s="102">
        <f>ROUND(V5*(($B$44*$AF$37)-$AC$37),2)</f>
        <v>276167.84000000003</v>
      </c>
      <c r="AK5" s="102">
        <f>ROUND(W5*(($B$45*$AF$37)-$AC$37),2)</f>
        <v>55298.86</v>
      </c>
      <c r="AL5" s="102">
        <f t="shared" ref="AL5:AL36" si="6">IF($Z$37&lt;$B$40,0,ROUND(((((AH5+AI5+AJ5+AK5)*-1)/$Z$37)*$AA$37),2))</f>
        <v>0</v>
      </c>
      <c r="AM5" s="45">
        <f t="shared" ref="AM5:AM36" si="7">ROUND(Y5*$AF$37,2)</f>
        <v>299313.68</v>
      </c>
      <c r="AN5" s="45">
        <f t="shared" ref="AN5:AN36" si="8">ROUND(AM5/(1+AD5),2)</f>
        <v>245641.1</v>
      </c>
      <c r="AO5" s="102">
        <f t="shared" ref="AO5:AO36" si="9">ROUND(AN5*AE5,2)</f>
        <v>46991.14</v>
      </c>
    </row>
    <row r="6" spans="1:41" ht="15.75" thickBot="1">
      <c r="A6" s="40" t="s">
        <v>363</v>
      </c>
      <c r="B6" s="40" t="s">
        <v>364</v>
      </c>
      <c r="C6" s="77">
        <f>VLOOKUP($A6,'2324 Jun 24 Enroll'!$A$3:$AL$327,MATCH(C$3,'2324 Jun 24 Enroll'!$3:$3,0),FALSE)</f>
        <v>17</v>
      </c>
      <c r="D6" s="77">
        <f>VLOOKUP($A6,'2324 Jun 24 Enroll'!$A$3:$AL$327,MATCH(D$3,'2324 Jun 24 Enroll'!$3:$3,0),FALSE)</f>
        <v>16.95</v>
      </c>
      <c r="E6" s="77">
        <f>VLOOKUP($A6,'2324 Jun 24 Enroll'!$A$3:$AL$327,MATCH(E$3,'2324 Jun 24 Enroll'!$3:$3,0),FALSE)</f>
        <v>334.71</v>
      </c>
      <c r="F6" s="77">
        <f>VLOOKUP($A6,'2324 Jun 24 Enroll'!$A$3:$AL$327,MATCH(F$3,'2324 Jun 24 Enroll'!$3:$3,0),FALSE)</f>
        <v>86</v>
      </c>
      <c r="G6" s="77">
        <f>VLOOKUP($A6,'2324 Jun 24 Enroll'!$A$3:$AL$327,MATCH(G$3,'2324 Jun 24 Enroll'!$3:$3,0),FALSE)</f>
        <v>175.46</v>
      </c>
      <c r="H6" s="77">
        <f>VLOOKUP($A6,'2324 Jun 24 Enroll'!$A$3:$AL$327,MATCH(H$3,'2324 Jun 24 Enroll'!$3:$3,0),FALSE)</f>
        <v>175.52</v>
      </c>
      <c r="I6" s="77">
        <f>VLOOKUP($A6,'2324 Jun 24 Enroll'!$A$3:$AL$327,MATCH(I$3,'2324 Jun 24 Enroll'!$3:$3,0),FALSE)</f>
        <v>359.86</v>
      </c>
      <c r="J6" s="108">
        <f>VLOOKUP($A6,'2324 Jun 24 Enroll'!$A$3:$AL$327,MATCH(J$3,'2324 Jun 24 Enroll'!$3:$3,0),FALSE)</f>
        <v>1131.55</v>
      </c>
      <c r="K6" s="77">
        <f>VLOOKUP($A6,'2324 Jun 24 Enroll'!$A$3:$AL$327,MATCH(K$3,'2324 Jun 24 Enroll'!$3:$3,0),FALSE)</f>
        <v>34.270000000000003</v>
      </c>
      <c r="L6" s="77">
        <f>VLOOKUP($A6,'2324 Jun 24 Enroll'!$A$3:$AL$327,MATCH(L$3,'2324 Jun 24 Enroll'!$3:$3,0),FALSE)</f>
        <v>2.19</v>
      </c>
      <c r="M6" s="77">
        <f>VLOOKUP($A6,'2324 Jun 24 Enroll'!$A$3:$AL$327,MATCH(M$3,'2324 Jun 24 Enroll'!$3:$3,0),FALSE)</f>
        <v>0</v>
      </c>
      <c r="N6" s="77">
        <f>VLOOKUP($A6,'2324 Jun 24 Enroll'!$A$3:$AL$327,MATCH(N$3,'2324 Jun 24 Enroll'!$3:$3,0),FALSE)</f>
        <v>0</v>
      </c>
      <c r="O6" s="77">
        <f>VLOOKUP($A6,'2324 Jun 24 Enroll'!$A$3:$AL$327,MATCH(O$3,'2324 Jun 24 Enroll'!$3:$3,0),FALSE)</f>
        <v>28.27</v>
      </c>
      <c r="P6" s="77">
        <f>VLOOKUP($A6,'2324 Jun 24 Enroll'!$A$3:$AL$327,MATCH(P$3,'2324 Jun 24 Enroll'!$3:$3,0),FALSE)</f>
        <v>8.48</v>
      </c>
      <c r="Q6" s="77">
        <f>VLOOKUP($A6,'2324 Jun 24 Enroll'!$A$3:$AL$327,MATCH(Q$3,'2324 Jun 24 Enroll'!$3:$3,0),FALSE)</f>
        <v>1.1599999999999999</v>
      </c>
      <c r="R6" s="108">
        <f t="shared" si="0"/>
        <v>1205.92</v>
      </c>
      <c r="S6" s="77">
        <f>VLOOKUP($A6,'2324 Jun 24 Enroll'!$A$3:$AL$327,MATCH(S$3,'2324 Jun 24 Enroll'!$3:$3,0),FALSE)</f>
        <v>14.11</v>
      </c>
      <c r="T6" s="77">
        <f>VLOOKUP($A6,'2324 Jun 24 Enroll'!$A$3:$AL$327,MATCH(T$3,'2324 Jun 24 Enroll'!$3:$3,0),FALSE)</f>
        <v>0.67</v>
      </c>
      <c r="U6" s="77">
        <f>VLOOKUP($A6,'2324 Jun 24 Enroll'!$A$3:$AL$327,MATCH(U$3,'2324 Jun 24 Enroll'!$3:$3,0),FALSE)</f>
        <v>0.89</v>
      </c>
      <c r="V6" s="77">
        <f>VLOOKUP($A6,'2324 Jun 24 Enroll'!$A$3:$AL$327,MATCH(V$3,'2324 Jun 24 Enroll'!$3:$3,0),FALSE)</f>
        <v>77.44</v>
      </c>
      <c r="W6" s="77">
        <f>VLOOKUP($A6,'2324 Jun 24 Enroll'!$A$3:$AL$327,MATCH(W$3,'2324 Jun 24 Enroll'!$3:$3,0),FALSE)</f>
        <v>49</v>
      </c>
      <c r="X6" s="77">
        <f>VLOOKUP($A6,'2324 Jun 24 Enroll'!$A$3:$AL$327,MATCH(X$3,'2324 Jun 24 Enroll'!$3:$3,0),FALSE)</f>
        <v>1223.76</v>
      </c>
      <c r="Y6" s="77">
        <f>VLOOKUP($A6,'2324 Jun 24 Enroll'!$A$3:$AL$327,MATCH(Y$3,'2324 Jun 24 Enroll'!$3:$3,0),FALSE)</f>
        <v>128</v>
      </c>
      <c r="Z6" s="92">
        <f t="shared" si="1"/>
        <v>0.1046</v>
      </c>
      <c r="AA6" s="92">
        <f t="shared" si="2"/>
        <v>0</v>
      </c>
      <c r="AB6" s="93">
        <v>132.1</v>
      </c>
      <c r="AC6" s="93">
        <f t="shared" si="3"/>
        <v>21.86</v>
      </c>
      <c r="AD6" s="94">
        <f>VLOOKUP($A6,'2324 Jun 24 Enroll'!$A$3:$AL$327,MATCH(AD$3,'2324 Jun 24 Enroll'!$3:$3,0),FALSE)</f>
        <v>0.15049999999999999</v>
      </c>
      <c r="AE6" s="94">
        <f>VLOOKUP($A6,'2324 Jun 24 Enroll'!$A$3:$AL$327,MATCH(AE$3,'2324 Jun 24 Enroll'!$3:$3,0),FALSE)</f>
        <v>0.19130000000000003</v>
      </c>
      <c r="AF6" s="93">
        <f>VLOOKUP($A6,'SpEd BEA Rate 2425'!$A$4:$AT$37,45,FALSE)</f>
        <v>10043.549999999997</v>
      </c>
      <c r="AG6" s="102">
        <f t="shared" ref="AG6:AG36" si="10">ROUND(S6*$B$41*$AF$37,2)</f>
        <v>169554.34</v>
      </c>
      <c r="AH6" s="102">
        <f t="shared" si="4"/>
        <v>7500.3</v>
      </c>
      <c r="AI6" s="102">
        <f t="shared" si="5"/>
        <v>9428.35</v>
      </c>
      <c r="AJ6" s="102">
        <f t="shared" ref="AJ6:AJ36" si="11">ROUND(V6*(($B$44*$AF$37)-$AC$37),2)</f>
        <v>866900.59</v>
      </c>
      <c r="AK6" s="102">
        <f t="shared" ref="AK6:AK36" si="12">ROUND(W6*(($B$45*$AF$37)-$AC$37),2)</f>
        <v>519088.87</v>
      </c>
      <c r="AL6" s="102">
        <f t="shared" si="6"/>
        <v>0</v>
      </c>
      <c r="AM6" s="45">
        <f t="shared" si="7"/>
        <v>1281771.52</v>
      </c>
      <c r="AN6" s="45">
        <f t="shared" si="8"/>
        <v>1114099.54</v>
      </c>
      <c r="AO6" s="102">
        <f t="shared" si="9"/>
        <v>213127.24</v>
      </c>
    </row>
    <row r="7" spans="1:41" ht="15.75" thickBot="1">
      <c r="A7" s="40" t="s">
        <v>494</v>
      </c>
      <c r="B7" s="40" t="s">
        <v>495</v>
      </c>
      <c r="C7" s="77">
        <f>VLOOKUP($A7,'2324 Jun 24 Enroll'!$A$3:$AL$327,MATCH(C$3,'2324 Jun 24 Enroll'!$3:$3,0),FALSE)</f>
        <v>17</v>
      </c>
      <c r="D7" s="77">
        <f>VLOOKUP($A7,'2324 Jun 24 Enroll'!$A$3:$AL$327,MATCH(D$3,'2324 Jun 24 Enroll'!$3:$3,0),FALSE)</f>
        <v>0</v>
      </c>
      <c r="E7" s="77">
        <f>VLOOKUP($A7,'2324 Jun 24 Enroll'!$A$3:$AL$327,MATCH(E$3,'2324 Jun 24 Enroll'!$3:$3,0),FALSE)</f>
        <v>79.3</v>
      </c>
      <c r="F7" s="77">
        <f>VLOOKUP($A7,'2324 Jun 24 Enroll'!$A$3:$AL$327,MATCH(F$3,'2324 Jun 24 Enroll'!$3:$3,0),FALSE)</f>
        <v>19</v>
      </c>
      <c r="G7" s="77">
        <f>VLOOKUP($A7,'2324 Jun 24 Enroll'!$A$3:$AL$327,MATCH(G$3,'2324 Jun 24 Enroll'!$3:$3,0),FALSE)</f>
        <v>40.799999999999997</v>
      </c>
      <c r="H7" s="77">
        <f>VLOOKUP($A7,'2324 Jun 24 Enroll'!$A$3:$AL$327,MATCH(H$3,'2324 Jun 24 Enroll'!$3:$3,0),FALSE)</f>
        <v>28.6</v>
      </c>
      <c r="I7" s="77">
        <f>VLOOKUP($A7,'2324 Jun 24 Enroll'!$A$3:$AL$327,MATCH(I$3,'2324 Jun 24 Enroll'!$3:$3,0),FALSE)</f>
        <v>0</v>
      </c>
      <c r="J7" s="108">
        <f>VLOOKUP($A7,'2324 Jun 24 Enroll'!$A$3:$AL$327,MATCH(J$3,'2324 Jun 24 Enroll'!$3:$3,0),FALSE)</f>
        <v>167.7</v>
      </c>
      <c r="K7" s="77">
        <f>VLOOKUP($A7,'2324 Jun 24 Enroll'!$A$3:$AL$327,MATCH(K$3,'2324 Jun 24 Enroll'!$3:$3,0),FALSE)</f>
        <v>0</v>
      </c>
      <c r="L7" s="77">
        <f>VLOOKUP($A7,'2324 Jun 24 Enroll'!$A$3:$AL$327,MATCH(L$3,'2324 Jun 24 Enroll'!$3:$3,0),FALSE)</f>
        <v>0</v>
      </c>
      <c r="M7" s="77">
        <f>VLOOKUP($A7,'2324 Jun 24 Enroll'!$A$3:$AL$327,MATCH(M$3,'2324 Jun 24 Enroll'!$3:$3,0),FALSE)</f>
        <v>0</v>
      </c>
      <c r="N7" s="77">
        <f>VLOOKUP($A7,'2324 Jun 24 Enroll'!$A$3:$AL$327,MATCH(N$3,'2324 Jun 24 Enroll'!$3:$3,0),FALSE)</f>
        <v>0</v>
      </c>
      <c r="O7" s="77">
        <f>VLOOKUP($A7,'2324 Jun 24 Enroll'!$A$3:$AL$327,MATCH(O$3,'2324 Jun 24 Enroll'!$3:$3,0),FALSE)</f>
        <v>0</v>
      </c>
      <c r="P7" s="77">
        <f>VLOOKUP($A7,'2324 Jun 24 Enroll'!$A$3:$AL$327,MATCH(P$3,'2324 Jun 24 Enroll'!$3:$3,0),FALSE)</f>
        <v>0</v>
      </c>
      <c r="Q7" s="77">
        <f>VLOOKUP($A7,'2324 Jun 24 Enroll'!$A$3:$AL$327,MATCH(Q$3,'2324 Jun 24 Enroll'!$3:$3,0),FALSE)</f>
        <v>0</v>
      </c>
      <c r="R7" s="108">
        <f>SUM(J7:Q7)</f>
        <v>167.7</v>
      </c>
      <c r="S7" s="77">
        <f>VLOOKUP($A7,'2324 Jun 24 Enroll'!$A$3:$AL$327,MATCH(S$3,'2324 Jun 24 Enroll'!$3:$3,0),FALSE)</f>
        <v>0.67</v>
      </c>
      <c r="T7" s="77">
        <f>VLOOKUP($A7,'2324 Jun 24 Enroll'!$A$3:$AL$327,MATCH(T$3,'2324 Jun 24 Enroll'!$3:$3,0),FALSE)</f>
        <v>0</v>
      </c>
      <c r="U7" s="77">
        <f>VLOOKUP($A7,'2324 Jun 24 Enroll'!$A$3:$AL$327,MATCH(U$3,'2324 Jun 24 Enroll'!$3:$3,0),FALSE)</f>
        <v>0</v>
      </c>
      <c r="V7" s="77">
        <f>VLOOKUP($A7,'2324 Jun 24 Enroll'!$A$3:$AL$327,MATCH(V$3,'2324 Jun 24 Enroll'!$3:$3,0),FALSE)</f>
        <v>16.78</v>
      </c>
      <c r="W7" s="77">
        <f>VLOOKUP($A7,'2324 Jun 24 Enroll'!$A$3:$AL$327,MATCH(W$3,'2324 Jun 24 Enroll'!$3:$3,0),FALSE)</f>
        <v>1</v>
      </c>
      <c r="X7" s="77">
        <f>VLOOKUP($A7,'2324 Jun 24 Enroll'!$A$3:$AL$327,MATCH(X$3,'2324 Jun 24 Enroll'!$3:$3,0),FALSE)</f>
        <v>167.7</v>
      </c>
      <c r="Y7" s="77">
        <f>VLOOKUP($A7,'2324 Jun 24 Enroll'!$A$3:$AL$327,MATCH(Y$3,'2324 Jun 24 Enroll'!$3:$3,0),FALSE)</f>
        <v>17.78</v>
      </c>
      <c r="Z7" s="92">
        <f>ROUND((T7+U7+V7+W7)/X7,4)</f>
        <v>0.106</v>
      </c>
      <c r="AA7" s="92">
        <f>IF(Z7&lt;$B$40,0,Z7-$B$40)</f>
        <v>0</v>
      </c>
      <c r="AB7" s="93">
        <v>132.1</v>
      </c>
      <c r="AC7" s="93">
        <f>ROUND(AB7*24/145,2)</f>
        <v>21.86</v>
      </c>
      <c r="AD7" s="94">
        <f>VLOOKUP($A7,'2324 Jun 24 Enroll'!$A$3:$AL$327,MATCH(AD$3,'2324 Jun 24 Enroll'!$3:$3,0),FALSE)</f>
        <v>0.28460000000000002</v>
      </c>
      <c r="AE7" s="94">
        <f>VLOOKUP($A7,'2324 Jun 24 Enroll'!$A$3:$AL$327,MATCH(AE$3,'2324 Jun 24 Enroll'!$3:$3,0),FALSE)</f>
        <v>0.19130000000000003</v>
      </c>
      <c r="AF7" s="93">
        <f>VLOOKUP($A7,'SpEd BEA Rate 2425'!$A$4:$AT$37,45,FALSE)</f>
        <v>10912.420000000002</v>
      </c>
      <c r="AG7" s="102">
        <f t="shared" si="10"/>
        <v>8051.13</v>
      </c>
      <c r="AH7" s="102">
        <f t="shared" si="4"/>
        <v>0</v>
      </c>
      <c r="AI7" s="102">
        <f t="shared" si="5"/>
        <v>0</v>
      </c>
      <c r="AJ7" s="102">
        <f t="shared" si="11"/>
        <v>187843.39</v>
      </c>
      <c r="AK7" s="102">
        <f t="shared" si="12"/>
        <v>10593.65</v>
      </c>
      <c r="AL7" s="102">
        <f t="shared" si="6"/>
        <v>0</v>
      </c>
      <c r="AM7" s="45">
        <f t="shared" si="7"/>
        <v>178046.07999999999</v>
      </c>
      <c r="AN7" s="45">
        <f t="shared" si="8"/>
        <v>138600.4</v>
      </c>
      <c r="AO7" s="102">
        <f t="shared" si="9"/>
        <v>26514.26</v>
      </c>
    </row>
    <row r="8" spans="1:41" ht="15.75" thickBot="1">
      <c r="A8" s="40" t="s">
        <v>426</v>
      </c>
      <c r="B8" s="40" t="s">
        <v>427</v>
      </c>
      <c r="C8" s="77">
        <f>VLOOKUP($A8,'2324 Jun 24 Enroll'!$A$3:$AL$327,MATCH(C$3,'2324 Jun 24 Enroll'!$3:$3,0),FALSE)</f>
        <v>17</v>
      </c>
      <c r="D8" s="77">
        <f>VLOOKUP($A8,'2324 Jun 24 Enroll'!$A$3:$AL$327,MATCH(D$3,'2324 Jun 24 Enroll'!$3:$3,0),FALSE)</f>
        <v>0</v>
      </c>
      <c r="E8" s="77">
        <f>VLOOKUP($A8,'2324 Jun 24 Enroll'!$A$3:$AL$327,MATCH(E$3,'2324 Jun 24 Enroll'!$3:$3,0),FALSE)</f>
        <v>112.4</v>
      </c>
      <c r="F8" s="77">
        <f>VLOOKUP($A8,'2324 Jun 24 Enroll'!$A$3:$AL$327,MATCH(F$3,'2324 Jun 24 Enroll'!$3:$3,0),FALSE)</f>
        <v>28.7</v>
      </c>
      <c r="G8" s="77">
        <f>VLOOKUP($A8,'2324 Jun 24 Enroll'!$A$3:$AL$327,MATCH(G$3,'2324 Jun 24 Enroll'!$3:$3,0),FALSE)</f>
        <v>49.28</v>
      </c>
      <c r="H8" s="77">
        <f>VLOOKUP($A8,'2324 Jun 24 Enroll'!$A$3:$AL$327,MATCH(H$3,'2324 Jun 24 Enroll'!$3:$3,0),FALSE)</f>
        <v>55.14</v>
      </c>
      <c r="I8" s="77">
        <f>VLOOKUP($A8,'2324 Jun 24 Enroll'!$A$3:$AL$327,MATCH(I$3,'2324 Jun 24 Enroll'!$3:$3,0),FALSE)</f>
        <v>82.24</v>
      </c>
      <c r="J8" s="108">
        <f>VLOOKUP($A8,'2324 Jun 24 Enroll'!$A$3:$AL$327,MATCH(J$3,'2324 Jun 24 Enroll'!$3:$3,0),FALSE)</f>
        <v>327.76</v>
      </c>
      <c r="K8" s="77">
        <f>VLOOKUP($A8,'2324 Jun 24 Enroll'!$A$3:$AL$327,MATCH(K$3,'2324 Jun 24 Enroll'!$3:$3,0),FALSE)</f>
        <v>9.89</v>
      </c>
      <c r="L8" s="77">
        <f>VLOOKUP($A8,'2324 Jun 24 Enroll'!$A$3:$AL$327,MATCH(L$3,'2324 Jun 24 Enroll'!$3:$3,0),FALSE)</f>
        <v>1.37</v>
      </c>
      <c r="M8" s="77">
        <f>VLOOKUP($A8,'2324 Jun 24 Enroll'!$A$3:$AL$327,MATCH(M$3,'2324 Jun 24 Enroll'!$3:$3,0),FALSE)</f>
        <v>5.6</v>
      </c>
      <c r="N8" s="77">
        <f>VLOOKUP($A8,'2324 Jun 24 Enroll'!$A$3:$AL$327,MATCH(N$3,'2324 Jun 24 Enroll'!$3:$3,0),FALSE)</f>
        <v>0</v>
      </c>
      <c r="O8" s="77">
        <f>VLOOKUP($A8,'2324 Jun 24 Enroll'!$A$3:$AL$327,MATCH(O$3,'2324 Jun 24 Enroll'!$3:$3,0),FALSE)</f>
        <v>0</v>
      </c>
      <c r="P8" s="77">
        <f>VLOOKUP($A8,'2324 Jun 24 Enroll'!$A$3:$AL$327,MATCH(P$3,'2324 Jun 24 Enroll'!$3:$3,0),FALSE)</f>
        <v>0</v>
      </c>
      <c r="Q8" s="77">
        <f>VLOOKUP($A8,'2324 Jun 24 Enroll'!$A$3:$AL$327,MATCH(Q$3,'2324 Jun 24 Enroll'!$3:$3,0),FALSE)</f>
        <v>0</v>
      </c>
      <c r="R8" s="108">
        <f t="shared" ref="R8:R36" si="13">SUM(J8:Q8)</f>
        <v>344.62</v>
      </c>
      <c r="S8" s="77">
        <f>VLOOKUP($A8,'2324 Jun 24 Enroll'!$A$3:$AL$327,MATCH(S$3,'2324 Jun 24 Enroll'!$3:$3,0),FALSE)</f>
        <v>3.33</v>
      </c>
      <c r="T8" s="77">
        <f>VLOOKUP($A8,'2324 Jun 24 Enroll'!$A$3:$AL$327,MATCH(T$3,'2324 Jun 24 Enroll'!$3:$3,0),FALSE)</f>
        <v>0</v>
      </c>
      <c r="U8" s="77">
        <f>VLOOKUP($A8,'2324 Jun 24 Enroll'!$A$3:$AL$327,MATCH(U$3,'2324 Jun 24 Enroll'!$3:$3,0),FALSE)</f>
        <v>0</v>
      </c>
      <c r="V8" s="77">
        <f>VLOOKUP($A8,'2324 Jun 24 Enroll'!$A$3:$AL$327,MATCH(V$3,'2324 Jun 24 Enroll'!$3:$3,0),FALSE)</f>
        <v>37.78</v>
      </c>
      <c r="W8" s="77">
        <f>VLOOKUP($A8,'2324 Jun 24 Enroll'!$A$3:$AL$327,MATCH(W$3,'2324 Jun 24 Enroll'!$3:$3,0),FALSE)</f>
        <v>11.11</v>
      </c>
      <c r="X8" s="77">
        <f>VLOOKUP($A8,'2324 Jun 24 Enroll'!$A$3:$AL$327,MATCH(X$3,'2324 Jun 24 Enroll'!$3:$3,0),FALSE)</f>
        <v>347.36</v>
      </c>
      <c r="Y8" s="77">
        <f>VLOOKUP($A8,'2324 Jun 24 Enroll'!$A$3:$AL$327,MATCH(Y$3,'2324 Jun 24 Enroll'!$3:$3,0),FALSE)</f>
        <v>48.89</v>
      </c>
      <c r="Z8" s="92">
        <f t="shared" ref="Z8:Z35" si="14">ROUND((T8+U8+V8+W8)/X8,4)</f>
        <v>0.14069999999999999</v>
      </c>
      <c r="AA8" s="92">
        <f t="shared" ref="AA8:AA36" si="15">IF(Z8&lt;$B$40,0,Z8-$B$40)</f>
        <v>0</v>
      </c>
      <c r="AB8" s="93">
        <v>119.43</v>
      </c>
      <c r="AC8" s="93">
        <f t="shared" ref="AC8:AC36" si="16">ROUND(AB8*24/145,2)</f>
        <v>19.77</v>
      </c>
      <c r="AD8" s="94">
        <f>VLOOKUP($A8,'2324 Jun 24 Enroll'!$A$3:$AL$327,MATCH(AD$3,'2324 Jun 24 Enroll'!$3:$3,0),FALSE)</f>
        <v>0.2051</v>
      </c>
      <c r="AE8" s="94">
        <f>VLOOKUP($A8,'2324 Jun 24 Enroll'!$A$3:$AL$327,MATCH(AE$3,'2324 Jun 24 Enroll'!$3:$3,0),FALSE)</f>
        <v>0.19130000000000003</v>
      </c>
      <c r="AF8" s="93">
        <f>VLOOKUP($A8,'SpEd BEA Rate 2425'!$A$4:$AT$37,45,FALSE)</f>
        <v>10347.42</v>
      </c>
      <c r="AG8" s="102">
        <f t="shared" si="10"/>
        <v>40015.300000000003</v>
      </c>
      <c r="AH8" s="102">
        <f t="shared" si="4"/>
        <v>0</v>
      </c>
      <c r="AI8" s="102">
        <f t="shared" si="5"/>
        <v>0</v>
      </c>
      <c r="AJ8" s="102">
        <f t="shared" si="11"/>
        <v>422927.48</v>
      </c>
      <c r="AK8" s="102">
        <f t="shared" si="12"/>
        <v>117695.46</v>
      </c>
      <c r="AL8" s="102">
        <f t="shared" si="6"/>
        <v>0</v>
      </c>
      <c r="AM8" s="45">
        <f t="shared" si="7"/>
        <v>489576.64</v>
      </c>
      <c r="AN8" s="45">
        <f t="shared" si="8"/>
        <v>406253.95</v>
      </c>
      <c r="AO8" s="102">
        <f t="shared" si="9"/>
        <v>77716.38</v>
      </c>
    </row>
    <row r="9" spans="1:41" ht="15.75" thickBot="1">
      <c r="A9" s="40" t="s">
        <v>829</v>
      </c>
      <c r="B9" s="40" t="s">
        <v>830</v>
      </c>
      <c r="C9" s="77">
        <f>VLOOKUP($A9,'2324 Jun 24 Enroll'!$A$3:$AL$327,MATCH(C$3,'2324 Jun 24 Enroll'!$3:$3,0),FALSE)</f>
        <v>17.989999999999998</v>
      </c>
      <c r="D9" s="77">
        <f>VLOOKUP($A9,'2324 Jun 24 Enroll'!$A$3:$AL$327,MATCH(D$3,'2324 Jun 24 Enroll'!$3:$3,0),FALSE)</f>
        <v>0</v>
      </c>
      <c r="E9" s="77">
        <f>VLOOKUP($A9,'2324 Jun 24 Enroll'!$A$3:$AL$327,MATCH(E$3,'2324 Jun 24 Enroll'!$3:$3,0),FALSE)</f>
        <v>218.72</v>
      </c>
      <c r="F9" s="77">
        <f>VLOOKUP($A9,'2324 Jun 24 Enroll'!$A$3:$AL$327,MATCH(F$3,'2324 Jun 24 Enroll'!$3:$3,0),FALSE)</f>
        <v>56.7</v>
      </c>
      <c r="G9" s="77">
        <f>VLOOKUP($A9,'2324 Jun 24 Enroll'!$A$3:$AL$327,MATCH(G$3,'2324 Jun 24 Enroll'!$3:$3,0),FALSE)</f>
        <v>102.7</v>
      </c>
      <c r="H9" s="77">
        <f>VLOOKUP($A9,'2324 Jun 24 Enroll'!$A$3:$AL$327,MATCH(H$3,'2324 Jun 24 Enroll'!$3:$3,0),FALSE)</f>
        <v>113.43</v>
      </c>
      <c r="I9" s="77">
        <f>VLOOKUP($A9,'2324 Jun 24 Enroll'!$A$3:$AL$327,MATCH(I$3,'2324 Jun 24 Enroll'!$3:$3,0),FALSE)</f>
        <v>151.75</v>
      </c>
      <c r="J9" s="108">
        <f>VLOOKUP($A9,'2324 Jun 24 Enroll'!$A$3:$AL$327,MATCH(J$3,'2324 Jun 24 Enroll'!$3:$3,0),FALSE)</f>
        <v>643.29999999999995</v>
      </c>
      <c r="K9" s="77">
        <f>VLOOKUP($A9,'2324 Jun 24 Enroll'!$A$3:$AL$327,MATCH(K$3,'2324 Jun 24 Enroll'!$3:$3,0),FALSE)</f>
        <v>27.72</v>
      </c>
      <c r="L9" s="77">
        <f>VLOOKUP($A9,'2324 Jun 24 Enroll'!$A$3:$AL$327,MATCH(L$3,'2324 Jun 24 Enroll'!$3:$3,0),FALSE)</f>
        <v>2.61</v>
      </c>
      <c r="M9" s="77">
        <f>VLOOKUP($A9,'2324 Jun 24 Enroll'!$A$3:$AL$327,MATCH(M$3,'2324 Jun 24 Enroll'!$3:$3,0),FALSE)</f>
        <v>0</v>
      </c>
      <c r="N9" s="77">
        <f>VLOOKUP($A9,'2324 Jun 24 Enroll'!$A$3:$AL$327,MATCH(N$3,'2324 Jun 24 Enroll'!$3:$3,0),FALSE)</f>
        <v>0</v>
      </c>
      <c r="O9" s="77">
        <f>VLOOKUP($A9,'2324 Jun 24 Enroll'!$A$3:$AL$327,MATCH(O$3,'2324 Jun 24 Enroll'!$3:$3,0),FALSE)</f>
        <v>0</v>
      </c>
      <c r="P9" s="77">
        <f>VLOOKUP($A9,'2324 Jun 24 Enroll'!$A$3:$AL$327,MATCH(P$3,'2324 Jun 24 Enroll'!$3:$3,0),FALSE)</f>
        <v>0</v>
      </c>
      <c r="Q9" s="77">
        <f>VLOOKUP($A9,'2324 Jun 24 Enroll'!$A$3:$AL$327,MATCH(Q$3,'2324 Jun 24 Enroll'!$3:$3,0),FALSE)</f>
        <v>0</v>
      </c>
      <c r="R9" s="108">
        <f t="shared" si="13"/>
        <v>673.63</v>
      </c>
      <c r="S9" s="77">
        <f>VLOOKUP($A9,'2324 Jun 24 Enroll'!$A$3:$AL$327,MATCH(S$3,'2324 Jun 24 Enroll'!$3:$3,0),FALSE)</f>
        <v>3.78</v>
      </c>
      <c r="T9" s="77">
        <f>VLOOKUP($A9,'2324 Jun 24 Enroll'!$A$3:$AL$327,MATCH(T$3,'2324 Jun 24 Enroll'!$3:$3,0),FALSE)</f>
        <v>0</v>
      </c>
      <c r="U9" s="77">
        <f>VLOOKUP($A9,'2324 Jun 24 Enroll'!$A$3:$AL$327,MATCH(U$3,'2324 Jun 24 Enroll'!$3:$3,0),FALSE)</f>
        <v>0</v>
      </c>
      <c r="V9" s="77">
        <f>VLOOKUP($A9,'2324 Jun 24 Enroll'!$A$3:$AL$327,MATCH(V$3,'2324 Jun 24 Enroll'!$3:$3,0),FALSE)</f>
        <v>61.33</v>
      </c>
      <c r="W9" s="77">
        <f>VLOOKUP($A9,'2324 Jun 24 Enroll'!$A$3:$AL$327,MATCH(W$3,'2324 Jun 24 Enroll'!$3:$3,0),FALSE)</f>
        <v>34.33</v>
      </c>
      <c r="X9" s="77">
        <f>VLOOKUP($A9,'2324 Jun 24 Enroll'!$A$3:$AL$327,MATCH(X$3,'2324 Jun 24 Enroll'!$3:$3,0),FALSE)</f>
        <v>673.63</v>
      </c>
      <c r="Y9" s="77">
        <f>VLOOKUP($A9,'2324 Jun 24 Enroll'!$A$3:$AL$327,MATCH(Y$3,'2324 Jun 24 Enroll'!$3:$3,0),FALSE)</f>
        <v>95.66</v>
      </c>
      <c r="Z9" s="92">
        <f t="shared" si="14"/>
        <v>0.14199999999999999</v>
      </c>
      <c r="AA9" s="92">
        <f t="shared" si="15"/>
        <v>0</v>
      </c>
      <c r="AB9" s="93">
        <v>119.42</v>
      </c>
      <c r="AC9" s="93">
        <f t="shared" si="16"/>
        <v>19.77</v>
      </c>
      <c r="AD9" s="94">
        <f>VLOOKUP($A9,'2324 Jun 24 Enroll'!$A$3:$AL$327,MATCH(AD$3,'2324 Jun 24 Enroll'!$3:$3,0),FALSE)</f>
        <v>0.19439999999999999</v>
      </c>
      <c r="AE9" s="94">
        <f>VLOOKUP($A9,'2324 Jun 24 Enroll'!$A$3:$AL$327,MATCH(AE$3,'2324 Jun 24 Enroll'!$3:$3,0),FALSE)</f>
        <v>0.19130000000000003</v>
      </c>
      <c r="AF9" s="93">
        <f>VLOOKUP($A9,'SpEd BEA Rate 2425'!$A$4:$AT$37,45,FALSE)</f>
        <v>10035.109999999999</v>
      </c>
      <c r="AG9" s="102">
        <f t="shared" si="10"/>
        <v>45422.78</v>
      </c>
      <c r="AH9" s="102">
        <f t="shared" si="4"/>
        <v>0</v>
      </c>
      <c r="AI9" s="102">
        <f t="shared" si="5"/>
        <v>0</v>
      </c>
      <c r="AJ9" s="102">
        <f t="shared" si="11"/>
        <v>686557.51</v>
      </c>
      <c r="AK9" s="102">
        <f t="shared" si="12"/>
        <v>363680.02</v>
      </c>
      <c r="AL9" s="102">
        <f t="shared" si="6"/>
        <v>0</v>
      </c>
      <c r="AM9" s="45">
        <f t="shared" si="7"/>
        <v>957923.93</v>
      </c>
      <c r="AN9" s="45">
        <f t="shared" si="8"/>
        <v>802012.67</v>
      </c>
      <c r="AO9" s="102">
        <f t="shared" si="9"/>
        <v>153425.01999999999</v>
      </c>
    </row>
    <row r="10" spans="1:41" ht="15.75" thickBot="1">
      <c r="A10" s="40" t="s">
        <v>518</v>
      </c>
      <c r="B10" s="40" t="s">
        <v>519</v>
      </c>
      <c r="C10" s="77">
        <f>VLOOKUP($A10,'2324 Jun 24 Enroll'!$A$3:$AL$327,MATCH(C$3,'2324 Jun 24 Enroll'!$3:$3,0),FALSE)</f>
        <v>17</v>
      </c>
      <c r="D10" s="77">
        <f>VLOOKUP($A10,'2324 Jun 24 Enroll'!$A$3:$AL$327,MATCH(D$3,'2324 Jun 24 Enroll'!$3:$3,0),FALSE)</f>
        <v>34.340000000000003</v>
      </c>
      <c r="E10" s="77">
        <f>VLOOKUP($A10,'2324 Jun 24 Enroll'!$A$3:$AL$327,MATCH(E$3,'2324 Jun 24 Enroll'!$3:$3,0),FALSE)</f>
        <v>315.48</v>
      </c>
      <c r="F10" s="77">
        <f>VLOOKUP($A10,'2324 Jun 24 Enroll'!$A$3:$AL$327,MATCH(F$3,'2324 Jun 24 Enroll'!$3:$3,0),FALSE)</f>
        <v>99.4</v>
      </c>
      <c r="G10" s="77">
        <f>VLOOKUP($A10,'2324 Jun 24 Enroll'!$A$3:$AL$327,MATCH(G$3,'2324 Jun 24 Enroll'!$3:$3,0),FALSE)</f>
        <v>186.98</v>
      </c>
      <c r="H10" s="77">
        <f>VLOOKUP($A10,'2324 Jun 24 Enroll'!$A$3:$AL$327,MATCH(H$3,'2324 Jun 24 Enroll'!$3:$3,0),FALSE)</f>
        <v>147.32</v>
      </c>
      <c r="I10" s="77">
        <f>VLOOKUP($A10,'2324 Jun 24 Enroll'!$A$3:$AL$327,MATCH(I$3,'2324 Jun 24 Enroll'!$3:$3,0),FALSE)</f>
        <v>279.11</v>
      </c>
      <c r="J10" s="108">
        <f>VLOOKUP($A10,'2324 Jun 24 Enroll'!$A$3:$AL$327,MATCH(J$3,'2324 Jun 24 Enroll'!$3:$3,0),FALSE)</f>
        <v>1028.29</v>
      </c>
      <c r="K10" s="77">
        <f>VLOOKUP($A10,'2324 Jun 24 Enroll'!$A$3:$AL$327,MATCH(K$3,'2324 Jun 24 Enroll'!$3:$3,0),FALSE)</f>
        <v>33.950000000000003</v>
      </c>
      <c r="L10" s="77">
        <f>VLOOKUP($A10,'2324 Jun 24 Enroll'!$A$3:$AL$327,MATCH(L$3,'2324 Jun 24 Enroll'!$3:$3,0),FALSE)</f>
        <v>2.36</v>
      </c>
      <c r="M10" s="77">
        <f>VLOOKUP($A10,'2324 Jun 24 Enroll'!$A$3:$AL$327,MATCH(M$3,'2324 Jun 24 Enroll'!$3:$3,0),FALSE)</f>
        <v>0.1</v>
      </c>
      <c r="N10" s="77">
        <f>VLOOKUP($A10,'2324 Jun 24 Enroll'!$A$3:$AL$327,MATCH(N$3,'2324 Jun 24 Enroll'!$3:$3,0),FALSE)</f>
        <v>0</v>
      </c>
      <c r="O10" s="77">
        <f>VLOOKUP($A10,'2324 Jun 24 Enroll'!$A$3:$AL$327,MATCH(O$3,'2324 Jun 24 Enroll'!$3:$3,0),FALSE)</f>
        <v>0</v>
      </c>
      <c r="P10" s="77">
        <f>VLOOKUP($A10,'2324 Jun 24 Enroll'!$A$3:$AL$327,MATCH(P$3,'2324 Jun 24 Enroll'!$3:$3,0),FALSE)</f>
        <v>1.1299999999999999</v>
      </c>
      <c r="Q10" s="77">
        <f>VLOOKUP($A10,'2324 Jun 24 Enroll'!$A$3:$AL$327,MATCH(Q$3,'2324 Jun 24 Enroll'!$3:$3,0),FALSE)</f>
        <v>37.229999999999997</v>
      </c>
      <c r="R10" s="108">
        <f t="shared" si="13"/>
        <v>1103.06</v>
      </c>
      <c r="S10" s="77">
        <f>VLOOKUP($A10,'2324 Jun 24 Enroll'!$A$3:$AL$327,MATCH(S$3,'2324 Jun 24 Enroll'!$3:$3,0),FALSE)</f>
        <v>10.220000000000001</v>
      </c>
      <c r="T10" s="77">
        <f>VLOOKUP($A10,'2324 Jun 24 Enroll'!$A$3:$AL$327,MATCH(T$3,'2324 Jun 24 Enroll'!$3:$3,0),FALSE)</f>
        <v>0</v>
      </c>
      <c r="U10" s="77">
        <f>VLOOKUP($A10,'2324 Jun 24 Enroll'!$A$3:$AL$327,MATCH(U$3,'2324 Jun 24 Enroll'!$3:$3,0),FALSE)</f>
        <v>0</v>
      </c>
      <c r="V10" s="77">
        <f>VLOOKUP($A10,'2324 Jun 24 Enroll'!$A$3:$AL$327,MATCH(V$3,'2324 Jun 24 Enroll'!$3:$3,0),FALSE)</f>
        <v>121.78</v>
      </c>
      <c r="W10" s="77">
        <f>VLOOKUP($A10,'2324 Jun 24 Enroll'!$A$3:$AL$327,MATCH(W$3,'2324 Jun 24 Enroll'!$3:$3,0),FALSE)</f>
        <v>62.11</v>
      </c>
      <c r="X10" s="77">
        <f>VLOOKUP($A10,'2324 Jun 24 Enroll'!$A$3:$AL$327,MATCH(X$3,'2324 Jun 24 Enroll'!$3:$3,0),FALSE)</f>
        <v>1138.68</v>
      </c>
      <c r="Y10" s="77">
        <f>VLOOKUP($A10,'2324 Jun 24 Enroll'!$A$3:$AL$327,MATCH(Y$3,'2324 Jun 24 Enroll'!$3:$3,0),FALSE)</f>
        <v>183.89</v>
      </c>
      <c r="Z10" s="92">
        <f t="shared" si="14"/>
        <v>0.1615</v>
      </c>
      <c r="AA10" s="92">
        <f t="shared" si="15"/>
        <v>1.5000000000000013E-3</v>
      </c>
      <c r="AB10" s="93">
        <v>137.26</v>
      </c>
      <c r="AC10" s="93">
        <f t="shared" si="16"/>
        <v>22.72</v>
      </c>
      <c r="AD10" s="94">
        <f>VLOOKUP($A10,'2324 Jun 24 Enroll'!$A$3:$AL$327,MATCH(AD$3,'2324 Jun 24 Enroll'!$3:$3,0),FALSE)</f>
        <v>0.23150000000000001</v>
      </c>
      <c r="AE10" s="94">
        <f>VLOOKUP($A10,'2324 Jun 24 Enroll'!$A$3:$AL$327,MATCH(AE$3,'2324 Jun 24 Enroll'!$3:$3,0),FALSE)</f>
        <v>0.19130000000000003</v>
      </c>
      <c r="AF10" s="93">
        <f>VLOOKUP($A10,'SpEd BEA Rate 2425'!$A$4:$AT$37,45,FALSE)</f>
        <v>10087.540000000003</v>
      </c>
      <c r="AG10" s="102">
        <f t="shared" si="10"/>
        <v>122809.73</v>
      </c>
      <c r="AH10" s="102">
        <f t="shared" si="4"/>
        <v>0</v>
      </c>
      <c r="AI10" s="102">
        <f t="shared" si="5"/>
        <v>0</v>
      </c>
      <c r="AJ10" s="102">
        <f t="shared" si="11"/>
        <v>1363263.87</v>
      </c>
      <c r="AK10" s="102">
        <f t="shared" si="12"/>
        <v>657971.63</v>
      </c>
      <c r="AL10" s="102">
        <f t="shared" si="6"/>
        <v>0</v>
      </c>
      <c r="AM10" s="45">
        <f t="shared" si="7"/>
        <v>1841445.04</v>
      </c>
      <c r="AN10" s="45">
        <f t="shared" si="8"/>
        <v>1495286.27</v>
      </c>
      <c r="AO10" s="102">
        <f t="shared" si="9"/>
        <v>286048.26</v>
      </c>
    </row>
    <row r="11" spans="1:41" ht="15.75" thickBot="1">
      <c r="A11" s="40" t="s">
        <v>669</v>
      </c>
      <c r="B11" s="40" t="s">
        <v>670</v>
      </c>
      <c r="C11" s="77">
        <f>VLOOKUP($A11,'2324 Jun 24 Enroll'!$A$3:$AL$327,MATCH(C$3,'2324 Jun 24 Enroll'!$3:$3,0),FALSE)</f>
        <v>17</v>
      </c>
      <c r="D11" s="77">
        <f>VLOOKUP($A11,'2324 Jun 24 Enroll'!$A$3:$AL$327,MATCH(D$3,'2324 Jun 24 Enroll'!$3:$3,0),FALSE)</f>
        <v>0</v>
      </c>
      <c r="E11" s="77">
        <f>VLOOKUP($A11,'2324 Jun 24 Enroll'!$A$3:$AL$327,MATCH(E$3,'2324 Jun 24 Enroll'!$3:$3,0),FALSE)</f>
        <v>49.6</v>
      </c>
      <c r="F11" s="77">
        <f>VLOOKUP($A11,'2324 Jun 24 Enroll'!$A$3:$AL$327,MATCH(F$3,'2324 Jun 24 Enroll'!$3:$3,0),FALSE)</f>
        <v>12</v>
      </c>
      <c r="G11" s="77">
        <f>VLOOKUP($A11,'2324 Jun 24 Enroll'!$A$3:$AL$327,MATCH(G$3,'2324 Jun 24 Enroll'!$3:$3,0),FALSE)</f>
        <v>24.9</v>
      </c>
      <c r="H11" s="77">
        <f>VLOOKUP($A11,'2324 Jun 24 Enroll'!$A$3:$AL$327,MATCH(H$3,'2324 Jun 24 Enroll'!$3:$3,0),FALSE)</f>
        <v>22.56</v>
      </c>
      <c r="I11" s="77">
        <f>VLOOKUP($A11,'2324 Jun 24 Enroll'!$A$3:$AL$327,MATCH(I$3,'2324 Jun 24 Enroll'!$3:$3,0),FALSE)</f>
        <v>0</v>
      </c>
      <c r="J11" s="108">
        <f>VLOOKUP($A11,'2324 Jun 24 Enroll'!$A$3:$AL$327,MATCH(J$3,'2324 Jun 24 Enroll'!$3:$3,0),FALSE)</f>
        <v>109.06</v>
      </c>
      <c r="K11" s="77">
        <f>VLOOKUP($A11,'2324 Jun 24 Enroll'!$A$3:$AL$327,MATCH(K$3,'2324 Jun 24 Enroll'!$3:$3,0),FALSE)</f>
        <v>0</v>
      </c>
      <c r="L11" s="77">
        <f>VLOOKUP($A11,'2324 Jun 24 Enroll'!$A$3:$AL$327,MATCH(L$3,'2324 Jun 24 Enroll'!$3:$3,0),FALSE)</f>
        <v>0</v>
      </c>
      <c r="M11" s="77">
        <f>VLOOKUP($A11,'2324 Jun 24 Enroll'!$A$3:$AL$327,MATCH(M$3,'2324 Jun 24 Enroll'!$3:$3,0),FALSE)</f>
        <v>0</v>
      </c>
      <c r="N11" s="77">
        <f>VLOOKUP($A11,'2324 Jun 24 Enroll'!$A$3:$AL$327,MATCH(N$3,'2324 Jun 24 Enroll'!$3:$3,0),FALSE)</f>
        <v>0</v>
      </c>
      <c r="O11" s="77">
        <f>VLOOKUP($A11,'2324 Jun 24 Enroll'!$A$3:$AL$327,MATCH(O$3,'2324 Jun 24 Enroll'!$3:$3,0),FALSE)</f>
        <v>0</v>
      </c>
      <c r="P11" s="77">
        <f>VLOOKUP($A11,'2324 Jun 24 Enroll'!$A$3:$AL$327,MATCH(P$3,'2324 Jun 24 Enroll'!$3:$3,0),FALSE)</f>
        <v>0</v>
      </c>
      <c r="Q11" s="77">
        <f>VLOOKUP($A11,'2324 Jun 24 Enroll'!$A$3:$AL$327,MATCH(Q$3,'2324 Jun 24 Enroll'!$3:$3,0),FALSE)</f>
        <v>0</v>
      </c>
      <c r="R11" s="108">
        <f t="shared" si="13"/>
        <v>109.06</v>
      </c>
      <c r="S11" s="77">
        <f>VLOOKUP($A11,'2324 Jun 24 Enroll'!$A$3:$AL$327,MATCH(S$3,'2324 Jun 24 Enroll'!$3:$3,0),FALSE)</f>
        <v>2</v>
      </c>
      <c r="T11" s="77">
        <f>VLOOKUP($A11,'2324 Jun 24 Enroll'!$A$3:$AL$327,MATCH(T$3,'2324 Jun 24 Enroll'!$3:$3,0),FALSE)</f>
        <v>0</v>
      </c>
      <c r="U11" s="77">
        <f>VLOOKUP($A11,'2324 Jun 24 Enroll'!$A$3:$AL$327,MATCH(U$3,'2324 Jun 24 Enroll'!$3:$3,0),FALSE)</f>
        <v>0</v>
      </c>
      <c r="V11" s="77">
        <f>VLOOKUP($A11,'2324 Jun 24 Enroll'!$A$3:$AL$327,MATCH(V$3,'2324 Jun 24 Enroll'!$3:$3,0),FALSE)</f>
        <v>11.44</v>
      </c>
      <c r="W11" s="77">
        <f>VLOOKUP($A11,'2324 Jun 24 Enroll'!$A$3:$AL$327,MATCH(W$3,'2324 Jun 24 Enroll'!$3:$3,0),FALSE)</f>
        <v>4.78</v>
      </c>
      <c r="X11" s="77">
        <f>VLOOKUP($A11,'2324 Jun 24 Enroll'!$A$3:$AL$327,MATCH(X$3,'2324 Jun 24 Enroll'!$3:$3,0),FALSE)</f>
        <v>109.06</v>
      </c>
      <c r="Y11" s="77">
        <f>VLOOKUP($A11,'2324 Jun 24 Enroll'!$A$3:$AL$327,MATCH(Y$3,'2324 Jun 24 Enroll'!$3:$3,0),FALSE)</f>
        <v>16.22</v>
      </c>
      <c r="Z11" s="92">
        <f t="shared" si="14"/>
        <v>0.1487</v>
      </c>
      <c r="AA11" s="92">
        <f t="shared" si="15"/>
        <v>0</v>
      </c>
      <c r="AB11" s="93">
        <v>117.82</v>
      </c>
      <c r="AC11" s="93">
        <f t="shared" si="16"/>
        <v>19.5</v>
      </c>
      <c r="AD11" s="94">
        <f>VLOOKUP($A11,'2324 Jun 24 Enroll'!$A$3:$AL$327,MATCH(AD$3,'2324 Jun 24 Enroll'!$3:$3,0),FALSE)</f>
        <v>0.27489999999999998</v>
      </c>
      <c r="AE11" s="94">
        <f>VLOOKUP($A11,'2324 Jun 24 Enroll'!$A$3:$AL$327,MATCH(AE$3,'2324 Jun 24 Enroll'!$3:$3,0),FALSE)</f>
        <v>0.19130000000000003</v>
      </c>
      <c r="AF11" s="93">
        <f>VLOOKUP($A11,'SpEd BEA Rate 2425'!$A$4:$AT$37,45,FALSE)</f>
        <v>10404.570000000003</v>
      </c>
      <c r="AG11" s="102">
        <f t="shared" si="10"/>
        <v>24033.22</v>
      </c>
      <c r="AH11" s="102">
        <f t="shared" si="4"/>
        <v>0</v>
      </c>
      <c r="AI11" s="102">
        <f t="shared" si="5"/>
        <v>0</v>
      </c>
      <c r="AJ11" s="102">
        <f t="shared" si="11"/>
        <v>128064.86</v>
      </c>
      <c r="AK11" s="102">
        <f t="shared" si="12"/>
        <v>50637.65</v>
      </c>
      <c r="AL11" s="102">
        <f t="shared" si="6"/>
        <v>0</v>
      </c>
      <c r="AM11" s="45">
        <f t="shared" si="7"/>
        <v>162424.48000000001</v>
      </c>
      <c r="AN11" s="45">
        <f t="shared" si="8"/>
        <v>127401.74</v>
      </c>
      <c r="AO11" s="102">
        <f t="shared" si="9"/>
        <v>24371.95</v>
      </c>
    </row>
    <row r="12" spans="1:41" ht="15.75" thickBot="1">
      <c r="A12" s="40" t="s">
        <v>677</v>
      </c>
      <c r="B12" s="40" t="s">
        <v>678</v>
      </c>
      <c r="C12" s="77">
        <f>VLOOKUP($A12,'2324 Jun 24 Enroll'!$A$3:$AL$327,MATCH(C$3,'2324 Jun 24 Enroll'!$3:$3,0),FALSE)</f>
        <v>17</v>
      </c>
      <c r="D12" s="77">
        <f>VLOOKUP($A12,'2324 Jun 24 Enroll'!$A$3:$AL$327,MATCH(D$3,'2324 Jun 24 Enroll'!$3:$3,0),FALSE)</f>
        <v>3</v>
      </c>
      <c r="E12" s="77">
        <f>VLOOKUP($A12,'2324 Jun 24 Enroll'!$A$3:$AL$327,MATCH(E$3,'2324 Jun 24 Enroll'!$3:$3,0),FALSE)</f>
        <v>15.2</v>
      </c>
      <c r="F12" s="77">
        <f>VLOOKUP($A12,'2324 Jun 24 Enroll'!$A$3:$AL$327,MATCH(F$3,'2324 Jun 24 Enroll'!$3:$3,0),FALSE)</f>
        <v>4</v>
      </c>
      <c r="G12" s="77">
        <f>VLOOKUP($A12,'2324 Jun 24 Enroll'!$A$3:$AL$327,MATCH(G$3,'2324 Jun 24 Enroll'!$3:$3,0),FALSE)</f>
        <v>4.5</v>
      </c>
      <c r="H12" s="77">
        <f>VLOOKUP($A12,'2324 Jun 24 Enroll'!$A$3:$AL$327,MATCH(H$3,'2324 Jun 24 Enroll'!$3:$3,0),FALSE)</f>
        <v>0</v>
      </c>
      <c r="I12" s="77">
        <f>VLOOKUP($A12,'2324 Jun 24 Enroll'!$A$3:$AL$327,MATCH(I$3,'2324 Jun 24 Enroll'!$3:$3,0),FALSE)</f>
        <v>0</v>
      </c>
      <c r="J12" s="108">
        <f>VLOOKUP($A12,'2324 Jun 24 Enroll'!$A$3:$AL$327,MATCH(J$3,'2324 Jun 24 Enroll'!$3:$3,0),FALSE)</f>
        <v>23.7</v>
      </c>
      <c r="K12" s="77">
        <f>VLOOKUP($A12,'2324 Jun 24 Enroll'!$A$3:$AL$327,MATCH(K$3,'2324 Jun 24 Enroll'!$3:$3,0),FALSE)</f>
        <v>0</v>
      </c>
      <c r="L12" s="77">
        <f>VLOOKUP($A12,'2324 Jun 24 Enroll'!$A$3:$AL$327,MATCH(L$3,'2324 Jun 24 Enroll'!$3:$3,0),FALSE)</f>
        <v>0</v>
      </c>
      <c r="M12" s="77">
        <f>VLOOKUP($A12,'2324 Jun 24 Enroll'!$A$3:$AL$327,MATCH(M$3,'2324 Jun 24 Enroll'!$3:$3,0),FALSE)</f>
        <v>0</v>
      </c>
      <c r="N12" s="77">
        <f>VLOOKUP($A12,'2324 Jun 24 Enroll'!$A$3:$AL$327,MATCH(N$3,'2324 Jun 24 Enroll'!$3:$3,0),FALSE)</f>
        <v>0</v>
      </c>
      <c r="O12" s="77">
        <f>VLOOKUP($A12,'2324 Jun 24 Enroll'!$A$3:$AL$327,MATCH(O$3,'2324 Jun 24 Enroll'!$3:$3,0),FALSE)</f>
        <v>0</v>
      </c>
      <c r="P12" s="77">
        <f>VLOOKUP($A12,'2324 Jun 24 Enroll'!$A$3:$AL$327,MATCH(P$3,'2324 Jun 24 Enroll'!$3:$3,0),FALSE)</f>
        <v>0</v>
      </c>
      <c r="Q12" s="77">
        <f>VLOOKUP($A12,'2324 Jun 24 Enroll'!$A$3:$AL$327,MATCH(Q$3,'2324 Jun 24 Enroll'!$3:$3,0),FALSE)</f>
        <v>0</v>
      </c>
      <c r="R12" s="108">
        <f t="shared" si="13"/>
        <v>23.7</v>
      </c>
      <c r="S12" s="77">
        <f>VLOOKUP($A12,'2324 Jun 24 Enroll'!$A$3:$AL$327,MATCH(S$3,'2324 Jun 24 Enroll'!$3:$3,0),FALSE)</f>
        <v>0</v>
      </c>
      <c r="T12" s="77">
        <f>VLOOKUP($A12,'2324 Jun 24 Enroll'!$A$3:$AL$327,MATCH(T$3,'2324 Jun 24 Enroll'!$3:$3,0),FALSE)</f>
        <v>0</v>
      </c>
      <c r="U12" s="77">
        <f>VLOOKUP($A12,'2324 Jun 24 Enroll'!$A$3:$AL$327,MATCH(U$3,'2324 Jun 24 Enroll'!$3:$3,0),FALSE)</f>
        <v>0</v>
      </c>
      <c r="V12" s="77">
        <f>VLOOKUP($A12,'2324 Jun 24 Enroll'!$A$3:$AL$327,MATCH(V$3,'2324 Jun 24 Enroll'!$3:$3,0),FALSE)</f>
        <v>3.89</v>
      </c>
      <c r="W12" s="77">
        <f>VLOOKUP($A12,'2324 Jun 24 Enroll'!$A$3:$AL$327,MATCH(W$3,'2324 Jun 24 Enroll'!$3:$3,0),FALSE)</f>
        <v>0</v>
      </c>
      <c r="X12" s="77">
        <f>VLOOKUP($A12,'2324 Jun 24 Enroll'!$A$3:$AL$327,MATCH(X$3,'2324 Jun 24 Enroll'!$3:$3,0),FALSE)</f>
        <v>26.7</v>
      </c>
      <c r="Y12" s="77">
        <f>VLOOKUP($A12,'2324 Jun 24 Enroll'!$A$3:$AL$327,MATCH(Y$3,'2324 Jun 24 Enroll'!$3:$3,0),FALSE)</f>
        <v>3.89</v>
      </c>
      <c r="Z12" s="92">
        <f t="shared" si="14"/>
        <v>0.1457</v>
      </c>
      <c r="AA12" s="92">
        <f t="shared" si="15"/>
        <v>0</v>
      </c>
      <c r="AB12" s="93">
        <v>130.18</v>
      </c>
      <c r="AC12" s="93">
        <f t="shared" si="16"/>
        <v>21.55</v>
      </c>
      <c r="AD12" s="94">
        <f>VLOOKUP($A12,'2324 Jun 24 Enroll'!$A$3:$AL$327,MATCH(AD$3,'2324 Jun 24 Enroll'!$3:$3,0),FALSE)</f>
        <v>0.48349999999999999</v>
      </c>
      <c r="AE12" s="94">
        <f>VLOOKUP($A12,'2324 Jun 24 Enroll'!$A$3:$AL$327,MATCH(AE$3,'2324 Jun 24 Enroll'!$3:$3,0),FALSE)</f>
        <v>0.19130000000000003</v>
      </c>
      <c r="AF12" s="93">
        <f>VLOOKUP($A12,'SpEd BEA Rate 2425'!$A$4:$AT$37,45,FALSE)</f>
        <v>11060.63</v>
      </c>
      <c r="AG12" s="102">
        <f t="shared" si="10"/>
        <v>0</v>
      </c>
      <c r="AH12" s="102">
        <f t="shared" si="4"/>
        <v>0</v>
      </c>
      <c r="AI12" s="102">
        <f t="shared" si="5"/>
        <v>0</v>
      </c>
      <c r="AJ12" s="102">
        <f t="shared" si="11"/>
        <v>43546.53</v>
      </c>
      <c r="AK12" s="102">
        <f t="shared" si="12"/>
        <v>0</v>
      </c>
      <c r="AL12" s="102">
        <f t="shared" si="6"/>
        <v>0</v>
      </c>
      <c r="AM12" s="45">
        <f t="shared" si="7"/>
        <v>38953.839999999997</v>
      </c>
      <c r="AN12" s="45">
        <f t="shared" si="8"/>
        <v>26258.07</v>
      </c>
      <c r="AO12" s="102">
        <f t="shared" si="9"/>
        <v>5023.17</v>
      </c>
    </row>
    <row r="13" spans="1:41" ht="15.75" thickBot="1">
      <c r="A13" s="40" t="s">
        <v>570</v>
      </c>
      <c r="B13" s="40" t="s">
        <v>571</v>
      </c>
      <c r="C13" s="77">
        <f>VLOOKUP($A13,'2324 Jun 24 Enroll'!$A$3:$AL$327,MATCH(C$3,'2324 Jun 24 Enroll'!$3:$3,0),FALSE)</f>
        <v>17</v>
      </c>
      <c r="D13" s="77">
        <f>VLOOKUP($A13,'2324 Jun 24 Enroll'!$A$3:$AL$327,MATCH(D$3,'2324 Jun 24 Enroll'!$3:$3,0),FALSE)</f>
        <v>0</v>
      </c>
      <c r="E13" s="77">
        <f>VLOOKUP($A13,'2324 Jun 24 Enroll'!$A$3:$AL$327,MATCH(E$3,'2324 Jun 24 Enroll'!$3:$3,0),FALSE)</f>
        <v>33.4</v>
      </c>
      <c r="F13" s="77">
        <f>VLOOKUP($A13,'2324 Jun 24 Enroll'!$A$3:$AL$327,MATCH(F$3,'2324 Jun 24 Enroll'!$3:$3,0),FALSE)</f>
        <v>9</v>
      </c>
      <c r="G13" s="77">
        <f>VLOOKUP($A13,'2324 Jun 24 Enroll'!$A$3:$AL$327,MATCH(G$3,'2324 Jun 24 Enroll'!$3:$3,0),FALSE)</f>
        <v>13.3</v>
      </c>
      <c r="H13" s="77">
        <f>VLOOKUP($A13,'2324 Jun 24 Enroll'!$A$3:$AL$327,MATCH(H$3,'2324 Jun 24 Enroll'!$3:$3,0),FALSE)</f>
        <v>15.4</v>
      </c>
      <c r="I13" s="77">
        <f>VLOOKUP($A13,'2324 Jun 24 Enroll'!$A$3:$AL$327,MATCH(I$3,'2324 Jun 24 Enroll'!$3:$3,0),FALSE)</f>
        <v>28.84</v>
      </c>
      <c r="J13" s="108">
        <f>VLOOKUP($A13,'2324 Jun 24 Enroll'!$A$3:$AL$327,MATCH(J$3,'2324 Jun 24 Enroll'!$3:$3,0),FALSE)</f>
        <v>99.94</v>
      </c>
      <c r="K13" s="77">
        <f>VLOOKUP($A13,'2324 Jun 24 Enroll'!$A$3:$AL$327,MATCH(K$3,'2324 Jun 24 Enroll'!$3:$3,0),FALSE)</f>
        <v>0</v>
      </c>
      <c r="L13" s="77">
        <f>VLOOKUP($A13,'2324 Jun 24 Enroll'!$A$3:$AL$327,MATCH(L$3,'2324 Jun 24 Enroll'!$3:$3,0),FALSE)</f>
        <v>0</v>
      </c>
      <c r="M13" s="77">
        <f>VLOOKUP($A13,'2324 Jun 24 Enroll'!$A$3:$AL$327,MATCH(M$3,'2324 Jun 24 Enroll'!$3:$3,0),FALSE)</f>
        <v>0</v>
      </c>
      <c r="N13" s="77">
        <f>VLOOKUP($A13,'2324 Jun 24 Enroll'!$A$3:$AL$327,MATCH(N$3,'2324 Jun 24 Enroll'!$3:$3,0),FALSE)</f>
        <v>0</v>
      </c>
      <c r="O13" s="77">
        <f>VLOOKUP($A13,'2324 Jun 24 Enroll'!$A$3:$AL$327,MATCH(O$3,'2324 Jun 24 Enroll'!$3:$3,0),FALSE)</f>
        <v>0</v>
      </c>
      <c r="P13" s="77">
        <f>VLOOKUP($A13,'2324 Jun 24 Enroll'!$A$3:$AL$327,MATCH(P$3,'2324 Jun 24 Enroll'!$3:$3,0),FALSE)</f>
        <v>0</v>
      </c>
      <c r="Q13" s="77">
        <f>VLOOKUP($A13,'2324 Jun 24 Enroll'!$A$3:$AL$327,MATCH(Q$3,'2324 Jun 24 Enroll'!$3:$3,0),FALSE)</f>
        <v>0</v>
      </c>
      <c r="R13" s="108">
        <f t="shared" si="13"/>
        <v>99.94</v>
      </c>
      <c r="S13" s="77">
        <f>VLOOKUP($A13,'2324 Jun 24 Enroll'!$A$3:$AL$327,MATCH(S$3,'2324 Jun 24 Enroll'!$3:$3,0),FALSE)</f>
        <v>2</v>
      </c>
      <c r="T13" s="77">
        <f>VLOOKUP($A13,'2324 Jun 24 Enroll'!$A$3:$AL$327,MATCH(T$3,'2324 Jun 24 Enroll'!$3:$3,0),FALSE)</f>
        <v>0</v>
      </c>
      <c r="U13" s="77">
        <f>VLOOKUP($A13,'2324 Jun 24 Enroll'!$A$3:$AL$327,MATCH(U$3,'2324 Jun 24 Enroll'!$3:$3,0),FALSE)</f>
        <v>0</v>
      </c>
      <c r="V13" s="77">
        <f>VLOOKUP($A13,'2324 Jun 24 Enroll'!$A$3:$AL$327,MATCH(V$3,'2324 Jun 24 Enroll'!$3:$3,0),FALSE)</f>
        <v>7.44</v>
      </c>
      <c r="W13" s="77">
        <f>VLOOKUP($A13,'2324 Jun 24 Enroll'!$A$3:$AL$327,MATCH(W$3,'2324 Jun 24 Enroll'!$3:$3,0),FALSE)</f>
        <v>3.33</v>
      </c>
      <c r="X13" s="77">
        <f>VLOOKUP($A13,'2324 Jun 24 Enroll'!$A$3:$AL$327,MATCH(X$3,'2324 Jun 24 Enroll'!$3:$3,0),FALSE)</f>
        <v>99.95</v>
      </c>
      <c r="Y13" s="77">
        <f>VLOOKUP($A13,'2324 Jun 24 Enroll'!$A$3:$AL$327,MATCH(Y$3,'2324 Jun 24 Enroll'!$3:$3,0),FALSE)</f>
        <v>10.77</v>
      </c>
      <c r="Z13" s="92">
        <f t="shared" si="14"/>
        <v>0.10780000000000001</v>
      </c>
      <c r="AA13" s="92">
        <f t="shared" si="15"/>
        <v>0</v>
      </c>
      <c r="AB13" s="93">
        <v>135.93</v>
      </c>
      <c r="AC13" s="93">
        <f t="shared" si="16"/>
        <v>22.5</v>
      </c>
      <c r="AD13" s="94">
        <f>VLOOKUP($A13,'2324 Jun 24 Enroll'!$A$3:$AL$327,MATCH(AD$3,'2324 Jun 24 Enroll'!$3:$3,0),FALSE)</f>
        <v>0.35859999999999997</v>
      </c>
      <c r="AE13" s="94">
        <f>VLOOKUP($A13,'2324 Jun 24 Enroll'!$A$3:$AL$327,MATCH(AE$3,'2324 Jun 24 Enroll'!$3:$3,0),FALSE)</f>
        <v>0.19130000000000003</v>
      </c>
      <c r="AF13" s="93">
        <f>VLOOKUP($A13,'SpEd BEA Rate 2425'!$A$4:$AT$37,45,FALSE)</f>
        <v>10152.69</v>
      </c>
      <c r="AG13" s="102">
        <f t="shared" si="10"/>
        <v>24033.22</v>
      </c>
      <c r="AH13" s="102">
        <f t="shared" si="4"/>
        <v>0</v>
      </c>
      <c r="AI13" s="102">
        <f t="shared" si="5"/>
        <v>0</v>
      </c>
      <c r="AJ13" s="102">
        <f t="shared" si="11"/>
        <v>83286.94</v>
      </c>
      <c r="AK13" s="102">
        <f t="shared" si="12"/>
        <v>35276.86</v>
      </c>
      <c r="AL13" s="102">
        <f t="shared" si="6"/>
        <v>0</v>
      </c>
      <c r="AM13" s="45">
        <f t="shared" si="7"/>
        <v>107849.06</v>
      </c>
      <c r="AN13" s="45">
        <f t="shared" si="8"/>
        <v>79382.5</v>
      </c>
      <c r="AO13" s="102">
        <f t="shared" si="9"/>
        <v>15185.87</v>
      </c>
    </row>
    <row r="14" spans="1:41" ht="15.75" thickBot="1">
      <c r="A14" s="40" t="s">
        <v>861</v>
      </c>
      <c r="B14" s="40" t="s">
        <v>862</v>
      </c>
      <c r="C14" s="77">
        <f>VLOOKUP($A14,'2324 Jun 24 Enroll'!$A$3:$AL$327,MATCH(C$3,'2324 Jun 24 Enroll'!$3:$3,0),FALSE)</f>
        <v>17</v>
      </c>
      <c r="D14" s="77">
        <f>VLOOKUP($A14,'2324 Jun 24 Enroll'!$A$3:$AL$327,MATCH(D$3,'2324 Jun 24 Enroll'!$3:$3,0),FALSE)</f>
        <v>17.399999999999999</v>
      </c>
      <c r="E14" s="77">
        <f>VLOOKUP($A14,'2324 Jun 24 Enroll'!$A$3:$AL$327,MATCH(E$3,'2324 Jun 24 Enroll'!$3:$3,0),FALSE)</f>
        <v>73.599999999999994</v>
      </c>
      <c r="F14" s="77">
        <f>VLOOKUP($A14,'2324 Jun 24 Enroll'!$A$3:$AL$327,MATCH(F$3,'2324 Jun 24 Enroll'!$3:$3,0),FALSE)</f>
        <v>20</v>
      </c>
      <c r="G14" s="77">
        <f>VLOOKUP($A14,'2324 Jun 24 Enroll'!$A$3:$AL$327,MATCH(G$3,'2324 Jun 24 Enroll'!$3:$3,0),FALSE)</f>
        <v>25.64</v>
      </c>
      <c r="H14" s="77">
        <f>VLOOKUP($A14,'2324 Jun 24 Enroll'!$A$3:$AL$327,MATCH(H$3,'2324 Jun 24 Enroll'!$3:$3,0),FALSE)</f>
        <v>42.98</v>
      </c>
      <c r="I14" s="77">
        <f>VLOOKUP($A14,'2324 Jun 24 Enroll'!$A$3:$AL$327,MATCH(I$3,'2324 Jun 24 Enroll'!$3:$3,0),FALSE)</f>
        <v>72.08</v>
      </c>
      <c r="J14" s="108">
        <f>VLOOKUP($A14,'2324 Jun 24 Enroll'!$A$3:$AL$327,MATCH(J$3,'2324 Jun 24 Enroll'!$3:$3,0),FALSE)</f>
        <v>234.3</v>
      </c>
      <c r="K14" s="77">
        <f>VLOOKUP($A14,'2324 Jun 24 Enroll'!$A$3:$AL$327,MATCH(K$3,'2324 Jun 24 Enroll'!$3:$3,0),FALSE)</f>
        <v>3.22</v>
      </c>
      <c r="L14" s="77">
        <f>VLOOKUP($A14,'2324 Jun 24 Enroll'!$A$3:$AL$327,MATCH(L$3,'2324 Jun 24 Enroll'!$3:$3,0),FALSE)</f>
        <v>0.27</v>
      </c>
      <c r="M14" s="77">
        <f>VLOOKUP($A14,'2324 Jun 24 Enroll'!$A$3:$AL$327,MATCH(M$3,'2324 Jun 24 Enroll'!$3:$3,0),FALSE)</f>
        <v>0</v>
      </c>
      <c r="N14" s="77">
        <f>VLOOKUP($A14,'2324 Jun 24 Enroll'!$A$3:$AL$327,MATCH(N$3,'2324 Jun 24 Enroll'!$3:$3,0),FALSE)</f>
        <v>0</v>
      </c>
      <c r="O14" s="77">
        <f>VLOOKUP($A14,'2324 Jun 24 Enroll'!$A$3:$AL$327,MATCH(O$3,'2324 Jun 24 Enroll'!$3:$3,0),FALSE)</f>
        <v>0</v>
      </c>
      <c r="P14" s="77">
        <f>VLOOKUP($A14,'2324 Jun 24 Enroll'!$A$3:$AL$327,MATCH(P$3,'2324 Jun 24 Enroll'!$3:$3,0),FALSE)</f>
        <v>0</v>
      </c>
      <c r="Q14" s="77">
        <f>VLOOKUP($A14,'2324 Jun 24 Enroll'!$A$3:$AL$327,MATCH(Q$3,'2324 Jun 24 Enroll'!$3:$3,0),FALSE)</f>
        <v>0</v>
      </c>
      <c r="R14" s="108">
        <f t="shared" si="13"/>
        <v>237.79000000000002</v>
      </c>
      <c r="S14" s="77">
        <f>VLOOKUP($A14,'2324 Jun 24 Enroll'!$A$3:$AL$327,MATCH(S$3,'2324 Jun 24 Enroll'!$3:$3,0),FALSE)</f>
        <v>3.89</v>
      </c>
      <c r="T14" s="77">
        <f>VLOOKUP($A14,'2324 Jun 24 Enroll'!$A$3:$AL$327,MATCH(T$3,'2324 Jun 24 Enroll'!$3:$3,0),FALSE)</f>
        <v>0</v>
      </c>
      <c r="U14" s="77">
        <f>VLOOKUP($A14,'2324 Jun 24 Enroll'!$A$3:$AL$327,MATCH(U$3,'2324 Jun 24 Enroll'!$3:$3,0),FALSE)</f>
        <v>0</v>
      </c>
      <c r="V14" s="77">
        <f>VLOOKUP($A14,'2324 Jun 24 Enroll'!$A$3:$AL$327,MATCH(V$3,'2324 Jun 24 Enroll'!$3:$3,0),FALSE)</f>
        <v>38.11</v>
      </c>
      <c r="W14" s="77">
        <f>VLOOKUP($A14,'2324 Jun 24 Enroll'!$A$3:$AL$327,MATCH(W$3,'2324 Jun 24 Enroll'!$3:$3,0),FALSE)</f>
        <v>4</v>
      </c>
      <c r="X14" s="77">
        <f>VLOOKUP($A14,'2324 Jun 24 Enroll'!$A$3:$AL$327,MATCH(X$3,'2324 Jun 24 Enroll'!$3:$3,0),FALSE)</f>
        <v>255.77</v>
      </c>
      <c r="Y14" s="77">
        <f>VLOOKUP($A14,'2324 Jun 24 Enroll'!$A$3:$AL$327,MATCH(Y$3,'2324 Jun 24 Enroll'!$3:$3,0),FALSE)</f>
        <v>42.11</v>
      </c>
      <c r="Z14" s="92">
        <f t="shared" si="14"/>
        <v>0.1646</v>
      </c>
      <c r="AA14" s="92">
        <f t="shared" si="15"/>
        <v>4.599999999999993E-3</v>
      </c>
      <c r="AB14" s="93">
        <v>130.53</v>
      </c>
      <c r="AC14" s="93">
        <f t="shared" si="16"/>
        <v>21.6</v>
      </c>
      <c r="AD14" s="94">
        <f>VLOOKUP($A14,'2324 Jun 24 Enroll'!$A$3:$AL$327,MATCH(AD$3,'2324 Jun 24 Enroll'!$3:$3,0),FALSE)</f>
        <v>0.28549999999999998</v>
      </c>
      <c r="AE14" s="94">
        <f>VLOOKUP($A14,'2324 Jun 24 Enroll'!$A$3:$AL$327,MATCH(AE$3,'2324 Jun 24 Enroll'!$3:$3,0),FALSE)</f>
        <v>0.19130000000000003</v>
      </c>
      <c r="AF14" s="93">
        <f>VLOOKUP($A14,'SpEd BEA Rate 2425'!$A$4:$AT$37,45,FALSE)</f>
        <v>10222.380000000001</v>
      </c>
      <c r="AG14" s="102">
        <f t="shared" si="10"/>
        <v>46744.61</v>
      </c>
      <c r="AH14" s="102">
        <f t="shared" si="4"/>
        <v>0</v>
      </c>
      <c r="AI14" s="102">
        <f t="shared" si="5"/>
        <v>0</v>
      </c>
      <c r="AJ14" s="102">
        <f t="shared" si="11"/>
        <v>426621.66</v>
      </c>
      <c r="AK14" s="102">
        <f t="shared" si="12"/>
        <v>42374.6</v>
      </c>
      <c r="AL14" s="102">
        <f t="shared" si="6"/>
        <v>0</v>
      </c>
      <c r="AM14" s="45">
        <f t="shared" si="7"/>
        <v>421682.8</v>
      </c>
      <c r="AN14" s="45">
        <f t="shared" si="8"/>
        <v>328030.18</v>
      </c>
      <c r="AO14" s="102">
        <f t="shared" si="9"/>
        <v>62752.17</v>
      </c>
    </row>
    <row r="15" spans="1:41" ht="15.75" thickBot="1">
      <c r="A15" s="40" t="s">
        <v>516</v>
      </c>
      <c r="B15" s="40" t="s">
        <v>517</v>
      </c>
      <c r="C15" s="77">
        <f>VLOOKUP($A15,'2324 Jun 24 Enroll'!$A$3:$AL$327,MATCH(C$3,'2324 Jun 24 Enroll'!$3:$3,0),FALSE)</f>
        <v>17</v>
      </c>
      <c r="D15" s="77">
        <f>VLOOKUP($A15,'2324 Jun 24 Enroll'!$A$3:$AL$327,MATCH(D$3,'2324 Jun 24 Enroll'!$3:$3,0),FALSE)</f>
        <v>0</v>
      </c>
      <c r="E15" s="77">
        <f>VLOOKUP($A15,'2324 Jun 24 Enroll'!$A$3:$AL$327,MATCH(E$3,'2324 Jun 24 Enroll'!$3:$3,0),FALSE)</f>
        <v>15</v>
      </c>
      <c r="F15" s="77">
        <f>VLOOKUP($A15,'2324 Jun 24 Enroll'!$A$3:$AL$327,MATCH(F$3,'2324 Jun 24 Enroll'!$3:$3,0),FALSE)</f>
        <v>5.7</v>
      </c>
      <c r="G15" s="77">
        <f>VLOOKUP($A15,'2324 Jun 24 Enroll'!$A$3:$AL$327,MATCH(G$3,'2324 Jun 24 Enroll'!$3:$3,0),FALSE)</f>
        <v>10.1</v>
      </c>
      <c r="H15" s="77">
        <f>VLOOKUP($A15,'2324 Jun 24 Enroll'!$A$3:$AL$327,MATCH(H$3,'2324 Jun 24 Enroll'!$3:$3,0),FALSE)</f>
        <v>5.0999999999999996</v>
      </c>
      <c r="I15" s="77">
        <f>VLOOKUP($A15,'2324 Jun 24 Enroll'!$A$3:$AL$327,MATCH(I$3,'2324 Jun 24 Enroll'!$3:$3,0),FALSE)</f>
        <v>11.88</v>
      </c>
      <c r="J15" s="108">
        <f>VLOOKUP($A15,'2324 Jun 24 Enroll'!$A$3:$AL$327,MATCH(J$3,'2324 Jun 24 Enroll'!$3:$3,0),FALSE)</f>
        <v>47.78</v>
      </c>
      <c r="K15" s="77">
        <f>VLOOKUP($A15,'2324 Jun 24 Enroll'!$A$3:$AL$327,MATCH(K$3,'2324 Jun 24 Enroll'!$3:$3,0),FALSE)</f>
        <v>0.55000000000000004</v>
      </c>
      <c r="L15" s="77">
        <f>VLOOKUP($A15,'2324 Jun 24 Enroll'!$A$3:$AL$327,MATCH(L$3,'2324 Jun 24 Enroll'!$3:$3,0),FALSE)</f>
        <v>0.18</v>
      </c>
      <c r="M15" s="77">
        <f>VLOOKUP($A15,'2324 Jun 24 Enroll'!$A$3:$AL$327,MATCH(M$3,'2324 Jun 24 Enroll'!$3:$3,0),FALSE)</f>
        <v>0</v>
      </c>
      <c r="N15" s="77">
        <f>VLOOKUP($A15,'2324 Jun 24 Enroll'!$A$3:$AL$327,MATCH(N$3,'2324 Jun 24 Enroll'!$3:$3,0),FALSE)</f>
        <v>0</v>
      </c>
      <c r="O15" s="77">
        <f>VLOOKUP($A15,'2324 Jun 24 Enroll'!$A$3:$AL$327,MATCH(O$3,'2324 Jun 24 Enroll'!$3:$3,0),FALSE)</f>
        <v>0</v>
      </c>
      <c r="P15" s="77">
        <f>VLOOKUP($A15,'2324 Jun 24 Enroll'!$A$3:$AL$327,MATCH(P$3,'2324 Jun 24 Enroll'!$3:$3,0),FALSE)</f>
        <v>0</v>
      </c>
      <c r="Q15" s="77">
        <f>VLOOKUP($A15,'2324 Jun 24 Enroll'!$A$3:$AL$327,MATCH(Q$3,'2324 Jun 24 Enroll'!$3:$3,0),FALSE)</f>
        <v>0</v>
      </c>
      <c r="R15" s="108">
        <f t="shared" si="13"/>
        <v>48.51</v>
      </c>
      <c r="S15" s="77">
        <f>VLOOKUP($A15,'2324 Jun 24 Enroll'!$A$3:$AL$327,MATCH(S$3,'2324 Jun 24 Enroll'!$3:$3,0),FALSE)</f>
        <v>0</v>
      </c>
      <c r="T15" s="77">
        <f>VLOOKUP($A15,'2324 Jun 24 Enroll'!$A$3:$AL$327,MATCH(T$3,'2324 Jun 24 Enroll'!$3:$3,0),FALSE)</f>
        <v>0</v>
      </c>
      <c r="U15" s="77">
        <f>VLOOKUP($A15,'2324 Jun 24 Enroll'!$A$3:$AL$327,MATCH(U$3,'2324 Jun 24 Enroll'!$3:$3,0),FALSE)</f>
        <v>0</v>
      </c>
      <c r="V15" s="77">
        <f>VLOOKUP($A15,'2324 Jun 24 Enroll'!$A$3:$AL$327,MATCH(V$3,'2324 Jun 24 Enroll'!$3:$3,0),FALSE)</f>
        <v>12</v>
      </c>
      <c r="W15" s="77">
        <f>VLOOKUP($A15,'2324 Jun 24 Enroll'!$A$3:$AL$327,MATCH(W$3,'2324 Jun 24 Enroll'!$3:$3,0),FALSE)</f>
        <v>0</v>
      </c>
      <c r="X15" s="77">
        <f>VLOOKUP($A15,'2324 Jun 24 Enroll'!$A$3:$AL$327,MATCH(X$3,'2324 Jun 24 Enroll'!$3:$3,0),FALSE)</f>
        <v>48.51</v>
      </c>
      <c r="Y15" s="77">
        <f>VLOOKUP($A15,'2324 Jun 24 Enroll'!$A$3:$AL$327,MATCH(Y$3,'2324 Jun 24 Enroll'!$3:$3,0),FALSE)</f>
        <v>12</v>
      </c>
      <c r="Z15" s="92">
        <f t="shared" si="14"/>
        <v>0.24740000000000001</v>
      </c>
      <c r="AA15" s="92">
        <f t="shared" si="15"/>
        <v>8.7400000000000005E-2</v>
      </c>
      <c r="AB15" s="93">
        <v>127.81</v>
      </c>
      <c r="AC15" s="93">
        <f t="shared" si="16"/>
        <v>21.15</v>
      </c>
      <c r="AD15" s="94">
        <f>VLOOKUP($A15,'2324 Jun 24 Enroll'!$A$3:$AL$327,MATCH(AD$3,'2324 Jun 24 Enroll'!$3:$3,0),FALSE)</f>
        <v>0.3569</v>
      </c>
      <c r="AE15" s="94">
        <f>VLOOKUP($A15,'2324 Jun 24 Enroll'!$A$3:$AL$327,MATCH(AE$3,'2324 Jun 24 Enroll'!$3:$3,0),FALSE)</f>
        <v>0.19130000000000003</v>
      </c>
      <c r="AF15" s="93">
        <f>VLOOKUP($A15,'SpEd BEA Rate 2425'!$A$4:$AT$37,45,FALSE)</f>
        <v>10129.870000000003</v>
      </c>
      <c r="AG15" s="102">
        <f t="shared" si="10"/>
        <v>0</v>
      </c>
      <c r="AH15" s="102">
        <f t="shared" si="4"/>
        <v>0</v>
      </c>
      <c r="AI15" s="102">
        <f t="shared" si="5"/>
        <v>0</v>
      </c>
      <c r="AJ15" s="102">
        <f t="shared" si="11"/>
        <v>134333.76999999999</v>
      </c>
      <c r="AK15" s="102">
        <f t="shared" si="12"/>
        <v>0</v>
      </c>
      <c r="AL15" s="102">
        <f t="shared" si="6"/>
        <v>0</v>
      </c>
      <c r="AM15" s="45">
        <f t="shared" si="7"/>
        <v>120166.08</v>
      </c>
      <c r="AN15" s="45">
        <f t="shared" si="8"/>
        <v>88559.27</v>
      </c>
      <c r="AO15" s="102">
        <f t="shared" si="9"/>
        <v>16941.39</v>
      </c>
    </row>
    <row r="16" spans="1:41" ht="15.75" thickBot="1">
      <c r="A16" s="40" t="s">
        <v>544</v>
      </c>
      <c r="B16" s="40" t="s">
        <v>545</v>
      </c>
      <c r="C16" s="77">
        <f>VLOOKUP($A16,'2324 Jun 24 Enroll'!$A$3:$AL$327,MATCH(C$3,'2324 Jun 24 Enroll'!$3:$3,0),FALSE)</f>
        <v>17</v>
      </c>
      <c r="D16" s="77">
        <f>VLOOKUP($A16,'2324 Jun 24 Enroll'!$A$3:$AL$327,MATCH(D$3,'2324 Jun 24 Enroll'!$3:$3,0),FALSE)</f>
        <v>0</v>
      </c>
      <c r="E16" s="77">
        <f>VLOOKUP($A16,'2324 Jun 24 Enroll'!$A$3:$AL$327,MATCH(E$3,'2324 Jun 24 Enroll'!$3:$3,0),FALSE)</f>
        <v>53.9</v>
      </c>
      <c r="F16" s="77">
        <f>VLOOKUP($A16,'2324 Jun 24 Enroll'!$A$3:$AL$327,MATCH(F$3,'2324 Jun 24 Enroll'!$3:$3,0),FALSE)</f>
        <v>24.5</v>
      </c>
      <c r="G16" s="77">
        <f>VLOOKUP($A16,'2324 Jun 24 Enroll'!$A$3:$AL$327,MATCH(G$3,'2324 Jun 24 Enroll'!$3:$3,0),FALSE)</f>
        <v>28.2</v>
      </c>
      <c r="H16" s="77">
        <f>VLOOKUP($A16,'2324 Jun 24 Enroll'!$A$3:$AL$327,MATCH(H$3,'2324 Jun 24 Enroll'!$3:$3,0),FALSE)</f>
        <v>34.200000000000003</v>
      </c>
      <c r="I16" s="77">
        <f>VLOOKUP($A16,'2324 Jun 24 Enroll'!$A$3:$AL$327,MATCH(I$3,'2324 Jun 24 Enroll'!$3:$3,0),FALSE)</f>
        <v>51.94</v>
      </c>
      <c r="J16" s="108">
        <f>VLOOKUP($A16,'2324 Jun 24 Enroll'!$A$3:$AL$327,MATCH(J$3,'2324 Jun 24 Enroll'!$3:$3,0),FALSE)</f>
        <v>192.74</v>
      </c>
      <c r="K16" s="77">
        <f>VLOOKUP($A16,'2324 Jun 24 Enroll'!$A$3:$AL$327,MATCH(K$3,'2324 Jun 24 Enroll'!$3:$3,0),FALSE)</f>
        <v>2.15</v>
      </c>
      <c r="L16" s="77">
        <f>VLOOKUP($A16,'2324 Jun 24 Enroll'!$A$3:$AL$327,MATCH(L$3,'2324 Jun 24 Enroll'!$3:$3,0),FALSE)</f>
        <v>3.46</v>
      </c>
      <c r="M16" s="77">
        <f>VLOOKUP($A16,'2324 Jun 24 Enroll'!$A$3:$AL$327,MATCH(M$3,'2324 Jun 24 Enroll'!$3:$3,0),FALSE)</f>
        <v>0.5</v>
      </c>
      <c r="N16" s="77">
        <f>VLOOKUP($A16,'2324 Jun 24 Enroll'!$A$3:$AL$327,MATCH(N$3,'2324 Jun 24 Enroll'!$3:$3,0),FALSE)</f>
        <v>0</v>
      </c>
      <c r="O16" s="77">
        <f>VLOOKUP($A16,'2324 Jun 24 Enroll'!$A$3:$AL$327,MATCH(O$3,'2324 Jun 24 Enroll'!$3:$3,0),FALSE)</f>
        <v>0.5</v>
      </c>
      <c r="P16" s="77">
        <f>VLOOKUP($A16,'2324 Jun 24 Enroll'!$A$3:$AL$327,MATCH(P$3,'2324 Jun 24 Enroll'!$3:$3,0),FALSE)</f>
        <v>2.7</v>
      </c>
      <c r="Q16" s="77">
        <f>VLOOKUP($A16,'2324 Jun 24 Enroll'!$A$3:$AL$327,MATCH(Q$3,'2324 Jun 24 Enroll'!$3:$3,0),FALSE)</f>
        <v>5.97</v>
      </c>
      <c r="R16" s="108">
        <f t="shared" si="13"/>
        <v>208.02</v>
      </c>
      <c r="S16" s="77">
        <f>VLOOKUP($A16,'2324 Jun 24 Enroll'!$A$3:$AL$327,MATCH(S$3,'2324 Jun 24 Enroll'!$3:$3,0),FALSE)</f>
        <v>1.56</v>
      </c>
      <c r="T16" s="77">
        <f>VLOOKUP($A16,'2324 Jun 24 Enroll'!$A$3:$AL$327,MATCH(T$3,'2324 Jun 24 Enroll'!$3:$3,0),FALSE)</f>
        <v>0</v>
      </c>
      <c r="U16" s="77">
        <f>VLOOKUP($A16,'2324 Jun 24 Enroll'!$A$3:$AL$327,MATCH(U$3,'2324 Jun 24 Enroll'!$3:$3,0),FALSE)</f>
        <v>0</v>
      </c>
      <c r="V16" s="77">
        <f>VLOOKUP($A16,'2324 Jun 24 Enroll'!$A$3:$AL$327,MATCH(V$3,'2324 Jun 24 Enroll'!$3:$3,0),FALSE)</f>
        <v>16.329999999999998</v>
      </c>
      <c r="W16" s="77">
        <f>VLOOKUP($A16,'2324 Jun 24 Enroll'!$A$3:$AL$327,MATCH(W$3,'2324 Jun 24 Enroll'!$3:$3,0),FALSE)</f>
        <v>21.67</v>
      </c>
      <c r="X16" s="77">
        <f>VLOOKUP($A16,'2324 Jun 24 Enroll'!$A$3:$AL$327,MATCH(X$3,'2324 Jun 24 Enroll'!$3:$3,0),FALSE)</f>
        <v>208.02</v>
      </c>
      <c r="Y16" s="77">
        <f>VLOOKUP($A16,'2324 Jun 24 Enroll'!$A$3:$AL$327,MATCH(Y$3,'2324 Jun 24 Enroll'!$3:$3,0),FALSE)</f>
        <v>38</v>
      </c>
      <c r="Z16" s="92">
        <f t="shared" si="14"/>
        <v>0.1827</v>
      </c>
      <c r="AA16" s="92">
        <f t="shared" si="15"/>
        <v>2.2699999999999998E-2</v>
      </c>
      <c r="AB16" s="93">
        <v>140.57</v>
      </c>
      <c r="AC16" s="93">
        <f t="shared" si="16"/>
        <v>23.27</v>
      </c>
      <c r="AD16" s="94">
        <f>VLOOKUP($A16,'2324 Jun 24 Enroll'!$A$3:$AL$327,MATCH(AD$3,'2324 Jun 24 Enroll'!$3:$3,0),FALSE)</f>
        <v>0.315</v>
      </c>
      <c r="AE16" s="94">
        <f>VLOOKUP($A16,'2324 Jun 24 Enroll'!$A$3:$AL$327,MATCH(AE$3,'2324 Jun 24 Enroll'!$3:$3,0),FALSE)</f>
        <v>0.19130000000000003</v>
      </c>
      <c r="AF16" s="93">
        <f>VLOOKUP($A16,'SpEd BEA Rate 2425'!$A$4:$AT$37,45,FALSE)</f>
        <v>9950.57</v>
      </c>
      <c r="AG16" s="102">
        <f t="shared" si="10"/>
        <v>18745.91</v>
      </c>
      <c r="AH16" s="102">
        <f t="shared" si="4"/>
        <v>0</v>
      </c>
      <c r="AI16" s="102">
        <f t="shared" si="5"/>
        <v>0</v>
      </c>
      <c r="AJ16" s="102">
        <f t="shared" si="11"/>
        <v>182805.87</v>
      </c>
      <c r="AK16" s="102">
        <f t="shared" si="12"/>
        <v>229564.4</v>
      </c>
      <c r="AL16" s="102">
        <f t="shared" si="6"/>
        <v>0</v>
      </c>
      <c r="AM16" s="45">
        <f t="shared" si="7"/>
        <v>380525.92</v>
      </c>
      <c r="AN16" s="45">
        <f t="shared" si="8"/>
        <v>289373.32</v>
      </c>
      <c r="AO16" s="102">
        <f t="shared" si="9"/>
        <v>55357.120000000003</v>
      </c>
    </row>
    <row r="17" spans="1:41" ht="15.75" thickBot="1">
      <c r="A17" s="40" t="s">
        <v>887</v>
      </c>
      <c r="B17" s="40" t="s">
        <v>888</v>
      </c>
      <c r="C17" s="77">
        <f>VLOOKUP($A17,'2324 Jun 24 Enroll'!$A$3:$AL$327,MATCH(C$3,'2324 Jun 24 Enroll'!$3:$3,0),FALSE)</f>
        <v>17</v>
      </c>
      <c r="D17" s="77">
        <f>VLOOKUP($A17,'2324 Jun 24 Enroll'!$A$3:$AL$327,MATCH(D$3,'2324 Jun 24 Enroll'!$3:$3,0),FALSE)</f>
        <v>0</v>
      </c>
      <c r="E17" s="77">
        <f>VLOOKUP($A17,'2324 Jun 24 Enroll'!$A$3:$AL$327,MATCH(E$3,'2324 Jun 24 Enroll'!$3:$3,0),FALSE)</f>
        <v>35.6</v>
      </c>
      <c r="F17" s="77">
        <f>VLOOKUP($A17,'2324 Jun 24 Enroll'!$A$3:$AL$327,MATCH(F$3,'2324 Jun 24 Enroll'!$3:$3,0),FALSE)</f>
        <v>6.1</v>
      </c>
      <c r="G17" s="77">
        <f>VLOOKUP($A17,'2324 Jun 24 Enroll'!$A$3:$AL$327,MATCH(G$3,'2324 Jun 24 Enroll'!$3:$3,0),FALSE)</f>
        <v>15.7</v>
      </c>
      <c r="H17" s="77">
        <f>VLOOKUP($A17,'2324 Jun 24 Enroll'!$A$3:$AL$327,MATCH(H$3,'2324 Jun 24 Enroll'!$3:$3,0),FALSE)</f>
        <v>17.100000000000001</v>
      </c>
      <c r="I17" s="77">
        <f>VLOOKUP($A17,'2324 Jun 24 Enroll'!$A$3:$AL$327,MATCH(I$3,'2324 Jun 24 Enroll'!$3:$3,0),FALSE)</f>
        <v>25.93</v>
      </c>
      <c r="J17" s="108">
        <f>VLOOKUP($A17,'2324 Jun 24 Enroll'!$A$3:$AL$327,MATCH(J$3,'2324 Jun 24 Enroll'!$3:$3,0),FALSE)</f>
        <v>100.43</v>
      </c>
      <c r="K17" s="77">
        <f>VLOOKUP($A17,'2324 Jun 24 Enroll'!$A$3:$AL$327,MATCH(K$3,'2324 Jun 24 Enroll'!$3:$3,0),FALSE)</f>
        <v>0</v>
      </c>
      <c r="L17" s="77">
        <f>VLOOKUP($A17,'2324 Jun 24 Enroll'!$A$3:$AL$327,MATCH(L$3,'2324 Jun 24 Enroll'!$3:$3,0),FALSE)</f>
        <v>0</v>
      </c>
      <c r="M17" s="77">
        <f>VLOOKUP($A17,'2324 Jun 24 Enroll'!$A$3:$AL$327,MATCH(M$3,'2324 Jun 24 Enroll'!$3:$3,0),FALSE)</f>
        <v>0</v>
      </c>
      <c r="N17" s="77">
        <f>VLOOKUP($A17,'2324 Jun 24 Enroll'!$A$3:$AL$327,MATCH(N$3,'2324 Jun 24 Enroll'!$3:$3,0),FALSE)</f>
        <v>0</v>
      </c>
      <c r="O17" s="77">
        <f>VLOOKUP($A17,'2324 Jun 24 Enroll'!$A$3:$AL$327,MATCH(O$3,'2324 Jun 24 Enroll'!$3:$3,0),FALSE)</f>
        <v>0</v>
      </c>
      <c r="P17" s="77">
        <f>VLOOKUP($A17,'2324 Jun 24 Enroll'!$A$3:$AL$327,MATCH(P$3,'2324 Jun 24 Enroll'!$3:$3,0),FALSE)</f>
        <v>0</v>
      </c>
      <c r="Q17" s="77">
        <f>VLOOKUP($A17,'2324 Jun 24 Enroll'!$A$3:$AL$327,MATCH(Q$3,'2324 Jun 24 Enroll'!$3:$3,0),FALSE)</f>
        <v>0</v>
      </c>
      <c r="R17" s="108">
        <f t="shared" si="13"/>
        <v>100.43</v>
      </c>
      <c r="S17" s="77">
        <f>VLOOKUP($A17,'2324 Jun 24 Enroll'!$A$3:$AL$327,MATCH(S$3,'2324 Jun 24 Enroll'!$3:$3,0),FALSE)</f>
        <v>0.22</v>
      </c>
      <c r="T17" s="77">
        <f>VLOOKUP($A17,'2324 Jun 24 Enroll'!$A$3:$AL$327,MATCH(T$3,'2324 Jun 24 Enroll'!$3:$3,0),FALSE)</f>
        <v>0</v>
      </c>
      <c r="U17" s="77">
        <f>VLOOKUP($A17,'2324 Jun 24 Enroll'!$A$3:$AL$327,MATCH(U$3,'2324 Jun 24 Enroll'!$3:$3,0),FALSE)</f>
        <v>0</v>
      </c>
      <c r="V17" s="77">
        <f>VLOOKUP($A17,'2324 Jun 24 Enroll'!$A$3:$AL$327,MATCH(V$3,'2324 Jun 24 Enroll'!$3:$3,0),FALSE)</f>
        <v>12.33</v>
      </c>
      <c r="W17" s="77">
        <f>VLOOKUP($A17,'2324 Jun 24 Enroll'!$A$3:$AL$327,MATCH(W$3,'2324 Jun 24 Enroll'!$3:$3,0),FALSE)</f>
        <v>3.89</v>
      </c>
      <c r="X17" s="77">
        <f>VLOOKUP($A17,'2324 Jun 24 Enroll'!$A$3:$AL$327,MATCH(X$3,'2324 Jun 24 Enroll'!$3:$3,0),FALSE)</f>
        <v>100.43</v>
      </c>
      <c r="Y17" s="77">
        <f>VLOOKUP($A17,'2324 Jun 24 Enroll'!$A$3:$AL$327,MATCH(Y$3,'2324 Jun 24 Enroll'!$3:$3,0),FALSE)</f>
        <v>16.22</v>
      </c>
      <c r="Z17" s="92">
        <f t="shared" si="14"/>
        <v>0.1615</v>
      </c>
      <c r="AA17" s="92">
        <f t="shared" si="15"/>
        <v>1.5000000000000013E-3</v>
      </c>
      <c r="AB17" s="93">
        <v>127.88</v>
      </c>
      <c r="AC17" s="93">
        <f t="shared" si="16"/>
        <v>21.17</v>
      </c>
      <c r="AD17" s="94">
        <f>VLOOKUP($A17,'2324 Jun 24 Enroll'!$A$3:$AL$327,MATCH(AD$3,'2324 Jun 24 Enroll'!$3:$3,0),FALSE)</f>
        <v>0.28499999999999998</v>
      </c>
      <c r="AE17" s="94">
        <f>VLOOKUP($A17,'2324 Jun 24 Enroll'!$A$3:$AL$327,MATCH(AE$3,'2324 Jun 24 Enroll'!$3:$3,0),FALSE)</f>
        <v>0.19130000000000003</v>
      </c>
      <c r="AF17" s="93">
        <f>VLOOKUP($A17,'SpEd BEA Rate 2425'!$A$4:$AT$37,45,FALSE)</f>
        <v>10202.449999999999</v>
      </c>
      <c r="AG17" s="102">
        <f t="shared" si="10"/>
        <v>2643.65</v>
      </c>
      <c r="AH17" s="102">
        <f t="shared" si="4"/>
        <v>0</v>
      </c>
      <c r="AI17" s="102">
        <f t="shared" si="5"/>
        <v>0</v>
      </c>
      <c r="AJ17" s="102">
        <f t="shared" si="11"/>
        <v>138027.95000000001</v>
      </c>
      <c r="AK17" s="102">
        <f t="shared" si="12"/>
        <v>41209.300000000003</v>
      </c>
      <c r="AL17" s="102">
        <f t="shared" si="6"/>
        <v>0</v>
      </c>
      <c r="AM17" s="45">
        <f t="shared" si="7"/>
        <v>162424.48000000001</v>
      </c>
      <c r="AN17" s="45">
        <f t="shared" si="8"/>
        <v>126400.37</v>
      </c>
      <c r="AO17" s="102">
        <f t="shared" si="9"/>
        <v>24180.39</v>
      </c>
    </row>
    <row r="18" spans="1:41" ht="15.75" thickBot="1">
      <c r="A18" s="40" t="s">
        <v>341</v>
      </c>
      <c r="B18" s="40" t="s">
        <v>342</v>
      </c>
      <c r="C18" s="77">
        <f>VLOOKUP($A18,'2324 Jun 24 Enroll'!$A$3:$AL$327,MATCH(C$3,'2324 Jun 24 Enroll'!$3:$3,0),FALSE)</f>
        <v>17</v>
      </c>
      <c r="D18" s="77">
        <f>VLOOKUP($A18,'2324 Jun 24 Enroll'!$A$3:$AL$327,MATCH(D$3,'2324 Jun 24 Enroll'!$3:$3,0),FALSE)</f>
        <v>0</v>
      </c>
      <c r="E18" s="77">
        <f>VLOOKUP($A18,'2324 Jun 24 Enroll'!$A$3:$AL$327,MATCH(E$3,'2324 Jun 24 Enroll'!$3:$3,0),FALSE)</f>
        <v>33.5</v>
      </c>
      <c r="F18" s="77">
        <f>VLOOKUP($A18,'2324 Jun 24 Enroll'!$A$3:$AL$327,MATCH(F$3,'2324 Jun 24 Enroll'!$3:$3,0),FALSE)</f>
        <v>7.2</v>
      </c>
      <c r="G18" s="77">
        <f>VLOOKUP($A18,'2324 Jun 24 Enroll'!$A$3:$AL$327,MATCH(G$3,'2324 Jun 24 Enroll'!$3:$3,0),FALSE)</f>
        <v>20.3</v>
      </c>
      <c r="H18" s="77">
        <f>VLOOKUP($A18,'2324 Jun 24 Enroll'!$A$3:$AL$327,MATCH(H$3,'2324 Jun 24 Enroll'!$3:$3,0),FALSE)</f>
        <v>15.6</v>
      </c>
      <c r="I18" s="77">
        <f>VLOOKUP($A18,'2324 Jun 24 Enroll'!$A$3:$AL$327,MATCH(I$3,'2324 Jun 24 Enroll'!$3:$3,0),FALSE)</f>
        <v>22.4</v>
      </c>
      <c r="J18" s="108">
        <f>VLOOKUP($A18,'2324 Jun 24 Enroll'!$A$3:$AL$327,MATCH(J$3,'2324 Jun 24 Enroll'!$3:$3,0),FALSE)</f>
        <v>99</v>
      </c>
      <c r="K18" s="77">
        <f>VLOOKUP($A18,'2324 Jun 24 Enroll'!$A$3:$AL$327,MATCH(K$3,'2324 Jun 24 Enroll'!$3:$3,0),FALSE)</f>
        <v>0</v>
      </c>
      <c r="L18" s="77">
        <f>VLOOKUP($A18,'2324 Jun 24 Enroll'!$A$3:$AL$327,MATCH(L$3,'2324 Jun 24 Enroll'!$3:$3,0),FALSE)</f>
        <v>0</v>
      </c>
      <c r="M18" s="77">
        <f>VLOOKUP($A18,'2324 Jun 24 Enroll'!$A$3:$AL$327,MATCH(M$3,'2324 Jun 24 Enroll'!$3:$3,0),FALSE)</f>
        <v>0</v>
      </c>
      <c r="N18" s="77">
        <f>VLOOKUP($A18,'2324 Jun 24 Enroll'!$A$3:$AL$327,MATCH(N$3,'2324 Jun 24 Enroll'!$3:$3,0),FALSE)</f>
        <v>0</v>
      </c>
      <c r="O18" s="77">
        <f>VLOOKUP($A18,'2324 Jun 24 Enroll'!$A$3:$AL$327,MATCH(O$3,'2324 Jun 24 Enroll'!$3:$3,0),FALSE)</f>
        <v>0</v>
      </c>
      <c r="P18" s="77">
        <f>VLOOKUP($A18,'2324 Jun 24 Enroll'!$A$3:$AL$327,MATCH(P$3,'2324 Jun 24 Enroll'!$3:$3,0),FALSE)</f>
        <v>0</v>
      </c>
      <c r="Q18" s="77">
        <f>VLOOKUP($A18,'2324 Jun 24 Enroll'!$A$3:$AL$327,MATCH(Q$3,'2324 Jun 24 Enroll'!$3:$3,0),FALSE)</f>
        <v>0</v>
      </c>
      <c r="R18" s="108">
        <f t="shared" si="13"/>
        <v>99</v>
      </c>
      <c r="S18" s="77">
        <f>VLOOKUP($A18,'2324 Jun 24 Enroll'!$A$3:$AL$327,MATCH(S$3,'2324 Jun 24 Enroll'!$3:$3,0),FALSE)</f>
        <v>1</v>
      </c>
      <c r="T18" s="77">
        <f>VLOOKUP($A18,'2324 Jun 24 Enroll'!$A$3:$AL$327,MATCH(T$3,'2324 Jun 24 Enroll'!$3:$3,0),FALSE)</f>
        <v>0</v>
      </c>
      <c r="U18" s="77">
        <f>VLOOKUP($A18,'2324 Jun 24 Enroll'!$A$3:$AL$327,MATCH(U$3,'2324 Jun 24 Enroll'!$3:$3,0),FALSE)</f>
        <v>0</v>
      </c>
      <c r="V18" s="77">
        <f>VLOOKUP($A18,'2324 Jun 24 Enroll'!$A$3:$AL$327,MATCH(V$3,'2324 Jun 24 Enroll'!$3:$3,0),FALSE)</f>
        <v>13.11</v>
      </c>
      <c r="W18" s="77">
        <f>VLOOKUP($A18,'2324 Jun 24 Enroll'!$A$3:$AL$327,MATCH(W$3,'2324 Jun 24 Enroll'!$3:$3,0),FALSE)</f>
        <v>1.1100000000000001</v>
      </c>
      <c r="X18" s="77">
        <f>VLOOKUP($A18,'2324 Jun 24 Enroll'!$A$3:$AL$327,MATCH(X$3,'2324 Jun 24 Enroll'!$3:$3,0),FALSE)</f>
        <v>99</v>
      </c>
      <c r="Y18" s="77">
        <f>VLOOKUP($A18,'2324 Jun 24 Enroll'!$A$3:$AL$327,MATCH(Y$3,'2324 Jun 24 Enroll'!$3:$3,0),FALSE)</f>
        <v>14.22</v>
      </c>
      <c r="Z18" s="92">
        <f t="shared" si="14"/>
        <v>0.14360000000000001</v>
      </c>
      <c r="AA18" s="92">
        <f t="shared" si="15"/>
        <v>0</v>
      </c>
      <c r="AB18" s="93">
        <v>128.81</v>
      </c>
      <c r="AC18" s="93">
        <f t="shared" si="16"/>
        <v>21.32</v>
      </c>
      <c r="AD18" s="94">
        <f>VLOOKUP($A18,'2324 Jun 24 Enroll'!$A$3:$AL$327,MATCH(AD$3,'2324 Jun 24 Enroll'!$3:$3,0),FALSE)</f>
        <v>0.29859999999999998</v>
      </c>
      <c r="AE18" s="94">
        <f>VLOOKUP($A18,'2324 Jun 24 Enroll'!$A$3:$AL$327,MATCH(AE$3,'2324 Jun 24 Enroll'!$3:$3,0),FALSE)</f>
        <v>0.19130000000000003</v>
      </c>
      <c r="AF18" s="93">
        <f>VLOOKUP($A18,'SpEd BEA Rate 2425'!$A$4:$AT$37,45,FALSE)</f>
        <v>10145.43</v>
      </c>
      <c r="AG18" s="102">
        <f t="shared" si="10"/>
        <v>12016.61</v>
      </c>
      <c r="AH18" s="102">
        <f t="shared" si="4"/>
        <v>0</v>
      </c>
      <c r="AI18" s="102">
        <f t="shared" si="5"/>
        <v>0</v>
      </c>
      <c r="AJ18" s="102">
        <f t="shared" si="11"/>
        <v>146759.64000000001</v>
      </c>
      <c r="AK18" s="102">
        <f t="shared" si="12"/>
        <v>11758.95</v>
      </c>
      <c r="AL18" s="102">
        <f t="shared" si="6"/>
        <v>0</v>
      </c>
      <c r="AM18" s="45">
        <f t="shared" si="7"/>
        <v>142396.79999999999</v>
      </c>
      <c r="AN18" s="45">
        <f t="shared" si="8"/>
        <v>109654.09</v>
      </c>
      <c r="AO18" s="102">
        <f t="shared" si="9"/>
        <v>20976.83</v>
      </c>
    </row>
    <row r="19" spans="1:41" ht="15.75" thickBot="1">
      <c r="A19" s="40" t="s">
        <v>368</v>
      </c>
      <c r="B19" s="40" t="s">
        <v>369</v>
      </c>
      <c r="C19" s="77">
        <f>VLOOKUP($A19,'2324 Jun 24 Enroll'!$A$3:$AL$327,MATCH(C$3,'2324 Jun 24 Enroll'!$3:$3,0),FALSE)</f>
        <v>17.36</v>
      </c>
      <c r="D19" s="77">
        <f>VLOOKUP($A19,'2324 Jun 24 Enroll'!$A$3:$AL$327,MATCH(D$3,'2324 Jun 24 Enroll'!$3:$3,0),FALSE)</f>
        <v>0</v>
      </c>
      <c r="E19" s="77">
        <f>VLOOKUP($A19,'2324 Jun 24 Enroll'!$A$3:$AL$327,MATCH(E$3,'2324 Jun 24 Enroll'!$3:$3,0),FALSE)</f>
        <v>46</v>
      </c>
      <c r="F19" s="77">
        <f>VLOOKUP($A19,'2324 Jun 24 Enroll'!$A$3:$AL$327,MATCH(F$3,'2324 Jun 24 Enroll'!$3:$3,0),FALSE)</f>
        <v>7</v>
      </c>
      <c r="G19" s="77">
        <f>VLOOKUP($A19,'2324 Jun 24 Enroll'!$A$3:$AL$327,MATCH(G$3,'2324 Jun 24 Enroll'!$3:$3,0),FALSE)</f>
        <v>18</v>
      </c>
      <c r="H19" s="77">
        <f>VLOOKUP($A19,'2324 Jun 24 Enroll'!$A$3:$AL$327,MATCH(H$3,'2324 Jun 24 Enroll'!$3:$3,0),FALSE)</f>
        <v>19.3</v>
      </c>
      <c r="I19" s="77">
        <f>VLOOKUP($A19,'2324 Jun 24 Enroll'!$A$3:$AL$327,MATCH(I$3,'2324 Jun 24 Enroll'!$3:$3,0),FALSE)</f>
        <v>0</v>
      </c>
      <c r="J19" s="108">
        <f>VLOOKUP($A19,'2324 Jun 24 Enroll'!$A$3:$AL$327,MATCH(J$3,'2324 Jun 24 Enroll'!$3:$3,0),FALSE)</f>
        <v>90.3</v>
      </c>
      <c r="K19" s="77">
        <f>VLOOKUP($A19,'2324 Jun 24 Enroll'!$A$3:$AL$327,MATCH(K$3,'2324 Jun 24 Enroll'!$3:$3,0),FALSE)</f>
        <v>0</v>
      </c>
      <c r="L19" s="77">
        <f>VLOOKUP($A19,'2324 Jun 24 Enroll'!$A$3:$AL$327,MATCH(L$3,'2324 Jun 24 Enroll'!$3:$3,0),FALSE)</f>
        <v>0</v>
      </c>
      <c r="M19" s="77">
        <f>VLOOKUP($A19,'2324 Jun 24 Enroll'!$A$3:$AL$327,MATCH(M$3,'2324 Jun 24 Enroll'!$3:$3,0),FALSE)</f>
        <v>0</v>
      </c>
      <c r="N19" s="77">
        <f>VLOOKUP($A19,'2324 Jun 24 Enroll'!$A$3:$AL$327,MATCH(N$3,'2324 Jun 24 Enroll'!$3:$3,0),FALSE)</f>
        <v>0</v>
      </c>
      <c r="O19" s="77">
        <f>VLOOKUP($A19,'2324 Jun 24 Enroll'!$A$3:$AL$327,MATCH(O$3,'2324 Jun 24 Enroll'!$3:$3,0),FALSE)</f>
        <v>0</v>
      </c>
      <c r="P19" s="77">
        <f>VLOOKUP($A19,'2324 Jun 24 Enroll'!$A$3:$AL$327,MATCH(P$3,'2324 Jun 24 Enroll'!$3:$3,0),FALSE)</f>
        <v>0</v>
      </c>
      <c r="Q19" s="77">
        <f>VLOOKUP($A19,'2324 Jun 24 Enroll'!$A$3:$AL$327,MATCH(Q$3,'2324 Jun 24 Enroll'!$3:$3,0),FALSE)</f>
        <v>0</v>
      </c>
      <c r="R19" s="108">
        <f t="shared" si="13"/>
        <v>90.3</v>
      </c>
      <c r="S19" s="77">
        <f>VLOOKUP($A19,'2324 Jun 24 Enroll'!$A$3:$AL$327,MATCH(S$3,'2324 Jun 24 Enroll'!$3:$3,0),FALSE)</f>
        <v>0</v>
      </c>
      <c r="T19" s="77">
        <f>VLOOKUP($A19,'2324 Jun 24 Enroll'!$A$3:$AL$327,MATCH(T$3,'2324 Jun 24 Enroll'!$3:$3,0),FALSE)</f>
        <v>0</v>
      </c>
      <c r="U19" s="77">
        <f>VLOOKUP($A19,'2324 Jun 24 Enroll'!$A$3:$AL$327,MATCH(U$3,'2324 Jun 24 Enroll'!$3:$3,0),FALSE)</f>
        <v>0</v>
      </c>
      <c r="V19" s="77">
        <f>VLOOKUP($A19,'2324 Jun 24 Enroll'!$A$3:$AL$327,MATCH(V$3,'2324 Jun 24 Enroll'!$3:$3,0),FALSE)</f>
        <v>10.220000000000001</v>
      </c>
      <c r="W19" s="77">
        <f>VLOOKUP($A19,'2324 Jun 24 Enroll'!$A$3:$AL$327,MATCH(W$3,'2324 Jun 24 Enroll'!$3:$3,0),FALSE)</f>
        <v>0</v>
      </c>
      <c r="X19" s="77">
        <f>VLOOKUP($A19,'2324 Jun 24 Enroll'!$A$3:$AL$327,MATCH(X$3,'2324 Jun 24 Enroll'!$3:$3,0),FALSE)</f>
        <v>90.3</v>
      </c>
      <c r="Y19" s="77">
        <f>VLOOKUP($A19,'2324 Jun 24 Enroll'!$A$3:$AL$327,MATCH(Y$3,'2324 Jun 24 Enroll'!$3:$3,0),FALSE)</f>
        <v>10.220000000000001</v>
      </c>
      <c r="Z19" s="92">
        <f t="shared" si="14"/>
        <v>0.1132</v>
      </c>
      <c r="AA19" s="92">
        <f t="shared" si="15"/>
        <v>0</v>
      </c>
      <c r="AB19" s="93">
        <v>116.64</v>
      </c>
      <c r="AC19" s="93">
        <f t="shared" si="16"/>
        <v>19.309999999999999</v>
      </c>
      <c r="AD19" s="94">
        <f>VLOOKUP($A19,'2324 Jun 24 Enroll'!$A$3:$AL$327,MATCH(AD$3,'2324 Jun 24 Enroll'!$3:$3,0),FALSE)</f>
        <v>0.28570000000000001</v>
      </c>
      <c r="AE19" s="94">
        <f>VLOOKUP($A19,'2324 Jun 24 Enroll'!$A$3:$AL$327,MATCH(AE$3,'2324 Jun 24 Enroll'!$3:$3,0),FALSE)</f>
        <v>0.19130000000000003</v>
      </c>
      <c r="AF19" s="93">
        <f>VLOOKUP($A19,'SpEd BEA Rate 2425'!$A$4:$AT$37,45,FALSE)</f>
        <v>10536.34</v>
      </c>
      <c r="AG19" s="102">
        <f t="shared" si="10"/>
        <v>0</v>
      </c>
      <c r="AH19" s="102">
        <f t="shared" si="4"/>
        <v>0</v>
      </c>
      <c r="AI19" s="102">
        <f t="shared" si="5"/>
        <v>0</v>
      </c>
      <c r="AJ19" s="102">
        <f t="shared" si="11"/>
        <v>114407.59</v>
      </c>
      <c r="AK19" s="102">
        <f t="shared" si="12"/>
        <v>0</v>
      </c>
      <c r="AL19" s="102">
        <f t="shared" si="6"/>
        <v>0</v>
      </c>
      <c r="AM19" s="45">
        <f t="shared" si="7"/>
        <v>102341.44</v>
      </c>
      <c r="AN19" s="45">
        <f t="shared" si="8"/>
        <v>79599.78</v>
      </c>
      <c r="AO19" s="102">
        <f t="shared" si="9"/>
        <v>15227.44</v>
      </c>
    </row>
    <row r="20" spans="1:41" ht="15.75" thickBot="1">
      <c r="A20" s="40" t="s">
        <v>831</v>
      </c>
      <c r="B20" s="40" t="s">
        <v>832</v>
      </c>
      <c r="C20" s="77">
        <f>VLOOKUP($A20,'2324 Jun 24 Enroll'!$A$3:$AL$327,MATCH(C$3,'2324 Jun 24 Enroll'!$3:$3,0),FALSE)</f>
        <v>17</v>
      </c>
      <c r="D20" s="77">
        <f>VLOOKUP($A20,'2324 Jun 24 Enroll'!$A$3:$AL$327,MATCH(D$3,'2324 Jun 24 Enroll'!$3:$3,0),FALSE)</f>
        <v>0</v>
      </c>
      <c r="E20" s="77">
        <f>VLOOKUP($A20,'2324 Jun 24 Enroll'!$A$3:$AL$327,MATCH(E$3,'2324 Jun 24 Enroll'!$3:$3,0),FALSE)</f>
        <v>58.2</v>
      </c>
      <c r="F20" s="77">
        <f>VLOOKUP($A20,'2324 Jun 24 Enroll'!$A$3:$AL$327,MATCH(F$3,'2324 Jun 24 Enroll'!$3:$3,0),FALSE)</f>
        <v>17.5</v>
      </c>
      <c r="G20" s="77">
        <f>VLOOKUP($A20,'2324 Jun 24 Enroll'!$A$3:$AL$327,MATCH(G$3,'2324 Jun 24 Enroll'!$3:$3,0),FALSE)</f>
        <v>21.9</v>
      </c>
      <c r="H20" s="77">
        <f>VLOOKUP($A20,'2324 Jun 24 Enroll'!$A$3:$AL$327,MATCH(H$3,'2324 Jun 24 Enroll'!$3:$3,0),FALSE)</f>
        <v>37.159999999999997</v>
      </c>
      <c r="I20" s="77">
        <f>VLOOKUP($A20,'2324 Jun 24 Enroll'!$A$3:$AL$327,MATCH(I$3,'2324 Jun 24 Enroll'!$3:$3,0),FALSE)</f>
        <v>66.650000000000006</v>
      </c>
      <c r="J20" s="108">
        <f>VLOOKUP($A20,'2324 Jun 24 Enroll'!$A$3:$AL$327,MATCH(J$3,'2324 Jun 24 Enroll'!$3:$3,0),FALSE)</f>
        <v>201.41</v>
      </c>
      <c r="K20" s="77">
        <f>VLOOKUP($A20,'2324 Jun 24 Enroll'!$A$3:$AL$327,MATCH(K$3,'2324 Jun 24 Enroll'!$3:$3,0),FALSE)</f>
        <v>3.6</v>
      </c>
      <c r="L20" s="77">
        <f>VLOOKUP($A20,'2324 Jun 24 Enroll'!$A$3:$AL$327,MATCH(L$3,'2324 Jun 24 Enroll'!$3:$3,0),FALSE)</f>
        <v>0.09</v>
      </c>
      <c r="M20" s="77">
        <f>VLOOKUP($A20,'2324 Jun 24 Enroll'!$A$3:$AL$327,MATCH(M$3,'2324 Jun 24 Enroll'!$3:$3,0),FALSE)</f>
        <v>0</v>
      </c>
      <c r="N20" s="77">
        <f>VLOOKUP($A20,'2324 Jun 24 Enroll'!$A$3:$AL$327,MATCH(N$3,'2324 Jun 24 Enroll'!$3:$3,0),FALSE)</f>
        <v>0</v>
      </c>
      <c r="O20" s="77">
        <f>VLOOKUP($A20,'2324 Jun 24 Enroll'!$A$3:$AL$327,MATCH(O$3,'2324 Jun 24 Enroll'!$3:$3,0),FALSE)</f>
        <v>0</v>
      </c>
      <c r="P20" s="77">
        <f>VLOOKUP($A20,'2324 Jun 24 Enroll'!$A$3:$AL$327,MATCH(P$3,'2324 Jun 24 Enroll'!$3:$3,0),FALSE)</f>
        <v>0</v>
      </c>
      <c r="Q20" s="77">
        <f>VLOOKUP($A20,'2324 Jun 24 Enroll'!$A$3:$AL$327,MATCH(Q$3,'2324 Jun 24 Enroll'!$3:$3,0),FALSE)</f>
        <v>0</v>
      </c>
      <c r="R20" s="108">
        <f t="shared" si="13"/>
        <v>205.1</v>
      </c>
      <c r="S20" s="77">
        <f>VLOOKUP($A20,'2324 Jun 24 Enroll'!$A$3:$AL$327,MATCH(S$3,'2324 Jun 24 Enroll'!$3:$3,0),FALSE)</f>
        <v>1.89</v>
      </c>
      <c r="T20" s="77">
        <f>VLOOKUP($A20,'2324 Jun 24 Enroll'!$A$3:$AL$327,MATCH(T$3,'2324 Jun 24 Enroll'!$3:$3,0),FALSE)</f>
        <v>0</v>
      </c>
      <c r="U20" s="77">
        <f>VLOOKUP($A20,'2324 Jun 24 Enroll'!$A$3:$AL$327,MATCH(U$3,'2324 Jun 24 Enroll'!$3:$3,0),FALSE)</f>
        <v>0</v>
      </c>
      <c r="V20" s="77">
        <f>VLOOKUP($A20,'2324 Jun 24 Enroll'!$A$3:$AL$327,MATCH(V$3,'2324 Jun 24 Enroll'!$3:$3,0),FALSE)</f>
        <v>11.89</v>
      </c>
      <c r="W20" s="77">
        <f>VLOOKUP($A20,'2324 Jun 24 Enroll'!$A$3:$AL$327,MATCH(W$3,'2324 Jun 24 Enroll'!$3:$3,0),FALSE)</f>
        <v>7.56</v>
      </c>
      <c r="X20" s="77">
        <f>VLOOKUP($A20,'2324 Jun 24 Enroll'!$A$3:$AL$327,MATCH(X$3,'2324 Jun 24 Enroll'!$3:$3,0),FALSE)</f>
        <v>206.71</v>
      </c>
      <c r="Y20" s="77">
        <f>VLOOKUP($A20,'2324 Jun 24 Enroll'!$A$3:$AL$327,MATCH(Y$3,'2324 Jun 24 Enroll'!$3:$3,0),FALSE)</f>
        <v>19.45</v>
      </c>
      <c r="Z20" s="92">
        <f t="shared" si="14"/>
        <v>9.4100000000000003E-2</v>
      </c>
      <c r="AA20" s="92">
        <f t="shared" si="15"/>
        <v>0</v>
      </c>
      <c r="AB20" s="93">
        <v>118.73</v>
      </c>
      <c r="AC20" s="93">
        <f t="shared" si="16"/>
        <v>19.649999999999999</v>
      </c>
      <c r="AD20" s="94">
        <f>VLOOKUP($A20,'2324 Jun 24 Enroll'!$A$3:$AL$327,MATCH(AD$3,'2324 Jun 24 Enroll'!$3:$3,0),FALSE)</f>
        <v>0.2039</v>
      </c>
      <c r="AE20" s="94">
        <f>VLOOKUP($A20,'2324 Jun 24 Enroll'!$A$3:$AL$327,MATCH(AE$3,'2324 Jun 24 Enroll'!$3:$3,0),FALSE)</f>
        <v>0.19130000000000003</v>
      </c>
      <c r="AF20" s="93">
        <f>VLOOKUP($A20,'SpEd BEA Rate 2425'!$A$4:$AT$37,45,FALSE)</f>
        <v>10028.200000000001</v>
      </c>
      <c r="AG20" s="102">
        <f t="shared" si="10"/>
        <v>22711.39</v>
      </c>
      <c r="AH20" s="102">
        <f t="shared" si="4"/>
        <v>0</v>
      </c>
      <c r="AI20" s="102">
        <f t="shared" si="5"/>
        <v>0</v>
      </c>
      <c r="AJ20" s="102">
        <f t="shared" si="11"/>
        <v>133102.38</v>
      </c>
      <c r="AK20" s="102">
        <f t="shared" si="12"/>
        <v>80088</v>
      </c>
      <c r="AL20" s="102">
        <f t="shared" si="6"/>
        <v>0</v>
      </c>
      <c r="AM20" s="45">
        <f t="shared" si="7"/>
        <v>194769.19</v>
      </c>
      <c r="AN20" s="45">
        <f t="shared" si="8"/>
        <v>161781.87</v>
      </c>
      <c r="AO20" s="102">
        <f t="shared" si="9"/>
        <v>30948.87</v>
      </c>
    </row>
    <row r="21" spans="1:41" ht="15.75" thickBot="1">
      <c r="A21" s="40" t="s">
        <v>478</v>
      </c>
      <c r="B21" s="40" t="s">
        <v>479</v>
      </c>
      <c r="C21" s="77">
        <f>VLOOKUP($A21,'2324 Jun 24 Enroll'!$A$3:$AL$327,MATCH(C$3,'2324 Jun 24 Enroll'!$3:$3,0),FALSE)</f>
        <v>17</v>
      </c>
      <c r="D21" s="77">
        <f>VLOOKUP($A21,'2324 Jun 24 Enroll'!$A$3:$AL$327,MATCH(D$3,'2324 Jun 24 Enroll'!$3:$3,0),FALSE)</f>
        <v>0</v>
      </c>
      <c r="E21" s="77">
        <f>VLOOKUP($A21,'2324 Jun 24 Enroll'!$A$3:$AL$327,MATCH(E$3,'2324 Jun 24 Enroll'!$3:$3,0),FALSE)</f>
        <v>19.899999999999999</v>
      </c>
      <c r="F21" s="77">
        <f>VLOOKUP($A21,'2324 Jun 24 Enroll'!$A$3:$AL$327,MATCH(F$3,'2324 Jun 24 Enroll'!$3:$3,0),FALSE)</f>
        <v>4.9000000000000004</v>
      </c>
      <c r="G21" s="77">
        <f>VLOOKUP($A21,'2324 Jun 24 Enroll'!$A$3:$AL$327,MATCH(G$3,'2324 Jun 24 Enroll'!$3:$3,0),FALSE)</f>
        <v>4</v>
      </c>
      <c r="H21" s="77">
        <f>VLOOKUP($A21,'2324 Jun 24 Enroll'!$A$3:$AL$327,MATCH(H$3,'2324 Jun 24 Enroll'!$3:$3,0),FALSE)</f>
        <v>7.5</v>
      </c>
      <c r="I21" s="77">
        <f>VLOOKUP($A21,'2324 Jun 24 Enroll'!$A$3:$AL$327,MATCH(I$3,'2324 Jun 24 Enroll'!$3:$3,0),FALSE)</f>
        <v>25.3</v>
      </c>
      <c r="J21" s="108">
        <f>VLOOKUP($A21,'2324 Jun 24 Enroll'!$A$3:$AL$327,MATCH(J$3,'2324 Jun 24 Enroll'!$3:$3,0),FALSE)</f>
        <v>61.6</v>
      </c>
      <c r="K21" s="77">
        <f>VLOOKUP($A21,'2324 Jun 24 Enroll'!$A$3:$AL$327,MATCH(K$3,'2324 Jun 24 Enroll'!$3:$3,0),FALSE)</f>
        <v>0</v>
      </c>
      <c r="L21" s="77">
        <f>VLOOKUP($A21,'2324 Jun 24 Enroll'!$A$3:$AL$327,MATCH(L$3,'2324 Jun 24 Enroll'!$3:$3,0),FALSE)</f>
        <v>0</v>
      </c>
      <c r="M21" s="77">
        <f>VLOOKUP($A21,'2324 Jun 24 Enroll'!$A$3:$AL$327,MATCH(M$3,'2324 Jun 24 Enroll'!$3:$3,0),FALSE)</f>
        <v>0</v>
      </c>
      <c r="N21" s="77">
        <f>VLOOKUP($A21,'2324 Jun 24 Enroll'!$A$3:$AL$327,MATCH(N$3,'2324 Jun 24 Enroll'!$3:$3,0),FALSE)</f>
        <v>0</v>
      </c>
      <c r="O21" s="77">
        <f>VLOOKUP($A21,'2324 Jun 24 Enroll'!$A$3:$AL$327,MATCH(O$3,'2324 Jun 24 Enroll'!$3:$3,0),FALSE)</f>
        <v>0</v>
      </c>
      <c r="P21" s="77">
        <f>VLOOKUP($A21,'2324 Jun 24 Enroll'!$A$3:$AL$327,MATCH(P$3,'2324 Jun 24 Enroll'!$3:$3,0),FALSE)</f>
        <v>0</v>
      </c>
      <c r="Q21" s="77">
        <f>VLOOKUP($A21,'2324 Jun 24 Enroll'!$A$3:$AL$327,MATCH(Q$3,'2324 Jun 24 Enroll'!$3:$3,0),FALSE)</f>
        <v>0</v>
      </c>
      <c r="R21" s="108">
        <f t="shared" si="13"/>
        <v>61.6</v>
      </c>
      <c r="S21" s="77">
        <f>VLOOKUP($A21,'2324 Jun 24 Enroll'!$A$3:$AL$327,MATCH(S$3,'2324 Jun 24 Enroll'!$3:$3,0),FALSE)</f>
        <v>0.78</v>
      </c>
      <c r="T21" s="77">
        <f>VLOOKUP($A21,'2324 Jun 24 Enroll'!$A$3:$AL$327,MATCH(T$3,'2324 Jun 24 Enroll'!$3:$3,0),FALSE)</f>
        <v>0</v>
      </c>
      <c r="U21" s="77">
        <f>VLOOKUP($A21,'2324 Jun 24 Enroll'!$A$3:$AL$327,MATCH(U$3,'2324 Jun 24 Enroll'!$3:$3,0),FALSE)</f>
        <v>0</v>
      </c>
      <c r="V21" s="77">
        <f>VLOOKUP($A21,'2324 Jun 24 Enroll'!$A$3:$AL$327,MATCH(V$3,'2324 Jun 24 Enroll'!$3:$3,0),FALSE)</f>
        <v>10.44</v>
      </c>
      <c r="W21" s="77">
        <f>VLOOKUP($A21,'2324 Jun 24 Enroll'!$A$3:$AL$327,MATCH(W$3,'2324 Jun 24 Enroll'!$3:$3,0),FALSE)</f>
        <v>0.44</v>
      </c>
      <c r="X21" s="77">
        <f>VLOOKUP($A21,'2324 Jun 24 Enroll'!$A$3:$AL$327,MATCH(X$3,'2324 Jun 24 Enroll'!$3:$3,0),FALSE)</f>
        <v>61.89</v>
      </c>
      <c r="Y21" s="77">
        <f>VLOOKUP($A21,'2324 Jun 24 Enroll'!$A$3:$AL$327,MATCH(Y$3,'2324 Jun 24 Enroll'!$3:$3,0),FALSE)</f>
        <v>10.88</v>
      </c>
      <c r="Z21" s="92">
        <f t="shared" si="14"/>
        <v>0.17580000000000001</v>
      </c>
      <c r="AA21" s="92">
        <f t="shared" si="15"/>
        <v>1.5800000000000008E-2</v>
      </c>
      <c r="AB21" s="93">
        <v>134.80000000000001</v>
      </c>
      <c r="AC21" s="93">
        <f t="shared" si="16"/>
        <v>22.31</v>
      </c>
      <c r="AD21" s="94">
        <f>VLOOKUP($A21,'2324 Jun 24 Enroll'!$A$3:$AL$327,MATCH(AD$3,'2324 Jun 24 Enroll'!$3:$3,0),FALSE)</f>
        <v>0.2878</v>
      </c>
      <c r="AE21" s="94">
        <f>VLOOKUP($A21,'2324 Jun 24 Enroll'!$A$3:$AL$327,MATCH(AE$3,'2324 Jun 24 Enroll'!$3:$3,0),FALSE)</f>
        <v>0.19130000000000003</v>
      </c>
      <c r="AF21" s="93">
        <f>VLOOKUP($A21,'SpEd BEA Rate 2425'!$A$4:$AT$37,45,FALSE)</f>
        <v>10383.179999999998</v>
      </c>
      <c r="AG21" s="102">
        <f t="shared" si="10"/>
        <v>9372.9500000000007</v>
      </c>
      <c r="AH21" s="102">
        <f t="shared" si="4"/>
        <v>0</v>
      </c>
      <c r="AI21" s="102">
        <f t="shared" si="5"/>
        <v>0</v>
      </c>
      <c r="AJ21" s="102">
        <f t="shared" si="11"/>
        <v>116870.38</v>
      </c>
      <c r="AK21" s="102">
        <f t="shared" si="12"/>
        <v>4661.21</v>
      </c>
      <c r="AL21" s="102">
        <f t="shared" si="6"/>
        <v>0</v>
      </c>
      <c r="AM21" s="45">
        <f t="shared" si="7"/>
        <v>108950.58</v>
      </c>
      <c r="AN21" s="45">
        <f t="shared" si="8"/>
        <v>84602.1</v>
      </c>
      <c r="AO21" s="102">
        <f t="shared" si="9"/>
        <v>16184.38</v>
      </c>
    </row>
    <row r="22" spans="1:41" ht="15.75" thickBot="1">
      <c r="A22" s="40" t="s">
        <v>534</v>
      </c>
      <c r="B22" s="40" t="s">
        <v>535</v>
      </c>
      <c r="C22" s="77">
        <f>VLOOKUP($A22,'2324 Jun 24 Enroll'!$A$3:$AL$327,MATCH(C$3,'2324 Jun 24 Enroll'!$3:$3,0),FALSE)</f>
        <v>17</v>
      </c>
      <c r="D22" s="77">
        <f>VLOOKUP($A22,'2324 Jun 24 Enroll'!$A$3:$AL$327,MATCH(D$3,'2324 Jun 24 Enroll'!$3:$3,0),FALSE)</f>
        <v>0</v>
      </c>
      <c r="E22" s="77">
        <f>VLOOKUP($A22,'2324 Jun 24 Enroll'!$A$3:$AL$327,MATCH(E$3,'2324 Jun 24 Enroll'!$3:$3,0),FALSE)</f>
        <v>27.5</v>
      </c>
      <c r="F22" s="77">
        <f>VLOOKUP($A22,'2324 Jun 24 Enroll'!$A$3:$AL$327,MATCH(F$3,'2324 Jun 24 Enroll'!$3:$3,0),FALSE)</f>
        <v>7.2</v>
      </c>
      <c r="G22" s="77">
        <f>VLOOKUP($A22,'2324 Jun 24 Enroll'!$A$3:$AL$327,MATCH(G$3,'2324 Jun 24 Enroll'!$3:$3,0),FALSE)</f>
        <v>13.7</v>
      </c>
      <c r="H22" s="77">
        <f>VLOOKUP($A22,'2324 Jun 24 Enroll'!$A$3:$AL$327,MATCH(H$3,'2324 Jun 24 Enroll'!$3:$3,0),FALSE)</f>
        <v>10.8</v>
      </c>
      <c r="I22" s="77">
        <f>VLOOKUP($A22,'2324 Jun 24 Enroll'!$A$3:$AL$327,MATCH(I$3,'2324 Jun 24 Enroll'!$3:$3,0),FALSE)</f>
        <v>25.69</v>
      </c>
      <c r="J22" s="108">
        <f>VLOOKUP($A22,'2324 Jun 24 Enroll'!$A$3:$AL$327,MATCH(J$3,'2324 Jun 24 Enroll'!$3:$3,0),FALSE)</f>
        <v>84.89</v>
      </c>
      <c r="K22" s="77">
        <f>VLOOKUP($A22,'2324 Jun 24 Enroll'!$A$3:$AL$327,MATCH(K$3,'2324 Jun 24 Enroll'!$3:$3,0),FALSE)</f>
        <v>0.96</v>
      </c>
      <c r="L22" s="77">
        <f>VLOOKUP($A22,'2324 Jun 24 Enroll'!$A$3:$AL$327,MATCH(L$3,'2324 Jun 24 Enroll'!$3:$3,0),FALSE)</f>
        <v>0</v>
      </c>
      <c r="M22" s="77">
        <f>VLOOKUP($A22,'2324 Jun 24 Enroll'!$A$3:$AL$327,MATCH(M$3,'2324 Jun 24 Enroll'!$3:$3,0),FALSE)</f>
        <v>0</v>
      </c>
      <c r="N22" s="77">
        <f>VLOOKUP($A22,'2324 Jun 24 Enroll'!$A$3:$AL$327,MATCH(N$3,'2324 Jun 24 Enroll'!$3:$3,0),FALSE)</f>
        <v>0</v>
      </c>
      <c r="O22" s="77">
        <f>VLOOKUP($A22,'2324 Jun 24 Enroll'!$A$3:$AL$327,MATCH(O$3,'2324 Jun 24 Enroll'!$3:$3,0),FALSE)</f>
        <v>0</v>
      </c>
      <c r="P22" s="77">
        <f>VLOOKUP($A22,'2324 Jun 24 Enroll'!$A$3:$AL$327,MATCH(P$3,'2324 Jun 24 Enroll'!$3:$3,0),FALSE)</f>
        <v>0</v>
      </c>
      <c r="Q22" s="77">
        <f>VLOOKUP($A22,'2324 Jun 24 Enroll'!$A$3:$AL$327,MATCH(Q$3,'2324 Jun 24 Enroll'!$3:$3,0),FALSE)</f>
        <v>0</v>
      </c>
      <c r="R22" s="108">
        <f t="shared" si="13"/>
        <v>85.85</v>
      </c>
      <c r="S22" s="77">
        <f>VLOOKUP($A22,'2324 Jun 24 Enroll'!$A$3:$AL$327,MATCH(S$3,'2324 Jun 24 Enroll'!$3:$3,0),FALSE)</f>
        <v>0.67</v>
      </c>
      <c r="T22" s="77">
        <f>VLOOKUP($A22,'2324 Jun 24 Enroll'!$A$3:$AL$327,MATCH(T$3,'2324 Jun 24 Enroll'!$3:$3,0),FALSE)</f>
        <v>0</v>
      </c>
      <c r="U22" s="77">
        <f>VLOOKUP($A22,'2324 Jun 24 Enroll'!$A$3:$AL$327,MATCH(U$3,'2324 Jun 24 Enroll'!$3:$3,0),FALSE)</f>
        <v>0</v>
      </c>
      <c r="V22" s="77">
        <f>VLOOKUP($A22,'2324 Jun 24 Enroll'!$A$3:$AL$327,MATCH(V$3,'2324 Jun 24 Enroll'!$3:$3,0),FALSE)</f>
        <v>9.56</v>
      </c>
      <c r="W22" s="77">
        <f>VLOOKUP($A22,'2324 Jun 24 Enroll'!$A$3:$AL$327,MATCH(W$3,'2324 Jun 24 Enroll'!$3:$3,0),FALSE)</f>
        <v>0.78</v>
      </c>
      <c r="X22" s="77">
        <f>VLOOKUP($A22,'2324 Jun 24 Enroll'!$A$3:$AL$327,MATCH(X$3,'2324 Jun 24 Enroll'!$3:$3,0),FALSE)</f>
        <v>85.85</v>
      </c>
      <c r="Y22" s="77">
        <f>VLOOKUP($A22,'2324 Jun 24 Enroll'!$A$3:$AL$327,MATCH(Y$3,'2324 Jun 24 Enroll'!$3:$3,0),FALSE)</f>
        <v>10.34</v>
      </c>
      <c r="Z22" s="92">
        <f t="shared" si="14"/>
        <v>0.12039999999999999</v>
      </c>
      <c r="AA22" s="92">
        <f t="shared" si="15"/>
        <v>0</v>
      </c>
      <c r="AB22" s="93">
        <v>129.01</v>
      </c>
      <c r="AC22" s="93">
        <f t="shared" si="16"/>
        <v>21.35</v>
      </c>
      <c r="AD22" s="94">
        <f>VLOOKUP($A22,'2324 Jun 24 Enroll'!$A$3:$AL$327,MATCH(AD$3,'2324 Jun 24 Enroll'!$3:$3,0),FALSE)</f>
        <v>0.35730000000000001</v>
      </c>
      <c r="AE22" s="94">
        <f>VLOOKUP($A22,'2324 Jun 24 Enroll'!$A$3:$AL$327,MATCH(AE$3,'2324 Jun 24 Enroll'!$3:$3,0),FALSE)</f>
        <v>0.19130000000000003</v>
      </c>
      <c r="AF22" s="93">
        <f>VLOOKUP($A22,'SpEd BEA Rate 2425'!$A$4:$AT$37,45,FALSE)</f>
        <v>10339.720000000001</v>
      </c>
      <c r="AG22" s="102">
        <f t="shared" si="10"/>
        <v>8051.13</v>
      </c>
      <c r="AH22" s="102">
        <f t="shared" si="4"/>
        <v>0</v>
      </c>
      <c r="AI22" s="102">
        <f t="shared" si="5"/>
        <v>0</v>
      </c>
      <c r="AJ22" s="102">
        <f t="shared" si="11"/>
        <v>107019.24</v>
      </c>
      <c r="AK22" s="102">
        <f t="shared" si="12"/>
        <v>8263.0499999999993</v>
      </c>
      <c r="AL22" s="102">
        <f t="shared" si="6"/>
        <v>0</v>
      </c>
      <c r="AM22" s="45">
        <f t="shared" si="7"/>
        <v>103543.11</v>
      </c>
      <c r="AN22" s="45">
        <f t="shared" si="8"/>
        <v>76286.09</v>
      </c>
      <c r="AO22" s="102">
        <f t="shared" si="9"/>
        <v>14593.53</v>
      </c>
    </row>
    <row r="23" spans="1:41" ht="15.75" thickBot="1">
      <c r="A23" s="40" t="s">
        <v>737</v>
      </c>
      <c r="B23" s="40" t="s">
        <v>738</v>
      </c>
      <c r="C23" s="77">
        <f>VLOOKUP($A23,'2324 Jun 24 Enroll'!$A$3:$AL$327,MATCH(C$3,'2324 Jun 24 Enroll'!$3:$3,0),FALSE)</f>
        <v>17</v>
      </c>
      <c r="D23" s="77">
        <f>VLOOKUP($A23,'2324 Jun 24 Enroll'!$A$3:$AL$327,MATCH(D$3,'2324 Jun 24 Enroll'!$3:$3,0),FALSE)</f>
        <v>0</v>
      </c>
      <c r="E23" s="77">
        <f>VLOOKUP($A23,'2324 Jun 24 Enroll'!$A$3:$AL$327,MATCH(E$3,'2324 Jun 24 Enroll'!$3:$3,0),FALSE)</f>
        <v>11.5</v>
      </c>
      <c r="F23" s="77">
        <f>VLOOKUP($A23,'2324 Jun 24 Enroll'!$A$3:$AL$327,MATCH(F$3,'2324 Jun 24 Enroll'!$3:$3,0),FALSE)</f>
        <v>2.5</v>
      </c>
      <c r="G23" s="77">
        <f>VLOOKUP($A23,'2324 Jun 24 Enroll'!$A$3:$AL$327,MATCH(G$3,'2324 Jun 24 Enroll'!$3:$3,0),FALSE)</f>
        <v>13.1</v>
      </c>
      <c r="H23" s="77">
        <f>VLOOKUP($A23,'2324 Jun 24 Enroll'!$A$3:$AL$327,MATCH(H$3,'2324 Jun 24 Enroll'!$3:$3,0),FALSE)</f>
        <v>0</v>
      </c>
      <c r="I23" s="77">
        <f>VLOOKUP($A23,'2324 Jun 24 Enroll'!$A$3:$AL$327,MATCH(I$3,'2324 Jun 24 Enroll'!$3:$3,0),FALSE)</f>
        <v>0</v>
      </c>
      <c r="J23" s="108">
        <f>VLOOKUP($A23,'2324 Jun 24 Enroll'!$A$3:$AL$327,MATCH(J$3,'2324 Jun 24 Enroll'!$3:$3,0),FALSE)</f>
        <v>27.1</v>
      </c>
      <c r="K23" s="77">
        <f>VLOOKUP($A23,'2324 Jun 24 Enroll'!$A$3:$AL$327,MATCH(K$3,'2324 Jun 24 Enroll'!$3:$3,0),FALSE)</f>
        <v>0</v>
      </c>
      <c r="L23" s="77">
        <f>VLOOKUP($A23,'2324 Jun 24 Enroll'!$A$3:$AL$327,MATCH(L$3,'2324 Jun 24 Enroll'!$3:$3,0),FALSE)</f>
        <v>0</v>
      </c>
      <c r="M23" s="77">
        <f>VLOOKUP($A23,'2324 Jun 24 Enroll'!$A$3:$AL$327,MATCH(M$3,'2324 Jun 24 Enroll'!$3:$3,0),FALSE)</f>
        <v>0</v>
      </c>
      <c r="N23" s="77">
        <f>VLOOKUP($A23,'2324 Jun 24 Enroll'!$A$3:$AL$327,MATCH(N$3,'2324 Jun 24 Enroll'!$3:$3,0),FALSE)</f>
        <v>0</v>
      </c>
      <c r="O23" s="77">
        <f>VLOOKUP($A23,'2324 Jun 24 Enroll'!$A$3:$AL$327,MATCH(O$3,'2324 Jun 24 Enroll'!$3:$3,0),FALSE)</f>
        <v>0</v>
      </c>
      <c r="P23" s="77">
        <f>VLOOKUP($A23,'2324 Jun 24 Enroll'!$A$3:$AL$327,MATCH(P$3,'2324 Jun 24 Enroll'!$3:$3,0),FALSE)</f>
        <v>0</v>
      </c>
      <c r="Q23" s="77">
        <f>VLOOKUP($A23,'2324 Jun 24 Enroll'!$A$3:$AL$327,MATCH(Q$3,'2324 Jun 24 Enroll'!$3:$3,0),FALSE)</f>
        <v>0</v>
      </c>
      <c r="R23" s="108">
        <f t="shared" si="13"/>
        <v>27.1</v>
      </c>
      <c r="S23" s="77">
        <f>VLOOKUP($A23,'2324 Jun 24 Enroll'!$A$3:$AL$327,MATCH(S$3,'2324 Jun 24 Enroll'!$3:$3,0),FALSE)</f>
        <v>0</v>
      </c>
      <c r="T23" s="77">
        <f>VLOOKUP($A23,'2324 Jun 24 Enroll'!$A$3:$AL$327,MATCH(T$3,'2324 Jun 24 Enroll'!$3:$3,0),FALSE)</f>
        <v>0</v>
      </c>
      <c r="U23" s="77">
        <f>VLOOKUP($A23,'2324 Jun 24 Enroll'!$A$3:$AL$327,MATCH(U$3,'2324 Jun 24 Enroll'!$3:$3,0),FALSE)</f>
        <v>0</v>
      </c>
      <c r="V23" s="77">
        <f>VLOOKUP($A23,'2324 Jun 24 Enroll'!$A$3:$AL$327,MATCH(V$3,'2324 Jun 24 Enroll'!$3:$3,0),FALSE)</f>
        <v>3.56</v>
      </c>
      <c r="W23" s="77">
        <f>VLOOKUP($A23,'2324 Jun 24 Enroll'!$A$3:$AL$327,MATCH(W$3,'2324 Jun 24 Enroll'!$3:$3,0),FALSE)</f>
        <v>0</v>
      </c>
      <c r="X23" s="77">
        <f>VLOOKUP($A23,'2324 Jun 24 Enroll'!$A$3:$AL$327,MATCH(X$3,'2324 Jun 24 Enroll'!$3:$3,0),FALSE)</f>
        <v>27.1</v>
      </c>
      <c r="Y23" s="77">
        <f>VLOOKUP($A23,'2324 Jun 24 Enroll'!$A$3:$AL$327,MATCH(Y$3,'2324 Jun 24 Enroll'!$3:$3,0),FALSE)</f>
        <v>3.56</v>
      </c>
      <c r="Z23" s="92">
        <f t="shared" si="14"/>
        <v>0.13139999999999999</v>
      </c>
      <c r="AA23" s="92">
        <f t="shared" si="15"/>
        <v>0</v>
      </c>
      <c r="AB23" s="93">
        <v>123.8</v>
      </c>
      <c r="AC23" s="93">
        <f t="shared" si="16"/>
        <v>20.49</v>
      </c>
      <c r="AD23" s="94">
        <f>VLOOKUP($A23,'2324 Jun 24 Enroll'!$A$3:$AL$327,MATCH(AD$3,'2324 Jun 24 Enroll'!$3:$3,0),FALSE)</f>
        <v>0.21729999999999999</v>
      </c>
      <c r="AE23" s="94">
        <f>VLOOKUP($A23,'2324 Jun 24 Enroll'!$A$3:$AL$327,MATCH(AE$3,'2324 Jun 24 Enroll'!$3:$3,0),FALSE)</f>
        <v>0.19130000000000003</v>
      </c>
      <c r="AF23" s="93">
        <f>VLOOKUP($A23,'SpEd BEA Rate 2425'!$A$4:$AT$37,45,FALSE)</f>
        <v>10312.43</v>
      </c>
      <c r="AG23" s="102">
        <f t="shared" si="10"/>
        <v>0</v>
      </c>
      <c r="AH23" s="102">
        <f t="shared" si="4"/>
        <v>0</v>
      </c>
      <c r="AI23" s="102">
        <f t="shared" si="5"/>
        <v>0</v>
      </c>
      <c r="AJ23" s="102">
        <f t="shared" si="11"/>
        <v>39852.35</v>
      </c>
      <c r="AK23" s="102">
        <f t="shared" si="12"/>
        <v>0</v>
      </c>
      <c r="AL23" s="102">
        <f t="shared" si="6"/>
        <v>0</v>
      </c>
      <c r="AM23" s="45">
        <f t="shared" si="7"/>
        <v>35649.269999999997</v>
      </c>
      <c r="AN23" s="45">
        <f t="shared" si="8"/>
        <v>29285.53</v>
      </c>
      <c r="AO23" s="102">
        <f t="shared" si="9"/>
        <v>5602.32</v>
      </c>
    </row>
    <row r="24" spans="1:41" ht="15.75" thickBot="1">
      <c r="A24" s="40" t="s">
        <v>480</v>
      </c>
      <c r="B24" s="40" t="s">
        <v>481</v>
      </c>
      <c r="C24" s="77">
        <f>VLOOKUP($A24,'2324 Jun 24 Enroll'!$A$3:$AL$327,MATCH(C$3,'2324 Jun 24 Enroll'!$3:$3,0),FALSE)</f>
        <v>17.27</v>
      </c>
      <c r="D24" s="77">
        <f>VLOOKUP($A24,'2324 Jun 24 Enroll'!$A$3:$AL$327,MATCH(D$3,'2324 Jun 24 Enroll'!$3:$3,0),FALSE)</f>
        <v>0</v>
      </c>
      <c r="E24" s="77">
        <f>VLOOKUP($A24,'2324 Jun 24 Enroll'!$A$3:$AL$327,MATCH(E$3,'2324 Jun 24 Enroll'!$3:$3,0),FALSE)</f>
        <v>235.89</v>
      </c>
      <c r="F24" s="77">
        <f>VLOOKUP($A24,'2324 Jun 24 Enroll'!$A$3:$AL$327,MATCH(F$3,'2324 Jun 24 Enroll'!$3:$3,0),FALSE)</f>
        <v>61.5</v>
      </c>
      <c r="G24" s="77">
        <f>VLOOKUP($A24,'2324 Jun 24 Enroll'!$A$3:$AL$327,MATCH(G$3,'2324 Jun 24 Enroll'!$3:$3,0),FALSE)</f>
        <v>116.2</v>
      </c>
      <c r="H24" s="77">
        <f>VLOOKUP($A24,'2324 Jun 24 Enroll'!$A$3:$AL$327,MATCH(H$3,'2324 Jun 24 Enroll'!$3:$3,0),FALSE)</f>
        <v>137.91</v>
      </c>
      <c r="I24" s="77">
        <f>VLOOKUP($A24,'2324 Jun 24 Enroll'!$A$3:$AL$327,MATCH(I$3,'2324 Jun 24 Enroll'!$3:$3,0),FALSE)</f>
        <v>297.08</v>
      </c>
      <c r="J24" s="108">
        <f>VLOOKUP($A24,'2324 Jun 24 Enroll'!$A$3:$AL$327,MATCH(J$3,'2324 Jun 24 Enroll'!$3:$3,0),FALSE)</f>
        <v>848.58</v>
      </c>
      <c r="K24" s="77">
        <f>VLOOKUP($A24,'2324 Jun 24 Enroll'!$A$3:$AL$327,MATCH(K$3,'2324 Jun 24 Enroll'!$3:$3,0),FALSE)</f>
        <v>34.869999999999997</v>
      </c>
      <c r="L24" s="77">
        <f>VLOOKUP($A24,'2324 Jun 24 Enroll'!$A$3:$AL$327,MATCH(L$3,'2324 Jun 24 Enroll'!$3:$3,0),FALSE)</f>
        <v>4.21</v>
      </c>
      <c r="M24" s="77">
        <f>VLOOKUP($A24,'2324 Jun 24 Enroll'!$A$3:$AL$327,MATCH(M$3,'2324 Jun 24 Enroll'!$3:$3,0),FALSE)</f>
        <v>0</v>
      </c>
      <c r="N24" s="77">
        <f>VLOOKUP($A24,'2324 Jun 24 Enroll'!$A$3:$AL$327,MATCH(N$3,'2324 Jun 24 Enroll'!$3:$3,0),FALSE)</f>
        <v>0</v>
      </c>
      <c r="O24" s="77">
        <f>VLOOKUP($A24,'2324 Jun 24 Enroll'!$A$3:$AL$327,MATCH(O$3,'2324 Jun 24 Enroll'!$3:$3,0),FALSE)</f>
        <v>458.7</v>
      </c>
      <c r="P24" s="77">
        <f>VLOOKUP($A24,'2324 Jun 24 Enroll'!$A$3:$AL$327,MATCH(P$3,'2324 Jun 24 Enroll'!$3:$3,0),FALSE)</f>
        <v>351.3</v>
      </c>
      <c r="Q24" s="77">
        <f>VLOOKUP($A24,'2324 Jun 24 Enroll'!$A$3:$AL$327,MATCH(Q$3,'2324 Jun 24 Enroll'!$3:$3,0),FALSE)</f>
        <v>1235.3399999999999</v>
      </c>
      <c r="R24" s="108">
        <f t="shared" si="13"/>
        <v>2933</v>
      </c>
      <c r="S24" s="77">
        <f>VLOOKUP($A24,'2324 Jun 24 Enroll'!$A$3:$AL$327,MATCH(S$3,'2324 Jun 24 Enroll'!$3:$3,0),FALSE)</f>
        <v>4.33</v>
      </c>
      <c r="T24" s="77">
        <f>VLOOKUP($A24,'2324 Jun 24 Enroll'!$A$3:$AL$327,MATCH(T$3,'2324 Jun 24 Enroll'!$3:$3,0),FALSE)</f>
        <v>0</v>
      </c>
      <c r="U24" s="77">
        <f>VLOOKUP($A24,'2324 Jun 24 Enroll'!$A$3:$AL$327,MATCH(U$3,'2324 Jun 24 Enroll'!$3:$3,0),FALSE)</f>
        <v>0</v>
      </c>
      <c r="V24" s="77">
        <f>VLOOKUP($A24,'2324 Jun 24 Enroll'!$A$3:$AL$327,MATCH(V$3,'2324 Jun 24 Enroll'!$3:$3,0),FALSE)</f>
        <v>385.56</v>
      </c>
      <c r="W24" s="77">
        <f>VLOOKUP($A24,'2324 Jun 24 Enroll'!$A$3:$AL$327,MATCH(W$3,'2324 Jun 24 Enroll'!$3:$3,0),FALSE)</f>
        <v>87.22</v>
      </c>
      <c r="X24" s="77">
        <f>VLOOKUP($A24,'2324 Jun 24 Enroll'!$A$3:$AL$327,MATCH(X$3,'2324 Jun 24 Enroll'!$3:$3,0),FALSE)</f>
        <v>2933</v>
      </c>
      <c r="Y24" s="77">
        <f>VLOOKUP($A24,'2324 Jun 24 Enroll'!$A$3:$AL$327,MATCH(Y$3,'2324 Jun 24 Enroll'!$3:$3,0),FALSE)</f>
        <v>472.78</v>
      </c>
      <c r="Z24" s="92">
        <f t="shared" si="14"/>
        <v>0.16120000000000001</v>
      </c>
      <c r="AA24" s="92">
        <f t="shared" si="15"/>
        <v>1.2000000000000066E-3</v>
      </c>
      <c r="AB24" s="93">
        <v>121.45</v>
      </c>
      <c r="AC24" s="93">
        <f t="shared" si="16"/>
        <v>20.100000000000001</v>
      </c>
      <c r="AD24" s="94">
        <f>VLOOKUP($A24,'2324 Jun 24 Enroll'!$A$3:$AL$327,MATCH(AD$3,'2324 Jun 24 Enroll'!$3:$3,0),FALSE)</f>
        <v>7.4899999999999994E-2</v>
      </c>
      <c r="AE24" s="94">
        <f>VLOOKUP($A24,'2324 Jun 24 Enroll'!$A$3:$AL$327,MATCH(AE$3,'2324 Jun 24 Enroll'!$3:$3,0),FALSE)</f>
        <v>0.19130000000000003</v>
      </c>
      <c r="AF24" s="93">
        <f>VLOOKUP($A24,'SpEd BEA Rate 2425'!$A$4:$AT$37,45,FALSE)</f>
        <v>9592.61</v>
      </c>
      <c r="AG24" s="102">
        <f t="shared" si="10"/>
        <v>52031.91</v>
      </c>
      <c r="AH24" s="102">
        <f t="shared" si="4"/>
        <v>0</v>
      </c>
      <c r="AI24" s="102">
        <f t="shared" si="5"/>
        <v>0</v>
      </c>
      <c r="AJ24" s="102">
        <f t="shared" si="11"/>
        <v>4316144.0199999996</v>
      </c>
      <c r="AK24" s="102">
        <f t="shared" si="12"/>
        <v>923978.19</v>
      </c>
      <c r="AL24" s="102">
        <f t="shared" si="6"/>
        <v>0</v>
      </c>
      <c r="AM24" s="45">
        <f t="shared" si="7"/>
        <v>4734343.28</v>
      </c>
      <c r="AN24" s="45">
        <f t="shared" si="8"/>
        <v>4404449.9800000004</v>
      </c>
      <c r="AO24" s="102">
        <f t="shared" si="9"/>
        <v>842571.28</v>
      </c>
    </row>
    <row r="25" spans="1:41" ht="15.75" thickBot="1">
      <c r="A25" s="40" t="s">
        <v>875</v>
      </c>
      <c r="B25" s="40" t="s">
        <v>876</v>
      </c>
      <c r="C25" s="77">
        <f>VLOOKUP($A25,'2324 Jun 24 Enroll'!$A$3:$AL$327,MATCH(C$3,'2324 Jun 24 Enroll'!$3:$3,0),FALSE)</f>
        <v>17</v>
      </c>
      <c r="D25" s="77">
        <f>VLOOKUP($A25,'2324 Jun 24 Enroll'!$A$3:$AL$327,MATCH(D$3,'2324 Jun 24 Enroll'!$3:$3,0),FALSE)</f>
        <v>0</v>
      </c>
      <c r="E25" s="77">
        <f>VLOOKUP($A25,'2324 Jun 24 Enroll'!$A$3:$AL$327,MATCH(E$3,'2324 Jun 24 Enroll'!$3:$3,0),FALSE)</f>
        <v>281.57</v>
      </c>
      <c r="F25" s="77">
        <f>VLOOKUP($A25,'2324 Jun 24 Enroll'!$A$3:$AL$327,MATCH(F$3,'2324 Jun 24 Enroll'!$3:$3,0),FALSE)</f>
        <v>81.599999999999994</v>
      </c>
      <c r="G25" s="77">
        <f>VLOOKUP($A25,'2324 Jun 24 Enroll'!$A$3:$AL$327,MATCH(G$3,'2324 Jun 24 Enroll'!$3:$3,0),FALSE)</f>
        <v>169</v>
      </c>
      <c r="H25" s="77">
        <f>VLOOKUP($A25,'2324 Jun 24 Enroll'!$A$3:$AL$327,MATCH(H$3,'2324 Jun 24 Enroll'!$3:$3,0),FALSE)</f>
        <v>179.3</v>
      </c>
      <c r="I25" s="77">
        <f>VLOOKUP($A25,'2324 Jun 24 Enroll'!$A$3:$AL$327,MATCH(I$3,'2324 Jun 24 Enroll'!$3:$3,0),FALSE)</f>
        <v>331.73</v>
      </c>
      <c r="J25" s="108">
        <f>VLOOKUP($A25,'2324 Jun 24 Enroll'!$A$3:$AL$327,MATCH(J$3,'2324 Jun 24 Enroll'!$3:$3,0),FALSE)</f>
        <v>1043.2</v>
      </c>
      <c r="K25" s="77">
        <f>VLOOKUP($A25,'2324 Jun 24 Enroll'!$A$3:$AL$327,MATCH(K$3,'2324 Jun 24 Enroll'!$3:$3,0),FALSE)</f>
        <v>18.96</v>
      </c>
      <c r="L25" s="77">
        <f>VLOOKUP($A25,'2324 Jun 24 Enroll'!$A$3:$AL$327,MATCH(L$3,'2324 Jun 24 Enroll'!$3:$3,0),FALSE)</f>
        <v>0.09</v>
      </c>
      <c r="M25" s="77">
        <f>VLOOKUP($A25,'2324 Jun 24 Enroll'!$A$3:$AL$327,MATCH(M$3,'2324 Jun 24 Enroll'!$3:$3,0),FALSE)</f>
        <v>0</v>
      </c>
      <c r="N25" s="77">
        <f>VLOOKUP($A25,'2324 Jun 24 Enroll'!$A$3:$AL$327,MATCH(N$3,'2324 Jun 24 Enroll'!$3:$3,0),FALSE)</f>
        <v>0</v>
      </c>
      <c r="O25" s="77">
        <f>VLOOKUP($A25,'2324 Jun 24 Enroll'!$A$3:$AL$327,MATCH(O$3,'2324 Jun 24 Enroll'!$3:$3,0),FALSE)</f>
        <v>0</v>
      </c>
      <c r="P25" s="77">
        <f>VLOOKUP($A25,'2324 Jun 24 Enroll'!$A$3:$AL$327,MATCH(P$3,'2324 Jun 24 Enroll'!$3:$3,0),FALSE)</f>
        <v>0</v>
      </c>
      <c r="Q25" s="77">
        <f>VLOOKUP($A25,'2324 Jun 24 Enroll'!$A$3:$AL$327,MATCH(Q$3,'2324 Jun 24 Enroll'!$3:$3,0),FALSE)</f>
        <v>22.05</v>
      </c>
      <c r="R25" s="108">
        <f t="shared" si="13"/>
        <v>1084.3</v>
      </c>
      <c r="S25" s="77">
        <f>VLOOKUP($A25,'2324 Jun 24 Enroll'!$A$3:$AL$327,MATCH(S$3,'2324 Jun 24 Enroll'!$3:$3,0),FALSE)</f>
        <v>7.67</v>
      </c>
      <c r="T25" s="77">
        <f>VLOOKUP($A25,'2324 Jun 24 Enroll'!$A$3:$AL$327,MATCH(T$3,'2324 Jun 24 Enroll'!$3:$3,0),FALSE)</f>
        <v>0</v>
      </c>
      <c r="U25" s="77">
        <f>VLOOKUP($A25,'2324 Jun 24 Enroll'!$A$3:$AL$327,MATCH(U$3,'2324 Jun 24 Enroll'!$3:$3,0),FALSE)</f>
        <v>0</v>
      </c>
      <c r="V25" s="77">
        <f>VLOOKUP($A25,'2324 Jun 24 Enroll'!$A$3:$AL$327,MATCH(V$3,'2324 Jun 24 Enroll'!$3:$3,0),FALSE)</f>
        <v>121.78</v>
      </c>
      <c r="W25" s="77">
        <f>VLOOKUP($A25,'2324 Jun 24 Enroll'!$A$3:$AL$327,MATCH(W$3,'2324 Jun 24 Enroll'!$3:$3,0),FALSE)</f>
        <v>35.56</v>
      </c>
      <c r="X25" s="77">
        <f>VLOOKUP($A25,'2324 Jun 24 Enroll'!$A$3:$AL$327,MATCH(X$3,'2324 Jun 24 Enroll'!$3:$3,0),FALSE)</f>
        <v>1084.3</v>
      </c>
      <c r="Y25" s="77">
        <f>VLOOKUP($A25,'2324 Jun 24 Enroll'!$A$3:$AL$327,MATCH(Y$3,'2324 Jun 24 Enroll'!$3:$3,0),FALSE)</f>
        <v>157.34</v>
      </c>
      <c r="Z25" s="92">
        <f t="shared" si="14"/>
        <v>0.14510000000000001</v>
      </c>
      <c r="AA25" s="92">
        <f t="shared" si="15"/>
        <v>0</v>
      </c>
      <c r="AB25" s="93">
        <v>122.12</v>
      </c>
      <c r="AC25" s="93">
        <f t="shared" si="16"/>
        <v>20.21</v>
      </c>
      <c r="AD25" s="94">
        <f>VLOOKUP($A25,'2324 Jun 24 Enroll'!$A$3:$AL$327,MATCH(AD$3,'2324 Jun 24 Enroll'!$3:$3,0),FALSE)</f>
        <v>0.1852</v>
      </c>
      <c r="AE25" s="94">
        <f>VLOOKUP($A25,'2324 Jun 24 Enroll'!$A$3:$AL$327,MATCH(AE$3,'2324 Jun 24 Enroll'!$3:$3,0),FALSE)</f>
        <v>0.19130000000000003</v>
      </c>
      <c r="AF25" s="93">
        <f>VLOOKUP($A25,'SpEd BEA Rate 2425'!$A$4:$AT$37,45,FALSE)</f>
        <v>10170.859999999999</v>
      </c>
      <c r="AG25" s="102">
        <f t="shared" si="10"/>
        <v>92167.38</v>
      </c>
      <c r="AH25" s="102">
        <f t="shared" si="4"/>
        <v>0</v>
      </c>
      <c r="AI25" s="102">
        <f t="shared" si="5"/>
        <v>0</v>
      </c>
      <c r="AJ25" s="102">
        <f t="shared" si="11"/>
        <v>1363263.87</v>
      </c>
      <c r="AK25" s="102">
        <f t="shared" si="12"/>
        <v>376710.21</v>
      </c>
      <c r="AL25" s="102">
        <f t="shared" si="6"/>
        <v>0</v>
      </c>
      <c r="AM25" s="45">
        <f t="shared" si="7"/>
        <v>1575577.59</v>
      </c>
      <c r="AN25" s="45">
        <f t="shared" si="8"/>
        <v>1329376.97</v>
      </c>
      <c r="AO25" s="102">
        <f t="shared" si="9"/>
        <v>254309.81</v>
      </c>
    </row>
    <row r="26" spans="1:41" ht="15.75" thickBot="1">
      <c r="A26" s="40" t="s">
        <v>564</v>
      </c>
      <c r="B26" s="40" t="s">
        <v>565</v>
      </c>
      <c r="C26" s="77">
        <f>VLOOKUP($A26,'2324 Jun 24 Enroll'!$A$3:$AL$327,MATCH(C$3,'2324 Jun 24 Enroll'!$3:$3,0),FALSE)</f>
        <v>17</v>
      </c>
      <c r="D26" s="77">
        <f>VLOOKUP($A26,'2324 Jun 24 Enroll'!$A$3:$AL$327,MATCH(D$3,'2324 Jun 24 Enroll'!$3:$3,0),FALSE)</f>
        <v>4.8</v>
      </c>
      <c r="E26" s="77">
        <f>VLOOKUP($A26,'2324 Jun 24 Enroll'!$A$3:$AL$327,MATCH(E$3,'2324 Jun 24 Enroll'!$3:$3,0),FALSE)</f>
        <v>60.6</v>
      </c>
      <c r="F26" s="77">
        <f>VLOOKUP($A26,'2324 Jun 24 Enroll'!$A$3:$AL$327,MATCH(F$3,'2324 Jun 24 Enroll'!$3:$3,0),FALSE)</f>
        <v>13.9</v>
      </c>
      <c r="G26" s="77">
        <f>VLOOKUP($A26,'2324 Jun 24 Enroll'!$A$3:$AL$327,MATCH(G$3,'2324 Jun 24 Enroll'!$3:$3,0),FALSE)</f>
        <v>37.1</v>
      </c>
      <c r="H26" s="77">
        <f>VLOOKUP($A26,'2324 Jun 24 Enroll'!$A$3:$AL$327,MATCH(H$3,'2324 Jun 24 Enroll'!$3:$3,0),FALSE)</f>
        <v>29.35</v>
      </c>
      <c r="I26" s="77">
        <f>VLOOKUP($A26,'2324 Jun 24 Enroll'!$A$3:$AL$327,MATCH(I$3,'2324 Jun 24 Enroll'!$3:$3,0),FALSE)</f>
        <v>50.19</v>
      </c>
      <c r="J26" s="108">
        <f>VLOOKUP($A26,'2324 Jun 24 Enroll'!$A$3:$AL$327,MATCH(J$3,'2324 Jun 24 Enroll'!$3:$3,0),FALSE)</f>
        <v>191.14</v>
      </c>
      <c r="K26" s="77">
        <f>VLOOKUP($A26,'2324 Jun 24 Enroll'!$A$3:$AL$327,MATCH(K$3,'2324 Jun 24 Enroll'!$3:$3,0),FALSE)</f>
        <v>4.3899999999999997</v>
      </c>
      <c r="L26" s="77">
        <f>VLOOKUP($A26,'2324 Jun 24 Enroll'!$A$3:$AL$327,MATCH(L$3,'2324 Jun 24 Enroll'!$3:$3,0),FALSE)</f>
        <v>0</v>
      </c>
      <c r="M26" s="77">
        <f>VLOOKUP($A26,'2324 Jun 24 Enroll'!$A$3:$AL$327,MATCH(M$3,'2324 Jun 24 Enroll'!$3:$3,0),FALSE)</f>
        <v>0</v>
      </c>
      <c r="N26" s="77">
        <f>VLOOKUP($A26,'2324 Jun 24 Enroll'!$A$3:$AL$327,MATCH(N$3,'2324 Jun 24 Enroll'!$3:$3,0),FALSE)</f>
        <v>0</v>
      </c>
      <c r="O26" s="77">
        <f>VLOOKUP($A26,'2324 Jun 24 Enroll'!$A$3:$AL$327,MATCH(O$3,'2324 Jun 24 Enroll'!$3:$3,0),FALSE)</f>
        <v>0</v>
      </c>
      <c r="P26" s="77">
        <f>VLOOKUP($A26,'2324 Jun 24 Enroll'!$A$3:$AL$327,MATCH(P$3,'2324 Jun 24 Enroll'!$3:$3,0),FALSE)</f>
        <v>0</v>
      </c>
      <c r="Q26" s="77">
        <f>VLOOKUP($A26,'2324 Jun 24 Enroll'!$A$3:$AL$327,MATCH(Q$3,'2324 Jun 24 Enroll'!$3:$3,0),FALSE)</f>
        <v>0</v>
      </c>
      <c r="R26" s="108">
        <f t="shared" si="13"/>
        <v>195.52999999999997</v>
      </c>
      <c r="S26" s="77">
        <f>VLOOKUP($A26,'2324 Jun 24 Enroll'!$A$3:$AL$327,MATCH(S$3,'2324 Jun 24 Enroll'!$3:$3,0),FALSE)</f>
        <v>0.56000000000000005</v>
      </c>
      <c r="T26" s="77">
        <f>VLOOKUP($A26,'2324 Jun 24 Enroll'!$A$3:$AL$327,MATCH(T$3,'2324 Jun 24 Enroll'!$3:$3,0),FALSE)</f>
        <v>0</v>
      </c>
      <c r="U26" s="77">
        <f>VLOOKUP($A26,'2324 Jun 24 Enroll'!$A$3:$AL$327,MATCH(U$3,'2324 Jun 24 Enroll'!$3:$3,0),FALSE)</f>
        <v>0</v>
      </c>
      <c r="V26" s="77">
        <f>VLOOKUP($A26,'2324 Jun 24 Enroll'!$A$3:$AL$327,MATCH(V$3,'2324 Jun 24 Enroll'!$3:$3,0),FALSE)</f>
        <v>29</v>
      </c>
      <c r="W26" s="77">
        <f>VLOOKUP($A26,'2324 Jun 24 Enroll'!$A$3:$AL$327,MATCH(W$3,'2324 Jun 24 Enroll'!$3:$3,0),FALSE)</f>
        <v>2.89</v>
      </c>
      <c r="X26" s="77">
        <f>VLOOKUP($A26,'2324 Jun 24 Enroll'!$A$3:$AL$327,MATCH(X$3,'2324 Jun 24 Enroll'!$3:$3,0),FALSE)</f>
        <v>200.32</v>
      </c>
      <c r="Y26" s="77">
        <f>VLOOKUP($A26,'2324 Jun 24 Enroll'!$A$3:$AL$327,MATCH(Y$3,'2324 Jun 24 Enroll'!$3:$3,0),FALSE)</f>
        <v>31.89</v>
      </c>
      <c r="Z26" s="92">
        <f t="shared" si="14"/>
        <v>0.15920000000000001</v>
      </c>
      <c r="AA26" s="92">
        <f t="shared" si="15"/>
        <v>0</v>
      </c>
      <c r="AB26" s="93">
        <v>133.91999999999999</v>
      </c>
      <c r="AC26" s="93">
        <f t="shared" si="16"/>
        <v>22.17</v>
      </c>
      <c r="AD26" s="94">
        <f>VLOOKUP($A26,'2324 Jun 24 Enroll'!$A$3:$AL$327,MATCH(AD$3,'2324 Jun 24 Enroll'!$3:$3,0),FALSE)</f>
        <v>0.19270000000000001</v>
      </c>
      <c r="AE26" s="94">
        <f>VLOOKUP($A26,'2324 Jun 24 Enroll'!$A$3:$AL$327,MATCH(AE$3,'2324 Jun 24 Enroll'!$3:$3,0),FALSE)</f>
        <v>0.19130000000000003</v>
      </c>
      <c r="AF26" s="93">
        <f>VLOOKUP($A26,'SpEd BEA Rate 2425'!$A$4:$AT$37,45,FALSE)</f>
        <v>10128.06</v>
      </c>
      <c r="AG26" s="102">
        <f t="shared" si="10"/>
        <v>6729.3</v>
      </c>
      <c r="AH26" s="102">
        <f t="shared" si="4"/>
        <v>0</v>
      </c>
      <c r="AI26" s="102">
        <f t="shared" si="5"/>
        <v>0</v>
      </c>
      <c r="AJ26" s="102">
        <f t="shared" si="11"/>
        <v>324639.94</v>
      </c>
      <c r="AK26" s="102">
        <f t="shared" si="12"/>
        <v>30615.65</v>
      </c>
      <c r="AL26" s="102">
        <f t="shared" si="6"/>
        <v>0</v>
      </c>
      <c r="AM26" s="45">
        <f t="shared" si="7"/>
        <v>319341.36</v>
      </c>
      <c r="AN26" s="45">
        <f t="shared" si="8"/>
        <v>267746.59000000003</v>
      </c>
      <c r="AO26" s="102">
        <f t="shared" si="9"/>
        <v>51219.92</v>
      </c>
    </row>
    <row r="27" spans="1:41" ht="15.75" thickBot="1">
      <c r="A27" s="40" t="s">
        <v>590</v>
      </c>
      <c r="B27" s="40" t="s">
        <v>591</v>
      </c>
      <c r="C27" s="77">
        <f>VLOOKUP($A27,'2324 Jun 24 Enroll'!$A$3:$AL$327,MATCH(C$3,'2324 Jun 24 Enroll'!$3:$3,0),FALSE)</f>
        <v>17</v>
      </c>
      <c r="D27" s="77">
        <f>VLOOKUP($A27,'2324 Jun 24 Enroll'!$A$3:$AL$327,MATCH(D$3,'2324 Jun 24 Enroll'!$3:$3,0),FALSE)</f>
        <v>0</v>
      </c>
      <c r="E27" s="77">
        <f>VLOOKUP($A27,'2324 Jun 24 Enroll'!$A$3:$AL$327,MATCH(E$3,'2324 Jun 24 Enroll'!$3:$3,0),FALSE)</f>
        <v>222.39</v>
      </c>
      <c r="F27" s="77">
        <f>VLOOKUP($A27,'2324 Jun 24 Enroll'!$A$3:$AL$327,MATCH(F$3,'2324 Jun 24 Enroll'!$3:$3,0),FALSE)</f>
        <v>66.5</v>
      </c>
      <c r="G27" s="77">
        <f>VLOOKUP($A27,'2324 Jun 24 Enroll'!$A$3:$AL$327,MATCH(G$3,'2324 Jun 24 Enroll'!$3:$3,0),FALSE)</f>
        <v>115.25</v>
      </c>
      <c r="H27" s="77">
        <f>VLOOKUP($A27,'2324 Jun 24 Enroll'!$A$3:$AL$327,MATCH(H$3,'2324 Jun 24 Enroll'!$3:$3,0),FALSE)</f>
        <v>112.72</v>
      </c>
      <c r="I27" s="77">
        <f>VLOOKUP($A27,'2324 Jun 24 Enroll'!$A$3:$AL$327,MATCH(I$3,'2324 Jun 24 Enroll'!$3:$3,0),FALSE)</f>
        <v>200.27</v>
      </c>
      <c r="J27" s="108">
        <f>VLOOKUP($A27,'2324 Jun 24 Enroll'!$A$3:$AL$327,MATCH(J$3,'2324 Jun 24 Enroll'!$3:$3,0),FALSE)</f>
        <v>717.13</v>
      </c>
      <c r="K27" s="77">
        <f>VLOOKUP($A27,'2324 Jun 24 Enroll'!$A$3:$AL$327,MATCH(K$3,'2324 Jun 24 Enroll'!$3:$3,0),FALSE)</f>
        <v>8.4499999999999993</v>
      </c>
      <c r="L27" s="77">
        <f>VLOOKUP($A27,'2324 Jun 24 Enroll'!$A$3:$AL$327,MATCH(L$3,'2324 Jun 24 Enroll'!$3:$3,0),FALSE)</f>
        <v>0.74</v>
      </c>
      <c r="M27" s="77">
        <f>VLOOKUP($A27,'2324 Jun 24 Enroll'!$A$3:$AL$327,MATCH(M$3,'2324 Jun 24 Enroll'!$3:$3,0),FALSE)</f>
        <v>0</v>
      </c>
      <c r="N27" s="77">
        <f>VLOOKUP($A27,'2324 Jun 24 Enroll'!$A$3:$AL$327,MATCH(N$3,'2324 Jun 24 Enroll'!$3:$3,0),FALSE)</f>
        <v>0</v>
      </c>
      <c r="O27" s="77">
        <f>VLOOKUP($A27,'2324 Jun 24 Enroll'!$A$3:$AL$327,MATCH(O$3,'2324 Jun 24 Enroll'!$3:$3,0),FALSE)</f>
        <v>15.03</v>
      </c>
      <c r="P27" s="77">
        <f>VLOOKUP($A27,'2324 Jun 24 Enroll'!$A$3:$AL$327,MATCH(P$3,'2324 Jun 24 Enroll'!$3:$3,0),FALSE)</f>
        <v>4.71</v>
      </c>
      <c r="Q27" s="77">
        <f>VLOOKUP($A27,'2324 Jun 24 Enroll'!$A$3:$AL$327,MATCH(Q$3,'2324 Jun 24 Enroll'!$3:$3,0),FALSE)</f>
        <v>5.91</v>
      </c>
      <c r="R27" s="108">
        <f t="shared" si="13"/>
        <v>751.97</v>
      </c>
      <c r="S27" s="77">
        <f>VLOOKUP($A27,'2324 Jun 24 Enroll'!$A$3:$AL$327,MATCH(S$3,'2324 Jun 24 Enroll'!$3:$3,0),FALSE)</f>
        <v>6.67</v>
      </c>
      <c r="T27" s="77">
        <f>VLOOKUP($A27,'2324 Jun 24 Enroll'!$A$3:$AL$327,MATCH(T$3,'2324 Jun 24 Enroll'!$3:$3,0),FALSE)</f>
        <v>0</v>
      </c>
      <c r="U27" s="77">
        <f>VLOOKUP($A27,'2324 Jun 24 Enroll'!$A$3:$AL$327,MATCH(U$3,'2324 Jun 24 Enroll'!$3:$3,0),FALSE)</f>
        <v>0</v>
      </c>
      <c r="V27" s="77">
        <f>VLOOKUP($A27,'2324 Jun 24 Enroll'!$A$3:$AL$327,MATCH(V$3,'2324 Jun 24 Enroll'!$3:$3,0),FALSE)</f>
        <v>76.44</v>
      </c>
      <c r="W27" s="77">
        <f>VLOOKUP($A27,'2324 Jun 24 Enroll'!$A$3:$AL$327,MATCH(W$3,'2324 Jun 24 Enroll'!$3:$3,0),FALSE)</f>
        <v>7.22</v>
      </c>
      <c r="X27" s="77">
        <f>VLOOKUP($A27,'2324 Jun 24 Enroll'!$A$3:$AL$327,MATCH(X$3,'2324 Jun 24 Enroll'!$3:$3,0),FALSE)</f>
        <v>751.97</v>
      </c>
      <c r="Y27" s="77">
        <f>VLOOKUP($A27,'2324 Jun 24 Enroll'!$A$3:$AL$327,MATCH(Y$3,'2324 Jun 24 Enroll'!$3:$3,0),FALSE)</f>
        <v>83.66</v>
      </c>
      <c r="Z27" s="92">
        <f t="shared" si="14"/>
        <v>0.1113</v>
      </c>
      <c r="AA27" s="92">
        <f t="shared" si="15"/>
        <v>0</v>
      </c>
      <c r="AB27" s="93">
        <v>125.6</v>
      </c>
      <c r="AC27" s="93">
        <f t="shared" si="16"/>
        <v>20.79</v>
      </c>
      <c r="AD27" s="94">
        <f>VLOOKUP($A27,'2324 Jun 24 Enroll'!$A$3:$AL$327,MATCH(AD$3,'2324 Jun 24 Enroll'!$3:$3,0),FALSE)</f>
        <v>0.20200000000000001</v>
      </c>
      <c r="AE27" s="94">
        <f>VLOOKUP($A27,'2324 Jun 24 Enroll'!$A$3:$AL$327,MATCH(AE$3,'2324 Jun 24 Enroll'!$3:$3,0),FALSE)</f>
        <v>0.19130000000000003</v>
      </c>
      <c r="AF27" s="93">
        <f>VLOOKUP($A27,'SpEd BEA Rate 2425'!$A$4:$AT$37,45,FALSE)</f>
        <v>10052.99</v>
      </c>
      <c r="AG27" s="102">
        <f t="shared" si="10"/>
        <v>80150.78</v>
      </c>
      <c r="AH27" s="102">
        <f t="shared" si="4"/>
        <v>0</v>
      </c>
      <c r="AI27" s="102">
        <f t="shared" si="5"/>
        <v>0</v>
      </c>
      <c r="AJ27" s="102">
        <f t="shared" si="11"/>
        <v>855706.11</v>
      </c>
      <c r="AK27" s="102">
        <f t="shared" si="12"/>
        <v>76486.16</v>
      </c>
      <c r="AL27" s="102">
        <f t="shared" si="6"/>
        <v>0</v>
      </c>
      <c r="AM27" s="45">
        <f t="shared" si="7"/>
        <v>837757.85</v>
      </c>
      <c r="AN27" s="45">
        <f t="shared" si="8"/>
        <v>696969.93</v>
      </c>
      <c r="AO27" s="102">
        <f t="shared" si="9"/>
        <v>133330.35</v>
      </c>
    </row>
    <row r="28" spans="1:41" ht="15.75" thickBot="1">
      <c r="A28" s="40" t="s">
        <v>649</v>
      </c>
      <c r="B28" s="40" t="s">
        <v>650</v>
      </c>
      <c r="C28" s="77">
        <f>VLOOKUP($A28,'2324 Jun 24 Enroll'!$A$3:$AL$327,MATCH(C$3,'2324 Jun 24 Enroll'!$3:$3,0),FALSE)</f>
        <v>17.84</v>
      </c>
      <c r="D28" s="77">
        <f>VLOOKUP($A28,'2324 Jun 24 Enroll'!$A$3:$AL$327,MATCH(D$3,'2324 Jun 24 Enroll'!$3:$3,0),FALSE)</f>
        <v>13.9</v>
      </c>
      <c r="E28" s="77">
        <f>VLOOKUP($A28,'2324 Jun 24 Enroll'!$A$3:$AL$327,MATCH(E$3,'2324 Jun 24 Enroll'!$3:$3,0),FALSE)</f>
        <v>266.06</v>
      </c>
      <c r="F28" s="77">
        <f>VLOOKUP($A28,'2324 Jun 24 Enroll'!$A$3:$AL$327,MATCH(F$3,'2324 Jun 24 Enroll'!$3:$3,0),FALSE)</f>
        <v>69.02</v>
      </c>
      <c r="G28" s="77">
        <f>VLOOKUP($A28,'2324 Jun 24 Enroll'!$A$3:$AL$327,MATCH(G$3,'2324 Jun 24 Enroll'!$3:$3,0),FALSE)</f>
        <v>126.27</v>
      </c>
      <c r="H28" s="77">
        <f>VLOOKUP($A28,'2324 Jun 24 Enroll'!$A$3:$AL$327,MATCH(H$3,'2324 Jun 24 Enroll'!$3:$3,0),FALSE)</f>
        <v>152.88999999999999</v>
      </c>
      <c r="I28" s="77">
        <f>VLOOKUP($A28,'2324 Jun 24 Enroll'!$A$3:$AL$327,MATCH(I$3,'2324 Jun 24 Enroll'!$3:$3,0),FALSE)</f>
        <v>287.17</v>
      </c>
      <c r="J28" s="108">
        <f>VLOOKUP($A28,'2324 Jun 24 Enroll'!$A$3:$AL$327,MATCH(J$3,'2324 Jun 24 Enroll'!$3:$3,0),FALSE)</f>
        <v>901.41</v>
      </c>
      <c r="K28" s="77">
        <f>VLOOKUP($A28,'2324 Jun 24 Enroll'!$A$3:$AL$327,MATCH(K$3,'2324 Jun 24 Enroll'!$3:$3,0),FALSE)</f>
        <v>11.8</v>
      </c>
      <c r="L28" s="77">
        <f>VLOOKUP($A28,'2324 Jun 24 Enroll'!$A$3:$AL$327,MATCH(L$3,'2324 Jun 24 Enroll'!$3:$3,0),FALSE)</f>
        <v>1.1599999999999999</v>
      </c>
      <c r="M28" s="77">
        <f>VLOOKUP($A28,'2324 Jun 24 Enroll'!$A$3:$AL$327,MATCH(M$3,'2324 Jun 24 Enroll'!$3:$3,0),FALSE)</f>
        <v>1.2</v>
      </c>
      <c r="N28" s="77">
        <f>VLOOKUP($A28,'2324 Jun 24 Enroll'!$A$3:$AL$327,MATCH(N$3,'2324 Jun 24 Enroll'!$3:$3,0),FALSE)</f>
        <v>0</v>
      </c>
      <c r="O28" s="77">
        <f>VLOOKUP($A28,'2324 Jun 24 Enroll'!$A$3:$AL$327,MATCH(O$3,'2324 Jun 24 Enroll'!$3:$3,0),FALSE)</f>
        <v>2.93</v>
      </c>
      <c r="P28" s="77">
        <f>VLOOKUP($A28,'2324 Jun 24 Enroll'!$A$3:$AL$327,MATCH(P$3,'2324 Jun 24 Enroll'!$3:$3,0),FALSE)</f>
        <v>11.64</v>
      </c>
      <c r="Q28" s="77">
        <f>VLOOKUP($A28,'2324 Jun 24 Enroll'!$A$3:$AL$327,MATCH(Q$3,'2324 Jun 24 Enroll'!$3:$3,0),FALSE)</f>
        <v>48.32</v>
      </c>
      <c r="R28" s="108">
        <f t="shared" si="13"/>
        <v>978.45999999999992</v>
      </c>
      <c r="S28" s="77">
        <f>VLOOKUP($A28,'2324 Jun 24 Enroll'!$A$3:$AL$327,MATCH(S$3,'2324 Jun 24 Enroll'!$3:$3,0),FALSE)</f>
        <v>18.559999999999999</v>
      </c>
      <c r="T28" s="77">
        <f>VLOOKUP($A28,'2324 Jun 24 Enroll'!$A$3:$AL$327,MATCH(T$3,'2324 Jun 24 Enroll'!$3:$3,0),FALSE)</f>
        <v>0</v>
      </c>
      <c r="U28" s="77">
        <f>VLOOKUP($A28,'2324 Jun 24 Enroll'!$A$3:$AL$327,MATCH(U$3,'2324 Jun 24 Enroll'!$3:$3,0),FALSE)</f>
        <v>0</v>
      </c>
      <c r="V28" s="77">
        <f>VLOOKUP($A28,'2324 Jun 24 Enroll'!$A$3:$AL$327,MATCH(V$3,'2324 Jun 24 Enroll'!$3:$3,0),FALSE)</f>
        <v>202.89</v>
      </c>
      <c r="W28" s="77">
        <f>VLOOKUP($A28,'2324 Jun 24 Enroll'!$A$3:$AL$327,MATCH(W$3,'2324 Jun 24 Enroll'!$3:$3,0),FALSE)</f>
        <v>16.559999999999999</v>
      </c>
      <c r="X28" s="77">
        <f>VLOOKUP($A28,'2324 Jun 24 Enroll'!$A$3:$AL$327,MATCH(X$3,'2324 Jun 24 Enroll'!$3:$3,0),FALSE)</f>
        <v>992.08</v>
      </c>
      <c r="Y28" s="77">
        <f>VLOOKUP($A28,'2324 Jun 24 Enroll'!$A$3:$AL$327,MATCH(Y$3,'2324 Jun 24 Enroll'!$3:$3,0),FALSE)</f>
        <v>219.45</v>
      </c>
      <c r="Z28" s="92">
        <f t="shared" si="14"/>
        <v>0.22120000000000001</v>
      </c>
      <c r="AA28" s="92">
        <f t="shared" si="15"/>
        <v>6.1200000000000004E-2</v>
      </c>
      <c r="AB28" s="93">
        <v>130.24</v>
      </c>
      <c r="AC28" s="93">
        <f t="shared" si="16"/>
        <v>21.56</v>
      </c>
      <c r="AD28" s="94">
        <f>VLOOKUP($A28,'2324 Jun 24 Enroll'!$A$3:$AL$327,MATCH(AD$3,'2324 Jun 24 Enroll'!$3:$3,0),FALSE)</f>
        <v>0.16239999999999999</v>
      </c>
      <c r="AE28" s="94">
        <f>VLOOKUP($A28,'2324 Jun 24 Enroll'!$A$3:$AL$327,MATCH(AE$3,'2324 Jun 24 Enroll'!$3:$3,0),FALSE)</f>
        <v>0.19130000000000003</v>
      </c>
      <c r="AF28" s="93">
        <f>VLOOKUP($A28,'SpEd BEA Rate 2425'!$A$4:$AT$37,45,FALSE)</f>
        <v>9927.4599999999991</v>
      </c>
      <c r="AG28" s="102">
        <f t="shared" si="10"/>
        <v>223028.24</v>
      </c>
      <c r="AH28" s="102">
        <f t="shared" si="4"/>
        <v>0</v>
      </c>
      <c r="AI28" s="102">
        <f t="shared" si="5"/>
        <v>0</v>
      </c>
      <c r="AJ28" s="102">
        <f t="shared" si="11"/>
        <v>2271248.21</v>
      </c>
      <c r="AK28" s="102">
        <f t="shared" si="12"/>
        <v>175430.85</v>
      </c>
      <c r="AL28" s="102">
        <f t="shared" si="6"/>
        <v>0</v>
      </c>
      <c r="AM28" s="45">
        <f t="shared" si="7"/>
        <v>2197537.19</v>
      </c>
      <c r="AN28" s="45">
        <f t="shared" si="8"/>
        <v>1890517.2</v>
      </c>
      <c r="AO28" s="102">
        <f t="shared" si="9"/>
        <v>361655.94</v>
      </c>
    </row>
    <row r="29" spans="1:41" ht="15.75" thickBot="1">
      <c r="A29" s="40" t="s">
        <v>618</v>
      </c>
      <c r="B29" s="40" t="s">
        <v>619</v>
      </c>
      <c r="C29" s="77">
        <f>VLOOKUP($A29,'2324 Jun 24 Enroll'!$A$3:$AL$327,MATCH(C$3,'2324 Jun 24 Enroll'!$3:$3,0),FALSE)</f>
        <v>17.34</v>
      </c>
      <c r="D29" s="77">
        <f>VLOOKUP($A29,'2324 Jun 24 Enroll'!$A$3:$AL$327,MATCH(D$3,'2324 Jun 24 Enroll'!$3:$3,0),FALSE)</f>
        <v>0</v>
      </c>
      <c r="E29" s="77">
        <f>VLOOKUP($A29,'2324 Jun 24 Enroll'!$A$3:$AL$327,MATCH(E$3,'2324 Jun 24 Enroll'!$3:$3,0),FALSE)</f>
        <v>84.2</v>
      </c>
      <c r="F29" s="77">
        <f>VLOOKUP($A29,'2324 Jun 24 Enroll'!$A$3:$AL$327,MATCH(F$3,'2324 Jun 24 Enroll'!$3:$3,0),FALSE)</f>
        <v>19.5</v>
      </c>
      <c r="G29" s="77">
        <f>VLOOKUP($A29,'2324 Jun 24 Enroll'!$A$3:$AL$327,MATCH(G$3,'2324 Jun 24 Enroll'!$3:$3,0),FALSE)</f>
        <v>46.5</v>
      </c>
      <c r="H29" s="77">
        <f>VLOOKUP($A29,'2324 Jun 24 Enroll'!$A$3:$AL$327,MATCH(H$3,'2324 Jun 24 Enroll'!$3:$3,0),FALSE)</f>
        <v>61.38</v>
      </c>
      <c r="I29" s="77">
        <f>VLOOKUP($A29,'2324 Jun 24 Enroll'!$A$3:$AL$327,MATCH(I$3,'2324 Jun 24 Enroll'!$3:$3,0),FALSE)</f>
        <v>90.37</v>
      </c>
      <c r="J29" s="108">
        <f>VLOOKUP($A29,'2324 Jun 24 Enroll'!$A$3:$AL$327,MATCH(J$3,'2324 Jun 24 Enroll'!$3:$3,0),FALSE)</f>
        <v>301.95</v>
      </c>
      <c r="K29" s="77">
        <f>VLOOKUP($A29,'2324 Jun 24 Enroll'!$A$3:$AL$327,MATCH(K$3,'2324 Jun 24 Enroll'!$3:$3,0),FALSE)</f>
        <v>7.04</v>
      </c>
      <c r="L29" s="77">
        <f>VLOOKUP($A29,'2324 Jun 24 Enroll'!$A$3:$AL$327,MATCH(L$3,'2324 Jun 24 Enroll'!$3:$3,0),FALSE)</f>
        <v>1.1200000000000001</v>
      </c>
      <c r="M29" s="77">
        <f>VLOOKUP($A29,'2324 Jun 24 Enroll'!$A$3:$AL$327,MATCH(M$3,'2324 Jun 24 Enroll'!$3:$3,0),FALSE)</f>
        <v>0</v>
      </c>
      <c r="N29" s="77">
        <f>VLOOKUP($A29,'2324 Jun 24 Enroll'!$A$3:$AL$327,MATCH(N$3,'2324 Jun 24 Enroll'!$3:$3,0),FALSE)</f>
        <v>0</v>
      </c>
      <c r="O29" s="77">
        <f>VLOOKUP($A29,'2324 Jun 24 Enroll'!$A$3:$AL$327,MATCH(O$3,'2324 Jun 24 Enroll'!$3:$3,0),FALSE)</f>
        <v>0</v>
      </c>
      <c r="P29" s="77">
        <f>VLOOKUP($A29,'2324 Jun 24 Enroll'!$A$3:$AL$327,MATCH(P$3,'2324 Jun 24 Enroll'!$3:$3,0),FALSE)</f>
        <v>0</v>
      </c>
      <c r="Q29" s="77">
        <f>VLOOKUP($A29,'2324 Jun 24 Enroll'!$A$3:$AL$327,MATCH(Q$3,'2324 Jun 24 Enroll'!$3:$3,0),FALSE)</f>
        <v>0</v>
      </c>
      <c r="R29" s="108">
        <f t="shared" si="13"/>
        <v>310.11</v>
      </c>
      <c r="S29" s="77">
        <f>VLOOKUP($A29,'2324 Jun 24 Enroll'!$A$3:$AL$327,MATCH(S$3,'2324 Jun 24 Enroll'!$3:$3,0),FALSE)</f>
        <v>1.78</v>
      </c>
      <c r="T29" s="77">
        <f>VLOOKUP($A29,'2324 Jun 24 Enroll'!$A$3:$AL$327,MATCH(T$3,'2324 Jun 24 Enroll'!$3:$3,0),FALSE)</f>
        <v>0</v>
      </c>
      <c r="U29" s="77">
        <f>VLOOKUP($A29,'2324 Jun 24 Enroll'!$A$3:$AL$327,MATCH(U$3,'2324 Jun 24 Enroll'!$3:$3,0),FALSE)</f>
        <v>0</v>
      </c>
      <c r="V29" s="77">
        <f>VLOOKUP($A29,'2324 Jun 24 Enroll'!$A$3:$AL$327,MATCH(V$3,'2324 Jun 24 Enroll'!$3:$3,0),FALSE)</f>
        <v>26</v>
      </c>
      <c r="W29" s="77">
        <f>VLOOKUP($A29,'2324 Jun 24 Enroll'!$A$3:$AL$327,MATCH(W$3,'2324 Jun 24 Enroll'!$3:$3,0),FALSE)</f>
        <v>14.44</v>
      </c>
      <c r="X29" s="77">
        <f>VLOOKUP($A29,'2324 Jun 24 Enroll'!$A$3:$AL$327,MATCH(X$3,'2324 Jun 24 Enroll'!$3:$3,0),FALSE)</f>
        <v>310.10000000000002</v>
      </c>
      <c r="Y29" s="77">
        <f>VLOOKUP($A29,'2324 Jun 24 Enroll'!$A$3:$AL$327,MATCH(Y$3,'2324 Jun 24 Enroll'!$3:$3,0),FALSE)</f>
        <v>40.44</v>
      </c>
      <c r="Z29" s="92">
        <f t="shared" si="14"/>
        <v>0.13039999999999999</v>
      </c>
      <c r="AA29" s="92">
        <f t="shared" si="15"/>
        <v>0</v>
      </c>
      <c r="AB29" s="93">
        <v>126.23</v>
      </c>
      <c r="AC29" s="93">
        <f t="shared" si="16"/>
        <v>20.89</v>
      </c>
      <c r="AD29" s="94">
        <f>VLOOKUP($A29,'2324 Jun 24 Enroll'!$A$3:$AL$327,MATCH(AD$3,'2324 Jun 24 Enroll'!$3:$3,0),FALSE)</f>
        <v>0.20419999999999999</v>
      </c>
      <c r="AE29" s="94">
        <f>VLOOKUP($A29,'2324 Jun 24 Enroll'!$A$3:$AL$327,MATCH(AE$3,'2324 Jun 24 Enroll'!$3:$3,0),FALSE)</f>
        <v>0.19130000000000003</v>
      </c>
      <c r="AF29" s="93">
        <f>VLOOKUP($A29,'SpEd BEA Rate 2425'!$A$4:$AT$37,45,FALSE)</f>
        <v>9996.25</v>
      </c>
      <c r="AG29" s="102">
        <f t="shared" si="10"/>
        <v>21389.56</v>
      </c>
      <c r="AH29" s="102">
        <f t="shared" si="4"/>
        <v>0</v>
      </c>
      <c r="AI29" s="102">
        <f t="shared" si="5"/>
        <v>0</v>
      </c>
      <c r="AJ29" s="102">
        <f t="shared" si="11"/>
        <v>291056.5</v>
      </c>
      <c r="AK29" s="102">
        <f t="shared" si="12"/>
        <v>152972.31</v>
      </c>
      <c r="AL29" s="102">
        <f t="shared" si="6"/>
        <v>0</v>
      </c>
      <c r="AM29" s="45">
        <f t="shared" si="7"/>
        <v>404959.69</v>
      </c>
      <c r="AN29" s="45">
        <f t="shared" si="8"/>
        <v>336289.4</v>
      </c>
      <c r="AO29" s="102">
        <f t="shared" si="9"/>
        <v>64332.160000000003</v>
      </c>
    </row>
    <row r="30" spans="1:41" ht="15.75" thickBot="1">
      <c r="A30" s="40" t="s">
        <v>763</v>
      </c>
      <c r="B30" s="40" t="s">
        <v>764</v>
      </c>
      <c r="C30" s="77">
        <f>VLOOKUP($A30,'2324 Jun 24 Enroll'!$A$3:$AL$327,MATCH(C$3,'2324 Jun 24 Enroll'!$3:$3,0),FALSE)</f>
        <v>17</v>
      </c>
      <c r="D30" s="77">
        <f>VLOOKUP($A30,'2324 Jun 24 Enroll'!$A$3:$AL$327,MATCH(D$3,'2324 Jun 24 Enroll'!$3:$3,0),FALSE)</f>
        <v>6.14</v>
      </c>
      <c r="E30" s="77">
        <f>VLOOKUP($A30,'2324 Jun 24 Enroll'!$A$3:$AL$327,MATCH(E$3,'2324 Jun 24 Enroll'!$3:$3,0),FALSE)</f>
        <v>38.6</v>
      </c>
      <c r="F30" s="77">
        <f>VLOOKUP($A30,'2324 Jun 24 Enroll'!$A$3:$AL$327,MATCH(F$3,'2324 Jun 24 Enroll'!$3:$3,0),FALSE)</f>
        <v>6</v>
      </c>
      <c r="G30" s="77">
        <f>VLOOKUP($A30,'2324 Jun 24 Enroll'!$A$3:$AL$327,MATCH(G$3,'2324 Jun 24 Enroll'!$3:$3,0),FALSE)</f>
        <v>22.4</v>
      </c>
      <c r="H30" s="77">
        <f>VLOOKUP($A30,'2324 Jun 24 Enroll'!$A$3:$AL$327,MATCH(H$3,'2324 Jun 24 Enroll'!$3:$3,0),FALSE)</f>
        <v>9</v>
      </c>
      <c r="I30" s="77">
        <f>VLOOKUP($A30,'2324 Jun 24 Enroll'!$A$3:$AL$327,MATCH(I$3,'2324 Jun 24 Enroll'!$3:$3,0),FALSE)</f>
        <v>0</v>
      </c>
      <c r="J30" s="108">
        <f>VLOOKUP($A30,'2324 Jun 24 Enroll'!$A$3:$AL$327,MATCH(J$3,'2324 Jun 24 Enroll'!$3:$3,0),FALSE)</f>
        <v>76</v>
      </c>
      <c r="K30" s="77">
        <f>VLOOKUP($A30,'2324 Jun 24 Enroll'!$A$3:$AL$327,MATCH(K$3,'2324 Jun 24 Enroll'!$3:$3,0),FALSE)</f>
        <v>0</v>
      </c>
      <c r="L30" s="77">
        <f>VLOOKUP($A30,'2324 Jun 24 Enroll'!$A$3:$AL$327,MATCH(L$3,'2324 Jun 24 Enroll'!$3:$3,0),FALSE)</f>
        <v>0</v>
      </c>
      <c r="M30" s="77">
        <f>VLOOKUP($A30,'2324 Jun 24 Enroll'!$A$3:$AL$327,MATCH(M$3,'2324 Jun 24 Enroll'!$3:$3,0),FALSE)</f>
        <v>0</v>
      </c>
      <c r="N30" s="77">
        <f>VLOOKUP($A30,'2324 Jun 24 Enroll'!$A$3:$AL$327,MATCH(N$3,'2324 Jun 24 Enroll'!$3:$3,0),FALSE)</f>
        <v>0</v>
      </c>
      <c r="O30" s="77">
        <f>VLOOKUP($A30,'2324 Jun 24 Enroll'!$A$3:$AL$327,MATCH(O$3,'2324 Jun 24 Enroll'!$3:$3,0),FALSE)</f>
        <v>0</v>
      </c>
      <c r="P30" s="77">
        <f>VLOOKUP($A30,'2324 Jun 24 Enroll'!$A$3:$AL$327,MATCH(P$3,'2324 Jun 24 Enroll'!$3:$3,0),FALSE)</f>
        <v>0</v>
      </c>
      <c r="Q30" s="77">
        <f>VLOOKUP($A30,'2324 Jun 24 Enroll'!$A$3:$AL$327,MATCH(Q$3,'2324 Jun 24 Enroll'!$3:$3,0),FALSE)</f>
        <v>0</v>
      </c>
      <c r="R30" s="108">
        <f t="shared" si="13"/>
        <v>76</v>
      </c>
      <c r="S30" s="77">
        <f>VLOOKUP($A30,'2324 Jun 24 Enroll'!$A$3:$AL$327,MATCH(S$3,'2324 Jun 24 Enroll'!$3:$3,0),FALSE)</f>
        <v>0</v>
      </c>
      <c r="T30" s="77">
        <f>VLOOKUP($A30,'2324 Jun 24 Enroll'!$A$3:$AL$327,MATCH(T$3,'2324 Jun 24 Enroll'!$3:$3,0),FALSE)</f>
        <v>0</v>
      </c>
      <c r="U30" s="77">
        <f>VLOOKUP($A30,'2324 Jun 24 Enroll'!$A$3:$AL$327,MATCH(U$3,'2324 Jun 24 Enroll'!$3:$3,0),FALSE)</f>
        <v>0</v>
      </c>
      <c r="V30" s="77">
        <f>VLOOKUP($A30,'2324 Jun 24 Enroll'!$A$3:$AL$327,MATCH(V$3,'2324 Jun 24 Enroll'!$3:$3,0),FALSE)</f>
        <v>8.2200000000000006</v>
      </c>
      <c r="W30" s="77">
        <f>VLOOKUP($A30,'2324 Jun 24 Enroll'!$A$3:$AL$327,MATCH(W$3,'2324 Jun 24 Enroll'!$3:$3,0),FALSE)</f>
        <v>0</v>
      </c>
      <c r="X30" s="77">
        <f>VLOOKUP($A30,'2324 Jun 24 Enroll'!$A$3:$AL$327,MATCH(X$3,'2324 Jun 24 Enroll'!$3:$3,0),FALSE)</f>
        <v>82.14</v>
      </c>
      <c r="Y30" s="77">
        <f>VLOOKUP($A30,'2324 Jun 24 Enroll'!$A$3:$AL$327,MATCH(Y$3,'2324 Jun 24 Enroll'!$3:$3,0),FALSE)</f>
        <v>8.2200000000000006</v>
      </c>
      <c r="Z30" s="92">
        <f t="shared" si="14"/>
        <v>0.10009999999999999</v>
      </c>
      <c r="AA30" s="92">
        <f t="shared" si="15"/>
        <v>0</v>
      </c>
      <c r="AB30" s="93">
        <v>117.72</v>
      </c>
      <c r="AC30" s="93">
        <f t="shared" si="16"/>
        <v>19.48</v>
      </c>
      <c r="AD30" s="94">
        <f>VLOOKUP($A30,'2324 Jun 24 Enroll'!$A$3:$AL$327,MATCH(AD$3,'2324 Jun 24 Enroll'!$3:$3,0),FALSE)</f>
        <v>0.28739999999999999</v>
      </c>
      <c r="AE30" s="94">
        <f>VLOOKUP($A30,'2324 Jun 24 Enroll'!$A$3:$AL$327,MATCH(AE$3,'2324 Jun 24 Enroll'!$3:$3,0),FALSE)</f>
        <v>0.19130000000000003</v>
      </c>
      <c r="AF30" s="93">
        <f>VLOOKUP($A30,'SpEd BEA Rate 2425'!$A$4:$AT$37,45,FALSE)</f>
        <v>11127.780000000002</v>
      </c>
      <c r="AG30" s="102">
        <f t="shared" si="10"/>
        <v>0</v>
      </c>
      <c r="AH30" s="102">
        <f t="shared" si="4"/>
        <v>0</v>
      </c>
      <c r="AI30" s="102">
        <f t="shared" si="5"/>
        <v>0</v>
      </c>
      <c r="AJ30" s="102">
        <f t="shared" si="11"/>
        <v>92018.63</v>
      </c>
      <c r="AK30" s="102">
        <f t="shared" si="12"/>
        <v>0</v>
      </c>
      <c r="AL30" s="102">
        <f t="shared" si="6"/>
        <v>0</v>
      </c>
      <c r="AM30" s="45">
        <f t="shared" si="7"/>
        <v>82313.759999999995</v>
      </c>
      <c r="AN30" s="45">
        <f t="shared" si="8"/>
        <v>63937.98</v>
      </c>
      <c r="AO30" s="102">
        <f t="shared" si="9"/>
        <v>12231.34</v>
      </c>
    </row>
    <row r="31" spans="1:41" ht="15.75" thickBot="1">
      <c r="A31" s="40" t="s">
        <v>608</v>
      </c>
      <c r="B31" s="40" t="s">
        <v>609</v>
      </c>
      <c r="C31" s="77">
        <f>VLOOKUP($A31,'2324 Jun 24 Enroll'!$A$3:$AL$327,MATCH(C$3,'2324 Jun 24 Enroll'!$3:$3,0),FALSE)</f>
        <v>17</v>
      </c>
      <c r="D31" s="77">
        <f>VLOOKUP($A31,'2324 Jun 24 Enroll'!$A$3:$AL$327,MATCH(D$3,'2324 Jun 24 Enroll'!$3:$3,0),FALSE)</f>
        <v>0</v>
      </c>
      <c r="E31" s="77">
        <f>VLOOKUP($A31,'2324 Jun 24 Enroll'!$A$3:$AL$327,MATCH(E$3,'2324 Jun 24 Enroll'!$3:$3,0),FALSE)</f>
        <v>32.200000000000003</v>
      </c>
      <c r="F31" s="77">
        <f>VLOOKUP($A31,'2324 Jun 24 Enroll'!$A$3:$AL$327,MATCH(F$3,'2324 Jun 24 Enroll'!$3:$3,0),FALSE)</f>
        <v>7.3</v>
      </c>
      <c r="G31" s="77">
        <f>VLOOKUP($A31,'2324 Jun 24 Enroll'!$A$3:$AL$327,MATCH(G$3,'2324 Jun 24 Enroll'!$3:$3,0),FALSE)</f>
        <v>15.4</v>
      </c>
      <c r="H31" s="77">
        <f>VLOOKUP($A31,'2324 Jun 24 Enroll'!$A$3:$AL$327,MATCH(H$3,'2324 Jun 24 Enroll'!$3:$3,0),FALSE)</f>
        <v>11.1</v>
      </c>
      <c r="I31" s="77">
        <f>VLOOKUP($A31,'2324 Jun 24 Enroll'!$A$3:$AL$327,MATCH(I$3,'2324 Jun 24 Enroll'!$3:$3,0),FALSE)</f>
        <v>0</v>
      </c>
      <c r="J31" s="108">
        <f>VLOOKUP($A31,'2324 Jun 24 Enroll'!$A$3:$AL$327,MATCH(J$3,'2324 Jun 24 Enroll'!$3:$3,0),FALSE)</f>
        <v>66</v>
      </c>
      <c r="K31" s="77">
        <f>VLOOKUP($A31,'2324 Jun 24 Enroll'!$A$3:$AL$327,MATCH(K$3,'2324 Jun 24 Enroll'!$3:$3,0),FALSE)</f>
        <v>0</v>
      </c>
      <c r="L31" s="77">
        <f>VLOOKUP($A31,'2324 Jun 24 Enroll'!$A$3:$AL$327,MATCH(L$3,'2324 Jun 24 Enroll'!$3:$3,0),FALSE)</f>
        <v>0</v>
      </c>
      <c r="M31" s="77">
        <f>VLOOKUP($A31,'2324 Jun 24 Enroll'!$A$3:$AL$327,MATCH(M$3,'2324 Jun 24 Enroll'!$3:$3,0),FALSE)</f>
        <v>0</v>
      </c>
      <c r="N31" s="77">
        <f>VLOOKUP($A31,'2324 Jun 24 Enroll'!$A$3:$AL$327,MATCH(N$3,'2324 Jun 24 Enroll'!$3:$3,0),FALSE)</f>
        <v>0</v>
      </c>
      <c r="O31" s="77">
        <f>VLOOKUP($A31,'2324 Jun 24 Enroll'!$A$3:$AL$327,MATCH(O$3,'2324 Jun 24 Enroll'!$3:$3,0),FALSE)</f>
        <v>0</v>
      </c>
      <c r="P31" s="77">
        <f>VLOOKUP($A31,'2324 Jun 24 Enroll'!$A$3:$AL$327,MATCH(P$3,'2324 Jun 24 Enroll'!$3:$3,0),FALSE)</f>
        <v>0</v>
      </c>
      <c r="Q31" s="77">
        <f>VLOOKUP($A31,'2324 Jun 24 Enroll'!$A$3:$AL$327,MATCH(Q$3,'2324 Jun 24 Enroll'!$3:$3,0),FALSE)</f>
        <v>0</v>
      </c>
      <c r="R31" s="108">
        <f t="shared" si="13"/>
        <v>66</v>
      </c>
      <c r="S31" s="77">
        <f>VLOOKUP($A31,'2324 Jun 24 Enroll'!$A$3:$AL$327,MATCH(S$3,'2324 Jun 24 Enroll'!$3:$3,0),FALSE)</f>
        <v>0</v>
      </c>
      <c r="T31" s="77">
        <f>VLOOKUP($A31,'2324 Jun 24 Enroll'!$A$3:$AL$327,MATCH(T$3,'2324 Jun 24 Enroll'!$3:$3,0),FALSE)</f>
        <v>0</v>
      </c>
      <c r="U31" s="77">
        <f>VLOOKUP($A31,'2324 Jun 24 Enroll'!$A$3:$AL$327,MATCH(U$3,'2324 Jun 24 Enroll'!$3:$3,0),FALSE)</f>
        <v>0</v>
      </c>
      <c r="V31" s="77">
        <f>VLOOKUP($A31,'2324 Jun 24 Enroll'!$A$3:$AL$327,MATCH(V$3,'2324 Jun 24 Enroll'!$3:$3,0),FALSE)</f>
        <v>7.78</v>
      </c>
      <c r="W31" s="77">
        <f>VLOOKUP($A31,'2324 Jun 24 Enroll'!$A$3:$AL$327,MATCH(W$3,'2324 Jun 24 Enroll'!$3:$3,0),FALSE)</f>
        <v>0.11</v>
      </c>
      <c r="X31" s="77">
        <f>VLOOKUP($A31,'2324 Jun 24 Enroll'!$A$3:$AL$327,MATCH(X$3,'2324 Jun 24 Enroll'!$3:$3,0),FALSE)</f>
        <v>66</v>
      </c>
      <c r="Y31" s="77">
        <f>VLOOKUP($A31,'2324 Jun 24 Enroll'!$A$3:$AL$327,MATCH(Y$3,'2324 Jun 24 Enroll'!$3:$3,0),FALSE)</f>
        <v>7.89</v>
      </c>
      <c r="Z31" s="92">
        <f t="shared" si="14"/>
        <v>0.1195</v>
      </c>
      <c r="AA31" s="92">
        <f t="shared" si="15"/>
        <v>0</v>
      </c>
      <c r="AB31" s="93">
        <v>135.22</v>
      </c>
      <c r="AC31" s="93">
        <f t="shared" si="16"/>
        <v>22.38</v>
      </c>
      <c r="AD31" s="94">
        <f>VLOOKUP($A31,'2324 Jun 24 Enroll'!$A$3:$AL$327,MATCH(AD$3,'2324 Jun 24 Enroll'!$3:$3,0),FALSE)</f>
        <v>0.28070000000000001</v>
      </c>
      <c r="AE31" s="94">
        <f>VLOOKUP($A31,'2324 Jun 24 Enroll'!$A$3:$AL$327,MATCH(AE$3,'2324 Jun 24 Enroll'!$3:$3,0),FALSE)</f>
        <v>0.19130000000000003</v>
      </c>
      <c r="AF31" s="93">
        <f>VLOOKUP($A31,'SpEd BEA Rate 2425'!$A$4:$AT$37,45,FALSE)</f>
        <v>10957.070000000002</v>
      </c>
      <c r="AG31" s="102">
        <f t="shared" si="10"/>
        <v>0</v>
      </c>
      <c r="AH31" s="102">
        <f t="shared" si="4"/>
        <v>0</v>
      </c>
      <c r="AI31" s="102">
        <f t="shared" si="5"/>
        <v>0</v>
      </c>
      <c r="AJ31" s="102">
        <f t="shared" si="11"/>
        <v>87093.06</v>
      </c>
      <c r="AK31" s="102">
        <f t="shared" si="12"/>
        <v>1165.3</v>
      </c>
      <c r="AL31" s="102">
        <f t="shared" si="6"/>
        <v>0</v>
      </c>
      <c r="AM31" s="45">
        <f t="shared" si="7"/>
        <v>79009.2</v>
      </c>
      <c r="AN31" s="45">
        <f t="shared" si="8"/>
        <v>61692.2</v>
      </c>
      <c r="AO31" s="102">
        <f t="shared" si="9"/>
        <v>11801.72</v>
      </c>
    </row>
    <row r="32" spans="1:41" ht="15.75" thickBot="1">
      <c r="A32" s="40" t="s">
        <v>592</v>
      </c>
      <c r="B32" s="40" t="s">
        <v>593</v>
      </c>
      <c r="C32" s="77">
        <f>VLOOKUP($A32,'2324 Jun 24 Enroll'!$A$3:$AL$327,MATCH(C$3,'2324 Jun 24 Enroll'!$3:$3,0),FALSE)</f>
        <v>17</v>
      </c>
      <c r="D32" s="77">
        <f>VLOOKUP($A32,'2324 Jun 24 Enroll'!$A$3:$AL$327,MATCH(D$3,'2324 Jun 24 Enroll'!$3:$3,0),FALSE)</f>
        <v>0</v>
      </c>
      <c r="E32" s="77">
        <f>VLOOKUP($A32,'2324 Jun 24 Enroll'!$A$3:$AL$327,MATCH(E$3,'2324 Jun 24 Enroll'!$3:$3,0),FALSE)</f>
        <v>19</v>
      </c>
      <c r="F32" s="77">
        <f>VLOOKUP($A32,'2324 Jun 24 Enroll'!$A$3:$AL$327,MATCH(F$3,'2324 Jun 24 Enroll'!$3:$3,0),FALSE)</f>
        <v>6</v>
      </c>
      <c r="G32" s="77">
        <f>VLOOKUP($A32,'2324 Jun 24 Enroll'!$A$3:$AL$327,MATCH(G$3,'2324 Jun 24 Enroll'!$3:$3,0),FALSE)</f>
        <v>14.2</v>
      </c>
      <c r="H32" s="77">
        <f>VLOOKUP($A32,'2324 Jun 24 Enroll'!$A$3:$AL$327,MATCH(H$3,'2324 Jun 24 Enroll'!$3:$3,0),FALSE)</f>
        <v>6.1</v>
      </c>
      <c r="I32" s="77">
        <f>VLOOKUP($A32,'2324 Jun 24 Enroll'!$A$3:$AL$327,MATCH(I$3,'2324 Jun 24 Enroll'!$3:$3,0),FALSE)</f>
        <v>22.44</v>
      </c>
      <c r="J32" s="108">
        <f>VLOOKUP($A32,'2324 Jun 24 Enroll'!$A$3:$AL$327,MATCH(J$3,'2324 Jun 24 Enroll'!$3:$3,0),FALSE)</f>
        <v>67.739999999999995</v>
      </c>
      <c r="K32" s="77">
        <f>VLOOKUP($A32,'2324 Jun 24 Enroll'!$A$3:$AL$327,MATCH(K$3,'2324 Jun 24 Enroll'!$3:$3,0),FALSE)</f>
        <v>0</v>
      </c>
      <c r="L32" s="77">
        <f>VLOOKUP($A32,'2324 Jun 24 Enroll'!$A$3:$AL$327,MATCH(L$3,'2324 Jun 24 Enroll'!$3:$3,0),FALSE)</f>
        <v>0</v>
      </c>
      <c r="M32" s="77">
        <f>VLOOKUP($A32,'2324 Jun 24 Enroll'!$A$3:$AL$327,MATCH(M$3,'2324 Jun 24 Enroll'!$3:$3,0),FALSE)</f>
        <v>0</v>
      </c>
      <c r="N32" s="77">
        <f>VLOOKUP($A32,'2324 Jun 24 Enroll'!$A$3:$AL$327,MATCH(N$3,'2324 Jun 24 Enroll'!$3:$3,0),FALSE)</f>
        <v>0</v>
      </c>
      <c r="O32" s="77">
        <f>VLOOKUP($A32,'2324 Jun 24 Enroll'!$A$3:$AL$327,MATCH(O$3,'2324 Jun 24 Enroll'!$3:$3,0),FALSE)</f>
        <v>0</v>
      </c>
      <c r="P32" s="77">
        <f>VLOOKUP($A32,'2324 Jun 24 Enroll'!$A$3:$AL$327,MATCH(P$3,'2324 Jun 24 Enroll'!$3:$3,0),FALSE)</f>
        <v>0</v>
      </c>
      <c r="Q32" s="77">
        <f>VLOOKUP($A32,'2324 Jun 24 Enroll'!$A$3:$AL$327,MATCH(Q$3,'2324 Jun 24 Enroll'!$3:$3,0),FALSE)</f>
        <v>0</v>
      </c>
      <c r="R32" s="108">
        <f t="shared" si="13"/>
        <v>67.739999999999995</v>
      </c>
      <c r="S32" s="77">
        <f>VLOOKUP($A32,'2324 Jun 24 Enroll'!$A$3:$AL$327,MATCH(S$3,'2324 Jun 24 Enroll'!$3:$3,0),FALSE)</f>
        <v>0</v>
      </c>
      <c r="T32" s="77">
        <f>VLOOKUP($A32,'2324 Jun 24 Enroll'!$A$3:$AL$327,MATCH(T$3,'2324 Jun 24 Enroll'!$3:$3,0),FALSE)</f>
        <v>0</v>
      </c>
      <c r="U32" s="77">
        <f>VLOOKUP($A32,'2324 Jun 24 Enroll'!$A$3:$AL$327,MATCH(U$3,'2324 Jun 24 Enroll'!$3:$3,0),FALSE)</f>
        <v>0</v>
      </c>
      <c r="V32" s="77">
        <f>VLOOKUP($A32,'2324 Jun 24 Enroll'!$A$3:$AL$327,MATCH(V$3,'2324 Jun 24 Enroll'!$3:$3,0),FALSE)</f>
        <v>4.22</v>
      </c>
      <c r="W32" s="77">
        <f>VLOOKUP($A32,'2324 Jun 24 Enroll'!$A$3:$AL$327,MATCH(W$3,'2324 Jun 24 Enroll'!$3:$3,0),FALSE)</f>
        <v>1</v>
      </c>
      <c r="X32" s="77">
        <f>VLOOKUP($A32,'2324 Jun 24 Enroll'!$A$3:$AL$327,MATCH(X$3,'2324 Jun 24 Enroll'!$3:$3,0),FALSE)</f>
        <v>67.739999999999995</v>
      </c>
      <c r="Y32" s="77">
        <f>VLOOKUP($A32,'2324 Jun 24 Enroll'!$A$3:$AL$327,MATCH(Y$3,'2324 Jun 24 Enroll'!$3:$3,0),FALSE)</f>
        <v>5.22</v>
      </c>
      <c r="Z32" s="92">
        <f t="shared" si="14"/>
        <v>7.7100000000000002E-2</v>
      </c>
      <c r="AA32" s="92">
        <f t="shared" si="15"/>
        <v>0</v>
      </c>
      <c r="AB32" s="93">
        <v>117.52</v>
      </c>
      <c r="AC32" s="93">
        <f t="shared" si="16"/>
        <v>19.45</v>
      </c>
      <c r="AD32" s="94">
        <f>VLOOKUP($A32,'2324 Jun 24 Enroll'!$A$3:$AL$327,MATCH(AD$3,'2324 Jun 24 Enroll'!$3:$3,0),FALSE)</f>
        <v>0.33500000000000002</v>
      </c>
      <c r="AE32" s="94">
        <f>VLOOKUP($A32,'2324 Jun 24 Enroll'!$A$3:$AL$327,MATCH(AE$3,'2324 Jun 24 Enroll'!$3:$3,0),FALSE)</f>
        <v>0.19130000000000003</v>
      </c>
      <c r="AF32" s="93">
        <f>VLOOKUP($A32,'SpEd BEA Rate 2425'!$A$4:$AT$37,45,FALSE)</f>
        <v>10014.550000000001</v>
      </c>
      <c r="AG32" s="102">
        <f t="shared" si="10"/>
        <v>0</v>
      </c>
      <c r="AH32" s="102">
        <f t="shared" si="4"/>
        <v>0</v>
      </c>
      <c r="AI32" s="102">
        <f t="shared" si="5"/>
        <v>0</v>
      </c>
      <c r="AJ32" s="102">
        <f t="shared" si="11"/>
        <v>47240.71</v>
      </c>
      <c r="AK32" s="102">
        <f t="shared" si="12"/>
        <v>10593.65</v>
      </c>
      <c r="AL32" s="102">
        <f t="shared" si="6"/>
        <v>0</v>
      </c>
      <c r="AM32" s="45">
        <f t="shared" si="7"/>
        <v>52272.24</v>
      </c>
      <c r="AN32" s="45">
        <f t="shared" si="8"/>
        <v>39155.24</v>
      </c>
      <c r="AO32" s="102">
        <f t="shared" si="9"/>
        <v>7490.4</v>
      </c>
    </row>
    <row r="33" spans="1:41" ht="15.75" thickBot="1">
      <c r="A33" s="40" t="s">
        <v>799</v>
      </c>
      <c r="B33" s="40" t="s">
        <v>800</v>
      </c>
      <c r="C33" s="77">
        <f>VLOOKUP($A33,'2324 Jun 24 Enroll'!$A$3:$AL$327,MATCH(C$3,'2324 Jun 24 Enroll'!$3:$3,0),FALSE)</f>
        <v>17</v>
      </c>
      <c r="D33" s="77">
        <f>VLOOKUP($A33,'2324 Jun 24 Enroll'!$A$3:$AL$327,MATCH(D$3,'2324 Jun 24 Enroll'!$3:$3,0),FALSE)</f>
        <v>27.5</v>
      </c>
      <c r="E33" s="77">
        <f>VLOOKUP($A33,'2324 Jun 24 Enroll'!$A$3:$AL$327,MATCH(E$3,'2324 Jun 24 Enroll'!$3:$3,0),FALSE)</f>
        <v>196.26</v>
      </c>
      <c r="F33" s="77">
        <f>VLOOKUP($A33,'2324 Jun 24 Enroll'!$A$3:$AL$327,MATCH(F$3,'2324 Jun 24 Enroll'!$3:$3,0),FALSE)</f>
        <v>45.23</v>
      </c>
      <c r="G33" s="77">
        <f>VLOOKUP($A33,'2324 Jun 24 Enroll'!$A$3:$AL$327,MATCH(G$3,'2324 Jun 24 Enroll'!$3:$3,0),FALSE)</f>
        <v>131.4</v>
      </c>
      <c r="H33" s="77">
        <f>VLOOKUP($A33,'2324 Jun 24 Enroll'!$A$3:$AL$327,MATCH(H$3,'2324 Jun 24 Enroll'!$3:$3,0),FALSE)</f>
        <v>125.12</v>
      </c>
      <c r="I33" s="77">
        <f>VLOOKUP($A33,'2324 Jun 24 Enroll'!$A$3:$AL$327,MATCH(I$3,'2324 Jun 24 Enroll'!$3:$3,0),FALSE)</f>
        <v>255.47</v>
      </c>
      <c r="J33" s="108">
        <f>VLOOKUP($A33,'2324 Jun 24 Enroll'!$A$3:$AL$327,MATCH(J$3,'2324 Jun 24 Enroll'!$3:$3,0),FALSE)</f>
        <v>753.48</v>
      </c>
      <c r="K33" s="77">
        <f>VLOOKUP($A33,'2324 Jun 24 Enroll'!$A$3:$AL$327,MATCH(K$3,'2324 Jun 24 Enroll'!$3:$3,0),FALSE)</f>
        <v>4.34</v>
      </c>
      <c r="L33" s="77">
        <f>VLOOKUP($A33,'2324 Jun 24 Enroll'!$A$3:$AL$327,MATCH(L$3,'2324 Jun 24 Enroll'!$3:$3,0),FALSE)</f>
        <v>0.48</v>
      </c>
      <c r="M33" s="77">
        <f>VLOOKUP($A33,'2324 Jun 24 Enroll'!$A$3:$AL$327,MATCH(M$3,'2324 Jun 24 Enroll'!$3:$3,0),FALSE)</f>
        <v>8.4</v>
      </c>
      <c r="N33" s="77">
        <f>VLOOKUP($A33,'2324 Jun 24 Enroll'!$A$3:$AL$327,MATCH(N$3,'2324 Jun 24 Enroll'!$3:$3,0),FALSE)</f>
        <v>0</v>
      </c>
      <c r="O33" s="77">
        <f>VLOOKUP($A33,'2324 Jun 24 Enroll'!$A$3:$AL$327,MATCH(O$3,'2324 Jun 24 Enroll'!$3:$3,0),FALSE)</f>
        <v>0</v>
      </c>
      <c r="P33" s="77">
        <f>VLOOKUP($A33,'2324 Jun 24 Enroll'!$A$3:$AL$327,MATCH(P$3,'2324 Jun 24 Enroll'!$3:$3,0),FALSE)</f>
        <v>0</v>
      </c>
      <c r="Q33" s="77">
        <f>VLOOKUP($A33,'2324 Jun 24 Enroll'!$A$3:$AL$327,MATCH(Q$3,'2324 Jun 24 Enroll'!$3:$3,0),FALSE)</f>
        <v>0</v>
      </c>
      <c r="R33" s="108">
        <f t="shared" si="13"/>
        <v>766.7</v>
      </c>
      <c r="S33" s="77">
        <f>VLOOKUP($A33,'2324 Jun 24 Enroll'!$A$3:$AL$327,MATCH(S$3,'2324 Jun 24 Enroll'!$3:$3,0),FALSE)</f>
        <v>7.11</v>
      </c>
      <c r="T33" s="77">
        <f>VLOOKUP($A33,'2324 Jun 24 Enroll'!$A$3:$AL$327,MATCH(T$3,'2324 Jun 24 Enroll'!$3:$3,0),FALSE)</f>
        <v>0</v>
      </c>
      <c r="U33" s="77">
        <f>VLOOKUP($A33,'2324 Jun 24 Enroll'!$A$3:$AL$327,MATCH(U$3,'2324 Jun 24 Enroll'!$3:$3,0),FALSE)</f>
        <v>0</v>
      </c>
      <c r="V33" s="77">
        <f>VLOOKUP($A33,'2324 Jun 24 Enroll'!$A$3:$AL$327,MATCH(V$3,'2324 Jun 24 Enroll'!$3:$3,0),FALSE)</f>
        <v>80.67</v>
      </c>
      <c r="W33" s="77">
        <f>VLOOKUP($A33,'2324 Jun 24 Enroll'!$A$3:$AL$327,MATCH(W$3,'2324 Jun 24 Enroll'!$3:$3,0),FALSE)</f>
        <v>44.22</v>
      </c>
      <c r="X33" s="77">
        <f>VLOOKUP($A33,'2324 Jun 24 Enroll'!$A$3:$AL$327,MATCH(X$3,'2324 Jun 24 Enroll'!$3:$3,0),FALSE)</f>
        <v>795.5</v>
      </c>
      <c r="Y33" s="77">
        <f>VLOOKUP($A33,'2324 Jun 24 Enroll'!$A$3:$AL$327,MATCH(Y$3,'2324 Jun 24 Enroll'!$3:$3,0),FALSE)</f>
        <v>124.89</v>
      </c>
      <c r="Z33" s="92">
        <f t="shared" si="14"/>
        <v>0.157</v>
      </c>
      <c r="AA33" s="92">
        <f t="shared" si="15"/>
        <v>0</v>
      </c>
      <c r="AB33" s="93">
        <v>124.01</v>
      </c>
      <c r="AC33" s="93">
        <f t="shared" si="16"/>
        <v>20.53</v>
      </c>
      <c r="AD33" s="94">
        <f>VLOOKUP($A33,'2324 Jun 24 Enroll'!$A$3:$AL$327,MATCH(AD$3,'2324 Jun 24 Enroll'!$3:$3,0),FALSE)</f>
        <v>0.20250000000000001</v>
      </c>
      <c r="AE33" s="94">
        <f>VLOOKUP($A33,'2324 Jun 24 Enroll'!$A$3:$AL$327,MATCH(AE$3,'2324 Jun 24 Enroll'!$3:$3,0),FALSE)</f>
        <v>0.19130000000000003</v>
      </c>
      <c r="AF33" s="93">
        <f>VLOOKUP($A33,'SpEd BEA Rate 2425'!$A$4:$AT$37,45,FALSE)</f>
        <v>10021.609999999997</v>
      </c>
      <c r="AG33" s="102">
        <f t="shared" si="10"/>
        <v>85438.080000000002</v>
      </c>
      <c r="AH33" s="102">
        <f t="shared" si="4"/>
        <v>0</v>
      </c>
      <c r="AI33" s="102">
        <f t="shared" si="5"/>
        <v>0</v>
      </c>
      <c r="AJ33" s="102">
        <f t="shared" si="11"/>
        <v>903058.77</v>
      </c>
      <c r="AK33" s="102">
        <f t="shared" si="12"/>
        <v>468451.22</v>
      </c>
      <c r="AL33" s="102">
        <f t="shared" si="6"/>
        <v>0</v>
      </c>
      <c r="AM33" s="45">
        <f t="shared" si="7"/>
        <v>1250628.48</v>
      </c>
      <c r="AN33" s="45">
        <f t="shared" si="8"/>
        <v>1040023.68</v>
      </c>
      <c r="AO33" s="102">
        <f t="shared" si="9"/>
        <v>198956.53</v>
      </c>
    </row>
    <row r="34" spans="1:41" ht="15.75" thickBot="1">
      <c r="A34" s="40" t="s">
        <v>845</v>
      </c>
      <c r="B34" s="40" t="s">
        <v>846</v>
      </c>
      <c r="C34" s="77">
        <f>VLOOKUP($A34,'2324 Jun 24 Enroll'!$A$3:$AL$327,MATCH(C$3,'2324 Jun 24 Enroll'!$3:$3,0),FALSE)</f>
        <v>17</v>
      </c>
      <c r="D34" s="77">
        <f>VLOOKUP($A34,'2324 Jun 24 Enroll'!$A$3:$AL$327,MATCH(D$3,'2324 Jun 24 Enroll'!$3:$3,0),FALSE)</f>
        <v>0</v>
      </c>
      <c r="E34" s="77">
        <f>VLOOKUP($A34,'2324 Jun 24 Enroll'!$A$3:$AL$327,MATCH(E$3,'2324 Jun 24 Enroll'!$3:$3,0),FALSE)</f>
        <v>111.23</v>
      </c>
      <c r="F34" s="77">
        <f>VLOOKUP($A34,'2324 Jun 24 Enroll'!$A$3:$AL$327,MATCH(F$3,'2324 Jun 24 Enroll'!$3:$3,0),FALSE)</f>
        <v>32.5</v>
      </c>
      <c r="G34" s="77">
        <f>VLOOKUP($A34,'2324 Jun 24 Enroll'!$A$3:$AL$327,MATCH(G$3,'2324 Jun 24 Enroll'!$3:$3,0),FALSE)</f>
        <v>67.83</v>
      </c>
      <c r="H34" s="77">
        <f>VLOOKUP($A34,'2324 Jun 24 Enroll'!$A$3:$AL$327,MATCH(H$3,'2324 Jun 24 Enroll'!$3:$3,0),FALSE)</f>
        <v>51.04</v>
      </c>
      <c r="I34" s="77">
        <f>VLOOKUP($A34,'2324 Jun 24 Enroll'!$A$3:$AL$327,MATCH(I$3,'2324 Jun 24 Enroll'!$3:$3,0),FALSE)</f>
        <v>124.37</v>
      </c>
      <c r="J34" s="108">
        <f>VLOOKUP($A34,'2324 Jun 24 Enroll'!$A$3:$AL$327,MATCH(J$3,'2324 Jun 24 Enroll'!$3:$3,0),FALSE)</f>
        <v>386.97</v>
      </c>
      <c r="K34" s="77">
        <f>VLOOKUP($A34,'2324 Jun 24 Enroll'!$A$3:$AL$327,MATCH(K$3,'2324 Jun 24 Enroll'!$3:$3,0),FALSE)</f>
        <v>6.53</v>
      </c>
      <c r="L34" s="77">
        <f>VLOOKUP($A34,'2324 Jun 24 Enroll'!$A$3:$AL$327,MATCH(L$3,'2324 Jun 24 Enroll'!$3:$3,0),FALSE)</f>
        <v>0.31</v>
      </c>
      <c r="M34" s="77">
        <f>VLOOKUP($A34,'2324 Jun 24 Enroll'!$A$3:$AL$327,MATCH(M$3,'2324 Jun 24 Enroll'!$3:$3,0),FALSE)</f>
        <v>0</v>
      </c>
      <c r="N34" s="77">
        <f>VLOOKUP($A34,'2324 Jun 24 Enroll'!$A$3:$AL$327,MATCH(N$3,'2324 Jun 24 Enroll'!$3:$3,0),FALSE)</f>
        <v>0</v>
      </c>
      <c r="O34" s="77">
        <f>VLOOKUP($A34,'2324 Jun 24 Enroll'!$A$3:$AL$327,MATCH(O$3,'2324 Jun 24 Enroll'!$3:$3,0),FALSE)</f>
        <v>2.83</v>
      </c>
      <c r="P34" s="77">
        <f>VLOOKUP($A34,'2324 Jun 24 Enroll'!$A$3:$AL$327,MATCH(P$3,'2324 Jun 24 Enroll'!$3:$3,0),FALSE)</f>
        <v>1.93</v>
      </c>
      <c r="Q34" s="77">
        <f>VLOOKUP($A34,'2324 Jun 24 Enroll'!$A$3:$AL$327,MATCH(Q$3,'2324 Jun 24 Enroll'!$3:$3,0),FALSE)</f>
        <v>11.49</v>
      </c>
      <c r="R34" s="108">
        <f t="shared" si="13"/>
        <v>410.06</v>
      </c>
      <c r="S34" s="77">
        <f>VLOOKUP($A34,'2324 Jun 24 Enroll'!$A$3:$AL$327,MATCH(S$3,'2324 Jun 24 Enroll'!$3:$3,0),FALSE)</f>
        <v>2.78</v>
      </c>
      <c r="T34" s="77">
        <f>VLOOKUP($A34,'2324 Jun 24 Enroll'!$A$3:$AL$327,MATCH(T$3,'2324 Jun 24 Enroll'!$3:$3,0),FALSE)</f>
        <v>0</v>
      </c>
      <c r="U34" s="77">
        <f>VLOOKUP($A34,'2324 Jun 24 Enroll'!$A$3:$AL$327,MATCH(U$3,'2324 Jun 24 Enroll'!$3:$3,0),FALSE)</f>
        <v>0</v>
      </c>
      <c r="V34" s="77">
        <f>VLOOKUP($A34,'2324 Jun 24 Enroll'!$A$3:$AL$327,MATCH(V$3,'2324 Jun 24 Enroll'!$3:$3,0),FALSE)</f>
        <v>46.33</v>
      </c>
      <c r="W34" s="77">
        <f>VLOOKUP($A34,'2324 Jun 24 Enroll'!$A$3:$AL$327,MATCH(W$3,'2324 Jun 24 Enroll'!$3:$3,0),FALSE)</f>
        <v>22.22</v>
      </c>
      <c r="X34" s="77">
        <f>VLOOKUP($A34,'2324 Jun 24 Enroll'!$A$3:$AL$327,MATCH(X$3,'2324 Jun 24 Enroll'!$3:$3,0),FALSE)</f>
        <v>410.42</v>
      </c>
      <c r="Y34" s="77">
        <f>VLOOKUP($A34,'2324 Jun 24 Enroll'!$A$3:$AL$327,MATCH(Y$3,'2324 Jun 24 Enroll'!$3:$3,0),FALSE)</f>
        <v>68.55</v>
      </c>
      <c r="Z34" s="92">
        <f t="shared" si="14"/>
        <v>0.16700000000000001</v>
      </c>
      <c r="AA34" s="92">
        <f t="shared" si="15"/>
        <v>7.0000000000000062E-3</v>
      </c>
      <c r="AB34" s="93">
        <v>132.54</v>
      </c>
      <c r="AC34" s="93">
        <f t="shared" si="16"/>
        <v>21.94</v>
      </c>
      <c r="AD34" s="94">
        <f>VLOOKUP($A34,'2324 Jun 24 Enroll'!$A$3:$AL$327,MATCH(AD$3,'2324 Jun 24 Enroll'!$3:$3,0),FALSE)</f>
        <v>0.43559999999999999</v>
      </c>
      <c r="AE34" s="94">
        <f>VLOOKUP($A34,'2324 Jun 24 Enroll'!$A$3:$AL$327,MATCH(AE$3,'2324 Jun 24 Enroll'!$3:$3,0),FALSE)</f>
        <v>0.19130000000000003</v>
      </c>
      <c r="AF34" s="93">
        <f>VLOOKUP($A34,'SpEd BEA Rate 2425'!$A$4:$AT$37,45,FALSE)</f>
        <v>10210.749999999998</v>
      </c>
      <c r="AG34" s="102">
        <f t="shared" si="10"/>
        <v>33406.17</v>
      </c>
      <c r="AH34" s="102">
        <f t="shared" si="4"/>
        <v>0</v>
      </c>
      <c r="AI34" s="102">
        <f t="shared" si="5"/>
        <v>0</v>
      </c>
      <c r="AJ34" s="102">
        <f t="shared" si="11"/>
        <v>518640.3</v>
      </c>
      <c r="AK34" s="102">
        <f t="shared" si="12"/>
        <v>235390.91</v>
      </c>
      <c r="AL34" s="102">
        <f t="shared" si="6"/>
        <v>0</v>
      </c>
      <c r="AM34" s="45">
        <f t="shared" si="7"/>
        <v>686448.73</v>
      </c>
      <c r="AN34" s="45">
        <f t="shared" si="8"/>
        <v>478161.56</v>
      </c>
      <c r="AO34" s="102">
        <f t="shared" si="9"/>
        <v>91472.31</v>
      </c>
    </row>
    <row r="35" spans="1:41" ht="15.75" thickBot="1">
      <c r="A35" s="40" t="s">
        <v>432</v>
      </c>
      <c r="B35" s="40" t="s">
        <v>433</v>
      </c>
      <c r="C35" s="77">
        <f>VLOOKUP($A35,'2324 Jun 24 Enroll'!$A$3:$AL$327,MATCH(C$3,'2324 Jun 24 Enroll'!$3:$3,0),FALSE)</f>
        <v>17</v>
      </c>
      <c r="D35" s="77">
        <f>VLOOKUP($A35,'2324 Jun 24 Enroll'!$A$3:$AL$327,MATCH(D$3,'2324 Jun 24 Enroll'!$3:$3,0),FALSE)</f>
        <v>0</v>
      </c>
      <c r="E35" s="77">
        <f>VLOOKUP($A35,'2324 Jun 24 Enroll'!$A$3:$AL$327,MATCH(E$3,'2324 Jun 24 Enroll'!$3:$3,0),FALSE)</f>
        <v>15</v>
      </c>
      <c r="F35" s="77">
        <f>VLOOKUP($A35,'2324 Jun 24 Enroll'!$A$3:$AL$327,MATCH(F$3,'2324 Jun 24 Enroll'!$3:$3,0),FALSE)</f>
        <v>1</v>
      </c>
      <c r="G35" s="77">
        <f>VLOOKUP($A35,'2324 Jun 24 Enroll'!$A$3:$AL$327,MATCH(G$3,'2324 Jun 24 Enroll'!$3:$3,0),FALSE)</f>
        <v>3</v>
      </c>
      <c r="H35" s="77">
        <f>VLOOKUP($A35,'2324 Jun 24 Enroll'!$A$3:$AL$327,MATCH(H$3,'2324 Jun 24 Enroll'!$3:$3,0),FALSE)</f>
        <v>0</v>
      </c>
      <c r="I35" s="77">
        <f>VLOOKUP($A35,'2324 Jun 24 Enroll'!$A$3:$AL$327,MATCH(I$3,'2324 Jun 24 Enroll'!$3:$3,0),FALSE)</f>
        <v>0</v>
      </c>
      <c r="J35" s="108">
        <f>VLOOKUP($A35,'2324 Jun 24 Enroll'!$A$3:$AL$327,MATCH(J$3,'2324 Jun 24 Enroll'!$3:$3,0),FALSE)</f>
        <v>19</v>
      </c>
      <c r="K35" s="77">
        <f>VLOOKUP($A35,'2324 Jun 24 Enroll'!$A$3:$AL$327,MATCH(K$3,'2324 Jun 24 Enroll'!$3:$3,0),FALSE)</f>
        <v>0</v>
      </c>
      <c r="L35" s="77">
        <f>VLOOKUP($A35,'2324 Jun 24 Enroll'!$A$3:$AL$327,MATCH(L$3,'2324 Jun 24 Enroll'!$3:$3,0),FALSE)</f>
        <v>0</v>
      </c>
      <c r="M35" s="77">
        <f>VLOOKUP($A35,'2324 Jun 24 Enroll'!$A$3:$AL$327,MATCH(M$3,'2324 Jun 24 Enroll'!$3:$3,0),FALSE)</f>
        <v>0</v>
      </c>
      <c r="N35" s="77">
        <f>VLOOKUP($A35,'2324 Jun 24 Enroll'!$A$3:$AL$327,MATCH(N$3,'2324 Jun 24 Enroll'!$3:$3,0),FALSE)</f>
        <v>0</v>
      </c>
      <c r="O35" s="77">
        <f>VLOOKUP($A35,'2324 Jun 24 Enroll'!$A$3:$AL$327,MATCH(O$3,'2324 Jun 24 Enroll'!$3:$3,0),FALSE)</f>
        <v>0</v>
      </c>
      <c r="P35" s="77">
        <f>VLOOKUP($A35,'2324 Jun 24 Enroll'!$A$3:$AL$327,MATCH(P$3,'2324 Jun 24 Enroll'!$3:$3,0),FALSE)</f>
        <v>0</v>
      </c>
      <c r="Q35" s="77">
        <f>VLOOKUP($A35,'2324 Jun 24 Enroll'!$A$3:$AL$327,MATCH(Q$3,'2324 Jun 24 Enroll'!$3:$3,0),FALSE)</f>
        <v>0</v>
      </c>
      <c r="R35" s="108">
        <f t="shared" si="13"/>
        <v>19</v>
      </c>
      <c r="S35" s="77">
        <f>VLOOKUP($A35,'2324 Jun 24 Enroll'!$A$3:$AL$327,MATCH(S$3,'2324 Jun 24 Enroll'!$3:$3,0),FALSE)</f>
        <v>0</v>
      </c>
      <c r="T35" s="77">
        <f>VLOOKUP($A35,'2324 Jun 24 Enroll'!$A$3:$AL$327,MATCH(T$3,'2324 Jun 24 Enroll'!$3:$3,0),FALSE)</f>
        <v>0</v>
      </c>
      <c r="U35" s="77">
        <f>VLOOKUP($A35,'2324 Jun 24 Enroll'!$A$3:$AL$327,MATCH(U$3,'2324 Jun 24 Enroll'!$3:$3,0),FALSE)</f>
        <v>0</v>
      </c>
      <c r="V35" s="77">
        <f>VLOOKUP($A35,'2324 Jun 24 Enroll'!$A$3:$AL$327,MATCH(V$3,'2324 Jun 24 Enroll'!$3:$3,0),FALSE)</f>
        <v>2.44</v>
      </c>
      <c r="W35" s="77">
        <f>VLOOKUP($A35,'2324 Jun 24 Enroll'!$A$3:$AL$327,MATCH(W$3,'2324 Jun 24 Enroll'!$3:$3,0),FALSE)</f>
        <v>0</v>
      </c>
      <c r="X35" s="77">
        <f>VLOOKUP($A35,'2324 Jun 24 Enroll'!$A$3:$AL$327,MATCH(X$3,'2324 Jun 24 Enroll'!$3:$3,0),FALSE)</f>
        <v>19</v>
      </c>
      <c r="Y35" s="77">
        <f>VLOOKUP($A35,'2324 Jun 24 Enroll'!$A$3:$AL$327,MATCH(Y$3,'2324 Jun 24 Enroll'!$3:$3,0),FALSE)</f>
        <v>2.44</v>
      </c>
      <c r="Z35" s="92">
        <f t="shared" si="14"/>
        <v>0.12839999999999999</v>
      </c>
      <c r="AA35" s="92">
        <f t="shared" si="15"/>
        <v>0</v>
      </c>
      <c r="AB35" s="93">
        <v>146.15</v>
      </c>
      <c r="AC35" s="93">
        <f t="shared" si="16"/>
        <v>24.19</v>
      </c>
      <c r="AD35" s="94">
        <f>VLOOKUP($A35,'2324 Jun 24 Enroll'!$A$3:$AL$327,MATCH(AD$3,'2324 Jun 24 Enroll'!$3:$3,0),FALSE)</f>
        <v>0.36070000000000002</v>
      </c>
      <c r="AE35" s="94">
        <f>VLOOKUP($A35,'2324 Jun 24 Enroll'!$A$3:$AL$327,MATCH(AE$3,'2324 Jun 24 Enroll'!$3:$3,0),FALSE)</f>
        <v>0.19130000000000003</v>
      </c>
      <c r="AF35" s="93">
        <f>VLOOKUP($A35,'SpEd BEA Rate 2425'!$A$4:$AT$37,45,FALSE)</f>
        <v>11626.66</v>
      </c>
      <c r="AG35" s="102">
        <f t="shared" si="10"/>
        <v>0</v>
      </c>
      <c r="AH35" s="102">
        <f t="shared" si="4"/>
        <v>0</v>
      </c>
      <c r="AI35" s="102">
        <f t="shared" si="5"/>
        <v>0</v>
      </c>
      <c r="AJ35" s="102">
        <f t="shared" si="11"/>
        <v>27314.53</v>
      </c>
      <c r="AK35" s="102">
        <f t="shared" si="12"/>
        <v>0</v>
      </c>
      <c r="AL35" s="102">
        <f t="shared" si="6"/>
        <v>0</v>
      </c>
      <c r="AM35" s="45">
        <f t="shared" si="7"/>
        <v>24433.77</v>
      </c>
      <c r="AN35" s="45">
        <f t="shared" si="8"/>
        <v>17956.759999999998</v>
      </c>
      <c r="AO35" s="102">
        <f t="shared" si="9"/>
        <v>3435.13</v>
      </c>
    </row>
    <row r="36" spans="1:41" ht="15.75" thickBot="1">
      <c r="A36" s="40" t="s">
        <v>849</v>
      </c>
      <c r="B36" s="40" t="s">
        <v>850</v>
      </c>
      <c r="C36" s="77">
        <f>VLOOKUP($A36,'2324 Jun 24 Enroll'!$A$3:$AL$327,MATCH(C$3,'2324 Jun 24 Enroll'!$3:$3,0),FALSE)</f>
        <v>17.14</v>
      </c>
      <c r="D36" s="77">
        <f>VLOOKUP($A36,'2324 Jun 24 Enroll'!$A$3:$AL$327,MATCH(D$3,'2324 Jun 24 Enroll'!$3:$3,0),FALSE)</f>
        <v>0</v>
      </c>
      <c r="E36" s="77">
        <f>VLOOKUP($A36,'2324 Jun 24 Enroll'!$A$3:$AL$327,MATCH(E$3,'2324 Jun 24 Enroll'!$3:$3,0),FALSE)</f>
        <v>81.17</v>
      </c>
      <c r="F36" s="77">
        <f>VLOOKUP($A36,'2324 Jun 24 Enroll'!$A$3:$AL$327,MATCH(F$3,'2324 Jun 24 Enroll'!$3:$3,0),FALSE)</f>
        <v>16.7</v>
      </c>
      <c r="G36" s="77">
        <f>VLOOKUP($A36,'2324 Jun 24 Enroll'!$A$3:$AL$327,MATCH(G$3,'2324 Jun 24 Enroll'!$3:$3,0),FALSE)</f>
        <v>49.41</v>
      </c>
      <c r="H36" s="77">
        <f>VLOOKUP($A36,'2324 Jun 24 Enroll'!$A$3:$AL$327,MATCH(H$3,'2324 Jun 24 Enroll'!$3:$3,0),FALSE)</f>
        <v>41.5</v>
      </c>
      <c r="I36" s="77">
        <f>VLOOKUP($A36,'2324 Jun 24 Enroll'!$A$3:$AL$327,MATCH(I$3,'2324 Jun 24 Enroll'!$3:$3,0),FALSE)</f>
        <v>84.61</v>
      </c>
      <c r="J36" s="108">
        <f>VLOOKUP($A36,'2324 Jun 24 Enroll'!$A$3:$AL$327,MATCH(J$3,'2324 Jun 24 Enroll'!$3:$3,0),FALSE)</f>
        <v>273.39</v>
      </c>
      <c r="K36" s="77">
        <f>VLOOKUP($A36,'2324 Jun 24 Enroll'!$A$3:$AL$327,MATCH(K$3,'2324 Jun 24 Enroll'!$3:$3,0),FALSE)</f>
        <v>9.08</v>
      </c>
      <c r="L36" s="77">
        <f>VLOOKUP($A36,'2324 Jun 24 Enroll'!$A$3:$AL$327,MATCH(L$3,'2324 Jun 24 Enroll'!$3:$3,0),FALSE)</f>
        <v>0.48</v>
      </c>
      <c r="M36" s="77">
        <f>VLOOKUP($A36,'2324 Jun 24 Enroll'!$A$3:$AL$327,MATCH(M$3,'2324 Jun 24 Enroll'!$3:$3,0),FALSE)</f>
        <v>0</v>
      </c>
      <c r="N36" s="77">
        <f>VLOOKUP($A36,'2324 Jun 24 Enroll'!$A$3:$AL$327,MATCH(N$3,'2324 Jun 24 Enroll'!$3:$3,0),FALSE)</f>
        <v>0</v>
      </c>
      <c r="O36" s="77">
        <f>VLOOKUP($A36,'2324 Jun 24 Enroll'!$A$3:$AL$327,MATCH(O$3,'2324 Jun 24 Enroll'!$3:$3,0),FALSE)</f>
        <v>0</v>
      </c>
      <c r="P36" s="77">
        <f>VLOOKUP($A36,'2324 Jun 24 Enroll'!$A$3:$AL$327,MATCH(P$3,'2324 Jun 24 Enroll'!$3:$3,0),FALSE)</f>
        <v>0</v>
      </c>
      <c r="Q36" s="77">
        <f>VLOOKUP($A36,'2324 Jun 24 Enroll'!$A$3:$AL$327,MATCH(Q$3,'2324 Jun 24 Enroll'!$3:$3,0),FALSE)</f>
        <v>0</v>
      </c>
      <c r="R36" s="108">
        <f t="shared" si="13"/>
        <v>282.95</v>
      </c>
      <c r="S36" s="77">
        <f>VLOOKUP($A36,'2324 Jun 24 Enroll'!$A$3:$AL$327,MATCH(S$3,'2324 Jun 24 Enroll'!$3:$3,0),FALSE)</f>
        <v>0.89</v>
      </c>
      <c r="T36" s="77">
        <f>VLOOKUP($A36,'2324 Jun 24 Enroll'!$A$3:$AL$327,MATCH(T$3,'2324 Jun 24 Enroll'!$3:$3,0),FALSE)</f>
        <v>0</v>
      </c>
      <c r="U36" s="77">
        <f>VLOOKUP($A36,'2324 Jun 24 Enroll'!$A$3:$AL$327,MATCH(U$3,'2324 Jun 24 Enroll'!$3:$3,0),FALSE)</f>
        <v>0</v>
      </c>
      <c r="V36" s="77">
        <f>VLOOKUP($A36,'2324 Jun 24 Enroll'!$A$3:$AL$327,MATCH(V$3,'2324 Jun 24 Enroll'!$3:$3,0),FALSE)</f>
        <v>28.78</v>
      </c>
      <c r="W36" s="77">
        <f>VLOOKUP($A36,'2324 Jun 24 Enroll'!$A$3:$AL$327,MATCH(W$3,'2324 Jun 24 Enroll'!$3:$3,0),FALSE)</f>
        <v>1.56</v>
      </c>
      <c r="X36" s="77">
        <f>VLOOKUP($A36,'2324 Jun 24 Enroll'!$A$3:$AL$327,MATCH(X$3,'2324 Jun 24 Enroll'!$3:$3,0),FALSE)</f>
        <v>287.66000000000003</v>
      </c>
      <c r="Y36" s="77">
        <f>VLOOKUP($A36,'2324 Jun 24 Enroll'!$A$3:$AL$327,MATCH(Y$3,'2324 Jun 24 Enroll'!$3:$3,0),FALSE)</f>
        <v>30.34</v>
      </c>
      <c r="Z36" s="92">
        <f>ROUND((T36+U36+V36+W36)/X36,4)</f>
        <v>0.1055</v>
      </c>
      <c r="AA36" s="92">
        <f t="shared" si="15"/>
        <v>0</v>
      </c>
      <c r="AB36" s="93">
        <v>127.47</v>
      </c>
      <c r="AC36" s="93">
        <f t="shared" si="16"/>
        <v>21.1</v>
      </c>
      <c r="AD36" s="94">
        <f>VLOOKUP($A36,'2324 Jun 24 Enroll'!$A$3:$AL$327,MATCH(AD$3,'2324 Jun 24 Enroll'!$3:$3,0),FALSE)</f>
        <v>0.29049999999999998</v>
      </c>
      <c r="AE36" s="94">
        <f>VLOOKUP($A36,'2324 Jun 24 Enroll'!$A$3:$AL$327,MATCH(AE$3,'2324 Jun 24 Enroll'!$3:$3,0),FALSE)</f>
        <v>0.19130000000000003</v>
      </c>
      <c r="AF36" s="93">
        <f>VLOOKUP($A36,'SpEd BEA Rate 2425'!$A$4:$AT$37,45,FALSE)</f>
        <v>10017.220000000001</v>
      </c>
      <c r="AG36" s="102">
        <f t="shared" si="10"/>
        <v>10694.78</v>
      </c>
      <c r="AH36" s="102">
        <f t="shared" si="4"/>
        <v>0</v>
      </c>
      <c r="AI36" s="102">
        <f t="shared" si="5"/>
        <v>0</v>
      </c>
      <c r="AJ36" s="102">
        <f t="shared" si="11"/>
        <v>322177.15999999997</v>
      </c>
      <c r="AK36" s="102">
        <f t="shared" si="12"/>
        <v>16526.09</v>
      </c>
      <c r="AL36" s="102">
        <f t="shared" si="6"/>
        <v>0</v>
      </c>
      <c r="AM36" s="45">
        <f t="shared" si="7"/>
        <v>303819.90999999997</v>
      </c>
      <c r="AN36" s="45">
        <f t="shared" si="8"/>
        <v>235428.06</v>
      </c>
      <c r="AO36" s="102">
        <f t="shared" si="9"/>
        <v>45037.39</v>
      </c>
    </row>
    <row r="37" spans="1:41">
      <c r="A37" s="64" t="s">
        <v>1023</v>
      </c>
      <c r="B37" s="64" t="s">
        <v>1024</v>
      </c>
      <c r="C37" s="64"/>
      <c r="D37" s="90">
        <f>SUM(D4:D36)</f>
        <v>124.03</v>
      </c>
      <c r="E37" s="90">
        <f t="shared" ref="E37:Y37" si="17">SUM(E4:E36)</f>
        <v>3493.1499999999992</v>
      </c>
      <c r="F37" s="90">
        <f t="shared" si="17"/>
        <v>922.84999999999991</v>
      </c>
      <c r="G37" s="90">
        <f t="shared" si="17"/>
        <v>1842.7400000000002</v>
      </c>
      <c r="H37" s="90">
        <f t="shared" si="17"/>
        <v>1813.6499999999996</v>
      </c>
      <c r="I37" s="90">
        <f t="shared" si="17"/>
        <v>3267.63</v>
      </c>
      <c r="J37" s="90">
        <f t="shared" si="17"/>
        <v>11340.019999999999</v>
      </c>
      <c r="K37" s="90">
        <f t="shared" si="17"/>
        <v>227.10999999999999</v>
      </c>
      <c r="L37" s="90">
        <f t="shared" si="17"/>
        <v>21.54</v>
      </c>
      <c r="M37" s="90">
        <f t="shared" si="17"/>
        <v>15.8</v>
      </c>
      <c r="N37" s="90">
        <f t="shared" si="17"/>
        <v>0</v>
      </c>
      <c r="O37" s="90">
        <f t="shared" si="17"/>
        <v>508.25999999999993</v>
      </c>
      <c r="P37" s="90">
        <f t="shared" si="17"/>
        <v>381.89</v>
      </c>
      <c r="Q37" s="90">
        <f t="shared" si="17"/>
        <v>1367.4699999999998</v>
      </c>
      <c r="R37" s="90">
        <f t="shared" si="17"/>
        <v>13862.090000000002</v>
      </c>
      <c r="S37" s="90">
        <f t="shared" si="17"/>
        <v>108.47000000000001</v>
      </c>
      <c r="T37" s="90">
        <f t="shared" si="17"/>
        <v>0.67</v>
      </c>
      <c r="U37" s="90">
        <f t="shared" si="17"/>
        <v>0.89</v>
      </c>
      <c r="V37" s="90">
        <f t="shared" si="17"/>
        <v>1591.3200000000002</v>
      </c>
      <c r="W37" s="90">
        <f t="shared" si="17"/>
        <v>454.55000000000013</v>
      </c>
      <c r="X37" s="90">
        <f t="shared" si="17"/>
        <v>14006.06</v>
      </c>
      <c r="Y37" s="90">
        <f t="shared" si="17"/>
        <v>2047.4300000000003</v>
      </c>
      <c r="Z37" s="91">
        <f>ROUND((T37+U37+V37+W37)/X37,4)</f>
        <v>0.1462</v>
      </c>
      <c r="AA37" s="91">
        <f>IF(Z37&lt;$B$40,0,Z37-$B$40)</f>
        <v>0</v>
      </c>
      <c r="AB37" s="64">
        <f>ROUND(SUMPRODUCT(X4:X36,AB4:AB36)/X37,2)</f>
        <v>126.97</v>
      </c>
      <c r="AC37" s="64">
        <f>ROUND(AB37*24/145,2)</f>
        <v>21.02</v>
      </c>
      <c r="AD37" s="64"/>
      <c r="AE37" s="64"/>
      <c r="AF37" s="90">
        <f>ROUND(SUMPRODUCT($X4:$X36,AF4:AF36)/$X37,2)</f>
        <v>10013.84</v>
      </c>
      <c r="AG37" s="103">
        <f>SUM(AG$4:AG36)</f>
        <v>1303441.47</v>
      </c>
      <c r="AH37" s="103">
        <f>SUM(AH$4:AH36)</f>
        <v>7500.3</v>
      </c>
      <c r="AI37" s="103">
        <f>SUM(AI$4:AI36)</f>
        <v>9428.35</v>
      </c>
      <c r="AJ37" s="103">
        <f>SUM(AJ$4:AJ36)</f>
        <v>17814001.180000003</v>
      </c>
      <c r="AK37" s="103">
        <f>SUM(AK$4:AK36)</f>
        <v>4815343.8099999996</v>
      </c>
      <c r="AL37" s="103">
        <f>SUM(AL$4:AL36)</f>
        <v>0</v>
      </c>
      <c r="AM37" s="103">
        <f>SUM(AM$4:AM36)</f>
        <v>20502636.440000001</v>
      </c>
      <c r="AN37" s="103">
        <f>SUM(AN$4:AN36)</f>
        <v>17352132.879999999</v>
      </c>
      <c r="AO37" s="103">
        <f>SUM(AO$4:AO36)</f>
        <v>3319463.02</v>
      </c>
    </row>
    <row r="38" spans="1:41">
      <c r="C38"/>
    </row>
    <row r="39" spans="1:41" ht="15.75" thickBot="1">
      <c r="B39" t="s">
        <v>1123</v>
      </c>
      <c r="C39"/>
    </row>
    <row r="40" spans="1:41" ht="30.75" thickBot="1">
      <c r="A40" s="79" t="s">
        <v>1071</v>
      </c>
      <c r="B40" s="83">
        <v>0.16</v>
      </c>
    </row>
    <row r="41" spans="1:41" ht="30.75" thickBot="1">
      <c r="A41" s="79" t="s">
        <v>1125</v>
      </c>
      <c r="B41" s="77">
        <v>1.2</v>
      </c>
    </row>
    <row r="42" spans="1:41" ht="30.75" thickBot="1">
      <c r="A42" s="79" t="s">
        <v>1126</v>
      </c>
      <c r="B42" s="77">
        <v>1.1200000000000001</v>
      </c>
    </row>
    <row r="43" spans="1:41" ht="33.75" customHeight="1" thickBot="1">
      <c r="A43" s="79" t="s">
        <v>1127</v>
      </c>
      <c r="B43" s="77">
        <v>1.06</v>
      </c>
      <c r="AH43" s="71"/>
      <c r="AI43" s="71"/>
      <c r="AJ43" s="71"/>
      <c r="AK43" s="71"/>
      <c r="AL43" s="71"/>
      <c r="AM43" s="71"/>
      <c r="AN43" s="71"/>
      <c r="AO43" s="71"/>
    </row>
    <row r="44" spans="1:41" ht="30.75" thickBot="1">
      <c r="A44" s="79" t="s">
        <v>1128</v>
      </c>
      <c r="B44" s="77">
        <v>1.1200000000000001</v>
      </c>
      <c r="AH44" s="71"/>
      <c r="AI44" s="71"/>
      <c r="AJ44" s="71"/>
      <c r="AK44" s="71"/>
      <c r="AL44" s="71"/>
      <c r="AM44" s="71"/>
      <c r="AN44" s="71"/>
      <c r="AO44" s="71"/>
    </row>
    <row r="45" spans="1:41" ht="30.75" thickBot="1">
      <c r="A45" s="79" t="s">
        <v>1129</v>
      </c>
      <c r="B45" s="77">
        <v>1.06</v>
      </c>
      <c r="AH45" s="71"/>
      <c r="AI45" s="71"/>
      <c r="AJ45" s="71"/>
      <c r="AK45" s="71"/>
      <c r="AL45" s="71"/>
      <c r="AM45" s="71"/>
      <c r="AN45" s="71"/>
      <c r="AO45" s="71"/>
    </row>
    <row r="46" spans="1:41" s="71" customForma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41" s="71" customFormat="1" ht="15.75" thickBot="1">
      <c r="A47"/>
      <c r="B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41" s="71" customFormat="1" ht="30.75" thickBot="1">
      <c r="A48" s="84" t="s">
        <v>1072</v>
      </c>
      <c r="B48" s="85">
        <f>AG37</f>
        <v>1303441.47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41" s="71" customFormat="1" ht="30.75" thickBot="1">
      <c r="A49" s="86" t="s">
        <v>1084</v>
      </c>
      <c r="B49" s="85">
        <f>AH37</f>
        <v>7500.3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41" s="71" customFormat="1" ht="30.75" thickBot="1">
      <c r="A50" s="86" t="s">
        <v>1085</v>
      </c>
      <c r="B50" s="85">
        <f>AI37</f>
        <v>9428.35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41" s="71" customFormat="1" ht="45.75" thickBot="1">
      <c r="A51" s="86" t="s">
        <v>1073</v>
      </c>
      <c r="B51" s="85">
        <f>AJ37</f>
        <v>17814001.180000003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1:41" s="71" customFormat="1" ht="45.75" thickBot="1">
      <c r="A52" s="86" t="s">
        <v>1074</v>
      </c>
      <c r="B52" s="85">
        <f>AK37</f>
        <v>4815343.8099999996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1:41" s="71" customFormat="1" ht="45.75" thickBot="1">
      <c r="A53" s="86" t="s">
        <v>1075</v>
      </c>
      <c r="B53" s="85">
        <f>AL37</f>
        <v>0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1:41" ht="15.75" thickBot="1"/>
    <row r="55" spans="1:41" ht="30.75" thickBot="1">
      <c r="A55" s="86" t="s">
        <v>1081</v>
      </c>
      <c r="B55" s="85">
        <f>AO37</f>
        <v>3319463.02</v>
      </c>
    </row>
    <row r="57" spans="1:41">
      <c r="A57" s="98" t="s">
        <v>1144</v>
      </c>
      <c r="B57" s="99">
        <f>SUM(B48:B53)</f>
        <v>23949715.110000003</v>
      </c>
    </row>
    <row r="58" spans="1:41">
      <c r="A58" s="98" t="s">
        <v>1145</v>
      </c>
      <c r="B58" s="100">
        <f>B55</f>
        <v>3319463.02</v>
      </c>
    </row>
    <row r="59" spans="1:41" ht="15.75" thickBot="1">
      <c r="A59" s="98" t="s">
        <v>1146</v>
      </c>
      <c r="B59" s="101">
        <f>SUM(B57:B58)</f>
        <v>27269178.130000003</v>
      </c>
    </row>
    <row r="60" spans="1:41" ht="15.75" thickTop="1"/>
  </sheetData>
  <mergeCells count="1">
    <mergeCell ref="A1:L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325"/>
  <sheetViews>
    <sheetView zoomScale="90" zoomScaleNormal="90" workbookViewId="0">
      <pane xSplit="2" ySplit="3" topLeftCell="C4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/>
  <cols>
    <col min="1" max="1" width="9.140625" style="40"/>
    <col min="2" max="2" width="30" style="40" customWidth="1"/>
    <col min="27" max="27" width="11.7109375" customWidth="1"/>
    <col min="28" max="28" width="10.140625" bestFit="1" customWidth="1"/>
    <col min="29" max="29" width="12.7109375" customWidth="1"/>
    <col min="30" max="30" width="10.140625" customWidth="1"/>
    <col min="31" max="32" width="12.85546875" customWidth="1"/>
    <col min="33" max="33" width="13.28515625" customWidth="1"/>
    <col min="34" max="34" width="12.140625" customWidth="1"/>
    <col min="35" max="35" width="11.5703125" customWidth="1"/>
    <col min="36" max="36" width="10" customWidth="1"/>
    <col min="37" max="37" width="12.28515625" customWidth="1"/>
    <col min="38" max="38" width="10.85546875" customWidth="1"/>
    <col min="39" max="39" width="11.7109375" customWidth="1"/>
    <col min="42" max="42" width="10" customWidth="1"/>
    <col min="44" max="44" width="10.140625" bestFit="1" customWidth="1"/>
    <col min="45" max="45" width="12.5703125" customWidth="1"/>
    <col min="46" max="46" width="12.140625" customWidth="1"/>
    <col min="47" max="48" width="12.28515625" bestFit="1" customWidth="1"/>
    <col min="49" max="49" width="13.5703125" customWidth="1"/>
  </cols>
  <sheetData>
    <row r="1" spans="1:49">
      <c r="A1" s="38">
        <v>1</v>
      </c>
      <c r="B1" s="38">
        <f>A1+1</f>
        <v>2</v>
      </c>
      <c r="C1" s="38">
        <f t="shared" ref="C1:E1" si="0">B1+1</f>
        <v>3</v>
      </c>
      <c r="D1" s="38">
        <f t="shared" si="0"/>
        <v>4</v>
      </c>
      <c r="E1" s="38">
        <f t="shared" si="0"/>
        <v>5</v>
      </c>
      <c r="F1" s="38">
        <f t="shared" ref="F1:AS1" si="1">E1+1</f>
        <v>6</v>
      </c>
      <c r="G1" s="38">
        <f t="shared" si="1"/>
        <v>7</v>
      </c>
      <c r="H1" s="38">
        <f t="shared" si="1"/>
        <v>8</v>
      </c>
      <c r="I1" s="38">
        <f t="shared" si="1"/>
        <v>9</v>
      </c>
      <c r="J1" s="38">
        <f t="shared" si="1"/>
        <v>10</v>
      </c>
      <c r="K1" s="38">
        <f t="shared" si="1"/>
        <v>11</v>
      </c>
      <c r="L1" s="38">
        <f t="shared" ref="L1" si="2">K1+1</f>
        <v>12</v>
      </c>
      <c r="M1" s="38">
        <f t="shared" ref="M1" si="3">L1+1</f>
        <v>13</v>
      </c>
      <c r="N1" s="38">
        <f t="shared" si="1"/>
        <v>14</v>
      </c>
      <c r="O1" s="38">
        <f t="shared" si="1"/>
        <v>15</v>
      </c>
      <c r="P1" s="38">
        <f t="shared" si="1"/>
        <v>16</v>
      </c>
      <c r="Q1" s="38">
        <f t="shared" si="1"/>
        <v>17</v>
      </c>
      <c r="R1" s="38">
        <f t="shared" si="1"/>
        <v>18</v>
      </c>
      <c r="S1" s="38">
        <f t="shared" si="1"/>
        <v>19</v>
      </c>
      <c r="T1" s="38">
        <f t="shared" ref="T1" si="4">S1+1</f>
        <v>20</v>
      </c>
      <c r="U1" s="38">
        <f t="shared" ref="U1" si="5">T1+1</f>
        <v>21</v>
      </c>
      <c r="V1" s="38">
        <f t="shared" ref="V1" si="6">U1+1</f>
        <v>22</v>
      </c>
      <c r="W1" s="38">
        <f t="shared" si="1"/>
        <v>23</v>
      </c>
      <c r="X1" s="38">
        <f t="shared" si="1"/>
        <v>24</v>
      </c>
      <c r="Y1" s="38">
        <f t="shared" si="1"/>
        <v>25</v>
      </c>
      <c r="Z1" s="38">
        <f t="shared" si="1"/>
        <v>26</v>
      </c>
      <c r="AA1" s="38">
        <f t="shared" si="1"/>
        <v>27</v>
      </c>
      <c r="AB1" s="38">
        <f t="shared" si="1"/>
        <v>28</v>
      </c>
      <c r="AC1" s="38">
        <f t="shared" si="1"/>
        <v>29</v>
      </c>
      <c r="AD1" s="38">
        <f t="shared" si="1"/>
        <v>30</v>
      </c>
      <c r="AE1" s="38">
        <f t="shared" si="1"/>
        <v>31</v>
      </c>
      <c r="AF1" s="38">
        <f t="shared" si="1"/>
        <v>32</v>
      </c>
      <c r="AG1" s="38">
        <f t="shared" si="1"/>
        <v>33</v>
      </c>
      <c r="AH1" s="38">
        <f t="shared" si="1"/>
        <v>34</v>
      </c>
      <c r="AI1" s="38">
        <f t="shared" si="1"/>
        <v>35</v>
      </c>
      <c r="AJ1" s="38">
        <f t="shared" si="1"/>
        <v>36</v>
      </c>
      <c r="AK1" s="38">
        <f t="shared" si="1"/>
        <v>37</v>
      </c>
      <c r="AL1" s="38">
        <f t="shared" si="1"/>
        <v>38</v>
      </c>
      <c r="AM1" s="38">
        <f t="shared" si="1"/>
        <v>39</v>
      </c>
      <c r="AN1" s="38">
        <f t="shared" si="1"/>
        <v>40</v>
      </c>
      <c r="AO1" s="38">
        <f t="shared" si="1"/>
        <v>41</v>
      </c>
      <c r="AP1" s="38">
        <f t="shared" si="1"/>
        <v>42</v>
      </c>
      <c r="AQ1" s="38">
        <f t="shared" si="1"/>
        <v>43</v>
      </c>
      <c r="AR1" s="38">
        <f t="shared" si="1"/>
        <v>44</v>
      </c>
      <c r="AS1" s="38">
        <f t="shared" si="1"/>
        <v>45</v>
      </c>
    </row>
    <row r="2" spans="1:49" s="25" customFormat="1" ht="46.9" customHeight="1">
      <c r="A2" s="62"/>
      <c r="B2" s="62"/>
      <c r="C2" s="43" t="s">
        <v>113</v>
      </c>
      <c r="D2" s="43" t="s">
        <v>1096</v>
      </c>
      <c r="E2" s="43" t="s">
        <v>1</v>
      </c>
      <c r="F2" s="43" t="s">
        <v>1047</v>
      </c>
      <c r="G2" s="43" t="s">
        <v>4</v>
      </c>
      <c r="H2" s="43" t="s">
        <v>6</v>
      </c>
      <c r="I2" s="43" t="s">
        <v>26</v>
      </c>
      <c r="J2" s="43" t="s">
        <v>1048</v>
      </c>
      <c r="K2" s="43" t="s">
        <v>135</v>
      </c>
      <c r="L2" s="43" t="s">
        <v>1099</v>
      </c>
      <c r="M2" s="43" t="s">
        <v>27</v>
      </c>
      <c r="N2" s="43" t="s">
        <v>1049</v>
      </c>
      <c r="O2" s="43" t="s">
        <v>28</v>
      </c>
      <c r="P2" s="43" t="s">
        <v>29</v>
      </c>
      <c r="Q2" s="43" t="s">
        <v>30</v>
      </c>
      <c r="R2" s="43" t="s">
        <v>1050</v>
      </c>
      <c r="S2" s="43" t="s">
        <v>1051</v>
      </c>
      <c r="T2" s="43" t="s">
        <v>1100</v>
      </c>
      <c r="U2" s="43" t="s">
        <v>31</v>
      </c>
      <c r="V2" s="43" t="s">
        <v>1052</v>
      </c>
      <c r="W2" s="43" t="s">
        <v>32</v>
      </c>
      <c r="X2" s="43" t="s">
        <v>33</v>
      </c>
      <c r="Y2" s="43" t="s">
        <v>34</v>
      </c>
      <c r="Z2" s="43" t="s">
        <v>1053</v>
      </c>
      <c r="AA2" s="63" t="s">
        <v>1054</v>
      </c>
      <c r="AB2" s="63" t="s">
        <v>1055</v>
      </c>
      <c r="AC2" s="63" t="s">
        <v>1056</v>
      </c>
      <c r="AD2" s="63" t="s">
        <v>1057</v>
      </c>
      <c r="AE2" s="63" t="s">
        <v>40</v>
      </c>
      <c r="AF2" s="63" t="s">
        <v>42</v>
      </c>
      <c r="AG2" s="63" t="s">
        <v>1058</v>
      </c>
      <c r="AH2" s="63" t="s">
        <v>1059</v>
      </c>
      <c r="AI2" s="63" t="s">
        <v>1060</v>
      </c>
      <c r="AJ2" s="63" t="s">
        <v>1061</v>
      </c>
      <c r="AK2" s="63" t="s">
        <v>48</v>
      </c>
      <c r="AL2" s="63" t="s">
        <v>913</v>
      </c>
      <c r="AM2" s="63" t="s">
        <v>1062</v>
      </c>
      <c r="AN2" s="63" t="s">
        <v>52</v>
      </c>
      <c r="AO2" s="43" t="s">
        <v>1063</v>
      </c>
      <c r="AP2" s="43" t="s">
        <v>1064</v>
      </c>
      <c r="AQ2" s="43" t="s">
        <v>22</v>
      </c>
      <c r="AR2" s="43" t="s">
        <v>24</v>
      </c>
      <c r="AS2" s="43" t="s">
        <v>1065</v>
      </c>
    </row>
    <row r="3" spans="1:49" ht="45">
      <c r="A3" s="39" t="s">
        <v>1143</v>
      </c>
      <c r="B3" s="39" t="s">
        <v>293</v>
      </c>
      <c r="C3" s="41" t="s">
        <v>112</v>
      </c>
      <c r="D3" s="2" t="s">
        <v>1097</v>
      </c>
      <c r="E3" s="2" t="s">
        <v>0</v>
      </c>
      <c r="F3" s="2" t="s">
        <v>2</v>
      </c>
      <c r="G3" s="2" t="s">
        <v>3</v>
      </c>
      <c r="H3" s="2" t="s">
        <v>5</v>
      </c>
      <c r="I3" s="3" t="s">
        <v>7</v>
      </c>
      <c r="J3" s="42" t="s">
        <v>8</v>
      </c>
      <c r="K3" s="41" t="s">
        <v>134</v>
      </c>
      <c r="L3" s="2" t="s">
        <v>1098</v>
      </c>
      <c r="M3" s="2" t="s">
        <v>9</v>
      </c>
      <c r="N3" s="2" t="s">
        <v>10</v>
      </c>
      <c r="O3" s="2" t="s">
        <v>11</v>
      </c>
      <c r="P3" s="2" t="s">
        <v>12</v>
      </c>
      <c r="Q3" s="3" t="s">
        <v>13</v>
      </c>
      <c r="R3" s="42" t="s">
        <v>14</v>
      </c>
      <c r="S3" s="41" t="s">
        <v>81</v>
      </c>
      <c r="T3" s="2" t="s">
        <v>1101</v>
      </c>
      <c r="U3" s="2" t="s">
        <v>15</v>
      </c>
      <c r="V3" s="2" t="s">
        <v>16</v>
      </c>
      <c r="W3" s="2" t="s">
        <v>17</v>
      </c>
      <c r="X3" s="2" t="s">
        <v>18</v>
      </c>
      <c r="Y3" s="3" t="s">
        <v>19</v>
      </c>
      <c r="Z3" s="42" t="s">
        <v>20</v>
      </c>
      <c r="AA3" s="2" t="s">
        <v>35</v>
      </c>
      <c r="AB3" s="2" t="s">
        <v>36</v>
      </c>
      <c r="AC3" s="2" t="s">
        <v>37</v>
      </c>
      <c r="AD3" s="2" t="s">
        <v>38</v>
      </c>
      <c r="AE3" s="2" t="s">
        <v>39</v>
      </c>
      <c r="AF3" s="2" t="s">
        <v>41</v>
      </c>
      <c r="AG3" s="2" t="s">
        <v>43</v>
      </c>
      <c r="AH3" s="2" t="s">
        <v>44</v>
      </c>
      <c r="AI3" s="2" t="s">
        <v>45</v>
      </c>
      <c r="AJ3" s="2" t="s">
        <v>46</v>
      </c>
      <c r="AK3" s="2" t="s">
        <v>47</v>
      </c>
      <c r="AL3" s="2" t="s">
        <v>49</v>
      </c>
      <c r="AM3" s="2" t="s">
        <v>50</v>
      </c>
      <c r="AN3" s="2" t="s">
        <v>51</v>
      </c>
      <c r="AO3" s="2" t="s">
        <v>990</v>
      </c>
      <c r="AP3" s="2" t="s">
        <v>991</v>
      </c>
      <c r="AQ3" s="2" t="s">
        <v>21</v>
      </c>
      <c r="AR3" s="2" t="s">
        <v>23</v>
      </c>
      <c r="AS3" s="49" t="s">
        <v>25</v>
      </c>
      <c r="AT3" s="25" t="s">
        <v>1022</v>
      </c>
    </row>
    <row r="4" spans="1:49">
      <c r="A4" s="40" t="s">
        <v>494</v>
      </c>
      <c r="B4" s="40" t="s">
        <v>495</v>
      </c>
      <c r="C4" s="11">
        <f>ROUND((IFERROR((1/IF(VLOOKUP($A4,EnrollData2324,28,FALSE)=VLOOKUP($A4,'ESA Calculations 2324'!$A$4:$AE$34,3,FALSE),VLOOKUP($A4,EnrollData2324,28,FALSE),VLOOKUP($A4,'ESA Calculations 2324'!$A$4:$AE$34,3,FALSE)))*(1+Apport_Z315),0))+Apport_201A2324,6)</f>
        <v>7.3449E-2</v>
      </c>
      <c r="D4">
        <f>ROUND(IF(VLOOKUP($A4,EnrollData2324,'2324 Jun 24 Enroll'!D$1,FALSE)=VLOOKUP($A4,'ESA Calculations 2324'!$A$4:$AE$34,4,FALSE),VLOOKUP($A4,EnrollData2324,'2324 Jun 24 Enroll'!D$1,FALSE),VLOOKUP($A4,'ESA Calculations 2324'!$A$4:$AE$34,4,FALSE))*C4,3)</f>
        <v>0</v>
      </c>
      <c r="E4">
        <f>ROUND(IF(VLOOKUP($A4,EnrollData2324,'2324 Jun 24 Enroll'!E$1,FALSE)=VLOOKUP($A4,'ESA Calculations 2324'!$A$4:$AE$34,5,FALSE),VLOOKUP($A4,EnrollData2324,'2324 Jun 24 Enroll'!E$1,FALSE),VLOOKUP($A4,'ESA Calculations 2324'!$A$4:$AE$34,5,FALSE))*C4,3)</f>
        <v>5.8250000000000002</v>
      </c>
      <c r="F4">
        <f>ROUND(IF(VLOOKUP($A4,EnrollData2324,'2324 Jun 24 Enroll'!F$1,FALSE)=VLOOKUP($A4,'ESA Calculations 2324'!$A$4:$AE$34,6,FALSE),VLOOKUP($A4,EnrollData2324,'2324 Jun 24 Enroll'!F$1,FALSE),VLOOKUP($A4,'ESA Calculations 2324'!$A$4:$AE$34,6,FALSE))*Apport_222A2324,3)</f>
        <v>0.91700000000000004</v>
      </c>
      <c r="G4">
        <f>ROUND(IF(VLOOKUP($A4,EnrollData2324,'2324 Jun 24 Enroll'!G$1,FALSE)=VLOOKUP($A4,'ESA Calculations 2324'!$A$4:$AE$34,7,FALSE),VLOOKUP($A4,EnrollData2324,'2324 Jun 24 Enroll'!G$1,FALSE),VLOOKUP($A4,'ESA Calculations 2324'!$A$4:$AE$34,7,FALSE))*Apport_210A2324,3)</f>
        <v>1.97</v>
      </c>
      <c r="H4">
        <f>ROUND(IF(VLOOKUP($A4,EnrollData2324,'2324 Jun 24 Enroll'!H$1,FALSE)=VLOOKUP($A4,'ESA Calculations 2324'!$A$4:$AE$34,8,FALSE),VLOOKUP($A4,EnrollData2324,'2324 Jun 24 Enroll'!H$1,FALSE),VLOOKUP($A4,'ESA Calculations 2324'!$A$4:$AE$34,8,FALSE))*Apport_213A2324,3)</f>
        <v>1.385</v>
      </c>
      <c r="I4">
        <f>ROUND(IF(VLOOKUP($A4,EnrollData2324,'2324 Jun 24 Enroll'!I$1,FALSE)+VLOOKUP($A4,EnrollData2324,'2324 Jun 24 Enroll'!M$1,FALSE)-VLOOKUP($A4,EnrollData2324,'2324 Jun 24 Enroll'!J$1,FALSE)=VLOOKUP($A4,'ESA Calculations 2324'!$A$4:$AE$34,9,FALSE)+VLOOKUP($A4,'ESA Calculations 2324'!$A$4:$AE$34,18,FALSE)-VLOOKUP($A4,'ESA Calculations 2324'!$A$4:$AE$34,10,FALSE),VLOOKUP($A4,EnrollData2324,'2324 Jun 24 Enroll'!I$1,FALSE)+VLOOKUP($A4,EnrollData2324,'2324 Jun 24 Enroll'!M$1,FALSE)-VLOOKUP($A4,EnrollData2324,'2324 Jun 24 Enroll'!J$1,FALSE),VLOOKUP($A4,'ESA Calculations 2324'!$A$4:$AE$34,9,FALSE)+VLOOKUP($A4,'ESA Calculations 2324'!$A$4:$AE$34,18,FALSE)-VLOOKUP($A4,'ESA Calculations 2324'!$A$4:$AE$34,10,FALSE))*Apport_216A2324,3)</f>
        <v>0</v>
      </c>
      <c r="J4">
        <f>ROUND(SUM(D4:I4)/IF(VLOOKUP($A4,EnrollData2324,'2324 Jun 24 Enroll'!M$1,FALSE)+VLOOKUP($A4,EnrollData2324,'2324 Jun 24 Enroll'!D$1,FALSE)=VLOOKUP($A4,'ESA Calculations 2324'!$A$4:$AE$34,18,FALSE)+VLOOKUP($A4,'ESA Calculations 2324'!$A$4:$AE$34,4,FALSE),VLOOKUP($A4,EnrollData2324,'2324 Jun 24 Enroll'!M$1,FALSE)+VLOOKUP($A4,EnrollData2324,'2324 Jun 24 Enroll'!D$1,FALSE),VLOOKUP($A4,'ESA Calculations 2324'!$A$4:$AE$34,18,FALSE)+VLOOKUP($A4,'ESA Calculations 2324'!$A$4:$AE$34,4,FALSE)),5)</f>
        <v>6.021E-2</v>
      </c>
      <c r="K4" s="11">
        <f t="shared" ref="K4:K33" si="7">ROUND(((($C4+Apport_203A2324+Apport_202A2324)*Apport_557X)*Apport_558X)+Apport_202A2324,6)</f>
        <v>4.365E-3</v>
      </c>
      <c r="L4">
        <f>ROUND(IF(VLOOKUP($A4,EnrollData2324,'2324 Jun 24 Enroll'!D$1,FALSE)=VLOOKUP($A4,'ESA Calculations 2324'!$A$4:$AE$34,4,FALSE),VLOOKUP($A4,EnrollData2324,'2324 Jun 24 Enroll'!D$1,FALSE),VLOOKUP($A4,'ESA Calculations 2324'!$A$4:$AE$34,4,FALSE))*K4,3)</f>
        <v>0</v>
      </c>
      <c r="M4">
        <f>ROUND(IF(VLOOKUP($A4,EnrollData2324,'2324 Jun 24 Enroll'!E$1,FALSE)=VLOOKUP($A4,'ESA Calculations 2324'!$A$4:$AE$34,5,FALSE),VLOOKUP($A4,EnrollData2324,'2324 Jun 24 Enroll'!E$1,FALSE),VLOOKUP($A4,'ESA Calculations 2324'!$A$4:$AE$34,5,FALSE))*K4,3)</f>
        <v>0.34599999999999997</v>
      </c>
      <c r="N4">
        <f>ROUND(IF(VLOOKUP($A4,EnrollData2324,'2324 Jun 24 Enroll'!F$1,FALSE)=VLOOKUP($A4,'ESA Calculations 2324'!$A$4:$AE$34,6,FALSE),VLOOKUP($A4,EnrollData2324,'2324 Jun 24 Enroll'!F$1,FALSE),VLOOKUP($A4,'ESA Calculations 2324'!$A$4:$AE$34,6,FALSE))*Apport_223A2324,3)</f>
        <v>7.5999999999999998E-2</v>
      </c>
      <c r="O4">
        <f>ROUND(IF(VLOOKUP($A4,EnrollData2324,'2324 Jun 24 Enroll'!G$1,FALSE)=VLOOKUP($A4,'ESA Calculations 2324'!$A$4:$AE$34,7,FALSE),VLOOKUP($A4,EnrollData2324,'2324 Jun 24 Enroll'!G$1,FALSE),VLOOKUP($A4,'ESA Calculations 2324'!$A$4:$AE$34,7,FALSE))*Apport_211A2324,3)</f>
        <v>0.16400000000000001</v>
      </c>
      <c r="P4">
        <f>ROUND(IF(VLOOKUP($A4,EnrollData2324,'2324 Jun 24 Enroll'!H$1,FALSE)=VLOOKUP($A4,'ESA Calculations 2324'!$A$4:$AE$34,8,FALSE),VLOOKUP($A4,EnrollData2324,'2324 Jun 24 Enroll'!H$1,FALSE),VLOOKUP($A4,'ESA Calculations 2324'!$A$4:$AE$34,8,FALSE))*Apport_214A2324,3)</f>
        <v>0.115</v>
      </c>
      <c r="Q4">
        <f>ROUND(IF(VLOOKUP($A4,EnrollData2324,'2324 Jun 24 Enroll'!I$1,FALSE)+VLOOKUP($A4,EnrollData2324,'2324 Jun 24 Enroll'!M$1,FALSE)-VLOOKUP($A4,EnrollData2324,'2324 Jun 24 Enroll'!J$1,FALSE)=VLOOKUP($A4,'ESA Calculations 2324'!$A$4:$AE$34,9,FALSE)+VLOOKUP($A4,'ESA Calculations 2324'!$A$4:$AE$34,18,FALSE)-VLOOKUP($A4,'ESA Calculations 2324'!$A$4:$AE$34,10,FALSE),VLOOKUP($A4,EnrollData2324,'2324 Jun 24 Enroll'!I$1,FALSE)+VLOOKUP($A4,EnrollData2324,'2324 Jun 24 Enroll'!M$1,FALSE)-VLOOKUP($A4,EnrollData2324,'2324 Jun 24 Enroll'!J$1,FALSE),VLOOKUP($A4,'ESA Calculations 2324'!$A$4:$AE$34,9,FALSE)+VLOOKUP($A4,'ESA Calculations 2324'!$A$4:$AE$34,18,FALSE)-VLOOKUP($A4,'ESA Calculations 2324'!$A$4:$AE$34,10,FALSE))*Apport_217A2324,3)</f>
        <v>0</v>
      </c>
      <c r="R4">
        <f>ROUND(SUM(L4:Q4)/IF(VLOOKUP($A4,EnrollData2324,'2324 Jun 24 Enroll'!M$1,FALSE)+VLOOKUP($A4,EnrollData2324,'2324 Jun 24 Enroll'!D$1,FALSE)=VLOOKUP($A4,'ESA Calculations 2324'!$A$4:$AE$34,18,FALSE)+VLOOKUP($A4,'ESA Calculations 2324'!$A$4:$AE$34,4,FALSE),VLOOKUP($A4,EnrollData2324,'2324 Jun 24 Enroll'!M$1,FALSE)+VLOOKUP($A4,EnrollData2324,'2324 Jun 24 Enroll'!D$1,FALSE),VLOOKUP($A4,'ESA Calculations 2324'!$A$4:$AE$34,18,FALSE)+VLOOKUP($A4,'ESA Calculations 2324'!$A$4:$AE$34,4,FALSE)),5)</f>
        <v>4.1799999999999997E-3</v>
      </c>
      <c r="S4" s="11">
        <f t="shared" ref="S4:S33" si="8">ROUND(((($C4+Apport_203A2324+Apport_202A2324)*Apport_557X)*Apport_559X)+Apport_203A2324,7)</f>
        <v>1.8294500000000002E-2</v>
      </c>
      <c r="T4">
        <f>ROUND(IF(VLOOKUP($A4,EnrollData2324,'2324 Jun 24 Enroll'!D$1,FALSE)=VLOOKUP($A4,'ESA Calculations 2324'!$A$4:$AE$34,4,FALSE),VLOOKUP($A4,EnrollData2324,'2324 Jun 24 Enroll'!D$1,FALSE),VLOOKUP($A4,'ESA Calculations 2324'!$A$4:$AE$34,4,FALSE))*S4,3)</f>
        <v>0</v>
      </c>
      <c r="U4">
        <f>ROUND(IF(VLOOKUP($A4,EnrollData2324,'2324 Jun 24 Enroll'!E$1,FALSE)=VLOOKUP($A4,'ESA Calculations 2324'!$A$4:$AE$34,5,FALSE),VLOOKUP($A4,EnrollData2324,'2324 Jun 24 Enroll'!E$1,FALSE),VLOOKUP($A4,'ESA Calculations 2324'!$A$4:$AE$34,5,FALSE))*S4,3)</f>
        <v>1.4510000000000001</v>
      </c>
      <c r="V4">
        <f>ROUND(IF(VLOOKUP($A4,EnrollData2324,'2324 Jun 24 Enroll'!F$1,FALSE)=VLOOKUP($A4,'ESA Calculations 2324'!$A$4:$AE$34,6,FALSE),VLOOKUP($A4,EnrollData2324,'2324 Jun 24 Enroll'!F$1,FALSE),VLOOKUP($A4,'ESA Calculations 2324'!$A$4:$AE$34,6,FALSE))*Apport_224A2324,3)</f>
        <v>0.32900000000000001</v>
      </c>
      <c r="W4">
        <f>ROUND(IF(VLOOKUP($A4,EnrollData2324,'2324 Jun 24 Enroll'!G$1,FALSE)=VLOOKUP($A4,'ESA Calculations 2324'!$A$4:$AE$34,7,FALSE),VLOOKUP($A4,EnrollData2324,'2324 Jun 24 Enroll'!G$1,FALSE),VLOOKUP($A4,'ESA Calculations 2324'!$A$4:$AE$34,7,FALSE))*Apport_212A2324,3)</f>
        <v>0.70599999999999996</v>
      </c>
      <c r="X4">
        <f>ROUND(IF(VLOOKUP($A4,EnrollData2324,'2324 Jun 24 Enroll'!H$1,FALSE)=VLOOKUP($A4,'ESA Calculations 2324'!$A$4:$AE$34,8,FALSE),VLOOKUP($A4,EnrollData2324,'2324 Jun 24 Enroll'!H$1,FALSE),VLOOKUP($A4,'ESA Calculations 2324'!$A$4:$AE$34,8,FALSE))*Apport_215A2324,3)</f>
        <v>0.48899999999999999</v>
      </c>
      <c r="Y4">
        <f>ROUND(IF(VLOOKUP($A4,EnrollData2324,'2324 Jun 24 Enroll'!I$1,FALSE)+VLOOKUP($A4,EnrollData2324,'2324 Jun 24 Enroll'!M$1,FALSE)-VLOOKUP($A4,EnrollData2324,'2324 Jun 24 Enroll'!J$1,FALSE)=VLOOKUP($A4,'ESA Calculations 2324'!$A$4:$AE$34,9,FALSE)+VLOOKUP($A4,'ESA Calculations 2324'!$A$4:$AE$34,18,FALSE)-VLOOKUP($A4,'ESA Calculations 2324'!$A$4:$AE$34,10,FALSE),VLOOKUP($A4,EnrollData2324,'2324 Jun 24 Enroll'!I$1,FALSE)+VLOOKUP($A4,EnrollData2324,'2324 Jun 24 Enroll'!M$1,FALSE)-VLOOKUP($A4,EnrollData2324,'2324 Jun 24 Enroll'!J$1,FALSE),VLOOKUP($A4,'ESA Calculations 2324'!$A$4:$AE$34,9,FALSE)+VLOOKUP($A4,'ESA Calculations 2324'!$A$4:$AE$34,18,FALSE)-VLOOKUP($A4,'ESA Calculations 2324'!$A$4:$AE$34,10,FALSE))*Apport_218A2324,3)</f>
        <v>0</v>
      </c>
      <c r="Z4">
        <f>ROUND(SUM(T4:Y4)/IF(VLOOKUP($A4,EnrollData2324,'2324 Jun 24 Enroll'!M$1,FALSE)+VLOOKUP($A4,EnrollData2324,'2324 Jun 24 Enroll'!D$1,FALSE)=VLOOKUP($A4,'ESA Calculations 2324'!$A$4:$AE$34,18,FALSE)+VLOOKUP($A4,'ESA Calculations 2324'!$A$4:$AE$34,4,FALSE),VLOOKUP($A4,EnrollData2324,'2324 Jun 24 Enroll'!M$1,FALSE)+VLOOKUP($A4,EnrollData2324,'2324 Jun 24 Enroll'!D$1,FALSE),VLOOKUP($A4,'ESA Calculations 2324'!$A$4:$AE$34,18,FALSE)+VLOOKUP($A4,'ESA Calculations 2324'!$A$4:$AE$34,4,FALSE)),5)</f>
        <v>1.7739999999999999E-2</v>
      </c>
      <c r="AA4" s="6">
        <f>ROUND($J4*CIS_Base_Salary2324*VLOOKUP($A4,EnrollData2324,'2324 Jun 24 Enroll'!S$1,FALSE),2)</f>
        <v>4641.6899999999996</v>
      </c>
      <c r="AB4" s="6">
        <f>ROUND($J4*CIS_Inc_Salary2324*(VLOOKUP($A4,EnrollData2324,'2324 Jun 24 Enroll'!T$1,FALSE)+VLOOKUP($A4,EnrollData2324,'2324 Jun 24 Enroll'!U$1,FALSE)),2)-AA4</f>
        <v>171.75</v>
      </c>
      <c r="AC4" s="6">
        <f>ROUND($R4*CAS_Base_Salary2324*VLOOKUP($A4,EnrollData2324,'2324 Jun 24 Enroll'!S$1,FALSE),2)</f>
        <v>478.33</v>
      </c>
      <c r="AD4" s="6">
        <f>ROUND($R4*CAS_Inc_Salary2324*VLOOKUP($A4,EnrollData2324,'2324 Jun 24 Enroll'!T$1,FALSE),2)-AC4</f>
        <v>17.699999999999989</v>
      </c>
      <c r="AE4" s="6">
        <f>ROUND($Z4*CLS_Base_Salary2324*VLOOKUP($A4,EnrollData2324,'2324 Jun 24 Enroll'!S$1,FALSE),2)</f>
        <v>981.08</v>
      </c>
      <c r="AF4" s="6">
        <f>ROUND($Z4*CLS_Inc_Salary2324*VLOOKUP($A4,EnrollData2324,'2324 Jun 24 Enroll'!T$1,FALSE),2)-AE4</f>
        <v>36.289999999999964</v>
      </c>
      <c r="AG4">
        <f t="shared" ref="AG4:AG70" si="9">ROUND(($J4+$R4)*Apport_124X2324,2)</f>
        <v>792.77</v>
      </c>
      <c r="AH4" s="69">
        <f t="shared" ref="AH4:AH33" si="10">ROUND(($J4+$R4)*Apport_621X2324*Apport_125XC2324,2)-AG4</f>
        <v>74.180000000000064</v>
      </c>
      <c r="AI4">
        <f t="shared" ref="AI4:AI70" si="11">ROUND($Z4*Apport_124X2324,2)</f>
        <v>218.41</v>
      </c>
      <c r="AJ4">
        <f t="shared" ref="AJ4:AJ33" si="12">ROUND($Z4*Apport_621X2324*Apport_125X2324,2)-AI4</f>
        <v>116.45000000000002</v>
      </c>
      <c r="AK4">
        <f t="shared" ref="AK4:AK33" si="13">ROUND((AA4+AC4)*Apport_126X2324,2)</f>
        <v>920.07</v>
      </c>
      <c r="AL4">
        <f t="shared" ref="AL4:AL33" si="14">ROUND((AB4+AD4)*Apport_127X2324,2)</f>
        <v>32.83</v>
      </c>
      <c r="AM4">
        <f t="shared" ref="AM4:AM33" si="15">ROUND(AE4*Apport_128X2324,2)</f>
        <v>216.43</v>
      </c>
      <c r="AN4">
        <f t="shared" ref="AN4:AN33" si="16">ROUND(AF4*Apport_129X2324,2)</f>
        <v>6.74</v>
      </c>
      <c r="AO4">
        <f>ROUND(($J4*CIS_Inc_Salary2324*(VLOOKUP($A4,EnrollData2324,'2324 Jun 24 Enroll'!T$1,FALSE)+VLOOKUP($A4,EnrollData2324,'2324 Jun 24 Enroll'!U$1,FALSE))/Apport_613Xpd)*Apport_614Xpd,2)</f>
        <v>80.22</v>
      </c>
      <c r="AP4">
        <f t="shared" ref="AP4:AP33" si="17">ROUND(AO4*Apport_127X2324,2)</f>
        <v>13.9</v>
      </c>
      <c r="AQ4">
        <f t="shared" ref="AQ4" si="18">ROUND((J4*Apport_581X)*(Apport_116X*Apport_132X),2)</f>
        <v>33.54</v>
      </c>
      <c r="AR4" s="6">
        <f>ROUND((IF(VLOOKUP($A4,EnrollData2324,'2324 Jun 24 Enroll'!D$1,FALSE)=VLOOKUP($A4,'ESA Calculations 2324'!$A$4:$AE$34,4,FALSE),VLOOKUP($A4,EnrollData2324,'2324 Jun 24 Enroll'!D$1,FALSE),VLOOKUP($A4,'ESA Calculations 2324'!$A$4:$AE$34,4,FALSE))*Apport_M802324+IF(VLOOKUP($A4,EnrollData2324,'2324 Jun 24 Enroll'!M$1,FALSE)=VLOOKUP($A4,'ESA Calculations 2324'!$A$4:$AE$34,18,FALSE),VLOOKUP($A4,EnrollData2324,'2324 Jun 24 Enroll'!M$1,FALSE),VLOOKUP($A4,'ESA Calculations 2324'!$A$4:$AE$34,18,FALSE))*Apport_M802324+IF((VLOOKUP($A4,EnrollData2324,'2324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Enroll'!L$1,FALSE))=VLOOKUP($A4,EnrollData2324,'2324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Enroll'!L$1,FALSE),(VLOOKUP($A4,EnrollData2324,'2324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Enroll'!L$1,FALSE)),(VLOOKUP($A4,EnrollData2324,'2324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Enroll'!L$1,FALSE)))*Apport_M812324)/(IF(VLOOKUP($A4,EnrollData2324,'2324 Jun 24 Enroll'!M$1,FALSE)=VLOOKUP($A4,'ESA Calculations 2324'!$A$4:$AE$34,18,FALSE),VLOOKUP($A4,EnrollData2324,'2324 Jun 24 Enroll'!M$1,FALSE),VLOOKUP($A4,'ESA Calculations 2324'!$A$4:$AE$34,18,FALSE))+IF(VLOOKUP($A4,EnrollData2324,'2324 Jun 24 Enroll'!D$1,FALSE)=VLOOKUP($A4,'ESA Calculations 2324'!$A$4:$AE$34,4,FALSE),VLOOKUP($A4,EnrollData2324,'2324 Jun 24 Enroll'!D$1,FALSE),VLOOKUP($A4,'ESA Calculations 2324'!$A$4:$AE$34,4,FALSE))),2)</f>
        <v>1483.44</v>
      </c>
      <c r="AS4" s="7">
        <f>SUM(AA4:AR4)</f>
        <v>10315.82</v>
      </c>
      <c r="AT4" s="6">
        <f>IF(VLOOKUP($A4,EnrollData2324,'2324 Jun 24 Enroll'!AA$1,FALSE)=VLOOKUP($A4,'ESA Calculations 2324'!$A$4:$AE$34,24,FALSE),VLOOKUP($A4,EnrollData2324,'2324 Jun 24 Enroll'!AA$1,FALSE),VLOOKUP($A4,'ESA Calculations 2324'!$A$4:$AE$34,24,FALSE))</f>
        <v>167.7</v>
      </c>
      <c r="AU4" s="27"/>
      <c r="AV4" s="27"/>
      <c r="AW4" s="27"/>
    </row>
    <row r="5" spans="1:49">
      <c r="A5" s="40" t="s">
        <v>426</v>
      </c>
      <c r="B5" s="40" t="s">
        <v>427</v>
      </c>
      <c r="C5" s="11">
        <f>ROUND((IFERROR((1/IF(VLOOKUP($A5,EnrollData2324,28,FALSE)=VLOOKUP($A5,'ESA Calculations 2324'!$A$4:$AE$34,3,FALSE),VLOOKUP($A5,EnrollData2324,28,FALSE),VLOOKUP($A5,'ESA Calculations 2324'!$A$4:$AE$34,3,FALSE)))*(1+Apport_Z315),0))+Apport_201A2324,6)</f>
        <v>7.3449E-2</v>
      </c>
      <c r="D5">
        <f>ROUND(IF(VLOOKUP($A5,EnrollData2324,'2324 Jun 24 Enroll'!D$1,FALSE)=VLOOKUP($A5,'ESA Calculations 2324'!$A$4:$AE$34,4,FALSE),VLOOKUP($A5,EnrollData2324,'2324 Jun 24 Enroll'!D$1,FALSE),VLOOKUP($A5,'ESA Calculations 2324'!$A$4:$AE$34,4,FALSE))*C5,3)</f>
        <v>0</v>
      </c>
      <c r="E5">
        <f>ROUND(IF(VLOOKUP($A5,EnrollData2324,'2324 Jun 24 Enroll'!E$1,FALSE)=VLOOKUP($A5,'ESA Calculations 2324'!$A$4:$AE$34,5,FALSE),VLOOKUP($A5,EnrollData2324,'2324 Jun 24 Enroll'!E$1,FALSE),VLOOKUP($A5,'ESA Calculations 2324'!$A$4:$AE$34,5,FALSE))*C5,3)</f>
        <v>8.2560000000000002</v>
      </c>
      <c r="F5">
        <f>ROUND(IF(VLOOKUP($A5,EnrollData2324,'2324 Jun 24 Enroll'!F$1,FALSE)=VLOOKUP($A5,'ESA Calculations 2324'!$A$4:$AE$34,6,FALSE),VLOOKUP($A5,EnrollData2324,'2324 Jun 24 Enroll'!F$1,FALSE),VLOOKUP($A5,'ESA Calculations 2324'!$A$4:$AE$34,6,FALSE))*Apport_222A2324,3)</f>
        <v>1.3859999999999999</v>
      </c>
      <c r="G5">
        <f>ROUND(IF(VLOOKUP($A5,EnrollData2324,'2324 Jun 24 Enroll'!G$1,FALSE)=VLOOKUP($A5,'ESA Calculations 2324'!$A$4:$AE$34,7,FALSE),VLOOKUP($A5,EnrollData2324,'2324 Jun 24 Enroll'!G$1,FALSE),VLOOKUP($A5,'ESA Calculations 2324'!$A$4:$AE$34,7,FALSE))*Apport_210A2324,3)</f>
        <v>2.38</v>
      </c>
      <c r="H5">
        <f>ROUND(IF(VLOOKUP($A5,EnrollData2324,'2324 Jun 24 Enroll'!H$1,FALSE)=VLOOKUP($A5,'ESA Calculations 2324'!$A$4:$AE$34,8,FALSE),VLOOKUP($A5,EnrollData2324,'2324 Jun 24 Enroll'!H$1,FALSE),VLOOKUP($A5,'ESA Calculations 2324'!$A$4:$AE$34,8,FALSE))*Apport_213A2324,3)</f>
        <v>2.6709999999999998</v>
      </c>
      <c r="I5">
        <f>ROUND(IF(VLOOKUP($A5,EnrollData2324,'2324 Jun 24 Enroll'!I$1,FALSE)+VLOOKUP($A5,EnrollData2324,'2324 Jun 24 Enroll'!M$1,FALSE)-VLOOKUP($A5,EnrollData2324,'2324 Jun 24 Enroll'!J$1,FALSE)=VLOOKUP($A5,'ESA Calculations 2324'!$A$4:$AE$34,9,FALSE)+VLOOKUP($A5,'ESA Calculations 2324'!$A$4:$AE$34,18,FALSE)-VLOOKUP($A5,'ESA Calculations 2324'!$A$4:$AE$34,10,FALSE),VLOOKUP($A5,EnrollData2324,'2324 Jun 24 Enroll'!I$1,FALSE)+VLOOKUP($A5,EnrollData2324,'2324 Jun 24 Enroll'!M$1,FALSE)-VLOOKUP($A5,EnrollData2324,'2324 Jun 24 Enroll'!J$1,FALSE),VLOOKUP($A5,'ESA Calculations 2324'!$A$4:$AE$34,9,FALSE)+VLOOKUP($A5,'ESA Calculations 2324'!$A$4:$AE$34,18,FALSE)-VLOOKUP($A5,'ESA Calculations 2324'!$A$4:$AE$34,10,FALSE))*Apport_216A2324,3)</f>
        <v>4.968</v>
      </c>
      <c r="J5">
        <f>ROUND(SUM(D5:I5)/IF(VLOOKUP($A5,EnrollData2324,'2324 Jun 24 Enroll'!M$1,FALSE)+VLOOKUP($A5,EnrollData2324,'2324 Jun 24 Enroll'!D$1,FALSE)=VLOOKUP($A5,'ESA Calculations 2324'!$A$4:$AE$34,18,FALSE)+VLOOKUP($A5,'ESA Calculations 2324'!$A$4:$AE$34,4,FALSE),VLOOKUP($A5,EnrollData2324,'2324 Jun 24 Enroll'!M$1,FALSE)+VLOOKUP($A5,EnrollData2324,'2324 Jun 24 Enroll'!D$1,FALSE),VLOOKUP($A5,'ESA Calculations 2324'!$A$4:$AE$34,18,FALSE)+VLOOKUP($A5,'ESA Calculations 2324'!$A$4:$AE$34,4,FALSE)),5)</f>
        <v>5.7049999999999997E-2</v>
      </c>
      <c r="K5" s="11">
        <f t="shared" si="7"/>
        <v>4.365E-3</v>
      </c>
      <c r="L5">
        <f>ROUND(IF(VLOOKUP($A5,EnrollData2324,'2324 Jun 24 Enroll'!D$1,FALSE)=VLOOKUP($A5,'ESA Calculations 2324'!$A$4:$AE$34,4,FALSE),VLOOKUP($A5,EnrollData2324,'2324 Jun 24 Enroll'!D$1,FALSE),VLOOKUP($A5,'ESA Calculations 2324'!$A$4:$AE$34,4,FALSE))*K5,3)</f>
        <v>0</v>
      </c>
      <c r="M5">
        <f>ROUND(IF(VLOOKUP($A5,EnrollData2324,'2324 Jun 24 Enroll'!E$1,FALSE)=VLOOKUP($A5,'ESA Calculations 2324'!$A$4:$AE$34,5,FALSE),VLOOKUP($A5,EnrollData2324,'2324 Jun 24 Enroll'!E$1,FALSE),VLOOKUP($A5,'ESA Calculations 2324'!$A$4:$AE$34,5,FALSE))*K5,3)</f>
        <v>0.49099999999999999</v>
      </c>
      <c r="N5">
        <f>ROUND(IF(VLOOKUP($A5,EnrollData2324,'2324 Jun 24 Enroll'!F$1,FALSE)=VLOOKUP($A5,'ESA Calculations 2324'!$A$4:$AE$34,6,FALSE),VLOOKUP($A5,EnrollData2324,'2324 Jun 24 Enroll'!F$1,FALSE),VLOOKUP($A5,'ESA Calculations 2324'!$A$4:$AE$34,6,FALSE))*Apport_223A2324,3)</f>
        <v>0.11600000000000001</v>
      </c>
      <c r="O5">
        <f>ROUND(IF(VLOOKUP($A5,EnrollData2324,'2324 Jun 24 Enroll'!G$1,FALSE)=VLOOKUP($A5,'ESA Calculations 2324'!$A$4:$AE$34,7,FALSE),VLOOKUP($A5,EnrollData2324,'2324 Jun 24 Enroll'!G$1,FALSE),VLOOKUP($A5,'ESA Calculations 2324'!$A$4:$AE$34,7,FALSE))*Apport_211A2324,3)</f>
        <v>0.19800000000000001</v>
      </c>
      <c r="P5">
        <f>ROUND(IF(VLOOKUP($A5,EnrollData2324,'2324 Jun 24 Enroll'!H$1,FALSE)=VLOOKUP($A5,'ESA Calculations 2324'!$A$4:$AE$34,8,FALSE),VLOOKUP($A5,EnrollData2324,'2324 Jun 24 Enroll'!H$1,FALSE),VLOOKUP($A5,'ESA Calculations 2324'!$A$4:$AE$34,8,FALSE))*Apport_214A2324,3)</f>
        <v>0.222</v>
      </c>
      <c r="Q5">
        <f>ROUND(IF(VLOOKUP($A5,EnrollData2324,'2324 Jun 24 Enroll'!I$1,FALSE)+VLOOKUP($A5,EnrollData2324,'2324 Jun 24 Enroll'!M$1,FALSE)-VLOOKUP($A5,EnrollData2324,'2324 Jun 24 Enroll'!J$1,FALSE)=VLOOKUP($A5,'ESA Calculations 2324'!$A$4:$AE$34,9,FALSE)+VLOOKUP($A5,'ESA Calculations 2324'!$A$4:$AE$34,18,FALSE)-VLOOKUP($A5,'ESA Calculations 2324'!$A$4:$AE$34,10,FALSE),VLOOKUP($A5,EnrollData2324,'2324 Jun 24 Enroll'!I$1,FALSE)+VLOOKUP($A5,EnrollData2324,'2324 Jun 24 Enroll'!M$1,FALSE)-VLOOKUP($A5,EnrollData2324,'2324 Jun 24 Enroll'!J$1,FALSE),VLOOKUP($A5,'ESA Calculations 2324'!$A$4:$AE$34,9,FALSE)+VLOOKUP($A5,'ESA Calculations 2324'!$A$4:$AE$34,18,FALSE)-VLOOKUP($A5,'ESA Calculations 2324'!$A$4:$AE$34,10,FALSE))*Apport_217A2324,3)</f>
        <v>0.40100000000000002</v>
      </c>
      <c r="R5">
        <f>ROUND(SUM(L5:Q5)/IF(VLOOKUP($A5,EnrollData2324,'2324 Jun 24 Enroll'!M$1,FALSE)+VLOOKUP($A5,EnrollData2324,'2324 Jun 24 Enroll'!D$1,FALSE)=VLOOKUP($A5,'ESA Calculations 2324'!$A$4:$AE$34,18,FALSE)+VLOOKUP($A5,'ESA Calculations 2324'!$A$4:$AE$34,4,FALSE),VLOOKUP($A5,EnrollData2324,'2324 Jun 24 Enroll'!M$1,FALSE)+VLOOKUP($A5,EnrollData2324,'2324 Jun 24 Enroll'!D$1,FALSE),VLOOKUP($A5,'ESA Calculations 2324'!$A$4:$AE$34,18,FALSE)+VLOOKUP($A5,'ESA Calculations 2324'!$A$4:$AE$34,4,FALSE)),5)</f>
        <v>4.1399999999999996E-3</v>
      </c>
      <c r="S5" s="11">
        <f t="shared" si="8"/>
        <v>1.8294500000000002E-2</v>
      </c>
      <c r="T5">
        <f>ROUND(IF(VLOOKUP($A5,EnrollData2324,'2324 Jun 24 Enroll'!D$1,FALSE)=VLOOKUP($A5,'ESA Calculations 2324'!$A$4:$AE$34,4,FALSE),VLOOKUP($A5,EnrollData2324,'2324 Jun 24 Enroll'!D$1,FALSE),VLOOKUP($A5,'ESA Calculations 2324'!$A$4:$AE$34,4,FALSE))*S5,3)</f>
        <v>0</v>
      </c>
      <c r="U5">
        <f>ROUND(IF(VLOOKUP($A5,EnrollData2324,'2324 Jun 24 Enroll'!E$1,FALSE)=VLOOKUP($A5,'ESA Calculations 2324'!$A$4:$AE$34,5,FALSE),VLOOKUP($A5,EnrollData2324,'2324 Jun 24 Enroll'!E$1,FALSE),VLOOKUP($A5,'ESA Calculations 2324'!$A$4:$AE$34,5,FALSE))*S5,3)</f>
        <v>2.056</v>
      </c>
      <c r="V5">
        <f>ROUND(IF(VLOOKUP($A5,EnrollData2324,'2324 Jun 24 Enroll'!F$1,FALSE)=VLOOKUP($A5,'ESA Calculations 2324'!$A$4:$AE$34,6,FALSE),VLOOKUP($A5,EnrollData2324,'2324 Jun 24 Enroll'!F$1,FALSE),VLOOKUP($A5,'ESA Calculations 2324'!$A$4:$AE$34,6,FALSE))*Apport_224A2324,3)</f>
        <v>0.497</v>
      </c>
      <c r="W5">
        <f>ROUND(IF(VLOOKUP($A5,EnrollData2324,'2324 Jun 24 Enroll'!G$1,FALSE)=VLOOKUP($A5,'ESA Calculations 2324'!$A$4:$AE$34,7,FALSE),VLOOKUP($A5,EnrollData2324,'2324 Jun 24 Enroll'!G$1,FALSE),VLOOKUP($A5,'ESA Calculations 2324'!$A$4:$AE$34,7,FALSE))*Apport_212A2324,3)</f>
        <v>0.85299999999999998</v>
      </c>
      <c r="X5">
        <f>ROUND(IF(VLOOKUP($A5,EnrollData2324,'2324 Jun 24 Enroll'!H$1,FALSE)=VLOOKUP($A5,'ESA Calculations 2324'!$A$4:$AE$34,8,FALSE),VLOOKUP($A5,EnrollData2324,'2324 Jun 24 Enroll'!H$1,FALSE),VLOOKUP($A5,'ESA Calculations 2324'!$A$4:$AE$34,8,FALSE))*Apport_215A2324,3)</f>
        <v>0.94299999999999995</v>
      </c>
      <c r="Y5">
        <f>ROUND(IF(VLOOKUP($A5,EnrollData2324,'2324 Jun 24 Enroll'!I$1,FALSE)+VLOOKUP($A5,EnrollData2324,'2324 Jun 24 Enroll'!M$1,FALSE)-VLOOKUP($A5,EnrollData2324,'2324 Jun 24 Enroll'!J$1,FALSE)=VLOOKUP($A5,'ESA Calculations 2324'!$A$4:$AE$34,9,FALSE)+VLOOKUP($A5,'ESA Calculations 2324'!$A$4:$AE$34,18,FALSE)-VLOOKUP($A5,'ESA Calculations 2324'!$A$4:$AE$34,10,FALSE),VLOOKUP($A5,EnrollData2324,'2324 Jun 24 Enroll'!I$1,FALSE)+VLOOKUP($A5,EnrollData2324,'2324 Jun 24 Enroll'!M$1,FALSE)-VLOOKUP($A5,EnrollData2324,'2324 Jun 24 Enroll'!J$1,FALSE),VLOOKUP($A5,'ESA Calculations 2324'!$A$4:$AE$34,9,FALSE)+VLOOKUP($A5,'ESA Calculations 2324'!$A$4:$AE$34,18,FALSE)-VLOOKUP($A5,'ESA Calculations 2324'!$A$4:$AE$34,10,FALSE))*Apport_218A2324,3)</f>
        <v>1.7010000000000001</v>
      </c>
      <c r="Z5">
        <f>ROUND(SUM(T5:Y5)/IF(VLOOKUP($A5,EnrollData2324,'2324 Jun 24 Enroll'!M$1,FALSE)+VLOOKUP($A5,EnrollData2324,'2324 Jun 24 Enroll'!D$1,FALSE)=VLOOKUP($A5,'ESA Calculations 2324'!$A$4:$AE$34,18,FALSE)+VLOOKUP($A5,'ESA Calculations 2324'!$A$4:$AE$34,4,FALSE),VLOOKUP($A5,EnrollData2324,'2324 Jun 24 Enroll'!M$1,FALSE)+VLOOKUP($A5,EnrollData2324,'2324 Jun 24 Enroll'!D$1,FALSE),VLOOKUP($A5,'ESA Calculations 2324'!$A$4:$AE$34,18,FALSE)+VLOOKUP($A5,'ESA Calculations 2324'!$A$4:$AE$34,4,FALSE)),5)</f>
        <v>1.7559999999999999E-2</v>
      </c>
      <c r="AA5" s="6">
        <f>ROUND($J5*CIS_Base_Salary2324*VLOOKUP($A5,EnrollData2324,'2324 Jun 24 Enroll'!S$1,FALSE),2)</f>
        <v>4149.13</v>
      </c>
      <c r="AB5" s="6">
        <f>ROUND($J5*CIS_Inc_Salary2324*(VLOOKUP($A5,EnrollData2324,'2324 Jun 24 Enroll'!T$1,FALSE)+VLOOKUP($A5,EnrollData2324,'2324 Jun 24 Enroll'!U$1,FALSE)),2)-AA5</f>
        <v>325.63000000000011</v>
      </c>
      <c r="AC5" s="6">
        <f>ROUND($R5*CAS_Base_Salary2324*VLOOKUP($A5,EnrollData2324,'2324 Jun 24 Enroll'!S$1,FALSE),2)</f>
        <v>446.93</v>
      </c>
      <c r="AD5" s="6">
        <f>ROUND($R5*CAS_Inc_Salary2324*VLOOKUP($A5,EnrollData2324,'2324 Jun 24 Enroll'!T$1,FALSE),2)-AC5</f>
        <v>16.54000000000002</v>
      </c>
      <c r="AE5" s="6">
        <f>ROUND($Z5*CLS_Base_Salary2324*VLOOKUP($A5,EnrollData2324,'2324 Jun 24 Enroll'!S$1,FALSE),2)</f>
        <v>916.16</v>
      </c>
      <c r="AF5" s="6">
        <f>ROUND($Z5*CLS_Inc_Salary2324*VLOOKUP($A5,EnrollData2324,'2324 Jun 24 Enroll'!T$1,FALSE),2)-AE5</f>
        <v>33.889999999999986</v>
      </c>
      <c r="AG5">
        <f t="shared" si="9"/>
        <v>753.37</v>
      </c>
      <c r="AH5" s="69">
        <f t="shared" si="10"/>
        <v>70.490000000000009</v>
      </c>
      <c r="AI5">
        <f t="shared" si="11"/>
        <v>216.2</v>
      </c>
      <c r="AJ5">
        <f t="shared" si="12"/>
        <v>115.25999999999999</v>
      </c>
      <c r="AK5">
        <f t="shared" si="13"/>
        <v>825.91</v>
      </c>
      <c r="AL5">
        <f t="shared" si="14"/>
        <v>59.3</v>
      </c>
      <c r="AM5">
        <f t="shared" si="15"/>
        <v>202.1</v>
      </c>
      <c r="AN5">
        <f t="shared" si="16"/>
        <v>6.29</v>
      </c>
      <c r="AO5">
        <f>ROUND(($J5*CIS_Inc_Salary2324*(VLOOKUP($A5,EnrollData2324,'2324 Jun 24 Enroll'!T$1,FALSE)+VLOOKUP($A5,EnrollData2324,'2324 Jun 24 Enroll'!U$1,FALSE))/Apport_613Xpd)*Apport_614Xpd,2)</f>
        <v>74.58</v>
      </c>
      <c r="AP5">
        <f t="shared" si="17"/>
        <v>12.92</v>
      </c>
      <c r="AQ5">
        <f t="shared" ref="AQ5:AQ33" si="19">ROUND((J5*Apport_581X)*(Apport_116X*Apport_132X),2)</f>
        <v>31.78</v>
      </c>
      <c r="AR5" s="6">
        <f>ROUND((IF(VLOOKUP($A5,EnrollData2324,'2324 Jun 24 Enroll'!D$1,FALSE)=VLOOKUP($A5,'ESA Calculations 2324'!$A$4:$AE$34,4,FALSE),VLOOKUP($A5,EnrollData2324,'2324 Jun 24 Enroll'!D$1,FALSE),VLOOKUP($A5,'ESA Calculations 2324'!$A$4:$AE$34,4,FALSE))*Apport_M802324+IF(VLOOKUP($A5,EnrollData2324,'2324 Jun 24 Enroll'!M$1,FALSE)=VLOOKUP($A5,'ESA Calculations 2324'!$A$4:$AE$34,18,FALSE),VLOOKUP($A5,EnrollData2324,'2324 Jun 24 Enroll'!M$1,FALSE),VLOOKUP($A5,'ESA Calculations 2324'!$A$4:$AE$34,18,FALSE))*Apport_M802324+IF((VLOOKUP($A5,EnrollData2324,'2324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Enroll'!L$1,FALSE))=VLOOKUP($A5,EnrollData2324,'2324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Enroll'!L$1,FALSE),(VLOOKUP($A5,EnrollData2324,'2324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Enroll'!L$1,FALSE)),(VLOOKUP($A5,EnrollData2324,'2324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Enroll'!L$1,FALSE)))*Apport_M812324)/(IF(VLOOKUP($A5,EnrollData2324,'2324 Jun 24 Enroll'!M$1,FALSE)=VLOOKUP($A5,'ESA Calculations 2324'!$A$4:$AE$34,18,FALSE),VLOOKUP($A5,EnrollData2324,'2324 Jun 24 Enroll'!M$1,FALSE),VLOOKUP($A5,'ESA Calculations 2324'!$A$4:$AE$34,18,FALSE))+IF(VLOOKUP($A5,EnrollData2324,'2324 Jun 24 Enroll'!D$1,FALSE)=VLOOKUP($A5,'ESA Calculations 2324'!$A$4:$AE$34,4,FALSE),VLOOKUP($A5,EnrollData2324,'2324 Jun 24 Enroll'!D$1,FALSE),VLOOKUP($A5,'ESA Calculations 2324'!$A$4:$AE$34,4,FALSE))),2)</f>
        <v>1541.02</v>
      </c>
      <c r="AS5" s="7">
        <f t="shared" ref="AS5:AS33" si="20">SUM(AA5:AR5)</f>
        <v>9797.5000000000018</v>
      </c>
      <c r="AT5" s="6">
        <f>IF(VLOOKUP($A5,EnrollData2324,'2324 Jun 24 Enroll'!AA$1,FALSE)=VLOOKUP($A5,'ESA Calculations 2324'!$A$4:$AE$34,24,FALSE),VLOOKUP($A5,EnrollData2324,'2324 Jun 24 Enroll'!AA$1,FALSE),VLOOKUP($A5,'ESA Calculations 2324'!$A$4:$AE$34,24,FALSE))</f>
        <v>347.36</v>
      </c>
    </row>
    <row r="6" spans="1:49">
      <c r="A6" s="40" t="s">
        <v>829</v>
      </c>
      <c r="B6" s="40" t="s">
        <v>830</v>
      </c>
      <c r="C6" s="11">
        <f>ROUND((IFERROR((1/IF(VLOOKUP($A6,EnrollData2324,28,FALSE)=VLOOKUP($A6,'ESA Calculations 2324'!$A$4:$AE$34,3,FALSE),VLOOKUP($A6,EnrollData2324,28,FALSE),VLOOKUP($A6,'ESA Calculations 2324'!$A$4:$AE$34,3,FALSE)))*(1+Apport_Z315),0))+Apport_201A2324,6)</f>
        <v>6.9709999999999994E-2</v>
      </c>
      <c r="D6">
        <f>ROUND(IF(VLOOKUP($A6,EnrollData2324,'2324 Jun 24 Enroll'!D$1,FALSE)=VLOOKUP($A6,'ESA Calculations 2324'!$A$4:$AE$34,4,FALSE),VLOOKUP($A6,EnrollData2324,'2324 Jun 24 Enroll'!D$1,FALSE),VLOOKUP($A6,'ESA Calculations 2324'!$A$4:$AE$34,4,FALSE))*C6,3)</f>
        <v>0</v>
      </c>
      <c r="E6">
        <f>ROUND(IF(VLOOKUP($A6,EnrollData2324,'2324 Jun 24 Enroll'!E$1,FALSE)=VLOOKUP($A6,'ESA Calculations 2324'!$A$4:$AE$34,5,FALSE),VLOOKUP($A6,EnrollData2324,'2324 Jun 24 Enroll'!E$1,FALSE),VLOOKUP($A6,'ESA Calculations 2324'!$A$4:$AE$34,5,FALSE))*C6,3)</f>
        <v>15.247</v>
      </c>
      <c r="F6">
        <f>ROUND(IF(VLOOKUP($A6,EnrollData2324,'2324 Jun 24 Enroll'!F$1,FALSE)=VLOOKUP($A6,'ESA Calculations 2324'!$A$4:$AE$34,6,FALSE),VLOOKUP($A6,EnrollData2324,'2324 Jun 24 Enroll'!F$1,FALSE),VLOOKUP($A6,'ESA Calculations 2324'!$A$4:$AE$34,6,FALSE))*Apport_222A2324,3)</f>
        <v>2.738</v>
      </c>
      <c r="G6">
        <f>ROUND(IF(VLOOKUP($A6,EnrollData2324,'2324 Jun 24 Enroll'!G$1,FALSE)=VLOOKUP($A6,'ESA Calculations 2324'!$A$4:$AE$34,7,FALSE),VLOOKUP($A6,EnrollData2324,'2324 Jun 24 Enroll'!G$1,FALSE),VLOOKUP($A6,'ESA Calculations 2324'!$A$4:$AE$34,7,FALSE))*Apport_210A2324,3)</f>
        <v>4.9589999999999996</v>
      </c>
      <c r="H6">
        <f>ROUND(IF(VLOOKUP($A6,EnrollData2324,'2324 Jun 24 Enroll'!H$1,FALSE)=VLOOKUP($A6,'ESA Calculations 2324'!$A$4:$AE$34,8,FALSE),VLOOKUP($A6,EnrollData2324,'2324 Jun 24 Enroll'!H$1,FALSE),VLOOKUP($A6,'ESA Calculations 2324'!$A$4:$AE$34,8,FALSE))*Apport_213A2324,3)</f>
        <v>5.4950000000000001</v>
      </c>
      <c r="I6">
        <f>ROUND(IF(VLOOKUP($A6,EnrollData2324,'2324 Jun 24 Enroll'!I$1,FALSE)+VLOOKUP($A6,EnrollData2324,'2324 Jun 24 Enroll'!M$1,FALSE)-VLOOKUP($A6,EnrollData2324,'2324 Jun 24 Enroll'!J$1,FALSE)=VLOOKUP($A6,'ESA Calculations 2324'!$A$4:$AE$34,9,FALSE)+VLOOKUP($A6,'ESA Calculations 2324'!$A$4:$AE$34,18,FALSE)-VLOOKUP($A6,'ESA Calculations 2324'!$A$4:$AE$34,10,FALSE),VLOOKUP($A6,EnrollData2324,'2324 Jun 24 Enroll'!I$1,FALSE)+VLOOKUP($A6,EnrollData2324,'2324 Jun 24 Enroll'!M$1,FALSE)-VLOOKUP($A6,EnrollData2324,'2324 Jun 24 Enroll'!J$1,FALSE),VLOOKUP($A6,'ESA Calculations 2324'!$A$4:$AE$34,9,FALSE)+VLOOKUP($A6,'ESA Calculations 2324'!$A$4:$AE$34,18,FALSE)-VLOOKUP($A6,'ESA Calculations 2324'!$A$4:$AE$34,10,FALSE))*Apport_216A2324,3)</f>
        <v>9.1280000000000001</v>
      </c>
      <c r="J6">
        <f>ROUND(SUM(D6:I6)/IF(VLOOKUP($A6,EnrollData2324,'2324 Jun 24 Enroll'!M$1,FALSE)+VLOOKUP($A6,EnrollData2324,'2324 Jun 24 Enroll'!D$1,FALSE)=VLOOKUP($A6,'ESA Calculations 2324'!$A$4:$AE$34,18,FALSE)+VLOOKUP($A6,'ESA Calculations 2324'!$A$4:$AE$34,4,FALSE),VLOOKUP($A6,EnrollData2324,'2324 Jun 24 Enroll'!M$1,FALSE)+VLOOKUP($A6,EnrollData2324,'2324 Jun 24 Enroll'!D$1,FALSE),VLOOKUP($A6,'ESA Calculations 2324'!$A$4:$AE$34,18,FALSE)+VLOOKUP($A6,'ESA Calculations 2324'!$A$4:$AE$34,4,FALSE)),5)</f>
        <v>5.577E-2</v>
      </c>
      <c r="K6" s="11">
        <f t="shared" si="7"/>
        <v>4.3150000000000003E-3</v>
      </c>
      <c r="L6">
        <f>ROUND(IF(VLOOKUP($A6,EnrollData2324,'2324 Jun 24 Enroll'!D$1,FALSE)=VLOOKUP($A6,'ESA Calculations 2324'!$A$4:$AE$34,4,FALSE),VLOOKUP($A6,EnrollData2324,'2324 Jun 24 Enroll'!D$1,FALSE),VLOOKUP($A6,'ESA Calculations 2324'!$A$4:$AE$34,4,FALSE))*K6,3)</f>
        <v>0</v>
      </c>
      <c r="M6">
        <f>ROUND(IF(VLOOKUP($A6,EnrollData2324,'2324 Jun 24 Enroll'!E$1,FALSE)=VLOOKUP($A6,'ESA Calculations 2324'!$A$4:$AE$34,5,FALSE),VLOOKUP($A6,EnrollData2324,'2324 Jun 24 Enroll'!E$1,FALSE),VLOOKUP($A6,'ESA Calculations 2324'!$A$4:$AE$34,5,FALSE))*K6,3)</f>
        <v>0.94399999999999995</v>
      </c>
      <c r="N6">
        <f>ROUND(IF(VLOOKUP($A6,EnrollData2324,'2324 Jun 24 Enroll'!F$1,FALSE)=VLOOKUP($A6,'ESA Calculations 2324'!$A$4:$AE$34,6,FALSE),VLOOKUP($A6,EnrollData2324,'2324 Jun 24 Enroll'!F$1,FALSE),VLOOKUP($A6,'ESA Calculations 2324'!$A$4:$AE$34,6,FALSE))*Apport_223A2324,3)</f>
        <v>0.22800000000000001</v>
      </c>
      <c r="O6">
        <f>ROUND(IF(VLOOKUP($A6,EnrollData2324,'2324 Jun 24 Enroll'!G$1,FALSE)=VLOOKUP($A6,'ESA Calculations 2324'!$A$4:$AE$34,7,FALSE),VLOOKUP($A6,EnrollData2324,'2324 Jun 24 Enroll'!G$1,FALSE),VLOOKUP($A6,'ESA Calculations 2324'!$A$4:$AE$34,7,FALSE))*Apport_211A2324,3)</f>
        <v>0.41299999999999998</v>
      </c>
      <c r="P6">
        <f>ROUND(IF(VLOOKUP($A6,EnrollData2324,'2324 Jun 24 Enroll'!H$1,FALSE)=VLOOKUP($A6,'ESA Calculations 2324'!$A$4:$AE$34,8,FALSE),VLOOKUP($A6,EnrollData2324,'2324 Jun 24 Enroll'!H$1,FALSE),VLOOKUP($A6,'ESA Calculations 2324'!$A$4:$AE$34,8,FALSE))*Apport_214A2324,3)</f>
        <v>0.45600000000000002</v>
      </c>
      <c r="Q6">
        <f>ROUND(IF(VLOOKUP($A6,EnrollData2324,'2324 Jun 24 Enroll'!I$1,FALSE)+VLOOKUP($A6,EnrollData2324,'2324 Jun 24 Enroll'!M$1,FALSE)-VLOOKUP($A6,EnrollData2324,'2324 Jun 24 Enroll'!J$1,FALSE)=VLOOKUP($A6,'ESA Calculations 2324'!$A$4:$AE$34,9,FALSE)+VLOOKUP($A6,'ESA Calculations 2324'!$A$4:$AE$34,18,FALSE)-VLOOKUP($A6,'ESA Calculations 2324'!$A$4:$AE$34,10,FALSE),VLOOKUP($A6,EnrollData2324,'2324 Jun 24 Enroll'!I$1,FALSE)+VLOOKUP($A6,EnrollData2324,'2324 Jun 24 Enroll'!M$1,FALSE)-VLOOKUP($A6,EnrollData2324,'2324 Jun 24 Enroll'!J$1,FALSE),VLOOKUP($A6,'ESA Calculations 2324'!$A$4:$AE$34,9,FALSE)+VLOOKUP($A6,'ESA Calculations 2324'!$A$4:$AE$34,18,FALSE)-VLOOKUP($A6,'ESA Calculations 2324'!$A$4:$AE$34,10,FALSE))*Apport_217A2324,3)</f>
        <v>0.73699999999999999</v>
      </c>
      <c r="R6">
        <f>ROUND(SUM(L6:Q6)/IF(VLOOKUP($A6,EnrollData2324,'2324 Jun 24 Enroll'!M$1,FALSE)+VLOOKUP($A6,EnrollData2324,'2324 Jun 24 Enroll'!D$1,FALSE)=VLOOKUP($A6,'ESA Calculations 2324'!$A$4:$AE$34,18,FALSE)+VLOOKUP($A6,'ESA Calculations 2324'!$A$4:$AE$34,4,FALSE),VLOOKUP($A6,EnrollData2324,'2324 Jun 24 Enroll'!M$1,FALSE)+VLOOKUP($A6,EnrollData2324,'2324 Jun 24 Enroll'!D$1,FALSE),VLOOKUP($A6,'ESA Calculations 2324'!$A$4:$AE$34,18,FALSE)+VLOOKUP($A6,'ESA Calculations 2324'!$A$4:$AE$34,4,FALSE)),5)</f>
        <v>4.1200000000000004E-3</v>
      </c>
      <c r="S6" s="11">
        <f t="shared" si="8"/>
        <v>1.8146900000000001E-2</v>
      </c>
      <c r="T6">
        <f>ROUND(IF(VLOOKUP($A6,EnrollData2324,'2324 Jun 24 Enroll'!D$1,FALSE)=VLOOKUP($A6,'ESA Calculations 2324'!$A$4:$AE$34,4,FALSE),VLOOKUP($A6,EnrollData2324,'2324 Jun 24 Enroll'!D$1,FALSE),VLOOKUP($A6,'ESA Calculations 2324'!$A$4:$AE$34,4,FALSE))*S6,3)</f>
        <v>0</v>
      </c>
      <c r="U6">
        <f>ROUND(IF(VLOOKUP($A6,EnrollData2324,'2324 Jun 24 Enroll'!E$1,FALSE)=VLOOKUP($A6,'ESA Calculations 2324'!$A$4:$AE$34,5,FALSE),VLOOKUP($A6,EnrollData2324,'2324 Jun 24 Enroll'!E$1,FALSE),VLOOKUP($A6,'ESA Calculations 2324'!$A$4:$AE$34,5,FALSE))*S6,3)</f>
        <v>3.9689999999999999</v>
      </c>
      <c r="V6">
        <f>ROUND(IF(VLOOKUP($A6,EnrollData2324,'2324 Jun 24 Enroll'!F$1,FALSE)=VLOOKUP($A6,'ESA Calculations 2324'!$A$4:$AE$34,6,FALSE),VLOOKUP($A6,EnrollData2324,'2324 Jun 24 Enroll'!F$1,FALSE),VLOOKUP($A6,'ESA Calculations 2324'!$A$4:$AE$34,6,FALSE))*Apport_224A2324,3)</f>
        <v>0.98099999999999998</v>
      </c>
      <c r="W6">
        <f>ROUND(IF(VLOOKUP($A6,EnrollData2324,'2324 Jun 24 Enroll'!G$1,FALSE)=VLOOKUP($A6,'ESA Calculations 2324'!$A$4:$AE$34,7,FALSE),VLOOKUP($A6,EnrollData2324,'2324 Jun 24 Enroll'!G$1,FALSE),VLOOKUP($A6,'ESA Calculations 2324'!$A$4:$AE$34,7,FALSE))*Apport_212A2324,3)</f>
        <v>1.7769999999999999</v>
      </c>
      <c r="X6">
        <f>ROUND(IF(VLOOKUP($A6,EnrollData2324,'2324 Jun 24 Enroll'!H$1,FALSE)=VLOOKUP($A6,'ESA Calculations 2324'!$A$4:$AE$34,8,FALSE),VLOOKUP($A6,EnrollData2324,'2324 Jun 24 Enroll'!H$1,FALSE),VLOOKUP($A6,'ESA Calculations 2324'!$A$4:$AE$34,8,FALSE))*Apport_215A2324,3)</f>
        <v>1.9390000000000001</v>
      </c>
      <c r="Y6">
        <f>ROUND(IF(VLOOKUP($A6,EnrollData2324,'2324 Jun 24 Enroll'!I$1,FALSE)+VLOOKUP($A6,EnrollData2324,'2324 Jun 24 Enroll'!M$1,FALSE)-VLOOKUP($A6,EnrollData2324,'2324 Jun 24 Enroll'!J$1,FALSE)=VLOOKUP($A6,'ESA Calculations 2324'!$A$4:$AE$34,9,FALSE)+VLOOKUP($A6,'ESA Calculations 2324'!$A$4:$AE$34,18,FALSE)-VLOOKUP($A6,'ESA Calculations 2324'!$A$4:$AE$34,10,FALSE),VLOOKUP($A6,EnrollData2324,'2324 Jun 24 Enroll'!I$1,FALSE)+VLOOKUP($A6,EnrollData2324,'2324 Jun 24 Enroll'!M$1,FALSE)-VLOOKUP($A6,EnrollData2324,'2324 Jun 24 Enroll'!J$1,FALSE),VLOOKUP($A6,'ESA Calculations 2324'!$A$4:$AE$34,9,FALSE)+VLOOKUP($A6,'ESA Calculations 2324'!$A$4:$AE$34,18,FALSE)-VLOOKUP($A6,'ESA Calculations 2324'!$A$4:$AE$34,10,FALSE))*Apport_218A2324,3)</f>
        <v>3.125</v>
      </c>
      <c r="Z6">
        <f>ROUND(SUM(T6:Y6)/IF(VLOOKUP($A6,EnrollData2324,'2324 Jun 24 Enroll'!M$1,FALSE)+VLOOKUP($A6,EnrollData2324,'2324 Jun 24 Enroll'!D$1,FALSE)=VLOOKUP($A6,'ESA Calculations 2324'!$A$4:$AE$34,18,FALSE)+VLOOKUP($A6,'ESA Calculations 2324'!$A$4:$AE$34,4,FALSE),VLOOKUP($A6,EnrollData2324,'2324 Jun 24 Enroll'!M$1,FALSE)+VLOOKUP($A6,EnrollData2324,'2324 Jun 24 Enroll'!D$1,FALSE),VLOOKUP($A6,'ESA Calculations 2324'!$A$4:$AE$34,18,FALSE)+VLOOKUP($A6,'ESA Calculations 2324'!$A$4:$AE$34,4,FALSE)),5)</f>
        <v>1.7500000000000002E-2</v>
      </c>
      <c r="AA6" s="6">
        <f>ROUND($J6*CIS_Base_Salary2324*VLOOKUP($A6,EnrollData2324,'2324 Jun 24 Enroll'!S$1,FALSE),2)</f>
        <v>4056.04</v>
      </c>
      <c r="AB6" s="6">
        <f>ROUND($J6*CIS_Inc_Salary2324*(VLOOKUP($A6,EnrollData2324,'2324 Jun 24 Enroll'!T$1,FALSE)+VLOOKUP($A6,EnrollData2324,'2324 Jun 24 Enroll'!U$1,FALSE)),2)-AA6</f>
        <v>234.19999999999982</v>
      </c>
      <c r="AC6" s="6">
        <f>ROUND($R6*CAS_Base_Salary2324*VLOOKUP($A6,EnrollData2324,'2324 Jun 24 Enroll'!S$1,FALSE),2)</f>
        <v>444.77</v>
      </c>
      <c r="AD6" s="6">
        <f>ROUND($R6*CAS_Inc_Salary2324*VLOOKUP($A6,EnrollData2324,'2324 Jun 24 Enroll'!T$1,FALSE),2)-AC6</f>
        <v>16.460000000000036</v>
      </c>
      <c r="AE6" s="6">
        <f>ROUND($Z6*CLS_Base_Salary2324*VLOOKUP($A6,EnrollData2324,'2324 Jun 24 Enroll'!S$1,FALSE),2)</f>
        <v>913.03</v>
      </c>
      <c r="AF6" s="6">
        <f>ROUND($Z6*CLS_Inc_Salary2324*VLOOKUP($A6,EnrollData2324,'2324 Jun 24 Enroll'!T$1,FALSE),2)-AE6</f>
        <v>33.769999999999982</v>
      </c>
      <c r="AG6">
        <f t="shared" si="9"/>
        <v>737.37</v>
      </c>
      <c r="AH6" s="69">
        <f t="shared" si="10"/>
        <v>68.990000000000009</v>
      </c>
      <c r="AI6">
        <f t="shared" si="11"/>
        <v>215.46</v>
      </c>
      <c r="AJ6">
        <f t="shared" si="12"/>
        <v>114.86999999999998</v>
      </c>
      <c r="AK6">
        <f t="shared" si="13"/>
        <v>808.8</v>
      </c>
      <c r="AL6">
        <f t="shared" si="14"/>
        <v>43.44</v>
      </c>
      <c r="AM6">
        <f t="shared" si="15"/>
        <v>201.41</v>
      </c>
      <c r="AN6">
        <f t="shared" si="16"/>
        <v>6.27</v>
      </c>
      <c r="AO6">
        <f>ROUND(($J6*CIS_Inc_Salary2324*(VLOOKUP($A6,EnrollData2324,'2324 Jun 24 Enroll'!T$1,FALSE)+VLOOKUP($A6,EnrollData2324,'2324 Jun 24 Enroll'!U$1,FALSE))/Apport_613Xpd)*Apport_614Xpd,2)</f>
        <v>71.5</v>
      </c>
      <c r="AP6">
        <f t="shared" si="17"/>
        <v>12.39</v>
      </c>
      <c r="AQ6">
        <f t="shared" si="19"/>
        <v>31.07</v>
      </c>
      <c r="AR6" s="6">
        <f>ROUND((IF(VLOOKUP($A6,EnrollData2324,'2324 Jun 24 Enroll'!D$1,FALSE)=VLOOKUP($A6,'ESA Calculations 2324'!$A$4:$AE$34,4,FALSE),VLOOKUP($A6,EnrollData2324,'2324 Jun 24 Enroll'!D$1,FALSE),VLOOKUP($A6,'ESA Calculations 2324'!$A$4:$AE$34,4,FALSE))*Apport_M802324+IF(VLOOKUP($A6,EnrollData2324,'2324 Jun 24 Enroll'!M$1,FALSE)=VLOOKUP($A6,'ESA Calculations 2324'!$A$4:$AE$34,18,FALSE),VLOOKUP($A6,EnrollData2324,'2324 Jun 24 Enroll'!M$1,FALSE),VLOOKUP($A6,'ESA Calculations 2324'!$A$4:$AE$34,18,FALSE))*Apport_M802324+IF((VLOOKUP($A6,EnrollData2324,'2324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Enroll'!L$1,FALSE))=VLOOKUP($A6,EnrollData2324,'2324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Enroll'!L$1,FALSE),(VLOOKUP($A6,EnrollData2324,'2324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Enroll'!L$1,FALSE)),(VLOOKUP($A6,EnrollData2324,'2324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Enroll'!L$1,FALSE)))*Apport_M812324)/(IF(VLOOKUP($A6,EnrollData2324,'2324 Jun 24 Enroll'!M$1,FALSE)=VLOOKUP($A6,'ESA Calculations 2324'!$A$4:$AE$34,18,FALSE),VLOOKUP($A6,EnrollData2324,'2324 Jun 24 Enroll'!M$1,FALSE),VLOOKUP($A6,'ESA Calculations 2324'!$A$4:$AE$34,18,FALSE))+IF(VLOOKUP($A6,EnrollData2324,'2324 Jun 24 Enroll'!D$1,FALSE)=VLOOKUP($A6,'ESA Calculations 2324'!$A$4:$AE$34,4,FALSE),VLOOKUP($A6,EnrollData2324,'2324 Jun 24 Enroll'!D$1,FALSE),VLOOKUP($A6,'ESA Calculations 2324'!$A$4:$AE$34,4,FALSE))),2)</f>
        <v>1537.56</v>
      </c>
      <c r="AS6" s="7">
        <f t="shared" si="20"/>
        <v>9547.4</v>
      </c>
      <c r="AT6" s="6">
        <f>IF(VLOOKUP($A6,EnrollData2324,'2324 Jun 24 Enroll'!AA$1,FALSE)=VLOOKUP($A6,'ESA Calculations 2324'!$A$4:$AE$34,24,FALSE),VLOOKUP($A6,EnrollData2324,'2324 Jun 24 Enroll'!AA$1,FALSE),VLOOKUP($A6,'ESA Calculations 2324'!$A$4:$AE$34,24,FALSE))</f>
        <v>673.63</v>
      </c>
      <c r="AV6" s="7"/>
    </row>
    <row r="7" spans="1:49">
      <c r="A7" s="40" t="s">
        <v>518</v>
      </c>
      <c r="B7" s="40" t="s">
        <v>519</v>
      </c>
      <c r="C7" s="11">
        <f>ROUND((IFERROR((1/IF(VLOOKUP($A7,EnrollData2324,28,FALSE)=VLOOKUP($A7,'ESA Calculations 2324'!$A$4:$AE$34,3,FALSE),VLOOKUP($A7,EnrollData2324,28,FALSE),VLOOKUP($A7,'ESA Calculations 2324'!$A$4:$AE$34,3,FALSE)))*(1+Apport_Z315),0))+Apport_201A2324,6)</f>
        <v>7.3449E-2</v>
      </c>
      <c r="D7">
        <f>ROUND(IF(VLOOKUP($A7,EnrollData2324,'2324 Jun 24 Enroll'!D$1,FALSE)=VLOOKUP($A7,'ESA Calculations 2324'!$A$4:$AE$34,4,FALSE),VLOOKUP($A7,EnrollData2324,'2324 Jun 24 Enroll'!D$1,FALSE),VLOOKUP($A7,'ESA Calculations 2324'!$A$4:$AE$34,4,FALSE))*C7,3)</f>
        <v>2.5219999999999998</v>
      </c>
      <c r="E7">
        <f>ROUND(IF(VLOOKUP($A7,EnrollData2324,'2324 Jun 24 Enroll'!E$1,FALSE)=VLOOKUP($A7,'ESA Calculations 2324'!$A$4:$AE$34,5,FALSE),VLOOKUP($A7,EnrollData2324,'2324 Jun 24 Enroll'!E$1,FALSE),VLOOKUP($A7,'ESA Calculations 2324'!$A$4:$AE$34,5,FALSE))*C7,3)</f>
        <v>23.172000000000001</v>
      </c>
      <c r="F7">
        <f>ROUND(IF(VLOOKUP($A7,EnrollData2324,'2324 Jun 24 Enroll'!F$1,FALSE)=VLOOKUP($A7,'ESA Calculations 2324'!$A$4:$AE$34,6,FALSE),VLOOKUP($A7,EnrollData2324,'2324 Jun 24 Enroll'!F$1,FALSE),VLOOKUP($A7,'ESA Calculations 2324'!$A$4:$AE$34,6,FALSE))*Apport_222A2324,3)</f>
        <v>4.8</v>
      </c>
      <c r="G7">
        <f>ROUND(IF(VLOOKUP($A7,EnrollData2324,'2324 Jun 24 Enroll'!G$1,FALSE)=VLOOKUP($A7,'ESA Calculations 2324'!$A$4:$AE$34,7,FALSE),VLOOKUP($A7,EnrollData2324,'2324 Jun 24 Enroll'!G$1,FALSE),VLOOKUP($A7,'ESA Calculations 2324'!$A$4:$AE$34,7,FALSE))*Apport_210A2324,3)</f>
        <v>9.0289999999999999</v>
      </c>
      <c r="H7">
        <f>ROUND(IF(VLOOKUP($A7,EnrollData2324,'2324 Jun 24 Enroll'!H$1,FALSE)=VLOOKUP($A7,'ESA Calculations 2324'!$A$4:$AE$34,8,FALSE),VLOOKUP($A7,EnrollData2324,'2324 Jun 24 Enroll'!H$1,FALSE),VLOOKUP($A7,'ESA Calculations 2324'!$A$4:$AE$34,8,FALSE))*Apport_213A2324,3)</f>
        <v>7.1369999999999996</v>
      </c>
      <c r="I7">
        <f>ROUND(IF(VLOOKUP($A7,EnrollData2324,'2324 Jun 24 Enroll'!I$1,FALSE)+VLOOKUP($A7,EnrollData2324,'2324 Jun 24 Enroll'!M$1,FALSE)-VLOOKUP($A7,EnrollData2324,'2324 Jun 24 Enroll'!J$1,FALSE)=VLOOKUP($A7,'ESA Calculations 2324'!$A$4:$AE$34,9,FALSE)+VLOOKUP($A7,'ESA Calculations 2324'!$A$4:$AE$34,18,FALSE)-VLOOKUP($A7,'ESA Calculations 2324'!$A$4:$AE$34,10,FALSE),VLOOKUP($A7,EnrollData2324,'2324 Jun 24 Enroll'!I$1,FALSE)+VLOOKUP($A7,EnrollData2324,'2324 Jun 24 Enroll'!M$1,FALSE)-VLOOKUP($A7,EnrollData2324,'2324 Jun 24 Enroll'!J$1,FALSE),VLOOKUP($A7,'ESA Calculations 2324'!$A$4:$AE$34,9,FALSE)+VLOOKUP($A7,'ESA Calculations 2324'!$A$4:$AE$34,18,FALSE)-VLOOKUP($A7,'ESA Calculations 2324'!$A$4:$AE$34,10,FALSE))*Apport_216A2324,3)</f>
        <v>17.739999999999998</v>
      </c>
      <c r="J7">
        <f>ROUND(SUM(D7:I7)/IF(VLOOKUP($A7,EnrollData2324,'2324 Jun 24 Enroll'!M$1,FALSE)+VLOOKUP($A7,EnrollData2324,'2324 Jun 24 Enroll'!D$1,FALSE)=VLOOKUP($A7,'ESA Calculations 2324'!$A$4:$AE$34,18,FALSE)+VLOOKUP($A7,'ESA Calculations 2324'!$A$4:$AE$34,4,FALSE),VLOOKUP($A7,EnrollData2324,'2324 Jun 24 Enroll'!M$1,FALSE)+VLOOKUP($A7,EnrollData2324,'2324 Jun 24 Enroll'!D$1,FALSE),VLOOKUP($A7,'ESA Calculations 2324'!$A$4:$AE$34,18,FALSE)+VLOOKUP($A7,'ESA Calculations 2324'!$A$4:$AE$34,4,FALSE)),5)</f>
        <v>5.6619999999999997E-2</v>
      </c>
      <c r="K7" s="11">
        <f t="shared" si="7"/>
        <v>4.365E-3</v>
      </c>
      <c r="L7">
        <f>ROUND(IF(VLOOKUP($A7,EnrollData2324,'2324 Jun 24 Enroll'!D$1,FALSE)=VLOOKUP($A7,'ESA Calculations 2324'!$A$4:$AE$34,4,FALSE),VLOOKUP($A7,EnrollData2324,'2324 Jun 24 Enroll'!D$1,FALSE),VLOOKUP($A7,'ESA Calculations 2324'!$A$4:$AE$34,4,FALSE))*K7,3)</f>
        <v>0.15</v>
      </c>
      <c r="M7">
        <f>ROUND(IF(VLOOKUP($A7,EnrollData2324,'2324 Jun 24 Enroll'!E$1,FALSE)=VLOOKUP($A7,'ESA Calculations 2324'!$A$4:$AE$34,5,FALSE),VLOOKUP($A7,EnrollData2324,'2324 Jun 24 Enroll'!E$1,FALSE),VLOOKUP($A7,'ESA Calculations 2324'!$A$4:$AE$34,5,FALSE))*K7,3)</f>
        <v>1.377</v>
      </c>
      <c r="N7">
        <f>ROUND(IF(VLOOKUP($A7,EnrollData2324,'2324 Jun 24 Enroll'!F$1,FALSE)=VLOOKUP($A7,'ESA Calculations 2324'!$A$4:$AE$34,6,FALSE),VLOOKUP($A7,EnrollData2324,'2324 Jun 24 Enroll'!F$1,FALSE),VLOOKUP($A7,'ESA Calculations 2324'!$A$4:$AE$34,6,FALSE))*Apport_223A2324,3)</f>
        <v>0.4</v>
      </c>
      <c r="O7">
        <f>ROUND(IF(VLOOKUP($A7,EnrollData2324,'2324 Jun 24 Enroll'!G$1,FALSE)=VLOOKUP($A7,'ESA Calculations 2324'!$A$4:$AE$34,7,FALSE),VLOOKUP($A7,EnrollData2324,'2324 Jun 24 Enroll'!G$1,FALSE),VLOOKUP($A7,'ESA Calculations 2324'!$A$4:$AE$34,7,FALSE))*Apport_211A2324,3)</f>
        <v>0.753</v>
      </c>
      <c r="P7">
        <f>ROUND(IF(VLOOKUP($A7,EnrollData2324,'2324 Jun 24 Enroll'!H$1,FALSE)=VLOOKUP($A7,'ESA Calculations 2324'!$A$4:$AE$34,8,FALSE),VLOOKUP($A7,EnrollData2324,'2324 Jun 24 Enroll'!H$1,FALSE),VLOOKUP($A7,'ESA Calculations 2324'!$A$4:$AE$34,8,FALSE))*Apport_214A2324,3)</f>
        <v>0.59299999999999997</v>
      </c>
      <c r="Q7">
        <f>ROUND(IF(VLOOKUP($A7,EnrollData2324,'2324 Jun 24 Enroll'!I$1,FALSE)+VLOOKUP($A7,EnrollData2324,'2324 Jun 24 Enroll'!M$1,FALSE)-VLOOKUP($A7,EnrollData2324,'2324 Jun 24 Enroll'!J$1,FALSE)=VLOOKUP($A7,'ESA Calculations 2324'!$A$4:$AE$34,9,FALSE)+VLOOKUP($A7,'ESA Calculations 2324'!$A$4:$AE$34,18,FALSE)-VLOOKUP($A7,'ESA Calculations 2324'!$A$4:$AE$34,10,FALSE),VLOOKUP($A7,EnrollData2324,'2324 Jun 24 Enroll'!I$1,FALSE)+VLOOKUP($A7,EnrollData2324,'2324 Jun 24 Enroll'!M$1,FALSE)-VLOOKUP($A7,EnrollData2324,'2324 Jun 24 Enroll'!J$1,FALSE),VLOOKUP($A7,'ESA Calculations 2324'!$A$4:$AE$34,9,FALSE)+VLOOKUP($A7,'ESA Calculations 2324'!$A$4:$AE$34,18,FALSE)-VLOOKUP($A7,'ESA Calculations 2324'!$A$4:$AE$34,10,FALSE))*Apport_217A2324,3)</f>
        <v>1.4330000000000001</v>
      </c>
      <c r="R7">
        <f>ROUND(SUM(L7:Q7)/IF(VLOOKUP($A7,EnrollData2324,'2324 Jun 24 Enroll'!M$1,FALSE)+VLOOKUP($A7,EnrollData2324,'2324 Jun 24 Enroll'!D$1,FALSE)=VLOOKUP($A7,'ESA Calculations 2324'!$A$4:$AE$34,18,FALSE)+VLOOKUP($A7,'ESA Calculations 2324'!$A$4:$AE$34,4,FALSE),VLOOKUP($A7,EnrollData2324,'2324 Jun 24 Enroll'!M$1,FALSE)+VLOOKUP($A7,EnrollData2324,'2324 Jun 24 Enroll'!D$1,FALSE),VLOOKUP($A7,'ESA Calculations 2324'!$A$4:$AE$34,18,FALSE)+VLOOKUP($A7,'ESA Calculations 2324'!$A$4:$AE$34,4,FALSE)),5)</f>
        <v>4.1399999999999996E-3</v>
      </c>
      <c r="S7" s="11">
        <f t="shared" si="8"/>
        <v>1.8294500000000002E-2</v>
      </c>
      <c r="T7">
        <f>ROUND(IF(VLOOKUP($A7,EnrollData2324,'2324 Jun 24 Enroll'!D$1,FALSE)=VLOOKUP($A7,'ESA Calculations 2324'!$A$4:$AE$34,4,FALSE),VLOOKUP($A7,EnrollData2324,'2324 Jun 24 Enroll'!D$1,FALSE),VLOOKUP($A7,'ESA Calculations 2324'!$A$4:$AE$34,4,FALSE))*S7,3)</f>
        <v>0.628</v>
      </c>
      <c r="U7">
        <f>ROUND(IF(VLOOKUP($A7,EnrollData2324,'2324 Jun 24 Enroll'!E$1,FALSE)=VLOOKUP($A7,'ESA Calculations 2324'!$A$4:$AE$34,5,FALSE),VLOOKUP($A7,EnrollData2324,'2324 Jun 24 Enroll'!E$1,FALSE),VLOOKUP($A7,'ESA Calculations 2324'!$A$4:$AE$34,5,FALSE))*S7,3)</f>
        <v>5.7720000000000002</v>
      </c>
      <c r="V7">
        <f>ROUND(IF(VLOOKUP($A7,EnrollData2324,'2324 Jun 24 Enroll'!F$1,FALSE)=VLOOKUP($A7,'ESA Calculations 2324'!$A$4:$AE$34,6,FALSE),VLOOKUP($A7,EnrollData2324,'2324 Jun 24 Enroll'!F$1,FALSE),VLOOKUP($A7,'ESA Calculations 2324'!$A$4:$AE$34,6,FALSE))*Apport_224A2324,3)</f>
        <v>1.72</v>
      </c>
      <c r="W7">
        <f>ROUND(IF(VLOOKUP($A7,EnrollData2324,'2324 Jun 24 Enroll'!G$1,FALSE)=VLOOKUP($A7,'ESA Calculations 2324'!$A$4:$AE$34,7,FALSE),VLOOKUP($A7,EnrollData2324,'2324 Jun 24 Enroll'!G$1,FALSE),VLOOKUP($A7,'ESA Calculations 2324'!$A$4:$AE$34,7,FALSE))*Apport_212A2324,3)</f>
        <v>3.2349999999999999</v>
      </c>
      <c r="X7">
        <f>ROUND(IF(VLOOKUP($A7,EnrollData2324,'2324 Jun 24 Enroll'!H$1,FALSE)=VLOOKUP($A7,'ESA Calculations 2324'!$A$4:$AE$34,8,FALSE),VLOOKUP($A7,EnrollData2324,'2324 Jun 24 Enroll'!H$1,FALSE),VLOOKUP($A7,'ESA Calculations 2324'!$A$4:$AE$34,8,FALSE))*Apport_215A2324,3)</f>
        <v>2.5179999999999998</v>
      </c>
      <c r="Y7">
        <f>ROUND(IF(VLOOKUP($A7,EnrollData2324,'2324 Jun 24 Enroll'!I$1,FALSE)+VLOOKUP($A7,EnrollData2324,'2324 Jun 24 Enroll'!M$1,FALSE)-VLOOKUP($A7,EnrollData2324,'2324 Jun 24 Enroll'!J$1,FALSE)=VLOOKUP($A7,'ESA Calculations 2324'!$A$4:$AE$34,9,FALSE)+VLOOKUP($A7,'ESA Calculations 2324'!$A$4:$AE$34,18,FALSE)-VLOOKUP($A7,'ESA Calculations 2324'!$A$4:$AE$34,10,FALSE),VLOOKUP($A7,EnrollData2324,'2324 Jun 24 Enroll'!I$1,FALSE)+VLOOKUP($A7,EnrollData2324,'2324 Jun 24 Enroll'!M$1,FALSE)-VLOOKUP($A7,EnrollData2324,'2324 Jun 24 Enroll'!J$1,FALSE),VLOOKUP($A7,'ESA Calculations 2324'!$A$4:$AE$34,9,FALSE)+VLOOKUP($A7,'ESA Calculations 2324'!$A$4:$AE$34,18,FALSE)-VLOOKUP($A7,'ESA Calculations 2324'!$A$4:$AE$34,10,FALSE))*Apport_218A2324,3)</f>
        <v>6.0730000000000004</v>
      </c>
      <c r="Z7">
        <f>ROUND(SUM(T7:Y7)/IF(VLOOKUP($A7,EnrollData2324,'2324 Jun 24 Enroll'!M$1,FALSE)+VLOOKUP($A7,EnrollData2324,'2324 Jun 24 Enroll'!D$1,FALSE)=VLOOKUP($A7,'ESA Calculations 2324'!$A$4:$AE$34,18,FALSE)+VLOOKUP($A7,'ESA Calculations 2324'!$A$4:$AE$34,4,FALSE),VLOOKUP($A7,EnrollData2324,'2324 Jun 24 Enroll'!M$1,FALSE)+VLOOKUP($A7,EnrollData2324,'2324 Jun 24 Enroll'!D$1,FALSE),VLOOKUP($A7,'ESA Calculations 2324'!$A$4:$AE$34,18,FALSE)+VLOOKUP($A7,'ESA Calculations 2324'!$A$4:$AE$34,4,FALSE)),5)</f>
        <v>1.754E-2</v>
      </c>
      <c r="AA7" s="6">
        <f>ROUND($J7*CIS_Base_Salary2324*VLOOKUP($A7,EnrollData2324,'2324 Jun 24 Enroll'!S$1,FALSE),2)</f>
        <v>4117.8599999999997</v>
      </c>
      <c r="AB7" s="6">
        <f>ROUND($J7*CIS_Inc_Salary2324*(VLOOKUP($A7,EnrollData2324,'2324 Jun 24 Enroll'!T$1,FALSE)+VLOOKUP($A7,EnrollData2324,'2324 Jun 24 Enroll'!U$1,FALSE)),2)-AA7</f>
        <v>152.36000000000058</v>
      </c>
      <c r="AC7" s="6">
        <f>ROUND($R7*CAS_Base_Salary2324*VLOOKUP($A7,EnrollData2324,'2324 Jun 24 Enroll'!S$1,FALSE),2)</f>
        <v>446.93</v>
      </c>
      <c r="AD7" s="6">
        <f>ROUND($R7*CAS_Inc_Salary2324*VLOOKUP($A7,EnrollData2324,'2324 Jun 24 Enroll'!T$1,FALSE),2)-AC7</f>
        <v>16.54000000000002</v>
      </c>
      <c r="AE7" s="6">
        <f>ROUND($Z7*CLS_Base_Salary2324*VLOOKUP($A7,EnrollData2324,'2324 Jun 24 Enroll'!S$1,FALSE),2)</f>
        <v>915.11</v>
      </c>
      <c r="AF7" s="6">
        <f>ROUND($Z7*CLS_Inc_Salary2324*VLOOKUP($A7,EnrollData2324,'2324 Jun 24 Enroll'!T$1,FALSE),2)-AE7</f>
        <v>33.860000000000014</v>
      </c>
      <c r="AG7">
        <f t="shared" si="9"/>
        <v>748.08</v>
      </c>
      <c r="AH7" s="69">
        <f t="shared" si="10"/>
        <v>69.990000000000009</v>
      </c>
      <c r="AI7">
        <f t="shared" si="11"/>
        <v>215.95</v>
      </c>
      <c r="AJ7">
        <f t="shared" si="12"/>
        <v>115.13999999999999</v>
      </c>
      <c r="AK7">
        <f t="shared" si="13"/>
        <v>820.29</v>
      </c>
      <c r="AL7">
        <f t="shared" si="14"/>
        <v>29.27</v>
      </c>
      <c r="AM7">
        <f t="shared" si="15"/>
        <v>201.87</v>
      </c>
      <c r="AN7">
        <f t="shared" si="16"/>
        <v>6.28</v>
      </c>
      <c r="AO7">
        <f>ROUND(($J7*CIS_Inc_Salary2324*(VLOOKUP($A7,EnrollData2324,'2324 Jun 24 Enroll'!T$1,FALSE)+VLOOKUP($A7,EnrollData2324,'2324 Jun 24 Enroll'!U$1,FALSE))/Apport_613Xpd)*Apport_614Xpd,2)</f>
        <v>71.17</v>
      </c>
      <c r="AP7">
        <f t="shared" si="17"/>
        <v>12.33</v>
      </c>
      <c r="AQ7">
        <f t="shared" si="19"/>
        <v>31.54</v>
      </c>
      <c r="AR7" s="6">
        <f>ROUND((IF(VLOOKUP($A7,EnrollData2324,'2324 Jun 24 Enroll'!D$1,FALSE)=VLOOKUP($A7,'ESA Calculations 2324'!$A$4:$AE$34,4,FALSE),VLOOKUP($A7,EnrollData2324,'2324 Jun 24 Enroll'!D$1,FALSE),VLOOKUP($A7,'ESA Calculations 2324'!$A$4:$AE$34,4,FALSE))*Apport_M802324+IF(VLOOKUP($A7,EnrollData2324,'2324 Jun 24 Enroll'!M$1,FALSE)=VLOOKUP($A7,'ESA Calculations 2324'!$A$4:$AE$34,18,FALSE),VLOOKUP($A7,EnrollData2324,'2324 Jun 24 Enroll'!M$1,FALSE),VLOOKUP($A7,'ESA Calculations 2324'!$A$4:$AE$34,18,FALSE))*Apport_M802324+IF((VLOOKUP($A7,EnrollData2324,'2324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Enroll'!L$1,FALSE))=VLOOKUP($A7,EnrollData2324,'2324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Enroll'!L$1,FALSE),(VLOOKUP($A7,EnrollData2324,'2324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Enroll'!L$1,FALSE)),(VLOOKUP($A7,EnrollData2324,'2324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Enroll'!L$1,FALSE)))*Apport_M812324)/(IF(VLOOKUP($A7,EnrollData2324,'2324 Jun 24 Enroll'!M$1,FALSE)=VLOOKUP($A7,'ESA Calculations 2324'!$A$4:$AE$34,18,FALSE),VLOOKUP($A7,EnrollData2324,'2324 Jun 24 Enroll'!M$1,FALSE),VLOOKUP($A7,'ESA Calculations 2324'!$A$4:$AE$34,18,FALSE))+IF(VLOOKUP($A7,EnrollData2324,'2324 Jun 24 Enroll'!D$1,FALSE)=VLOOKUP($A7,'ESA Calculations 2324'!$A$4:$AE$34,4,FALSE),VLOOKUP($A7,EnrollData2324,'2324 Jun 24 Enroll'!D$1,FALSE),VLOOKUP($A7,'ESA Calculations 2324'!$A$4:$AE$34,4,FALSE))),2)</f>
        <v>1545.74</v>
      </c>
      <c r="AS7" s="7">
        <f t="shared" si="20"/>
        <v>9550.31</v>
      </c>
      <c r="AT7" s="6">
        <f>IF(VLOOKUP($A7,EnrollData2324,'2324 Jun 24 Enroll'!AA$1,FALSE)=VLOOKUP($A7,'ESA Calculations 2324'!$A$4:$AE$34,24,FALSE),VLOOKUP($A7,EnrollData2324,'2324 Jun 24 Enroll'!AA$1,FALSE),VLOOKUP($A7,'ESA Calculations 2324'!$A$4:$AE$34,24,FALSE))</f>
        <v>1138.68</v>
      </c>
      <c r="AU7" s="27"/>
      <c r="AV7" s="27"/>
      <c r="AW7" s="27"/>
    </row>
    <row r="8" spans="1:49">
      <c r="A8" s="40" t="s">
        <v>669</v>
      </c>
      <c r="B8" s="40" t="s">
        <v>670</v>
      </c>
      <c r="C8" s="11">
        <f>ROUND((IFERROR((1/IF(VLOOKUP($A8,EnrollData2324,28,FALSE)=VLOOKUP($A8,'ESA Calculations 2324'!$A$4:$AE$34,3,FALSE),VLOOKUP($A8,EnrollData2324,28,FALSE),VLOOKUP($A8,'ESA Calculations 2324'!$A$4:$AE$34,3,FALSE)))*(1+Apport_Z315),0))+Apport_201A2324,6)</f>
        <v>7.3449E-2</v>
      </c>
      <c r="D8">
        <f>ROUND(IF(VLOOKUP($A8,EnrollData2324,'2324 Jun 24 Enroll'!D$1,FALSE)=VLOOKUP($A8,'ESA Calculations 2324'!$A$4:$AE$34,4,FALSE),VLOOKUP($A8,EnrollData2324,'2324 Jun 24 Enroll'!D$1,FALSE),VLOOKUP($A8,'ESA Calculations 2324'!$A$4:$AE$34,4,FALSE))*C8,3)</f>
        <v>0</v>
      </c>
      <c r="E8">
        <f>ROUND(IF(VLOOKUP($A8,EnrollData2324,'2324 Jun 24 Enroll'!E$1,FALSE)=VLOOKUP($A8,'ESA Calculations 2324'!$A$4:$AE$34,5,FALSE),VLOOKUP($A8,EnrollData2324,'2324 Jun 24 Enroll'!E$1,FALSE),VLOOKUP($A8,'ESA Calculations 2324'!$A$4:$AE$34,5,FALSE))*C8,3)</f>
        <v>3.6429999999999998</v>
      </c>
      <c r="F8">
        <f>ROUND(IF(VLOOKUP($A8,EnrollData2324,'2324 Jun 24 Enroll'!F$1,FALSE)=VLOOKUP($A8,'ESA Calculations 2324'!$A$4:$AE$34,6,FALSE),VLOOKUP($A8,EnrollData2324,'2324 Jun 24 Enroll'!F$1,FALSE),VLOOKUP($A8,'ESA Calculations 2324'!$A$4:$AE$34,6,FALSE))*Apport_222A2324,3)</f>
        <v>0.57899999999999996</v>
      </c>
      <c r="G8">
        <f>ROUND(IF(VLOOKUP($A8,EnrollData2324,'2324 Jun 24 Enroll'!G$1,FALSE)=VLOOKUP($A8,'ESA Calculations 2324'!$A$4:$AE$34,7,FALSE),VLOOKUP($A8,EnrollData2324,'2324 Jun 24 Enroll'!G$1,FALSE),VLOOKUP($A8,'ESA Calculations 2324'!$A$4:$AE$34,7,FALSE))*Apport_210A2324,3)</f>
        <v>1.202</v>
      </c>
      <c r="H8">
        <f>ROUND(IF(VLOOKUP($A8,EnrollData2324,'2324 Jun 24 Enroll'!H$1,FALSE)=VLOOKUP($A8,'ESA Calculations 2324'!$A$4:$AE$34,8,FALSE),VLOOKUP($A8,EnrollData2324,'2324 Jun 24 Enroll'!H$1,FALSE),VLOOKUP($A8,'ESA Calculations 2324'!$A$4:$AE$34,8,FALSE))*Apport_213A2324,3)</f>
        <v>1.093</v>
      </c>
      <c r="I8">
        <f>ROUND(IF(VLOOKUP($A8,EnrollData2324,'2324 Jun 24 Enroll'!I$1,FALSE)+VLOOKUP($A8,EnrollData2324,'2324 Jun 24 Enroll'!M$1,FALSE)-VLOOKUP($A8,EnrollData2324,'2324 Jun 24 Enroll'!J$1,FALSE)=VLOOKUP($A8,'ESA Calculations 2324'!$A$4:$AE$34,9,FALSE)+VLOOKUP($A8,'ESA Calculations 2324'!$A$4:$AE$34,18,FALSE)-VLOOKUP($A8,'ESA Calculations 2324'!$A$4:$AE$34,10,FALSE),VLOOKUP($A8,EnrollData2324,'2324 Jun 24 Enroll'!I$1,FALSE)+VLOOKUP($A8,EnrollData2324,'2324 Jun 24 Enroll'!M$1,FALSE)-VLOOKUP($A8,EnrollData2324,'2324 Jun 24 Enroll'!J$1,FALSE),VLOOKUP($A8,'ESA Calculations 2324'!$A$4:$AE$34,9,FALSE)+VLOOKUP($A8,'ESA Calculations 2324'!$A$4:$AE$34,18,FALSE)-VLOOKUP($A8,'ESA Calculations 2324'!$A$4:$AE$34,10,FALSE))*Apport_216A2324,3)</f>
        <v>0</v>
      </c>
      <c r="J8">
        <f>ROUND(SUM(D8:I8)/IF(VLOOKUP($A8,EnrollData2324,'2324 Jun 24 Enroll'!M$1,FALSE)+VLOOKUP($A8,EnrollData2324,'2324 Jun 24 Enroll'!D$1,FALSE)=VLOOKUP($A8,'ESA Calculations 2324'!$A$4:$AE$34,18,FALSE)+VLOOKUP($A8,'ESA Calculations 2324'!$A$4:$AE$34,4,FALSE),VLOOKUP($A8,EnrollData2324,'2324 Jun 24 Enroll'!M$1,FALSE)+VLOOKUP($A8,EnrollData2324,'2324 Jun 24 Enroll'!D$1,FALSE),VLOOKUP($A8,'ESA Calculations 2324'!$A$4:$AE$34,18,FALSE)+VLOOKUP($A8,'ESA Calculations 2324'!$A$4:$AE$34,4,FALSE)),5)</f>
        <v>5.9760000000000001E-2</v>
      </c>
      <c r="K8" s="11">
        <f t="shared" si="7"/>
        <v>4.365E-3</v>
      </c>
      <c r="L8">
        <f>ROUND(IF(VLOOKUP($A8,EnrollData2324,'2324 Jun 24 Enroll'!D$1,FALSE)=VLOOKUP($A8,'ESA Calculations 2324'!$A$4:$AE$34,4,FALSE),VLOOKUP($A8,EnrollData2324,'2324 Jun 24 Enroll'!D$1,FALSE),VLOOKUP($A8,'ESA Calculations 2324'!$A$4:$AE$34,4,FALSE))*K8,3)</f>
        <v>0</v>
      </c>
      <c r="M8">
        <f>ROUND(IF(VLOOKUP($A8,EnrollData2324,'2324 Jun 24 Enroll'!E$1,FALSE)=VLOOKUP($A8,'ESA Calculations 2324'!$A$4:$AE$34,5,FALSE),VLOOKUP($A8,EnrollData2324,'2324 Jun 24 Enroll'!E$1,FALSE),VLOOKUP($A8,'ESA Calculations 2324'!$A$4:$AE$34,5,FALSE))*K8,3)</f>
        <v>0.217</v>
      </c>
      <c r="N8">
        <f>ROUND(IF(VLOOKUP($A8,EnrollData2324,'2324 Jun 24 Enroll'!F$1,FALSE)=VLOOKUP($A8,'ESA Calculations 2324'!$A$4:$AE$34,6,FALSE),VLOOKUP($A8,EnrollData2324,'2324 Jun 24 Enroll'!F$1,FALSE),VLOOKUP($A8,'ESA Calculations 2324'!$A$4:$AE$34,6,FALSE))*Apport_223A2324,3)</f>
        <v>4.8000000000000001E-2</v>
      </c>
      <c r="O8">
        <f>ROUND(IF(VLOOKUP($A8,EnrollData2324,'2324 Jun 24 Enroll'!G$1,FALSE)=VLOOKUP($A8,'ESA Calculations 2324'!$A$4:$AE$34,7,FALSE),VLOOKUP($A8,EnrollData2324,'2324 Jun 24 Enroll'!G$1,FALSE),VLOOKUP($A8,'ESA Calculations 2324'!$A$4:$AE$34,7,FALSE))*Apport_211A2324,3)</f>
        <v>0.1</v>
      </c>
      <c r="P8">
        <f>ROUND(IF(VLOOKUP($A8,EnrollData2324,'2324 Jun 24 Enroll'!H$1,FALSE)=VLOOKUP($A8,'ESA Calculations 2324'!$A$4:$AE$34,8,FALSE),VLOOKUP($A8,EnrollData2324,'2324 Jun 24 Enroll'!H$1,FALSE),VLOOKUP($A8,'ESA Calculations 2324'!$A$4:$AE$34,8,FALSE))*Apport_214A2324,3)</f>
        <v>9.0999999999999998E-2</v>
      </c>
      <c r="Q8">
        <f>ROUND(IF(VLOOKUP($A8,EnrollData2324,'2324 Jun 24 Enroll'!I$1,FALSE)+VLOOKUP($A8,EnrollData2324,'2324 Jun 24 Enroll'!M$1,FALSE)-VLOOKUP($A8,EnrollData2324,'2324 Jun 24 Enroll'!J$1,FALSE)=VLOOKUP($A8,'ESA Calculations 2324'!$A$4:$AE$34,9,FALSE)+VLOOKUP($A8,'ESA Calculations 2324'!$A$4:$AE$34,18,FALSE)-VLOOKUP($A8,'ESA Calculations 2324'!$A$4:$AE$34,10,FALSE),VLOOKUP($A8,EnrollData2324,'2324 Jun 24 Enroll'!I$1,FALSE)+VLOOKUP($A8,EnrollData2324,'2324 Jun 24 Enroll'!M$1,FALSE)-VLOOKUP($A8,EnrollData2324,'2324 Jun 24 Enroll'!J$1,FALSE),VLOOKUP($A8,'ESA Calculations 2324'!$A$4:$AE$34,9,FALSE)+VLOOKUP($A8,'ESA Calculations 2324'!$A$4:$AE$34,18,FALSE)-VLOOKUP($A8,'ESA Calculations 2324'!$A$4:$AE$34,10,FALSE))*Apport_217A2324,3)</f>
        <v>0</v>
      </c>
      <c r="R8">
        <f>ROUND(SUM(L8:Q8)/IF(VLOOKUP($A8,EnrollData2324,'2324 Jun 24 Enroll'!M$1,FALSE)+VLOOKUP($A8,EnrollData2324,'2324 Jun 24 Enroll'!D$1,FALSE)=VLOOKUP($A8,'ESA Calculations 2324'!$A$4:$AE$34,18,FALSE)+VLOOKUP($A8,'ESA Calculations 2324'!$A$4:$AE$34,4,FALSE),VLOOKUP($A8,EnrollData2324,'2324 Jun 24 Enroll'!M$1,FALSE)+VLOOKUP($A8,EnrollData2324,'2324 Jun 24 Enroll'!D$1,FALSE),VLOOKUP($A8,'ESA Calculations 2324'!$A$4:$AE$34,18,FALSE)+VLOOKUP($A8,'ESA Calculations 2324'!$A$4:$AE$34,4,FALSE)),5)</f>
        <v>4.1799999999999997E-3</v>
      </c>
      <c r="S8" s="11">
        <f t="shared" si="8"/>
        <v>1.8294500000000002E-2</v>
      </c>
      <c r="T8">
        <f>ROUND(IF(VLOOKUP($A8,EnrollData2324,'2324 Jun 24 Enroll'!D$1,FALSE)=VLOOKUP($A8,'ESA Calculations 2324'!$A$4:$AE$34,4,FALSE),VLOOKUP($A8,EnrollData2324,'2324 Jun 24 Enroll'!D$1,FALSE),VLOOKUP($A8,'ESA Calculations 2324'!$A$4:$AE$34,4,FALSE))*S8,3)</f>
        <v>0</v>
      </c>
      <c r="U8">
        <f>ROUND(IF(VLOOKUP($A8,EnrollData2324,'2324 Jun 24 Enroll'!E$1,FALSE)=VLOOKUP($A8,'ESA Calculations 2324'!$A$4:$AE$34,5,FALSE),VLOOKUP($A8,EnrollData2324,'2324 Jun 24 Enroll'!E$1,FALSE),VLOOKUP($A8,'ESA Calculations 2324'!$A$4:$AE$34,5,FALSE))*S8,3)</f>
        <v>0.90700000000000003</v>
      </c>
      <c r="V8">
        <f>ROUND(IF(VLOOKUP($A8,EnrollData2324,'2324 Jun 24 Enroll'!F$1,FALSE)=VLOOKUP($A8,'ESA Calculations 2324'!$A$4:$AE$34,6,FALSE),VLOOKUP($A8,EnrollData2324,'2324 Jun 24 Enroll'!F$1,FALSE),VLOOKUP($A8,'ESA Calculations 2324'!$A$4:$AE$34,6,FALSE))*Apport_224A2324,3)</f>
        <v>0.20799999999999999</v>
      </c>
      <c r="W8">
        <f>ROUND(IF(VLOOKUP($A8,EnrollData2324,'2324 Jun 24 Enroll'!G$1,FALSE)=VLOOKUP($A8,'ESA Calculations 2324'!$A$4:$AE$34,7,FALSE),VLOOKUP($A8,EnrollData2324,'2324 Jun 24 Enroll'!G$1,FALSE),VLOOKUP($A8,'ESA Calculations 2324'!$A$4:$AE$34,7,FALSE))*Apport_212A2324,3)</f>
        <v>0.43099999999999999</v>
      </c>
      <c r="X8">
        <f>ROUND(IF(VLOOKUP($A8,EnrollData2324,'2324 Jun 24 Enroll'!H$1,FALSE)=VLOOKUP($A8,'ESA Calculations 2324'!$A$4:$AE$34,8,FALSE),VLOOKUP($A8,EnrollData2324,'2324 Jun 24 Enroll'!H$1,FALSE),VLOOKUP($A8,'ESA Calculations 2324'!$A$4:$AE$34,8,FALSE))*Apport_215A2324,3)</f>
        <v>0.38600000000000001</v>
      </c>
      <c r="Y8">
        <f>ROUND(IF(VLOOKUP($A8,EnrollData2324,'2324 Jun 24 Enroll'!I$1,FALSE)+VLOOKUP($A8,EnrollData2324,'2324 Jun 24 Enroll'!M$1,FALSE)-VLOOKUP($A8,EnrollData2324,'2324 Jun 24 Enroll'!J$1,FALSE)=VLOOKUP($A8,'ESA Calculations 2324'!$A$4:$AE$34,9,FALSE)+VLOOKUP($A8,'ESA Calculations 2324'!$A$4:$AE$34,18,FALSE)-VLOOKUP($A8,'ESA Calculations 2324'!$A$4:$AE$34,10,FALSE),VLOOKUP($A8,EnrollData2324,'2324 Jun 24 Enroll'!I$1,FALSE)+VLOOKUP($A8,EnrollData2324,'2324 Jun 24 Enroll'!M$1,FALSE)-VLOOKUP($A8,EnrollData2324,'2324 Jun 24 Enroll'!J$1,FALSE),VLOOKUP($A8,'ESA Calculations 2324'!$A$4:$AE$34,9,FALSE)+VLOOKUP($A8,'ESA Calculations 2324'!$A$4:$AE$34,18,FALSE)-VLOOKUP($A8,'ESA Calculations 2324'!$A$4:$AE$34,10,FALSE))*Apport_218A2324,3)</f>
        <v>0</v>
      </c>
      <c r="Z8">
        <f>ROUND(SUM(T8:Y8)/IF(VLOOKUP($A8,EnrollData2324,'2324 Jun 24 Enroll'!M$1,FALSE)+VLOOKUP($A8,EnrollData2324,'2324 Jun 24 Enroll'!D$1,FALSE)=VLOOKUP($A8,'ESA Calculations 2324'!$A$4:$AE$34,18,FALSE)+VLOOKUP($A8,'ESA Calculations 2324'!$A$4:$AE$34,4,FALSE),VLOOKUP($A8,EnrollData2324,'2324 Jun 24 Enroll'!M$1,FALSE)+VLOOKUP($A8,EnrollData2324,'2324 Jun 24 Enroll'!D$1,FALSE),VLOOKUP($A8,'ESA Calculations 2324'!$A$4:$AE$34,18,FALSE)+VLOOKUP($A8,'ESA Calculations 2324'!$A$4:$AE$34,4,FALSE)),5)</f>
        <v>1.772E-2</v>
      </c>
      <c r="AA8" s="6">
        <f>ROUND($J8*CIS_Base_Salary2324*VLOOKUP($A8,EnrollData2324,'2324 Jun 24 Enroll'!S$1,FALSE),2)</f>
        <v>4346.2299999999996</v>
      </c>
      <c r="AB8" s="6">
        <f>ROUND($J8*CIS_Inc_Salary2324*(VLOOKUP($A8,EnrollData2324,'2324 Jun 24 Enroll'!T$1,FALSE)+VLOOKUP($A8,EnrollData2324,'2324 Jun 24 Enroll'!U$1,FALSE)),2)-AA8</f>
        <v>160.8100000000004</v>
      </c>
      <c r="AC8" s="6">
        <f>ROUND($R8*CAS_Base_Salary2324*VLOOKUP($A8,EnrollData2324,'2324 Jun 24 Enroll'!S$1,FALSE),2)</f>
        <v>451.25</v>
      </c>
      <c r="AD8" s="6">
        <f>ROUND($R8*CAS_Inc_Salary2324*VLOOKUP($A8,EnrollData2324,'2324 Jun 24 Enroll'!T$1,FALSE),2)-AC8</f>
        <v>16.699999999999989</v>
      </c>
      <c r="AE8" s="6">
        <f>ROUND($Z8*CLS_Base_Salary2324*VLOOKUP($A8,EnrollData2324,'2324 Jun 24 Enroll'!S$1,FALSE),2)</f>
        <v>924.51</v>
      </c>
      <c r="AF8" s="6">
        <f>ROUND($Z8*CLS_Inc_Salary2324*VLOOKUP($A8,EnrollData2324,'2324 Jun 24 Enroll'!T$1,FALSE),2)-AE8</f>
        <v>34.200000000000045</v>
      </c>
      <c r="AG8">
        <f t="shared" si="9"/>
        <v>787.23</v>
      </c>
      <c r="AH8" s="69">
        <f t="shared" si="10"/>
        <v>73.659999999999968</v>
      </c>
      <c r="AI8">
        <f t="shared" si="11"/>
        <v>218.17</v>
      </c>
      <c r="AJ8">
        <f t="shared" si="12"/>
        <v>116.31000000000003</v>
      </c>
      <c r="AK8">
        <f t="shared" si="13"/>
        <v>862.11</v>
      </c>
      <c r="AL8">
        <f t="shared" si="14"/>
        <v>30.76</v>
      </c>
      <c r="AM8">
        <f t="shared" si="15"/>
        <v>203.95</v>
      </c>
      <c r="AN8">
        <f t="shared" si="16"/>
        <v>6.35</v>
      </c>
      <c r="AO8">
        <f>ROUND(($J8*CIS_Inc_Salary2324*(VLOOKUP($A8,EnrollData2324,'2324 Jun 24 Enroll'!T$1,FALSE)+VLOOKUP($A8,EnrollData2324,'2324 Jun 24 Enroll'!U$1,FALSE))/Apport_613Xpd)*Apport_614Xpd,2)</f>
        <v>75.12</v>
      </c>
      <c r="AP8">
        <f t="shared" si="17"/>
        <v>13.02</v>
      </c>
      <c r="AQ8">
        <f t="shared" si="19"/>
        <v>33.29</v>
      </c>
      <c r="AR8" s="6">
        <f>ROUND((IF(VLOOKUP($A8,EnrollData2324,'2324 Jun 24 Enroll'!D$1,FALSE)=VLOOKUP($A8,'ESA Calculations 2324'!$A$4:$AE$34,4,FALSE),VLOOKUP($A8,EnrollData2324,'2324 Jun 24 Enroll'!D$1,FALSE),VLOOKUP($A8,'ESA Calculations 2324'!$A$4:$AE$34,4,FALSE))*Apport_M802324+IF(VLOOKUP($A8,EnrollData2324,'2324 Jun 24 Enroll'!M$1,FALSE)=VLOOKUP($A8,'ESA Calculations 2324'!$A$4:$AE$34,18,FALSE),VLOOKUP($A8,EnrollData2324,'2324 Jun 24 Enroll'!M$1,FALSE),VLOOKUP($A8,'ESA Calculations 2324'!$A$4:$AE$34,18,FALSE))*Apport_M802324+IF((VLOOKUP($A8,EnrollData2324,'2324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Enroll'!L$1,FALSE))=VLOOKUP($A8,EnrollData2324,'2324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Enroll'!L$1,FALSE),(VLOOKUP($A8,EnrollData2324,'2324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Enroll'!L$1,FALSE)),(VLOOKUP($A8,EnrollData2324,'2324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Enroll'!L$1,FALSE)))*Apport_M812324)/(IF(VLOOKUP($A8,EnrollData2324,'2324 Jun 24 Enroll'!M$1,FALSE)=VLOOKUP($A8,'ESA Calculations 2324'!$A$4:$AE$34,18,FALSE),VLOOKUP($A8,EnrollData2324,'2324 Jun 24 Enroll'!M$1,FALSE),VLOOKUP($A8,'ESA Calculations 2324'!$A$4:$AE$34,18,FALSE))+IF(VLOOKUP($A8,EnrollData2324,'2324 Jun 24 Enroll'!D$1,FALSE)=VLOOKUP($A8,'ESA Calculations 2324'!$A$4:$AE$34,4,FALSE),VLOOKUP($A8,EnrollData2324,'2324 Jun 24 Enroll'!D$1,FALSE),VLOOKUP($A8,'ESA Calculations 2324'!$A$4:$AE$34,4,FALSE))),2)</f>
        <v>1483.44</v>
      </c>
      <c r="AS8" s="7">
        <f t="shared" si="20"/>
        <v>9837.1100000000042</v>
      </c>
      <c r="AT8" s="6">
        <f>IF(VLOOKUP($A8,EnrollData2324,'2324 Jun 24 Enroll'!AA$1,FALSE)=VLOOKUP($A8,'ESA Calculations 2324'!$A$4:$AE$34,24,FALSE),VLOOKUP($A8,EnrollData2324,'2324 Jun 24 Enroll'!AA$1,FALSE),VLOOKUP($A8,'ESA Calculations 2324'!$A$4:$AE$34,24,FALSE))</f>
        <v>109.06</v>
      </c>
    </row>
    <row r="9" spans="1:49">
      <c r="A9" s="40" t="s">
        <v>677</v>
      </c>
      <c r="B9" s="40" t="s">
        <v>678</v>
      </c>
      <c r="C9" s="11">
        <f>ROUND((IFERROR((1/IF(VLOOKUP($A9,EnrollData2324,28,FALSE)=VLOOKUP($A9,'ESA Calculations 2324'!$A$4:$AE$34,3,FALSE),VLOOKUP($A9,EnrollData2324,28,FALSE),VLOOKUP($A9,'ESA Calculations 2324'!$A$4:$AE$34,3,FALSE)))*(1+Apport_Z315),0))+Apport_201A2324,6)</f>
        <v>7.3449E-2</v>
      </c>
      <c r="D9">
        <f>ROUND(IF(VLOOKUP($A9,EnrollData2324,'2324 Jun 24 Enroll'!D$1,FALSE)=VLOOKUP($A9,'ESA Calculations 2324'!$A$4:$AE$34,4,FALSE),VLOOKUP($A9,EnrollData2324,'2324 Jun 24 Enroll'!D$1,FALSE),VLOOKUP($A9,'ESA Calculations 2324'!$A$4:$AE$34,4,FALSE))*C9,3)</f>
        <v>0.22</v>
      </c>
      <c r="E9">
        <f>ROUND(IF(VLOOKUP($A9,EnrollData2324,'2324 Jun 24 Enroll'!E$1,FALSE)=VLOOKUP($A9,'ESA Calculations 2324'!$A$4:$AE$34,5,FALSE),VLOOKUP($A9,EnrollData2324,'2324 Jun 24 Enroll'!E$1,FALSE),VLOOKUP($A9,'ESA Calculations 2324'!$A$4:$AE$34,5,FALSE))*C9,3)</f>
        <v>1.1160000000000001</v>
      </c>
      <c r="F9">
        <f>ROUND(IF(VLOOKUP($A9,EnrollData2324,'2324 Jun 24 Enroll'!F$1,FALSE)=VLOOKUP($A9,'ESA Calculations 2324'!$A$4:$AE$34,6,FALSE),VLOOKUP($A9,EnrollData2324,'2324 Jun 24 Enroll'!F$1,FALSE),VLOOKUP($A9,'ESA Calculations 2324'!$A$4:$AE$34,6,FALSE))*Apport_222A2324,3)</f>
        <v>0.193</v>
      </c>
      <c r="G9">
        <f>ROUND(IF(VLOOKUP($A9,EnrollData2324,'2324 Jun 24 Enroll'!G$1,FALSE)=VLOOKUP($A9,'ESA Calculations 2324'!$A$4:$AE$34,7,FALSE),VLOOKUP($A9,EnrollData2324,'2324 Jun 24 Enroll'!G$1,FALSE),VLOOKUP($A9,'ESA Calculations 2324'!$A$4:$AE$34,7,FALSE))*Apport_210A2324,3)</f>
        <v>0.217</v>
      </c>
      <c r="H9">
        <f>ROUND(IF(VLOOKUP($A9,EnrollData2324,'2324 Jun 24 Enroll'!H$1,FALSE)=VLOOKUP($A9,'ESA Calculations 2324'!$A$4:$AE$34,8,FALSE),VLOOKUP($A9,EnrollData2324,'2324 Jun 24 Enroll'!H$1,FALSE),VLOOKUP($A9,'ESA Calculations 2324'!$A$4:$AE$34,8,FALSE))*Apport_213A2324,3)</f>
        <v>0</v>
      </c>
      <c r="I9">
        <f>ROUND(IF(VLOOKUP($A9,EnrollData2324,'2324 Jun 24 Enroll'!I$1,FALSE)+VLOOKUP($A9,EnrollData2324,'2324 Jun 24 Enroll'!M$1,FALSE)-VLOOKUP($A9,EnrollData2324,'2324 Jun 24 Enroll'!J$1,FALSE)=VLOOKUP($A9,'ESA Calculations 2324'!$A$4:$AE$34,9,FALSE)+VLOOKUP($A9,'ESA Calculations 2324'!$A$4:$AE$34,18,FALSE)-VLOOKUP($A9,'ESA Calculations 2324'!$A$4:$AE$34,10,FALSE),VLOOKUP($A9,EnrollData2324,'2324 Jun 24 Enroll'!I$1,FALSE)+VLOOKUP($A9,EnrollData2324,'2324 Jun 24 Enroll'!M$1,FALSE)-VLOOKUP($A9,EnrollData2324,'2324 Jun 24 Enroll'!J$1,FALSE),VLOOKUP($A9,'ESA Calculations 2324'!$A$4:$AE$34,9,FALSE)+VLOOKUP($A9,'ESA Calculations 2324'!$A$4:$AE$34,18,FALSE)-VLOOKUP($A9,'ESA Calculations 2324'!$A$4:$AE$34,10,FALSE))*Apport_216A2324,3)</f>
        <v>0</v>
      </c>
      <c r="J9">
        <f>ROUND(SUM(D9:I9)/IF(VLOOKUP($A9,EnrollData2324,'2324 Jun 24 Enroll'!M$1,FALSE)+VLOOKUP($A9,EnrollData2324,'2324 Jun 24 Enroll'!D$1,FALSE)=VLOOKUP($A9,'ESA Calculations 2324'!$A$4:$AE$34,18,FALSE)+VLOOKUP($A9,'ESA Calculations 2324'!$A$4:$AE$34,4,FALSE),VLOOKUP($A9,EnrollData2324,'2324 Jun 24 Enroll'!M$1,FALSE)+VLOOKUP($A9,EnrollData2324,'2324 Jun 24 Enroll'!D$1,FALSE),VLOOKUP($A9,'ESA Calculations 2324'!$A$4:$AE$34,18,FALSE)+VLOOKUP($A9,'ESA Calculations 2324'!$A$4:$AE$34,4,FALSE)),5)</f>
        <v>6.5390000000000004E-2</v>
      </c>
      <c r="K9" s="11">
        <f t="shared" si="7"/>
        <v>4.365E-3</v>
      </c>
      <c r="L9">
        <f>ROUND(IF(VLOOKUP($A9,EnrollData2324,'2324 Jun 24 Enroll'!D$1,FALSE)=VLOOKUP($A9,'ESA Calculations 2324'!$A$4:$AE$34,4,FALSE),VLOOKUP($A9,EnrollData2324,'2324 Jun 24 Enroll'!D$1,FALSE),VLOOKUP($A9,'ESA Calculations 2324'!$A$4:$AE$34,4,FALSE))*K9,3)</f>
        <v>1.2999999999999999E-2</v>
      </c>
      <c r="M9">
        <f>ROUND(IF(VLOOKUP($A9,EnrollData2324,'2324 Jun 24 Enroll'!E$1,FALSE)=VLOOKUP($A9,'ESA Calculations 2324'!$A$4:$AE$34,5,FALSE),VLOOKUP($A9,EnrollData2324,'2324 Jun 24 Enroll'!E$1,FALSE),VLOOKUP($A9,'ESA Calculations 2324'!$A$4:$AE$34,5,FALSE))*K9,3)</f>
        <v>6.6000000000000003E-2</v>
      </c>
      <c r="N9">
        <f>ROUND(IF(VLOOKUP($A9,EnrollData2324,'2324 Jun 24 Enroll'!F$1,FALSE)=VLOOKUP($A9,'ESA Calculations 2324'!$A$4:$AE$34,6,FALSE),VLOOKUP($A9,EnrollData2324,'2324 Jun 24 Enroll'!F$1,FALSE),VLOOKUP($A9,'ESA Calculations 2324'!$A$4:$AE$34,6,FALSE))*Apport_223A2324,3)</f>
        <v>1.6E-2</v>
      </c>
      <c r="O9">
        <f>ROUND(IF(VLOOKUP($A9,EnrollData2324,'2324 Jun 24 Enroll'!G$1,FALSE)=VLOOKUP($A9,'ESA Calculations 2324'!$A$4:$AE$34,7,FALSE),VLOOKUP($A9,EnrollData2324,'2324 Jun 24 Enroll'!G$1,FALSE),VLOOKUP($A9,'ESA Calculations 2324'!$A$4:$AE$34,7,FALSE))*Apport_211A2324,3)</f>
        <v>1.7999999999999999E-2</v>
      </c>
      <c r="P9">
        <f>ROUND(IF(VLOOKUP($A9,EnrollData2324,'2324 Jun 24 Enroll'!H$1,FALSE)=VLOOKUP($A9,'ESA Calculations 2324'!$A$4:$AE$34,8,FALSE),VLOOKUP($A9,EnrollData2324,'2324 Jun 24 Enroll'!H$1,FALSE),VLOOKUP($A9,'ESA Calculations 2324'!$A$4:$AE$34,8,FALSE))*Apport_214A2324,3)</f>
        <v>0</v>
      </c>
      <c r="Q9">
        <f>ROUND(IF(VLOOKUP($A9,EnrollData2324,'2324 Jun 24 Enroll'!I$1,FALSE)+VLOOKUP($A9,EnrollData2324,'2324 Jun 24 Enroll'!M$1,FALSE)-VLOOKUP($A9,EnrollData2324,'2324 Jun 24 Enroll'!J$1,FALSE)=VLOOKUP($A9,'ESA Calculations 2324'!$A$4:$AE$34,9,FALSE)+VLOOKUP($A9,'ESA Calculations 2324'!$A$4:$AE$34,18,FALSE)-VLOOKUP($A9,'ESA Calculations 2324'!$A$4:$AE$34,10,FALSE),VLOOKUP($A9,EnrollData2324,'2324 Jun 24 Enroll'!I$1,FALSE)+VLOOKUP($A9,EnrollData2324,'2324 Jun 24 Enroll'!M$1,FALSE)-VLOOKUP($A9,EnrollData2324,'2324 Jun 24 Enroll'!J$1,FALSE),VLOOKUP($A9,'ESA Calculations 2324'!$A$4:$AE$34,9,FALSE)+VLOOKUP($A9,'ESA Calculations 2324'!$A$4:$AE$34,18,FALSE)-VLOOKUP($A9,'ESA Calculations 2324'!$A$4:$AE$34,10,FALSE))*Apport_217A2324,3)</f>
        <v>0</v>
      </c>
      <c r="R9">
        <f>ROUND(SUM(L9:Q9)/IF(VLOOKUP($A9,EnrollData2324,'2324 Jun 24 Enroll'!M$1,FALSE)+VLOOKUP($A9,EnrollData2324,'2324 Jun 24 Enroll'!D$1,FALSE)=VLOOKUP($A9,'ESA Calculations 2324'!$A$4:$AE$34,18,FALSE)+VLOOKUP($A9,'ESA Calculations 2324'!$A$4:$AE$34,4,FALSE),VLOOKUP($A9,EnrollData2324,'2324 Jun 24 Enroll'!M$1,FALSE)+VLOOKUP($A9,EnrollData2324,'2324 Jun 24 Enroll'!D$1,FALSE),VLOOKUP($A9,'ESA Calculations 2324'!$A$4:$AE$34,18,FALSE)+VLOOKUP($A9,'ESA Calculations 2324'!$A$4:$AE$34,4,FALSE)),5)</f>
        <v>4.2300000000000003E-3</v>
      </c>
      <c r="S9" s="11">
        <f t="shared" si="8"/>
        <v>1.8294500000000002E-2</v>
      </c>
      <c r="T9">
        <f>ROUND(IF(VLOOKUP($A9,EnrollData2324,'2324 Jun 24 Enroll'!D$1,FALSE)=VLOOKUP($A9,'ESA Calculations 2324'!$A$4:$AE$34,4,FALSE),VLOOKUP($A9,EnrollData2324,'2324 Jun 24 Enroll'!D$1,FALSE),VLOOKUP($A9,'ESA Calculations 2324'!$A$4:$AE$34,4,FALSE))*S9,3)</f>
        <v>5.5E-2</v>
      </c>
      <c r="U9">
        <f>ROUND(IF(VLOOKUP($A9,EnrollData2324,'2324 Jun 24 Enroll'!E$1,FALSE)=VLOOKUP($A9,'ESA Calculations 2324'!$A$4:$AE$34,5,FALSE),VLOOKUP($A9,EnrollData2324,'2324 Jun 24 Enroll'!E$1,FALSE),VLOOKUP($A9,'ESA Calculations 2324'!$A$4:$AE$34,5,FALSE))*S9,3)</f>
        <v>0.27800000000000002</v>
      </c>
      <c r="V9">
        <f>ROUND(IF(VLOOKUP($A9,EnrollData2324,'2324 Jun 24 Enroll'!F$1,FALSE)=VLOOKUP($A9,'ESA Calculations 2324'!$A$4:$AE$34,6,FALSE),VLOOKUP($A9,EnrollData2324,'2324 Jun 24 Enroll'!F$1,FALSE),VLOOKUP($A9,'ESA Calculations 2324'!$A$4:$AE$34,6,FALSE))*Apport_224A2324,3)</f>
        <v>6.9000000000000006E-2</v>
      </c>
      <c r="W9">
        <f>ROUND(IF(VLOOKUP($A9,EnrollData2324,'2324 Jun 24 Enroll'!G$1,FALSE)=VLOOKUP($A9,'ESA Calculations 2324'!$A$4:$AE$34,7,FALSE),VLOOKUP($A9,EnrollData2324,'2324 Jun 24 Enroll'!G$1,FALSE),VLOOKUP($A9,'ESA Calculations 2324'!$A$4:$AE$34,7,FALSE))*Apport_212A2324,3)</f>
        <v>7.8E-2</v>
      </c>
      <c r="X9">
        <f>ROUND(IF(VLOOKUP($A9,EnrollData2324,'2324 Jun 24 Enroll'!H$1,FALSE)=VLOOKUP($A9,'ESA Calculations 2324'!$A$4:$AE$34,8,FALSE),VLOOKUP($A9,EnrollData2324,'2324 Jun 24 Enroll'!H$1,FALSE),VLOOKUP($A9,'ESA Calculations 2324'!$A$4:$AE$34,8,FALSE))*Apport_215A2324,3)</f>
        <v>0</v>
      </c>
      <c r="Y9">
        <f>ROUND(IF(VLOOKUP($A9,EnrollData2324,'2324 Jun 24 Enroll'!I$1,FALSE)+VLOOKUP($A9,EnrollData2324,'2324 Jun 24 Enroll'!M$1,FALSE)-VLOOKUP($A9,EnrollData2324,'2324 Jun 24 Enroll'!J$1,FALSE)=VLOOKUP($A9,'ESA Calculations 2324'!$A$4:$AE$34,9,FALSE)+VLOOKUP($A9,'ESA Calculations 2324'!$A$4:$AE$34,18,FALSE)-VLOOKUP($A9,'ESA Calculations 2324'!$A$4:$AE$34,10,FALSE),VLOOKUP($A9,EnrollData2324,'2324 Jun 24 Enroll'!I$1,FALSE)+VLOOKUP($A9,EnrollData2324,'2324 Jun 24 Enroll'!M$1,FALSE)-VLOOKUP($A9,EnrollData2324,'2324 Jun 24 Enroll'!J$1,FALSE),VLOOKUP($A9,'ESA Calculations 2324'!$A$4:$AE$34,9,FALSE)+VLOOKUP($A9,'ESA Calculations 2324'!$A$4:$AE$34,18,FALSE)-VLOOKUP($A9,'ESA Calculations 2324'!$A$4:$AE$34,10,FALSE))*Apport_218A2324,3)</f>
        <v>0</v>
      </c>
      <c r="Z9">
        <f>ROUND(SUM(T9:Y9)/IF(VLOOKUP($A9,EnrollData2324,'2324 Jun 24 Enroll'!M$1,FALSE)+VLOOKUP($A9,EnrollData2324,'2324 Jun 24 Enroll'!D$1,FALSE)=VLOOKUP($A9,'ESA Calculations 2324'!$A$4:$AE$34,18,FALSE)+VLOOKUP($A9,'ESA Calculations 2324'!$A$4:$AE$34,4,FALSE),VLOOKUP($A9,EnrollData2324,'2324 Jun 24 Enroll'!M$1,FALSE)+VLOOKUP($A9,EnrollData2324,'2324 Jun 24 Enroll'!D$1,FALSE),VLOOKUP($A9,'ESA Calculations 2324'!$A$4:$AE$34,18,FALSE)+VLOOKUP($A9,'ESA Calculations 2324'!$A$4:$AE$34,4,FALSE)),5)</f>
        <v>1.7979999999999999E-2</v>
      </c>
      <c r="AA9" s="6">
        <f>ROUND($J9*CIS_Base_Salary2324*VLOOKUP($A9,EnrollData2324,'2324 Jun 24 Enroll'!S$1,FALSE),2)</f>
        <v>4755.68</v>
      </c>
      <c r="AB9" s="6">
        <f>ROUND($J9*CIS_Inc_Salary2324*(VLOOKUP($A9,EnrollData2324,'2324 Jun 24 Enroll'!T$1,FALSE)+VLOOKUP($A9,EnrollData2324,'2324 Jun 24 Enroll'!U$1,FALSE)),2)-AA9</f>
        <v>175.96999999999935</v>
      </c>
      <c r="AC9" s="6">
        <f>ROUND($R9*CAS_Base_Salary2324*VLOOKUP($A9,EnrollData2324,'2324 Jun 24 Enroll'!S$1,FALSE),2)</f>
        <v>456.65</v>
      </c>
      <c r="AD9" s="6">
        <f>ROUND($R9*CAS_Inc_Salary2324*VLOOKUP($A9,EnrollData2324,'2324 Jun 24 Enroll'!T$1,FALSE),2)-AC9</f>
        <v>16.900000000000034</v>
      </c>
      <c r="AE9" s="6">
        <f>ROUND($Z9*CLS_Base_Salary2324*VLOOKUP($A9,EnrollData2324,'2324 Jun 24 Enroll'!S$1,FALSE),2)</f>
        <v>938.07</v>
      </c>
      <c r="AF9" s="6">
        <f>ROUND($Z9*CLS_Inc_Salary2324*VLOOKUP($A9,EnrollData2324,'2324 Jun 24 Enroll'!T$1,FALSE),2)-AE9</f>
        <v>34.699999999999932</v>
      </c>
      <c r="AG9">
        <f t="shared" si="9"/>
        <v>857.16</v>
      </c>
      <c r="AH9" s="69">
        <f t="shared" si="10"/>
        <v>80.200000000000045</v>
      </c>
      <c r="AI9">
        <f t="shared" si="11"/>
        <v>221.37</v>
      </c>
      <c r="AJ9">
        <f t="shared" si="12"/>
        <v>118.01999999999998</v>
      </c>
      <c r="AK9">
        <f t="shared" si="13"/>
        <v>936.66</v>
      </c>
      <c r="AL9">
        <f t="shared" si="14"/>
        <v>33.42</v>
      </c>
      <c r="AM9">
        <f t="shared" si="15"/>
        <v>206.94</v>
      </c>
      <c r="AN9">
        <f t="shared" si="16"/>
        <v>6.44</v>
      </c>
      <c r="AO9">
        <f>ROUND(($J9*CIS_Inc_Salary2324*(VLOOKUP($A9,EnrollData2324,'2324 Jun 24 Enroll'!T$1,FALSE)+VLOOKUP($A9,EnrollData2324,'2324 Jun 24 Enroll'!U$1,FALSE))/Apport_613Xpd)*Apport_614Xpd,2)</f>
        <v>82.19</v>
      </c>
      <c r="AP9">
        <f t="shared" si="17"/>
        <v>14.24</v>
      </c>
      <c r="AQ9">
        <f t="shared" si="19"/>
        <v>36.42</v>
      </c>
      <c r="AR9" s="6">
        <f>ROUND((IF(VLOOKUP($A9,EnrollData2324,'2324 Jun 24 Enroll'!D$1,FALSE)=VLOOKUP($A9,'ESA Calculations 2324'!$A$4:$AE$34,4,FALSE),VLOOKUP($A9,EnrollData2324,'2324 Jun 24 Enroll'!D$1,FALSE),VLOOKUP($A9,'ESA Calculations 2324'!$A$4:$AE$34,4,FALSE))*Apport_M802324+IF(VLOOKUP($A9,EnrollData2324,'2324 Jun 24 Enroll'!M$1,FALSE)=VLOOKUP($A9,'ESA Calculations 2324'!$A$4:$AE$34,18,FALSE),VLOOKUP($A9,EnrollData2324,'2324 Jun 24 Enroll'!M$1,FALSE),VLOOKUP($A9,'ESA Calculations 2324'!$A$4:$AE$34,18,FALSE))*Apport_M802324+IF((VLOOKUP($A9,EnrollData2324,'2324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Enroll'!L$1,FALSE))=VLOOKUP($A9,EnrollData2324,'2324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Enroll'!L$1,FALSE),(VLOOKUP($A9,EnrollData2324,'2324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Enroll'!L$1,FALSE)),(VLOOKUP($A9,EnrollData2324,'2324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Enroll'!L$1,FALSE)))*Apport_M812324)/(IF(VLOOKUP($A9,EnrollData2324,'2324 Jun 24 Enroll'!M$1,FALSE)=VLOOKUP($A9,'ESA Calculations 2324'!$A$4:$AE$34,18,FALSE),VLOOKUP($A9,EnrollData2324,'2324 Jun 24 Enroll'!M$1,FALSE),VLOOKUP($A9,'ESA Calculations 2324'!$A$4:$AE$34,18,FALSE))+IF(VLOOKUP($A9,EnrollData2324,'2324 Jun 24 Enroll'!D$1,FALSE)=VLOOKUP($A9,'ESA Calculations 2324'!$A$4:$AE$34,4,FALSE),VLOOKUP($A9,EnrollData2324,'2324 Jun 24 Enroll'!D$1,FALSE),VLOOKUP($A9,'ESA Calculations 2324'!$A$4:$AE$34,4,FALSE))),2)</f>
        <v>1483.44</v>
      </c>
      <c r="AS9" s="7">
        <f t="shared" si="20"/>
        <v>10454.469999999999</v>
      </c>
      <c r="AT9" s="6">
        <f>IF(VLOOKUP($A9,EnrollData2324,'2324 Jun 24 Enroll'!AA$1,FALSE)=VLOOKUP($A9,'ESA Calculations 2324'!$A$4:$AE$34,24,FALSE),VLOOKUP($A9,EnrollData2324,'2324 Jun 24 Enroll'!AA$1,FALSE),VLOOKUP($A9,'ESA Calculations 2324'!$A$4:$AE$34,24,FALSE))</f>
        <v>26.7</v>
      </c>
    </row>
    <row r="10" spans="1:49">
      <c r="A10" s="40" t="s">
        <v>570</v>
      </c>
      <c r="B10" s="40" t="s">
        <v>571</v>
      </c>
      <c r="C10" s="11">
        <f>ROUND((IFERROR((1/IF(VLOOKUP($A10,EnrollData2324,28,FALSE)=VLOOKUP($A10,'ESA Calculations 2324'!$A$4:$AE$34,3,FALSE),VLOOKUP($A10,EnrollData2324,28,FALSE),VLOOKUP($A10,'ESA Calculations 2324'!$A$4:$AE$34,3,FALSE)))*(1+Apport_Z315),0))+Apport_201A2324,6)</f>
        <v>7.3449E-2</v>
      </c>
      <c r="D10">
        <f>ROUND(IF(VLOOKUP($A10,EnrollData2324,'2324 Jun 24 Enroll'!D$1,FALSE)=VLOOKUP($A10,'ESA Calculations 2324'!$A$4:$AE$34,4,FALSE),VLOOKUP($A10,EnrollData2324,'2324 Jun 24 Enroll'!D$1,FALSE),VLOOKUP($A10,'ESA Calculations 2324'!$A$4:$AE$34,4,FALSE))*C10,3)</f>
        <v>0</v>
      </c>
      <c r="E10">
        <f>ROUND(IF(VLOOKUP($A10,EnrollData2324,'2324 Jun 24 Enroll'!E$1,FALSE)=VLOOKUP($A10,'ESA Calculations 2324'!$A$4:$AE$34,5,FALSE),VLOOKUP($A10,EnrollData2324,'2324 Jun 24 Enroll'!E$1,FALSE),VLOOKUP($A10,'ESA Calculations 2324'!$A$4:$AE$34,5,FALSE))*C10,3)</f>
        <v>2.4529999999999998</v>
      </c>
      <c r="F10">
        <f>ROUND(IF(VLOOKUP($A10,EnrollData2324,'2324 Jun 24 Enroll'!F$1,FALSE)=VLOOKUP($A10,'ESA Calculations 2324'!$A$4:$AE$34,6,FALSE),VLOOKUP($A10,EnrollData2324,'2324 Jun 24 Enroll'!F$1,FALSE),VLOOKUP($A10,'ESA Calculations 2324'!$A$4:$AE$34,6,FALSE))*Apport_222A2324,3)</f>
        <v>0.435</v>
      </c>
      <c r="G10">
        <f>ROUND(IF(VLOOKUP($A10,EnrollData2324,'2324 Jun 24 Enroll'!G$1,FALSE)=VLOOKUP($A10,'ESA Calculations 2324'!$A$4:$AE$34,7,FALSE),VLOOKUP($A10,EnrollData2324,'2324 Jun 24 Enroll'!G$1,FALSE),VLOOKUP($A10,'ESA Calculations 2324'!$A$4:$AE$34,7,FALSE))*Apport_210A2324,3)</f>
        <v>0.64200000000000002</v>
      </c>
      <c r="H10">
        <f>ROUND(IF(VLOOKUP($A10,EnrollData2324,'2324 Jun 24 Enroll'!H$1,FALSE)=VLOOKUP($A10,'ESA Calculations 2324'!$A$4:$AE$34,8,FALSE),VLOOKUP($A10,EnrollData2324,'2324 Jun 24 Enroll'!H$1,FALSE),VLOOKUP($A10,'ESA Calculations 2324'!$A$4:$AE$34,8,FALSE))*Apport_213A2324,3)</f>
        <v>0.746</v>
      </c>
      <c r="I10">
        <f>ROUND(IF(VLOOKUP($A10,EnrollData2324,'2324 Jun 24 Enroll'!I$1,FALSE)+VLOOKUP($A10,EnrollData2324,'2324 Jun 24 Enroll'!M$1,FALSE)-VLOOKUP($A10,EnrollData2324,'2324 Jun 24 Enroll'!J$1,FALSE)=VLOOKUP($A10,'ESA Calculations 2324'!$A$4:$AE$34,9,FALSE)+VLOOKUP($A10,'ESA Calculations 2324'!$A$4:$AE$34,18,FALSE)-VLOOKUP($A10,'ESA Calculations 2324'!$A$4:$AE$34,10,FALSE),VLOOKUP($A10,EnrollData2324,'2324 Jun 24 Enroll'!I$1,FALSE)+VLOOKUP($A10,EnrollData2324,'2324 Jun 24 Enroll'!M$1,FALSE)-VLOOKUP($A10,EnrollData2324,'2324 Jun 24 Enroll'!J$1,FALSE),VLOOKUP($A10,'ESA Calculations 2324'!$A$4:$AE$34,9,FALSE)+VLOOKUP($A10,'ESA Calculations 2324'!$A$4:$AE$34,18,FALSE)-VLOOKUP($A10,'ESA Calculations 2324'!$A$4:$AE$34,10,FALSE))*Apport_216A2324,3)</f>
        <v>1.446</v>
      </c>
      <c r="J10">
        <f>ROUND(SUM(D10:I10)/IF(VLOOKUP($A10,EnrollData2324,'2324 Jun 24 Enroll'!M$1,FALSE)+VLOOKUP($A10,EnrollData2324,'2324 Jun 24 Enroll'!D$1,FALSE)=VLOOKUP($A10,'ESA Calculations 2324'!$A$4:$AE$34,18,FALSE)+VLOOKUP($A10,'ESA Calculations 2324'!$A$4:$AE$34,4,FALSE),VLOOKUP($A10,EnrollData2324,'2324 Jun 24 Enroll'!M$1,FALSE)+VLOOKUP($A10,EnrollData2324,'2324 Jun 24 Enroll'!D$1,FALSE),VLOOKUP($A10,'ESA Calculations 2324'!$A$4:$AE$34,18,FALSE)+VLOOKUP($A10,'ESA Calculations 2324'!$A$4:$AE$34,4,FALSE)),5)</f>
        <v>5.7250000000000002E-2</v>
      </c>
      <c r="K10" s="11">
        <f t="shared" si="7"/>
        <v>4.365E-3</v>
      </c>
      <c r="L10">
        <f>ROUND(IF(VLOOKUP($A10,EnrollData2324,'2324 Jun 24 Enroll'!D$1,FALSE)=VLOOKUP($A10,'ESA Calculations 2324'!$A$4:$AE$34,4,FALSE),VLOOKUP($A10,EnrollData2324,'2324 Jun 24 Enroll'!D$1,FALSE),VLOOKUP($A10,'ESA Calculations 2324'!$A$4:$AE$34,4,FALSE))*K10,3)</f>
        <v>0</v>
      </c>
      <c r="M10">
        <f>ROUND(IF(VLOOKUP($A10,EnrollData2324,'2324 Jun 24 Enroll'!E$1,FALSE)=VLOOKUP($A10,'ESA Calculations 2324'!$A$4:$AE$34,5,FALSE),VLOOKUP($A10,EnrollData2324,'2324 Jun 24 Enroll'!E$1,FALSE),VLOOKUP($A10,'ESA Calculations 2324'!$A$4:$AE$34,5,FALSE))*K10,3)</f>
        <v>0.14599999999999999</v>
      </c>
      <c r="N10">
        <f>ROUND(IF(VLOOKUP($A10,EnrollData2324,'2324 Jun 24 Enroll'!F$1,FALSE)=VLOOKUP($A10,'ESA Calculations 2324'!$A$4:$AE$34,6,FALSE),VLOOKUP($A10,EnrollData2324,'2324 Jun 24 Enroll'!F$1,FALSE),VLOOKUP($A10,'ESA Calculations 2324'!$A$4:$AE$34,6,FALSE))*Apport_223A2324,3)</f>
        <v>3.5999999999999997E-2</v>
      </c>
      <c r="O10">
        <f>ROUND(IF(VLOOKUP($A10,EnrollData2324,'2324 Jun 24 Enroll'!G$1,FALSE)=VLOOKUP($A10,'ESA Calculations 2324'!$A$4:$AE$34,7,FALSE),VLOOKUP($A10,EnrollData2324,'2324 Jun 24 Enroll'!G$1,FALSE),VLOOKUP($A10,'ESA Calculations 2324'!$A$4:$AE$34,7,FALSE))*Apport_211A2324,3)</f>
        <v>5.3999999999999999E-2</v>
      </c>
      <c r="P10">
        <f>ROUND(IF(VLOOKUP($A10,EnrollData2324,'2324 Jun 24 Enroll'!H$1,FALSE)=VLOOKUP($A10,'ESA Calculations 2324'!$A$4:$AE$34,8,FALSE),VLOOKUP($A10,EnrollData2324,'2324 Jun 24 Enroll'!H$1,FALSE),VLOOKUP($A10,'ESA Calculations 2324'!$A$4:$AE$34,8,FALSE))*Apport_214A2324,3)</f>
        <v>6.2E-2</v>
      </c>
      <c r="Q10">
        <f>ROUND(IF(VLOOKUP($A10,EnrollData2324,'2324 Jun 24 Enroll'!I$1,FALSE)+VLOOKUP($A10,EnrollData2324,'2324 Jun 24 Enroll'!M$1,FALSE)-VLOOKUP($A10,EnrollData2324,'2324 Jun 24 Enroll'!J$1,FALSE)=VLOOKUP($A10,'ESA Calculations 2324'!$A$4:$AE$34,9,FALSE)+VLOOKUP($A10,'ESA Calculations 2324'!$A$4:$AE$34,18,FALSE)-VLOOKUP($A10,'ESA Calculations 2324'!$A$4:$AE$34,10,FALSE),VLOOKUP($A10,EnrollData2324,'2324 Jun 24 Enroll'!I$1,FALSE)+VLOOKUP($A10,EnrollData2324,'2324 Jun 24 Enroll'!M$1,FALSE)-VLOOKUP($A10,EnrollData2324,'2324 Jun 24 Enroll'!J$1,FALSE),VLOOKUP($A10,'ESA Calculations 2324'!$A$4:$AE$34,9,FALSE)+VLOOKUP($A10,'ESA Calculations 2324'!$A$4:$AE$34,18,FALSE)-VLOOKUP($A10,'ESA Calculations 2324'!$A$4:$AE$34,10,FALSE))*Apport_217A2324,3)</f>
        <v>0.11700000000000001</v>
      </c>
      <c r="R10">
        <f>ROUND(SUM(L10:Q10)/IF(VLOOKUP($A10,EnrollData2324,'2324 Jun 24 Enroll'!M$1,FALSE)+VLOOKUP($A10,EnrollData2324,'2324 Jun 24 Enroll'!D$1,FALSE)=VLOOKUP($A10,'ESA Calculations 2324'!$A$4:$AE$34,18,FALSE)+VLOOKUP($A10,'ESA Calculations 2324'!$A$4:$AE$34,4,FALSE),VLOOKUP($A10,EnrollData2324,'2324 Jun 24 Enroll'!M$1,FALSE)+VLOOKUP($A10,EnrollData2324,'2324 Jun 24 Enroll'!D$1,FALSE),VLOOKUP($A10,'ESA Calculations 2324'!$A$4:$AE$34,18,FALSE)+VLOOKUP($A10,'ESA Calculations 2324'!$A$4:$AE$34,4,FALSE)),5)</f>
        <v>4.15E-3</v>
      </c>
      <c r="S10" s="11">
        <f t="shared" si="8"/>
        <v>1.8294500000000002E-2</v>
      </c>
      <c r="T10">
        <f>ROUND(IF(VLOOKUP($A10,EnrollData2324,'2324 Jun 24 Enroll'!D$1,FALSE)=VLOOKUP($A10,'ESA Calculations 2324'!$A$4:$AE$34,4,FALSE),VLOOKUP($A10,EnrollData2324,'2324 Jun 24 Enroll'!D$1,FALSE),VLOOKUP($A10,'ESA Calculations 2324'!$A$4:$AE$34,4,FALSE))*S10,3)</f>
        <v>0</v>
      </c>
      <c r="U10">
        <f>ROUND(IF(VLOOKUP($A10,EnrollData2324,'2324 Jun 24 Enroll'!E$1,FALSE)=VLOOKUP($A10,'ESA Calculations 2324'!$A$4:$AE$34,5,FALSE),VLOOKUP($A10,EnrollData2324,'2324 Jun 24 Enroll'!E$1,FALSE),VLOOKUP($A10,'ESA Calculations 2324'!$A$4:$AE$34,5,FALSE))*S10,3)</f>
        <v>0.61099999999999999</v>
      </c>
      <c r="V10">
        <f>ROUND(IF(VLOOKUP($A10,EnrollData2324,'2324 Jun 24 Enroll'!F$1,FALSE)=VLOOKUP($A10,'ESA Calculations 2324'!$A$4:$AE$34,6,FALSE),VLOOKUP($A10,EnrollData2324,'2324 Jun 24 Enroll'!F$1,FALSE),VLOOKUP($A10,'ESA Calculations 2324'!$A$4:$AE$34,6,FALSE))*Apport_224A2324,3)</f>
        <v>0.156</v>
      </c>
      <c r="W10">
        <f>ROUND(IF(VLOOKUP($A10,EnrollData2324,'2324 Jun 24 Enroll'!G$1,FALSE)=VLOOKUP($A10,'ESA Calculations 2324'!$A$4:$AE$34,7,FALSE),VLOOKUP($A10,EnrollData2324,'2324 Jun 24 Enroll'!G$1,FALSE),VLOOKUP($A10,'ESA Calculations 2324'!$A$4:$AE$34,7,FALSE))*Apport_212A2324,3)</f>
        <v>0.23</v>
      </c>
      <c r="X10">
        <f>ROUND(IF(VLOOKUP($A10,EnrollData2324,'2324 Jun 24 Enroll'!H$1,FALSE)=VLOOKUP($A10,'ESA Calculations 2324'!$A$4:$AE$34,8,FALSE),VLOOKUP($A10,EnrollData2324,'2324 Jun 24 Enroll'!H$1,FALSE),VLOOKUP($A10,'ESA Calculations 2324'!$A$4:$AE$34,8,FALSE))*Apport_215A2324,3)</f>
        <v>0.26300000000000001</v>
      </c>
      <c r="Y10">
        <f>ROUND(IF(VLOOKUP($A10,EnrollData2324,'2324 Jun 24 Enroll'!I$1,FALSE)+VLOOKUP($A10,EnrollData2324,'2324 Jun 24 Enroll'!M$1,FALSE)-VLOOKUP($A10,EnrollData2324,'2324 Jun 24 Enroll'!J$1,FALSE)=VLOOKUP($A10,'ESA Calculations 2324'!$A$4:$AE$34,9,FALSE)+VLOOKUP($A10,'ESA Calculations 2324'!$A$4:$AE$34,18,FALSE)-VLOOKUP($A10,'ESA Calculations 2324'!$A$4:$AE$34,10,FALSE),VLOOKUP($A10,EnrollData2324,'2324 Jun 24 Enroll'!I$1,FALSE)+VLOOKUP($A10,EnrollData2324,'2324 Jun 24 Enroll'!M$1,FALSE)-VLOOKUP($A10,EnrollData2324,'2324 Jun 24 Enroll'!J$1,FALSE),VLOOKUP($A10,'ESA Calculations 2324'!$A$4:$AE$34,9,FALSE)+VLOOKUP($A10,'ESA Calculations 2324'!$A$4:$AE$34,18,FALSE)-VLOOKUP($A10,'ESA Calculations 2324'!$A$4:$AE$34,10,FALSE))*Apport_218A2324,3)</f>
        <v>0.495</v>
      </c>
      <c r="Z10">
        <f>ROUND(SUM(T10:Y10)/IF(VLOOKUP($A10,EnrollData2324,'2324 Jun 24 Enroll'!M$1,FALSE)+VLOOKUP($A10,EnrollData2324,'2324 Jun 24 Enroll'!D$1,FALSE)=VLOOKUP($A10,'ESA Calculations 2324'!$A$4:$AE$34,18,FALSE)+VLOOKUP($A10,'ESA Calculations 2324'!$A$4:$AE$34,4,FALSE),VLOOKUP($A10,EnrollData2324,'2324 Jun 24 Enroll'!M$1,FALSE)+VLOOKUP($A10,EnrollData2324,'2324 Jun 24 Enroll'!D$1,FALSE),VLOOKUP($A10,'ESA Calculations 2324'!$A$4:$AE$34,18,FALSE)+VLOOKUP($A10,'ESA Calculations 2324'!$A$4:$AE$34,4,FALSE)),5)</f>
        <v>1.7559999999999999E-2</v>
      </c>
      <c r="AA10" s="6">
        <f>ROUND($J10*CIS_Base_Salary2324*VLOOKUP($A10,EnrollData2324,'2324 Jun 24 Enroll'!S$1,FALSE),2)</f>
        <v>4163.68</v>
      </c>
      <c r="AB10" s="6">
        <f>ROUND($J10*CIS_Inc_Salary2324*(VLOOKUP($A10,EnrollData2324,'2324 Jun 24 Enroll'!T$1,FALSE)+VLOOKUP($A10,EnrollData2324,'2324 Jun 24 Enroll'!U$1,FALSE)),2)-AA10</f>
        <v>154.05999999999949</v>
      </c>
      <c r="AC10" s="6">
        <f>ROUND($R10*CAS_Base_Salary2324*VLOOKUP($A10,EnrollData2324,'2324 Jun 24 Enroll'!S$1,FALSE),2)</f>
        <v>448.01</v>
      </c>
      <c r="AD10" s="6">
        <f>ROUND($R10*CAS_Inc_Salary2324*VLOOKUP($A10,EnrollData2324,'2324 Jun 24 Enroll'!T$1,FALSE),2)-AC10</f>
        <v>16.579999999999984</v>
      </c>
      <c r="AE10" s="6">
        <f>ROUND($Z10*CLS_Base_Salary2324*VLOOKUP($A10,EnrollData2324,'2324 Jun 24 Enroll'!S$1,FALSE),2)</f>
        <v>916.16</v>
      </c>
      <c r="AF10" s="6">
        <f>ROUND($Z10*CLS_Inc_Salary2324*VLOOKUP($A10,EnrollData2324,'2324 Jun 24 Enroll'!T$1,FALSE),2)-AE10</f>
        <v>33.889999999999986</v>
      </c>
      <c r="AG10">
        <f t="shared" si="9"/>
        <v>755.96</v>
      </c>
      <c r="AH10" s="69">
        <f t="shared" si="10"/>
        <v>70.730000000000018</v>
      </c>
      <c r="AI10">
        <f t="shared" si="11"/>
        <v>216.2</v>
      </c>
      <c r="AJ10">
        <f t="shared" si="12"/>
        <v>115.25999999999999</v>
      </c>
      <c r="AK10">
        <f t="shared" si="13"/>
        <v>828.72</v>
      </c>
      <c r="AL10">
        <f t="shared" si="14"/>
        <v>29.57</v>
      </c>
      <c r="AM10">
        <f t="shared" si="15"/>
        <v>202.1</v>
      </c>
      <c r="AN10">
        <f t="shared" si="16"/>
        <v>6.29</v>
      </c>
      <c r="AO10">
        <f>ROUND(($J10*CIS_Inc_Salary2324*(VLOOKUP($A10,EnrollData2324,'2324 Jun 24 Enroll'!T$1,FALSE)+VLOOKUP($A10,EnrollData2324,'2324 Jun 24 Enroll'!U$1,FALSE))/Apport_613Xpd)*Apport_614Xpd,2)</f>
        <v>71.959999999999994</v>
      </c>
      <c r="AP10">
        <f t="shared" si="17"/>
        <v>12.47</v>
      </c>
      <c r="AQ10">
        <f t="shared" si="19"/>
        <v>31.89</v>
      </c>
      <c r="AR10" s="6">
        <f>ROUND((IF(VLOOKUP($A10,EnrollData2324,'2324 Jun 24 Enroll'!D$1,FALSE)=VLOOKUP($A10,'ESA Calculations 2324'!$A$4:$AE$34,4,FALSE),VLOOKUP($A10,EnrollData2324,'2324 Jun 24 Enroll'!D$1,FALSE),VLOOKUP($A10,'ESA Calculations 2324'!$A$4:$AE$34,4,FALSE))*Apport_M802324+IF(VLOOKUP($A10,EnrollData2324,'2324 Jun 24 Enroll'!M$1,FALSE)=VLOOKUP($A10,'ESA Calculations 2324'!$A$4:$AE$34,18,FALSE),VLOOKUP($A10,EnrollData2324,'2324 Jun 24 Enroll'!M$1,FALSE),VLOOKUP($A10,'ESA Calculations 2324'!$A$4:$AE$34,18,FALSE))*Apport_M802324+IF((VLOOKUP($A10,EnrollData2324,'2324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Enroll'!L$1,FALSE))=VLOOKUP($A10,EnrollData2324,'2324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Enroll'!L$1,FALSE),(VLOOKUP($A10,EnrollData2324,'2324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Enroll'!L$1,FALSE)),(VLOOKUP($A10,EnrollData2324,'2324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Enroll'!L$1,FALSE)))*Apport_M812324)/(IF(VLOOKUP($A10,EnrollData2324,'2324 Jun 24 Enroll'!M$1,FALSE)=VLOOKUP($A10,'ESA Calculations 2324'!$A$4:$AE$34,18,FALSE),VLOOKUP($A10,EnrollData2324,'2324 Jun 24 Enroll'!M$1,FALSE),VLOOKUP($A10,'ESA Calculations 2324'!$A$4:$AE$34,18,FALSE))+IF(VLOOKUP($A10,EnrollData2324,'2324 Jun 24 Enroll'!D$1,FALSE)=VLOOKUP($A10,'ESA Calculations 2324'!$A$4:$AE$34,4,FALSE),VLOOKUP($A10,EnrollData2324,'2324 Jun 24 Enroll'!D$1,FALSE),VLOOKUP($A10,'ESA Calculations 2324'!$A$4:$AE$34,4,FALSE))),2)</f>
        <v>1541.22</v>
      </c>
      <c r="AS10" s="7">
        <f t="shared" si="20"/>
        <v>9614.75</v>
      </c>
      <c r="AT10" s="6">
        <f>IF(VLOOKUP($A10,EnrollData2324,'2324 Jun 24 Enroll'!AA$1,FALSE)=VLOOKUP($A10,'ESA Calculations 2324'!$A$4:$AE$34,24,FALSE),VLOOKUP($A10,EnrollData2324,'2324 Jun 24 Enroll'!AA$1,FALSE),VLOOKUP($A10,'ESA Calculations 2324'!$A$4:$AE$34,24,FALSE))</f>
        <v>99.95</v>
      </c>
    </row>
    <row r="11" spans="1:49">
      <c r="A11" s="40" t="s">
        <v>861</v>
      </c>
      <c r="B11" s="40" t="s">
        <v>862</v>
      </c>
      <c r="C11" s="11">
        <f>ROUND((IFERROR((1/IF(VLOOKUP($A11,EnrollData2324,28,FALSE)=VLOOKUP($A11,'ESA Calculations 2324'!$A$4:$AE$34,3,FALSE),VLOOKUP($A11,EnrollData2324,28,FALSE),VLOOKUP($A11,'ESA Calculations 2324'!$A$4:$AE$34,3,FALSE)))*(1+Apport_Z315),0))+Apport_201A2324,6)</f>
        <v>7.3449E-2</v>
      </c>
      <c r="D11">
        <f>ROUND(IF(VLOOKUP($A11,EnrollData2324,'2324 Jun 24 Enroll'!D$1,FALSE)=VLOOKUP($A11,'ESA Calculations 2324'!$A$4:$AE$34,4,FALSE),VLOOKUP($A11,EnrollData2324,'2324 Jun 24 Enroll'!D$1,FALSE),VLOOKUP($A11,'ESA Calculations 2324'!$A$4:$AE$34,4,FALSE))*C11,3)</f>
        <v>1.278</v>
      </c>
      <c r="E11">
        <f>ROUND(IF(VLOOKUP($A11,EnrollData2324,'2324 Jun 24 Enroll'!E$1,FALSE)=VLOOKUP($A11,'ESA Calculations 2324'!$A$4:$AE$34,5,FALSE),VLOOKUP($A11,EnrollData2324,'2324 Jun 24 Enroll'!E$1,FALSE),VLOOKUP($A11,'ESA Calculations 2324'!$A$4:$AE$34,5,FALSE))*C11,3)</f>
        <v>5.4059999999999997</v>
      </c>
      <c r="F11">
        <f>ROUND(IF(VLOOKUP($A11,EnrollData2324,'2324 Jun 24 Enroll'!F$1,FALSE)=VLOOKUP($A11,'ESA Calculations 2324'!$A$4:$AE$34,6,FALSE),VLOOKUP($A11,EnrollData2324,'2324 Jun 24 Enroll'!F$1,FALSE),VLOOKUP($A11,'ESA Calculations 2324'!$A$4:$AE$34,6,FALSE))*Apport_222A2324,3)</f>
        <v>0.96599999999999997</v>
      </c>
      <c r="G11">
        <f>ROUND(IF(VLOOKUP($A11,EnrollData2324,'2324 Jun 24 Enroll'!G$1,FALSE)=VLOOKUP($A11,'ESA Calculations 2324'!$A$4:$AE$34,7,FALSE),VLOOKUP($A11,EnrollData2324,'2324 Jun 24 Enroll'!G$1,FALSE),VLOOKUP($A11,'ESA Calculations 2324'!$A$4:$AE$34,7,FALSE))*Apport_210A2324,3)</f>
        <v>1.238</v>
      </c>
      <c r="H11">
        <f>ROUND(IF(VLOOKUP($A11,EnrollData2324,'2324 Jun 24 Enroll'!H$1,FALSE)=VLOOKUP($A11,'ESA Calculations 2324'!$A$4:$AE$34,8,FALSE),VLOOKUP($A11,EnrollData2324,'2324 Jun 24 Enroll'!H$1,FALSE),VLOOKUP($A11,'ESA Calculations 2324'!$A$4:$AE$34,8,FALSE))*Apport_213A2324,3)</f>
        <v>2.0819999999999999</v>
      </c>
      <c r="I11">
        <f>ROUND(IF(VLOOKUP($A11,EnrollData2324,'2324 Jun 24 Enroll'!I$1,FALSE)+VLOOKUP($A11,EnrollData2324,'2324 Jun 24 Enroll'!M$1,FALSE)-VLOOKUP($A11,EnrollData2324,'2324 Jun 24 Enroll'!J$1,FALSE)=VLOOKUP($A11,'ESA Calculations 2324'!$A$4:$AE$34,9,FALSE)+VLOOKUP($A11,'ESA Calculations 2324'!$A$4:$AE$34,18,FALSE)-VLOOKUP($A11,'ESA Calculations 2324'!$A$4:$AE$34,10,FALSE),VLOOKUP($A11,EnrollData2324,'2324 Jun 24 Enroll'!I$1,FALSE)+VLOOKUP($A11,EnrollData2324,'2324 Jun 24 Enroll'!M$1,FALSE)-VLOOKUP($A11,EnrollData2324,'2324 Jun 24 Enroll'!J$1,FALSE),VLOOKUP($A11,'ESA Calculations 2324'!$A$4:$AE$34,9,FALSE)+VLOOKUP($A11,'ESA Calculations 2324'!$A$4:$AE$34,18,FALSE)-VLOOKUP($A11,'ESA Calculations 2324'!$A$4:$AE$34,10,FALSE))*Apport_216A2324,3)</f>
        <v>3.7879999999999998</v>
      </c>
      <c r="J11">
        <f>ROUND(SUM(D11:I11)/IF(VLOOKUP($A11,EnrollData2324,'2324 Jun 24 Enroll'!M$1,FALSE)+VLOOKUP($A11,EnrollData2324,'2324 Jun 24 Enroll'!D$1,FALSE)=VLOOKUP($A11,'ESA Calculations 2324'!$A$4:$AE$34,18,FALSE)+VLOOKUP($A11,'ESA Calculations 2324'!$A$4:$AE$34,4,FALSE),VLOOKUP($A11,EnrollData2324,'2324 Jun 24 Enroll'!M$1,FALSE)+VLOOKUP($A11,EnrollData2324,'2324 Jun 24 Enroll'!D$1,FALSE),VLOOKUP($A11,'ESA Calculations 2324'!$A$4:$AE$34,18,FALSE)+VLOOKUP($A11,'ESA Calculations 2324'!$A$4:$AE$34,4,FALSE)),5)</f>
        <v>5.7829999999999999E-2</v>
      </c>
      <c r="K11" s="11">
        <f t="shared" si="7"/>
        <v>4.365E-3</v>
      </c>
      <c r="L11">
        <f>ROUND(IF(VLOOKUP($A11,EnrollData2324,'2324 Jun 24 Enroll'!D$1,FALSE)=VLOOKUP($A11,'ESA Calculations 2324'!$A$4:$AE$34,4,FALSE),VLOOKUP($A11,EnrollData2324,'2324 Jun 24 Enroll'!D$1,FALSE),VLOOKUP($A11,'ESA Calculations 2324'!$A$4:$AE$34,4,FALSE))*K11,3)</f>
        <v>7.5999999999999998E-2</v>
      </c>
      <c r="M11">
        <f>ROUND(IF(VLOOKUP($A11,EnrollData2324,'2324 Jun 24 Enroll'!E$1,FALSE)=VLOOKUP($A11,'ESA Calculations 2324'!$A$4:$AE$34,5,FALSE),VLOOKUP($A11,EnrollData2324,'2324 Jun 24 Enroll'!E$1,FALSE),VLOOKUP($A11,'ESA Calculations 2324'!$A$4:$AE$34,5,FALSE))*K11,3)</f>
        <v>0.32100000000000001</v>
      </c>
      <c r="N11">
        <f>ROUND(IF(VLOOKUP($A11,EnrollData2324,'2324 Jun 24 Enroll'!F$1,FALSE)=VLOOKUP($A11,'ESA Calculations 2324'!$A$4:$AE$34,6,FALSE),VLOOKUP($A11,EnrollData2324,'2324 Jun 24 Enroll'!F$1,FALSE),VLOOKUP($A11,'ESA Calculations 2324'!$A$4:$AE$34,6,FALSE))*Apport_223A2324,3)</f>
        <v>8.1000000000000003E-2</v>
      </c>
      <c r="O11">
        <f>ROUND(IF(VLOOKUP($A11,EnrollData2324,'2324 Jun 24 Enroll'!G$1,FALSE)=VLOOKUP($A11,'ESA Calculations 2324'!$A$4:$AE$34,7,FALSE),VLOOKUP($A11,EnrollData2324,'2324 Jun 24 Enroll'!G$1,FALSE),VLOOKUP($A11,'ESA Calculations 2324'!$A$4:$AE$34,7,FALSE))*Apport_211A2324,3)</f>
        <v>0.10299999999999999</v>
      </c>
      <c r="P11">
        <f>ROUND(IF(VLOOKUP($A11,EnrollData2324,'2324 Jun 24 Enroll'!H$1,FALSE)=VLOOKUP($A11,'ESA Calculations 2324'!$A$4:$AE$34,8,FALSE),VLOOKUP($A11,EnrollData2324,'2324 Jun 24 Enroll'!H$1,FALSE),VLOOKUP($A11,'ESA Calculations 2324'!$A$4:$AE$34,8,FALSE))*Apport_214A2324,3)</f>
        <v>0.17299999999999999</v>
      </c>
      <c r="Q11">
        <f>ROUND(IF(VLOOKUP($A11,EnrollData2324,'2324 Jun 24 Enroll'!I$1,FALSE)+VLOOKUP($A11,EnrollData2324,'2324 Jun 24 Enroll'!M$1,FALSE)-VLOOKUP($A11,EnrollData2324,'2324 Jun 24 Enroll'!J$1,FALSE)=VLOOKUP($A11,'ESA Calculations 2324'!$A$4:$AE$34,9,FALSE)+VLOOKUP($A11,'ESA Calculations 2324'!$A$4:$AE$34,18,FALSE)-VLOOKUP($A11,'ESA Calculations 2324'!$A$4:$AE$34,10,FALSE),VLOOKUP($A11,EnrollData2324,'2324 Jun 24 Enroll'!I$1,FALSE)+VLOOKUP($A11,EnrollData2324,'2324 Jun 24 Enroll'!M$1,FALSE)-VLOOKUP($A11,EnrollData2324,'2324 Jun 24 Enroll'!J$1,FALSE),VLOOKUP($A11,'ESA Calculations 2324'!$A$4:$AE$34,9,FALSE)+VLOOKUP($A11,'ESA Calculations 2324'!$A$4:$AE$34,18,FALSE)-VLOOKUP($A11,'ESA Calculations 2324'!$A$4:$AE$34,10,FALSE))*Apport_217A2324,3)</f>
        <v>0.30599999999999999</v>
      </c>
      <c r="R11">
        <f>ROUND(SUM(L11:Q11)/IF(VLOOKUP($A11,EnrollData2324,'2324 Jun 24 Enroll'!M$1,FALSE)+VLOOKUP($A11,EnrollData2324,'2324 Jun 24 Enroll'!D$1,FALSE)=VLOOKUP($A11,'ESA Calculations 2324'!$A$4:$AE$34,18,FALSE)+VLOOKUP($A11,'ESA Calculations 2324'!$A$4:$AE$34,4,FALSE),VLOOKUP($A11,EnrollData2324,'2324 Jun 24 Enroll'!M$1,FALSE)+VLOOKUP($A11,EnrollData2324,'2324 Jun 24 Enroll'!D$1,FALSE),VLOOKUP($A11,'ESA Calculations 2324'!$A$4:$AE$34,18,FALSE)+VLOOKUP($A11,'ESA Calculations 2324'!$A$4:$AE$34,4,FALSE)),5)</f>
        <v>4.15E-3</v>
      </c>
      <c r="S11" s="11">
        <f t="shared" si="8"/>
        <v>1.8294500000000002E-2</v>
      </c>
      <c r="T11">
        <f>ROUND(IF(VLOOKUP($A11,EnrollData2324,'2324 Jun 24 Enroll'!D$1,FALSE)=VLOOKUP($A11,'ESA Calculations 2324'!$A$4:$AE$34,4,FALSE),VLOOKUP($A11,EnrollData2324,'2324 Jun 24 Enroll'!D$1,FALSE),VLOOKUP($A11,'ESA Calculations 2324'!$A$4:$AE$34,4,FALSE))*S11,3)</f>
        <v>0.318</v>
      </c>
      <c r="U11">
        <f>ROUND(IF(VLOOKUP($A11,EnrollData2324,'2324 Jun 24 Enroll'!E$1,FALSE)=VLOOKUP($A11,'ESA Calculations 2324'!$A$4:$AE$34,5,FALSE),VLOOKUP($A11,EnrollData2324,'2324 Jun 24 Enroll'!E$1,FALSE),VLOOKUP($A11,'ESA Calculations 2324'!$A$4:$AE$34,5,FALSE))*S11,3)</f>
        <v>1.3460000000000001</v>
      </c>
      <c r="V11">
        <f>ROUND(IF(VLOOKUP($A11,EnrollData2324,'2324 Jun 24 Enroll'!F$1,FALSE)=VLOOKUP($A11,'ESA Calculations 2324'!$A$4:$AE$34,6,FALSE),VLOOKUP($A11,EnrollData2324,'2324 Jun 24 Enroll'!F$1,FALSE),VLOOKUP($A11,'ESA Calculations 2324'!$A$4:$AE$34,6,FALSE))*Apport_224A2324,3)</f>
        <v>0.34599999999999997</v>
      </c>
      <c r="W11">
        <f>ROUND(IF(VLOOKUP($A11,EnrollData2324,'2324 Jun 24 Enroll'!G$1,FALSE)=VLOOKUP($A11,'ESA Calculations 2324'!$A$4:$AE$34,7,FALSE),VLOOKUP($A11,EnrollData2324,'2324 Jun 24 Enroll'!G$1,FALSE),VLOOKUP($A11,'ESA Calculations 2324'!$A$4:$AE$34,7,FALSE))*Apport_212A2324,3)</f>
        <v>0.44400000000000001</v>
      </c>
      <c r="X11">
        <f>ROUND(IF(VLOOKUP($A11,EnrollData2324,'2324 Jun 24 Enroll'!H$1,FALSE)=VLOOKUP($A11,'ESA Calculations 2324'!$A$4:$AE$34,8,FALSE),VLOOKUP($A11,EnrollData2324,'2324 Jun 24 Enroll'!H$1,FALSE),VLOOKUP($A11,'ESA Calculations 2324'!$A$4:$AE$34,8,FALSE))*Apport_215A2324,3)</f>
        <v>0.73499999999999999</v>
      </c>
      <c r="Y11">
        <f>ROUND(IF(VLOOKUP($A11,EnrollData2324,'2324 Jun 24 Enroll'!I$1,FALSE)+VLOOKUP($A11,EnrollData2324,'2324 Jun 24 Enroll'!M$1,FALSE)-VLOOKUP($A11,EnrollData2324,'2324 Jun 24 Enroll'!J$1,FALSE)=VLOOKUP($A11,'ESA Calculations 2324'!$A$4:$AE$34,9,FALSE)+VLOOKUP($A11,'ESA Calculations 2324'!$A$4:$AE$34,18,FALSE)-VLOOKUP($A11,'ESA Calculations 2324'!$A$4:$AE$34,10,FALSE),VLOOKUP($A11,EnrollData2324,'2324 Jun 24 Enroll'!I$1,FALSE)+VLOOKUP($A11,EnrollData2324,'2324 Jun 24 Enroll'!M$1,FALSE)-VLOOKUP($A11,EnrollData2324,'2324 Jun 24 Enroll'!J$1,FALSE),VLOOKUP($A11,'ESA Calculations 2324'!$A$4:$AE$34,9,FALSE)+VLOOKUP($A11,'ESA Calculations 2324'!$A$4:$AE$34,18,FALSE)-VLOOKUP($A11,'ESA Calculations 2324'!$A$4:$AE$34,10,FALSE))*Apport_218A2324,3)</f>
        <v>1.2969999999999999</v>
      </c>
      <c r="Z11">
        <f>ROUND(SUM(T11:Y11)/IF(VLOOKUP($A11,EnrollData2324,'2324 Jun 24 Enroll'!M$1,FALSE)+VLOOKUP($A11,EnrollData2324,'2324 Jun 24 Enroll'!D$1,FALSE)=VLOOKUP($A11,'ESA Calculations 2324'!$A$4:$AE$34,18,FALSE)+VLOOKUP($A11,'ESA Calculations 2324'!$A$4:$AE$34,4,FALSE),VLOOKUP($A11,EnrollData2324,'2324 Jun 24 Enroll'!M$1,FALSE)+VLOOKUP($A11,EnrollData2324,'2324 Jun 24 Enroll'!D$1,FALSE),VLOOKUP($A11,'ESA Calculations 2324'!$A$4:$AE$34,18,FALSE)+VLOOKUP($A11,'ESA Calculations 2324'!$A$4:$AE$34,4,FALSE)),5)</f>
        <v>1.7579999999999998E-2</v>
      </c>
      <c r="AA11" s="6">
        <f>ROUND($J11*CIS_Base_Salary2324*VLOOKUP($A11,EnrollData2324,'2324 Jun 24 Enroll'!S$1,FALSE),2)</f>
        <v>4205.8599999999997</v>
      </c>
      <c r="AB11" s="6">
        <f>ROUND($J11*CIS_Inc_Salary2324*(VLOOKUP($A11,EnrollData2324,'2324 Jun 24 Enroll'!T$1,FALSE)+VLOOKUP($A11,EnrollData2324,'2324 Jun 24 Enroll'!U$1,FALSE)),2)-AA11</f>
        <v>155.61999999999989</v>
      </c>
      <c r="AC11" s="6">
        <f>ROUND($R11*CAS_Base_Salary2324*VLOOKUP($A11,EnrollData2324,'2324 Jun 24 Enroll'!S$1,FALSE),2)</f>
        <v>448.01</v>
      </c>
      <c r="AD11" s="6">
        <f>ROUND($R11*CAS_Inc_Salary2324*VLOOKUP($A11,EnrollData2324,'2324 Jun 24 Enroll'!T$1,FALSE),2)-AC11</f>
        <v>16.579999999999984</v>
      </c>
      <c r="AE11" s="6">
        <f>ROUND($Z11*CLS_Base_Salary2324*VLOOKUP($A11,EnrollData2324,'2324 Jun 24 Enroll'!S$1,FALSE),2)</f>
        <v>917.2</v>
      </c>
      <c r="AF11" s="6">
        <f>ROUND($Z11*CLS_Inc_Salary2324*VLOOKUP($A11,EnrollData2324,'2324 Jun 24 Enroll'!T$1,FALSE),2)-AE11</f>
        <v>33.92999999999995</v>
      </c>
      <c r="AG11">
        <f t="shared" si="9"/>
        <v>763.1</v>
      </c>
      <c r="AH11" s="69">
        <f t="shared" si="10"/>
        <v>71.399999999999977</v>
      </c>
      <c r="AI11">
        <f t="shared" si="11"/>
        <v>216.44</v>
      </c>
      <c r="AJ11">
        <f t="shared" si="12"/>
        <v>115.39999999999998</v>
      </c>
      <c r="AK11">
        <f t="shared" si="13"/>
        <v>836.3</v>
      </c>
      <c r="AL11">
        <f t="shared" si="14"/>
        <v>29.84</v>
      </c>
      <c r="AM11">
        <f t="shared" si="15"/>
        <v>202.33</v>
      </c>
      <c r="AN11">
        <f t="shared" si="16"/>
        <v>6.3</v>
      </c>
      <c r="AO11">
        <f>ROUND(($J11*CIS_Inc_Salary2324*(VLOOKUP($A11,EnrollData2324,'2324 Jun 24 Enroll'!T$1,FALSE)+VLOOKUP($A11,EnrollData2324,'2324 Jun 24 Enroll'!U$1,FALSE))/Apport_613Xpd)*Apport_614Xpd,2)</f>
        <v>72.69</v>
      </c>
      <c r="AP11">
        <f t="shared" si="17"/>
        <v>12.6</v>
      </c>
      <c r="AQ11">
        <f t="shared" si="19"/>
        <v>32.21</v>
      </c>
      <c r="AR11" s="6">
        <f>ROUND((IF(VLOOKUP($A11,EnrollData2324,'2324 Jun 24 Enroll'!D$1,FALSE)=VLOOKUP($A11,'ESA Calculations 2324'!$A$4:$AE$34,4,FALSE),VLOOKUP($A11,EnrollData2324,'2324 Jun 24 Enroll'!D$1,FALSE),VLOOKUP($A11,'ESA Calculations 2324'!$A$4:$AE$34,4,FALSE))*Apport_M802324+IF(VLOOKUP($A11,EnrollData2324,'2324 Jun 24 Enroll'!M$1,FALSE)=VLOOKUP($A11,'ESA Calculations 2324'!$A$4:$AE$34,18,FALSE),VLOOKUP($A11,EnrollData2324,'2324 Jun 24 Enroll'!M$1,FALSE),VLOOKUP($A11,'ESA Calculations 2324'!$A$4:$AE$34,18,FALSE))*Apport_M802324+IF((VLOOKUP($A11,EnrollData2324,'2324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Enroll'!L$1,FALSE))=VLOOKUP($A11,EnrollData2324,'2324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Enroll'!L$1,FALSE),(VLOOKUP($A11,EnrollData2324,'2324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Enroll'!L$1,FALSE)),(VLOOKUP($A11,EnrollData2324,'2324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Enroll'!L$1,FALSE)))*Apport_M812324)/(IF(VLOOKUP($A11,EnrollData2324,'2324 Jun 24 Enroll'!M$1,FALSE)=VLOOKUP($A11,'ESA Calculations 2324'!$A$4:$AE$34,18,FALSE),VLOOKUP($A11,EnrollData2324,'2324 Jun 24 Enroll'!M$1,FALSE),VLOOKUP($A11,'ESA Calculations 2324'!$A$4:$AE$34,18,FALSE))+IF(VLOOKUP($A11,EnrollData2324,'2324 Jun 24 Enroll'!D$1,FALSE)=VLOOKUP($A11,'ESA Calculations 2324'!$A$4:$AE$34,4,FALSE),VLOOKUP($A11,EnrollData2324,'2324 Jun 24 Enroll'!D$1,FALSE),VLOOKUP($A11,'ESA Calculations 2324'!$A$4:$AE$34,4,FALSE))),2)</f>
        <v>1542.73</v>
      </c>
      <c r="AS11" s="7">
        <f t="shared" si="20"/>
        <v>9678.5399999999991</v>
      </c>
      <c r="AT11" s="6">
        <f>IF(VLOOKUP($A11,EnrollData2324,'2324 Jun 24 Enroll'!AA$1,FALSE)=VLOOKUP($A11,'ESA Calculations 2324'!$A$4:$AE$34,24,FALSE),VLOOKUP($A11,EnrollData2324,'2324 Jun 24 Enroll'!AA$1,FALSE),VLOOKUP($A11,'ESA Calculations 2324'!$A$4:$AE$34,24,FALSE))</f>
        <v>255.77</v>
      </c>
    </row>
    <row r="12" spans="1:49">
      <c r="A12" s="40" t="s">
        <v>516</v>
      </c>
      <c r="B12" s="40" t="s">
        <v>517</v>
      </c>
      <c r="C12" s="11">
        <f>ROUND((IFERROR((1/IF(VLOOKUP($A12,EnrollData2324,28,FALSE)=VLOOKUP($A12,'ESA Calculations 2324'!$A$4:$AE$34,3,FALSE),VLOOKUP($A12,EnrollData2324,28,FALSE),VLOOKUP($A12,'ESA Calculations 2324'!$A$4:$AE$34,3,FALSE)))*(1+Apport_Z315),0))+Apport_201A2324,6)</f>
        <v>7.3449E-2</v>
      </c>
      <c r="D12">
        <f>ROUND(IF(VLOOKUP($A12,EnrollData2324,'2324 Jun 24 Enroll'!D$1,FALSE)=VLOOKUP($A12,'ESA Calculations 2324'!$A$4:$AE$34,4,FALSE),VLOOKUP($A12,EnrollData2324,'2324 Jun 24 Enroll'!D$1,FALSE),VLOOKUP($A12,'ESA Calculations 2324'!$A$4:$AE$34,4,FALSE))*C12,3)</f>
        <v>0</v>
      </c>
      <c r="E12">
        <f>ROUND(IF(VLOOKUP($A12,EnrollData2324,'2324 Jun 24 Enroll'!E$1,FALSE)=VLOOKUP($A12,'ESA Calculations 2324'!$A$4:$AE$34,5,FALSE),VLOOKUP($A12,EnrollData2324,'2324 Jun 24 Enroll'!E$1,FALSE),VLOOKUP($A12,'ESA Calculations 2324'!$A$4:$AE$34,5,FALSE))*C12,3)</f>
        <v>1.1020000000000001</v>
      </c>
      <c r="F12">
        <f>ROUND(IF(VLOOKUP($A12,EnrollData2324,'2324 Jun 24 Enroll'!F$1,FALSE)=VLOOKUP($A12,'ESA Calculations 2324'!$A$4:$AE$34,6,FALSE),VLOOKUP($A12,EnrollData2324,'2324 Jun 24 Enroll'!F$1,FALSE),VLOOKUP($A12,'ESA Calculations 2324'!$A$4:$AE$34,6,FALSE))*Apport_222A2324,3)</f>
        <v>0.27500000000000002</v>
      </c>
      <c r="G12">
        <f>ROUND(IF(VLOOKUP($A12,EnrollData2324,'2324 Jun 24 Enroll'!G$1,FALSE)=VLOOKUP($A12,'ESA Calculations 2324'!$A$4:$AE$34,7,FALSE),VLOOKUP($A12,EnrollData2324,'2324 Jun 24 Enroll'!G$1,FALSE),VLOOKUP($A12,'ESA Calculations 2324'!$A$4:$AE$34,7,FALSE))*Apport_210A2324,3)</f>
        <v>0.48799999999999999</v>
      </c>
      <c r="H12">
        <f>ROUND(IF(VLOOKUP($A12,EnrollData2324,'2324 Jun 24 Enroll'!H$1,FALSE)=VLOOKUP($A12,'ESA Calculations 2324'!$A$4:$AE$34,8,FALSE),VLOOKUP($A12,EnrollData2324,'2324 Jun 24 Enroll'!H$1,FALSE),VLOOKUP($A12,'ESA Calculations 2324'!$A$4:$AE$34,8,FALSE))*Apport_213A2324,3)</f>
        <v>0.247</v>
      </c>
      <c r="I12">
        <f>ROUND(IF(VLOOKUP($A12,EnrollData2324,'2324 Jun 24 Enroll'!I$1,FALSE)+VLOOKUP($A12,EnrollData2324,'2324 Jun 24 Enroll'!M$1,FALSE)-VLOOKUP($A12,EnrollData2324,'2324 Jun 24 Enroll'!J$1,FALSE)=VLOOKUP($A12,'ESA Calculations 2324'!$A$4:$AE$34,9,FALSE)+VLOOKUP($A12,'ESA Calculations 2324'!$A$4:$AE$34,18,FALSE)-VLOOKUP($A12,'ESA Calculations 2324'!$A$4:$AE$34,10,FALSE),VLOOKUP($A12,EnrollData2324,'2324 Jun 24 Enroll'!I$1,FALSE)+VLOOKUP($A12,EnrollData2324,'2324 Jun 24 Enroll'!M$1,FALSE)-VLOOKUP($A12,EnrollData2324,'2324 Jun 24 Enroll'!J$1,FALSE),VLOOKUP($A12,'ESA Calculations 2324'!$A$4:$AE$34,9,FALSE)+VLOOKUP($A12,'ESA Calculations 2324'!$A$4:$AE$34,18,FALSE)-VLOOKUP($A12,'ESA Calculations 2324'!$A$4:$AE$34,10,FALSE))*Apport_216A2324,3)</f>
        <v>0.63200000000000001</v>
      </c>
      <c r="J12">
        <f>ROUND(SUM(D12:I12)/IF(VLOOKUP($A12,EnrollData2324,'2324 Jun 24 Enroll'!M$1,FALSE)+VLOOKUP($A12,EnrollData2324,'2324 Jun 24 Enroll'!D$1,FALSE)=VLOOKUP($A12,'ESA Calculations 2324'!$A$4:$AE$34,18,FALSE)+VLOOKUP($A12,'ESA Calculations 2324'!$A$4:$AE$34,4,FALSE),VLOOKUP($A12,EnrollData2324,'2324 Jun 24 Enroll'!M$1,FALSE)+VLOOKUP($A12,EnrollData2324,'2324 Jun 24 Enroll'!D$1,FALSE),VLOOKUP($A12,'ESA Calculations 2324'!$A$4:$AE$34,18,FALSE)+VLOOKUP($A12,'ESA Calculations 2324'!$A$4:$AE$34,4,FALSE)),5)</f>
        <v>5.6570000000000002E-2</v>
      </c>
      <c r="K12" s="11">
        <f t="shared" si="7"/>
        <v>4.365E-3</v>
      </c>
      <c r="L12">
        <f>ROUND(IF(VLOOKUP($A12,EnrollData2324,'2324 Jun 24 Enroll'!D$1,FALSE)=VLOOKUP($A12,'ESA Calculations 2324'!$A$4:$AE$34,4,FALSE),VLOOKUP($A12,EnrollData2324,'2324 Jun 24 Enroll'!D$1,FALSE),VLOOKUP($A12,'ESA Calculations 2324'!$A$4:$AE$34,4,FALSE))*K12,3)</f>
        <v>0</v>
      </c>
      <c r="M12">
        <f>ROUND(IF(VLOOKUP($A12,EnrollData2324,'2324 Jun 24 Enroll'!E$1,FALSE)=VLOOKUP($A12,'ESA Calculations 2324'!$A$4:$AE$34,5,FALSE),VLOOKUP($A12,EnrollData2324,'2324 Jun 24 Enroll'!E$1,FALSE),VLOOKUP($A12,'ESA Calculations 2324'!$A$4:$AE$34,5,FALSE))*K12,3)</f>
        <v>6.5000000000000002E-2</v>
      </c>
      <c r="N12">
        <f>ROUND(IF(VLOOKUP($A12,EnrollData2324,'2324 Jun 24 Enroll'!F$1,FALSE)=VLOOKUP($A12,'ESA Calculations 2324'!$A$4:$AE$34,6,FALSE),VLOOKUP($A12,EnrollData2324,'2324 Jun 24 Enroll'!F$1,FALSE),VLOOKUP($A12,'ESA Calculations 2324'!$A$4:$AE$34,6,FALSE))*Apport_223A2324,3)</f>
        <v>2.3E-2</v>
      </c>
      <c r="O12">
        <f>ROUND(IF(VLOOKUP($A12,EnrollData2324,'2324 Jun 24 Enroll'!G$1,FALSE)=VLOOKUP($A12,'ESA Calculations 2324'!$A$4:$AE$34,7,FALSE),VLOOKUP($A12,EnrollData2324,'2324 Jun 24 Enroll'!G$1,FALSE),VLOOKUP($A12,'ESA Calculations 2324'!$A$4:$AE$34,7,FALSE))*Apport_211A2324,3)</f>
        <v>4.1000000000000002E-2</v>
      </c>
      <c r="P12">
        <f>ROUND(IF(VLOOKUP($A12,EnrollData2324,'2324 Jun 24 Enroll'!H$1,FALSE)=VLOOKUP($A12,'ESA Calculations 2324'!$A$4:$AE$34,8,FALSE),VLOOKUP($A12,EnrollData2324,'2324 Jun 24 Enroll'!H$1,FALSE),VLOOKUP($A12,'ESA Calculations 2324'!$A$4:$AE$34,8,FALSE))*Apport_214A2324,3)</f>
        <v>2.1000000000000001E-2</v>
      </c>
      <c r="Q12">
        <f>ROUND(IF(VLOOKUP($A12,EnrollData2324,'2324 Jun 24 Enroll'!I$1,FALSE)+VLOOKUP($A12,EnrollData2324,'2324 Jun 24 Enroll'!M$1,FALSE)-VLOOKUP($A12,EnrollData2324,'2324 Jun 24 Enroll'!J$1,FALSE)=VLOOKUP($A12,'ESA Calculations 2324'!$A$4:$AE$34,9,FALSE)+VLOOKUP($A12,'ESA Calculations 2324'!$A$4:$AE$34,18,FALSE)-VLOOKUP($A12,'ESA Calculations 2324'!$A$4:$AE$34,10,FALSE),VLOOKUP($A12,EnrollData2324,'2324 Jun 24 Enroll'!I$1,FALSE)+VLOOKUP($A12,EnrollData2324,'2324 Jun 24 Enroll'!M$1,FALSE)-VLOOKUP($A12,EnrollData2324,'2324 Jun 24 Enroll'!J$1,FALSE),VLOOKUP($A12,'ESA Calculations 2324'!$A$4:$AE$34,9,FALSE)+VLOOKUP($A12,'ESA Calculations 2324'!$A$4:$AE$34,18,FALSE)-VLOOKUP($A12,'ESA Calculations 2324'!$A$4:$AE$34,10,FALSE))*Apport_217A2324,3)</f>
        <v>5.0999999999999997E-2</v>
      </c>
      <c r="R12">
        <f>ROUND(SUM(L12:Q12)/IF(VLOOKUP($A12,EnrollData2324,'2324 Jun 24 Enroll'!M$1,FALSE)+VLOOKUP($A12,EnrollData2324,'2324 Jun 24 Enroll'!D$1,FALSE)=VLOOKUP($A12,'ESA Calculations 2324'!$A$4:$AE$34,18,FALSE)+VLOOKUP($A12,'ESA Calculations 2324'!$A$4:$AE$34,4,FALSE),VLOOKUP($A12,EnrollData2324,'2324 Jun 24 Enroll'!M$1,FALSE)+VLOOKUP($A12,EnrollData2324,'2324 Jun 24 Enroll'!D$1,FALSE),VLOOKUP($A12,'ESA Calculations 2324'!$A$4:$AE$34,18,FALSE)+VLOOKUP($A12,'ESA Calculations 2324'!$A$4:$AE$34,4,FALSE)),5)</f>
        <v>4.1399999999999996E-3</v>
      </c>
      <c r="S12" s="11">
        <f t="shared" si="8"/>
        <v>1.8294500000000002E-2</v>
      </c>
      <c r="T12">
        <f>ROUND(IF(VLOOKUP($A12,EnrollData2324,'2324 Jun 24 Enroll'!D$1,FALSE)=VLOOKUP($A12,'ESA Calculations 2324'!$A$4:$AE$34,4,FALSE),VLOOKUP($A12,EnrollData2324,'2324 Jun 24 Enroll'!D$1,FALSE),VLOOKUP($A12,'ESA Calculations 2324'!$A$4:$AE$34,4,FALSE))*S12,3)</f>
        <v>0</v>
      </c>
      <c r="U12">
        <f>ROUND(IF(VLOOKUP($A12,EnrollData2324,'2324 Jun 24 Enroll'!E$1,FALSE)=VLOOKUP($A12,'ESA Calculations 2324'!$A$4:$AE$34,5,FALSE),VLOOKUP($A12,EnrollData2324,'2324 Jun 24 Enroll'!E$1,FALSE),VLOOKUP($A12,'ESA Calculations 2324'!$A$4:$AE$34,5,FALSE))*S12,3)</f>
        <v>0.27400000000000002</v>
      </c>
      <c r="V12">
        <f>ROUND(IF(VLOOKUP($A12,EnrollData2324,'2324 Jun 24 Enroll'!F$1,FALSE)=VLOOKUP($A12,'ESA Calculations 2324'!$A$4:$AE$34,6,FALSE),VLOOKUP($A12,EnrollData2324,'2324 Jun 24 Enroll'!F$1,FALSE),VLOOKUP($A12,'ESA Calculations 2324'!$A$4:$AE$34,6,FALSE))*Apport_224A2324,3)</f>
        <v>9.9000000000000005E-2</v>
      </c>
      <c r="W12">
        <f>ROUND(IF(VLOOKUP($A12,EnrollData2324,'2324 Jun 24 Enroll'!G$1,FALSE)=VLOOKUP($A12,'ESA Calculations 2324'!$A$4:$AE$34,7,FALSE),VLOOKUP($A12,EnrollData2324,'2324 Jun 24 Enroll'!G$1,FALSE),VLOOKUP($A12,'ESA Calculations 2324'!$A$4:$AE$34,7,FALSE))*Apport_212A2324,3)</f>
        <v>0.17499999999999999</v>
      </c>
      <c r="X12">
        <f>ROUND(IF(VLOOKUP($A12,EnrollData2324,'2324 Jun 24 Enroll'!H$1,FALSE)=VLOOKUP($A12,'ESA Calculations 2324'!$A$4:$AE$34,8,FALSE),VLOOKUP($A12,EnrollData2324,'2324 Jun 24 Enroll'!H$1,FALSE),VLOOKUP($A12,'ESA Calculations 2324'!$A$4:$AE$34,8,FALSE))*Apport_215A2324,3)</f>
        <v>8.6999999999999994E-2</v>
      </c>
      <c r="Y12">
        <f>ROUND(IF(VLOOKUP($A12,EnrollData2324,'2324 Jun 24 Enroll'!I$1,FALSE)+VLOOKUP($A12,EnrollData2324,'2324 Jun 24 Enroll'!M$1,FALSE)-VLOOKUP($A12,EnrollData2324,'2324 Jun 24 Enroll'!J$1,FALSE)=VLOOKUP($A12,'ESA Calculations 2324'!$A$4:$AE$34,9,FALSE)+VLOOKUP($A12,'ESA Calculations 2324'!$A$4:$AE$34,18,FALSE)-VLOOKUP($A12,'ESA Calculations 2324'!$A$4:$AE$34,10,FALSE),VLOOKUP($A12,EnrollData2324,'2324 Jun 24 Enroll'!I$1,FALSE)+VLOOKUP($A12,EnrollData2324,'2324 Jun 24 Enroll'!M$1,FALSE)-VLOOKUP($A12,EnrollData2324,'2324 Jun 24 Enroll'!J$1,FALSE),VLOOKUP($A12,'ESA Calculations 2324'!$A$4:$AE$34,9,FALSE)+VLOOKUP($A12,'ESA Calculations 2324'!$A$4:$AE$34,18,FALSE)-VLOOKUP($A12,'ESA Calculations 2324'!$A$4:$AE$34,10,FALSE))*Apport_218A2324,3)</f>
        <v>0.216</v>
      </c>
      <c r="Z12">
        <f>ROUND(SUM(T12:Y12)/IF(VLOOKUP($A12,EnrollData2324,'2324 Jun 24 Enroll'!M$1,FALSE)+VLOOKUP($A12,EnrollData2324,'2324 Jun 24 Enroll'!D$1,FALSE)=VLOOKUP($A12,'ESA Calculations 2324'!$A$4:$AE$34,18,FALSE)+VLOOKUP($A12,'ESA Calculations 2324'!$A$4:$AE$34,4,FALSE),VLOOKUP($A12,EnrollData2324,'2324 Jun 24 Enroll'!M$1,FALSE)+VLOOKUP($A12,EnrollData2324,'2324 Jun 24 Enroll'!D$1,FALSE),VLOOKUP($A12,'ESA Calculations 2324'!$A$4:$AE$34,18,FALSE)+VLOOKUP($A12,'ESA Calculations 2324'!$A$4:$AE$34,4,FALSE)),5)</f>
        <v>1.754E-2</v>
      </c>
      <c r="AA12" s="6">
        <f>ROUND($J12*CIS_Base_Salary2324*VLOOKUP($A12,EnrollData2324,'2324 Jun 24 Enroll'!S$1,FALSE),2)</f>
        <v>4114.22</v>
      </c>
      <c r="AB12" s="6">
        <f>ROUND($J12*CIS_Inc_Salary2324*(VLOOKUP($A12,EnrollData2324,'2324 Jun 24 Enroll'!T$1,FALSE)+VLOOKUP($A12,EnrollData2324,'2324 Jun 24 Enroll'!U$1,FALSE)),2)-AA12</f>
        <v>237.55999999999949</v>
      </c>
      <c r="AC12" s="6">
        <f>ROUND($R12*CAS_Base_Salary2324*VLOOKUP($A12,EnrollData2324,'2324 Jun 24 Enroll'!S$1,FALSE),2)</f>
        <v>446.93</v>
      </c>
      <c r="AD12" s="6">
        <f>ROUND($R12*CAS_Inc_Salary2324*VLOOKUP($A12,EnrollData2324,'2324 Jun 24 Enroll'!T$1,FALSE),2)-AC12</f>
        <v>16.54000000000002</v>
      </c>
      <c r="AE12" s="6">
        <f>ROUND($Z12*CLS_Base_Salary2324*VLOOKUP($A12,EnrollData2324,'2324 Jun 24 Enroll'!S$1,FALSE),2)</f>
        <v>915.11</v>
      </c>
      <c r="AF12" s="6">
        <f>ROUND($Z12*CLS_Inc_Salary2324*VLOOKUP($A12,EnrollData2324,'2324 Jun 24 Enroll'!T$1,FALSE),2)-AE12</f>
        <v>33.860000000000014</v>
      </c>
      <c r="AG12">
        <f t="shared" si="9"/>
        <v>747.46</v>
      </c>
      <c r="AH12" s="69">
        <f t="shared" si="10"/>
        <v>69.939999999999941</v>
      </c>
      <c r="AI12">
        <f t="shared" si="11"/>
        <v>215.95</v>
      </c>
      <c r="AJ12">
        <f t="shared" si="12"/>
        <v>115.13999999999999</v>
      </c>
      <c r="AK12">
        <f t="shared" si="13"/>
        <v>819.64</v>
      </c>
      <c r="AL12">
        <f t="shared" si="14"/>
        <v>44.04</v>
      </c>
      <c r="AM12">
        <f t="shared" si="15"/>
        <v>201.87</v>
      </c>
      <c r="AN12">
        <f t="shared" si="16"/>
        <v>6.28</v>
      </c>
      <c r="AO12">
        <f>ROUND(($J12*CIS_Inc_Salary2324*(VLOOKUP($A12,EnrollData2324,'2324 Jun 24 Enroll'!T$1,FALSE)+VLOOKUP($A12,EnrollData2324,'2324 Jun 24 Enroll'!U$1,FALSE))/Apport_613Xpd)*Apport_614Xpd,2)</f>
        <v>72.53</v>
      </c>
      <c r="AP12">
        <f t="shared" si="17"/>
        <v>12.57</v>
      </c>
      <c r="AQ12">
        <f t="shared" si="19"/>
        <v>31.51</v>
      </c>
      <c r="AR12" s="6">
        <f>ROUND((IF(VLOOKUP($A12,EnrollData2324,'2324 Jun 24 Enroll'!D$1,FALSE)=VLOOKUP($A12,'ESA Calculations 2324'!$A$4:$AE$34,4,FALSE),VLOOKUP($A12,EnrollData2324,'2324 Jun 24 Enroll'!D$1,FALSE),VLOOKUP($A12,'ESA Calculations 2324'!$A$4:$AE$34,4,FALSE))*Apport_M802324+IF(VLOOKUP($A12,EnrollData2324,'2324 Jun 24 Enroll'!M$1,FALSE)=VLOOKUP($A12,'ESA Calculations 2324'!$A$4:$AE$34,18,FALSE),VLOOKUP($A12,EnrollData2324,'2324 Jun 24 Enroll'!M$1,FALSE),VLOOKUP($A12,'ESA Calculations 2324'!$A$4:$AE$34,18,FALSE))*Apport_M802324+IF((VLOOKUP($A12,EnrollData2324,'2324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Enroll'!L$1,FALSE))=VLOOKUP($A12,EnrollData2324,'2324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Enroll'!L$1,FALSE),(VLOOKUP($A12,EnrollData2324,'2324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Enroll'!L$1,FALSE)),(VLOOKUP($A12,EnrollData2324,'2324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Enroll'!L$1,FALSE)))*Apport_M812324)/(IF(VLOOKUP($A12,EnrollData2324,'2324 Jun 24 Enroll'!M$1,FALSE)=VLOOKUP($A12,'ESA Calculations 2324'!$A$4:$AE$34,18,FALSE),VLOOKUP($A12,EnrollData2324,'2324 Jun 24 Enroll'!M$1,FALSE),VLOOKUP($A12,'ESA Calculations 2324'!$A$4:$AE$34,18,FALSE))+IF(VLOOKUP($A12,EnrollData2324,'2324 Jun 24 Enroll'!D$1,FALSE)=VLOOKUP($A12,'ESA Calculations 2324'!$A$4:$AE$34,4,FALSE),VLOOKUP($A12,EnrollData2324,'2324 Jun 24 Enroll'!D$1,FALSE),VLOOKUP($A12,'ESA Calculations 2324'!$A$4:$AE$34,4,FALSE))),2)</f>
        <v>1535.49</v>
      </c>
      <c r="AS12" s="7">
        <f t="shared" si="20"/>
        <v>9636.64</v>
      </c>
      <c r="AT12" s="6">
        <f>IF(VLOOKUP($A12,EnrollData2324,'2324 Jun 24 Enroll'!AA$1,FALSE)=VLOOKUP($A12,'ESA Calculations 2324'!$A$4:$AE$34,24,FALSE),VLOOKUP($A12,EnrollData2324,'2324 Jun 24 Enroll'!AA$1,FALSE),VLOOKUP($A12,'ESA Calculations 2324'!$A$4:$AE$34,24,FALSE))</f>
        <v>48.51</v>
      </c>
    </row>
    <row r="13" spans="1:49">
      <c r="A13" s="40" t="s">
        <v>544</v>
      </c>
      <c r="B13" s="40" t="s">
        <v>545</v>
      </c>
      <c r="C13" s="11">
        <f>ROUND((IFERROR((1/IF(VLOOKUP($A13,EnrollData2324,28,FALSE)=VLOOKUP($A13,'ESA Calculations 2324'!$A$4:$AE$34,3,FALSE),VLOOKUP($A13,EnrollData2324,28,FALSE),VLOOKUP($A13,'ESA Calculations 2324'!$A$4:$AE$34,3,FALSE)))*(1+Apport_Z315),0))+Apport_201A2324,6)</f>
        <v>7.3449E-2</v>
      </c>
      <c r="D13">
        <f>ROUND(IF(VLOOKUP($A13,EnrollData2324,'2324 Jun 24 Enroll'!D$1,FALSE)=VLOOKUP($A13,'ESA Calculations 2324'!$A$4:$AE$34,4,FALSE),VLOOKUP($A13,EnrollData2324,'2324 Jun 24 Enroll'!D$1,FALSE),VLOOKUP($A13,'ESA Calculations 2324'!$A$4:$AE$34,4,FALSE))*C13,3)</f>
        <v>0</v>
      </c>
      <c r="E13">
        <f>ROUND(IF(VLOOKUP($A13,EnrollData2324,'2324 Jun 24 Enroll'!E$1,FALSE)=VLOOKUP($A13,'ESA Calculations 2324'!$A$4:$AE$34,5,FALSE),VLOOKUP($A13,EnrollData2324,'2324 Jun 24 Enroll'!E$1,FALSE),VLOOKUP($A13,'ESA Calculations 2324'!$A$4:$AE$34,5,FALSE))*C13,3)</f>
        <v>3.9590000000000001</v>
      </c>
      <c r="F13">
        <f>ROUND(IF(VLOOKUP($A13,EnrollData2324,'2324 Jun 24 Enroll'!F$1,FALSE)=VLOOKUP($A13,'ESA Calculations 2324'!$A$4:$AE$34,6,FALSE),VLOOKUP($A13,EnrollData2324,'2324 Jun 24 Enroll'!F$1,FALSE),VLOOKUP($A13,'ESA Calculations 2324'!$A$4:$AE$34,6,FALSE))*Apport_222A2324,3)</f>
        <v>1.1830000000000001</v>
      </c>
      <c r="G13">
        <f>ROUND(IF(VLOOKUP($A13,EnrollData2324,'2324 Jun 24 Enroll'!G$1,FALSE)=VLOOKUP($A13,'ESA Calculations 2324'!$A$4:$AE$34,7,FALSE),VLOOKUP($A13,EnrollData2324,'2324 Jun 24 Enroll'!G$1,FALSE),VLOOKUP($A13,'ESA Calculations 2324'!$A$4:$AE$34,7,FALSE))*Apport_210A2324,3)</f>
        <v>1.3620000000000001</v>
      </c>
      <c r="H13">
        <f>ROUND(IF(VLOOKUP($A13,EnrollData2324,'2324 Jun 24 Enroll'!H$1,FALSE)=VLOOKUP($A13,'ESA Calculations 2324'!$A$4:$AE$34,8,FALSE),VLOOKUP($A13,EnrollData2324,'2324 Jun 24 Enroll'!H$1,FALSE),VLOOKUP($A13,'ESA Calculations 2324'!$A$4:$AE$34,8,FALSE))*Apport_213A2324,3)</f>
        <v>1.657</v>
      </c>
      <c r="I13">
        <f>ROUND(IF(VLOOKUP($A13,EnrollData2324,'2324 Jun 24 Enroll'!I$1,FALSE)+VLOOKUP($A13,EnrollData2324,'2324 Jun 24 Enroll'!M$1,FALSE)-VLOOKUP($A13,EnrollData2324,'2324 Jun 24 Enroll'!J$1,FALSE)=VLOOKUP($A13,'ESA Calculations 2324'!$A$4:$AE$34,9,FALSE)+VLOOKUP($A13,'ESA Calculations 2324'!$A$4:$AE$34,18,FALSE)-VLOOKUP($A13,'ESA Calculations 2324'!$A$4:$AE$34,10,FALSE),VLOOKUP($A13,EnrollData2324,'2324 Jun 24 Enroll'!I$1,FALSE)+VLOOKUP($A13,EnrollData2324,'2324 Jun 24 Enroll'!M$1,FALSE)-VLOOKUP($A13,EnrollData2324,'2324 Jun 24 Enroll'!J$1,FALSE),VLOOKUP($A13,'ESA Calculations 2324'!$A$4:$AE$34,9,FALSE)+VLOOKUP($A13,'ESA Calculations 2324'!$A$4:$AE$34,18,FALSE)-VLOOKUP($A13,'ESA Calculations 2324'!$A$4:$AE$34,10,FALSE))*Apport_216A2324,3)</f>
        <v>3.37</v>
      </c>
      <c r="J13">
        <f>ROUND(SUM(D13:I13)/IF(VLOOKUP($A13,EnrollData2324,'2324 Jun 24 Enroll'!M$1,FALSE)+VLOOKUP($A13,EnrollData2324,'2324 Jun 24 Enroll'!D$1,FALSE)=VLOOKUP($A13,'ESA Calculations 2324'!$A$4:$AE$34,18,FALSE)+VLOOKUP($A13,'ESA Calculations 2324'!$A$4:$AE$34,4,FALSE),VLOOKUP($A13,EnrollData2324,'2324 Jun 24 Enroll'!M$1,FALSE)+VLOOKUP($A13,EnrollData2324,'2324 Jun 24 Enroll'!D$1,FALSE),VLOOKUP($A13,'ESA Calculations 2324'!$A$4:$AE$34,18,FALSE)+VLOOKUP($A13,'ESA Calculations 2324'!$A$4:$AE$34,4,FALSE)),5)</f>
        <v>5.543E-2</v>
      </c>
      <c r="K13" s="11">
        <f t="shared" si="7"/>
        <v>4.365E-3</v>
      </c>
      <c r="L13">
        <f>ROUND(IF(VLOOKUP($A13,EnrollData2324,'2324 Jun 24 Enroll'!D$1,FALSE)=VLOOKUP($A13,'ESA Calculations 2324'!$A$4:$AE$34,4,FALSE),VLOOKUP($A13,EnrollData2324,'2324 Jun 24 Enroll'!D$1,FALSE),VLOOKUP($A13,'ESA Calculations 2324'!$A$4:$AE$34,4,FALSE))*K13,3)</f>
        <v>0</v>
      </c>
      <c r="M13">
        <f>ROUND(IF(VLOOKUP($A13,EnrollData2324,'2324 Jun 24 Enroll'!E$1,FALSE)=VLOOKUP($A13,'ESA Calculations 2324'!$A$4:$AE$34,5,FALSE),VLOOKUP($A13,EnrollData2324,'2324 Jun 24 Enroll'!E$1,FALSE),VLOOKUP($A13,'ESA Calculations 2324'!$A$4:$AE$34,5,FALSE))*K13,3)</f>
        <v>0.23499999999999999</v>
      </c>
      <c r="N13">
        <f>ROUND(IF(VLOOKUP($A13,EnrollData2324,'2324 Jun 24 Enroll'!F$1,FALSE)=VLOOKUP($A13,'ESA Calculations 2324'!$A$4:$AE$34,6,FALSE),VLOOKUP($A13,EnrollData2324,'2324 Jun 24 Enroll'!F$1,FALSE),VLOOKUP($A13,'ESA Calculations 2324'!$A$4:$AE$34,6,FALSE))*Apport_223A2324,3)</f>
        <v>9.9000000000000005E-2</v>
      </c>
      <c r="O13">
        <f>ROUND(IF(VLOOKUP($A13,EnrollData2324,'2324 Jun 24 Enroll'!G$1,FALSE)=VLOOKUP($A13,'ESA Calculations 2324'!$A$4:$AE$34,7,FALSE),VLOOKUP($A13,EnrollData2324,'2324 Jun 24 Enroll'!G$1,FALSE),VLOOKUP($A13,'ESA Calculations 2324'!$A$4:$AE$34,7,FALSE))*Apport_211A2324,3)</f>
        <v>0.114</v>
      </c>
      <c r="P13">
        <f>ROUND(IF(VLOOKUP($A13,EnrollData2324,'2324 Jun 24 Enroll'!H$1,FALSE)=VLOOKUP($A13,'ESA Calculations 2324'!$A$4:$AE$34,8,FALSE),VLOOKUP($A13,EnrollData2324,'2324 Jun 24 Enroll'!H$1,FALSE),VLOOKUP($A13,'ESA Calculations 2324'!$A$4:$AE$34,8,FALSE))*Apport_214A2324,3)</f>
        <v>0.13800000000000001</v>
      </c>
      <c r="Q13">
        <f>ROUND(IF(VLOOKUP($A13,EnrollData2324,'2324 Jun 24 Enroll'!I$1,FALSE)+VLOOKUP($A13,EnrollData2324,'2324 Jun 24 Enroll'!M$1,FALSE)-VLOOKUP($A13,EnrollData2324,'2324 Jun 24 Enroll'!J$1,FALSE)=VLOOKUP($A13,'ESA Calculations 2324'!$A$4:$AE$34,9,FALSE)+VLOOKUP($A13,'ESA Calculations 2324'!$A$4:$AE$34,18,FALSE)-VLOOKUP($A13,'ESA Calculations 2324'!$A$4:$AE$34,10,FALSE),VLOOKUP($A13,EnrollData2324,'2324 Jun 24 Enroll'!I$1,FALSE)+VLOOKUP($A13,EnrollData2324,'2324 Jun 24 Enroll'!M$1,FALSE)-VLOOKUP($A13,EnrollData2324,'2324 Jun 24 Enroll'!J$1,FALSE),VLOOKUP($A13,'ESA Calculations 2324'!$A$4:$AE$34,9,FALSE)+VLOOKUP($A13,'ESA Calculations 2324'!$A$4:$AE$34,18,FALSE)-VLOOKUP($A13,'ESA Calculations 2324'!$A$4:$AE$34,10,FALSE))*Apport_217A2324,3)</f>
        <v>0.27200000000000002</v>
      </c>
      <c r="R13">
        <f>ROUND(SUM(L13:Q13)/IF(VLOOKUP($A13,EnrollData2324,'2324 Jun 24 Enroll'!M$1,FALSE)+VLOOKUP($A13,EnrollData2324,'2324 Jun 24 Enroll'!D$1,FALSE)=VLOOKUP($A13,'ESA Calculations 2324'!$A$4:$AE$34,18,FALSE)+VLOOKUP($A13,'ESA Calculations 2324'!$A$4:$AE$34,4,FALSE),VLOOKUP($A13,EnrollData2324,'2324 Jun 24 Enroll'!M$1,FALSE)+VLOOKUP($A13,EnrollData2324,'2324 Jun 24 Enroll'!D$1,FALSE),VLOOKUP($A13,'ESA Calculations 2324'!$A$4:$AE$34,18,FALSE)+VLOOKUP($A13,'ESA Calculations 2324'!$A$4:$AE$34,4,FALSE)),5)</f>
        <v>4.1200000000000004E-3</v>
      </c>
      <c r="S13" s="11">
        <f t="shared" si="8"/>
        <v>1.8294500000000002E-2</v>
      </c>
      <c r="T13">
        <f>ROUND(IF(VLOOKUP($A13,EnrollData2324,'2324 Jun 24 Enroll'!D$1,FALSE)=VLOOKUP($A13,'ESA Calculations 2324'!$A$4:$AE$34,4,FALSE),VLOOKUP($A13,EnrollData2324,'2324 Jun 24 Enroll'!D$1,FALSE),VLOOKUP($A13,'ESA Calculations 2324'!$A$4:$AE$34,4,FALSE))*S13,3)</f>
        <v>0</v>
      </c>
      <c r="U13">
        <f>ROUND(IF(VLOOKUP($A13,EnrollData2324,'2324 Jun 24 Enroll'!E$1,FALSE)=VLOOKUP($A13,'ESA Calculations 2324'!$A$4:$AE$34,5,FALSE),VLOOKUP($A13,EnrollData2324,'2324 Jun 24 Enroll'!E$1,FALSE),VLOOKUP($A13,'ESA Calculations 2324'!$A$4:$AE$34,5,FALSE))*S13,3)</f>
        <v>0.98599999999999999</v>
      </c>
      <c r="V13">
        <f>ROUND(IF(VLOOKUP($A13,EnrollData2324,'2324 Jun 24 Enroll'!F$1,FALSE)=VLOOKUP($A13,'ESA Calculations 2324'!$A$4:$AE$34,6,FALSE),VLOOKUP($A13,EnrollData2324,'2324 Jun 24 Enroll'!F$1,FALSE),VLOOKUP($A13,'ESA Calculations 2324'!$A$4:$AE$34,6,FALSE))*Apport_224A2324,3)</f>
        <v>0.42399999999999999</v>
      </c>
      <c r="W13">
        <f>ROUND(IF(VLOOKUP($A13,EnrollData2324,'2324 Jun 24 Enroll'!G$1,FALSE)=VLOOKUP($A13,'ESA Calculations 2324'!$A$4:$AE$34,7,FALSE),VLOOKUP($A13,EnrollData2324,'2324 Jun 24 Enroll'!G$1,FALSE),VLOOKUP($A13,'ESA Calculations 2324'!$A$4:$AE$34,7,FALSE))*Apport_212A2324,3)</f>
        <v>0.48799999999999999</v>
      </c>
      <c r="X13">
        <f>ROUND(IF(VLOOKUP($A13,EnrollData2324,'2324 Jun 24 Enroll'!H$1,FALSE)=VLOOKUP($A13,'ESA Calculations 2324'!$A$4:$AE$34,8,FALSE),VLOOKUP($A13,EnrollData2324,'2324 Jun 24 Enroll'!H$1,FALSE),VLOOKUP($A13,'ESA Calculations 2324'!$A$4:$AE$34,8,FALSE))*Apport_215A2324,3)</f>
        <v>0.58499999999999996</v>
      </c>
      <c r="Y13">
        <f>ROUND(IF(VLOOKUP($A13,EnrollData2324,'2324 Jun 24 Enroll'!I$1,FALSE)+VLOOKUP($A13,EnrollData2324,'2324 Jun 24 Enroll'!M$1,FALSE)-VLOOKUP($A13,EnrollData2324,'2324 Jun 24 Enroll'!J$1,FALSE)=VLOOKUP($A13,'ESA Calculations 2324'!$A$4:$AE$34,9,FALSE)+VLOOKUP($A13,'ESA Calculations 2324'!$A$4:$AE$34,18,FALSE)-VLOOKUP($A13,'ESA Calculations 2324'!$A$4:$AE$34,10,FALSE),VLOOKUP($A13,EnrollData2324,'2324 Jun 24 Enroll'!I$1,FALSE)+VLOOKUP($A13,EnrollData2324,'2324 Jun 24 Enroll'!M$1,FALSE)-VLOOKUP($A13,EnrollData2324,'2324 Jun 24 Enroll'!J$1,FALSE),VLOOKUP($A13,'ESA Calculations 2324'!$A$4:$AE$34,9,FALSE)+VLOOKUP($A13,'ESA Calculations 2324'!$A$4:$AE$34,18,FALSE)-VLOOKUP($A13,'ESA Calculations 2324'!$A$4:$AE$34,10,FALSE))*Apport_218A2324,3)</f>
        <v>1.1539999999999999</v>
      </c>
      <c r="Z13">
        <f>ROUND(SUM(T13:Y13)/IF(VLOOKUP($A13,EnrollData2324,'2324 Jun 24 Enroll'!M$1,FALSE)+VLOOKUP($A13,EnrollData2324,'2324 Jun 24 Enroll'!D$1,FALSE)=VLOOKUP($A13,'ESA Calculations 2324'!$A$4:$AE$34,18,FALSE)+VLOOKUP($A13,'ESA Calculations 2324'!$A$4:$AE$34,4,FALSE),VLOOKUP($A13,EnrollData2324,'2324 Jun 24 Enroll'!M$1,FALSE)+VLOOKUP($A13,EnrollData2324,'2324 Jun 24 Enroll'!D$1,FALSE),VLOOKUP($A13,'ESA Calculations 2324'!$A$4:$AE$34,18,FALSE)+VLOOKUP($A13,'ESA Calculations 2324'!$A$4:$AE$34,4,FALSE)),5)</f>
        <v>1.7479999999999999E-2</v>
      </c>
      <c r="AA13" s="6">
        <f>ROUND($J13*CIS_Base_Salary2324*VLOOKUP($A13,EnrollData2324,'2324 Jun 24 Enroll'!S$1,FALSE),2)</f>
        <v>4031.31</v>
      </c>
      <c r="AB13" s="6">
        <f>ROUND($J13*CIS_Inc_Salary2324*(VLOOKUP($A13,EnrollData2324,'2324 Jun 24 Enroll'!T$1,FALSE)+VLOOKUP($A13,EnrollData2324,'2324 Jun 24 Enroll'!U$1,FALSE)),2)-AA13</f>
        <v>149.16999999999962</v>
      </c>
      <c r="AC13" s="6">
        <f>ROUND($R13*CAS_Base_Salary2324*VLOOKUP($A13,EnrollData2324,'2324 Jun 24 Enroll'!S$1,FALSE),2)</f>
        <v>444.77</v>
      </c>
      <c r="AD13" s="6">
        <f>ROUND($R13*CAS_Inc_Salary2324*VLOOKUP($A13,EnrollData2324,'2324 Jun 24 Enroll'!T$1,FALSE),2)-AC13</f>
        <v>16.460000000000036</v>
      </c>
      <c r="AE13" s="6">
        <f>ROUND($Z13*CLS_Base_Salary2324*VLOOKUP($A13,EnrollData2324,'2324 Jun 24 Enroll'!S$1,FALSE),2)</f>
        <v>911.98</v>
      </c>
      <c r="AF13" s="6">
        <f>ROUND($Z13*CLS_Inc_Salary2324*VLOOKUP($A13,EnrollData2324,'2324 Jun 24 Enroll'!T$1,FALSE),2)-AE13</f>
        <v>33.740000000000009</v>
      </c>
      <c r="AG13">
        <f t="shared" si="9"/>
        <v>733.18</v>
      </c>
      <c r="AH13" s="69">
        <f t="shared" si="10"/>
        <v>68.600000000000023</v>
      </c>
      <c r="AI13">
        <f t="shared" si="11"/>
        <v>215.21</v>
      </c>
      <c r="AJ13">
        <f t="shared" si="12"/>
        <v>114.73999999999998</v>
      </c>
      <c r="AK13">
        <f t="shared" si="13"/>
        <v>804.35</v>
      </c>
      <c r="AL13">
        <f t="shared" si="14"/>
        <v>28.7</v>
      </c>
      <c r="AM13">
        <f t="shared" si="15"/>
        <v>201.18</v>
      </c>
      <c r="AN13">
        <f t="shared" si="16"/>
        <v>6.26</v>
      </c>
      <c r="AO13">
        <f>ROUND(($J13*CIS_Inc_Salary2324*(VLOOKUP($A13,EnrollData2324,'2324 Jun 24 Enroll'!T$1,FALSE)+VLOOKUP($A13,EnrollData2324,'2324 Jun 24 Enroll'!U$1,FALSE))/Apport_613Xpd)*Apport_614Xpd,2)</f>
        <v>69.67</v>
      </c>
      <c r="AP13">
        <f t="shared" si="17"/>
        <v>12.07</v>
      </c>
      <c r="AQ13">
        <f t="shared" si="19"/>
        <v>30.88</v>
      </c>
      <c r="AR13" s="6">
        <f>ROUND((IF(VLOOKUP($A13,EnrollData2324,'2324 Jun 24 Enroll'!D$1,FALSE)=VLOOKUP($A13,'ESA Calculations 2324'!$A$4:$AE$34,4,FALSE),VLOOKUP($A13,EnrollData2324,'2324 Jun 24 Enroll'!D$1,FALSE),VLOOKUP($A13,'ESA Calculations 2324'!$A$4:$AE$34,4,FALSE))*Apport_M802324+IF(VLOOKUP($A13,EnrollData2324,'2324 Jun 24 Enroll'!M$1,FALSE)=VLOOKUP($A13,'ESA Calculations 2324'!$A$4:$AE$34,18,FALSE),VLOOKUP($A13,EnrollData2324,'2324 Jun 24 Enroll'!M$1,FALSE),VLOOKUP($A13,'ESA Calculations 2324'!$A$4:$AE$34,18,FALSE))*Apport_M802324+IF((VLOOKUP($A13,EnrollData2324,'2324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Enroll'!L$1,FALSE))=VLOOKUP($A13,EnrollData2324,'2324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Enroll'!L$1,FALSE),(VLOOKUP($A13,EnrollData2324,'2324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Enroll'!L$1,FALSE)),(VLOOKUP($A13,EnrollData2324,'2324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Enroll'!L$1,FALSE)))*Apport_M812324)/(IF(VLOOKUP($A13,EnrollData2324,'2324 Jun 24 Enroll'!M$1,FALSE)=VLOOKUP($A13,'ESA Calculations 2324'!$A$4:$AE$34,18,FALSE),VLOOKUP($A13,EnrollData2324,'2324 Jun 24 Enroll'!M$1,FALSE),VLOOKUP($A13,'ESA Calculations 2324'!$A$4:$AE$34,18,FALSE))+IF(VLOOKUP($A13,EnrollData2324,'2324 Jun 24 Enroll'!D$1,FALSE)=VLOOKUP($A13,'ESA Calculations 2324'!$A$4:$AE$34,4,FALSE),VLOOKUP($A13,EnrollData2324,'2324 Jun 24 Enroll'!D$1,FALSE),VLOOKUP($A13,'ESA Calculations 2324'!$A$4:$AE$34,4,FALSE))),2)</f>
        <v>1548.14</v>
      </c>
      <c r="AS13" s="7">
        <f t="shared" si="20"/>
        <v>9420.4100000000017</v>
      </c>
      <c r="AT13" s="6">
        <f>IF(VLOOKUP($A13,EnrollData2324,'2324 Jun 24 Enroll'!AA$1,FALSE)=VLOOKUP($A13,'ESA Calculations 2324'!$A$4:$AE$34,24,FALSE),VLOOKUP($A13,EnrollData2324,'2324 Jun 24 Enroll'!AA$1,FALSE),VLOOKUP($A13,'ESA Calculations 2324'!$A$4:$AE$34,24,FALSE))</f>
        <v>208.02</v>
      </c>
    </row>
    <row r="14" spans="1:49">
      <c r="A14" s="40" t="s">
        <v>887</v>
      </c>
      <c r="B14" s="40" t="s">
        <v>888</v>
      </c>
      <c r="C14" s="11">
        <f>ROUND((IFERROR((1/IF(VLOOKUP($A14,EnrollData2324,28,FALSE)=VLOOKUP($A14,'ESA Calculations 2324'!$A$4:$AE$34,3,FALSE),VLOOKUP($A14,EnrollData2324,28,FALSE),VLOOKUP($A14,'ESA Calculations 2324'!$A$4:$AE$34,3,FALSE)))*(1+Apport_Z315),0))+Apport_201A2324,6)</f>
        <v>7.3449E-2</v>
      </c>
      <c r="D14">
        <f>ROUND(IF(VLOOKUP($A14,EnrollData2324,'2324 Jun 24 Enroll'!D$1,FALSE)=VLOOKUP($A14,'ESA Calculations 2324'!$A$4:$AE$34,4,FALSE),VLOOKUP($A14,EnrollData2324,'2324 Jun 24 Enroll'!D$1,FALSE),VLOOKUP($A14,'ESA Calculations 2324'!$A$4:$AE$34,4,FALSE))*C14,3)</f>
        <v>0</v>
      </c>
      <c r="E14">
        <f>ROUND(IF(VLOOKUP($A14,EnrollData2324,'2324 Jun 24 Enroll'!E$1,FALSE)=VLOOKUP($A14,'ESA Calculations 2324'!$A$4:$AE$34,5,FALSE),VLOOKUP($A14,EnrollData2324,'2324 Jun 24 Enroll'!E$1,FALSE),VLOOKUP($A14,'ESA Calculations 2324'!$A$4:$AE$34,5,FALSE))*C14,3)</f>
        <v>2.6150000000000002</v>
      </c>
      <c r="F14">
        <f>ROUND(IF(VLOOKUP($A14,EnrollData2324,'2324 Jun 24 Enroll'!F$1,FALSE)=VLOOKUP($A14,'ESA Calculations 2324'!$A$4:$AE$34,6,FALSE),VLOOKUP($A14,EnrollData2324,'2324 Jun 24 Enroll'!F$1,FALSE),VLOOKUP($A14,'ESA Calculations 2324'!$A$4:$AE$34,6,FALSE))*Apport_222A2324,3)</f>
        <v>0.29499999999999998</v>
      </c>
      <c r="G14">
        <f>ROUND(IF(VLOOKUP($A14,EnrollData2324,'2324 Jun 24 Enroll'!G$1,FALSE)=VLOOKUP($A14,'ESA Calculations 2324'!$A$4:$AE$34,7,FALSE),VLOOKUP($A14,EnrollData2324,'2324 Jun 24 Enroll'!G$1,FALSE),VLOOKUP($A14,'ESA Calculations 2324'!$A$4:$AE$34,7,FALSE))*Apport_210A2324,3)</f>
        <v>0.75800000000000001</v>
      </c>
      <c r="H14">
        <f>ROUND(IF(VLOOKUP($A14,EnrollData2324,'2324 Jun 24 Enroll'!H$1,FALSE)=VLOOKUP($A14,'ESA Calculations 2324'!$A$4:$AE$34,8,FALSE),VLOOKUP($A14,EnrollData2324,'2324 Jun 24 Enroll'!H$1,FALSE),VLOOKUP($A14,'ESA Calculations 2324'!$A$4:$AE$34,8,FALSE))*Apport_213A2324,3)</f>
        <v>0.82799999999999996</v>
      </c>
      <c r="I14">
        <f>ROUND(IF(VLOOKUP($A14,EnrollData2324,'2324 Jun 24 Enroll'!I$1,FALSE)+VLOOKUP($A14,EnrollData2324,'2324 Jun 24 Enroll'!M$1,FALSE)-VLOOKUP($A14,EnrollData2324,'2324 Jun 24 Enroll'!J$1,FALSE)=VLOOKUP($A14,'ESA Calculations 2324'!$A$4:$AE$34,9,FALSE)+VLOOKUP($A14,'ESA Calculations 2324'!$A$4:$AE$34,18,FALSE)-VLOOKUP($A14,'ESA Calculations 2324'!$A$4:$AE$34,10,FALSE),VLOOKUP($A14,EnrollData2324,'2324 Jun 24 Enroll'!I$1,FALSE)+VLOOKUP($A14,EnrollData2324,'2324 Jun 24 Enroll'!M$1,FALSE)-VLOOKUP($A14,EnrollData2324,'2324 Jun 24 Enroll'!J$1,FALSE),VLOOKUP($A14,'ESA Calculations 2324'!$A$4:$AE$34,9,FALSE)+VLOOKUP($A14,'ESA Calculations 2324'!$A$4:$AE$34,18,FALSE)-VLOOKUP($A14,'ESA Calculations 2324'!$A$4:$AE$34,10,FALSE))*Apport_216A2324,3)</f>
        <v>1.3</v>
      </c>
      <c r="J14">
        <f>ROUND(SUM(D14:I14)/IF(VLOOKUP($A14,EnrollData2324,'2324 Jun 24 Enroll'!M$1,FALSE)+VLOOKUP($A14,EnrollData2324,'2324 Jun 24 Enroll'!D$1,FALSE)=VLOOKUP($A14,'ESA Calculations 2324'!$A$4:$AE$34,18,FALSE)+VLOOKUP($A14,'ESA Calculations 2324'!$A$4:$AE$34,4,FALSE),VLOOKUP($A14,EnrollData2324,'2324 Jun 24 Enroll'!M$1,FALSE)+VLOOKUP($A14,EnrollData2324,'2324 Jun 24 Enroll'!D$1,FALSE),VLOOKUP($A14,'ESA Calculations 2324'!$A$4:$AE$34,18,FALSE)+VLOOKUP($A14,'ESA Calculations 2324'!$A$4:$AE$34,4,FALSE)),5)</f>
        <v>5.7709999999999997E-2</v>
      </c>
      <c r="K14" s="11">
        <f t="shared" si="7"/>
        <v>4.365E-3</v>
      </c>
      <c r="L14">
        <f>ROUND(IF(VLOOKUP($A14,EnrollData2324,'2324 Jun 24 Enroll'!D$1,FALSE)=VLOOKUP($A14,'ESA Calculations 2324'!$A$4:$AE$34,4,FALSE),VLOOKUP($A14,EnrollData2324,'2324 Jun 24 Enroll'!D$1,FALSE),VLOOKUP($A14,'ESA Calculations 2324'!$A$4:$AE$34,4,FALSE))*K14,3)</f>
        <v>0</v>
      </c>
      <c r="M14">
        <f>ROUND(IF(VLOOKUP($A14,EnrollData2324,'2324 Jun 24 Enroll'!E$1,FALSE)=VLOOKUP($A14,'ESA Calculations 2324'!$A$4:$AE$34,5,FALSE),VLOOKUP($A14,EnrollData2324,'2324 Jun 24 Enroll'!E$1,FALSE),VLOOKUP($A14,'ESA Calculations 2324'!$A$4:$AE$34,5,FALSE))*K14,3)</f>
        <v>0.155</v>
      </c>
      <c r="N14">
        <f>ROUND(IF(VLOOKUP($A14,EnrollData2324,'2324 Jun 24 Enroll'!F$1,FALSE)=VLOOKUP($A14,'ESA Calculations 2324'!$A$4:$AE$34,6,FALSE),VLOOKUP($A14,EnrollData2324,'2324 Jun 24 Enroll'!F$1,FALSE),VLOOKUP($A14,'ESA Calculations 2324'!$A$4:$AE$34,6,FALSE))*Apport_223A2324,3)</f>
        <v>2.5000000000000001E-2</v>
      </c>
      <c r="O14">
        <f>ROUND(IF(VLOOKUP($A14,EnrollData2324,'2324 Jun 24 Enroll'!G$1,FALSE)=VLOOKUP($A14,'ESA Calculations 2324'!$A$4:$AE$34,7,FALSE),VLOOKUP($A14,EnrollData2324,'2324 Jun 24 Enroll'!G$1,FALSE),VLOOKUP($A14,'ESA Calculations 2324'!$A$4:$AE$34,7,FALSE))*Apport_211A2324,3)</f>
        <v>6.3E-2</v>
      </c>
      <c r="P14">
        <f>ROUND(IF(VLOOKUP($A14,EnrollData2324,'2324 Jun 24 Enroll'!H$1,FALSE)=VLOOKUP($A14,'ESA Calculations 2324'!$A$4:$AE$34,8,FALSE),VLOOKUP($A14,EnrollData2324,'2324 Jun 24 Enroll'!H$1,FALSE),VLOOKUP($A14,'ESA Calculations 2324'!$A$4:$AE$34,8,FALSE))*Apport_214A2324,3)</f>
        <v>6.9000000000000006E-2</v>
      </c>
      <c r="Q14">
        <f>ROUND(IF(VLOOKUP($A14,EnrollData2324,'2324 Jun 24 Enroll'!I$1,FALSE)+VLOOKUP($A14,EnrollData2324,'2324 Jun 24 Enroll'!M$1,FALSE)-VLOOKUP($A14,EnrollData2324,'2324 Jun 24 Enroll'!J$1,FALSE)=VLOOKUP($A14,'ESA Calculations 2324'!$A$4:$AE$34,9,FALSE)+VLOOKUP($A14,'ESA Calculations 2324'!$A$4:$AE$34,18,FALSE)-VLOOKUP($A14,'ESA Calculations 2324'!$A$4:$AE$34,10,FALSE),VLOOKUP($A14,EnrollData2324,'2324 Jun 24 Enroll'!I$1,FALSE)+VLOOKUP($A14,EnrollData2324,'2324 Jun 24 Enroll'!M$1,FALSE)-VLOOKUP($A14,EnrollData2324,'2324 Jun 24 Enroll'!J$1,FALSE),VLOOKUP($A14,'ESA Calculations 2324'!$A$4:$AE$34,9,FALSE)+VLOOKUP($A14,'ESA Calculations 2324'!$A$4:$AE$34,18,FALSE)-VLOOKUP($A14,'ESA Calculations 2324'!$A$4:$AE$34,10,FALSE))*Apport_217A2324,3)</f>
        <v>0.105</v>
      </c>
      <c r="R14">
        <f>ROUND(SUM(L14:Q14)/IF(VLOOKUP($A14,EnrollData2324,'2324 Jun 24 Enroll'!M$1,FALSE)+VLOOKUP($A14,EnrollData2324,'2324 Jun 24 Enroll'!D$1,FALSE)=VLOOKUP($A14,'ESA Calculations 2324'!$A$4:$AE$34,18,FALSE)+VLOOKUP($A14,'ESA Calculations 2324'!$A$4:$AE$34,4,FALSE),VLOOKUP($A14,EnrollData2324,'2324 Jun 24 Enroll'!M$1,FALSE)+VLOOKUP($A14,EnrollData2324,'2324 Jun 24 Enroll'!D$1,FALSE),VLOOKUP($A14,'ESA Calculations 2324'!$A$4:$AE$34,18,FALSE)+VLOOKUP($A14,'ESA Calculations 2324'!$A$4:$AE$34,4,FALSE)),5)</f>
        <v>4.15E-3</v>
      </c>
      <c r="S14" s="11">
        <f t="shared" si="8"/>
        <v>1.8294500000000002E-2</v>
      </c>
      <c r="T14">
        <f>ROUND(IF(VLOOKUP($A14,EnrollData2324,'2324 Jun 24 Enroll'!D$1,FALSE)=VLOOKUP($A14,'ESA Calculations 2324'!$A$4:$AE$34,4,FALSE),VLOOKUP($A14,EnrollData2324,'2324 Jun 24 Enroll'!D$1,FALSE),VLOOKUP($A14,'ESA Calculations 2324'!$A$4:$AE$34,4,FALSE))*S14,3)</f>
        <v>0</v>
      </c>
      <c r="U14">
        <f>ROUND(IF(VLOOKUP($A14,EnrollData2324,'2324 Jun 24 Enroll'!E$1,FALSE)=VLOOKUP($A14,'ESA Calculations 2324'!$A$4:$AE$34,5,FALSE),VLOOKUP($A14,EnrollData2324,'2324 Jun 24 Enroll'!E$1,FALSE),VLOOKUP($A14,'ESA Calculations 2324'!$A$4:$AE$34,5,FALSE))*S14,3)</f>
        <v>0.65100000000000002</v>
      </c>
      <c r="V14">
        <f>ROUND(IF(VLOOKUP($A14,EnrollData2324,'2324 Jun 24 Enroll'!F$1,FALSE)=VLOOKUP($A14,'ESA Calculations 2324'!$A$4:$AE$34,6,FALSE),VLOOKUP($A14,EnrollData2324,'2324 Jun 24 Enroll'!F$1,FALSE),VLOOKUP($A14,'ESA Calculations 2324'!$A$4:$AE$34,6,FALSE))*Apport_224A2324,3)</f>
        <v>0.106</v>
      </c>
      <c r="W14">
        <f>ROUND(IF(VLOOKUP($A14,EnrollData2324,'2324 Jun 24 Enroll'!G$1,FALSE)=VLOOKUP($A14,'ESA Calculations 2324'!$A$4:$AE$34,7,FALSE),VLOOKUP($A14,EnrollData2324,'2324 Jun 24 Enroll'!G$1,FALSE),VLOOKUP($A14,'ESA Calculations 2324'!$A$4:$AE$34,7,FALSE))*Apport_212A2324,3)</f>
        <v>0.27200000000000002</v>
      </c>
      <c r="X14">
        <f>ROUND(IF(VLOOKUP($A14,EnrollData2324,'2324 Jun 24 Enroll'!H$1,FALSE)=VLOOKUP($A14,'ESA Calculations 2324'!$A$4:$AE$34,8,FALSE),VLOOKUP($A14,EnrollData2324,'2324 Jun 24 Enroll'!H$1,FALSE),VLOOKUP($A14,'ESA Calculations 2324'!$A$4:$AE$34,8,FALSE))*Apport_215A2324,3)</f>
        <v>0.29199999999999998</v>
      </c>
      <c r="Y14">
        <f>ROUND(IF(VLOOKUP($A14,EnrollData2324,'2324 Jun 24 Enroll'!I$1,FALSE)+VLOOKUP($A14,EnrollData2324,'2324 Jun 24 Enroll'!M$1,FALSE)-VLOOKUP($A14,EnrollData2324,'2324 Jun 24 Enroll'!J$1,FALSE)=VLOOKUP($A14,'ESA Calculations 2324'!$A$4:$AE$34,9,FALSE)+VLOOKUP($A14,'ESA Calculations 2324'!$A$4:$AE$34,18,FALSE)-VLOOKUP($A14,'ESA Calculations 2324'!$A$4:$AE$34,10,FALSE),VLOOKUP($A14,EnrollData2324,'2324 Jun 24 Enroll'!I$1,FALSE)+VLOOKUP($A14,EnrollData2324,'2324 Jun 24 Enroll'!M$1,FALSE)-VLOOKUP($A14,EnrollData2324,'2324 Jun 24 Enroll'!J$1,FALSE),VLOOKUP($A14,'ESA Calculations 2324'!$A$4:$AE$34,9,FALSE)+VLOOKUP($A14,'ESA Calculations 2324'!$A$4:$AE$34,18,FALSE)-VLOOKUP($A14,'ESA Calculations 2324'!$A$4:$AE$34,10,FALSE))*Apport_218A2324,3)</f>
        <v>0.44500000000000001</v>
      </c>
      <c r="Z14">
        <f>ROUND(SUM(T14:Y14)/IF(VLOOKUP($A14,EnrollData2324,'2324 Jun 24 Enroll'!M$1,FALSE)+VLOOKUP($A14,EnrollData2324,'2324 Jun 24 Enroll'!D$1,FALSE)=VLOOKUP($A14,'ESA Calculations 2324'!$A$4:$AE$34,18,FALSE)+VLOOKUP($A14,'ESA Calculations 2324'!$A$4:$AE$34,4,FALSE),VLOOKUP($A14,EnrollData2324,'2324 Jun 24 Enroll'!M$1,FALSE)+VLOOKUP($A14,EnrollData2324,'2324 Jun 24 Enroll'!D$1,FALSE),VLOOKUP($A14,'ESA Calculations 2324'!$A$4:$AE$34,18,FALSE)+VLOOKUP($A14,'ESA Calculations 2324'!$A$4:$AE$34,4,FALSE)),5)</f>
        <v>1.7579999999999998E-2</v>
      </c>
      <c r="AA14" s="6">
        <f>ROUND($J14*CIS_Base_Salary2324*VLOOKUP($A14,EnrollData2324,'2324 Jun 24 Enroll'!S$1,FALSE),2)</f>
        <v>4197.13</v>
      </c>
      <c r="AB14" s="6">
        <f>ROUND($J14*CIS_Inc_Salary2324*(VLOOKUP($A14,EnrollData2324,'2324 Jun 24 Enroll'!T$1,FALSE)+VLOOKUP($A14,EnrollData2324,'2324 Jun 24 Enroll'!U$1,FALSE)),2)-AA14</f>
        <v>155.30000000000018</v>
      </c>
      <c r="AC14" s="6">
        <f>ROUND($R14*CAS_Base_Salary2324*VLOOKUP($A14,EnrollData2324,'2324 Jun 24 Enroll'!S$1,FALSE),2)</f>
        <v>448.01</v>
      </c>
      <c r="AD14" s="6">
        <f>ROUND($R14*CAS_Inc_Salary2324*VLOOKUP($A14,EnrollData2324,'2324 Jun 24 Enroll'!T$1,FALSE),2)-AC14</f>
        <v>16.579999999999984</v>
      </c>
      <c r="AE14" s="6">
        <f>ROUND($Z14*CLS_Base_Salary2324*VLOOKUP($A14,EnrollData2324,'2324 Jun 24 Enroll'!S$1,FALSE),2)</f>
        <v>917.2</v>
      </c>
      <c r="AF14" s="6">
        <f>ROUND($Z14*CLS_Inc_Salary2324*VLOOKUP($A14,EnrollData2324,'2324 Jun 24 Enroll'!T$1,FALSE),2)-AE14</f>
        <v>33.92999999999995</v>
      </c>
      <c r="AG14">
        <f t="shared" si="9"/>
        <v>761.62</v>
      </c>
      <c r="AH14" s="69">
        <f t="shared" si="10"/>
        <v>71.259999999999991</v>
      </c>
      <c r="AI14">
        <f t="shared" si="11"/>
        <v>216.44</v>
      </c>
      <c r="AJ14">
        <f t="shared" si="12"/>
        <v>115.39999999999998</v>
      </c>
      <c r="AK14">
        <f t="shared" si="13"/>
        <v>834.73</v>
      </c>
      <c r="AL14">
        <f t="shared" si="14"/>
        <v>29.79</v>
      </c>
      <c r="AM14">
        <f t="shared" si="15"/>
        <v>202.33</v>
      </c>
      <c r="AN14">
        <f t="shared" si="16"/>
        <v>6.3</v>
      </c>
      <c r="AO14">
        <f>ROUND(($J14*CIS_Inc_Salary2324*(VLOOKUP($A14,EnrollData2324,'2324 Jun 24 Enroll'!T$1,FALSE)+VLOOKUP($A14,EnrollData2324,'2324 Jun 24 Enroll'!U$1,FALSE))/Apport_613Xpd)*Apport_614Xpd,2)</f>
        <v>72.540000000000006</v>
      </c>
      <c r="AP14">
        <f t="shared" si="17"/>
        <v>12.57</v>
      </c>
      <c r="AQ14">
        <f t="shared" si="19"/>
        <v>32.15</v>
      </c>
      <c r="AR14" s="6">
        <f>ROUND((IF(VLOOKUP($A14,EnrollData2324,'2324 Jun 24 Enroll'!D$1,FALSE)=VLOOKUP($A14,'ESA Calculations 2324'!$A$4:$AE$34,4,FALSE),VLOOKUP($A14,EnrollData2324,'2324 Jun 24 Enroll'!D$1,FALSE),VLOOKUP($A14,'ESA Calculations 2324'!$A$4:$AE$34,4,FALSE))*Apport_M802324+IF(VLOOKUP($A14,EnrollData2324,'2324 Jun 24 Enroll'!M$1,FALSE)=VLOOKUP($A14,'ESA Calculations 2324'!$A$4:$AE$34,18,FALSE),VLOOKUP($A14,EnrollData2324,'2324 Jun 24 Enroll'!M$1,FALSE),VLOOKUP($A14,'ESA Calculations 2324'!$A$4:$AE$34,18,FALSE))*Apport_M802324+IF((VLOOKUP($A14,EnrollData2324,'2324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Enroll'!L$1,FALSE))=VLOOKUP($A14,EnrollData2324,'2324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Enroll'!L$1,FALSE),(VLOOKUP($A14,EnrollData2324,'2324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Enroll'!L$1,FALSE)),(VLOOKUP($A14,EnrollData2324,'2324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Enroll'!L$1,FALSE)))*Apport_M812324)/(IF(VLOOKUP($A14,EnrollData2324,'2324 Jun 24 Enroll'!M$1,FALSE)=VLOOKUP($A14,'ESA Calculations 2324'!$A$4:$AE$34,18,FALSE),VLOOKUP($A14,EnrollData2324,'2324 Jun 24 Enroll'!M$1,FALSE),VLOOKUP($A14,'ESA Calculations 2324'!$A$4:$AE$34,18,FALSE))+IF(VLOOKUP($A14,EnrollData2324,'2324 Jun 24 Enroll'!D$1,FALSE)=VLOOKUP($A14,'ESA Calculations 2324'!$A$4:$AE$34,4,FALSE),VLOOKUP($A14,EnrollData2324,'2324 Jun 24 Enroll'!D$1,FALSE),VLOOKUP($A14,'ESA Calculations 2324'!$A$4:$AE$34,4,FALSE))),2)</f>
        <v>1535.14</v>
      </c>
      <c r="AS14" s="7">
        <f t="shared" si="20"/>
        <v>9658.42</v>
      </c>
      <c r="AT14" s="6">
        <f>IF(VLOOKUP($A14,EnrollData2324,'2324 Jun 24 Enroll'!AA$1,FALSE)=VLOOKUP($A14,'ESA Calculations 2324'!$A$4:$AE$34,24,FALSE),VLOOKUP($A14,EnrollData2324,'2324 Jun 24 Enroll'!AA$1,FALSE),VLOOKUP($A14,'ESA Calculations 2324'!$A$4:$AE$34,24,FALSE))</f>
        <v>100.43</v>
      </c>
    </row>
    <row r="15" spans="1:49">
      <c r="A15" s="40" t="s">
        <v>341</v>
      </c>
      <c r="B15" s="40" t="s">
        <v>342</v>
      </c>
      <c r="C15" s="11">
        <f>ROUND((IFERROR((1/IF(VLOOKUP($A15,EnrollData2324,28,FALSE)=VLOOKUP($A15,'ESA Calculations 2324'!$A$4:$AE$34,3,FALSE),VLOOKUP($A15,EnrollData2324,28,FALSE),VLOOKUP($A15,'ESA Calculations 2324'!$A$4:$AE$34,3,FALSE)))*(1+Apport_Z315),0))+Apport_201A2324,6)</f>
        <v>7.3449E-2</v>
      </c>
      <c r="D15">
        <f>ROUND(IF(VLOOKUP($A15,EnrollData2324,'2324 Jun 24 Enroll'!D$1,FALSE)=VLOOKUP($A15,'ESA Calculations 2324'!$A$4:$AE$34,4,FALSE),VLOOKUP($A15,EnrollData2324,'2324 Jun 24 Enroll'!D$1,FALSE),VLOOKUP($A15,'ESA Calculations 2324'!$A$4:$AE$34,4,FALSE))*C15,3)</f>
        <v>0</v>
      </c>
      <c r="E15">
        <f>ROUND(IF(VLOOKUP($A15,EnrollData2324,'2324 Jun 24 Enroll'!E$1,FALSE)=VLOOKUP($A15,'ESA Calculations 2324'!$A$4:$AE$34,5,FALSE),VLOOKUP($A15,EnrollData2324,'2324 Jun 24 Enroll'!E$1,FALSE),VLOOKUP($A15,'ESA Calculations 2324'!$A$4:$AE$34,5,FALSE))*C15,3)</f>
        <v>2.4609999999999999</v>
      </c>
      <c r="F15">
        <f>ROUND(IF(VLOOKUP($A15,EnrollData2324,'2324 Jun 24 Enroll'!F$1,FALSE)=VLOOKUP($A15,'ESA Calculations 2324'!$A$4:$AE$34,6,FALSE),VLOOKUP($A15,EnrollData2324,'2324 Jun 24 Enroll'!F$1,FALSE),VLOOKUP($A15,'ESA Calculations 2324'!$A$4:$AE$34,6,FALSE))*Apport_222A2324,3)</f>
        <v>0.34799999999999998</v>
      </c>
      <c r="G15">
        <f>ROUND(IF(VLOOKUP($A15,EnrollData2324,'2324 Jun 24 Enroll'!G$1,FALSE)=VLOOKUP($A15,'ESA Calculations 2324'!$A$4:$AE$34,7,FALSE),VLOOKUP($A15,EnrollData2324,'2324 Jun 24 Enroll'!G$1,FALSE),VLOOKUP($A15,'ESA Calculations 2324'!$A$4:$AE$34,7,FALSE))*Apport_210A2324,3)</f>
        <v>0.98</v>
      </c>
      <c r="H15">
        <f>ROUND(IF(VLOOKUP($A15,EnrollData2324,'2324 Jun 24 Enroll'!H$1,FALSE)=VLOOKUP($A15,'ESA Calculations 2324'!$A$4:$AE$34,8,FALSE),VLOOKUP($A15,EnrollData2324,'2324 Jun 24 Enroll'!H$1,FALSE),VLOOKUP($A15,'ESA Calculations 2324'!$A$4:$AE$34,8,FALSE))*Apport_213A2324,3)</f>
        <v>0.75600000000000001</v>
      </c>
      <c r="I15">
        <f>ROUND(IF(VLOOKUP($A15,EnrollData2324,'2324 Jun 24 Enroll'!I$1,FALSE)+VLOOKUP($A15,EnrollData2324,'2324 Jun 24 Enroll'!M$1,FALSE)-VLOOKUP($A15,EnrollData2324,'2324 Jun 24 Enroll'!J$1,FALSE)=VLOOKUP($A15,'ESA Calculations 2324'!$A$4:$AE$34,9,FALSE)+VLOOKUP($A15,'ESA Calculations 2324'!$A$4:$AE$34,18,FALSE)-VLOOKUP($A15,'ESA Calculations 2324'!$A$4:$AE$34,10,FALSE),VLOOKUP($A15,EnrollData2324,'2324 Jun 24 Enroll'!I$1,FALSE)+VLOOKUP($A15,EnrollData2324,'2324 Jun 24 Enroll'!M$1,FALSE)-VLOOKUP($A15,EnrollData2324,'2324 Jun 24 Enroll'!J$1,FALSE),VLOOKUP($A15,'ESA Calculations 2324'!$A$4:$AE$34,9,FALSE)+VLOOKUP($A15,'ESA Calculations 2324'!$A$4:$AE$34,18,FALSE)-VLOOKUP($A15,'ESA Calculations 2324'!$A$4:$AE$34,10,FALSE))*Apport_216A2324,3)</f>
        <v>1.123</v>
      </c>
      <c r="J15">
        <f>ROUND(SUM(D15:I15)/IF(VLOOKUP($A15,EnrollData2324,'2324 Jun 24 Enroll'!M$1,FALSE)+VLOOKUP($A15,EnrollData2324,'2324 Jun 24 Enroll'!D$1,FALSE)=VLOOKUP($A15,'ESA Calculations 2324'!$A$4:$AE$34,18,FALSE)+VLOOKUP($A15,'ESA Calculations 2324'!$A$4:$AE$34,4,FALSE),VLOOKUP($A15,EnrollData2324,'2324 Jun 24 Enroll'!M$1,FALSE)+VLOOKUP($A15,EnrollData2324,'2324 Jun 24 Enroll'!D$1,FALSE),VLOOKUP($A15,'ESA Calculations 2324'!$A$4:$AE$34,18,FALSE)+VLOOKUP($A15,'ESA Calculations 2324'!$A$4:$AE$34,4,FALSE)),5)</f>
        <v>5.7250000000000002E-2</v>
      </c>
      <c r="K15" s="11">
        <f t="shared" si="7"/>
        <v>4.365E-3</v>
      </c>
      <c r="L15">
        <f>ROUND(IF(VLOOKUP($A15,EnrollData2324,'2324 Jun 24 Enroll'!D$1,FALSE)=VLOOKUP($A15,'ESA Calculations 2324'!$A$4:$AE$34,4,FALSE),VLOOKUP($A15,EnrollData2324,'2324 Jun 24 Enroll'!D$1,FALSE),VLOOKUP($A15,'ESA Calculations 2324'!$A$4:$AE$34,4,FALSE))*K15,3)</f>
        <v>0</v>
      </c>
      <c r="M15">
        <f>ROUND(IF(VLOOKUP($A15,EnrollData2324,'2324 Jun 24 Enroll'!E$1,FALSE)=VLOOKUP($A15,'ESA Calculations 2324'!$A$4:$AE$34,5,FALSE),VLOOKUP($A15,EnrollData2324,'2324 Jun 24 Enroll'!E$1,FALSE),VLOOKUP($A15,'ESA Calculations 2324'!$A$4:$AE$34,5,FALSE))*K15,3)</f>
        <v>0.14599999999999999</v>
      </c>
      <c r="N15">
        <f>ROUND(IF(VLOOKUP($A15,EnrollData2324,'2324 Jun 24 Enroll'!F$1,FALSE)=VLOOKUP($A15,'ESA Calculations 2324'!$A$4:$AE$34,6,FALSE),VLOOKUP($A15,EnrollData2324,'2324 Jun 24 Enroll'!F$1,FALSE),VLOOKUP($A15,'ESA Calculations 2324'!$A$4:$AE$34,6,FALSE))*Apport_223A2324,3)</f>
        <v>2.9000000000000001E-2</v>
      </c>
      <c r="O15">
        <f>ROUND(IF(VLOOKUP($A15,EnrollData2324,'2324 Jun 24 Enroll'!G$1,FALSE)=VLOOKUP($A15,'ESA Calculations 2324'!$A$4:$AE$34,7,FALSE),VLOOKUP($A15,EnrollData2324,'2324 Jun 24 Enroll'!G$1,FALSE),VLOOKUP($A15,'ESA Calculations 2324'!$A$4:$AE$34,7,FALSE))*Apport_211A2324,3)</f>
        <v>8.2000000000000003E-2</v>
      </c>
      <c r="P15">
        <f>ROUND(IF(VLOOKUP($A15,EnrollData2324,'2324 Jun 24 Enroll'!H$1,FALSE)=VLOOKUP($A15,'ESA Calculations 2324'!$A$4:$AE$34,8,FALSE),VLOOKUP($A15,EnrollData2324,'2324 Jun 24 Enroll'!H$1,FALSE),VLOOKUP($A15,'ESA Calculations 2324'!$A$4:$AE$34,8,FALSE))*Apport_214A2324,3)</f>
        <v>6.3E-2</v>
      </c>
      <c r="Q15">
        <f>ROUND(IF(VLOOKUP($A15,EnrollData2324,'2324 Jun 24 Enroll'!I$1,FALSE)+VLOOKUP($A15,EnrollData2324,'2324 Jun 24 Enroll'!M$1,FALSE)-VLOOKUP($A15,EnrollData2324,'2324 Jun 24 Enroll'!J$1,FALSE)=VLOOKUP($A15,'ESA Calculations 2324'!$A$4:$AE$34,9,FALSE)+VLOOKUP($A15,'ESA Calculations 2324'!$A$4:$AE$34,18,FALSE)-VLOOKUP($A15,'ESA Calculations 2324'!$A$4:$AE$34,10,FALSE),VLOOKUP($A15,EnrollData2324,'2324 Jun 24 Enroll'!I$1,FALSE)+VLOOKUP($A15,EnrollData2324,'2324 Jun 24 Enroll'!M$1,FALSE)-VLOOKUP($A15,EnrollData2324,'2324 Jun 24 Enroll'!J$1,FALSE),VLOOKUP($A15,'ESA Calculations 2324'!$A$4:$AE$34,9,FALSE)+VLOOKUP($A15,'ESA Calculations 2324'!$A$4:$AE$34,18,FALSE)-VLOOKUP($A15,'ESA Calculations 2324'!$A$4:$AE$34,10,FALSE))*Apport_217A2324,3)</f>
        <v>9.0999999999999998E-2</v>
      </c>
      <c r="R15">
        <f>ROUND(SUM(L15:Q15)/IF(VLOOKUP($A15,EnrollData2324,'2324 Jun 24 Enroll'!M$1,FALSE)+VLOOKUP($A15,EnrollData2324,'2324 Jun 24 Enroll'!D$1,FALSE)=VLOOKUP($A15,'ESA Calculations 2324'!$A$4:$AE$34,18,FALSE)+VLOOKUP($A15,'ESA Calculations 2324'!$A$4:$AE$34,4,FALSE),VLOOKUP($A15,EnrollData2324,'2324 Jun 24 Enroll'!M$1,FALSE)+VLOOKUP($A15,EnrollData2324,'2324 Jun 24 Enroll'!D$1,FALSE),VLOOKUP($A15,'ESA Calculations 2324'!$A$4:$AE$34,18,FALSE)+VLOOKUP($A15,'ESA Calculations 2324'!$A$4:$AE$34,4,FALSE)),5)</f>
        <v>4.15E-3</v>
      </c>
      <c r="S15" s="11">
        <f t="shared" si="8"/>
        <v>1.8294500000000002E-2</v>
      </c>
      <c r="T15">
        <f>ROUND(IF(VLOOKUP($A15,EnrollData2324,'2324 Jun 24 Enroll'!D$1,FALSE)=VLOOKUP($A15,'ESA Calculations 2324'!$A$4:$AE$34,4,FALSE),VLOOKUP($A15,EnrollData2324,'2324 Jun 24 Enroll'!D$1,FALSE),VLOOKUP($A15,'ESA Calculations 2324'!$A$4:$AE$34,4,FALSE))*S15,3)</f>
        <v>0</v>
      </c>
      <c r="U15">
        <f>ROUND(IF(VLOOKUP($A15,EnrollData2324,'2324 Jun 24 Enroll'!E$1,FALSE)=VLOOKUP($A15,'ESA Calculations 2324'!$A$4:$AE$34,5,FALSE),VLOOKUP($A15,EnrollData2324,'2324 Jun 24 Enroll'!E$1,FALSE),VLOOKUP($A15,'ESA Calculations 2324'!$A$4:$AE$34,5,FALSE))*S15,3)</f>
        <v>0.61299999999999999</v>
      </c>
      <c r="V15">
        <f>ROUND(IF(VLOOKUP($A15,EnrollData2324,'2324 Jun 24 Enroll'!F$1,FALSE)=VLOOKUP($A15,'ESA Calculations 2324'!$A$4:$AE$34,6,FALSE),VLOOKUP($A15,EnrollData2324,'2324 Jun 24 Enroll'!F$1,FALSE),VLOOKUP($A15,'ESA Calculations 2324'!$A$4:$AE$34,6,FALSE))*Apport_224A2324,3)</f>
        <v>0.125</v>
      </c>
      <c r="W15">
        <f>ROUND(IF(VLOOKUP($A15,EnrollData2324,'2324 Jun 24 Enroll'!G$1,FALSE)=VLOOKUP($A15,'ESA Calculations 2324'!$A$4:$AE$34,7,FALSE),VLOOKUP($A15,EnrollData2324,'2324 Jun 24 Enroll'!G$1,FALSE),VLOOKUP($A15,'ESA Calculations 2324'!$A$4:$AE$34,7,FALSE))*Apport_212A2324,3)</f>
        <v>0.35099999999999998</v>
      </c>
      <c r="X15">
        <f>ROUND(IF(VLOOKUP($A15,EnrollData2324,'2324 Jun 24 Enroll'!H$1,FALSE)=VLOOKUP($A15,'ESA Calculations 2324'!$A$4:$AE$34,8,FALSE),VLOOKUP($A15,EnrollData2324,'2324 Jun 24 Enroll'!H$1,FALSE),VLOOKUP($A15,'ESA Calculations 2324'!$A$4:$AE$34,8,FALSE))*Apport_215A2324,3)</f>
        <v>0.26700000000000002</v>
      </c>
      <c r="Y15">
        <f>ROUND(IF(VLOOKUP($A15,EnrollData2324,'2324 Jun 24 Enroll'!I$1,FALSE)+VLOOKUP($A15,EnrollData2324,'2324 Jun 24 Enroll'!M$1,FALSE)-VLOOKUP($A15,EnrollData2324,'2324 Jun 24 Enroll'!J$1,FALSE)=VLOOKUP($A15,'ESA Calculations 2324'!$A$4:$AE$34,9,FALSE)+VLOOKUP($A15,'ESA Calculations 2324'!$A$4:$AE$34,18,FALSE)-VLOOKUP($A15,'ESA Calculations 2324'!$A$4:$AE$34,10,FALSE),VLOOKUP($A15,EnrollData2324,'2324 Jun 24 Enroll'!I$1,FALSE)+VLOOKUP($A15,EnrollData2324,'2324 Jun 24 Enroll'!M$1,FALSE)-VLOOKUP($A15,EnrollData2324,'2324 Jun 24 Enroll'!J$1,FALSE),VLOOKUP($A15,'ESA Calculations 2324'!$A$4:$AE$34,9,FALSE)+VLOOKUP($A15,'ESA Calculations 2324'!$A$4:$AE$34,18,FALSE)-VLOOKUP($A15,'ESA Calculations 2324'!$A$4:$AE$34,10,FALSE))*Apport_218A2324,3)</f>
        <v>0.38400000000000001</v>
      </c>
      <c r="Z15">
        <f>ROUND(SUM(T15:Y15)/IF(VLOOKUP($A15,EnrollData2324,'2324 Jun 24 Enroll'!M$1,FALSE)+VLOOKUP($A15,EnrollData2324,'2324 Jun 24 Enroll'!D$1,FALSE)=VLOOKUP($A15,'ESA Calculations 2324'!$A$4:$AE$34,18,FALSE)+VLOOKUP($A15,'ESA Calculations 2324'!$A$4:$AE$34,4,FALSE),VLOOKUP($A15,EnrollData2324,'2324 Jun 24 Enroll'!M$1,FALSE)+VLOOKUP($A15,EnrollData2324,'2324 Jun 24 Enroll'!D$1,FALSE),VLOOKUP($A15,'ESA Calculations 2324'!$A$4:$AE$34,18,FALSE)+VLOOKUP($A15,'ESA Calculations 2324'!$A$4:$AE$34,4,FALSE)),5)</f>
        <v>1.7579999999999998E-2</v>
      </c>
      <c r="AA15" s="6">
        <f>ROUND($J15*CIS_Base_Salary2324*VLOOKUP($A15,EnrollData2324,'2324 Jun 24 Enroll'!S$1,FALSE),2)</f>
        <v>4163.68</v>
      </c>
      <c r="AB15" s="6">
        <f>ROUND($J15*CIS_Inc_Salary2324*(VLOOKUP($A15,EnrollData2324,'2324 Jun 24 Enroll'!T$1,FALSE)+VLOOKUP($A15,EnrollData2324,'2324 Jun 24 Enroll'!U$1,FALSE)),2)-AA15</f>
        <v>154.05999999999949</v>
      </c>
      <c r="AC15" s="6">
        <f>ROUND($R15*CAS_Base_Salary2324*VLOOKUP($A15,EnrollData2324,'2324 Jun 24 Enroll'!S$1,FALSE),2)</f>
        <v>448.01</v>
      </c>
      <c r="AD15" s="6">
        <f>ROUND($R15*CAS_Inc_Salary2324*VLOOKUP($A15,EnrollData2324,'2324 Jun 24 Enroll'!T$1,FALSE),2)-AC15</f>
        <v>16.579999999999984</v>
      </c>
      <c r="AE15" s="6">
        <f>ROUND($Z15*CLS_Base_Salary2324*VLOOKUP($A15,EnrollData2324,'2324 Jun 24 Enroll'!S$1,FALSE),2)</f>
        <v>917.2</v>
      </c>
      <c r="AF15" s="6">
        <f>ROUND($Z15*CLS_Inc_Salary2324*VLOOKUP($A15,EnrollData2324,'2324 Jun 24 Enroll'!T$1,FALSE),2)-AE15</f>
        <v>33.92999999999995</v>
      </c>
      <c r="AG15">
        <f t="shared" si="9"/>
        <v>755.96</v>
      </c>
      <c r="AH15" s="69">
        <f t="shared" si="10"/>
        <v>70.730000000000018</v>
      </c>
      <c r="AI15">
        <f t="shared" si="11"/>
        <v>216.44</v>
      </c>
      <c r="AJ15">
        <f t="shared" si="12"/>
        <v>115.39999999999998</v>
      </c>
      <c r="AK15">
        <f t="shared" si="13"/>
        <v>828.72</v>
      </c>
      <c r="AL15">
        <f t="shared" si="14"/>
        <v>29.57</v>
      </c>
      <c r="AM15">
        <f t="shared" si="15"/>
        <v>202.33</v>
      </c>
      <c r="AN15">
        <f t="shared" si="16"/>
        <v>6.3</v>
      </c>
      <c r="AO15">
        <f>ROUND(($J15*CIS_Inc_Salary2324*(VLOOKUP($A15,EnrollData2324,'2324 Jun 24 Enroll'!T$1,FALSE)+VLOOKUP($A15,EnrollData2324,'2324 Jun 24 Enroll'!U$1,FALSE))/Apport_613Xpd)*Apport_614Xpd,2)</f>
        <v>71.959999999999994</v>
      </c>
      <c r="AP15">
        <f t="shared" si="17"/>
        <v>12.47</v>
      </c>
      <c r="AQ15">
        <f t="shared" si="19"/>
        <v>31.89</v>
      </c>
      <c r="AR15" s="6">
        <f>ROUND((IF(VLOOKUP($A15,EnrollData2324,'2324 Jun 24 Enroll'!D$1,FALSE)=VLOOKUP($A15,'ESA Calculations 2324'!$A$4:$AE$34,4,FALSE),VLOOKUP($A15,EnrollData2324,'2324 Jun 24 Enroll'!D$1,FALSE),VLOOKUP($A15,'ESA Calculations 2324'!$A$4:$AE$34,4,FALSE))*Apport_M802324+IF(VLOOKUP($A15,EnrollData2324,'2324 Jun 24 Enroll'!M$1,FALSE)=VLOOKUP($A15,'ESA Calculations 2324'!$A$4:$AE$34,18,FALSE),VLOOKUP($A15,EnrollData2324,'2324 Jun 24 Enroll'!M$1,FALSE),VLOOKUP($A15,'ESA Calculations 2324'!$A$4:$AE$34,18,FALSE))*Apport_M802324+IF((VLOOKUP($A15,EnrollData2324,'2324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Enroll'!L$1,FALSE))=VLOOKUP($A15,EnrollData2324,'2324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Enroll'!L$1,FALSE),(VLOOKUP($A15,EnrollData2324,'2324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Enroll'!L$1,FALSE)),(VLOOKUP($A15,EnrollData2324,'2324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Enroll'!L$1,FALSE)))*Apport_M812324)/(IF(VLOOKUP($A15,EnrollData2324,'2324 Jun 24 Enroll'!M$1,FALSE)=VLOOKUP($A15,'ESA Calculations 2324'!$A$4:$AE$34,18,FALSE),VLOOKUP($A15,EnrollData2324,'2324 Jun 24 Enroll'!M$1,FALSE),VLOOKUP($A15,'ESA Calculations 2324'!$A$4:$AE$34,18,FALSE))+IF(VLOOKUP($A15,EnrollData2324,'2324 Jun 24 Enroll'!D$1,FALSE)=VLOOKUP($A15,'ESA Calculations 2324'!$A$4:$AE$34,4,FALSE),VLOOKUP($A15,EnrollData2324,'2324 Jun 24 Enroll'!D$1,FALSE),VLOOKUP($A15,'ESA Calculations 2324'!$A$4:$AE$34,4,FALSE))),2)</f>
        <v>1528.74</v>
      </c>
      <c r="AS15" s="7">
        <f t="shared" si="20"/>
        <v>9603.9699999999993</v>
      </c>
      <c r="AT15" s="6">
        <f>IF(VLOOKUP($A15,EnrollData2324,'2324 Jun 24 Enroll'!AA$1,FALSE)=VLOOKUP($A15,'ESA Calculations 2324'!$A$4:$AE$34,24,FALSE),VLOOKUP($A15,EnrollData2324,'2324 Jun 24 Enroll'!AA$1,FALSE),VLOOKUP($A15,'ESA Calculations 2324'!$A$4:$AE$34,24,FALSE))</f>
        <v>99</v>
      </c>
    </row>
    <row r="16" spans="1:49">
      <c r="A16" s="40" t="s">
        <v>368</v>
      </c>
      <c r="B16" s="40" t="s">
        <v>369</v>
      </c>
      <c r="C16" s="11">
        <f>ROUND((IFERROR((1/IF(VLOOKUP($A16,EnrollData2324,28,FALSE)=VLOOKUP($A16,'ESA Calculations 2324'!$A$4:$AE$34,3,FALSE),VLOOKUP($A16,EnrollData2324,28,FALSE),VLOOKUP($A16,'ESA Calculations 2324'!$A$4:$AE$34,3,FALSE)))*(1+Apport_Z315),0))+Apport_201A2324,6)</f>
        <v>7.2040000000000007E-2</v>
      </c>
      <c r="D16">
        <f>ROUND(IF(VLOOKUP($A16,EnrollData2324,'2324 Jun 24 Enroll'!D$1,FALSE)=VLOOKUP($A16,'ESA Calculations 2324'!$A$4:$AE$34,4,FALSE),VLOOKUP($A16,EnrollData2324,'2324 Jun 24 Enroll'!D$1,FALSE),VLOOKUP($A16,'ESA Calculations 2324'!$A$4:$AE$34,4,FALSE))*C16,3)</f>
        <v>0</v>
      </c>
      <c r="E16">
        <f>ROUND(IF(VLOOKUP($A16,EnrollData2324,'2324 Jun 24 Enroll'!E$1,FALSE)=VLOOKUP($A16,'ESA Calculations 2324'!$A$4:$AE$34,5,FALSE),VLOOKUP($A16,EnrollData2324,'2324 Jun 24 Enroll'!E$1,FALSE),VLOOKUP($A16,'ESA Calculations 2324'!$A$4:$AE$34,5,FALSE))*C16,3)</f>
        <v>3.3140000000000001</v>
      </c>
      <c r="F16">
        <f>ROUND(IF(VLOOKUP($A16,EnrollData2324,'2324 Jun 24 Enroll'!F$1,FALSE)=VLOOKUP($A16,'ESA Calculations 2324'!$A$4:$AE$34,6,FALSE),VLOOKUP($A16,EnrollData2324,'2324 Jun 24 Enroll'!F$1,FALSE),VLOOKUP($A16,'ESA Calculations 2324'!$A$4:$AE$34,6,FALSE))*Apport_222A2324,3)</f>
        <v>0.33800000000000002</v>
      </c>
      <c r="G16">
        <f>ROUND(IF(VLOOKUP($A16,EnrollData2324,'2324 Jun 24 Enroll'!G$1,FALSE)=VLOOKUP($A16,'ESA Calculations 2324'!$A$4:$AE$34,7,FALSE),VLOOKUP($A16,EnrollData2324,'2324 Jun 24 Enroll'!G$1,FALSE),VLOOKUP($A16,'ESA Calculations 2324'!$A$4:$AE$34,7,FALSE))*Apport_210A2324,3)</f>
        <v>0.86899999999999999</v>
      </c>
      <c r="H16">
        <f>ROUND(IF(VLOOKUP($A16,EnrollData2324,'2324 Jun 24 Enroll'!H$1,FALSE)=VLOOKUP($A16,'ESA Calculations 2324'!$A$4:$AE$34,8,FALSE),VLOOKUP($A16,EnrollData2324,'2324 Jun 24 Enroll'!H$1,FALSE),VLOOKUP($A16,'ESA Calculations 2324'!$A$4:$AE$34,8,FALSE))*Apport_213A2324,3)</f>
        <v>0.93500000000000005</v>
      </c>
      <c r="I16">
        <f>ROUND(IF(VLOOKUP($A16,EnrollData2324,'2324 Jun 24 Enroll'!I$1,FALSE)+VLOOKUP($A16,EnrollData2324,'2324 Jun 24 Enroll'!M$1,FALSE)-VLOOKUP($A16,EnrollData2324,'2324 Jun 24 Enroll'!J$1,FALSE)=VLOOKUP($A16,'ESA Calculations 2324'!$A$4:$AE$34,9,FALSE)+VLOOKUP($A16,'ESA Calculations 2324'!$A$4:$AE$34,18,FALSE)-VLOOKUP($A16,'ESA Calculations 2324'!$A$4:$AE$34,10,FALSE),VLOOKUP($A16,EnrollData2324,'2324 Jun 24 Enroll'!I$1,FALSE)+VLOOKUP($A16,EnrollData2324,'2324 Jun 24 Enroll'!M$1,FALSE)-VLOOKUP($A16,EnrollData2324,'2324 Jun 24 Enroll'!J$1,FALSE),VLOOKUP($A16,'ESA Calculations 2324'!$A$4:$AE$34,9,FALSE)+VLOOKUP($A16,'ESA Calculations 2324'!$A$4:$AE$34,18,FALSE)-VLOOKUP($A16,'ESA Calculations 2324'!$A$4:$AE$34,10,FALSE))*Apport_216A2324,3)</f>
        <v>0</v>
      </c>
      <c r="J16">
        <f>ROUND(SUM(D16:I16)/IF(VLOOKUP($A16,EnrollData2324,'2324 Jun 24 Enroll'!M$1,FALSE)+VLOOKUP($A16,EnrollData2324,'2324 Jun 24 Enroll'!D$1,FALSE)=VLOOKUP($A16,'ESA Calculations 2324'!$A$4:$AE$34,18,FALSE)+VLOOKUP($A16,'ESA Calculations 2324'!$A$4:$AE$34,4,FALSE),VLOOKUP($A16,EnrollData2324,'2324 Jun 24 Enroll'!M$1,FALSE)+VLOOKUP($A16,EnrollData2324,'2324 Jun 24 Enroll'!D$1,FALSE),VLOOKUP($A16,'ESA Calculations 2324'!$A$4:$AE$34,18,FALSE)+VLOOKUP($A16,'ESA Calculations 2324'!$A$4:$AE$34,4,FALSE)),5)</f>
        <v>6.0420000000000001E-2</v>
      </c>
      <c r="K16" s="11">
        <f t="shared" si="7"/>
        <v>4.346E-3</v>
      </c>
      <c r="L16">
        <f>ROUND(IF(VLOOKUP($A16,EnrollData2324,'2324 Jun 24 Enroll'!D$1,FALSE)=VLOOKUP($A16,'ESA Calculations 2324'!$A$4:$AE$34,4,FALSE),VLOOKUP($A16,EnrollData2324,'2324 Jun 24 Enroll'!D$1,FALSE),VLOOKUP($A16,'ESA Calculations 2324'!$A$4:$AE$34,4,FALSE))*K16,3)</f>
        <v>0</v>
      </c>
      <c r="M16">
        <f>ROUND(IF(VLOOKUP($A16,EnrollData2324,'2324 Jun 24 Enroll'!E$1,FALSE)=VLOOKUP($A16,'ESA Calculations 2324'!$A$4:$AE$34,5,FALSE),VLOOKUP($A16,EnrollData2324,'2324 Jun 24 Enroll'!E$1,FALSE),VLOOKUP($A16,'ESA Calculations 2324'!$A$4:$AE$34,5,FALSE))*K16,3)</f>
        <v>0.2</v>
      </c>
      <c r="N16">
        <f>ROUND(IF(VLOOKUP($A16,EnrollData2324,'2324 Jun 24 Enroll'!F$1,FALSE)=VLOOKUP($A16,'ESA Calculations 2324'!$A$4:$AE$34,6,FALSE),VLOOKUP($A16,EnrollData2324,'2324 Jun 24 Enroll'!F$1,FALSE),VLOOKUP($A16,'ESA Calculations 2324'!$A$4:$AE$34,6,FALSE))*Apport_223A2324,3)</f>
        <v>2.8000000000000001E-2</v>
      </c>
      <c r="O16">
        <f>ROUND(IF(VLOOKUP($A16,EnrollData2324,'2324 Jun 24 Enroll'!G$1,FALSE)=VLOOKUP($A16,'ESA Calculations 2324'!$A$4:$AE$34,7,FALSE),VLOOKUP($A16,EnrollData2324,'2324 Jun 24 Enroll'!G$1,FALSE),VLOOKUP($A16,'ESA Calculations 2324'!$A$4:$AE$34,7,FALSE))*Apport_211A2324,3)</f>
        <v>7.1999999999999995E-2</v>
      </c>
      <c r="P16">
        <f>ROUND(IF(VLOOKUP($A16,EnrollData2324,'2324 Jun 24 Enroll'!H$1,FALSE)=VLOOKUP($A16,'ESA Calculations 2324'!$A$4:$AE$34,8,FALSE),VLOOKUP($A16,EnrollData2324,'2324 Jun 24 Enroll'!H$1,FALSE),VLOOKUP($A16,'ESA Calculations 2324'!$A$4:$AE$34,8,FALSE))*Apport_214A2324,3)</f>
        <v>7.8E-2</v>
      </c>
      <c r="Q16">
        <f>ROUND(IF(VLOOKUP($A16,EnrollData2324,'2324 Jun 24 Enroll'!I$1,FALSE)+VLOOKUP($A16,EnrollData2324,'2324 Jun 24 Enroll'!M$1,FALSE)-VLOOKUP($A16,EnrollData2324,'2324 Jun 24 Enroll'!J$1,FALSE)=VLOOKUP($A16,'ESA Calculations 2324'!$A$4:$AE$34,9,FALSE)+VLOOKUP($A16,'ESA Calculations 2324'!$A$4:$AE$34,18,FALSE)-VLOOKUP($A16,'ESA Calculations 2324'!$A$4:$AE$34,10,FALSE),VLOOKUP($A16,EnrollData2324,'2324 Jun 24 Enroll'!I$1,FALSE)+VLOOKUP($A16,EnrollData2324,'2324 Jun 24 Enroll'!M$1,FALSE)-VLOOKUP($A16,EnrollData2324,'2324 Jun 24 Enroll'!J$1,FALSE),VLOOKUP($A16,'ESA Calculations 2324'!$A$4:$AE$34,9,FALSE)+VLOOKUP($A16,'ESA Calculations 2324'!$A$4:$AE$34,18,FALSE)-VLOOKUP($A16,'ESA Calculations 2324'!$A$4:$AE$34,10,FALSE))*Apport_217A2324,3)</f>
        <v>0</v>
      </c>
      <c r="R16">
        <f>ROUND(SUM(L16:Q16)/IF(VLOOKUP($A16,EnrollData2324,'2324 Jun 24 Enroll'!M$1,FALSE)+VLOOKUP($A16,EnrollData2324,'2324 Jun 24 Enroll'!D$1,FALSE)=VLOOKUP($A16,'ESA Calculations 2324'!$A$4:$AE$34,18,FALSE)+VLOOKUP($A16,'ESA Calculations 2324'!$A$4:$AE$34,4,FALSE),VLOOKUP($A16,EnrollData2324,'2324 Jun 24 Enroll'!M$1,FALSE)+VLOOKUP($A16,EnrollData2324,'2324 Jun 24 Enroll'!D$1,FALSE),VLOOKUP($A16,'ESA Calculations 2324'!$A$4:$AE$34,18,FALSE)+VLOOKUP($A16,'ESA Calculations 2324'!$A$4:$AE$34,4,FALSE)),5)</f>
        <v>4.1900000000000001E-3</v>
      </c>
      <c r="S16" s="11">
        <f t="shared" si="8"/>
        <v>1.8238899999999999E-2</v>
      </c>
      <c r="T16">
        <f>ROUND(IF(VLOOKUP($A16,EnrollData2324,'2324 Jun 24 Enroll'!D$1,FALSE)=VLOOKUP($A16,'ESA Calculations 2324'!$A$4:$AE$34,4,FALSE),VLOOKUP($A16,EnrollData2324,'2324 Jun 24 Enroll'!D$1,FALSE),VLOOKUP($A16,'ESA Calculations 2324'!$A$4:$AE$34,4,FALSE))*S16,3)</f>
        <v>0</v>
      </c>
      <c r="U16">
        <f>ROUND(IF(VLOOKUP($A16,EnrollData2324,'2324 Jun 24 Enroll'!E$1,FALSE)=VLOOKUP($A16,'ESA Calculations 2324'!$A$4:$AE$34,5,FALSE),VLOOKUP($A16,EnrollData2324,'2324 Jun 24 Enroll'!E$1,FALSE),VLOOKUP($A16,'ESA Calculations 2324'!$A$4:$AE$34,5,FALSE))*S16,3)</f>
        <v>0.83899999999999997</v>
      </c>
      <c r="V16">
        <f>ROUND(IF(VLOOKUP($A16,EnrollData2324,'2324 Jun 24 Enroll'!F$1,FALSE)=VLOOKUP($A16,'ESA Calculations 2324'!$A$4:$AE$34,6,FALSE),VLOOKUP($A16,EnrollData2324,'2324 Jun 24 Enroll'!F$1,FALSE),VLOOKUP($A16,'ESA Calculations 2324'!$A$4:$AE$34,6,FALSE))*Apport_224A2324,3)</f>
        <v>0.121</v>
      </c>
      <c r="W16">
        <f>ROUND(IF(VLOOKUP($A16,EnrollData2324,'2324 Jun 24 Enroll'!G$1,FALSE)=VLOOKUP($A16,'ESA Calculations 2324'!$A$4:$AE$34,7,FALSE),VLOOKUP($A16,EnrollData2324,'2324 Jun 24 Enroll'!G$1,FALSE),VLOOKUP($A16,'ESA Calculations 2324'!$A$4:$AE$34,7,FALSE))*Apport_212A2324,3)</f>
        <v>0.311</v>
      </c>
      <c r="X16">
        <f>ROUND(IF(VLOOKUP($A16,EnrollData2324,'2324 Jun 24 Enroll'!H$1,FALSE)=VLOOKUP($A16,'ESA Calculations 2324'!$A$4:$AE$34,8,FALSE),VLOOKUP($A16,EnrollData2324,'2324 Jun 24 Enroll'!H$1,FALSE),VLOOKUP($A16,'ESA Calculations 2324'!$A$4:$AE$34,8,FALSE))*Apport_215A2324,3)</f>
        <v>0.33</v>
      </c>
      <c r="Y16">
        <f>ROUND(IF(VLOOKUP($A16,EnrollData2324,'2324 Jun 24 Enroll'!I$1,FALSE)+VLOOKUP($A16,EnrollData2324,'2324 Jun 24 Enroll'!M$1,FALSE)-VLOOKUP($A16,EnrollData2324,'2324 Jun 24 Enroll'!J$1,FALSE)=VLOOKUP($A16,'ESA Calculations 2324'!$A$4:$AE$34,9,FALSE)+VLOOKUP($A16,'ESA Calculations 2324'!$A$4:$AE$34,18,FALSE)-VLOOKUP($A16,'ESA Calculations 2324'!$A$4:$AE$34,10,FALSE),VLOOKUP($A16,EnrollData2324,'2324 Jun 24 Enroll'!I$1,FALSE)+VLOOKUP($A16,EnrollData2324,'2324 Jun 24 Enroll'!M$1,FALSE)-VLOOKUP($A16,EnrollData2324,'2324 Jun 24 Enroll'!J$1,FALSE),VLOOKUP($A16,'ESA Calculations 2324'!$A$4:$AE$34,9,FALSE)+VLOOKUP($A16,'ESA Calculations 2324'!$A$4:$AE$34,18,FALSE)-VLOOKUP($A16,'ESA Calculations 2324'!$A$4:$AE$34,10,FALSE))*Apport_218A2324,3)</f>
        <v>0</v>
      </c>
      <c r="Z16">
        <f>ROUND(SUM(T16:Y16)/IF(VLOOKUP($A16,EnrollData2324,'2324 Jun 24 Enroll'!M$1,FALSE)+VLOOKUP($A16,EnrollData2324,'2324 Jun 24 Enroll'!D$1,FALSE)=VLOOKUP($A16,'ESA Calculations 2324'!$A$4:$AE$34,18,FALSE)+VLOOKUP($A16,'ESA Calculations 2324'!$A$4:$AE$34,4,FALSE),VLOOKUP($A16,EnrollData2324,'2324 Jun 24 Enroll'!M$1,FALSE)+VLOOKUP($A16,EnrollData2324,'2324 Jun 24 Enroll'!D$1,FALSE),VLOOKUP($A16,'ESA Calculations 2324'!$A$4:$AE$34,18,FALSE)+VLOOKUP($A16,'ESA Calculations 2324'!$A$4:$AE$34,4,FALSE)),5)</f>
        <v>1.7729999999999999E-2</v>
      </c>
      <c r="AA16" s="6">
        <f>ROUND($J16*CIS_Base_Salary2324*VLOOKUP($A16,EnrollData2324,'2324 Jun 24 Enroll'!S$1,FALSE),2)</f>
        <v>4394.2299999999996</v>
      </c>
      <c r="AB16" s="6">
        <f>ROUND($J16*CIS_Inc_Salary2324*(VLOOKUP($A16,EnrollData2324,'2324 Jun 24 Enroll'!T$1,FALSE)+VLOOKUP($A16,EnrollData2324,'2324 Jun 24 Enroll'!U$1,FALSE)),2)-AA16</f>
        <v>253.72000000000025</v>
      </c>
      <c r="AC16" s="6">
        <f>ROUND($R16*CAS_Base_Salary2324*VLOOKUP($A16,EnrollData2324,'2324 Jun 24 Enroll'!S$1,FALSE),2)</f>
        <v>452.33</v>
      </c>
      <c r="AD16" s="6">
        <f>ROUND($R16*CAS_Inc_Salary2324*VLOOKUP($A16,EnrollData2324,'2324 Jun 24 Enroll'!T$1,FALSE),2)-AC16</f>
        <v>16.740000000000009</v>
      </c>
      <c r="AE16" s="6">
        <f>ROUND($Z16*CLS_Base_Salary2324*VLOOKUP($A16,EnrollData2324,'2324 Jun 24 Enroll'!S$1,FALSE),2)</f>
        <v>925.03</v>
      </c>
      <c r="AF16" s="6">
        <f>ROUND($Z16*CLS_Inc_Salary2324*VLOOKUP($A16,EnrollData2324,'2324 Jun 24 Enroll'!T$1,FALSE),2)-AE16</f>
        <v>34.220000000000027</v>
      </c>
      <c r="AG16">
        <f t="shared" si="9"/>
        <v>795.48</v>
      </c>
      <c r="AH16" s="69">
        <f t="shared" si="10"/>
        <v>74.42999999999995</v>
      </c>
      <c r="AI16">
        <f t="shared" si="11"/>
        <v>218.29</v>
      </c>
      <c r="AJ16">
        <f t="shared" si="12"/>
        <v>116.38000000000002</v>
      </c>
      <c r="AK16">
        <f t="shared" si="13"/>
        <v>870.93</v>
      </c>
      <c r="AL16">
        <f t="shared" si="14"/>
        <v>46.87</v>
      </c>
      <c r="AM16">
        <f t="shared" si="15"/>
        <v>204.06</v>
      </c>
      <c r="AN16">
        <f t="shared" si="16"/>
        <v>6.35</v>
      </c>
      <c r="AO16">
        <f>ROUND(($J16*CIS_Inc_Salary2324*(VLOOKUP($A16,EnrollData2324,'2324 Jun 24 Enroll'!T$1,FALSE)+VLOOKUP($A16,EnrollData2324,'2324 Jun 24 Enroll'!U$1,FALSE))/Apport_613Xpd)*Apport_614Xpd,2)</f>
        <v>77.47</v>
      </c>
      <c r="AP16">
        <f t="shared" si="17"/>
        <v>13.43</v>
      </c>
      <c r="AQ16">
        <f t="shared" si="19"/>
        <v>33.659999999999997</v>
      </c>
      <c r="AR16" s="6">
        <f>ROUND((IF(VLOOKUP($A16,EnrollData2324,'2324 Jun 24 Enroll'!D$1,FALSE)=VLOOKUP($A16,'ESA Calculations 2324'!$A$4:$AE$34,4,FALSE),VLOOKUP($A16,EnrollData2324,'2324 Jun 24 Enroll'!D$1,FALSE),VLOOKUP($A16,'ESA Calculations 2324'!$A$4:$AE$34,4,FALSE))*Apport_M802324+IF(VLOOKUP($A16,EnrollData2324,'2324 Jun 24 Enroll'!M$1,FALSE)=VLOOKUP($A16,'ESA Calculations 2324'!$A$4:$AE$34,18,FALSE),VLOOKUP($A16,EnrollData2324,'2324 Jun 24 Enroll'!M$1,FALSE),VLOOKUP($A16,'ESA Calculations 2324'!$A$4:$AE$34,18,FALSE))*Apport_M802324+IF((VLOOKUP($A16,EnrollData2324,'2324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Enroll'!L$1,FALSE))=VLOOKUP($A16,EnrollData2324,'2324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Enroll'!L$1,FALSE),(VLOOKUP($A16,EnrollData2324,'2324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Enroll'!L$1,FALSE)),(VLOOKUP($A16,EnrollData2324,'2324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Enroll'!L$1,FALSE)))*Apport_M812324)/(IF(VLOOKUP($A16,EnrollData2324,'2324 Jun 24 Enroll'!M$1,FALSE)=VLOOKUP($A16,'ESA Calculations 2324'!$A$4:$AE$34,18,FALSE),VLOOKUP($A16,EnrollData2324,'2324 Jun 24 Enroll'!M$1,FALSE),VLOOKUP($A16,'ESA Calculations 2324'!$A$4:$AE$34,18,FALSE))+IF(VLOOKUP($A16,EnrollData2324,'2324 Jun 24 Enroll'!D$1,FALSE)=VLOOKUP($A16,'ESA Calculations 2324'!$A$4:$AE$34,4,FALSE),VLOOKUP($A16,EnrollData2324,'2324 Jun 24 Enroll'!D$1,FALSE),VLOOKUP($A16,'ESA Calculations 2324'!$A$4:$AE$34,4,FALSE))),2)</f>
        <v>1483.44</v>
      </c>
      <c r="AS16" s="7">
        <f t="shared" si="20"/>
        <v>10017.060000000001</v>
      </c>
      <c r="AT16" s="6">
        <f>IF(VLOOKUP($A16,EnrollData2324,'2324 Jun 24 Enroll'!AA$1,FALSE)=VLOOKUP($A16,'ESA Calculations 2324'!$A$4:$AE$34,24,FALSE),VLOOKUP($A16,EnrollData2324,'2324 Jun 24 Enroll'!AA$1,FALSE),VLOOKUP($A16,'ESA Calculations 2324'!$A$4:$AE$34,24,FALSE))</f>
        <v>90.3</v>
      </c>
    </row>
    <row r="17" spans="1:46">
      <c r="A17" s="40" t="s">
        <v>831</v>
      </c>
      <c r="B17" s="40" t="s">
        <v>832</v>
      </c>
      <c r="C17" s="11">
        <f>ROUND((IFERROR((1/IF(VLOOKUP($A17,EnrollData2324,28,FALSE)=VLOOKUP($A17,'ESA Calculations 2324'!$A$4:$AE$34,3,FALSE),VLOOKUP($A17,EnrollData2324,28,FALSE),VLOOKUP($A17,'ESA Calculations 2324'!$A$4:$AE$34,3,FALSE)))*(1+Apport_Z315),0))+Apport_201A2324,6)</f>
        <v>7.3449E-2</v>
      </c>
      <c r="D17">
        <f>ROUND(IF(VLOOKUP($A17,EnrollData2324,'2324 Jun 24 Enroll'!D$1,FALSE)=VLOOKUP($A17,'ESA Calculations 2324'!$A$4:$AE$34,4,FALSE),VLOOKUP($A17,EnrollData2324,'2324 Jun 24 Enroll'!D$1,FALSE),VLOOKUP($A17,'ESA Calculations 2324'!$A$4:$AE$34,4,FALSE))*C17,3)</f>
        <v>0</v>
      </c>
      <c r="E17">
        <f>ROUND(IF(VLOOKUP($A17,EnrollData2324,'2324 Jun 24 Enroll'!E$1,FALSE)=VLOOKUP($A17,'ESA Calculations 2324'!$A$4:$AE$34,5,FALSE),VLOOKUP($A17,EnrollData2324,'2324 Jun 24 Enroll'!E$1,FALSE),VLOOKUP($A17,'ESA Calculations 2324'!$A$4:$AE$34,5,FALSE))*C17,3)</f>
        <v>4.2750000000000004</v>
      </c>
      <c r="F17">
        <f>ROUND(IF(VLOOKUP($A17,EnrollData2324,'2324 Jun 24 Enroll'!F$1,FALSE)=VLOOKUP($A17,'ESA Calculations 2324'!$A$4:$AE$34,6,FALSE),VLOOKUP($A17,EnrollData2324,'2324 Jun 24 Enroll'!F$1,FALSE),VLOOKUP($A17,'ESA Calculations 2324'!$A$4:$AE$34,6,FALSE))*Apport_222A2324,3)</f>
        <v>0.84499999999999997</v>
      </c>
      <c r="G17">
        <f>ROUND(IF(VLOOKUP($A17,EnrollData2324,'2324 Jun 24 Enroll'!G$1,FALSE)=VLOOKUP($A17,'ESA Calculations 2324'!$A$4:$AE$34,7,FALSE),VLOOKUP($A17,EnrollData2324,'2324 Jun 24 Enroll'!G$1,FALSE),VLOOKUP($A17,'ESA Calculations 2324'!$A$4:$AE$34,7,FALSE))*Apport_210A2324,3)</f>
        <v>1.0569999999999999</v>
      </c>
      <c r="H17">
        <f>ROUND(IF(VLOOKUP($A17,EnrollData2324,'2324 Jun 24 Enroll'!H$1,FALSE)=VLOOKUP($A17,'ESA Calculations 2324'!$A$4:$AE$34,8,FALSE),VLOOKUP($A17,EnrollData2324,'2324 Jun 24 Enroll'!H$1,FALSE),VLOOKUP($A17,'ESA Calculations 2324'!$A$4:$AE$34,8,FALSE))*Apport_213A2324,3)</f>
        <v>1.8</v>
      </c>
      <c r="I17">
        <f>ROUND(IF(VLOOKUP($A17,EnrollData2324,'2324 Jun 24 Enroll'!I$1,FALSE)+VLOOKUP($A17,EnrollData2324,'2324 Jun 24 Enroll'!M$1,FALSE)-VLOOKUP($A17,EnrollData2324,'2324 Jun 24 Enroll'!J$1,FALSE)=VLOOKUP($A17,'ESA Calculations 2324'!$A$4:$AE$34,9,FALSE)+VLOOKUP($A17,'ESA Calculations 2324'!$A$4:$AE$34,18,FALSE)-VLOOKUP($A17,'ESA Calculations 2324'!$A$4:$AE$34,10,FALSE),VLOOKUP($A17,EnrollData2324,'2324 Jun 24 Enroll'!I$1,FALSE)+VLOOKUP($A17,EnrollData2324,'2324 Jun 24 Enroll'!M$1,FALSE)-VLOOKUP($A17,EnrollData2324,'2324 Jun 24 Enroll'!J$1,FALSE),VLOOKUP($A17,'ESA Calculations 2324'!$A$4:$AE$34,9,FALSE)+VLOOKUP($A17,'ESA Calculations 2324'!$A$4:$AE$34,18,FALSE)-VLOOKUP($A17,'ESA Calculations 2324'!$A$4:$AE$34,10,FALSE))*Apport_216A2324,3)</f>
        <v>3.5259999999999998</v>
      </c>
      <c r="J17">
        <f>ROUND(SUM(D17:I17)/IF(VLOOKUP($A17,EnrollData2324,'2324 Jun 24 Enroll'!M$1,FALSE)+VLOOKUP($A17,EnrollData2324,'2324 Jun 24 Enroll'!D$1,FALSE)=VLOOKUP($A17,'ESA Calculations 2324'!$A$4:$AE$34,18,FALSE)+VLOOKUP($A17,'ESA Calculations 2324'!$A$4:$AE$34,4,FALSE),VLOOKUP($A17,EnrollData2324,'2324 Jun 24 Enroll'!M$1,FALSE)+VLOOKUP($A17,EnrollData2324,'2324 Jun 24 Enroll'!D$1,FALSE),VLOOKUP($A17,'ESA Calculations 2324'!$A$4:$AE$34,18,FALSE)+VLOOKUP($A17,'ESA Calculations 2324'!$A$4:$AE$34,4,FALSE)),5)</f>
        <v>5.6079999999999998E-2</v>
      </c>
      <c r="K17" s="11">
        <f t="shared" si="7"/>
        <v>4.365E-3</v>
      </c>
      <c r="L17">
        <f>ROUND(IF(VLOOKUP($A17,EnrollData2324,'2324 Jun 24 Enroll'!D$1,FALSE)=VLOOKUP($A17,'ESA Calculations 2324'!$A$4:$AE$34,4,FALSE),VLOOKUP($A17,EnrollData2324,'2324 Jun 24 Enroll'!D$1,FALSE),VLOOKUP($A17,'ESA Calculations 2324'!$A$4:$AE$34,4,FALSE))*K17,3)</f>
        <v>0</v>
      </c>
      <c r="M17">
        <f>ROUND(IF(VLOOKUP($A17,EnrollData2324,'2324 Jun 24 Enroll'!E$1,FALSE)=VLOOKUP($A17,'ESA Calculations 2324'!$A$4:$AE$34,5,FALSE),VLOOKUP($A17,EnrollData2324,'2324 Jun 24 Enroll'!E$1,FALSE),VLOOKUP($A17,'ESA Calculations 2324'!$A$4:$AE$34,5,FALSE))*K17,3)</f>
        <v>0.254</v>
      </c>
      <c r="N17">
        <f>ROUND(IF(VLOOKUP($A17,EnrollData2324,'2324 Jun 24 Enroll'!F$1,FALSE)=VLOOKUP($A17,'ESA Calculations 2324'!$A$4:$AE$34,6,FALSE),VLOOKUP($A17,EnrollData2324,'2324 Jun 24 Enroll'!F$1,FALSE),VLOOKUP($A17,'ESA Calculations 2324'!$A$4:$AE$34,6,FALSE))*Apport_223A2324,3)</f>
        <v>7.0000000000000007E-2</v>
      </c>
      <c r="O17">
        <f>ROUND(IF(VLOOKUP($A17,EnrollData2324,'2324 Jun 24 Enroll'!G$1,FALSE)=VLOOKUP($A17,'ESA Calculations 2324'!$A$4:$AE$34,7,FALSE),VLOOKUP($A17,EnrollData2324,'2324 Jun 24 Enroll'!G$1,FALSE),VLOOKUP($A17,'ESA Calculations 2324'!$A$4:$AE$34,7,FALSE))*Apport_211A2324,3)</f>
        <v>8.7999999999999995E-2</v>
      </c>
      <c r="P17">
        <f>ROUND(IF(VLOOKUP($A17,EnrollData2324,'2324 Jun 24 Enroll'!H$1,FALSE)=VLOOKUP($A17,'ESA Calculations 2324'!$A$4:$AE$34,8,FALSE),VLOOKUP($A17,EnrollData2324,'2324 Jun 24 Enroll'!H$1,FALSE),VLOOKUP($A17,'ESA Calculations 2324'!$A$4:$AE$34,8,FALSE))*Apport_214A2324,3)</f>
        <v>0.15</v>
      </c>
      <c r="Q17">
        <f>ROUND(IF(VLOOKUP($A17,EnrollData2324,'2324 Jun 24 Enroll'!I$1,FALSE)+VLOOKUP($A17,EnrollData2324,'2324 Jun 24 Enroll'!M$1,FALSE)-VLOOKUP($A17,EnrollData2324,'2324 Jun 24 Enroll'!J$1,FALSE)=VLOOKUP($A17,'ESA Calculations 2324'!$A$4:$AE$34,9,FALSE)+VLOOKUP($A17,'ESA Calculations 2324'!$A$4:$AE$34,18,FALSE)-VLOOKUP($A17,'ESA Calculations 2324'!$A$4:$AE$34,10,FALSE),VLOOKUP($A17,EnrollData2324,'2324 Jun 24 Enroll'!I$1,FALSE)+VLOOKUP($A17,EnrollData2324,'2324 Jun 24 Enroll'!M$1,FALSE)-VLOOKUP($A17,EnrollData2324,'2324 Jun 24 Enroll'!J$1,FALSE),VLOOKUP($A17,'ESA Calculations 2324'!$A$4:$AE$34,9,FALSE)+VLOOKUP($A17,'ESA Calculations 2324'!$A$4:$AE$34,18,FALSE)-VLOOKUP($A17,'ESA Calculations 2324'!$A$4:$AE$34,10,FALSE))*Apport_217A2324,3)</f>
        <v>0.28499999999999998</v>
      </c>
      <c r="R17">
        <f>ROUND(SUM(L17:Q17)/IF(VLOOKUP($A17,EnrollData2324,'2324 Jun 24 Enroll'!M$1,FALSE)+VLOOKUP($A17,EnrollData2324,'2324 Jun 24 Enroll'!D$1,FALSE)=VLOOKUP($A17,'ESA Calculations 2324'!$A$4:$AE$34,18,FALSE)+VLOOKUP($A17,'ESA Calculations 2324'!$A$4:$AE$34,4,FALSE),VLOOKUP($A17,EnrollData2324,'2324 Jun 24 Enroll'!M$1,FALSE)+VLOOKUP($A17,EnrollData2324,'2324 Jun 24 Enroll'!D$1,FALSE),VLOOKUP($A17,'ESA Calculations 2324'!$A$4:$AE$34,18,FALSE)+VLOOKUP($A17,'ESA Calculations 2324'!$A$4:$AE$34,4,FALSE)),5)</f>
        <v>4.13E-3</v>
      </c>
      <c r="S17" s="11">
        <f t="shared" si="8"/>
        <v>1.8294500000000002E-2</v>
      </c>
      <c r="T17">
        <f>ROUND(IF(VLOOKUP($A17,EnrollData2324,'2324 Jun 24 Enroll'!D$1,FALSE)=VLOOKUP($A17,'ESA Calculations 2324'!$A$4:$AE$34,4,FALSE),VLOOKUP($A17,EnrollData2324,'2324 Jun 24 Enroll'!D$1,FALSE),VLOOKUP($A17,'ESA Calculations 2324'!$A$4:$AE$34,4,FALSE))*S17,3)</f>
        <v>0</v>
      </c>
      <c r="U17">
        <f>ROUND(IF(VLOOKUP($A17,EnrollData2324,'2324 Jun 24 Enroll'!E$1,FALSE)=VLOOKUP($A17,'ESA Calculations 2324'!$A$4:$AE$34,5,FALSE),VLOOKUP($A17,EnrollData2324,'2324 Jun 24 Enroll'!E$1,FALSE),VLOOKUP($A17,'ESA Calculations 2324'!$A$4:$AE$34,5,FALSE))*S17,3)</f>
        <v>1.0649999999999999</v>
      </c>
      <c r="V17">
        <f>ROUND(IF(VLOOKUP($A17,EnrollData2324,'2324 Jun 24 Enroll'!F$1,FALSE)=VLOOKUP($A17,'ESA Calculations 2324'!$A$4:$AE$34,6,FALSE),VLOOKUP($A17,EnrollData2324,'2324 Jun 24 Enroll'!F$1,FALSE),VLOOKUP($A17,'ESA Calculations 2324'!$A$4:$AE$34,6,FALSE))*Apport_224A2324,3)</f>
        <v>0.30299999999999999</v>
      </c>
      <c r="W17">
        <f>ROUND(IF(VLOOKUP($A17,EnrollData2324,'2324 Jun 24 Enroll'!G$1,FALSE)=VLOOKUP($A17,'ESA Calculations 2324'!$A$4:$AE$34,7,FALSE),VLOOKUP($A17,EnrollData2324,'2324 Jun 24 Enroll'!G$1,FALSE),VLOOKUP($A17,'ESA Calculations 2324'!$A$4:$AE$34,7,FALSE))*Apport_212A2324,3)</f>
        <v>0.379</v>
      </c>
      <c r="X17">
        <f>ROUND(IF(VLOOKUP($A17,EnrollData2324,'2324 Jun 24 Enroll'!H$1,FALSE)=VLOOKUP($A17,'ESA Calculations 2324'!$A$4:$AE$34,8,FALSE),VLOOKUP($A17,EnrollData2324,'2324 Jun 24 Enroll'!H$1,FALSE),VLOOKUP($A17,'ESA Calculations 2324'!$A$4:$AE$34,8,FALSE))*Apport_215A2324,3)</f>
        <v>0.63500000000000001</v>
      </c>
      <c r="Y17">
        <f>ROUND(IF(VLOOKUP($A17,EnrollData2324,'2324 Jun 24 Enroll'!I$1,FALSE)+VLOOKUP($A17,EnrollData2324,'2324 Jun 24 Enroll'!M$1,FALSE)-VLOOKUP($A17,EnrollData2324,'2324 Jun 24 Enroll'!J$1,FALSE)=VLOOKUP($A17,'ESA Calculations 2324'!$A$4:$AE$34,9,FALSE)+VLOOKUP($A17,'ESA Calculations 2324'!$A$4:$AE$34,18,FALSE)-VLOOKUP($A17,'ESA Calculations 2324'!$A$4:$AE$34,10,FALSE),VLOOKUP($A17,EnrollData2324,'2324 Jun 24 Enroll'!I$1,FALSE)+VLOOKUP($A17,EnrollData2324,'2324 Jun 24 Enroll'!M$1,FALSE)-VLOOKUP($A17,EnrollData2324,'2324 Jun 24 Enroll'!J$1,FALSE),VLOOKUP($A17,'ESA Calculations 2324'!$A$4:$AE$34,9,FALSE)+VLOOKUP($A17,'ESA Calculations 2324'!$A$4:$AE$34,18,FALSE)-VLOOKUP($A17,'ESA Calculations 2324'!$A$4:$AE$34,10,FALSE))*Apport_218A2324,3)</f>
        <v>1.2070000000000001</v>
      </c>
      <c r="Z17">
        <f>ROUND(SUM(T17:Y17)/IF(VLOOKUP($A17,EnrollData2324,'2324 Jun 24 Enroll'!M$1,FALSE)+VLOOKUP($A17,EnrollData2324,'2324 Jun 24 Enroll'!D$1,FALSE)=VLOOKUP($A17,'ESA Calculations 2324'!$A$4:$AE$34,18,FALSE)+VLOOKUP($A17,'ESA Calculations 2324'!$A$4:$AE$34,4,FALSE),VLOOKUP($A17,EnrollData2324,'2324 Jun 24 Enroll'!M$1,FALSE)+VLOOKUP($A17,EnrollData2324,'2324 Jun 24 Enroll'!D$1,FALSE),VLOOKUP($A17,'ESA Calculations 2324'!$A$4:$AE$34,18,FALSE)+VLOOKUP($A17,'ESA Calculations 2324'!$A$4:$AE$34,4,FALSE)),5)</f>
        <v>1.7500000000000002E-2</v>
      </c>
      <c r="AA17" s="6">
        <f>ROUND($J17*CIS_Base_Salary2324*VLOOKUP($A17,EnrollData2324,'2324 Jun 24 Enroll'!S$1,FALSE),2)</f>
        <v>4078.59</v>
      </c>
      <c r="AB17" s="6">
        <f>ROUND($J17*CIS_Inc_Salary2324*(VLOOKUP($A17,EnrollData2324,'2324 Jun 24 Enroll'!T$1,FALSE)+VLOOKUP($A17,EnrollData2324,'2324 Jun 24 Enroll'!U$1,FALSE)),2)-AA17</f>
        <v>150.90999999999985</v>
      </c>
      <c r="AC17" s="6">
        <f>ROUND($R17*CAS_Base_Salary2324*VLOOKUP($A17,EnrollData2324,'2324 Jun 24 Enroll'!S$1,FALSE),2)</f>
        <v>445.85</v>
      </c>
      <c r="AD17" s="6">
        <f>ROUND($R17*CAS_Inc_Salary2324*VLOOKUP($A17,EnrollData2324,'2324 Jun 24 Enroll'!T$1,FALSE),2)-AC17</f>
        <v>16.5</v>
      </c>
      <c r="AE17" s="6">
        <f>ROUND($Z17*CLS_Base_Salary2324*VLOOKUP($A17,EnrollData2324,'2324 Jun 24 Enroll'!S$1,FALSE),2)</f>
        <v>913.03</v>
      </c>
      <c r="AF17" s="6">
        <f>ROUND($Z17*CLS_Inc_Salary2324*VLOOKUP($A17,EnrollData2324,'2324 Jun 24 Enroll'!T$1,FALSE),2)-AE17</f>
        <v>33.769999999999982</v>
      </c>
      <c r="AG17">
        <f t="shared" si="9"/>
        <v>741.31</v>
      </c>
      <c r="AH17" s="69">
        <f t="shared" si="10"/>
        <v>69.360000000000014</v>
      </c>
      <c r="AI17">
        <f t="shared" si="11"/>
        <v>215.46</v>
      </c>
      <c r="AJ17">
        <f t="shared" si="12"/>
        <v>114.86999999999998</v>
      </c>
      <c r="AK17">
        <f t="shared" si="13"/>
        <v>813.04</v>
      </c>
      <c r="AL17">
        <f t="shared" si="14"/>
        <v>29.01</v>
      </c>
      <c r="AM17">
        <f t="shared" si="15"/>
        <v>201.41</v>
      </c>
      <c r="AN17">
        <f t="shared" si="16"/>
        <v>6.27</v>
      </c>
      <c r="AO17">
        <f>ROUND(($J17*CIS_Inc_Salary2324*(VLOOKUP($A17,EnrollData2324,'2324 Jun 24 Enroll'!T$1,FALSE)+VLOOKUP($A17,EnrollData2324,'2324 Jun 24 Enroll'!U$1,FALSE))/Apport_613Xpd)*Apport_614Xpd,2)</f>
        <v>70.489999999999995</v>
      </c>
      <c r="AP17">
        <f t="shared" si="17"/>
        <v>12.22</v>
      </c>
      <c r="AQ17">
        <f t="shared" si="19"/>
        <v>31.24</v>
      </c>
      <c r="AR17" s="6">
        <f>ROUND((IF(VLOOKUP($A17,EnrollData2324,'2324 Jun 24 Enroll'!D$1,FALSE)=VLOOKUP($A17,'ESA Calculations 2324'!$A$4:$AE$34,4,FALSE),VLOOKUP($A17,EnrollData2324,'2324 Jun 24 Enroll'!D$1,FALSE),VLOOKUP($A17,'ESA Calculations 2324'!$A$4:$AE$34,4,FALSE))*Apport_M802324+IF(VLOOKUP($A17,EnrollData2324,'2324 Jun 24 Enroll'!M$1,FALSE)=VLOOKUP($A17,'ESA Calculations 2324'!$A$4:$AE$34,18,FALSE),VLOOKUP($A17,EnrollData2324,'2324 Jun 24 Enroll'!M$1,FALSE),VLOOKUP($A17,'ESA Calculations 2324'!$A$4:$AE$34,18,FALSE))*Apport_M802324+IF((VLOOKUP($A17,EnrollData2324,'2324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Enroll'!L$1,FALSE))=VLOOKUP($A17,EnrollData2324,'2324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Enroll'!L$1,FALSE),(VLOOKUP($A17,EnrollData2324,'2324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Enroll'!L$1,FALSE)),(VLOOKUP($A17,EnrollData2324,'2324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Enroll'!L$1,FALSE)))*Apport_M812324)/(IF(VLOOKUP($A17,EnrollData2324,'2324 Jun 24 Enroll'!M$1,FALSE)=VLOOKUP($A17,'ESA Calculations 2324'!$A$4:$AE$34,18,FALSE),VLOOKUP($A17,EnrollData2324,'2324 Jun 24 Enroll'!M$1,FALSE),VLOOKUP($A17,'ESA Calculations 2324'!$A$4:$AE$34,18,FALSE))+IF(VLOOKUP($A17,EnrollData2324,'2324 Jun 24 Enroll'!D$1,FALSE)=VLOOKUP($A17,'ESA Calculations 2324'!$A$4:$AE$34,4,FALSE),VLOOKUP($A17,EnrollData2324,'2324 Jun 24 Enroll'!D$1,FALSE),VLOOKUP($A17,'ESA Calculations 2324'!$A$4:$AE$34,4,FALSE))),2)</f>
        <v>1552.11</v>
      </c>
      <c r="AS17" s="7">
        <f t="shared" si="20"/>
        <v>9495.4399999999987</v>
      </c>
      <c r="AT17" s="6">
        <f>IF(VLOOKUP($A17,EnrollData2324,'2324 Jun 24 Enroll'!AA$1,FALSE)=VLOOKUP($A17,'ESA Calculations 2324'!$A$4:$AE$34,24,FALSE),VLOOKUP($A17,EnrollData2324,'2324 Jun 24 Enroll'!AA$1,FALSE),VLOOKUP($A17,'ESA Calculations 2324'!$A$4:$AE$34,24,FALSE))</f>
        <v>206.71</v>
      </c>
    </row>
    <row r="18" spans="1:46">
      <c r="A18" s="40" t="s">
        <v>478</v>
      </c>
      <c r="B18" s="40" t="s">
        <v>479</v>
      </c>
      <c r="C18" s="11">
        <f>ROUND((IFERROR((1/IF(VLOOKUP($A18,EnrollData2324,28,FALSE)=VLOOKUP($A18,'ESA Calculations 2324'!$A$4:$AE$34,3,FALSE),VLOOKUP($A18,EnrollData2324,28,FALSE),VLOOKUP($A18,'ESA Calculations 2324'!$A$4:$AE$34,3,FALSE)))*(1+Apport_Z315),0))+Apport_201A2324,6)</f>
        <v>7.3449E-2</v>
      </c>
      <c r="D18">
        <f>ROUND(IF(VLOOKUP($A18,EnrollData2324,'2324 Jun 24 Enroll'!D$1,FALSE)=VLOOKUP($A18,'ESA Calculations 2324'!$A$4:$AE$34,4,FALSE),VLOOKUP($A18,EnrollData2324,'2324 Jun 24 Enroll'!D$1,FALSE),VLOOKUP($A18,'ESA Calculations 2324'!$A$4:$AE$34,4,FALSE))*C18,3)</f>
        <v>0</v>
      </c>
      <c r="E18">
        <f>ROUND(IF(VLOOKUP($A18,EnrollData2324,'2324 Jun 24 Enroll'!E$1,FALSE)=VLOOKUP($A18,'ESA Calculations 2324'!$A$4:$AE$34,5,FALSE),VLOOKUP($A18,EnrollData2324,'2324 Jun 24 Enroll'!E$1,FALSE),VLOOKUP($A18,'ESA Calculations 2324'!$A$4:$AE$34,5,FALSE))*C18,3)</f>
        <v>1.462</v>
      </c>
      <c r="F18">
        <f>ROUND(IF(VLOOKUP($A18,EnrollData2324,'2324 Jun 24 Enroll'!F$1,FALSE)=VLOOKUP($A18,'ESA Calculations 2324'!$A$4:$AE$34,6,FALSE),VLOOKUP($A18,EnrollData2324,'2324 Jun 24 Enroll'!F$1,FALSE),VLOOKUP($A18,'ESA Calculations 2324'!$A$4:$AE$34,6,FALSE))*Apport_222A2324,3)</f>
        <v>0.23699999999999999</v>
      </c>
      <c r="G18">
        <f>ROUND(IF(VLOOKUP($A18,EnrollData2324,'2324 Jun 24 Enroll'!G$1,FALSE)=VLOOKUP($A18,'ESA Calculations 2324'!$A$4:$AE$34,7,FALSE),VLOOKUP($A18,EnrollData2324,'2324 Jun 24 Enroll'!G$1,FALSE),VLOOKUP($A18,'ESA Calculations 2324'!$A$4:$AE$34,7,FALSE))*Apport_210A2324,3)</f>
        <v>0.193</v>
      </c>
      <c r="H18">
        <f>ROUND(IF(VLOOKUP($A18,EnrollData2324,'2324 Jun 24 Enroll'!H$1,FALSE)=VLOOKUP($A18,'ESA Calculations 2324'!$A$4:$AE$34,8,FALSE),VLOOKUP($A18,EnrollData2324,'2324 Jun 24 Enroll'!H$1,FALSE),VLOOKUP($A18,'ESA Calculations 2324'!$A$4:$AE$34,8,FALSE))*Apport_213A2324,3)</f>
        <v>0.36299999999999999</v>
      </c>
      <c r="I18">
        <f>ROUND(IF(VLOOKUP($A18,EnrollData2324,'2324 Jun 24 Enroll'!I$1,FALSE)+VLOOKUP($A18,EnrollData2324,'2324 Jun 24 Enroll'!M$1,FALSE)-VLOOKUP($A18,EnrollData2324,'2324 Jun 24 Enroll'!J$1,FALSE)=VLOOKUP($A18,'ESA Calculations 2324'!$A$4:$AE$34,9,FALSE)+VLOOKUP($A18,'ESA Calculations 2324'!$A$4:$AE$34,18,FALSE)-VLOOKUP($A18,'ESA Calculations 2324'!$A$4:$AE$34,10,FALSE),VLOOKUP($A18,EnrollData2324,'2324 Jun 24 Enroll'!I$1,FALSE)+VLOOKUP($A18,EnrollData2324,'2324 Jun 24 Enroll'!M$1,FALSE)-VLOOKUP($A18,EnrollData2324,'2324 Jun 24 Enroll'!J$1,FALSE),VLOOKUP($A18,'ESA Calculations 2324'!$A$4:$AE$34,9,FALSE)+VLOOKUP($A18,'ESA Calculations 2324'!$A$4:$AE$34,18,FALSE)-VLOOKUP($A18,'ESA Calculations 2324'!$A$4:$AE$34,10,FALSE))*Apport_216A2324,3)</f>
        <v>1.268</v>
      </c>
      <c r="J18">
        <f>ROUND(SUM(D18:I18)/IF(VLOOKUP($A18,EnrollData2324,'2324 Jun 24 Enroll'!M$1,FALSE)+VLOOKUP($A18,EnrollData2324,'2324 Jun 24 Enroll'!D$1,FALSE)=VLOOKUP($A18,'ESA Calculations 2324'!$A$4:$AE$34,18,FALSE)+VLOOKUP($A18,'ESA Calculations 2324'!$A$4:$AE$34,4,FALSE),VLOOKUP($A18,EnrollData2324,'2324 Jun 24 Enroll'!M$1,FALSE)+VLOOKUP($A18,EnrollData2324,'2324 Jun 24 Enroll'!D$1,FALSE),VLOOKUP($A18,'ESA Calculations 2324'!$A$4:$AE$34,18,FALSE)+VLOOKUP($A18,'ESA Calculations 2324'!$A$4:$AE$34,4,FALSE)),5)</f>
        <v>5.7189999999999998E-2</v>
      </c>
      <c r="K18" s="11">
        <f t="shared" si="7"/>
        <v>4.365E-3</v>
      </c>
      <c r="L18">
        <f>ROUND(IF(VLOOKUP($A18,EnrollData2324,'2324 Jun 24 Enroll'!D$1,FALSE)=VLOOKUP($A18,'ESA Calculations 2324'!$A$4:$AE$34,4,FALSE),VLOOKUP($A18,EnrollData2324,'2324 Jun 24 Enroll'!D$1,FALSE),VLOOKUP($A18,'ESA Calculations 2324'!$A$4:$AE$34,4,FALSE))*K18,3)</f>
        <v>0</v>
      </c>
      <c r="M18">
        <f>ROUND(IF(VLOOKUP($A18,EnrollData2324,'2324 Jun 24 Enroll'!E$1,FALSE)=VLOOKUP($A18,'ESA Calculations 2324'!$A$4:$AE$34,5,FALSE),VLOOKUP($A18,EnrollData2324,'2324 Jun 24 Enroll'!E$1,FALSE),VLOOKUP($A18,'ESA Calculations 2324'!$A$4:$AE$34,5,FALSE))*K18,3)</f>
        <v>8.6999999999999994E-2</v>
      </c>
      <c r="N18">
        <f>ROUND(IF(VLOOKUP($A18,EnrollData2324,'2324 Jun 24 Enroll'!F$1,FALSE)=VLOOKUP($A18,'ESA Calculations 2324'!$A$4:$AE$34,6,FALSE),VLOOKUP($A18,EnrollData2324,'2324 Jun 24 Enroll'!F$1,FALSE),VLOOKUP($A18,'ESA Calculations 2324'!$A$4:$AE$34,6,FALSE))*Apport_223A2324,3)</f>
        <v>0.02</v>
      </c>
      <c r="O18">
        <f>ROUND(IF(VLOOKUP($A18,EnrollData2324,'2324 Jun 24 Enroll'!G$1,FALSE)=VLOOKUP($A18,'ESA Calculations 2324'!$A$4:$AE$34,7,FALSE),VLOOKUP($A18,EnrollData2324,'2324 Jun 24 Enroll'!G$1,FALSE),VLOOKUP($A18,'ESA Calculations 2324'!$A$4:$AE$34,7,FALSE))*Apport_211A2324,3)</f>
        <v>1.6E-2</v>
      </c>
      <c r="P18">
        <f>ROUND(IF(VLOOKUP($A18,EnrollData2324,'2324 Jun 24 Enroll'!H$1,FALSE)=VLOOKUP($A18,'ESA Calculations 2324'!$A$4:$AE$34,8,FALSE),VLOOKUP($A18,EnrollData2324,'2324 Jun 24 Enroll'!H$1,FALSE),VLOOKUP($A18,'ESA Calculations 2324'!$A$4:$AE$34,8,FALSE))*Apport_214A2324,3)</f>
        <v>0.03</v>
      </c>
      <c r="Q18">
        <f>ROUND(IF(VLOOKUP($A18,EnrollData2324,'2324 Jun 24 Enroll'!I$1,FALSE)+VLOOKUP($A18,EnrollData2324,'2324 Jun 24 Enroll'!M$1,FALSE)-VLOOKUP($A18,EnrollData2324,'2324 Jun 24 Enroll'!J$1,FALSE)=VLOOKUP($A18,'ESA Calculations 2324'!$A$4:$AE$34,9,FALSE)+VLOOKUP($A18,'ESA Calculations 2324'!$A$4:$AE$34,18,FALSE)-VLOOKUP($A18,'ESA Calculations 2324'!$A$4:$AE$34,10,FALSE),VLOOKUP($A18,EnrollData2324,'2324 Jun 24 Enroll'!I$1,FALSE)+VLOOKUP($A18,EnrollData2324,'2324 Jun 24 Enroll'!M$1,FALSE)-VLOOKUP($A18,EnrollData2324,'2324 Jun 24 Enroll'!J$1,FALSE),VLOOKUP($A18,'ESA Calculations 2324'!$A$4:$AE$34,9,FALSE)+VLOOKUP($A18,'ESA Calculations 2324'!$A$4:$AE$34,18,FALSE)-VLOOKUP($A18,'ESA Calculations 2324'!$A$4:$AE$34,10,FALSE))*Apport_217A2324,3)</f>
        <v>0.10199999999999999</v>
      </c>
      <c r="R18">
        <f>ROUND(SUM(L18:Q18)/IF(VLOOKUP($A18,EnrollData2324,'2324 Jun 24 Enroll'!M$1,FALSE)+VLOOKUP($A18,EnrollData2324,'2324 Jun 24 Enroll'!D$1,FALSE)=VLOOKUP($A18,'ESA Calculations 2324'!$A$4:$AE$34,18,FALSE)+VLOOKUP($A18,'ESA Calculations 2324'!$A$4:$AE$34,4,FALSE),VLOOKUP($A18,EnrollData2324,'2324 Jun 24 Enroll'!M$1,FALSE)+VLOOKUP($A18,EnrollData2324,'2324 Jun 24 Enroll'!D$1,FALSE),VLOOKUP($A18,'ESA Calculations 2324'!$A$4:$AE$34,18,FALSE)+VLOOKUP($A18,'ESA Calculations 2324'!$A$4:$AE$34,4,FALSE)),5)</f>
        <v>4.1399999999999996E-3</v>
      </c>
      <c r="S18" s="11">
        <f t="shared" si="8"/>
        <v>1.8294500000000002E-2</v>
      </c>
      <c r="T18">
        <f>ROUND(IF(VLOOKUP($A18,EnrollData2324,'2324 Jun 24 Enroll'!D$1,FALSE)=VLOOKUP($A18,'ESA Calculations 2324'!$A$4:$AE$34,4,FALSE),VLOOKUP($A18,EnrollData2324,'2324 Jun 24 Enroll'!D$1,FALSE),VLOOKUP($A18,'ESA Calculations 2324'!$A$4:$AE$34,4,FALSE))*S18,3)</f>
        <v>0</v>
      </c>
      <c r="U18">
        <f>ROUND(IF(VLOOKUP($A18,EnrollData2324,'2324 Jun 24 Enroll'!E$1,FALSE)=VLOOKUP($A18,'ESA Calculations 2324'!$A$4:$AE$34,5,FALSE),VLOOKUP($A18,EnrollData2324,'2324 Jun 24 Enroll'!E$1,FALSE),VLOOKUP($A18,'ESA Calculations 2324'!$A$4:$AE$34,5,FALSE))*S18,3)</f>
        <v>0.36399999999999999</v>
      </c>
      <c r="V18">
        <f>ROUND(IF(VLOOKUP($A18,EnrollData2324,'2324 Jun 24 Enroll'!F$1,FALSE)=VLOOKUP($A18,'ESA Calculations 2324'!$A$4:$AE$34,6,FALSE),VLOOKUP($A18,EnrollData2324,'2324 Jun 24 Enroll'!F$1,FALSE),VLOOKUP($A18,'ESA Calculations 2324'!$A$4:$AE$34,6,FALSE))*Apport_224A2324,3)</f>
        <v>8.5000000000000006E-2</v>
      </c>
      <c r="W18">
        <f>ROUND(IF(VLOOKUP($A18,EnrollData2324,'2324 Jun 24 Enroll'!G$1,FALSE)=VLOOKUP($A18,'ESA Calculations 2324'!$A$4:$AE$34,7,FALSE),VLOOKUP($A18,EnrollData2324,'2324 Jun 24 Enroll'!G$1,FALSE),VLOOKUP($A18,'ESA Calculations 2324'!$A$4:$AE$34,7,FALSE))*Apport_212A2324,3)</f>
        <v>6.9000000000000006E-2</v>
      </c>
      <c r="X18">
        <f>ROUND(IF(VLOOKUP($A18,EnrollData2324,'2324 Jun 24 Enroll'!H$1,FALSE)=VLOOKUP($A18,'ESA Calculations 2324'!$A$4:$AE$34,8,FALSE),VLOOKUP($A18,EnrollData2324,'2324 Jun 24 Enroll'!H$1,FALSE),VLOOKUP($A18,'ESA Calculations 2324'!$A$4:$AE$34,8,FALSE))*Apport_215A2324,3)</f>
        <v>0.128</v>
      </c>
      <c r="Y18">
        <f>ROUND(IF(VLOOKUP($A18,EnrollData2324,'2324 Jun 24 Enroll'!I$1,FALSE)+VLOOKUP($A18,EnrollData2324,'2324 Jun 24 Enroll'!M$1,FALSE)-VLOOKUP($A18,EnrollData2324,'2324 Jun 24 Enroll'!J$1,FALSE)=VLOOKUP($A18,'ESA Calculations 2324'!$A$4:$AE$34,9,FALSE)+VLOOKUP($A18,'ESA Calculations 2324'!$A$4:$AE$34,18,FALSE)-VLOOKUP($A18,'ESA Calculations 2324'!$A$4:$AE$34,10,FALSE),VLOOKUP($A18,EnrollData2324,'2324 Jun 24 Enroll'!I$1,FALSE)+VLOOKUP($A18,EnrollData2324,'2324 Jun 24 Enroll'!M$1,FALSE)-VLOOKUP($A18,EnrollData2324,'2324 Jun 24 Enroll'!J$1,FALSE),VLOOKUP($A18,'ESA Calculations 2324'!$A$4:$AE$34,9,FALSE)+VLOOKUP($A18,'ESA Calculations 2324'!$A$4:$AE$34,18,FALSE)-VLOOKUP($A18,'ESA Calculations 2324'!$A$4:$AE$34,10,FALSE))*Apport_218A2324,3)</f>
        <v>0.434</v>
      </c>
      <c r="Z18">
        <f>ROUND(SUM(T18:Y18)/IF(VLOOKUP($A18,EnrollData2324,'2324 Jun 24 Enroll'!M$1,FALSE)+VLOOKUP($A18,EnrollData2324,'2324 Jun 24 Enroll'!D$1,FALSE)=VLOOKUP($A18,'ESA Calculations 2324'!$A$4:$AE$34,18,FALSE)+VLOOKUP($A18,'ESA Calculations 2324'!$A$4:$AE$34,4,FALSE),VLOOKUP($A18,EnrollData2324,'2324 Jun 24 Enroll'!M$1,FALSE)+VLOOKUP($A18,EnrollData2324,'2324 Jun 24 Enroll'!D$1,FALSE),VLOOKUP($A18,'ESA Calculations 2324'!$A$4:$AE$34,18,FALSE)+VLOOKUP($A18,'ESA Calculations 2324'!$A$4:$AE$34,4,FALSE)),5)</f>
        <v>1.753E-2</v>
      </c>
      <c r="AA18" s="6">
        <f>ROUND($J18*CIS_Base_Salary2324*VLOOKUP($A18,EnrollData2324,'2324 Jun 24 Enroll'!S$1,FALSE),2)</f>
        <v>4159.3100000000004</v>
      </c>
      <c r="AB18" s="6">
        <f>ROUND($J18*CIS_Inc_Salary2324*(VLOOKUP($A18,EnrollData2324,'2324 Jun 24 Enroll'!T$1,FALSE)+VLOOKUP($A18,EnrollData2324,'2324 Jun 24 Enroll'!U$1,FALSE)),2)-AA18</f>
        <v>326.42999999999938</v>
      </c>
      <c r="AC18" s="6">
        <f>ROUND($R18*CAS_Base_Salary2324*VLOOKUP($A18,EnrollData2324,'2324 Jun 24 Enroll'!S$1,FALSE),2)</f>
        <v>446.93</v>
      </c>
      <c r="AD18" s="6">
        <f>ROUND($R18*CAS_Inc_Salary2324*VLOOKUP($A18,EnrollData2324,'2324 Jun 24 Enroll'!T$1,FALSE),2)-AC18</f>
        <v>16.54000000000002</v>
      </c>
      <c r="AE18" s="6">
        <f>ROUND($Z18*CLS_Base_Salary2324*VLOOKUP($A18,EnrollData2324,'2324 Jun 24 Enroll'!S$1,FALSE),2)</f>
        <v>914.59</v>
      </c>
      <c r="AF18" s="6">
        <f>ROUND($Z18*CLS_Inc_Salary2324*VLOOKUP($A18,EnrollData2324,'2324 Jun 24 Enroll'!T$1,FALSE),2)-AE18</f>
        <v>33.839999999999918</v>
      </c>
      <c r="AG18">
        <f t="shared" si="9"/>
        <v>755.09</v>
      </c>
      <c r="AH18" s="69">
        <f t="shared" si="10"/>
        <v>70.659999999999968</v>
      </c>
      <c r="AI18">
        <f t="shared" si="11"/>
        <v>215.83</v>
      </c>
      <c r="AJ18">
        <f t="shared" si="12"/>
        <v>115.06999999999996</v>
      </c>
      <c r="AK18">
        <f t="shared" si="13"/>
        <v>827.74</v>
      </c>
      <c r="AL18">
        <f t="shared" si="14"/>
        <v>59.44</v>
      </c>
      <c r="AM18">
        <f t="shared" si="15"/>
        <v>201.76</v>
      </c>
      <c r="AN18">
        <f t="shared" si="16"/>
        <v>6.28</v>
      </c>
      <c r="AO18">
        <f>ROUND(($J18*CIS_Inc_Salary2324*(VLOOKUP($A18,EnrollData2324,'2324 Jun 24 Enroll'!T$1,FALSE)+VLOOKUP($A18,EnrollData2324,'2324 Jun 24 Enroll'!U$1,FALSE))/Apport_613Xpd)*Apport_614Xpd,2)</f>
        <v>74.760000000000005</v>
      </c>
      <c r="AP18">
        <f t="shared" si="17"/>
        <v>12.96</v>
      </c>
      <c r="AQ18">
        <f t="shared" si="19"/>
        <v>31.86</v>
      </c>
      <c r="AR18" s="6">
        <f>ROUND((IF(VLOOKUP($A18,EnrollData2324,'2324 Jun 24 Enroll'!D$1,FALSE)=VLOOKUP($A18,'ESA Calculations 2324'!$A$4:$AE$34,4,FALSE),VLOOKUP($A18,EnrollData2324,'2324 Jun 24 Enroll'!D$1,FALSE),VLOOKUP($A18,'ESA Calculations 2324'!$A$4:$AE$34,4,FALSE))*Apport_M802324+IF(VLOOKUP($A18,EnrollData2324,'2324 Jun 24 Enroll'!M$1,FALSE)=VLOOKUP($A18,'ESA Calculations 2324'!$A$4:$AE$34,18,FALSE),VLOOKUP($A18,EnrollData2324,'2324 Jun 24 Enroll'!M$1,FALSE),VLOOKUP($A18,'ESA Calculations 2324'!$A$4:$AE$34,18,FALSE))*Apport_M802324+IF((VLOOKUP($A18,EnrollData2324,'2324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Enroll'!L$1,FALSE))=VLOOKUP($A18,EnrollData2324,'2324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Enroll'!L$1,FALSE),(VLOOKUP($A18,EnrollData2324,'2324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Enroll'!L$1,FALSE)),(VLOOKUP($A18,EnrollData2324,'2324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Enroll'!L$1,FALSE)))*Apport_M812324)/(IF(VLOOKUP($A18,EnrollData2324,'2324 Jun 24 Enroll'!M$1,FALSE)=VLOOKUP($A18,'ESA Calculations 2324'!$A$4:$AE$34,18,FALSE),VLOOKUP($A18,EnrollData2324,'2324 Jun 24 Enroll'!M$1,FALSE),VLOOKUP($A18,'ESA Calculations 2324'!$A$4:$AE$34,18,FALSE))+IF(VLOOKUP($A18,EnrollData2324,'2324 Jun 24 Enroll'!D$1,FALSE)=VLOOKUP($A18,'ESA Calculations 2324'!$A$4:$AE$34,4,FALSE),VLOOKUP($A18,EnrollData2324,'2324 Jun 24 Enroll'!D$1,FALSE),VLOOKUP($A18,'ESA Calculations 2324'!$A$4:$AE$34,4,FALSE))),2)</f>
        <v>1565.68</v>
      </c>
      <c r="AS18" s="7">
        <f t="shared" si="20"/>
        <v>9834.7699999999986</v>
      </c>
      <c r="AT18" s="6">
        <f>IF(VLOOKUP($A18,EnrollData2324,'2324 Jun 24 Enroll'!AA$1,FALSE)=VLOOKUP($A18,'ESA Calculations 2324'!$A$4:$AE$34,24,FALSE),VLOOKUP($A18,EnrollData2324,'2324 Jun 24 Enroll'!AA$1,FALSE),VLOOKUP($A18,'ESA Calculations 2324'!$A$4:$AE$34,24,FALSE))</f>
        <v>61.89</v>
      </c>
    </row>
    <row r="19" spans="1:46">
      <c r="A19" s="40" t="s">
        <v>534</v>
      </c>
      <c r="B19" s="40" t="s">
        <v>535</v>
      </c>
      <c r="C19" s="11">
        <f>ROUND((IFERROR((1/IF(VLOOKUP($A19,EnrollData2324,28,FALSE)=VLOOKUP($A19,'ESA Calculations 2324'!$A$4:$AE$34,3,FALSE),VLOOKUP($A19,EnrollData2324,28,FALSE),VLOOKUP($A19,'ESA Calculations 2324'!$A$4:$AE$34,3,FALSE)))*(1+Apport_Z315),0))+Apport_201A2324,6)</f>
        <v>7.3449E-2</v>
      </c>
      <c r="D19">
        <f>ROUND(IF(VLOOKUP($A19,EnrollData2324,'2324 Jun 24 Enroll'!D$1,FALSE)=VLOOKUP($A19,'ESA Calculations 2324'!$A$4:$AE$34,4,FALSE),VLOOKUP($A19,EnrollData2324,'2324 Jun 24 Enroll'!D$1,FALSE),VLOOKUP($A19,'ESA Calculations 2324'!$A$4:$AE$34,4,FALSE))*C19,3)</f>
        <v>0</v>
      </c>
      <c r="E19">
        <f>ROUND(IF(VLOOKUP($A19,EnrollData2324,'2324 Jun 24 Enroll'!E$1,FALSE)=VLOOKUP($A19,'ESA Calculations 2324'!$A$4:$AE$34,5,FALSE),VLOOKUP($A19,EnrollData2324,'2324 Jun 24 Enroll'!E$1,FALSE),VLOOKUP($A19,'ESA Calculations 2324'!$A$4:$AE$34,5,FALSE))*C19,3)</f>
        <v>2.02</v>
      </c>
      <c r="F19">
        <f>ROUND(IF(VLOOKUP($A19,EnrollData2324,'2324 Jun 24 Enroll'!F$1,FALSE)=VLOOKUP($A19,'ESA Calculations 2324'!$A$4:$AE$34,6,FALSE),VLOOKUP($A19,EnrollData2324,'2324 Jun 24 Enroll'!F$1,FALSE),VLOOKUP($A19,'ESA Calculations 2324'!$A$4:$AE$34,6,FALSE))*Apport_222A2324,3)</f>
        <v>0.34799999999999998</v>
      </c>
      <c r="G19">
        <f>ROUND(IF(VLOOKUP($A19,EnrollData2324,'2324 Jun 24 Enroll'!G$1,FALSE)=VLOOKUP($A19,'ESA Calculations 2324'!$A$4:$AE$34,7,FALSE),VLOOKUP($A19,EnrollData2324,'2324 Jun 24 Enroll'!G$1,FALSE),VLOOKUP($A19,'ESA Calculations 2324'!$A$4:$AE$34,7,FALSE))*Apport_210A2324,3)</f>
        <v>0.66200000000000003</v>
      </c>
      <c r="H19">
        <f>ROUND(IF(VLOOKUP($A19,EnrollData2324,'2324 Jun 24 Enroll'!H$1,FALSE)=VLOOKUP($A19,'ESA Calculations 2324'!$A$4:$AE$34,8,FALSE),VLOOKUP($A19,EnrollData2324,'2324 Jun 24 Enroll'!H$1,FALSE),VLOOKUP($A19,'ESA Calculations 2324'!$A$4:$AE$34,8,FALSE))*Apport_213A2324,3)</f>
        <v>0.52300000000000002</v>
      </c>
      <c r="I19">
        <f>ROUND(IF(VLOOKUP($A19,EnrollData2324,'2324 Jun 24 Enroll'!I$1,FALSE)+VLOOKUP($A19,EnrollData2324,'2324 Jun 24 Enroll'!M$1,FALSE)-VLOOKUP($A19,EnrollData2324,'2324 Jun 24 Enroll'!J$1,FALSE)=VLOOKUP($A19,'ESA Calculations 2324'!$A$4:$AE$34,9,FALSE)+VLOOKUP($A19,'ESA Calculations 2324'!$A$4:$AE$34,18,FALSE)-VLOOKUP($A19,'ESA Calculations 2324'!$A$4:$AE$34,10,FALSE),VLOOKUP($A19,EnrollData2324,'2324 Jun 24 Enroll'!I$1,FALSE)+VLOOKUP($A19,EnrollData2324,'2324 Jun 24 Enroll'!M$1,FALSE)-VLOOKUP($A19,EnrollData2324,'2324 Jun 24 Enroll'!J$1,FALSE),VLOOKUP($A19,'ESA Calculations 2324'!$A$4:$AE$34,9,FALSE)+VLOOKUP($A19,'ESA Calculations 2324'!$A$4:$AE$34,18,FALSE)-VLOOKUP($A19,'ESA Calculations 2324'!$A$4:$AE$34,10,FALSE))*Apport_216A2324,3)</f>
        <v>1.3360000000000001</v>
      </c>
      <c r="J19">
        <f>ROUND(SUM(D19:I19)/IF(VLOOKUP($A19,EnrollData2324,'2324 Jun 24 Enroll'!M$1,FALSE)+VLOOKUP($A19,EnrollData2324,'2324 Jun 24 Enroll'!D$1,FALSE)=VLOOKUP($A19,'ESA Calculations 2324'!$A$4:$AE$34,18,FALSE)+VLOOKUP($A19,'ESA Calculations 2324'!$A$4:$AE$34,4,FALSE),VLOOKUP($A19,EnrollData2324,'2324 Jun 24 Enroll'!M$1,FALSE)+VLOOKUP($A19,EnrollData2324,'2324 Jun 24 Enroll'!D$1,FALSE),VLOOKUP($A19,'ESA Calculations 2324'!$A$4:$AE$34,18,FALSE)+VLOOKUP($A19,'ESA Calculations 2324'!$A$4:$AE$34,4,FALSE)),5)</f>
        <v>5.6950000000000001E-2</v>
      </c>
      <c r="K19" s="11">
        <f t="shared" si="7"/>
        <v>4.365E-3</v>
      </c>
      <c r="L19">
        <f>ROUND(IF(VLOOKUP($A19,EnrollData2324,'2324 Jun 24 Enroll'!D$1,FALSE)=VLOOKUP($A19,'ESA Calculations 2324'!$A$4:$AE$34,4,FALSE),VLOOKUP($A19,EnrollData2324,'2324 Jun 24 Enroll'!D$1,FALSE),VLOOKUP($A19,'ESA Calculations 2324'!$A$4:$AE$34,4,FALSE))*K19,3)</f>
        <v>0</v>
      </c>
      <c r="M19">
        <f>ROUND(IF(VLOOKUP($A19,EnrollData2324,'2324 Jun 24 Enroll'!E$1,FALSE)=VLOOKUP($A19,'ESA Calculations 2324'!$A$4:$AE$34,5,FALSE),VLOOKUP($A19,EnrollData2324,'2324 Jun 24 Enroll'!E$1,FALSE),VLOOKUP($A19,'ESA Calculations 2324'!$A$4:$AE$34,5,FALSE))*K19,3)</f>
        <v>0.12</v>
      </c>
      <c r="N19">
        <f>ROUND(IF(VLOOKUP($A19,EnrollData2324,'2324 Jun 24 Enroll'!F$1,FALSE)=VLOOKUP($A19,'ESA Calculations 2324'!$A$4:$AE$34,6,FALSE),VLOOKUP($A19,EnrollData2324,'2324 Jun 24 Enroll'!F$1,FALSE),VLOOKUP($A19,'ESA Calculations 2324'!$A$4:$AE$34,6,FALSE))*Apport_223A2324,3)</f>
        <v>2.9000000000000001E-2</v>
      </c>
      <c r="O19">
        <f>ROUND(IF(VLOOKUP($A19,EnrollData2324,'2324 Jun 24 Enroll'!G$1,FALSE)=VLOOKUP($A19,'ESA Calculations 2324'!$A$4:$AE$34,7,FALSE),VLOOKUP($A19,EnrollData2324,'2324 Jun 24 Enroll'!G$1,FALSE),VLOOKUP($A19,'ESA Calculations 2324'!$A$4:$AE$34,7,FALSE))*Apport_211A2324,3)</f>
        <v>5.5E-2</v>
      </c>
      <c r="P19">
        <f>ROUND(IF(VLOOKUP($A19,EnrollData2324,'2324 Jun 24 Enroll'!H$1,FALSE)=VLOOKUP($A19,'ESA Calculations 2324'!$A$4:$AE$34,8,FALSE),VLOOKUP($A19,EnrollData2324,'2324 Jun 24 Enroll'!H$1,FALSE),VLOOKUP($A19,'ESA Calculations 2324'!$A$4:$AE$34,8,FALSE))*Apport_214A2324,3)</f>
        <v>4.2999999999999997E-2</v>
      </c>
      <c r="Q19">
        <f>ROUND(IF(VLOOKUP($A19,EnrollData2324,'2324 Jun 24 Enroll'!I$1,FALSE)+VLOOKUP($A19,EnrollData2324,'2324 Jun 24 Enroll'!M$1,FALSE)-VLOOKUP($A19,EnrollData2324,'2324 Jun 24 Enroll'!J$1,FALSE)=VLOOKUP($A19,'ESA Calculations 2324'!$A$4:$AE$34,9,FALSE)+VLOOKUP($A19,'ESA Calculations 2324'!$A$4:$AE$34,18,FALSE)-VLOOKUP($A19,'ESA Calculations 2324'!$A$4:$AE$34,10,FALSE),VLOOKUP($A19,EnrollData2324,'2324 Jun 24 Enroll'!I$1,FALSE)+VLOOKUP($A19,EnrollData2324,'2324 Jun 24 Enroll'!M$1,FALSE)-VLOOKUP($A19,EnrollData2324,'2324 Jun 24 Enroll'!J$1,FALSE),VLOOKUP($A19,'ESA Calculations 2324'!$A$4:$AE$34,9,FALSE)+VLOOKUP($A19,'ESA Calculations 2324'!$A$4:$AE$34,18,FALSE)-VLOOKUP($A19,'ESA Calculations 2324'!$A$4:$AE$34,10,FALSE))*Apport_217A2324,3)</f>
        <v>0.108</v>
      </c>
      <c r="R19">
        <f>ROUND(SUM(L19:Q19)/IF(VLOOKUP($A19,EnrollData2324,'2324 Jun 24 Enroll'!M$1,FALSE)+VLOOKUP($A19,EnrollData2324,'2324 Jun 24 Enroll'!D$1,FALSE)=VLOOKUP($A19,'ESA Calculations 2324'!$A$4:$AE$34,18,FALSE)+VLOOKUP($A19,'ESA Calculations 2324'!$A$4:$AE$34,4,FALSE),VLOOKUP($A19,EnrollData2324,'2324 Jun 24 Enroll'!M$1,FALSE)+VLOOKUP($A19,EnrollData2324,'2324 Jun 24 Enroll'!D$1,FALSE),VLOOKUP($A19,'ESA Calculations 2324'!$A$4:$AE$34,18,FALSE)+VLOOKUP($A19,'ESA Calculations 2324'!$A$4:$AE$34,4,FALSE)),5)</f>
        <v>4.1399999999999996E-3</v>
      </c>
      <c r="S19" s="11">
        <f t="shared" si="8"/>
        <v>1.8294500000000002E-2</v>
      </c>
      <c r="T19">
        <f>ROUND(IF(VLOOKUP($A19,EnrollData2324,'2324 Jun 24 Enroll'!D$1,FALSE)=VLOOKUP($A19,'ESA Calculations 2324'!$A$4:$AE$34,4,FALSE),VLOOKUP($A19,EnrollData2324,'2324 Jun 24 Enroll'!D$1,FALSE),VLOOKUP($A19,'ESA Calculations 2324'!$A$4:$AE$34,4,FALSE))*S19,3)</f>
        <v>0</v>
      </c>
      <c r="U19">
        <f>ROUND(IF(VLOOKUP($A19,EnrollData2324,'2324 Jun 24 Enroll'!E$1,FALSE)=VLOOKUP($A19,'ESA Calculations 2324'!$A$4:$AE$34,5,FALSE),VLOOKUP($A19,EnrollData2324,'2324 Jun 24 Enroll'!E$1,FALSE),VLOOKUP($A19,'ESA Calculations 2324'!$A$4:$AE$34,5,FALSE))*S19,3)</f>
        <v>0.503</v>
      </c>
      <c r="V19">
        <f>ROUND(IF(VLOOKUP($A19,EnrollData2324,'2324 Jun 24 Enroll'!F$1,FALSE)=VLOOKUP($A19,'ESA Calculations 2324'!$A$4:$AE$34,6,FALSE),VLOOKUP($A19,EnrollData2324,'2324 Jun 24 Enroll'!F$1,FALSE),VLOOKUP($A19,'ESA Calculations 2324'!$A$4:$AE$34,6,FALSE))*Apport_224A2324,3)</f>
        <v>0.125</v>
      </c>
      <c r="W19">
        <f>ROUND(IF(VLOOKUP($A19,EnrollData2324,'2324 Jun 24 Enroll'!G$1,FALSE)=VLOOKUP($A19,'ESA Calculations 2324'!$A$4:$AE$34,7,FALSE),VLOOKUP($A19,EnrollData2324,'2324 Jun 24 Enroll'!G$1,FALSE),VLOOKUP($A19,'ESA Calculations 2324'!$A$4:$AE$34,7,FALSE))*Apport_212A2324,3)</f>
        <v>0.23699999999999999</v>
      </c>
      <c r="X19">
        <f>ROUND(IF(VLOOKUP($A19,EnrollData2324,'2324 Jun 24 Enroll'!H$1,FALSE)=VLOOKUP($A19,'ESA Calculations 2324'!$A$4:$AE$34,8,FALSE),VLOOKUP($A19,EnrollData2324,'2324 Jun 24 Enroll'!H$1,FALSE),VLOOKUP($A19,'ESA Calculations 2324'!$A$4:$AE$34,8,FALSE))*Apport_215A2324,3)</f>
        <v>0.185</v>
      </c>
      <c r="Y19">
        <f>ROUND(IF(VLOOKUP($A19,EnrollData2324,'2324 Jun 24 Enroll'!I$1,FALSE)+VLOOKUP($A19,EnrollData2324,'2324 Jun 24 Enroll'!M$1,FALSE)-VLOOKUP($A19,EnrollData2324,'2324 Jun 24 Enroll'!J$1,FALSE)=VLOOKUP($A19,'ESA Calculations 2324'!$A$4:$AE$34,9,FALSE)+VLOOKUP($A19,'ESA Calculations 2324'!$A$4:$AE$34,18,FALSE)-VLOOKUP($A19,'ESA Calculations 2324'!$A$4:$AE$34,10,FALSE),VLOOKUP($A19,EnrollData2324,'2324 Jun 24 Enroll'!I$1,FALSE)+VLOOKUP($A19,EnrollData2324,'2324 Jun 24 Enroll'!M$1,FALSE)-VLOOKUP($A19,EnrollData2324,'2324 Jun 24 Enroll'!J$1,FALSE),VLOOKUP($A19,'ESA Calculations 2324'!$A$4:$AE$34,9,FALSE)+VLOOKUP($A19,'ESA Calculations 2324'!$A$4:$AE$34,18,FALSE)-VLOOKUP($A19,'ESA Calculations 2324'!$A$4:$AE$34,10,FALSE))*Apport_218A2324,3)</f>
        <v>0.45700000000000002</v>
      </c>
      <c r="Z19">
        <f>ROUND(SUM(T19:Y19)/IF(VLOOKUP($A19,EnrollData2324,'2324 Jun 24 Enroll'!M$1,FALSE)+VLOOKUP($A19,EnrollData2324,'2324 Jun 24 Enroll'!D$1,FALSE)=VLOOKUP($A19,'ESA Calculations 2324'!$A$4:$AE$34,18,FALSE)+VLOOKUP($A19,'ESA Calculations 2324'!$A$4:$AE$34,4,FALSE),VLOOKUP($A19,EnrollData2324,'2324 Jun 24 Enroll'!M$1,FALSE)+VLOOKUP($A19,EnrollData2324,'2324 Jun 24 Enroll'!D$1,FALSE),VLOOKUP($A19,'ESA Calculations 2324'!$A$4:$AE$34,18,FALSE)+VLOOKUP($A19,'ESA Calculations 2324'!$A$4:$AE$34,4,FALSE)),5)</f>
        <v>1.755E-2</v>
      </c>
      <c r="AA19" s="6">
        <f>ROUND($J19*CIS_Base_Salary2324*VLOOKUP($A19,EnrollData2324,'2324 Jun 24 Enroll'!S$1,FALSE),2)</f>
        <v>4141.8599999999997</v>
      </c>
      <c r="AB19" s="6">
        <f>ROUND($J19*CIS_Inc_Salary2324*(VLOOKUP($A19,EnrollData2324,'2324 Jun 24 Enroll'!T$1,FALSE)+VLOOKUP($A19,EnrollData2324,'2324 Jun 24 Enroll'!U$1,FALSE)),2)-AA19</f>
        <v>325.0600000000004</v>
      </c>
      <c r="AC19" s="6">
        <f>ROUND($R19*CAS_Base_Salary2324*VLOOKUP($A19,EnrollData2324,'2324 Jun 24 Enroll'!S$1,FALSE),2)</f>
        <v>446.93</v>
      </c>
      <c r="AD19" s="6">
        <f>ROUND($R19*CAS_Inc_Salary2324*VLOOKUP($A19,EnrollData2324,'2324 Jun 24 Enroll'!T$1,FALSE),2)-AC19</f>
        <v>16.54000000000002</v>
      </c>
      <c r="AE19" s="6">
        <f>ROUND($Z19*CLS_Base_Salary2324*VLOOKUP($A19,EnrollData2324,'2324 Jun 24 Enroll'!S$1,FALSE),2)</f>
        <v>915.64</v>
      </c>
      <c r="AF19" s="6">
        <f>ROUND($Z19*CLS_Inc_Salary2324*VLOOKUP($A19,EnrollData2324,'2324 Jun 24 Enroll'!T$1,FALSE),2)-AE19</f>
        <v>33.870000000000005</v>
      </c>
      <c r="AG19">
        <f t="shared" si="9"/>
        <v>752.14</v>
      </c>
      <c r="AH19" s="69">
        <f t="shared" si="10"/>
        <v>70.38</v>
      </c>
      <c r="AI19">
        <f t="shared" si="11"/>
        <v>216.08</v>
      </c>
      <c r="AJ19">
        <f t="shared" si="12"/>
        <v>115.18999999999997</v>
      </c>
      <c r="AK19">
        <f t="shared" si="13"/>
        <v>824.61</v>
      </c>
      <c r="AL19">
        <f t="shared" si="14"/>
        <v>59.2</v>
      </c>
      <c r="AM19">
        <f t="shared" si="15"/>
        <v>201.99</v>
      </c>
      <c r="AN19">
        <f t="shared" si="16"/>
        <v>6.29</v>
      </c>
      <c r="AO19">
        <f>ROUND(($J19*CIS_Inc_Salary2324*(VLOOKUP($A19,EnrollData2324,'2324 Jun 24 Enroll'!T$1,FALSE)+VLOOKUP($A19,EnrollData2324,'2324 Jun 24 Enroll'!U$1,FALSE))/Apport_613Xpd)*Apport_614Xpd,2)</f>
        <v>74.45</v>
      </c>
      <c r="AP19">
        <f t="shared" si="17"/>
        <v>12.9</v>
      </c>
      <c r="AQ19">
        <f t="shared" si="19"/>
        <v>31.72</v>
      </c>
      <c r="AR19" s="6">
        <f>ROUND((IF(VLOOKUP($A19,EnrollData2324,'2324 Jun 24 Enroll'!D$1,FALSE)=VLOOKUP($A19,'ESA Calculations 2324'!$A$4:$AE$34,4,FALSE),VLOOKUP($A19,EnrollData2324,'2324 Jun 24 Enroll'!D$1,FALSE),VLOOKUP($A19,'ESA Calculations 2324'!$A$4:$AE$34,4,FALSE))*Apport_M802324+IF(VLOOKUP($A19,EnrollData2324,'2324 Jun 24 Enroll'!M$1,FALSE)=VLOOKUP($A19,'ESA Calculations 2324'!$A$4:$AE$34,18,FALSE),VLOOKUP($A19,EnrollData2324,'2324 Jun 24 Enroll'!M$1,FALSE),VLOOKUP($A19,'ESA Calculations 2324'!$A$4:$AE$34,18,FALSE))*Apport_M802324+IF((VLOOKUP($A19,EnrollData2324,'2324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Enroll'!L$1,FALSE))=VLOOKUP($A19,EnrollData2324,'2324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Enroll'!L$1,FALSE),(VLOOKUP($A19,EnrollData2324,'2324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Enroll'!L$1,FALSE)),(VLOOKUP($A19,EnrollData2324,'2324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Enroll'!L$1,FALSE)))*Apport_M812324)/(IF(VLOOKUP($A19,EnrollData2324,'2324 Jun 24 Enroll'!M$1,FALSE)=VLOOKUP($A19,'ESA Calculations 2324'!$A$4:$AE$34,18,FALSE),VLOOKUP($A19,EnrollData2324,'2324 Jun 24 Enroll'!M$1,FALSE),VLOOKUP($A19,'ESA Calculations 2324'!$A$4:$AE$34,18,FALSE))+IF(VLOOKUP($A19,EnrollData2324,'2324 Jun 24 Enroll'!D$1,FALSE)=VLOOKUP($A19,'ESA Calculations 2324'!$A$4:$AE$34,4,FALSE),VLOOKUP($A19,EnrollData2324,'2324 Jun 24 Enroll'!D$1,FALSE),VLOOKUP($A19,'ESA Calculations 2324'!$A$4:$AE$34,4,FALSE))),2)</f>
        <v>1545.6</v>
      </c>
      <c r="AS19" s="7">
        <f t="shared" si="20"/>
        <v>9790.4499999999989</v>
      </c>
      <c r="AT19" s="6">
        <f>IF(VLOOKUP($A19,EnrollData2324,'2324 Jun 24 Enroll'!AA$1,FALSE)=VLOOKUP($A19,'ESA Calculations 2324'!$A$4:$AE$34,24,FALSE),VLOOKUP($A19,EnrollData2324,'2324 Jun 24 Enroll'!AA$1,FALSE),VLOOKUP($A19,'ESA Calculations 2324'!$A$4:$AE$34,24,FALSE))</f>
        <v>85.85</v>
      </c>
    </row>
    <row r="20" spans="1:46">
      <c r="A20" s="40" t="s">
        <v>737</v>
      </c>
      <c r="B20" s="40" t="s">
        <v>738</v>
      </c>
      <c r="C20" s="11">
        <f>ROUND((IFERROR((1/IF(VLOOKUP($A20,EnrollData2324,28,FALSE)=VLOOKUP($A20,'ESA Calculations 2324'!$A$4:$AE$34,3,FALSE),VLOOKUP($A20,EnrollData2324,28,FALSE),VLOOKUP($A20,'ESA Calculations 2324'!$A$4:$AE$34,3,FALSE)))*(1+Apport_Z315),0))+Apport_201A2324,6)</f>
        <v>7.3449E-2</v>
      </c>
      <c r="D20">
        <f>ROUND(IF(VLOOKUP($A20,EnrollData2324,'2324 Jun 24 Enroll'!D$1,FALSE)=VLOOKUP($A20,'ESA Calculations 2324'!$A$4:$AE$34,4,FALSE),VLOOKUP($A20,EnrollData2324,'2324 Jun 24 Enroll'!D$1,FALSE),VLOOKUP($A20,'ESA Calculations 2324'!$A$4:$AE$34,4,FALSE))*C20,3)</f>
        <v>0</v>
      </c>
      <c r="E20">
        <f>ROUND(IF(VLOOKUP($A20,EnrollData2324,'2324 Jun 24 Enroll'!E$1,FALSE)=VLOOKUP($A20,'ESA Calculations 2324'!$A$4:$AE$34,5,FALSE),VLOOKUP($A20,EnrollData2324,'2324 Jun 24 Enroll'!E$1,FALSE),VLOOKUP($A20,'ESA Calculations 2324'!$A$4:$AE$34,5,FALSE))*C20,3)</f>
        <v>0.84499999999999997</v>
      </c>
      <c r="F20">
        <f>ROUND(IF(VLOOKUP($A20,EnrollData2324,'2324 Jun 24 Enroll'!F$1,FALSE)=VLOOKUP($A20,'ESA Calculations 2324'!$A$4:$AE$34,6,FALSE),VLOOKUP($A20,EnrollData2324,'2324 Jun 24 Enroll'!F$1,FALSE),VLOOKUP($A20,'ESA Calculations 2324'!$A$4:$AE$34,6,FALSE))*Apport_222A2324,3)</f>
        <v>0.121</v>
      </c>
      <c r="G20">
        <f>ROUND(IF(VLOOKUP($A20,EnrollData2324,'2324 Jun 24 Enroll'!G$1,FALSE)=VLOOKUP($A20,'ESA Calculations 2324'!$A$4:$AE$34,7,FALSE),VLOOKUP($A20,EnrollData2324,'2324 Jun 24 Enroll'!G$1,FALSE),VLOOKUP($A20,'ESA Calculations 2324'!$A$4:$AE$34,7,FALSE))*Apport_210A2324,3)</f>
        <v>0.63300000000000001</v>
      </c>
      <c r="H20">
        <f>ROUND(IF(VLOOKUP($A20,EnrollData2324,'2324 Jun 24 Enroll'!H$1,FALSE)=VLOOKUP($A20,'ESA Calculations 2324'!$A$4:$AE$34,8,FALSE),VLOOKUP($A20,EnrollData2324,'2324 Jun 24 Enroll'!H$1,FALSE),VLOOKUP($A20,'ESA Calculations 2324'!$A$4:$AE$34,8,FALSE))*Apport_213A2324,3)</f>
        <v>0</v>
      </c>
      <c r="I20">
        <f>ROUND(IF(VLOOKUP($A20,EnrollData2324,'2324 Jun 24 Enroll'!I$1,FALSE)+VLOOKUP($A20,EnrollData2324,'2324 Jun 24 Enroll'!M$1,FALSE)-VLOOKUP($A20,EnrollData2324,'2324 Jun 24 Enroll'!J$1,FALSE)=VLOOKUP($A20,'ESA Calculations 2324'!$A$4:$AE$34,9,FALSE)+VLOOKUP($A20,'ESA Calculations 2324'!$A$4:$AE$34,18,FALSE)-VLOOKUP($A20,'ESA Calculations 2324'!$A$4:$AE$34,10,FALSE),VLOOKUP($A20,EnrollData2324,'2324 Jun 24 Enroll'!I$1,FALSE)+VLOOKUP($A20,EnrollData2324,'2324 Jun 24 Enroll'!M$1,FALSE)-VLOOKUP($A20,EnrollData2324,'2324 Jun 24 Enroll'!J$1,FALSE),VLOOKUP($A20,'ESA Calculations 2324'!$A$4:$AE$34,9,FALSE)+VLOOKUP($A20,'ESA Calculations 2324'!$A$4:$AE$34,18,FALSE)-VLOOKUP($A20,'ESA Calculations 2324'!$A$4:$AE$34,10,FALSE))*Apport_216A2324,3)</f>
        <v>0</v>
      </c>
      <c r="J20">
        <f>ROUND(SUM(D20:I20)/IF(VLOOKUP($A20,EnrollData2324,'2324 Jun 24 Enroll'!M$1,FALSE)+VLOOKUP($A20,EnrollData2324,'2324 Jun 24 Enroll'!D$1,FALSE)=VLOOKUP($A20,'ESA Calculations 2324'!$A$4:$AE$34,18,FALSE)+VLOOKUP($A20,'ESA Calculations 2324'!$A$4:$AE$34,4,FALSE),VLOOKUP($A20,EnrollData2324,'2324 Jun 24 Enroll'!M$1,FALSE)+VLOOKUP($A20,EnrollData2324,'2324 Jun 24 Enroll'!D$1,FALSE),VLOOKUP($A20,'ESA Calculations 2324'!$A$4:$AE$34,18,FALSE)+VLOOKUP($A20,'ESA Calculations 2324'!$A$4:$AE$34,4,FALSE)),5)</f>
        <v>5.8999999999999997E-2</v>
      </c>
      <c r="K20" s="11">
        <f t="shared" si="7"/>
        <v>4.365E-3</v>
      </c>
      <c r="L20">
        <f>ROUND(IF(VLOOKUP($A20,EnrollData2324,'2324 Jun 24 Enroll'!D$1,FALSE)=VLOOKUP($A20,'ESA Calculations 2324'!$A$4:$AE$34,4,FALSE),VLOOKUP($A20,EnrollData2324,'2324 Jun 24 Enroll'!D$1,FALSE),VLOOKUP($A20,'ESA Calculations 2324'!$A$4:$AE$34,4,FALSE))*K20,3)</f>
        <v>0</v>
      </c>
      <c r="M20">
        <f>ROUND(IF(VLOOKUP($A20,EnrollData2324,'2324 Jun 24 Enroll'!E$1,FALSE)=VLOOKUP($A20,'ESA Calculations 2324'!$A$4:$AE$34,5,FALSE),VLOOKUP($A20,EnrollData2324,'2324 Jun 24 Enroll'!E$1,FALSE),VLOOKUP($A20,'ESA Calculations 2324'!$A$4:$AE$34,5,FALSE))*K20,3)</f>
        <v>0.05</v>
      </c>
      <c r="N20">
        <f>ROUND(IF(VLOOKUP($A20,EnrollData2324,'2324 Jun 24 Enroll'!F$1,FALSE)=VLOOKUP($A20,'ESA Calculations 2324'!$A$4:$AE$34,6,FALSE),VLOOKUP($A20,EnrollData2324,'2324 Jun 24 Enroll'!F$1,FALSE),VLOOKUP($A20,'ESA Calculations 2324'!$A$4:$AE$34,6,FALSE))*Apport_223A2324,3)</f>
        <v>0.01</v>
      </c>
      <c r="O20">
        <f>ROUND(IF(VLOOKUP($A20,EnrollData2324,'2324 Jun 24 Enroll'!G$1,FALSE)=VLOOKUP($A20,'ESA Calculations 2324'!$A$4:$AE$34,7,FALSE),VLOOKUP($A20,EnrollData2324,'2324 Jun 24 Enroll'!G$1,FALSE),VLOOKUP($A20,'ESA Calculations 2324'!$A$4:$AE$34,7,FALSE))*Apport_211A2324,3)</f>
        <v>5.2999999999999999E-2</v>
      </c>
      <c r="P20">
        <f>ROUND(IF(VLOOKUP($A20,EnrollData2324,'2324 Jun 24 Enroll'!H$1,FALSE)=VLOOKUP($A20,'ESA Calculations 2324'!$A$4:$AE$34,8,FALSE),VLOOKUP($A20,EnrollData2324,'2324 Jun 24 Enroll'!H$1,FALSE),VLOOKUP($A20,'ESA Calculations 2324'!$A$4:$AE$34,8,FALSE))*Apport_214A2324,3)</f>
        <v>0</v>
      </c>
      <c r="Q20">
        <f>ROUND(IF(VLOOKUP($A20,EnrollData2324,'2324 Jun 24 Enroll'!I$1,FALSE)+VLOOKUP($A20,EnrollData2324,'2324 Jun 24 Enroll'!M$1,FALSE)-VLOOKUP($A20,EnrollData2324,'2324 Jun 24 Enroll'!J$1,FALSE)=VLOOKUP($A20,'ESA Calculations 2324'!$A$4:$AE$34,9,FALSE)+VLOOKUP($A20,'ESA Calculations 2324'!$A$4:$AE$34,18,FALSE)-VLOOKUP($A20,'ESA Calculations 2324'!$A$4:$AE$34,10,FALSE),VLOOKUP($A20,EnrollData2324,'2324 Jun 24 Enroll'!I$1,FALSE)+VLOOKUP($A20,EnrollData2324,'2324 Jun 24 Enroll'!M$1,FALSE)-VLOOKUP($A20,EnrollData2324,'2324 Jun 24 Enroll'!J$1,FALSE),VLOOKUP($A20,'ESA Calculations 2324'!$A$4:$AE$34,9,FALSE)+VLOOKUP($A20,'ESA Calculations 2324'!$A$4:$AE$34,18,FALSE)-VLOOKUP($A20,'ESA Calculations 2324'!$A$4:$AE$34,10,FALSE))*Apport_217A2324,3)</f>
        <v>0</v>
      </c>
      <c r="R20">
        <f>ROUND(SUM(L20:Q20)/IF(VLOOKUP($A20,EnrollData2324,'2324 Jun 24 Enroll'!M$1,FALSE)+VLOOKUP($A20,EnrollData2324,'2324 Jun 24 Enroll'!D$1,FALSE)=VLOOKUP($A20,'ESA Calculations 2324'!$A$4:$AE$34,18,FALSE)+VLOOKUP($A20,'ESA Calculations 2324'!$A$4:$AE$34,4,FALSE),VLOOKUP($A20,EnrollData2324,'2324 Jun 24 Enroll'!M$1,FALSE)+VLOOKUP($A20,EnrollData2324,'2324 Jun 24 Enroll'!D$1,FALSE),VLOOKUP($A20,'ESA Calculations 2324'!$A$4:$AE$34,18,FALSE)+VLOOKUP($A20,'ESA Calculations 2324'!$A$4:$AE$34,4,FALSE)),5)</f>
        <v>4.1700000000000001E-3</v>
      </c>
      <c r="S20" s="11">
        <f t="shared" si="8"/>
        <v>1.8294500000000002E-2</v>
      </c>
      <c r="T20">
        <f>ROUND(IF(VLOOKUP($A20,EnrollData2324,'2324 Jun 24 Enroll'!D$1,FALSE)=VLOOKUP($A20,'ESA Calculations 2324'!$A$4:$AE$34,4,FALSE),VLOOKUP($A20,EnrollData2324,'2324 Jun 24 Enroll'!D$1,FALSE),VLOOKUP($A20,'ESA Calculations 2324'!$A$4:$AE$34,4,FALSE))*S20,3)</f>
        <v>0</v>
      </c>
      <c r="U20">
        <f>ROUND(IF(VLOOKUP($A20,EnrollData2324,'2324 Jun 24 Enroll'!E$1,FALSE)=VLOOKUP($A20,'ESA Calculations 2324'!$A$4:$AE$34,5,FALSE),VLOOKUP($A20,EnrollData2324,'2324 Jun 24 Enroll'!E$1,FALSE),VLOOKUP($A20,'ESA Calculations 2324'!$A$4:$AE$34,5,FALSE))*S20,3)</f>
        <v>0.21</v>
      </c>
      <c r="V20">
        <f>ROUND(IF(VLOOKUP($A20,EnrollData2324,'2324 Jun 24 Enroll'!F$1,FALSE)=VLOOKUP($A20,'ESA Calculations 2324'!$A$4:$AE$34,6,FALSE),VLOOKUP($A20,EnrollData2324,'2324 Jun 24 Enroll'!F$1,FALSE),VLOOKUP($A20,'ESA Calculations 2324'!$A$4:$AE$34,6,FALSE))*Apport_224A2324,3)</f>
        <v>4.2999999999999997E-2</v>
      </c>
      <c r="W20">
        <f>ROUND(IF(VLOOKUP($A20,EnrollData2324,'2324 Jun 24 Enroll'!G$1,FALSE)=VLOOKUP($A20,'ESA Calculations 2324'!$A$4:$AE$34,7,FALSE),VLOOKUP($A20,EnrollData2324,'2324 Jun 24 Enroll'!G$1,FALSE),VLOOKUP($A20,'ESA Calculations 2324'!$A$4:$AE$34,7,FALSE))*Apport_212A2324,3)</f>
        <v>0.22700000000000001</v>
      </c>
      <c r="X20">
        <f>ROUND(IF(VLOOKUP($A20,EnrollData2324,'2324 Jun 24 Enroll'!H$1,FALSE)=VLOOKUP($A20,'ESA Calculations 2324'!$A$4:$AE$34,8,FALSE),VLOOKUP($A20,EnrollData2324,'2324 Jun 24 Enroll'!H$1,FALSE),VLOOKUP($A20,'ESA Calculations 2324'!$A$4:$AE$34,8,FALSE))*Apport_215A2324,3)</f>
        <v>0</v>
      </c>
      <c r="Y20">
        <f>ROUND(IF(VLOOKUP($A20,EnrollData2324,'2324 Jun 24 Enroll'!I$1,FALSE)+VLOOKUP($A20,EnrollData2324,'2324 Jun 24 Enroll'!M$1,FALSE)-VLOOKUP($A20,EnrollData2324,'2324 Jun 24 Enroll'!J$1,FALSE)=VLOOKUP($A20,'ESA Calculations 2324'!$A$4:$AE$34,9,FALSE)+VLOOKUP($A20,'ESA Calculations 2324'!$A$4:$AE$34,18,FALSE)-VLOOKUP($A20,'ESA Calculations 2324'!$A$4:$AE$34,10,FALSE),VLOOKUP($A20,EnrollData2324,'2324 Jun 24 Enroll'!I$1,FALSE)+VLOOKUP($A20,EnrollData2324,'2324 Jun 24 Enroll'!M$1,FALSE)-VLOOKUP($A20,EnrollData2324,'2324 Jun 24 Enroll'!J$1,FALSE),VLOOKUP($A20,'ESA Calculations 2324'!$A$4:$AE$34,9,FALSE)+VLOOKUP($A20,'ESA Calculations 2324'!$A$4:$AE$34,18,FALSE)-VLOOKUP($A20,'ESA Calculations 2324'!$A$4:$AE$34,10,FALSE))*Apport_218A2324,3)</f>
        <v>0</v>
      </c>
      <c r="Z20">
        <f>ROUND(SUM(T20:Y20)/IF(VLOOKUP($A20,EnrollData2324,'2324 Jun 24 Enroll'!M$1,FALSE)+VLOOKUP($A20,EnrollData2324,'2324 Jun 24 Enroll'!D$1,FALSE)=VLOOKUP($A20,'ESA Calculations 2324'!$A$4:$AE$34,18,FALSE)+VLOOKUP($A20,'ESA Calculations 2324'!$A$4:$AE$34,4,FALSE),VLOOKUP($A20,EnrollData2324,'2324 Jun 24 Enroll'!M$1,FALSE)+VLOOKUP($A20,EnrollData2324,'2324 Jun 24 Enroll'!D$1,FALSE),VLOOKUP($A20,'ESA Calculations 2324'!$A$4:$AE$34,18,FALSE)+VLOOKUP($A20,'ESA Calculations 2324'!$A$4:$AE$34,4,FALSE)),5)</f>
        <v>1.771E-2</v>
      </c>
      <c r="AA20" s="6">
        <f>ROUND($J20*CIS_Base_Salary2324*VLOOKUP($A20,EnrollData2324,'2324 Jun 24 Enroll'!S$1,FALSE),2)</f>
        <v>4290.95</v>
      </c>
      <c r="AB20" s="6">
        <f>ROUND($J20*CIS_Inc_Salary2324*(VLOOKUP($A20,EnrollData2324,'2324 Jun 24 Enroll'!T$1,FALSE)+VLOOKUP($A20,EnrollData2324,'2324 Jun 24 Enroll'!U$1,FALSE)),2)-AA20</f>
        <v>158.77000000000044</v>
      </c>
      <c r="AC20" s="6">
        <f>ROUND($R20*CAS_Base_Salary2324*VLOOKUP($A20,EnrollData2324,'2324 Jun 24 Enroll'!S$1,FALSE),2)</f>
        <v>450.17</v>
      </c>
      <c r="AD20" s="6">
        <f>ROUND($R20*CAS_Inc_Salary2324*VLOOKUP($A20,EnrollData2324,'2324 Jun 24 Enroll'!T$1,FALSE),2)-AC20</f>
        <v>16.659999999999968</v>
      </c>
      <c r="AE20" s="6">
        <f>ROUND($Z20*CLS_Base_Salary2324*VLOOKUP($A20,EnrollData2324,'2324 Jun 24 Enroll'!S$1,FALSE),2)</f>
        <v>923.98</v>
      </c>
      <c r="AF20" s="6">
        <f>ROUND($Z20*CLS_Inc_Salary2324*VLOOKUP($A20,EnrollData2324,'2324 Jun 24 Enroll'!T$1,FALSE),2)-AE20</f>
        <v>34.17999999999995</v>
      </c>
      <c r="AG20">
        <f t="shared" si="9"/>
        <v>777.75</v>
      </c>
      <c r="AH20" s="69">
        <f t="shared" si="10"/>
        <v>72.769999999999982</v>
      </c>
      <c r="AI20">
        <f t="shared" si="11"/>
        <v>218.05</v>
      </c>
      <c r="AJ20">
        <f t="shared" si="12"/>
        <v>116.24000000000001</v>
      </c>
      <c r="AK20">
        <f t="shared" si="13"/>
        <v>851.98</v>
      </c>
      <c r="AL20">
        <f t="shared" si="14"/>
        <v>30.4</v>
      </c>
      <c r="AM20">
        <f t="shared" si="15"/>
        <v>203.83</v>
      </c>
      <c r="AN20">
        <f t="shared" si="16"/>
        <v>6.34</v>
      </c>
      <c r="AO20">
        <f>ROUND(($J20*CIS_Inc_Salary2324*(VLOOKUP($A20,EnrollData2324,'2324 Jun 24 Enroll'!T$1,FALSE)+VLOOKUP($A20,EnrollData2324,'2324 Jun 24 Enroll'!U$1,FALSE))/Apport_613Xpd)*Apport_614Xpd,2)</f>
        <v>74.16</v>
      </c>
      <c r="AP20">
        <f t="shared" si="17"/>
        <v>12.85</v>
      </c>
      <c r="AQ20">
        <f t="shared" si="19"/>
        <v>32.86</v>
      </c>
      <c r="AR20" s="6">
        <f>ROUND((IF(VLOOKUP($A20,EnrollData2324,'2324 Jun 24 Enroll'!D$1,FALSE)=VLOOKUP($A20,'ESA Calculations 2324'!$A$4:$AE$34,4,FALSE),VLOOKUP($A20,EnrollData2324,'2324 Jun 24 Enroll'!D$1,FALSE),VLOOKUP($A20,'ESA Calculations 2324'!$A$4:$AE$34,4,FALSE))*Apport_M802324+IF(VLOOKUP($A20,EnrollData2324,'2324 Jun 24 Enroll'!M$1,FALSE)=VLOOKUP($A20,'ESA Calculations 2324'!$A$4:$AE$34,18,FALSE),VLOOKUP($A20,EnrollData2324,'2324 Jun 24 Enroll'!M$1,FALSE),VLOOKUP($A20,'ESA Calculations 2324'!$A$4:$AE$34,18,FALSE))*Apport_M802324+IF((VLOOKUP($A20,EnrollData2324,'2324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Enroll'!L$1,FALSE))=VLOOKUP($A20,EnrollData2324,'2324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Enroll'!L$1,FALSE),(VLOOKUP($A20,EnrollData2324,'2324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Enroll'!L$1,FALSE)),(VLOOKUP($A20,EnrollData2324,'2324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Enroll'!L$1,FALSE)))*Apport_M812324)/(IF(VLOOKUP($A20,EnrollData2324,'2324 Jun 24 Enroll'!M$1,FALSE)=VLOOKUP($A20,'ESA Calculations 2324'!$A$4:$AE$34,18,FALSE),VLOOKUP($A20,EnrollData2324,'2324 Jun 24 Enroll'!M$1,FALSE),VLOOKUP($A20,'ESA Calculations 2324'!$A$4:$AE$34,18,FALSE))+IF(VLOOKUP($A20,EnrollData2324,'2324 Jun 24 Enroll'!D$1,FALSE)=VLOOKUP($A20,'ESA Calculations 2324'!$A$4:$AE$34,4,FALSE),VLOOKUP($A20,EnrollData2324,'2324 Jun 24 Enroll'!D$1,FALSE),VLOOKUP($A20,'ESA Calculations 2324'!$A$4:$AE$34,4,FALSE))),2)</f>
        <v>1483.44</v>
      </c>
      <c r="AS20" s="7">
        <f t="shared" si="20"/>
        <v>9755.3800000000028</v>
      </c>
      <c r="AT20" s="6">
        <f>IF(VLOOKUP($A20,EnrollData2324,'2324 Jun 24 Enroll'!AA$1,FALSE)=VLOOKUP($A20,'ESA Calculations 2324'!$A$4:$AE$34,24,FALSE),VLOOKUP($A20,EnrollData2324,'2324 Jun 24 Enroll'!AA$1,FALSE),VLOOKUP($A20,'ESA Calculations 2324'!$A$4:$AE$34,24,FALSE))</f>
        <v>27.1</v>
      </c>
    </row>
    <row r="21" spans="1:46">
      <c r="A21" s="40" t="s">
        <v>480</v>
      </c>
      <c r="B21" s="40" t="s">
        <v>481</v>
      </c>
      <c r="C21" s="11">
        <f>ROUND((IFERROR((1/IF(VLOOKUP($A21,EnrollData2324,28,FALSE)=VLOOKUP($A21,'ESA Calculations 2324'!$A$4:$AE$34,3,FALSE),VLOOKUP($A21,EnrollData2324,28,FALSE),VLOOKUP($A21,'ESA Calculations 2324'!$A$4:$AE$34,3,FALSE)))*(1+Apport_Z315),0))+Apport_201A2324,6)</f>
        <v>7.2387000000000007E-2</v>
      </c>
      <c r="D21">
        <f>ROUND(IF(VLOOKUP($A21,EnrollData2324,'2324 Jun 24 Enroll'!D$1,FALSE)=VLOOKUP($A21,'ESA Calculations 2324'!$A$4:$AE$34,4,FALSE),VLOOKUP($A21,EnrollData2324,'2324 Jun 24 Enroll'!D$1,FALSE),VLOOKUP($A21,'ESA Calculations 2324'!$A$4:$AE$34,4,FALSE))*C21,3)</f>
        <v>0</v>
      </c>
      <c r="E21">
        <f>ROUND(IF(VLOOKUP($A21,EnrollData2324,'2324 Jun 24 Enroll'!E$1,FALSE)=VLOOKUP($A21,'ESA Calculations 2324'!$A$4:$AE$34,5,FALSE),VLOOKUP($A21,EnrollData2324,'2324 Jun 24 Enroll'!E$1,FALSE),VLOOKUP($A21,'ESA Calculations 2324'!$A$4:$AE$34,5,FALSE))*C21,3)</f>
        <v>17.074999999999999</v>
      </c>
      <c r="F21">
        <f>ROUND(IF(VLOOKUP($A21,EnrollData2324,'2324 Jun 24 Enroll'!F$1,FALSE)=VLOOKUP($A21,'ESA Calculations 2324'!$A$4:$AE$34,6,FALSE),VLOOKUP($A21,EnrollData2324,'2324 Jun 24 Enroll'!F$1,FALSE),VLOOKUP($A21,'ESA Calculations 2324'!$A$4:$AE$34,6,FALSE))*Apport_222A2324,3)</f>
        <v>2.97</v>
      </c>
      <c r="G21">
        <f>ROUND(IF(VLOOKUP($A21,EnrollData2324,'2324 Jun 24 Enroll'!G$1,FALSE)=VLOOKUP($A21,'ESA Calculations 2324'!$A$4:$AE$34,7,FALSE),VLOOKUP($A21,EnrollData2324,'2324 Jun 24 Enroll'!G$1,FALSE),VLOOKUP($A21,'ESA Calculations 2324'!$A$4:$AE$34,7,FALSE))*Apport_210A2324,3)</f>
        <v>5.6109999999999998</v>
      </c>
      <c r="H21">
        <f>ROUND(IF(VLOOKUP($A21,EnrollData2324,'2324 Jun 24 Enroll'!H$1,FALSE)=VLOOKUP($A21,'ESA Calculations 2324'!$A$4:$AE$34,8,FALSE),VLOOKUP($A21,EnrollData2324,'2324 Jun 24 Enroll'!H$1,FALSE),VLOOKUP($A21,'ESA Calculations 2324'!$A$4:$AE$34,8,FALSE))*Apport_213A2324,3)</f>
        <v>6.681</v>
      </c>
      <c r="I21">
        <f>ROUND(IF(VLOOKUP($A21,EnrollData2324,'2324 Jun 24 Enroll'!I$1,FALSE)+VLOOKUP($A21,EnrollData2324,'2324 Jun 24 Enroll'!M$1,FALSE)-VLOOKUP($A21,EnrollData2324,'2324 Jun 24 Enroll'!J$1,FALSE)=VLOOKUP($A21,'ESA Calculations 2324'!$A$4:$AE$34,9,FALSE)+VLOOKUP($A21,'ESA Calculations 2324'!$A$4:$AE$34,18,FALSE)-VLOOKUP($A21,'ESA Calculations 2324'!$A$4:$AE$34,10,FALSE),VLOOKUP($A21,EnrollData2324,'2324 Jun 24 Enroll'!I$1,FALSE)+VLOOKUP($A21,EnrollData2324,'2324 Jun 24 Enroll'!M$1,FALSE)-VLOOKUP($A21,EnrollData2324,'2324 Jun 24 Enroll'!J$1,FALSE),VLOOKUP($A21,'ESA Calculations 2324'!$A$4:$AE$34,9,FALSE)+VLOOKUP($A21,'ESA Calculations 2324'!$A$4:$AE$34,18,FALSE)-VLOOKUP($A21,'ESA Calculations 2324'!$A$4:$AE$34,10,FALSE))*Apport_216A2324,3)</f>
        <v>119.38500000000001</v>
      </c>
      <c r="J21">
        <f>ROUND(SUM(D21:I21)/IF(VLOOKUP($A21,EnrollData2324,'2324 Jun 24 Enroll'!M$1,FALSE)+VLOOKUP($A21,EnrollData2324,'2324 Jun 24 Enroll'!D$1,FALSE)=VLOOKUP($A21,'ESA Calculations 2324'!$A$4:$AE$34,18,FALSE)+VLOOKUP($A21,'ESA Calculations 2324'!$A$4:$AE$34,4,FALSE),VLOOKUP($A21,EnrollData2324,'2324 Jun 24 Enroll'!M$1,FALSE)+VLOOKUP($A21,EnrollData2324,'2324 Jun 24 Enroll'!D$1,FALSE),VLOOKUP($A21,'ESA Calculations 2324'!$A$4:$AE$34,18,FALSE)+VLOOKUP($A21,'ESA Calculations 2324'!$A$4:$AE$34,4,FALSE)),5)</f>
        <v>5.1729999999999998E-2</v>
      </c>
      <c r="K21" s="11">
        <f t="shared" si="7"/>
        <v>4.3509999999999998E-3</v>
      </c>
      <c r="L21">
        <f>ROUND(IF(VLOOKUP($A21,EnrollData2324,'2324 Jun 24 Enroll'!D$1,FALSE)=VLOOKUP($A21,'ESA Calculations 2324'!$A$4:$AE$34,4,FALSE),VLOOKUP($A21,EnrollData2324,'2324 Jun 24 Enroll'!D$1,FALSE),VLOOKUP($A21,'ESA Calculations 2324'!$A$4:$AE$34,4,FALSE))*K21,3)</f>
        <v>0</v>
      </c>
      <c r="M21">
        <f>ROUND(IF(VLOOKUP($A21,EnrollData2324,'2324 Jun 24 Enroll'!E$1,FALSE)=VLOOKUP($A21,'ESA Calculations 2324'!$A$4:$AE$34,5,FALSE),VLOOKUP($A21,EnrollData2324,'2324 Jun 24 Enroll'!E$1,FALSE),VLOOKUP($A21,'ESA Calculations 2324'!$A$4:$AE$34,5,FALSE))*K21,3)</f>
        <v>1.026</v>
      </c>
      <c r="N21">
        <f>ROUND(IF(VLOOKUP($A21,EnrollData2324,'2324 Jun 24 Enroll'!F$1,FALSE)=VLOOKUP($A21,'ESA Calculations 2324'!$A$4:$AE$34,6,FALSE),VLOOKUP($A21,EnrollData2324,'2324 Jun 24 Enroll'!F$1,FALSE),VLOOKUP($A21,'ESA Calculations 2324'!$A$4:$AE$34,6,FALSE))*Apport_223A2324,3)</f>
        <v>0.248</v>
      </c>
      <c r="O21">
        <f>ROUND(IF(VLOOKUP($A21,EnrollData2324,'2324 Jun 24 Enroll'!G$1,FALSE)=VLOOKUP($A21,'ESA Calculations 2324'!$A$4:$AE$34,7,FALSE),VLOOKUP($A21,EnrollData2324,'2324 Jun 24 Enroll'!G$1,FALSE),VLOOKUP($A21,'ESA Calculations 2324'!$A$4:$AE$34,7,FALSE))*Apport_211A2324,3)</f>
        <v>0.46800000000000003</v>
      </c>
      <c r="P21">
        <f>ROUND(IF(VLOOKUP($A21,EnrollData2324,'2324 Jun 24 Enroll'!H$1,FALSE)=VLOOKUP($A21,'ESA Calculations 2324'!$A$4:$AE$34,8,FALSE),VLOOKUP($A21,EnrollData2324,'2324 Jun 24 Enroll'!H$1,FALSE),VLOOKUP($A21,'ESA Calculations 2324'!$A$4:$AE$34,8,FALSE))*Apport_214A2324,3)</f>
        <v>0.55500000000000005</v>
      </c>
      <c r="Q21">
        <f>ROUND(IF(VLOOKUP($A21,EnrollData2324,'2324 Jun 24 Enroll'!I$1,FALSE)+VLOOKUP($A21,EnrollData2324,'2324 Jun 24 Enroll'!M$1,FALSE)-VLOOKUP($A21,EnrollData2324,'2324 Jun 24 Enroll'!J$1,FALSE)=VLOOKUP($A21,'ESA Calculations 2324'!$A$4:$AE$34,9,FALSE)+VLOOKUP($A21,'ESA Calculations 2324'!$A$4:$AE$34,18,FALSE)-VLOOKUP($A21,'ESA Calculations 2324'!$A$4:$AE$34,10,FALSE),VLOOKUP($A21,EnrollData2324,'2324 Jun 24 Enroll'!I$1,FALSE)+VLOOKUP($A21,EnrollData2324,'2324 Jun 24 Enroll'!M$1,FALSE)-VLOOKUP($A21,EnrollData2324,'2324 Jun 24 Enroll'!J$1,FALSE),VLOOKUP($A21,'ESA Calculations 2324'!$A$4:$AE$34,9,FALSE)+VLOOKUP($A21,'ESA Calculations 2324'!$A$4:$AE$34,18,FALSE)-VLOOKUP($A21,'ESA Calculations 2324'!$A$4:$AE$34,10,FALSE))*Apport_217A2324,3)</f>
        <v>9.64</v>
      </c>
      <c r="R21">
        <f>ROUND(SUM(L21:Q21)/IF(VLOOKUP($A21,EnrollData2324,'2324 Jun 24 Enroll'!M$1,FALSE)+VLOOKUP($A21,EnrollData2324,'2324 Jun 24 Enroll'!D$1,FALSE)=VLOOKUP($A21,'ESA Calculations 2324'!$A$4:$AE$34,18,FALSE)+VLOOKUP($A21,'ESA Calculations 2324'!$A$4:$AE$34,4,FALSE),VLOOKUP($A21,EnrollData2324,'2324 Jun 24 Enroll'!M$1,FALSE)+VLOOKUP($A21,EnrollData2324,'2324 Jun 24 Enroll'!D$1,FALSE),VLOOKUP($A21,'ESA Calculations 2324'!$A$4:$AE$34,18,FALSE)+VLOOKUP($A21,'ESA Calculations 2324'!$A$4:$AE$34,4,FALSE)),5)</f>
        <v>4.0699999999999998E-3</v>
      </c>
      <c r="S21" s="11">
        <f t="shared" si="8"/>
        <v>1.8252600000000001E-2</v>
      </c>
      <c r="T21">
        <f>ROUND(IF(VLOOKUP($A21,EnrollData2324,'2324 Jun 24 Enroll'!D$1,FALSE)=VLOOKUP($A21,'ESA Calculations 2324'!$A$4:$AE$34,4,FALSE),VLOOKUP($A21,EnrollData2324,'2324 Jun 24 Enroll'!D$1,FALSE),VLOOKUP($A21,'ESA Calculations 2324'!$A$4:$AE$34,4,FALSE))*S21,3)</f>
        <v>0</v>
      </c>
      <c r="U21">
        <f>ROUND(IF(VLOOKUP($A21,EnrollData2324,'2324 Jun 24 Enroll'!E$1,FALSE)=VLOOKUP($A21,'ESA Calculations 2324'!$A$4:$AE$34,5,FALSE),VLOOKUP($A21,EnrollData2324,'2324 Jun 24 Enroll'!E$1,FALSE),VLOOKUP($A21,'ESA Calculations 2324'!$A$4:$AE$34,5,FALSE))*S21,3)</f>
        <v>4.306</v>
      </c>
      <c r="V21">
        <f>ROUND(IF(VLOOKUP($A21,EnrollData2324,'2324 Jun 24 Enroll'!F$1,FALSE)=VLOOKUP($A21,'ESA Calculations 2324'!$A$4:$AE$34,6,FALSE),VLOOKUP($A21,EnrollData2324,'2324 Jun 24 Enroll'!F$1,FALSE),VLOOKUP($A21,'ESA Calculations 2324'!$A$4:$AE$34,6,FALSE))*Apport_224A2324,3)</f>
        <v>1.0640000000000001</v>
      </c>
      <c r="W21">
        <f>ROUND(IF(VLOOKUP($A21,EnrollData2324,'2324 Jun 24 Enroll'!G$1,FALSE)=VLOOKUP($A21,'ESA Calculations 2324'!$A$4:$AE$34,7,FALSE),VLOOKUP($A21,EnrollData2324,'2324 Jun 24 Enroll'!G$1,FALSE),VLOOKUP($A21,'ESA Calculations 2324'!$A$4:$AE$34,7,FALSE))*Apport_212A2324,3)</f>
        <v>2.0099999999999998</v>
      </c>
      <c r="X21">
        <f>ROUND(IF(VLOOKUP($A21,EnrollData2324,'2324 Jun 24 Enroll'!H$1,FALSE)=VLOOKUP($A21,'ESA Calculations 2324'!$A$4:$AE$34,8,FALSE),VLOOKUP($A21,EnrollData2324,'2324 Jun 24 Enroll'!H$1,FALSE),VLOOKUP($A21,'ESA Calculations 2324'!$A$4:$AE$34,8,FALSE))*Apport_215A2324,3)</f>
        <v>2.3570000000000002</v>
      </c>
      <c r="Y21">
        <f>ROUND(IF(VLOOKUP($A21,EnrollData2324,'2324 Jun 24 Enroll'!I$1,FALSE)+VLOOKUP($A21,EnrollData2324,'2324 Jun 24 Enroll'!M$1,FALSE)-VLOOKUP($A21,EnrollData2324,'2324 Jun 24 Enroll'!J$1,FALSE)=VLOOKUP($A21,'ESA Calculations 2324'!$A$4:$AE$34,9,FALSE)+VLOOKUP($A21,'ESA Calculations 2324'!$A$4:$AE$34,18,FALSE)-VLOOKUP($A21,'ESA Calculations 2324'!$A$4:$AE$34,10,FALSE),VLOOKUP($A21,EnrollData2324,'2324 Jun 24 Enroll'!I$1,FALSE)+VLOOKUP($A21,EnrollData2324,'2324 Jun 24 Enroll'!M$1,FALSE)-VLOOKUP($A21,EnrollData2324,'2324 Jun 24 Enroll'!J$1,FALSE),VLOOKUP($A21,'ESA Calculations 2324'!$A$4:$AE$34,9,FALSE)+VLOOKUP($A21,'ESA Calculations 2324'!$A$4:$AE$34,18,FALSE)-VLOOKUP($A21,'ESA Calculations 2324'!$A$4:$AE$34,10,FALSE))*Apport_218A2324,3)</f>
        <v>40.869</v>
      </c>
      <c r="Z21">
        <f>ROUND(SUM(T21:Y21)/IF(VLOOKUP($A21,EnrollData2324,'2324 Jun 24 Enroll'!M$1,FALSE)+VLOOKUP($A21,EnrollData2324,'2324 Jun 24 Enroll'!D$1,FALSE)=VLOOKUP($A21,'ESA Calculations 2324'!$A$4:$AE$34,18,FALSE)+VLOOKUP($A21,'ESA Calculations 2324'!$A$4:$AE$34,4,FALSE),VLOOKUP($A21,EnrollData2324,'2324 Jun 24 Enroll'!M$1,FALSE)+VLOOKUP($A21,EnrollData2324,'2324 Jun 24 Enroll'!D$1,FALSE),VLOOKUP($A21,'ESA Calculations 2324'!$A$4:$AE$34,18,FALSE)+VLOOKUP($A21,'ESA Calculations 2324'!$A$4:$AE$34,4,FALSE)),5)</f>
        <v>1.7250000000000001E-2</v>
      </c>
      <c r="AA21" s="6">
        <f>ROUND($J21*CIS_Base_Salary2324*VLOOKUP($A21,EnrollData2324,'2324 Jun 24 Enroll'!S$1,FALSE),2)</f>
        <v>3762.22</v>
      </c>
      <c r="AB21" s="6">
        <f>ROUND($J21*CIS_Inc_Salary2324*(VLOOKUP($A21,EnrollData2324,'2324 Jun 24 Enroll'!T$1,FALSE)+VLOOKUP($A21,EnrollData2324,'2324 Jun 24 Enroll'!U$1,FALSE)),2)-AA21</f>
        <v>139.20000000000027</v>
      </c>
      <c r="AC21" s="6">
        <f>ROUND($R21*CAS_Base_Salary2324*VLOOKUP($A21,EnrollData2324,'2324 Jun 24 Enroll'!S$1,FALSE),2)</f>
        <v>439.38</v>
      </c>
      <c r="AD21" s="6">
        <f>ROUND($R21*CAS_Inc_Salary2324*VLOOKUP($A21,EnrollData2324,'2324 Jun 24 Enroll'!T$1,FALSE),2)-AC21</f>
        <v>16.259999999999991</v>
      </c>
      <c r="AE21" s="6">
        <f>ROUND($Z21*CLS_Base_Salary2324*VLOOKUP($A21,EnrollData2324,'2324 Jun 24 Enroll'!S$1,FALSE),2)</f>
        <v>899.98</v>
      </c>
      <c r="AF21" s="6">
        <f>ROUND($Z21*CLS_Inc_Salary2324*VLOOKUP($A21,EnrollData2324,'2324 Jun 24 Enroll'!T$1,FALSE),2)-AE21</f>
        <v>33.299999999999955</v>
      </c>
      <c r="AG21">
        <f t="shared" si="9"/>
        <v>687.01</v>
      </c>
      <c r="AH21" s="69">
        <f t="shared" si="10"/>
        <v>64.279999999999973</v>
      </c>
      <c r="AI21">
        <f t="shared" si="11"/>
        <v>212.38</v>
      </c>
      <c r="AJ21">
        <f t="shared" si="12"/>
        <v>113.23000000000002</v>
      </c>
      <c r="AK21">
        <f t="shared" si="13"/>
        <v>755.03</v>
      </c>
      <c r="AL21">
        <f t="shared" si="14"/>
        <v>26.94</v>
      </c>
      <c r="AM21">
        <f t="shared" si="15"/>
        <v>198.54</v>
      </c>
      <c r="AN21">
        <f t="shared" si="16"/>
        <v>6.18</v>
      </c>
      <c r="AO21">
        <f>ROUND(($J21*CIS_Inc_Salary2324*(VLOOKUP($A21,EnrollData2324,'2324 Jun 24 Enroll'!T$1,FALSE)+VLOOKUP($A21,EnrollData2324,'2324 Jun 24 Enroll'!U$1,FALSE))/Apport_613Xpd)*Apport_614Xpd,2)</f>
        <v>65.02</v>
      </c>
      <c r="AP21">
        <f t="shared" si="17"/>
        <v>11.27</v>
      </c>
      <c r="AQ21">
        <f t="shared" si="19"/>
        <v>28.81</v>
      </c>
      <c r="AR21" s="6">
        <f>ROUND((IF(VLOOKUP($A21,EnrollData2324,'2324 Jun 24 Enroll'!D$1,FALSE)=VLOOKUP($A21,'ESA Calculations 2324'!$A$4:$AE$34,4,FALSE),VLOOKUP($A21,EnrollData2324,'2324 Jun 24 Enroll'!D$1,FALSE),VLOOKUP($A21,'ESA Calculations 2324'!$A$4:$AE$34,4,FALSE))*Apport_M802324+IF(VLOOKUP($A21,EnrollData2324,'2324 Jun 24 Enroll'!M$1,FALSE)=VLOOKUP($A21,'ESA Calculations 2324'!$A$4:$AE$34,18,FALSE),VLOOKUP($A21,EnrollData2324,'2324 Jun 24 Enroll'!M$1,FALSE),VLOOKUP($A21,'ESA Calculations 2324'!$A$4:$AE$34,18,FALSE))*Apport_M802324+IF((VLOOKUP($A21,EnrollData2324,'2324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Enroll'!L$1,FALSE))=VLOOKUP($A21,EnrollData2324,'2324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Enroll'!L$1,FALSE),(VLOOKUP($A21,EnrollData2324,'2324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Enroll'!L$1,FALSE)),(VLOOKUP($A21,EnrollData2324,'2324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Enroll'!L$1,FALSE)))*Apport_M812324)/(IF(VLOOKUP($A21,EnrollData2324,'2324 Jun 24 Enroll'!M$1,FALSE)=VLOOKUP($A21,'ESA Calculations 2324'!$A$4:$AE$34,18,FALSE),VLOOKUP($A21,EnrollData2324,'2324 Jun 24 Enroll'!M$1,FALSE),VLOOKUP($A21,'ESA Calculations 2324'!$A$4:$AE$34,18,FALSE))+IF(VLOOKUP($A21,EnrollData2324,'2324 Jun 24 Enroll'!D$1,FALSE)=VLOOKUP($A21,'ESA Calculations 2324'!$A$4:$AE$34,4,FALSE),VLOOKUP($A21,EnrollData2324,'2324 Jun 24 Enroll'!D$1,FALSE),VLOOKUP($A21,'ESA Calculations 2324'!$A$4:$AE$34,4,FALSE))),2)</f>
        <v>1646.02</v>
      </c>
      <c r="AS21" s="7">
        <f t="shared" si="20"/>
        <v>9105.0500000000029</v>
      </c>
      <c r="AT21" s="6">
        <f>IF(VLOOKUP($A21,EnrollData2324,'2324 Jun 24 Enroll'!AA$1,FALSE)=VLOOKUP($A21,'ESA Calculations 2324'!$A$4:$AE$34,24,FALSE),VLOOKUP($A21,EnrollData2324,'2324 Jun 24 Enroll'!AA$1,FALSE),VLOOKUP($A21,'ESA Calculations 2324'!$A$4:$AE$34,24,FALSE))</f>
        <v>2933</v>
      </c>
    </row>
    <row r="22" spans="1:46">
      <c r="A22" s="40" t="s">
        <v>875</v>
      </c>
      <c r="B22" s="40" t="s">
        <v>876</v>
      </c>
      <c r="C22" s="11">
        <f>ROUND((IFERROR((1/IF(VLOOKUP($A22,EnrollData2324,28,FALSE)=VLOOKUP($A22,'ESA Calculations 2324'!$A$4:$AE$34,3,FALSE),VLOOKUP($A22,EnrollData2324,28,FALSE),VLOOKUP($A22,'ESA Calculations 2324'!$A$4:$AE$34,3,FALSE)))*(1+Apport_Z315),0))+Apport_201A2324,6)</f>
        <v>7.3449E-2</v>
      </c>
      <c r="D22">
        <f>ROUND(IF(VLOOKUP($A22,EnrollData2324,'2324 Jun 24 Enroll'!D$1,FALSE)=VLOOKUP($A22,'ESA Calculations 2324'!$A$4:$AE$34,4,FALSE),VLOOKUP($A22,EnrollData2324,'2324 Jun 24 Enroll'!D$1,FALSE),VLOOKUP($A22,'ESA Calculations 2324'!$A$4:$AE$34,4,FALSE))*C22,3)</f>
        <v>0</v>
      </c>
      <c r="E22">
        <f>ROUND(IF(VLOOKUP($A22,EnrollData2324,'2324 Jun 24 Enroll'!E$1,FALSE)=VLOOKUP($A22,'ESA Calculations 2324'!$A$4:$AE$34,5,FALSE),VLOOKUP($A22,EnrollData2324,'2324 Jun 24 Enroll'!E$1,FALSE),VLOOKUP($A22,'ESA Calculations 2324'!$A$4:$AE$34,5,FALSE))*C22,3)</f>
        <v>20.681000000000001</v>
      </c>
      <c r="F22">
        <f>ROUND(IF(VLOOKUP($A22,EnrollData2324,'2324 Jun 24 Enroll'!F$1,FALSE)=VLOOKUP($A22,'ESA Calculations 2324'!$A$4:$AE$34,6,FALSE),VLOOKUP($A22,EnrollData2324,'2324 Jun 24 Enroll'!F$1,FALSE),VLOOKUP($A22,'ESA Calculations 2324'!$A$4:$AE$34,6,FALSE))*Apport_222A2324,3)</f>
        <v>3.94</v>
      </c>
      <c r="G22">
        <f>ROUND(IF(VLOOKUP($A22,EnrollData2324,'2324 Jun 24 Enroll'!G$1,FALSE)=VLOOKUP($A22,'ESA Calculations 2324'!$A$4:$AE$34,7,FALSE),VLOOKUP($A22,EnrollData2324,'2324 Jun 24 Enroll'!G$1,FALSE),VLOOKUP($A22,'ESA Calculations 2324'!$A$4:$AE$34,7,FALSE))*Apport_210A2324,3)</f>
        <v>8.16</v>
      </c>
      <c r="H22">
        <f>ROUND(IF(VLOOKUP($A22,EnrollData2324,'2324 Jun 24 Enroll'!H$1,FALSE)=VLOOKUP($A22,'ESA Calculations 2324'!$A$4:$AE$34,8,FALSE),VLOOKUP($A22,EnrollData2324,'2324 Jun 24 Enroll'!H$1,FALSE),VLOOKUP($A22,'ESA Calculations 2324'!$A$4:$AE$34,8,FALSE))*Apport_213A2324,3)</f>
        <v>8.6859999999999999</v>
      </c>
      <c r="I22">
        <f>ROUND(IF(VLOOKUP($A22,EnrollData2324,'2324 Jun 24 Enroll'!I$1,FALSE)+VLOOKUP($A22,EnrollData2324,'2324 Jun 24 Enroll'!M$1,FALSE)-VLOOKUP($A22,EnrollData2324,'2324 Jun 24 Enroll'!J$1,FALSE)=VLOOKUP($A22,'ESA Calculations 2324'!$A$4:$AE$34,9,FALSE)+VLOOKUP($A22,'ESA Calculations 2324'!$A$4:$AE$34,18,FALSE)-VLOOKUP($A22,'ESA Calculations 2324'!$A$4:$AE$34,10,FALSE),VLOOKUP($A22,EnrollData2324,'2324 Jun 24 Enroll'!I$1,FALSE)+VLOOKUP($A22,EnrollData2324,'2324 Jun 24 Enroll'!M$1,FALSE)-VLOOKUP($A22,EnrollData2324,'2324 Jun 24 Enroll'!J$1,FALSE),VLOOKUP($A22,'ESA Calculations 2324'!$A$4:$AE$34,9,FALSE)+VLOOKUP($A22,'ESA Calculations 2324'!$A$4:$AE$34,18,FALSE)-VLOOKUP($A22,'ESA Calculations 2324'!$A$4:$AE$34,10,FALSE))*Apport_216A2324,3)</f>
        <v>18.690000000000001</v>
      </c>
      <c r="J22">
        <f>ROUND(SUM(D22:I22)/IF(VLOOKUP($A22,EnrollData2324,'2324 Jun 24 Enroll'!M$1,FALSE)+VLOOKUP($A22,EnrollData2324,'2324 Jun 24 Enroll'!D$1,FALSE)=VLOOKUP($A22,'ESA Calculations 2324'!$A$4:$AE$34,18,FALSE)+VLOOKUP($A22,'ESA Calculations 2324'!$A$4:$AE$34,4,FALSE),VLOOKUP($A22,EnrollData2324,'2324 Jun 24 Enroll'!M$1,FALSE)+VLOOKUP($A22,EnrollData2324,'2324 Jun 24 Enroll'!D$1,FALSE),VLOOKUP($A22,'ESA Calculations 2324'!$A$4:$AE$34,18,FALSE)+VLOOKUP($A22,'ESA Calculations 2324'!$A$4:$AE$34,4,FALSE)),5)</f>
        <v>5.5480000000000002E-2</v>
      </c>
      <c r="K22" s="11">
        <f t="shared" si="7"/>
        <v>4.365E-3</v>
      </c>
      <c r="L22">
        <f>ROUND(IF(VLOOKUP($A22,EnrollData2324,'2324 Jun 24 Enroll'!D$1,FALSE)=VLOOKUP($A22,'ESA Calculations 2324'!$A$4:$AE$34,4,FALSE),VLOOKUP($A22,EnrollData2324,'2324 Jun 24 Enroll'!D$1,FALSE),VLOOKUP($A22,'ESA Calculations 2324'!$A$4:$AE$34,4,FALSE))*K22,3)</f>
        <v>0</v>
      </c>
      <c r="M22">
        <f>ROUND(IF(VLOOKUP($A22,EnrollData2324,'2324 Jun 24 Enroll'!E$1,FALSE)=VLOOKUP($A22,'ESA Calculations 2324'!$A$4:$AE$34,5,FALSE),VLOOKUP($A22,EnrollData2324,'2324 Jun 24 Enroll'!E$1,FALSE),VLOOKUP($A22,'ESA Calculations 2324'!$A$4:$AE$34,5,FALSE))*K22,3)</f>
        <v>1.2290000000000001</v>
      </c>
      <c r="N22">
        <f>ROUND(IF(VLOOKUP($A22,EnrollData2324,'2324 Jun 24 Enroll'!F$1,FALSE)=VLOOKUP($A22,'ESA Calculations 2324'!$A$4:$AE$34,6,FALSE),VLOOKUP($A22,EnrollData2324,'2324 Jun 24 Enroll'!F$1,FALSE),VLOOKUP($A22,'ESA Calculations 2324'!$A$4:$AE$34,6,FALSE))*Apport_223A2324,3)</f>
        <v>0.32800000000000001</v>
      </c>
      <c r="O22">
        <f>ROUND(IF(VLOOKUP($A22,EnrollData2324,'2324 Jun 24 Enroll'!G$1,FALSE)=VLOOKUP($A22,'ESA Calculations 2324'!$A$4:$AE$34,7,FALSE),VLOOKUP($A22,EnrollData2324,'2324 Jun 24 Enroll'!G$1,FALSE),VLOOKUP($A22,'ESA Calculations 2324'!$A$4:$AE$34,7,FALSE))*Apport_211A2324,3)</f>
        <v>0.68</v>
      </c>
      <c r="P22">
        <f>ROUND(IF(VLOOKUP($A22,EnrollData2324,'2324 Jun 24 Enroll'!H$1,FALSE)=VLOOKUP($A22,'ESA Calculations 2324'!$A$4:$AE$34,8,FALSE),VLOOKUP($A22,EnrollData2324,'2324 Jun 24 Enroll'!H$1,FALSE),VLOOKUP($A22,'ESA Calculations 2324'!$A$4:$AE$34,8,FALSE))*Apport_214A2324,3)</f>
        <v>0.72199999999999998</v>
      </c>
      <c r="Q22">
        <f>ROUND(IF(VLOOKUP($A22,EnrollData2324,'2324 Jun 24 Enroll'!I$1,FALSE)+VLOOKUP($A22,EnrollData2324,'2324 Jun 24 Enroll'!M$1,FALSE)-VLOOKUP($A22,EnrollData2324,'2324 Jun 24 Enroll'!J$1,FALSE)=VLOOKUP($A22,'ESA Calculations 2324'!$A$4:$AE$34,9,FALSE)+VLOOKUP($A22,'ESA Calculations 2324'!$A$4:$AE$34,18,FALSE)-VLOOKUP($A22,'ESA Calculations 2324'!$A$4:$AE$34,10,FALSE),VLOOKUP($A22,EnrollData2324,'2324 Jun 24 Enroll'!I$1,FALSE)+VLOOKUP($A22,EnrollData2324,'2324 Jun 24 Enroll'!M$1,FALSE)-VLOOKUP($A22,EnrollData2324,'2324 Jun 24 Enroll'!J$1,FALSE),VLOOKUP($A22,'ESA Calculations 2324'!$A$4:$AE$34,9,FALSE)+VLOOKUP($A22,'ESA Calculations 2324'!$A$4:$AE$34,18,FALSE)-VLOOKUP($A22,'ESA Calculations 2324'!$A$4:$AE$34,10,FALSE))*Apport_217A2324,3)</f>
        <v>1.5089999999999999</v>
      </c>
      <c r="R22">
        <f>ROUND(SUM(L22:Q22)/IF(VLOOKUP($A22,EnrollData2324,'2324 Jun 24 Enroll'!M$1,FALSE)+VLOOKUP($A22,EnrollData2324,'2324 Jun 24 Enroll'!D$1,FALSE)=VLOOKUP($A22,'ESA Calculations 2324'!$A$4:$AE$34,18,FALSE)+VLOOKUP($A22,'ESA Calculations 2324'!$A$4:$AE$34,4,FALSE),VLOOKUP($A22,EnrollData2324,'2324 Jun 24 Enroll'!M$1,FALSE)+VLOOKUP($A22,EnrollData2324,'2324 Jun 24 Enroll'!D$1,FALSE),VLOOKUP($A22,'ESA Calculations 2324'!$A$4:$AE$34,18,FALSE)+VLOOKUP($A22,'ESA Calculations 2324'!$A$4:$AE$34,4,FALSE)),5)</f>
        <v>4.1200000000000004E-3</v>
      </c>
      <c r="S22" s="11">
        <f t="shared" si="8"/>
        <v>1.8294500000000002E-2</v>
      </c>
      <c r="T22">
        <f>ROUND(IF(VLOOKUP($A22,EnrollData2324,'2324 Jun 24 Enroll'!D$1,FALSE)=VLOOKUP($A22,'ESA Calculations 2324'!$A$4:$AE$34,4,FALSE),VLOOKUP($A22,EnrollData2324,'2324 Jun 24 Enroll'!D$1,FALSE),VLOOKUP($A22,'ESA Calculations 2324'!$A$4:$AE$34,4,FALSE))*S22,3)</f>
        <v>0</v>
      </c>
      <c r="U22">
        <f>ROUND(IF(VLOOKUP($A22,EnrollData2324,'2324 Jun 24 Enroll'!E$1,FALSE)=VLOOKUP($A22,'ESA Calculations 2324'!$A$4:$AE$34,5,FALSE),VLOOKUP($A22,EnrollData2324,'2324 Jun 24 Enroll'!E$1,FALSE),VLOOKUP($A22,'ESA Calculations 2324'!$A$4:$AE$34,5,FALSE))*S22,3)</f>
        <v>5.1509999999999998</v>
      </c>
      <c r="V22">
        <f>ROUND(IF(VLOOKUP($A22,EnrollData2324,'2324 Jun 24 Enroll'!F$1,FALSE)=VLOOKUP($A22,'ESA Calculations 2324'!$A$4:$AE$34,6,FALSE),VLOOKUP($A22,EnrollData2324,'2324 Jun 24 Enroll'!F$1,FALSE),VLOOKUP($A22,'ESA Calculations 2324'!$A$4:$AE$34,6,FALSE))*Apport_224A2324,3)</f>
        <v>1.4119999999999999</v>
      </c>
      <c r="W22">
        <f>ROUND(IF(VLOOKUP($A22,EnrollData2324,'2324 Jun 24 Enroll'!G$1,FALSE)=VLOOKUP($A22,'ESA Calculations 2324'!$A$4:$AE$34,7,FALSE),VLOOKUP($A22,EnrollData2324,'2324 Jun 24 Enroll'!G$1,FALSE),VLOOKUP($A22,'ESA Calculations 2324'!$A$4:$AE$34,7,FALSE))*Apport_212A2324,3)</f>
        <v>2.9239999999999999</v>
      </c>
      <c r="X22">
        <f>ROUND(IF(VLOOKUP($A22,EnrollData2324,'2324 Jun 24 Enroll'!H$1,FALSE)=VLOOKUP($A22,'ESA Calculations 2324'!$A$4:$AE$34,8,FALSE),VLOOKUP($A22,EnrollData2324,'2324 Jun 24 Enroll'!H$1,FALSE),VLOOKUP($A22,'ESA Calculations 2324'!$A$4:$AE$34,8,FALSE))*Apport_215A2324,3)</f>
        <v>3.0649999999999999</v>
      </c>
      <c r="Y22">
        <f>ROUND(IF(VLOOKUP($A22,EnrollData2324,'2324 Jun 24 Enroll'!I$1,FALSE)+VLOOKUP($A22,EnrollData2324,'2324 Jun 24 Enroll'!M$1,FALSE)-VLOOKUP($A22,EnrollData2324,'2324 Jun 24 Enroll'!J$1,FALSE)=VLOOKUP($A22,'ESA Calculations 2324'!$A$4:$AE$34,9,FALSE)+VLOOKUP($A22,'ESA Calculations 2324'!$A$4:$AE$34,18,FALSE)-VLOOKUP($A22,'ESA Calculations 2324'!$A$4:$AE$34,10,FALSE),VLOOKUP($A22,EnrollData2324,'2324 Jun 24 Enroll'!I$1,FALSE)+VLOOKUP($A22,EnrollData2324,'2324 Jun 24 Enroll'!M$1,FALSE)-VLOOKUP($A22,EnrollData2324,'2324 Jun 24 Enroll'!J$1,FALSE),VLOOKUP($A22,'ESA Calculations 2324'!$A$4:$AE$34,9,FALSE)+VLOOKUP($A22,'ESA Calculations 2324'!$A$4:$AE$34,18,FALSE)-VLOOKUP($A22,'ESA Calculations 2324'!$A$4:$AE$34,10,FALSE))*Apport_218A2324,3)</f>
        <v>6.3979999999999997</v>
      </c>
      <c r="Z22">
        <f>ROUND(SUM(T22:Y22)/IF(VLOOKUP($A22,EnrollData2324,'2324 Jun 24 Enroll'!M$1,FALSE)+VLOOKUP($A22,EnrollData2324,'2324 Jun 24 Enroll'!D$1,FALSE)=VLOOKUP($A22,'ESA Calculations 2324'!$A$4:$AE$34,18,FALSE)+VLOOKUP($A22,'ESA Calculations 2324'!$A$4:$AE$34,4,FALSE),VLOOKUP($A22,EnrollData2324,'2324 Jun 24 Enroll'!M$1,FALSE)+VLOOKUP($A22,EnrollData2324,'2324 Jun 24 Enroll'!D$1,FALSE),VLOOKUP($A22,'ESA Calculations 2324'!$A$4:$AE$34,18,FALSE)+VLOOKUP($A22,'ESA Calculations 2324'!$A$4:$AE$34,4,FALSE)),5)</f>
        <v>1.7479999999999999E-2</v>
      </c>
      <c r="AA22" s="6">
        <f>ROUND($J22*CIS_Base_Salary2324*VLOOKUP($A22,EnrollData2324,'2324 Jun 24 Enroll'!S$1,FALSE),2)</f>
        <v>4034.95</v>
      </c>
      <c r="AB22" s="6">
        <f>ROUND($J22*CIS_Inc_Salary2324*(VLOOKUP($A22,EnrollData2324,'2324 Jun 24 Enroll'!T$1,FALSE)+VLOOKUP($A22,EnrollData2324,'2324 Jun 24 Enroll'!U$1,FALSE)),2)-AA22</f>
        <v>316.67000000000007</v>
      </c>
      <c r="AC22" s="6">
        <f>ROUND($R22*CAS_Base_Salary2324*VLOOKUP($A22,EnrollData2324,'2324 Jun 24 Enroll'!S$1,FALSE),2)</f>
        <v>444.77</v>
      </c>
      <c r="AD22" s="6">
        <f>ROUND($R22*CAS_Inc_Salary2324*VLOOKUP($A22,EnrollData2324,'2324 Jun 24 Enroll'!T$1,FALSE),2)-AC22</f>
        <v>16.460000000000036</v>
      </c>
      <c r="AE22" s="6">
        <f>ROUND($Z22*CLS_Base_Salary2324*VLOOKUP($A22,EnrollData2324,'2324 Jun 24 Enroll'!S$1,FALSE),2)</f>
        <v>911.98</v>
      </c>
      <c r="AF22" s="6">
        <f>ROUND($Z22*CLS_Inc_Salary2324*VLOOKUP($A22,EnrollData2324,'2324 Jun 24 Enroll'!T$1,FALSE),2)-AE22</f>
        <v>33.740000000000009</v>
      </c>
      <c r="AG22">
        <f t="shared" si="9"/>
        <v>733.8</v>
      </c>
      <c r="AH22" s="69">
        <f t="shared" si="10"/>
        <v>68.650000000000091</v>
      </c>
      <c r="AI22">
        <f t="shared" si="11"/>
        <v>215.21</v>
      </c>
      <c r="AJ22">
        <f t="shared" si="12"/>
        <v>114.73999999999998</v>
      </c>
      <c r="AK22">
        <f t="shared" si="13"/>
        <v>805.01</v>
      </c>
      <c r="AL22">
        <f t="shared" si="14"/>
        <v>57.73</v>
      </c>
      <c r="AM22">
        <f t="shared" si="15"/>
        <v>201.18</v>
      </c>
      <c r="AN22">
        <f t="shared" si="16"/>
        <v>6.26</v>
      </c>
      <c r="AO22">
        <f>ROUND(($J22*CIS_Inc_Salary2324*(VLOOKUP($A22,EnrollData2324,'2324 Jun 24 Enroll'!T$1,FALSE)+VLOOKUP($A22,EnrollData2324,'2324 Jun 24 Enroll'!U$1,FALSE))/Apport_613Xpd)*Apport_614Xpd,2)</f>
        <v>72.53</v>
      </c>
      <c r="AP22">
        <f t="shared" si="17"/>
        <v>12.57</v>
      </c>
      <c r="AQ22">
        <f t="shared" si="19"/>
        <v>30.9</v>
      </c>
      <c r="AR22" s="6">
        <f>ROUND((IF(VLOOKUP($A22,EnrollData2324,'2324 Jun 24 Enroll'!D$1,FALSE)=VLOOKUP($A22,'ESA Calculations 2324'!$A$4:$AE$34,4,FALSE),VLOOKUP($A22,EnrollData2324,'2324 Jun 24 Enroll'!D$1,FALSE),VLOOKUP($A22,'ESA Calculations 2324'!$A$4:$AE$34,4,FALSE))*Apport_M802324+IF(VLOOKUP($A22,EnrollData2324,'2324 Jun 24 Enroll'!M$1,FALSE)=VLOOKUP($A22,'ESA Calculations 2324'!$A$4:$AE$34,18,FALSE),VLOOKUP($A22,EnrollData2324,'2324 Jun 24 Enroll'!M$1,FALSE),VLOOKUP($A22,'ESA Calculations 2324'!$A$4:$AE$34,18,FALSE))*Apport_M802324+IF((VLOOKUP($A22,EnrollData2324,'2324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Enroll'!L$1,FALSE))=VLOOKUP($A22,EnrollData2324,'2324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Enroll'!L$1,FALSE),(VLOOKUP($A22,EnrollData2324,'2324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Enroll'!L$1,FALSE)),(VLOOKUP($A22,EnrollData2324,'2324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Enroll'!L$1,FALSE)))*Apport_M812324)/(IF(VLOOKUP($A22,EnrollData2324,'2324 Jun 24 Enroll'!M$1,FALSE)=VLOOKUP($A22,'ESA Calculations 2324'!$A$4:$AE$34,18,FALSE),VLOOKUP($A22,EnrollData2324,'2324 Jun 24 Enroll'!M$1,FALSE),VLOOKUP($A22,'ESA Calculations 2324'!$A$4:$AE$34,18,FALSE))+IF(VLOOKUP($A22,EnrollData2324,'2324 Jun 24 Enroll'!D$1,FALSE)=VLOOKUP($A22,'ESA Calculations 2324'!$A$4:$AE$34,4,FALSE),VLOOKUP($A22,EnrollData2324,'2324 Jun 24 Enroll'!D$1,FALSE),VLOOKUP($A22,'ESA Calculations 2324'!$A$4:$AE$34,4,FALSE))),2)</f>
        <v>1552.29</v>
      </c>
      <c r="AS22" s="7">
        <f t="shared" si="20"/>
        <v>9629.4399999999987</v>
      </c>
      <c r="AT22" s="6">
        <f>IF(VLOOKUP($A22,EnrollData2324,'2324 Jun 24 Enroll'!AA$1,FALSE)=VLOOKUP($A22,'ESA Calculations 2324'!$A$4:$AE$34,24,FALSE),VLOOKUP($A22,EnrollData2324,'2324 Jun 24 Enroll'!AA$1,FALSE),VLOOKUP($A22,'ESA Calculations 2324'!$A$4:$AE$34,24,FALSE))</f>
        <v>1084.3</v>
      </c>
    </row>
    <row r="23" spans="1:46">
      <c r="A23" s="40" t="s">
        <v>564</v>
      </c>
      <c r="B23" s="40" t="s">
        <v>565</v>
      </c>
      <c r="C23" s="11">
        <f>ROUND((IFERROR((1/IF(VLOOKUP($A23,EnrollData2324,28,FALSE)=VLOOKUP($A23,'ESA Calculations 2324'!$A$4:$AE$34,3,FALSE),VLOOKUP($A23,EnrollData2324,28,FALSE),VLOOKUP($A23,'ESA Calculations 2324'!$A$4:$AE$34,3,FALSE)))*(1+Apport_Z315),0))+Apport_201A2324,6)</f>
        <v>7.3449E-2</v>
      </c>
      <c r="D23">
        <f>ROUND(IF(VLOOKUP($A23,EnrollData2324,'2324 Jun 24 Enroll'!D$1,FALSE)=VLOOKUP($A23,'ESA Calculations 2324'!$A$4:$AE$34,4,FALSE),VLOOKUP($A23,EnrollData2324,'2324 Jun 24 Enroll'!D$1,FALSE),VLOOKUP($A23,'ESA Calculations 2324'!$A$4:$AE$34,4,FALSE))*C23,3)</f>
        <v>0.35299999999999998</v>
      </c>
      <c r="E23">
        <f>ROUND(IF(VLOOKUP($A23,EnrollData2324,'2324 Jun 24 Enroll'!E$1,FALSE)=VLOOKUP($A23,'ESA Calculations 2324'!$A$4:$AE$34,5,FALSE),VLOOKUP($A23,EnrollData2324,'2324 Jun 24 Enroll'!E$1,FALSE),VLOOKUP($A23,'ESA Calculations 2324'!$A$4:$AE$34,5,FALSE))*C23,3)</f>
        <v>4.4509999999999996</v>
      </c>
      <c r="F23">
        <f>ROUND(IF(VLOOKUP($A23,EnrollData2324,'2324 Jun 24 Enroll'!F$1,FALSE)=VLOOKUP($A23,'ESA Calculations 2324'!$A$4:$AE$34,6,FALSE),VLOOKUP($A23,EnrollData2324,'2324 Jun 24 Enroll'!F$1,FALSE),VLOOKUP($A23,'ESA Calculations 2324'!$A$4:$AE$34,6,FALSE))*Apport_222A2324,3)</f>
        <v>0.67100000000000004</v>
      </c>
      <c r="G23">
        <f>ROUND(IF(VLOOKUP($A23,EnrollData2324,'2324 Jun 24 Enroll'!G$1,FALSE)=VLOOKUP($A23,'ESA Calculations 2324'!$A$4:$AE$34,7,FALSE),VLOOKUP($A23,EnrollData2324,'2324 Jun 24 Enroll'!G$1,FALSE),VLOOKUP($A23,'ESA Calculations 2324'!$A$4:$AE$34,7,FALSE))*Apport_210A2324,3)</f>
        <v>1.7909999999999999</v>
      </c>
      <c r="H23">
        <f>ROUND(IF(VLOOKUP($A23,EnrollData2324,'2324 Jun 24 Enroll'!H$1,FALSE)=VLOOKUP($A23,'ESA Calculations 2324'!$A$4:$AE$34,8,FALSE),VLOOKUP($A23,EnrollData2324,'2324 Jun 24 Enroll'!H$1,FALSE),VLOOKUP($A23,'ESA Calculations 2324'!$A$4:$AE$34,8,FALSE))*Apport_213A2324,3)</f>
        <v>1.4219999999999999</v>
      </c>
      <c r="I23">
        <f>ROUND(IF(VLOOKUP($A23,EnrollData2324,'2324 Jun 24 Enroll'!I$1,FALSE)+VLOOKUP($A23,EnrollData2324,'2324 Jun 24 Enroll'!M$1,FALSE)-VLOOKUP($A23,EnrollData2324,'2324 Jun 24 Enroll'!J$1,FALSE)=VLOOKUP($A23,'ESA Calculations 2324'!$A$4:$AE$34,9,FALSE)+VLOOKUP($A23,'ESA Calculations 2324'!$A$4:$AE$34,18,FALSE)-VLOOKUP($A23,'ESA Calculations 2324'!$A$4:$AE$34,10,FALSE),VLOOKUP($A23,EnrollData2324,'2324 Jun 24 Enroll'!I$1,FALSE)+VLOOKUP($A23,EnrollData2324,'2324 Jun 24 Enroll'!M$1,FALSE)-VLOOKUP($A23,EnrollData2324,'2324 Jun 24 Enroll'!J$1,FALSE),VLOOKUP($A23,'ESA Calculations 2324'!$A$4:$AE$34,9,FALSE)+VLOOKUP($A23,'ESA Calculations 2324'!$A$4:$AE$34,18,FALSE)-VLOOKUP($A23,'ESA Calculations 2324'!$A$4:$AE$34,10,FALSE))*Apport_216A2324,3)</f>
        <v>2.7360000000000002</v>
      </c>
      <c r="J23">
        <f>ROUND(SUM(D23:I23)/IF(VLOOKUP($A23,EnrollData2324,'2324 Jun 24 Enroll'!M$1,FALSE)+VLOOKUP($A23,EnrollData2324,'2324 Jun 24 Enroll'!D$1,FALSE)=VLOOKUP($A23,'ESA Calculations 2324'!$A$4:$AE$34,18,FALSE)+VLOOKUP($A23,'ESA Calculations 2324'!$A$4:$AE$34,4,FALSE),VLOOKUP($A23,EnrollData2324,'2324 Jun 24 Enroll'!M$1,FALSE)+VLOOKUP($A23,EnrollData2324,'2324 Jun 24 Enroll'!D$1,FALSE),VLOOKUP($A23,'ESA Calculations 2324'!$A$4:$AE$34,18,FALSE)+VLOOKUP($A23,'ESA Calculations 2324'!$A$4:$AE$34,4,FALSE)),5)</f>
        <v>5.7029999999999997E-2</v>
      </c>
      <c r="K23" s="11">
        <f t="shared" si="7"/>
        <v>4.365E-3</v>
      </c>
      <c r="L23">
        <f>ROUND(IF(VLOOKUP($A23,EnrollData2324,'2324 Jun 24 Enroll'!D$1,FALSE)=VLOOKUP($A23,'ESA Calculations 2324'!$A$4:$AE$34,4,FALSE),VLOOKUP($A23,EnrollData2324,'2324 Jun 24 Enroll'!D$1,FALSE),VLOOKUP($A23,'ESA Calculations 2324'!$A$4:$AE$34,4,FALSE))*K23,3)</f>
        <v>2.1000000000000001E-2</v>
      </c>
      <c r="M23">
        <f>ROUND(IF(VLOOKUP($A23,EnrollData2324,'2324 Jun 24 Enroll'!E$1,FALSE)=VLOOKUP($A23,'ESA Calculations 2324'!$A$4:$AE$34,5,FALSE),VLOOKUP($A23,EnrollData2324,'2324 Jun 24 Enroll'!E$1,FALSE),VLOOKUP($A23,'ESA Calculations 2324'!$A$4:$AE$34,5,FALSE))*K23,3)</f>
        <v>0.26500000000000001</v>
      </c>
      <c r="N23">
        <f>ROUND(IF(VLOOKUP($A23,EnrollData2324,'2324 Jun 24 Enroll'!F$1,FALSE)=VLOOKUP($A23,'ESA Calculations 2324'!$A$4:$AE$34,6,FALSE),VLOOKUP($A23,EnrollData2324,'2324 Jun 24 Enroll'!F$1,FALSE),VLOOKUP($A23,'ESA Calculations 2324'!$A$4:$AE$34,6,FALSE))*Apport_223A2324,3)</f>
        <v>5.6000000000000001E-2</v>
      </c>
      <c r="O23">
        <f>ROUND(IF(VLOOKUP($A23,EnrollData2324,'2324 Jun 24 Enroll'!G$1,FALSE)=VLOOKUP($A23,'ESA Calculations 2324'!$A$4:$AE$34,7,FALSE),VLOOKUP($A23,EnrollData2324,'2324 Jun 24 Enroll'!G$1,FALSE),VLOOKUP($A23,'ESA Calculations 2324'!$A$4:$AE$34,7,FALSE))*Apport_211A2324,3)</f>
        <v>0.14899999999999999</v>
      </c>
      <c r="P23">
        <f>ROUND(IF(VLOOKUP($A23,EnrollData2324,'2324 Jun 24 Enroll'!H$1,FALSE)=VLOOKUP($A23,'ESA Calculations 2324'!$A$4:$AE$34,8,FALSE),VLOOKUP($A23,EnrollData2324,'2324 Jun 24 Enroll'!H$1,FALSE),VLOOKUP($A23,'ESA Calculations 2324'!$A$4:$AE$34,8,FALSE))*Apport_214A2324,3)</f>
        <v>0.11799999999999999</v>
      </c>
      <c r="Q23">
        <f>ROUND(IF(VLOOKUP($A23,EnrollData2324,'2324 Jun 24 Enroll'!I$1,FALSE)+VLOOKUP($A23,EnrollData2324,'2324 Jun 24 Enroll'!M$1,FALSE)-VLOOKUP($A23,EnrollData2324,'2324 Jun 24 Enroll'!J$1,FALSE)=VLOOKUP($A23,'ESA Calculations 2324'!$A$4:$AE$34,9,FALSE)+VLOOKUP($A23,'ESA Calculations 2324'!$A$4:$AE$34,18,FALSE)-VLOOKUP($A23,'ESA Calculations 2324'!$A$4:$AE$34,10,FALSE),VLOOKUP($A23,EnrollData2324,'2324 Jun 24 Enroll'!I$1,FALSE)+VLOOKUP($A23,EnrollData2324,'2324 Jun 24 Enroll'!M$1,FALSE)-VLOOKUP($A23,EnrollData2324,'2324 Jun 24 Enroll'!J$1,FALSE),VLOOKUP($A23,'ESA Calculations 2324'!$A$4:$AE$34,9,FALSE)+VLOOKUP($A23,'ESA Calculations 2324'!$A$4:$AE$34,18,FALSE)-VLOOKUP($A23,'ESA Calculations 2324'!$A$4:$AE$34,10,FALSE))*Apport_217A2324,3)</f>
        <v>0.221</v>
      </c>
      <c r="R23">
        <f>ROUND(SUM(L23:Q23)/IF(VLOOKUP($A23,EnrollData2324,'2324 Jun 24 Enroll'!M$1,FALSE)+VLOOKUP($A23,EnrollData2324,'2324 Jun 24 Enroll'!D$1,FALSE)=VLOOKUP($A23,'ESA Calculations 2324'!$A$4:$AE$34,18,FALSE)+VLOOKUP($A23,'ESA Calculations 2324'!$A$4:$AE$34,4,FALSE),VLOOKUP($A23,EnrollData2324,'2324 Jun 24 Enroll'!M$1,FALSE)+VLOOKUP($A23,EnrollData2324,'2324 Jun 24 Enroll'!D$1,FALSE),VLOOKUP($A23,'ESA Calculations 2324'!$A$4:$AE$34,18,FALSE)+VLOOKUP($A23,'ESA Calculations 2324'!$A$4:$AE$34,4,FALSE)),5)</f>
        <v>4.1399999999999996E-3</v>
      </c>
      <c r="S23" s="11">
        <f t="shared" si="8"/>
        <v>1.8294500000000002E-2</v>
      </c>
      <c r="T23">
        <f>ROUND(IF(VLOOKUP($A23,EnrollData2324,'2324 Jun 24 Enroll'!D$1,FALSE)=VLOOKUP($A23,'ESA Calculations 2324'!$A$4:$AE$34,4,FALSE),VLOOKUP($A23,EnrollData2324,'2324 Jun 24 Enroll'!D$1,FALSE),VLOOKUP($A23,'ESA Calculations 2324'!$A$4:$AE$34,4,FALSE))*S23,3)</f>
        <v>8.7999999999999995E-2</v>
      </c>
      <c r="U23">
        <f>ROUND(IF(VLOOKUP($A23,EnrollData2324,'2324 Jun 24 Enroll'!E$1,FALSE)=VLOOKUP($A23,'ESA Calculations 2324'!$A$4:$AE$34,5,FALSE),VLOOKUP($A23,EnrollData2324,'2324 Jun 24 Enroll'!E$1,FALSE),VLOOKUP($A23,'ESA Calculations 2324'!$A$4:$AE$34,5,FALSE))*S23,3)</f>
        <v>1.109</v>
      </c>
      <c r="V23">
        <f>ROUND(IF(VLOOKUP($A23,EnrollData2324,'2324 Jun 24 Enroll'!F$1,FALSE)=VLOOKUP($A23,'ESA Calculations 2324'!$A$4:$AE$34,6,FALSE),VLOOKUP($A23,EnrollData2324,'2324 Jun 24 Enroll'!F$1,FALSE),VLOOKUP($A23,'ESA Calculations 2324'!$A$4:$AE$34,6,FALSE))*Apport_224A2324,3)</f>
        <v>0.24</v>
      </c>
      <c r="W23">
        <f>ROUND(IF(VLOOKUP($A23,EnrollData2324,'2324 Jun 24 Enroll'!G$1,FALSE)=VLOOKUP($A23,'ESA Calculations 2324'!$A$4:$AE$34,7,FALSE),VLOOKUP($A23,EnrollData2324,'2324 Jun 24 Enroll'!G$1,FALSE),VLOOKUP($A23,'ESA Calculations 2324'!$A$4:$AE$34,7,FALSE))*Apport_212A2324,3)</f>
        <v>0.64200000000000002</v>
      </c>
      <c r="X23">
        <f>ROUND(IF(VLOOKUP($A23,EnrollData2324,'2324 Jun 24 Enroll'!H$1,FALSE)=VLOOKUP($A23,'ESA Calculations 2324'!$A$4:$AE$34,8,FALSE),VLOOKUP($A23,EnrollData2324,'2324 Jun 24 Enroll'!H$1,FALSE),VLOOKUP($A23,'ESA Calculations 2324'!$A$4:$AE$34,8,FALSE))*Apport_215A2324,3)</f>
        <v>0.502</v>
      </c>
      <c r="Y23">
        <f>ROUND(IF(VLOOKUP($A23,EnrollData2324,'2324 Jun 24 Enroll'!I$1,FALSE)+VLOOKUP($A23,EnrollData2324,'2324 Jun 24 Enroll'!M$1,FALSE)-VLOOKUP($A23,EnrollData2324,'2324 Jun 24 Enroll'!J$1,FALSE)=VLOOKUP($A23,'ESA Calculations 2324'!$A$4:$AE$34,9,FALSE)+VLOOKUP($A23,'ESA Calculations 2324'!$A$4:$AE$34,18,FALSE)-VLOOKUP($A23,'ESA Calculations 2324'!$A$4:$AE$34,10,FALSE),VLOOKUP($A23,EnrollData2324,'2324 Jun 24 Enroll'!I$1,FALSE)+VLOOKUP($A23,EnrollData2324,'2324 Jun 24 Enroll'!M$1,FALSE)-VLOOKUP($A23,EnrollData2324,'2324 Jun 24 Enroll'!J$1,FALSE),VLOOKUP($A23,'ESA Calculations 2324'!$A$4:$AE$34,9,FALSE)+VLOOKUP($A23,'ESA Calculations 2324'!$A$4:$AE$34,18,FALSE)-VLOOKUP($A23,'ESA Calculations 2324'!$A$4:$AE$34,10,FALSE))*Apport_218A2324,3)</f>
        <v>0.93700000000000006</v>
      </c>
      <c r="Z23">
        <f>ROUND(SUM(T23:Y23)/IF(VLOOKUP($A23,EnrollData2324,'2324 Jun 24 Enroll'!M$1,FALSE)+VLOOKUP($A23,EnrollData2324,'2324 Jun 24 Enroll'!D$1,FALSE)=VLOOKUP($A23,'ESA Calculations 2324'!$A$4:$AE$34,18,FALSE)+VLOOKUP($A23,'ESA Calculations 2324'!$A$4:$AE$34,4,FALSE),VLOOKUP($A23,EnrollData2324,'2324 Jun 24 Enroll'!M$1,FALSE)+VLOOKUP($A23,EnrollData2324,'2324 Jun 24 Enroll'!D$1,FALSE),VLOOKUP($A23,'ESA Calculations 2324'!$A$4:$AE$34,18,FALSE)+VLOOKUP($A23,'ESA Calculations 2324'!$A$4:$AE$34,4,FALSE)),5)</f>
        <v>1.7559999999999999E-2</v>
      </c>
      <c r="AA23" s="6">
        <f>ROUND($J23*CIS_Base_Salary2324*VLOOKUP($A23,EnrollData2324,'2324 Jun 24 Enroll'!S$1,FALSE),2)</f>
        <v>4147.68</v>
      </c>
      <c r="AB23" s="6">
        <f>ROUND($J23*CIS_Inc_Salary2324*(VLOOKUP($A23,EnrollData2324,'2324 Jun 24 Enroll'!T$1,FALSE)+VLOOKUP($A23,EnrollData2324,'2324 Jun 24 Enroll'!U$1,FALSE)),2)-AA23</f>
        <v>153.46999999999935</v>
      </c>
      <c r="AC23" s="6">
        <f>ROUND($R23*CAS_Base_Salary2324*VLOOKUP($A23,EnrollData2324,'2324 Jun 24 Enroll'!S$1,FALSE),2)</f>
        <v>446.93</v>
      </c>
      <c r="AD23" s="6">
        <f>ROUND($R23*CAS_Inc_Salary2324*VLOOKUP($A23,EnrollData2324,'2324 Jun 24 Enroll'!T$1,FALSE),2)-AC23</f>
        <v>16.54000000000002</v>
      </c>
      <c r="AE23" s="6">
        <f>ROUND($Z23*CLS_Base_Salary2324*VLOOKUP($A23,EnrollData2324,'2324 Jun 24 Enroll'!S$1,FALSE),2)</f>
        <v>916.16</v>
      </c>
      <c r="AF23" s="6">
        <f>ROUND($Z23*CLS_Inc_Salary2324*VLOOKUP($A23,EnrollData2324,'2324 Jun 24 Enroll'!T$1,FALSE),2)-AE23</f>
        <v>33.889999999999986</v>
      </c>
      <c r="AG23">
        <f t="shared" si="9"/>
        <v>753.13</v>
      </c>
      <c r="AH23" s="69">
        <f t="shared" si="10"/>
        <v>70.460000000000036</v>
      </c>
      <c r="AI23">
        <f t="shared" si="11"/>
        <v>216.2</v>
      </c>
      <c r="AJ23">
        <f t="shared" si="12"/>
        <v>115.25999999999999</v>
      </c>
      <c r="AK23">
        <f t="shared" si="13"/>
        <v>825.65</v>
      </c>
      <c r="AL23">
        <f t="shared" si="14"/>
        <v>29.46</v>
      </c>
      <c r="AM23">
        <f t="shared" si="15"/>
        <v>202.1</v>
      </c>
      <c r="AN23">
        <f t="shared" si="16"/>
        <v>6.29</v>
      </c>
      <c r="AO23">
        <f>ROUND(($J23*CIS_Inc_Salary2324*(VLOOKUP($A23,EnrollData2324,'2324 Jun 24 Enroll'!T$1,FALSE)+VLOOKUP($A23,EnrollData2324,'2324 Jun 24 Enroll'!U$1,FALSE))/Apport_613Xpd)*Apport_614Xpd,2)</f>
        <v>71.69</v>
      </c>
      <c r="AP23">
        <f t="shared" si="17"/>
        <v>12.42</v>
      </c>
      <c r="AQ23">
        <f t="shared" si="19"/>
        <v>31.77</v>
      </c>
      <c r="AR23" s="6">
        <f>ROUND((IF(VLOOKUP($A23,EnrollData2324,'2324 Jun 24 Enroll'!D$1,FALSE)=VLOOKUP($A23,'ESA Calculations 2324'!$A$4:$AE$34,4,FALSE),VLOOKUP($A23,EnrollData2324,'2324 Jun 24 Enroll'!D$1,FALSE),VLOOKUP($A23,'ESA Calculations 2324'!$A$4:$AE$34,4,FALSE))*Apport_M802324+IF(VLOOKUP($A23,EnrollData2324,'2324 Jun 24 Enroll'!M$1,FALSE)=VLOOKUP($A23,'ESA Calculations 2324'!$A$4:$AE$34,18,FALSE),VLOOKUP($A23,EnrollData2324,'2324 Jun 24 Enroll'!M$1,FALSE),VLOOKUP($A23,'ESA Calculations 2324'!$A$4:$AE$34,18,FALSE))*Apport_M802324+IF((VLOOKUP($A23,EnrollData2324,'2324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Enroll'!L$1,FALSE))=VLOOKUP($A23,EnrollData2324,'2324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Enroll'!L$1,FALSE),(VLOOKUP($A23,EnrollData2324,'2324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Enroll'!L$1,FALSE)),(VLOOKUP($A23,EnrollData2324,'2324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Enroll'!L$1,FALSE)))*Apport_M812324)/(IF(VLOOKUP($A23,EnrollData2324,'2324 Jun 24 Enroll'!M$1,FALSE)=VLOOKUP($A23,'ESA Calculations 2324'!$A$4:$AE$34,18,FALSE),VLOOKUP($A23,EnrollData2324,'2324 Jun 24 Enroll'!M$1,FALSE),VLOOKUP($A23,'ESA Calculations 2324'!$A$4:$AE$34,18,FALSE))+IF(VLOOKUP($A23,EnrollData2324,'2324 Jun 24 Enroll'!D$1,FALSE)=VLOOKUP($A23,'ESA Calculations 2324'!$A$4:$AE$34,4,FALSE),VLOOKUP($A23,EnrollData2324,'2324 Jun 24 Enroll'!D$1,FALSE),VLOOKUP($A23,'ESA Calculations 2324'!$A$4:$AE$34,4,FALSE))),2)</f>
        <v>1537.99</v>
      </c>
      <c r="AS23" s="7">
        <f t="shared" si="20"/>
        <v>9587.09</v>
      </c>
      <c r="AT23" s="6">
        <f>IF(VLOOKUP($A23,EnrollData2324,'2324 Jun 24 Enroll'!AA$1,FALSE)=VLOOKUP($A23,'ESA Calculations 2324'!$A$4:$AE$34,24,FALSE),VLOOKUP($A23,EnrollData2324,'2324 Jun 24 Enroll'!AA$1,FALSE),VLOOKUP($A23,'ESA Calculations 2324'!$A$4:$AE$34,24,FALSE))</f>
        <v>200.32</v>
      </c>
    </row>
    <row r="24" spans="1:46">
      <c r="A24" s="40" t="s">
        <v>590</v>
      </c>
      <c r="B24" s="40" t="s">
        <v>591</v>
      </c>
      <c r="C24" s="11">
        <f>ROUND((IFERROR((1/IF(VLOOKUP($A24,EnrollData2324,28,FALSE)=VLOOKUP($A24,'ESA Calculations 2324'!$A$4:$AE$34,3,FALSE),VLOOKUP($A24,EnrollData2324,28,FALSE),VLOOKUP($A24,'ESA Calculations 2324'!$A$4:$AE$34,3,FALSE)))*(1+Apport_Z315),0))+Apport_201A2324,6)</f>
        <v>7.3449E-2</v>
      </c>
      <c r="D24">
        <f>ROUND(IF(VLOOKUP($A24,EnrollData2324,'2324 Jun 24 Enroll'!D$1,FALSE)=VLOOKUP($A24,'ESA Calculations 2324'!$A$4:$AE$34,4,FALSE),VLOOKUP($A24,EnrollData2324,'2324 Jun 24 Enroll'!D$1,FALSE),VLOOKUP($A24,'ESA Calculations 2324'!$A$4:$AE$34,4,FALSE))*C24,3)</f>
        <v>0</v>
      </c>
      <c r="E24">
        <f>ROUND(IF(VLOOKUP($A24,EnrollData2324,'2324 Jun 24 Enroll'!E$1,FALSE)=VLOOKUP($A24,'ESA Calculations 2324'!$A$4:$AE$34,5,FALSE),VLOOKUP($A24,EnrollData2324,'2324 Jun 24 Enroll'!E$1,FALSE),VLOOKUP($A24,'ESA Calculations 2324'!$A$4:$AE$34,5,FALSE))*C24,3)</f>
        <v>16.334</v>
      </c>
      <c r="F24">
        <f>ROUND(IF(VLOOKUP($A24,EnrollData2324,'2324 Jun 24 Enroll'!F$1,FALSE)=VLOOKUP($A24,'ESA Calculations 2324'!$A$4:$AE$34,6,FALSE),VLOOKUP($A24,EnrollData2324,'2324 Jun 24 Enroll'!F$1,FALSE),VLOOKUP($A24,'ESA Calculations 2324'!$A$4:$AE$34,6,FALSE))*Apport_222A2324,3)</f>
        <v>3.2109999999999999</v>
      </c>
      <c r="G24">
        <f>ROUND(IF(VLOOKUP($A24,EnrollData2324,'2324 Jun 24 Enroll'!G$1,FALSE)=VLOOKUP($A24,'ESA Calculations 2324'!$A$4:$AE$34,7,FALSE),VLOOKUP($A24,EnrollData2324,'2324 Jun 24 Enroll'!G$1,FALSE),VLOOKUP($A24,'ESA Calculations 2324'!$A$4:$AE$34,7,FALSE))*Apport_210A2324,3)</f>
        <v>5.5650000000000004</v>
      </c>
      <c r="H24">
        <f>ROUND(IF(VLOOKUP($A24,EnrollData2324,'2324 Jun 24 Enroll'!H$1,FALSE)=VLOOKUP($A24,'ESA Calculations 2324'!$A$4:$AE$34,8,FALSE),VLOOKUP($A24,EnrollData2324,'2324 Jun 24 Enroll'!H$1,FALSE),VLOOKUP($A24,'ESA Calculations 2324'!$A$4:$AE$34,8,FALSE))*Apport_213A2324,3)</f>
        <v>5.46</v>
      </c>
      <c r="I24">
        <f>ROUND(IF(VLOOKUP($A24,EnrollData2324,'2324 Jun 24 Enroll'!I$1,FALSE)+VLOOKUP($A24,EnrollData2324,'2324 Jun 24 Enroll'!M$1,FALSE)-VLOOKUP($A24,EnrollData2324,'2324 Jun 24 Enroll'!J$1,FALSE)=VLOOKUP($A24,'ESA Calculations 2324'!$A$4:$AE$34,9,FALSE)+VLOOKUP($A24,'ESA Calculations 2324'!$A$4:$AE$34,18,FALSE)-VLOOKUP($A24,'ESA Calculations 2324'!$A$4:$AE$34,10,FALSE),VLOOKUP($A24,EnrollData2324,'2324 Jun 24 Enroll'!I$1,FALSE)+VLOOKUP($A24,EnrollData2324,'2324 Jun 24 Enroll'!M$1,FALSE)-VLOOKUP($A24,EnrollData2324,'2324 Jun 24 Enroll'!J$1,FALSE),VLOOKUP($A24,'ESA Calculations 2324'!$A$4:$AE$34,9,FALSE)+VLOOKUP($A24,'ESA Calculations 2324'!$A$4:$AE$34,18,FALSE)-VLOOKUP($A24,'ESA Calculations 2324'!$A$4:$AE$34,10,FALSE))*Apport_216A2324,3)</f>
        <v>11.786</v>
      </c>
      <c r="J24">
        <f>ROUND(SUM(D24:I24)/IF(VLOOKUP($A24,EnrollData2324,'2324 Jun 24 Enroll'!M$1,FALSE)+VLOOKUP($A24,EnrollData2324,'2324 Jun 24 Enroll'!D$1,FALSE)=VLOOKUP($A24,'ESA Calculations 2324'!$A$4:$AE$34,18,FALSE)+VLOOKUP($A24,'ESA Calculations 2324'!$A$4:$AE$34,4,FALSE),VLOOKUP($A24,EnrollData2324,'2324 Jun 24 Enroll'!M$1,FALSE)+VLOOKUP($A24,EnrollData2324,'2324 Jun 24 Enroll'!D$1,FALSE),VLOOKUP($A24,'ESA Calculations 2324'!$A$4:$AE$34,18,FALSE)+VLOOKUP($A24,'ESA Calculations 2324'!$A$4:$AE$34,4,FALSE)),5)</f>
        <v>5.6329999999999998E-2</v>
      </c>
      <c r="K24" s="11">
        <f t="shared" si="7"/>
        <v>4.365E-3</v>
      </c>
      <c r="L24">
        <f>ROUND(IF(VLOOKUP($A24,EnrollData2324,'2324 Jun 24 Enroll'!D$1,FALSE)=VLOOKUP($A24,'ESA Calculations 2324'!$A$4:$AE$34,4,FALSE),VLOOKUP($A24,EnrollData2324,'2324 Jun 24 Enroll'!D$1,FALSE),VLOOKUP($A24,'ESA Calculations 2324'!$A$4:$AE$34,4,FALSE))*K24,3)</f>
        <v>0</v>
      </c>
      <c r="M24">
        <f>ROUND(IF(VLOOKUP($A24,EnrollData2324,'2324 Jun 24 Enroll'!E$1,FALSE)=VLOOKUP($A24,'ESA Calculations 2324'!$A$4:$AE$34,5,FALSE),VLOOKUP($A24,EnrollData2324,'2324 Jun 24 Enroll'!E$1,FALSE),VLOOKUP($A24,'ESA Calculations 2324'!$A$4:$AE$34,5,FALSE))*K24,3)</f>
        <v>0.97099999999999997</v>
      </c>
      <c r="N24">
        <f>ROUND(IF(VLOOKUP($A24,EnrollData2324,'2324 Jun 24 Enroll'!F$1,FALSE)=VLOOKUP($A24,'ESA Calculations 2324'!$A$4:$AE$34,6,FALSE),VLOOKUP($A24,EnrollData2324,'2324 Jun 24 Enroll'!F$1,FALSE),VLOOKUP($A24,'ESA Calculations 2324'!$A$4:$AE$34,6,FALSE))*Apport_223A2324,3)</f>
        <v>0.26800000000000002</v>
      </c>
      <c r="O24">
        <f>ROUND(IF(VLOOKUP($A24,EnrollData2324,'2324 Jun 24 Enroll'!G$1,FALSE)=VLOOKUP($A24,'ESA Calculations 2324'!$A$4:$AE$34,7,FALSE),VLOOKUP($A24,EnrollData2324,'2324 Jun 24 Enroll'!G$1,FALSE),VLOOKUP($A24,'ESA Calculations 2324'!$A$4:$AE$34,7,FALSE))*Apport_211A2324,3)</f>
        <v>0.46400000000000002</v>
      </c>
      <c r="P24">
        <f>ROUND(IF(VLOOKUP($A24,EnrollData2324,'2324 Jun 24 Enroll'!H$1,FALSE)=VLOOKUP($A24,'ESA Calculations 2324'!$A$4:$AE$34,8,FALSE),VLOOKUP($A24,EnrollData2324,'2324 Jun 24 Enroll'!H$1,FALSE),VLOOKUP($A24,'ESA Calculations 2324'!$A$4:$AE$34,8,FALSE))*Apport_214A2324,3)</f>
        <v>0.45400000000000001</v>
      </c>
      <c r="Q24">
        <f>ROUND(IF(VLOOKUP($A24,EnrollData2324,'2324 Jun 24 Enroll'!I$1,FALSE)+VLOOKUP($A24,EnrollData2324,'2324 Jun 24 Enroll'!M$1,FALSE)-VLOOKUP($A24,EnrollData2324,'2324 Jun 24 Enroll'!J$1,FALSE)=VLOOKUP($A24,'ESA Calculations 2324'!$A$4:$AE$34,9,FALSE)+VLOOKUP($A24,'ESA Calculations 2324'!$A$4:$AE$34,18,FALSE)-VLOOKUP($A24,'ESA Calculations 2324'!$A$4:$AE$34,10,FALSE),VLOOKUP($A24,EnrollData2324,'2324 Jun 24 Enroll'!I$1,FALSE)+VLOOKUP($A24,EnrollData2324,'2324 Jun 24 Enroll'!M$1,FALSE)-VLOOKUP($A24,EnrollData2324,'2324 Jun 24 Enroll'!J$1,FALSE),VLOOKUP($A24,'ESA Calculations 2324'!$A$4:$AE$34,9,FALSE)+VLOOKUP($A24,'ESA Calculations 2324'!$A$4:$AE$34,18,FALSE)-VLOOKUP($A24,'ESA Calculations 2324'!$A$4:$AE$34,10,FALSE))*Apport_217A2324,3)</f>
        <v>0.95199999999999996</v>
      </c>
      <c r="R24">
        <f>ROUND(SUM(L24:Q24)/IF(VLOOKUP($A24,EnrollData2324,'2324 Jun 24 Enroll'!M$1,FALSE)+VLOOKUP($A24,EnrollData2324,'2324 Jun 24 Enroll'!D$1,FALSE)=VLOOKUP($A24,'ESA Calculations 2324'!$A$4:$AE$34,18,FALSE)+VLOOKUP($A24,'ESA Calculations 2324'!$A$4:$AE$34,4,FALSE),VLOOKUP($A24,EnrollData2324,'2324 Jun 24 Enroll'!M$1,FALSE)+VLOOKUP($A24,EnrollData2324,'2324 Jun 24 Enroll'!D$1,FALSE),VLOOKUP($A24,'ESA Calculations 2324'!$A$4:$AE$34,18,FALSE)+VLOOKUP($A24,'ESA Calculations 2324'!$A$4:$AE$34,4,FALSE)),5)</f>
        <v>4.13E-3</v>
      </c>
      <c r="S24" s="11">
        <f t="shared" si="8"/>
        <v>1.8294500000000002E-2</v>
      </c>
      <c r="T24">
        <f>ROUND(IF(VLOOKUP($A24,EnrollData2324,'2324 Jun 24 Enroll'!D$1,FALSE)=VLOOKUP($A24,'ESA Calculations 2324'!$A$4:$AE$34,4,FALSE),VLOOKUP($A24,EnrollData2324,'2324 Jun 24 Enroll'!D$1,FALSE),VLOOKUP($A24,'ESA Calculations 2324'!$A$4:$AE$34,4,FALSE))*S24,3)</f>
        <v>0</v>
      </c>
      <c r="U24">
        <f>ROUND(IF(VLOOKUP($A24,EnrollData2324,'2324 Jun 24 Enroll'!E$1,FALSE)=VLOOKUP($A24,'ESA Calculations 2324'!$A$4:$AE$34,5,FALSE),VLOOKUP($A24,EnrollData2324,'2324 Jun 24 Enroll'!E$1,FALSE),VLOOKUP($A24,'ESA Calculations 2324'!$A$4:$AE$34,5,FALSE))*S24,3)</f>
        <v>4.069</v>
      </c>
      <c r="V24">
        <f>ROUND(IF(VLOOKUP($A24,EnrollData2324,'2324 Jun 24 Enroll'!F$1,FALSE)=VLOOKUP($A24,'ESA Calculations 2324'!$A$4:$AE$34,6,FALSE),VLOOKUP($A24,EnrollData2324,'2324 Jun 24 Enroll'!F$1,FALSE),VLOOKUP($A24,'ESA Calculations 2324'!$A$4:$AE$34,6,FALSE))*Apport_224A2324,3)</f>
        <v>1.1499999999999999</v>
      </c>
      <c r="W24">
        <f>ROUND(IF(VLOOKUP($A24,EnrollData2324,'2324 Jun 24 Enroll'!G$1,FALSE)=VLOOKUP($A24,'ESA Calculations 2324'!$A$4:$AE$34,7,FALSE),VLOOKUP($A24,EnrollData2324,'2324 Jun 24 Enroll'!G$1,FALSE),VLOOKUP($A24,'ESA Calculations 2324'!$A$4:$AE$34,7,FALSE))*Apport_212A2324,3)</f>
        <v>1.994</v>
      </c>
      <c r="X24">
        <f>ROUND(IF(VLOOKUP($A24,EnrollData2324,'2324 Jun 24 Enroll'!H$1,FALSE)=VLOOKUP($A24,'ESA Calculations 2324'!$A$4:$AE$34,8,FALSE),VLOOKUP($A24,EnrollData2324,'2324 Jun 24 Enroll'!H$1,FALSE),VLOOKUP($A24,'ESA Calculations 2324'!$A$4:$AE$34,8,FALSE))*Apport_215A2324,3)</f>
        <v>1.927</v>
      </c>
      <c r="Y24">
        <f>ROUND(IF(VLOOKUP($A24,EnrollData2324,'2324 Jun 24 Enroll'!I$1,FALSE)+VLOOKUP($A24,EnrollData2324,'2324 Jun 24 Enroll'!M$1,FALSE)-VLOOKUP($A24,EnrollData2324,'2324 Jun 24 Enroll'!J$1,FALSE)=VLOOKUP($A24,'ESA Calculations 2324'!$A$4:$AE$34,9,FALSE)+VLOOKUP($A24,'ESA Calculations 2324'!$A$4:$AE$34,18,FALSE)-VLOOKUP($A24,'ESA Calculations 2324'!$A$4:$AE$34,10,FALSE),VLOOKUP($A24,EnrollData2324,'2324 Jun 24 Enroll'!I$1,FALSE)+VLOOKUP($A24,EnrollData2324,'2324 Jun 24 Enroll'!M$1,FALSE)-VLOOKUP($A24,EnrollData2324,'2324 Jun 24 Enroll'!J$1,FALSE),VLOOKUP($A24,'ESA Calculations 2324'!$A$4:$AE$34,9,FALSE)+VLOOKUP($A24,'ESA Calculations 2324'!$A$4:$AE$34,18,FALSE)-VLOOKUP($A24,'ESA Calculations 2324'!$A$4:$AE$34,10,FALSE))*Apport_218A2324,3)</f>
        <v>4.0350000000000001</v>
      </c>
      <c r="Z24">
        <f>ROUND(SUM(T24:Y24)/IF(VLOOKUP($A24,EnrollData2324,'2324 Jun 24 Enroll'!M$1,FALSE)+VLOOKUP($A24,EnrollData2324,'2324 Jun 24 Enroll'!D$1,FALSE)=VLOOKUP($A24,'ESA Calculations 2324'!$A$4:$AE$34,18,FALSE)+VLOOKUP($A24,'ESA Calculations 2324'!$A$4:$AE$34,4,FALSE),VLOOKUP($A24,EnrollData2324,'2324 Jun 24 Enroll'!M$1,FALSE)+VLOOKUP($A24,EnrollData2324,'2324 Jun 24 Enroll'!D$1,FALSE),VLOOKUP($A24,'ESA Calculations 2324'!$A$4:$AE$34,18,FALSE)+VLOOKUP($A24,'ESA Calculations 2324'!$A$4:$AE$34,4,FALSE)),5)</f>
        <v>1.7520000000000001E-2</v>
      </c>
      <c r="AA24" s="6">
        <f>ROUND($J24*CIS_Base_Salary2324*VLOOKUP($A24,EnrollData2324,'2324 Jun 24 Enroll'!S$1,FALSE),2)</f>
        <v>4096.7700000000004</v>
      </c>
      <c r="AB24" s="6">
        <f>ROUND($J24*CIS_Inc_Salary2324*(VLOOKUP($A24,EnrollData2324,'2324 Jun 24 Enroll'!T$1,FALSE)+VLOOKUP($A24,EnrollData2324,'2324 Jun 24 Enroll'!U$1,FALSE)),2)-AA24</f>
        <v>151.57999999999993</v>
      </c>
      <c r="AC24" s="6">
        <f>ROUND($R24*CAS_Base_Salary2324*VLOOKUP($A24,EnrollData2324,'2324 Jun 24 Enroll'!S$1,FALSE),2)</f>
        <v>445.85</v>
      </c>
      <c r="AD24" s="6">
        <f>ROUND($R24*CAS_Inc_Salary2324*VLOOKUP($A24,EnrollData2324,'2324 Jun 24 Enroll'!T$1,FALSE),2)-AC24</f>
        <v>16.5</v>
      </c>
      <c r="AE24" s="6">
        <f>ROUND($Z24*CLS_Base_Salary2324*VLOOKUP($A24,EnrollData2324,'2324 Jun 24 Enroll'!S$1,FALSE),2)</f>
        <v>914.07</v>
      </c>
      <c r="AF24" s="6">
        <f>ROUND($Z24*CLS_Inc_Salary2324*VLOOKUP($A24,EnrollData2324,'2324 Jun 24 Enroll'!T$1,FALSE),2)-AE24</f>
        <v>33.809999999999945</v>
      </c>
      <c r="AG24">
        <f t="shared" si="9"/>
        <v>744.38</v>
      </c>
      <c r="AH24" s="69">
        <f t="shared" si="10"/>
        <v>69.649999999999977</v>
      </c>
      <c r="AI24">
        <f t="shared" si="11"/>
        <v>215.71</v>
      </c>
      <c r="AJ24">
        <f t="shared" si="12"/>
        <v>114.99999999999997</v>
      </c>
      <c r="AK24">
        <f t="shared" si="13"/>
        <v>816.31</v>
      </c>
      <c r="AL24">
        <f t="shared" si="14"/>
        <v>29.13</v>
      </c>
      <c r="AM24">
        <f t="shared" si="15"/>
        <v>201.64</v>
      </c>
      <c r="AN24">
        <f t="shared" si="16"/>
        <v>6.28</v>
      </c>
      <c r="AO24">
        <f>ROUND(($J24*CIS_Inc_Salary2324*(VLOOKUP($A24,EnrollData2324,'2324 Jun 24 Enroll'!T$1,FALSE)+VLOOKUP($A24,EnrollData2324,'2324 Jun 24 Enroll'!U$1,FALSE))/Apport_613Xpd)*Apport_614Xpd,2)</f>
        <v>70.81</v>
      </c>
      <c r="AP24">
        <f t="shared" si="17"/>
        <v>12.27</v>
      </c>
      <c r="AQ24">
        <f t="shared" si="19"/>
        <v>31.38</v>
      </c>
      <c r="AR24" s="6">
        <f>ROUND((IF(VLOOKUP($A24,EnrollData2324,'2324 Jun 24 Enroll'!D$1,FALSE)=VLOOKUP($A24,'ESA Calculations 2324'!$A$4:$AE$34,4,FALSE),VLOOKUP($A24,EnrollData2324,'2324 Jun 24 Enroll'!D$1,FALSE),VLOOKUP($A24,'ESA Calculations 2324'!$A$4:$AE$34,4,FALSE))*Apport_M802324+IF(VLOOKUP($A24,EnrollData2324,'2324 Jun 24 Enroll'!M$1,FALSE)=VLOOKUP($A24,'ESA Calculations 2324'!$A$4:$AE$34,18,FALSE),VLOOKUP($A24,EnrollData2324,'2324 Jun 24 Enroll'!M$1,FALSE),VLOOKUP($A24,'ESA Calculations 2324'!$A$4:$AE$34,18,FALSE))*Apport_M802324+IF((VLOOKUP($A24,EnrollData2324,'2324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Enroll'!L$1,FALSE))=VLOOKUP($A24,EnrollData2324,'2324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Enroll'!L$1,FALSE),(VLOOKUP($A24,EnrollData2324,'2324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Enroll'!L$1,FALSE)),(VLOOKUP($A24,EnrollData2324,'2324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Enroll'!L$1,FALSE)))*Apport_M812324)/(IF(VLOOKUP($A24,EnrollData2324,'2324 Jun 24 Enroll'!M$1,FALSE)=VLOOKUP($A24,'ESA Calculations 2324'!$A$4:$AE$34,18,FALSE),VLOOKUP($A24,EnrollData2324,'2324 Jun 24 Enroll'!M$1,FALSE),VLOOKUP($A24,'ESA Calculations 2324'!$A$4:$AE$34,18,FALSE))+IF(VLOOKUP($A24,EnrollData2324,'2324 Jun 24 Enroll'!D$1,FALSE)=VLOOKUP($A24,'ESA Calculations 2324'!$A$4:$AE$34,4,FALSE),VLOOKUP($A24,EnrollData2324,'2324 Jun 24 Enroll'!D$1,FALSE),VLOOKUP($A24,'ESA Calculations 2324'!$A$4:$AE$34,4,FALSE))),2)</f>
        <v>1546.04</v>
      </c>
      <c r="AS24" s="7">
        <f t="shared" si="20"/>
        <v>9517.18</v>
      </c>
      <c r="AT24" s="6">
        <f>IF(VLOOKUP($A24,EnrollData2324,'2324 Jun 24 Enroll'!AA$1,FALSE)=VLOOKUP($A24,'ESA Calculations 2324'!$A$4:$AE$34,24,FALSE),VLOOKUP($A24,EnrollData2324,'2324 Jun 24 Enroll'!AA$1,FALSE),VLOOKUP($A24,'ESA Calculations 2324'!$A$4:$AE$34,24,FALSE))</f>
        <v>751.97</v>
      </c>
    </row>
    <row r="25" spans="1:46">
      <c r="A25" s="40" t="s">
        <v>649</v>
      </c>
      <c r="B25" s="40" t="s">
        <v>650</v>
      </c>
      <c r="C25" s="11">
        <f>ROUND((IFERROR((1/IF(VLOOKUP($A25,EnrollData2324,28,FALSE)=VLOOKUP($A25,'ESA Calculations 2324'!$A$4:$AE$34,3,FALSE),VLOOKUP($A25,EnrollData2324,28,FALSE),VLOOKUP($A25,'ESA Calculations 2324'!$A$4:$AE$34,3,FALSE)))*(1+Apport_Z315),0))+Apport_201A2324,6)</f>
        <v>7.0250000000000007E-2</v>
      </c>
      <c r="D25">
        <f>ROUND(IF(VLOOKUP($A25,EnrollData2324,'2324 Jun 24 Enroll'!D$1,FALSE)=VLOOKUP($A25,'ESA Calculations 2324'!$A$4:$AE$34,4,FALSE),VLOOKUP($A25,EnrollData2324,'2324 Jun 24 Enroll'!D$1,FALSE),VLOOKUP($A25,'ESA Calculations 2324'!$A$4:$AE$34,4,FALSE))*C25,3)</f>
        <v>0.97599999999999998</v>
      </c>
      <c r="E25">
        <f>ROUND(IF(VLOOKUP($A25,EnrollData2324,'2324 Jun 24 Enroll'!E$1,FALSE)=VLOOKUP($A25,'ESA Calculations 2324'!$A$4:$AE$34,5,FALSE),VLOOKUP($A25,EnrollData2324,'2324 Jun 24 Enroll'!E$1,FALSE),VLOOKUP($A25,'ESA Calculations 2324'!$A$4:$AE$34,5,FALSE))*C25,3)</f>
        <v>18.690999999999999</v>
      </c>
      <c r="F25">
        <f>ROUND(IF(VLOOKUP($A25,EnrollData2324,'2324 Jun 24 Enroll'!F$1,FALSE)=VLOOKUP($A25,'ESA Calculations 2324'!$A$4:$AE$34,6,FALSE),VLOOKUP($A25,EnrollData2324,'2324 Jun 24 Enroll'!F$1,FALSE),VLOOKUP($A25,'ESA Calculations 2324'!$A$4:$AE$34,6,FALSE))*Apport_222A2324,3)</f>
        <v>3.3330000000000002</v>
      </c>
      <c r="G25">
        <f>ROUND(IF(VLOOKUP($A25,EnrollData2324,'2324 Jun 24 Enroll'!G$1,FALSE)=VLOOKUP($A25,'ESA Calculations 2324'!$A$4:$AE$34,7,FALSE),VLOOKUP($A25,EnrollData2324,'2324 Jun 24 Enroll'!G$1,FALSE),VLOOKUP($A25,'ESA Calculations 2324'!$A$4:$AE$34,7,FALSE))*Apport_210A2324,3)</f>
        <v>6.0970000000000004</v>
      </c>
      <c r="H25">
        <f>ROUND(IF(VLOOKUP($A25,EnrollData2324,'2324 Jun 24 Enroll'!H$1,FALSE)=VLOOKUP($A25,'ESA Calculations 2324'!$A$4:$AE$34,8,FALSE),VLOOKUP($A25,EnrollData2324,'2324 Jun 24 Enroll'!H$1,FALSE),VLOOKUP($A25,'ESA Calculations 2324'!$A$4:$AE$34,8,FALSE))*Apport_213A2324,3)</f>
        <v>7.4059999999999997</v>
      </c>
      <c r="I25">
        <f>ROUND(IF(VLOOKUP($A25,EnrollData2324,'2324 Jun 24 Enroll'!I$1,FALSE)+VLOOKUP($A25,EnrollData2324,'2324 Jun 24 Enroll'!M$1,FALSE)-VLOOKUP($A25,EnrollData2324,'2324 Jun 24 Enroll'!J$1,FALSE)=VLOOKUP($A25,'ESA Calculations 2324'!$A$4:$AE$34,9,FALSE)+VLOOKUP($A25,'ESA Calculations 2324'!$A$4:$AE$34,18,FALSE)-VLOOKUP($A25,'ESA Calculations 2324'!$A$4:$AE$34,10,FALSE),VLOOKUP($A25,EnrollData2324,'2324 Jun 24 Enroll'!I$1,FALSE)+VLOOKUP($A25,EnrollData2324,'2324 Jun 24 Enroll'!M$1,FALSE)-VLOOKUP($A25,EnrollData2324,'2324 Jun 24 Enroll'!J$1,FALSE),VLOOKUP($A25,'ESA Calculations 2324'!$A$4:$AE$34,9,FALSE)+VLOOKUP($A25,'ESA Calculations 2324'!$A$4:$AE$34,18,FALSE)-VLOOKUP($A25,'ESA Calculations 2324'!$A$4:$AE$34,10,FALSE))*Apport_216A2324,3)</f>
        <v>18.257999999999999</v>
      </c>
      <c r="J25">
        <f>ROUND(SUM(D25:I25)/IF(VLOOKUP($A25,EnrollData2324,'2324 Jun 24 Enroll'!M$1,FALSE)+VLOOKUP($A25,EnrollData2324,'2324 Jun 24 Enroll'!D$1,FALSE)=VLOOKUP($A25,'ESA Calculations 2324'!$A$4:$AE$34,18,FALSE)+VLOOKUP($A25,'ESA Calculations 2324'!$A$4:$AE$34,4,FALSE),VLOOKUP($A25,EnrollData2324,'2324 Jun 24 Enroll'!M$1,FALSE)+VLOOKUP($A25,EnrollData2324,'2324 Jun 24 Enroll'!D$1,FALSE),VLOOKUP($A25,'ESA Calculations 2324'!$A$4:$AE$34,18,FALSE)+VLOOKUP($A25,'ESA Calculations 2324'!$A$4:$AE$34,4,FALSE)),5)</f>
        <v>5.518E-2</v>
      </c>
      <c r="K25" s="11">
        <f t="shared" si="7"/>
        <v>4.3220000000000003E-3</v>
      </c>
      <c r="L25">
        <f>ROUND(IF(VLOOKUP($A25,EnrollData2324,'2324 Jun 24 Enroll'!D$1,FALSE)=VLOOKUP($A25,'ESA Calculations 2324'!$A$4:$AE$34,4,FALSE),VLOOKUP($A25,EnrollData2324,'2324 Jun 24 Enroll'!D$1,FALSE),VLOOKUP($A25,'ESA Calculations 2324'!$A$4:$AE$34,4,FALSE))*K25,3)</f>
        <v>0.06</v>
      </c>
      <c r="M25">
        <f>ROUND(IF(VLOOKUP($A25,EnrollData2324,'2324 Jun 24 Enroll'!E$1,FALSE)=VLOOKUP($A25,'ESA Calculations 2324'!$A$4:$AE$34,5,FALSE),VLOOKUP($A25,EnrollData2324,'2324 Jun 24 Enroll'!E$1,FALSE),VLOOKUP($A25,'ESA Calculations 2324'!$A$4:$AE$34,5,FALSE))*K25,3)</f>
        <v>1.1499999999999999</v>
      </c>
      <c r="N25">
        <f>ROUND(IF(VLOOKUP($A25,EnrollData2324,'2324 Jun 24 Enroll'!F$1,FALSE)=VLOOKUP($A25,'ESA Calculations 2324'!$A$4:$AE$34,6,FALSE),VLOOKUP($A25,EnrollData2324,'2324 Jun 24 Enroll'!F$1,FALSE),VLOOKUP($A25,'ESA Calculations 2324'!$A$4:$AE$34,6,FALSE))*Apport_223A2324,3)</f>
        <v>0.27800000000000002</v>
      </c>
      <c r="O25">
        <f>ROUND(IF(VLOOKUP($A25,EnrollData2324,'2324 Jun 24 Enroll'!G$1,FALSE)=VLOOKUP($A25,'ESA Calculations 2324'!$A$4:$AE$34,7,FALSE),VLOOKUP($A25,EnrollData2324,'2324 Jun 24 Enroll'!G$1,FALSE),VLOOKUP($A25,'ESA Calculations 2324'!$A$4:$AE$34,7,FALSE))*Apport_211A2324,3)</f>
        <v>0.50800000000000001</v>
      </c>
      <c r="P25">
        <f>ROUND(IF(VLOOKUP($A25,EnrollData2324,'2324 Jun 24 Enroll'!H$1,FALSE)=VLOOKUP($A25,'ESA Calculations 2324'!$A$4:$AE$34,8,FALSE),VLOOKUP($A25,EnrollData2324,'2324 Jun 24 Enroll'!H$1,FALSE),VLOOKUP($A25,'ESA Calculations 2324'!$A$4:$AE$34,8,FALSE))*Apport_214A2324,3)</f>
        <v>0.61499999999999999</v>
      </c>
      <c r="Q25">
        <f>ROUND(IF(VLOOKUP($A25,EnrollData2324,'2324 Jun 24 Enroll'!I$1,FALSE)+VLOOKUP($A25,EnrollData2324,'2324 Jun 24 Enroll'!M$1,FALSE)-VLOOKUP($A25,EnrollData2324,'2324 Jun 24 Enroll'!J$1,FALSE)=VLOOKUP($A25,'ESA Calculations 2324'!$A$4:$AE$34,9,FALSE)+VLOOKUP($A25,'ESA Calculations 2324'!$A$4:$AE$34,18,FALSE)-VLOOKUP($A25,'ESA Calculations 2324'!$A$4:$AE$34,10,FALSE),VLOOKUP($A25,EnrollData2324,'2324 Jun 24 Enroll'!I$1,FALSE)+VLOOKUP($A25,EnrollData2324,'2324 Jun 24 Enroll'!M$1,FALSE)-VLOOKUP($A25,EnrollData2324,'2324 Jun 24 Enroll'!J$1,FALSE),VLOOKUP($A25,'ESA Calculations 2324'!$A$4:$AE$34,9,FALSE)+VLOOKUP($A25,'ESA Calculations 2324'!$A$4:$AE$34,18,FALSE)-VLOOKUP($A25,'ESA Calculations 2324'!$A$4:$AE$34,10,FALSE))*Apport_217A2324,3)</f>
        <v>1.474</v>
      </c>
      <c r="R25">
        <f>ROUND(SUM(L25:Q25)/IF(VLOOKUP($A25,EnrollData2324,'2324 Jun 24 Enroll'!M$1,FALSE)+VLOOKUP($A25,EnrollData2324,'2324 Jun 24 Enroll'!D$1,FALSE)=VLOOKUP($A25,'ESA Calculations 2324'!$A$4:$AE$34,18,FALSE)+VLOOKUP($A25,'ESA Calculations 2324'!$A$4:$AE$34,4,FALSE),VLOOKUP($A25,EnrollData2324,'2324 Jun 24 Enroll'!M$1,FALSE)+VLOOKUP($A25,EnrollData2324,'2324 Jun 24 Enroll'!D$1,FALSE),VLOOKUP($A25,'ESA Calculations 2324'!$A$4:$AE$34,18,FALSE)+VLOOKUP($A25,'ESA Calculations 2324'!$A$4:$AE$34,4,FALSE)),5)</f>
        <v>4.1200000000000004E-3</v>
      </c>
      <c r="S25" s="11">
        <f t="shared" si="8"/>
        <v>1.8168199999999999E-2</v>
      </c>
      <c r="T25">
        <f>ROUND(IF(VLOOKUP($A25,EnrollData2324,'2324 Jun 24 Enroll'!D$1,FALSE)=VLOOKUP($A25,'ESA Calculations 2324'!$A$4:$AE$34,4,FALSE),VLOOKUP($A25,EnrollData2324,'2324 Jun 24 Enroll'!D$1,FALSE),VLOOKUP($A25,'ESA Calculations 2324'!$A$4:$AE$34,4,FALSE))*S25,3)</f>
        <v>0.253</v>
      </c>
      <c r="U25">
        <f>ROUND(IF(VLOOKUP($A25,EnrollData2324,'2324 Jun 24 Enroll'!E$1,FALSE)=VLOOKUP($A25,'ESA Calculations 2324'!$A$4:$AE$34,5,FALSE),VLOOKUP($A25,EnrollData2324,'2324 Jun 24 Enroll'!E$1,FALSE),VLOOKUP($A25,'ESA Calculations 2324'!$A$4:$AE$34,5,FALSE))*S25,3)</f>
        <v>4.8339999999999996</v>
      </c>
      <c r="V25">
        <f>ROUND(IF(VLOOKUP($A25,EnrollData2324,'2324 Jun 24 Enroll'!F$1,FALSE)=VLOOKUP($A25,'ESA Calculations 2324'!$A$4:$AE$34,6,FALSE),VLOOKUP($A25,EnrollData2324,'2324 Jun 24 Enroll'!F$1,FALSE),VLOOKUP($A25,'ESA Calculations 2324'!$A$4:$AE$34,6,FALSE))*Apport_224A2324,3)</f>
        <v>1.194</v>
      </c>
      <c r="W25">
        <f>ROUND(IF(VLOOKUP($A25,EnrollData2324,'2324 Jun 24 Enroll'!G$1,FALSE)=VLOOKUP($A25,'ESA Calculations 2324'!$A$4:$AE$34,7,FALSE),VLOOKUP($A25,EnrollData2324,'2324 Jun 24 Enroll'!G$1,FALSE),VLOOKUP($A25,'ESA Calculations 2324'!$A$4:$AE$34,7,FALSE))*Apport_212A2324,3)</f>
        <v>2.1840000000000002</v>
      </c>
      <c r="X25">
        <f>ROUND(IF(VLOOKUP($A25,EnrollData2324,'2324 Jun 24 Enroll'!H$1,FALSE)=VLOOKUP($A25,'ESA Calculations 2324'!$A$4:$AE$34,8,FALSE),VLOOKUP($A25,EnrollData2324,'2324 Jun 24 Enroll'!H$1,FALSE),VLOOKUP($A25,'ESA Calculations 2324'!$A$4:$AE$34,8,FALSE))*Apport_215A2324,3)</f>
        <v>2.613</v>
      </c>
      <c r="Y25">
        <f>ROUND(IF(VLOOKUP($A25,EnrollData2324,'2324 Jun 24 Enroll'!I$1,FALSE)+VLOOKUP($A25,EnrollData2324,'2324 Jun 24 Enroll'!M$1,FALSE)-VLOOKUP($A25,EnrollData2324,'2324 Jun 24 Enroll'!J$1,FALSE)=VLOOKUP($A25,'ESA Calculations 2324'!$A$4:$AE$34,9,FALSE)+VLOOKUP($A25,'ESA Calculations 2324'!$A$4:$AE$34,18,FALSE)-VLOOKUP($A25,'ESA Calculations 2324'!$A$4:$AE$34,10,FALSE),VLOOKUP($A25,EnrollData2324,'2324 Jun 24 Enroll'!I$1,FALSE)+VLOOKUP($A25,EnrollData2324,'2324 Jun 24 Enroll'!M$1,FALSE)-VLOOKUP($A25,EnrollData2324,'2324 Jun 24 Enroll'!J$1,FALSE),VLOOKUP($A25,'ESA Calculations 2324'!$A$4:$AE$34,9,FALSE)+VLOOKUP($A25,'ESA Calculations 2324'!$A$4:$AE$34,18,FALSE)-VLOOKUP($A25,'ESA Calculations 2324'!$A$4:$AE$34,10,FALSE))*Apport_218A2324,3)</f>
        <v>6.25</v>
      </c>
      <c r="Z25">
        <f>ROUND(SUM(T25:Y25)/IF(VLOOKUP($A25,EnrollData2324,'2324 Jun 24 Enroll'!M$1,FALSE)+VLOOKUP($A25,EnrollData2324,'2324 Jun 24 Enroll'!D$1,FALSE)=VLOOKUP($A25,'ESA Calculations 2324'!$A$4:$AE$34,18,FALSE)+VLOOKUP($A25,'ESA Calculations 2324'!$A$4:$AE$34,4,FALSE),VLOOKUP($A25,EnrollData2324,'2324 Jun 24 Enroll'!M$1,FALSE)+VLOOKUP($A25,EnrollData2324,'2324 Jun 24 Enroll'!D$1,FALSE),VLOOKUP($A25,'ESA Calculations 2324'!$A$4:$AE$34,18,FALSE)+VLOOKUP($A25,'ESA Calculations 2324'!$A$4:$AE$34,4,FALSE)),5)</f>
        <v>1.746E-2</v>
      </c>
      <c r="AA25" s="6">
        <f>ROUND($J25*CIS_Base_Salary2324*VLOOKUP($A25,EnrollData2324,'2324 Jun 24 Enroll'!S$1,FALSE),2)</f>
        <v>4013.13</v>
      </c>
      <c r="AB25" s="6">
        <f>ROUND($J25*CIS_Inc_Salary2324*(VLOOKUP($A25,EnrollData2324,'2324 Jun 24 Enroll'!T$1,FALSE)+VLOOKUP($A25,EnrollData2324,'2324 Jun 24 Enroll'!U$1,FALSE)),2)-AA25</f>
        <v>148.48999999999978</v>
      </c>
      <c r="AC25" s="6">
        <f>ROUND($R25*CAS_Base_Salary2324*VLOOKUP($A25,EnrollData2324,'2324 Jun 24 Enroll'!S$1,FALSE),2)</f>
        <v>444.77</v>
      </c>
      <c r="AD25" s="6">
        <f>ROUND($R25*CAS_Inc_Salary2324*VLOOKUP($A25,EnrollData2324,'2324 Jun 24 Enroll'!T$1,FALSE),2)-AC25</f>
        <v>16.460000000000036</v>
      </c>
      <c r="AE25" s="6">
        <f>ROUND($Z25*CLS_Base_Salary2324*VLOOKUP($A25,EnrollData2324,'2324 Jun 24 Enroll'!S$1,FALSE),2)</f>
        <v>910.94</v>
      </c>
      <c r="AF25" s="6">
        <f>ROUND($Z25*CLS_Inc_Salary2324*VLOOKUP($A25,EnrollData2324,'2324 Jun 24 Enroll'!T$1,FALSE),2)-AE25</f>
        <v>33.699999999999932</v>
      </c>
      <c r="AG25">
        <f t="shared" si="9"/>
        <v>730.1</v>
      </c>
      <c r="AH25" s="69">
        <f t="shared" si="10"/>
        <v>68.319999999999936</v>
      </c>
      <c r="AI25">
        <f t="shared" si="11"/>
        <v>214.97</v>
      </c>
      <c r="AJ25">
        <f t="shared" si="12"/>
        <v>114.6</v>
      </c>
      <c r="AK25">
        <f t="shared" si="13"/>
        <v>801.08</v>
      </c>
      <c r="AL25">
        <f t="shared" si="14"/>
        <v>28.59</v>
      </c>
      <c r="AM25">
        <f t="shared" si="15"/>
        <v>200.95</v>
      </c>
      <c r="AN25">
        <f t="shared" si="16"/>
        <v>6.25</v>
      </c>
      <c r="AO25">
        <f>ROUND(($J25*CIS_Inc_Salary2324*(VLOOKUP($A25,EnrollData2324,'2324 Jun 24 Enroll'!T$1,FALSE)+VLOOKUP($A25,EnrollData2324,'2324 Jun 24 Enroll'!U$1,FALSE))/Apport_613Xpd)*Apport_614Xpd,2)</f>
        <v>69.36</v>
      </c>
      <c r="AP25">
        <f t="shared" si="17"/>
        <v>12.02</v>
      </c>
      <c r="AQ25">
        <f t="shared" si="19"/>
        <v>30.74</v>
      </c>
      <c r="AR25" s="6">
        <f>ROUND((IF(VLOOKUP($A25,EnrollData2324,'2324 Jun 24 Enroll'!D$1,FALSE)=VLOOKUP($A25,'ESA Calculations 2324'!$A$4:$AE$34,4,FALSE),VLOOKUP($A25,EnrollData2324,'2324 Jun 24 Enroll'!D$1,FALSE),VLOOKUP($A25,'ESA Calculations 2324'!$A$4:$AE$34,4,FALSE))*Apport_M802324+IF(VLOOKUP($A25,EnrollData2324,'2324 Jun 24 Enroll'!M$1,FALSE)=VLOOKUP($A25,'ESA Calculations 2324'!$A$4:$AE$34,18,FALSE),VLOOKUP($A25,EnrollData2324,'2324 Jun 24 Enroll'!M$1,FALSE),VLOOKUP($A25,'ESA Calculations 2324'!$A$4:$AE$34,18,FALSE))*Apport_M802324+IF((VLOOKUP($A25,EnrollData2324,'2324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Enroll'!L$1,FALSE))=VLOOKUP($A25,EnrollData2324,'2324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Enroll'!L$1,FALSE),(VLOOKUP($A25,EnrollData2324,'2324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Enroll'!L$1,FALSE)),(VLOOKUP($A25,EnrollData2324,'2324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Enroll'!L$1,FALSE)))*Apport_M812324)/(IF(VLOOKUP($A25,EnrollData2324,'2324 Jun 24 Enroll'!M$1,FALSE)=VLOOKUP($A25,'ESA Calculations 2324'!$A$4:$AE$34,18,FALSE),VLOOKUP($A25,EnrollData2324,'2324 Jun 24 Enroll'!M$1,FALSE),VLOOKUP($A25,'ESA Calculations 2324'!$A$4:$AE$34,18,FALSE))+IF(VLOOKUP($A25,EnrollData2324,'2324 Jun 24 Enroll'!D$1,FALSE)=VLOOKUP($A25,'ESA Calculations 2324'!$A$4:$AE$34,4,FALSE),VLOOKUP($A25,EnrollData2324,'2324 Jun 24 Enroll'!D$1,FALSE),VLOOKUP($A25,'ESA Calculations 2324'!$A$4:$AE$34,4,FALSE))),2)</f>
        <v>1556.93</v>
      </c>
      <c r="AS25" s="7">
        <f t="shared" si="20"/>
        <v>9401.4</v>
      </c>
      <c r="AT25" s="6">
        <f>IF(VLOOKUP($A25,EnrollData2324,'2324 Jun 24 Enroll'!AA$1,FALSE)=VLOOKUP($A25,'ESA Calculations 2324'!$A$4:$AE$34,24,FALSE),VLOOKUP($A25,EnrollData2324,'2324 Jun 24 Enroll'!AA$1,FALSE),VLOOKUP($A25,'ESA Calculations 2324'!$A$4:$AE$34,24,FALSE))</f>
        <v>992.08</v>
      </c>
    </row>
    <row r="26" spans="1:46">
      <c r="A26" s="40" t="s">
        <v>618</v>
      </c>
      <c r="B26" s="40" t="s">
        <v>619</v>
      </c>
      <c r="C26" s="11">
        <f>ROUND((IFERROR((1/IF(VLOOKUP($A26,EnrollData2324,28,FALSE)=VLOOKUP($A26,'ESA Calculations 2324'!$A$4:$AE$34,3,FALSE),VLOOKUP($A26,EnrollData2324,28,FALSE),VLOOKUP($A26,'ESA Calculations 2324'!$A$4:$AE$34,3,FALSE)))*(1+Apport_Z315),0))+Apport_201A2324,6)</f>
        <v>7.2117000000000001E-2</v>
      </c>
      <c r="D26">
        <f>ROUND(IF(VLOOKUP($A26,EnrollData2324,'2324 Jun 24 Enroll'!D$1,FALSE)=VLOOKUP($A26,'ESA Calculations 2324'!$A$4:$AE$34,4,FALSE),VLOOKUP($A26,EnrollData2324,'2324 Jun 24 Enroll'!D$1,FALSE),VLOOKUP($A26,'ESA Calculations 2324'!$A$4:$AE$34,4,FALSE))*C26,3)</f>
        <v>0</v>
      </c>
      <c r="E26">
        <f>ROUND(IF(VLOOKUP($A26,EnrollData2324,'2324 Jun 24 Enroll'!E$1,FALSE)=VLOOKUP($A26,'ESA Calculations 2324'!$A$4:$AE$34,5,FALSE),VLOOKUP($A26,EnrollData2324,'2324 Jun 24 Enroll'!E$1,FALSE),VLOOKUP($A26,'ESA Calculations 2324'!$A$4:$AE$34,5,FALSE))*C26,3)</f>
        <v>6.0720000000000001</v>
      </c>
      <c r="F26">
        <f>ROUND(IF(VLOOKUP($A26,EnrollData2324,'2324 Jun 24 Enroll'!F$1,FALSE)=VLOOKUP($A26,'ESA Calculations 2324'!$A$4:$AE$34,6,FALSE),VLOOKUP($A26,EnrollData2324,'2324 Jun 24 Enroll'!F$1,FALSE),VLOOKUP($A26,'ESA Calculations 2324'!$A$4:$AE$34,6,FALSE))*Apport_222A2324,3)</f>
        <v>0.94199999999999995</v>
      </c>
      <c r="G26">
        <f>ROUND(IF(VLOOKUP($A26,EnrollData2324,'2324 Jun 24 Enroll'!G$1,FALSE)=VLOOKUP($A26,'ESA Calculations 2324'!$A$4:$AE$34,7,FALSE),VLOOKUP($A26,EnrollData2324,'2324 Jun 24 Enroll'!G$1,FALSE),VLOOKUP($A26,'ESA Calculations 2324'!$A$4:$AE$34,7,FALSE))*Apport_210A2324,3)</f>
        <v>2.2450000000000001</v>
      </c>
      <c r="H26">
        <f>ROUND(IF(VLOOKUP($A26,EnrollData2324,'2324 Jun 24 Enroll'!H$1,FALSE)=VLOOKUP($A26,'ESA Calculations 2324'!$A$4:$AE$34,8,FALSE),VLOOKUP($A26,EnrollData2324,'2324 Jun 24 Enroll'!H$1,FALSE),VLOOKUP($A26,'ESA Calculations 2324'!$A$4:$AE$34,8,FALSE))*Apport_213A2324,3)</f>
        <v>2.9729999999999999</v>
      </c>
      <c r="I26">
        <f>ROUND(IF(VLOOKUP($A26,EnrollData2324,'2324 Jun 24 Enroll'!I$1,FALSE)+VLOOKUP($A26,EnrollData2324,'2324 Jun 24 Enroll'!M$1,FALSE)-VLOOKUP($A26,EnrollData2324,'2324 Jun 24 Enroll'!J$1,FALSE)=VLOOKUP($A26,'ESA Calculations 2324'!$A$4:$AE$34,9,FALSE)+VLOOKUP($A26,'ESA Calculations 2324'!$A$4:$AE$34,18,FALSE)-VLOOKUP($A26,'ESA Calculations 2324'!$A$4:$AE$34,10,FALSE),VLOOKUP($A26,EnrollData2324,'2324 Jun 24 Enroll'!I$1,FALSE)+VLOOKUP($A26,EnrollData2324,'2324 Jun 24 Enroll'!M$1,FALSE)-VLOOKUP($A26,EnrollData2324,'2324 Jun 24 Enroll'!J$1,FALSE),VLOOKUP($A26,'ESA Calculations 2324'!$A$4:$AE$34,9,FALSE)+VLOOKUP($A26,'ESA Calculations 2324'!$A$4:$AE$34,18,FALSE)-VLOOKUP($A26,'ESA Calculations 2324'!$A$4:$AE$34,10,FALSE))*Apport_216A2324,3)</f>
        <v>4.9390000000000001</v>
      </c>
      <c r="J26">
        <f>ROUND(SUM(D26:I26)/IF(VLOOKUP($A26,EnrollData2324,'2324 Jun 24 Enroll'!M$1,FALSE)+VLOOKUP($A26,EnrollData2324,'2324 Jun 24 Enroll'!D$1,FALSE)=VLOOKUP($A26,'ESA Calculations 2324'!$A$4:$AE$34,18,FALSE)+VLOOKUP($A26,'ESA Calculations 2324'!$A$4:$AE$34,4,FALSE),VLOOKUP($A26,EnrollData2324,'2324 Jun 24 Enroll'!M$1,FALSE)+VLOOKUP($A26,EnrollData2324,'2324 Jun 24 Enroll'!D$1,FALSE),VLOOKUP($A26,'ESA Calculations 2324'!$A$4:$AE$34,18,FALSE)+VLOOKUP($A26,'ESA Calculations 2324'!$A$4:$AE$34,4,FALSE)),5)</f>
        <v>5.5370000000000003E-2</v>
      </c>
      <c r="K26" s="11">
        <f t="shared" si="7"/>
        <v>4.3470000000000002E-3</v>
      </c>
      <c r="L26">
        <f>ROUND(IF(VLOOKUP($A26,EnrollData2324,'2324 Jun 24 Enroll'!D$1,FALSE)=VLOOKUP($A26,'ESA Calculations 2324'!$A$4:$AE$34,4,FALSE),VLOOKUP($A26,EnrollData2324,'2324 Jun 24 Enroll'!D$1,FALSE),VLOOKUP($A26,'ESA Calculations 2324'!$A$4:$AE$34,4,FALSE))*K26,3)</f>
        <v>0</v>
      </c>
      <c r="M26">
        <f>ROUND(IF(VLOOKUP($A26,EnrollData2324,'2324 Jun 24 Enroll'!E$1,FALSE)=VLOOKUP($A26,'ESA Calculations 2324'!$A$4:$AE$34,5,FALSE),VLOOKUP($A26,EnrollData2324,'2324 Jun 24 Enroll'!E$1,FALSE),VLOOKUP($A26,'ESA Calculations 2324'!$A$4:$AE$34,5,FALSE))*K26,3)</f>
        <v>0.36599999999999999</v>
      </c>
      <c r="N26">
        <f>ROUND(IF(VLOOKUP($A26,EnrollData2324,'2324 Jun 24 Enroll'!F$1,FALSE)=VLOOKUP($A26,'ESA Calculations 2324'!$A$4:$AE$34,6,FALSE),VLOOKUP($A26,EnrollData2324,'2324 Jun 24 Enroll'!F$1,FALSE),VLOOKUP($A26,'ESA Calculations 2324'!$A$4:$AE$34,6,FALSE))*Apport_223A2324,3)</f>
        <v>7.8E-2</v>
      </c>
      <c r="O26">
        <f>ROUND(IF(VLOOKUP($A26,EnrollData2324,'2324 Jun 24 Enroll'!G$1,FALSE)=VLOOKUP($A26,'ESA Calculations 2324'!$A$4:$AE$34,7,FALSE),VLOOKUP($A26,EnrollData2324,'2324 Jun 24 Enroll'!G$1,FALSE),VLOOKUP($A26,'ESA Calculations 2324'!$A$4:$AE$34,7,FALSE))*Apport_211A2324,3)</f>
        <v>0.187</v>
      </c>
      <c r="P26">
        <f>ROUND(IF(VLOOKUP($A26,EnrollData2324,'2324 Jun 24 Enroll'!H$1,FALSE)=VLOOKUP($A26,'ESA Calculations 2324'!$A$4:$AE$34,8,FALSE),VLOOKUP($A26,EnrollData2324,'2324 Jun 24 Enroll'!H$1,FALSE),VLOOKUP($A26,'ESA Calculations 2324'!$A$4:$AE$34,8,FALSE))*Apport_214A2324,3)</f>
        <v>0.247</v>
      </c>
      <c r="Q26">
        <f>ROUND(IF(VLOOKUP($A26,EnrollData2324,'2324 Jun 24 Enroll'!I$1,FALSE)+VLOOKUP($A26,EnrollData2324,'2324 Jun 24 Enroll'!M$1,FALSE)-VLOOKUP($A26,EnrollData2324,'2324 Jun 24 Enroll'!J$1,FALSE)=VLOOKUP($A26,'ESA Calculations 2324'!$A$4:$AE$34,9,FALSE)+VLOOKUP($A26,'ESA Calculations 2324'!$A$4:$AE$34,18,FALSE)-VLOOKUP($A26,'ESA Calculations 2324'!$A$4:$AE$34,10,FALSE),VLOOKUP($A26,EnrollData2324,'2324 Jun 24 Enroll'!I$1,FALSE)+VLOOKUP($A26,EnrollData2324,'2324 Jun 24 Enroll'!M$1,FALSE)-VLOOKUP($A26,EnrollData2324,'2324 Jun 24 Enroll'!J$1,FALSE),VLOOKUP($A26,'ESA Calculations 2324'!$A$4:$AE$34,9,FALSE)+VLOOKUP($A26,'ESA Calculations 2324'!$A$4:$AE$34,18,FALSE)-VLOOKUP($A26,'ESA Calculations 2324'!$A$4:$AE$34,10,FALSE))*Apport_217A2324,3)</f>
        <v>0.39900000000000002</v>
      </c>
      <c r="R26">
        <f>ROUND(SUM(L26:Q26)/IF(VLOOKUP($A26,EnrollData2324,'2324 Jun 24 Enroll'!M$1,FALSE)+VLOOKUP($A26,EnrollData2324,'2324 Jun 24 Enroll'!D$1,FALSE)=VLOOKUP($A26,'ESA Calculations 2324'!$A$4:$AE$34,18,FALSE)+VLOOKUP($A26,'ESA Calculations 2324'!$A$4:$AE$34,4,FALSE),VLOOKUP($A26,EnrollData2324,'2324 Jun 24 Enroll'!M$1,FALSE)+VLOOKUP($A26,EnrollData2324,'2324 Jun 24 Enroll'!D$1,FALSE),VLOOKUP($A26,'ESA Calculations 2324'!$A$4:$AE$34,18,FALSE)+VLOOKUP($A26,'ESA Calculations 2324'!$A$4:$AE$34,4,FALSE)),5)</f>
        <v>4.1200000000000004E-3</v>
      </c>
      <c r="S26" s="11">
        <f t="shared" si="8"/>
        <v>1.8241899999999998E-2</v>
      </c>
      <c r="T26">
        <f>ROUND(IF(VLOOKUP($A26,EnrollData2324,'2324 Jun 24 Enroll'!D$1,FALSE)=VLOOKUP($A26,'ESA Calculations 2324'!$A$4:$AE$34,4,FALSE),VLOOKUP($A26,EnrollData2324,'2324 Jun 24 Enroll'!D$1,FALSE),VLOOKUP($A26,'ESA Calculations 2324'!$A$4:$AE$34,4,FALSE))*S26,3)</f>
        <v>0</v>
      </c>
      <c r="U26">
        <f>ROUND(IF(VLOOKUP($A26,EnrollData2324,'2324 Jun 24 Enroll'!E$1,FALSE)=VLOOKUP($A26,'ESA Calculations 2324'!$A$4:$AE$34,5,FALSE),VLOOKUP($A26,EnrollData2324,'2324 Jun 24 Enroll'!E$1,FALSE),VLOOKUP($A26,'ESA Calculations 2324'!$A$4:$AE$34,5,FALSE))*S26,3)</f>
        <v>1.536</v>
      </c>
      <c r="V26">
        <f>ROUND(IF(VLOOKUP($A26,EnrollData2324,'2324 Jun 24 Enroll'!F$1,FALSE)=VLOOKUP($A26,'ESA Calculations 2324'!$A$4:$AE$34,6,FALSE),VLOOKUP($A26,EnrollData2324,'2324 Jun 24 Enroll'!F$1,FALSE),VLOOKUP($A26,'ESA Calculations 2324'!$A$4:$AE$34,6,FALSE))*Apport_224A2324,3)</f>
        <v>0.33700000000000002</v>
      </c>
      <c r="W26">
        <f>ROUND(IF(VLOOKUP($A26,EnrollData2324,'2324 Jun 24 Enroll'!G$1,FALSE)=VLOOKUP($A26,'ESA Calculations 2324'!$A$4:$AE$34,7,FALSE),VLOOKUP($A26,EnrollData2324,'2324 Jun 24 Enroll'!G$1,FALSE),VLOOKUP($A26,'ESA Calculations 2324'!$A$4:$AE$34,7,FALSE))*Apport_212A2324,3)</f>
        <v>0.80400000000000005</v>
      </c>
      <c r="X26">
        <f>ROUND(IF(VLOOKUP($A26,EnrollData2324,'2324 Jun 24 Enroll'!H$1,FALSE)=VLOOKUP($A26,'ESA Calculations 2324'!$A$4:$AE$34,8,FALSE),VLOOKUP($A26,EnrollData2324,'2324 Jun 24 Enroll'!H$1,FALSE),VLOOKUP($A26,'ESA Calculations 2324'!$A$4:$AE$34,8,FALSE))*Apport_215A2324,3)</f>
        <v>1.0489999999999999</v>
      </c>
      <c r="Y26">
        <f>ROUND(IF(VLOOKUP($A26,EnrollData2324,'2324 Jun 24 Enroll'!I$1,FALSE)+VLOOKUP($A26,EnrollData2324,'2324 Jun 24 Enroll'!M$1,FALSE)-VLOOKUP($A26,EnrollData2324,'2324 Jun 24 Enroll'!J$1,FALSE)=VLOOKUP($A26,'ESA Calculations 2324'!$A$4:$AE$34,9,FALSE)+VLOOKUP($A26,'ESA Calculations 2324'!$A$4:$AE$34,18,FALSE)-VLOOKUP($A26,'ESA Calculations 2324'!$A$4:$AE$34,10,FALSE),VLOOKUP($A26,EnrollData2324,'2324 Jun 24 Enroll'!I$1,FALSE)+VLOOKUP($A26,EnrollData2324,'2324 Jun 24 Enroll'!M$1,FALSE)-VLOOKUP($A26,EnrollData2324,'2324 Jun 24 Enroll'!J$1,FALSE),VLOOKUP($A26,'ESA Calculations 2324'!$A$4:$AE$34,9,FALSE)+VLOOKUP($A26,'ESA Calculations 2324'!$A$4:$AE$34,18,FALSE)-VLOOKUP($A26,'ESA Calculations 2324'!$A$4:$AE$34,10,FALSE))*Apport_218A2324,3)</f>
        <v>1.6910000000000001</v>
      </c>
      <c r="Z26">
        <f>ROUND(SUM(T26:Y26)/IF(VLOOKUP($A26,EnrollData2324,'2324 Jun 24 Enroll'!M$1,FALSE)+VLOOKUP($A26,EnrollData2324,'2324 Jun 24 Enroll'!D$1,FALSE)=VLOOKUP($A26,'ESA Calculations 2324'!$A$4:$AE$34,18,FALSE)+VLOOKUP($A26,'ESA Calculations 2324'!$A$4:$AE$34,4,FALSE),VLOOKUP($A26,EnrollData2324,'2324 Jun 24 Enroll'!M$1,FALSE)+VLOOKUP($A26,EnrollData2324,'2324 Jun 24 Enroll'!D$1,FALSE),VLOOKUP($A26,'ESA Calculations 2324'!$A$4:$AE$34,18,FALSE)+VLOOKUP($A26,'ESA Calculations 2324'!$A$4:$AE$34,4,FALSE)),5)</f>
        <v>1.7469999999999999E-2</v>
      </c>
      <c r="AA26" s="6">
        <f>ROUND($J26*CIS_Base_Salary2324*VLOOKUP($A26,EnrollData2324,'2324 Jun 24 Enroll'!S$1,FALSE),2)</f>
        <v>4026.95</v>
      </c>
      <c r="AB26" s="6">
        <f>ROUND($J26*CIS_Inc_Salary2324*(VLOOKUP($A26,EnrollData2324,'2324 Jun 24 Enroll'!T$1,FALSE)+VLOOKUP($A26,EnrollData2324,'2324 Jun 24 Enroll'!U$1,FALSE)),2)-AA26</f>
        <v>232.52000000000044</v>
      </c>
      <c r="AC26" s="6">
        <f>ROUND($R26*CAS_Base_Salary2324*VLOOKUP($A26,EnrollData2324,'2324 Jun 24 Enroll'!S$1,FALSE),2)</f>
        <v>444.77</v>
      </c>
      <c r="AD26" s="6">
        <f>ROUND($R26*CAS_Inc_Salary2324*VLOOKUP($A26,EnrollData2324,'2324 Jun 24 Enroll'!T$1,FALSE),2)-AC26</f>
        <v>16.460000000000036</v>
      </c>
      <c r="AE26" s="6">
        <f>ROUND($Z26*CLS_Base_Salary2324*VLOOKUP($A26,EnrollData2324,'2324 Jun 24 Enroll'!S$1,FALSE),2)</f>
        <v>911.46</v>
      </c>
      <c r="AF26" s="6">
        <f>ROUND($Z26*CLS_Inc_Salary2324*VLOOKUP($A26,EnrollData2324,'2324 Jun 24 Enroll'!T$1,FALSE),2)-AE26</f>
        <v>33.719999999999914</v>
      </c>
      <c r="AG26">
        <f t="shared" si="9"/>
        <v>732.44</v>
      </c>
      <c r="AH26" s="69">
        <f t="shared" si="10"/>
        <v>68.529999999999973</v>
      </c>
      <c r="AI26">
        <f t="shared" si="11"/>
        <v>215.09</v>
      </c>
      <c r="AJ26">
        <f t="shared" si="12"/>
        <v>114.66999999999999</v>
      </c>
      <c r="AK26">
        <f t="shared" si="13"/>
        <v>803.57</v>
      </c>
      <c r="AL26">
        <f t="shared" si="14"/>
        <v>43.15</v>
      </c>
      <c r="AM26">
        <f t="shared" si="15"/>
        <v>201.07</v>
      </c>
      <c r="AN26">
        <f t="shared" si="16"/>
        <v>6.26</v>
      </c>
      <c r="AO26">
        <f>ROUND(($J26*CIS_Inc_Salary2324*(VLOOKUP($A26,EnrollData2324,'2324 Jun 24 Enroll'!T$1,FALSE)+VLOOKUP($A26,EnrollData2324,'2324 Jun 24 Enroll'!U$1,FALSE))/Apport_613Xpd)*Apport_614Xpd,2)</f>
        <v>70.989999999999995</v>
      </c>
      <c r="AP26">
        <f t="shared" si="17"/>
        <v>12.3</v>
      </c>
      <c r="AQ26">
        <f t="shared" si="19"/>
        <v>30.84</v>
      </c>
      <c r="AR26" s="6">
        <f>ROUND((IF(VLOOKUP($A26,EnrollData2324,'2324 Jun 24 Enroll'!D$1,FALSE)=VLOOKUP($A26,'ESA Calculations 2324'!$A$4:$AE$34,4,FALSE),VLOOKUP($A26,EnrollData2324,'2324 Jun 24 Enroll'!D$1,FALSE),VLOOKUP($A26,'ESA Calculations 2324'!$A$4:$AE$34,4,FALSE))*Apport_M802324+IF(VLOOKUP($A26,EnrollData2324,'2324 Jun 24 Enroll'!M$1,FALSE)=VLOOKUP($A26,'ESA Calculations 2324'!$A$4:$AE$34,18,FALSE),VLOOKUP($A26,EnrollData2324,'2324 Jun 24 Enroll'!M$1,FALSE),VLOOKUP($A26,'ESA Calculations 2324'!$A$4:$AE$34,18,FALSE))*Apport_M802324+IF((VLOOKUP($A26,EnrollData2324,'2324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Enroll'!L$1,FALSE))=VLOOKUP($A26,EnrollData2324,'2324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Enroll'!L$1,FALSE),(VLOOKUP($A26,EnrollData2324,'2324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Enroll'!L$1,FALSE)),(VLOOKUP($A26,EnrollData2324,'2324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Enroll'!L$1,FALSE)))*Apport_M812324)/(IF(VLOOKUP($A26,EnrollData2324,'2324 Jun 24 Enroll'!M$1,FALSE)=VLOOKUP($A26,'ESA Calculations 2324'!$A$4:$AE$34,18,FALSE),VLOOKUP($A26,EnrollData2324,'2324 Jun 24 Enroll'!M$1,FALSE),VLOOKUP($A26,'ESA Calculations 2324'!$A$4:$AE$34,18,FALSE))+IF(VLOOKUP($A26,EnrollData2324,'2324 Jun 24 Enroll'!D$1,FALSE)=VLOOKUP($A26,'ESA Calculations 2324'!$A$4:$AE$34,4,FALSE),VLOOKUP($A26,EnrollData2324,'2324 Jun 24 Enroll'!D$1,FALSE),VLOOKUP($A26,'ESA Calculations 2324'!$A$4:$AE$34,4,FALSE))),2)</f>
        <v>1547.06</v>
      </c>
      <c r="AS26" s="7">
        <f t="shared" si="20"/>
        <v>9511.8499999999985</v>
      </c>
      <c r="AT26" s="6">
        <f>IF(VLOOKUP($A26,EnrollData2324,'2324 Jun 24 Enroll'!AA$1,FALSE)=VLOOKUP($A26,'ESA Calculations 2324'!$A$4:$AE$34,24,FALSE),VLOOKUP($A26,EnrollData2324,'2324 Jun 24 Enroll'!AA$1,FALSE),VLOOKUP($A26,'ESA Calculations 2324'!$A$4:$AE$34,24,FALSE))</f>
        <v>310.10000000000002</v>
      </c>
    </row>
    <row r="27" spans="1:46">
      <c r="A27" s="40" t="s">
        <v>763</v>
      </c>
      <c r="B27" s="40" t="s">
        <v>764</v>
      </c>
      <c r="C27" s="11">
        <f>ROUND((IFERROR((1/IF(VLOOKUP($A27,EnrollData2324,28,FALSE)=VLOOKUP($A27,'ESA Calculations 2324'!$A$4:$AE$34,3,FALSE),VLOOKUP($A27,EnrollData2324,28,FALSE),VLOOKUP($A27,'ESA Calculations 2324'!$A$4:$AE$34,3,FALSE)))*(1+Apport_Z315),0))+Apport_201A2324,6)</f>
        <v>7.3449E-2</v>
      </c>
      <c r="D27">
        <f>ROUND(IF(VLOOKUP($A27,EnrollData2324,'2324 Jun 24 Enroll'!D$1,FALSE)=VLOOKUP($A27,'ESA Calculations 2324'!$A$4:$AE$34,4,FALSE),VLOOKUP($A27,EnrollData2324,'2324 Jun 24 Enroll'!D$1,FALSE),VLOOKUP($A27,'ESA Calculations 2324'!$A$4:$AE$34,4,FALSE))*C27,3)</f>
        <v>0.45100000000000001</v>
      </c>
      <c r="E27">
        <f>ROUND(IF(VLOOKUP($A27,EnrollData2324,'2324 Jun 24 Enroll'!E$1,FALSE)=VLOOKUP($A27,'ESA Calculations 2324'!$A$4:$AE$34,5,FALSE),VLOOKUP($A27,EnrollData2324,'2324 Jun 24 Enroll'!E$1,FALSE),VLOOKUP($A27,'ESA Calculations 2324'!$A$4:$AE$34,5,FALSE))*C27,3)</f>
        <v>2.835</v>
      </c>
      <c r="F27">
        <f>ROUND(IF(VLOOKUP($A27,EnrollData2324,'2324 Jun 24 Enroll'!F$1,FALSE)=VLOOKUP($A27,'ESA Calculations 2324'!$A$4:$AE$34,6,FALSE),VLOOKUP($A27,EnrollData2324,'2324 Jun 24 Enroll'!F$1,FALSE),VLOOKUP($A27,'ESA Calculations 2324'!$A$4:$AE$34,6,FALSE))*Apport_222A2324,3)</f>
        <v>0.28999999999999998</v>
      </c>
      <c r="G27">
        <f>ROUND(IF(VLOOKUP($A27,EnrollData2324,'2324 Jun 24 Enroll'!G$1,FALSE)=VLOOKUP($A27,'ESA Calculations 2324'!$A$4:$AE$34,7,FALSE),VLOOKUP($A27,EnrollData2324,'2324 Jun 24 Enroll'!G$1,FALSE),VLOOKUP($A27,'ESA Calculations 2324'!$A$4:$AE$34,7,FALSE))*Apport_210A2324,3)</f>
        <v>1.0820000000000001</v>
      </c>
      <c r="H27">
        <f>ROUND(IF(VLOOKUP($A27,EnrollData2324,'2324 Jun 24 Enroll'!H$1,FALSE)=VLOOKUP($A27,'ESA Calculations 2324'!$A$4:$AE$34,8,FALSE),VLOOKUP($A27,EnrollData2324,'2324 Jun 24 Enroll'!H$1,FALSE),VLOOKUP($A27,'ESA Calculations 2324'!$A$4:$AE$34,8,FALSE))*Apport_213A2324,3)</f>
        <v>0.436</v>
      </c>
      <c r="I27">
        <f>ROUND(IF(VLOOKUP($A27,EnrollData2324,'2324 Jun 24 Enroll'!I$1,FALSE)+VLOOKUP($A27,EnrollData2324,'2324 Jun 24 Enroll'!M$1,FALSE)-VLOOKUP($A27,EnrollData2324,'2324 Jun 24 Enroll'!J$1,FALSE)=VLOOKUP($A27,'ESA Calculations 2324'!$A$4:$AE$34,9,FALSE)+VLOOKUP($A27,'ESA Calculations 2324'!$A$4:$AE$34,18,FALSE)-VLOOKUP($A27,'ESA Calculations 2324'!$A$4:$AE$34,10,FALSE),VLOOKUP($A27,EnrollData2324,'2324 Jun 24 Enroll'!I$1,FALSE)+VLOOKUP($A27,EnrollData2324,'2324 Jun 24 Enroll'!M$1,FALSE)-VLOOKUP($A27,EnrollData2324,'2324 Jun 24 Enroll'!J$1,FALSE),VLOOKUP($A27,'ESA Calculations 2324'!$A$4:$AE$34,9,FALSE)+VLOOKUP($A27,'ESA Calculations 2324'!$A$4:$AE$34,18,FALSE)-VLOOKUP($A27,'ESA Calculations 2324'!$A$4:$AE$34,10,FALSE))*Apport_216A2324,3)</f>
        <v>0</v>
      </c>
      <c r="J27">
        <f>ROUND(SUM(D27:I27)/IF(VLOOKUP($A27,EnrollData2324,'2324 Jun 24 Enroll'!M$1,FALSE)+VLOOKUP($A27,EnrollData2324,'2324 Jun 24 Enroll'!D$1,FALSE)=VLOOKUP($A27,'ESA Calculations 2324'!$A$4:$AE$34,18,FALSE)+VLOOKUP($A27,'ESA Calculations 2324'!$A$4:$AE$34,4,FALSE),VLOOKUP($A27,EnrollData2324,'2324 Jun 24 Enroll'!M$1,FALSE)+VLOOKUP($A27,EnrollData2324,'2324 Jun 24 Enroll'!D$1,FALSE),VLOOKUP($A27,'ESA Calculations 2324'!$A$4:$AE$34,18,FALSE)+VLOOKUP($A27,'ESA Calculations 2324'!$A$4:$AE$34,4,FALSE)),5)</f>
        <v>6.2019999999999999E-2</v>
      </c>
      <c r="K27" s="11">
        <f t="shared" si="7"/>
        <v>4.365E-3</v>
      </c>
      <c r="L27">
        <f>ROUND(IF(VLOOKUP($A27,EnrollData2324,'2324 Jun 24 Enroll'!D$1,FALSE)=VLOOKUP($A27,'ESA Calculations 2324'!$A$4:$AE$34,4,FALSE),VLOOKUP($A27,EnrollData2324,'2324 Jun 24 Enroll'!D$1,FALSE),VLOOKUP($A27,'ESA Calculations 2324'!$A$4:$AE$34,4,FALSE))*K27,3)</f>
        <v>2.7E-2</v>
      </c>
      <c r="M27">
        <f>ROUND(IF(VLOOKUP($A27,EnrollData2324,'2324 Jun 24 Enroll'!E$1,FALSE)=VLOOKUP($A27,'ESA Calculations 2324'!$A$4:$AE$34,5,FALSE),VLOOKUP($A27,EnrollData2324,'2324 Jun 24 Enroll'!E$1,FALSE),VLOOKUP($A27,'ESA Calculations 2324'!$A$4:$AE$34,5,FALSE))*K27,3)</f>
        <v>0.16800000000000001</v>
      </c>
      <c r="N27">
        <f>ROUND(IF(VLOOKUP($A27,EnrollData2324,'2324 Jun 24 Enroll'!F$1,FALSE)=VLOOKUP($A27,'ESA Calculations 2324'!$A$4:$AE$34,6,FALSE),VLOOKUP($A27,EnrollData2324,'2324 Jun 24 Enroll'!F$1,FALSE),VLOOKUP($A27,'ESA Calculations 2324'!$A$4:$AE$34,6,FALSE))*Apport_223A2324,3)</f>
        <v>2.4E-2</v>
      </c>
      <c r="O27">
        <f>ROUND(IF(VLOOKUP($A27,EnrollData2324,'2324 Jun 24 Enroll'!G$1,FALSE)=VLOOKUP($A27,'ESA Calculations 2324'!$A$4:$AE$34,7,FALSE),VLOOKUP($A27,EnrollData2324,'2324 Jun 24 Enroll'!G$1,FALSE),VLOOKUP($A27,'ESA Calculations 2324'!$A$4:$AE$34,7,FALSE))*Apport_211A2324,3)</f>
        <v>0.09</v>
      </c>
      <c r="P27">
        <f>ROUND(IF(VLOOKUP($A27,EnrollData2324,'2324 Jun 24 Enroll'!H$1,FALSE)=VLOOKUP($A27,'ESA Calculations 2324'!$A$4:$AE$34,8,FALSE),VLOOKUP($A27,EnrollData2324,'2324 Jun 24 Enroll'!H$1,FALSE),VLOOKUP($A27,'ESA Calculations 2324'!$A$4:$AE$34,8,FALSE))*Apport_214A2324,3)</f>
        <v>3.5999999999999997E-2</v>
      </c>
      <c r="Q27">
        <f>ROUND(IF(VLOOKUP($A27,EnrollData2324,'2324 Jun 24 Enroll'!I$1,FALSE)+VLOOKUP($A27,EnrollData2324,'2324 Jun 24 Enroll'!M$1,FALSE)-VLOOKUP($A27,EnrollData2324,'2324 Jun 24 Enroll'!J$1,FALSE)=VLOOKUP($A27,'ESA Calculations 2324'!$A$4:$AE$34,9,FALSE)+VLOOKUP($A27,'ESA Calculations 2324'!$A$4:$AE$34,18,FALSE)-VLOOKUP($A27,'ESA Calculations 2324'!$A$4:$AE$34,10,FALSE),VLOOKUP($A27,EnrollData2324,'2324 Jun 24 Enroll'!I$1,FALSE)+VLOOKUP($A27,EnrollData2324,'2324 Jun 24 Enroll'!M$1,FALSE)-VLOOKUP($A27,EnrollData2324,'2324 Jun 24 Enroll'!J$1,FALSE),VLOOKUP($A27,'ESA Calculations 2324'!$A$4:$AE$34,9,FALSE)+VLOOKUP($A27,'ESA Calculations 2324'!$A$4:$AE$34,18,FALSE)-VLOOKUP($A27,'ESA Calculations 2324'!$A$4:$AE$34,10,FALSE))*Apport_217A2324,3)</f>
        <v>0</v>
      </c>
      <c r="R27">
        <f>ROUND(SUM(L27:Q27)/IF(VLOOKUP($A27,EnrollData2324,'2324 Jun 24 Enroll'!M$1,FALSE)+VLOOKUP($A27,EnrollData2324,'2324 Jun 24 Enroll'!D$1,FALSE)=VLOOKUP($A27,'ESA Calculations 2324'!$A$4:$AE$34,18,FALSE)+VLOOKUP($A27,'ESA Calculations 2324'!$A$4:$AE$34,4,FALSE),VLOOKUP($A27,EnrollData2324,'2324 Jun 24 Enroll'!M$1,FALSE)+VLOOKUP($A27,EnrollData2324,'2324 Jun 24 Enroll'!D$1,FALSE),VLOOKUP($A27,'ESA Calculations 2324'!$A$4:$AE$34,18,FALSE)+VLOOKUP($A27,'ESA Calculations 2324'!$A$4:$AE$34,4,FALSE)),5)</f>
        <v>4.1999999999999997E-3</v>
      </c>
      <c r="S27" s="11">
        <f t="shared" si="8"/>
        <v>1.8294500000000002E-2</v>
      </c>
      <c r="T27">
        <f>ROUND(IF(VLOOKUP($A27,EnrollData2324,'2324 Jun 24 Enroll'!D$1,FALSE)=VLOOKUP($A27,'ESA Calculations 2324'!$A$4:$AE$34,4,FALSE),VLOOKUP($A27,EnrollData2324,'2324 Jun 24 Enroll'!D$1,FALSE),VLOOKUP($A27,'ESA Calculations 2324'!$A$4:$AE$34,4,FALSE))*S27,3)</f>
        <v>0.112</v>
      </c>
      <c r="U27">
        <f>ROUND(IF(VLOOKUP($A27,EnrollData2324,'2324 Jun 24 Enroll'!E$1,FALSE)=VLOOKUP($A27,'ESA Calculations 2324'!$A$4:$AE$34,5,FALSE),VLOOKUP($A27,EnrollData2324,'2324 Jun 24 Enroll'!E$1,FALSE),VLOOKUP($A27,'ESA Calculations 2324'!$A$4:$AE$34,5,FALSE))*S27,3)</f>
        <v>0.70599999999999996</v>
      </c>
      <c r="V27">
        <f>ROUND(IF(VLOOKUP($A27,EnrollData2324,'2324 Jun 24 Enroll'!F$1,FALSE)=VLOOKUP($A27,'ESA Calculations 2324'!$A$4:$AE$34,6,FALSE),VLOOKUP($A27,EnrollData2324,'2324 Jun 24 Enroll'!F$1,FALSE),VLOOKUP($A27,'ESA Calculations 2324'!$A$4:$AE$34,6,FALSE))*Apport_224A2324,3)</f>
        <v>0.104</v>
      </c>
      <c r="W27">
        <f>ROUND(IF(VLOOKUP($A27,EnrollData2324,'2324 Jun 24 Enroll'!G$1,FALSE)=VLOOKUP($A27,'ESA Calculations 2324'!$A$4:$AE$34,7,FALSE),VLOOKUP($A27,EnrollData2324,'2324 Jun 24 Enroll'!G$1,FALSE),VLOOKUP($A27,'ESA Calculations 2324'!$A$4:$AE$34,7,FALSE))*Apport_212A2324,3)</f>
        <v>0.38800000000000001</v>
      </c>
      <c r="X27">
        <f>ROUND(IF(VLOOKUP($A27,EnrollData2324,'2324 Jun 24 Enroll'!H$1,FALSE)=VLOOKUP($A27,'ESA Calculations 2324'!$A$4:$AE$34,8,FALSE),VLOOKUP($A27,EnrollData2324,'2324 Jun 24 Enroll'!H$1,FALSE),VLOOKUP($A27,'ESA Calculations 2324'!$A$4:$AE$34,8,FALSE))*Apport_215A2324,3)</f>
        <v>0.154</v>
      </c>
      <c r="Y27">
        <f>ROUND(IF(VLOOKUP($A27,EnrollData2324,'2324 Jun 24 Enroll'!I$1,FALSE)+VLOOKUP($A27,EnrollData2324,'2324 Jun 24 Enroll'!M$1,FALSE)-VLOOKUP($A27,EnrollData2324,'2324 Jun 24 Enroll'!J$1,FALSE)=VLOOKUP($A27,'ESA Calculations 2324'!$A$4:$AE$34,9,FALSE)+VLOOKUP($A27,'ESA Calculations 2324'!$A$4:$AE$34,18,FALSE)-VLOOKUP($A27,'ESA Calculations 2324'!$A$4:$AE$34,10,FALSE),VLOOKUP($A27,EnrollData2324,'2324 Jun 24 Enroll'!I$1,FALSE)+VLOOKUP($A27,EnrollData2324,'2324 Jun 24 Enroll'!M$1,FALSE)-VLOOKUP($A27,EnrollData2324,'2324 Jun 24 Enroll'!J$1,FALSE),VLOOKUP($A27,'ESA Calculations 2324'!$A$4:$AE$34,9,FALSE)+VLOOKUP($A27,'ESA Calculations 2324'!$A$4:$AE$34,18,FALSE)-VLOOKUP($A27,'ESA Calculations 2324'!$A$4:$AE$34,10,FALSE))*Apport_218A2324,3)</f>
        <v>0</v>
      </c>
      <c r="Z27">
        <f>ROUND(SUM(T27:Y27)/IF(VLOOKUP($A27,EnrollData2324,'2324 Jun 24 Enroll'!M$1,FALSE)+VLOOKUP($A27,EnrollData2324,'2324 Jun 24 Enroll'!D$1,FALSE)=VLOOKUP($A27,'ESA Calculations 2324'!$A$4:$AE$34,18,FALSE)+VLOOKUP($A27,'ESA Calculations 2324'!$A$4:$AE$34,4,FALSE),VLOOKUP($A27,EnrollData2324,'2324 Jun 24 Enroll'!M$1,FALSE)+VLOOKUP($A27,EnrollData2324,'2324 Jun 24 Enroll'!D$1,FALSE),VLOOKUP($A27,'ESA Calculations 2324'!$A$4:$AE$34,18,FALSE)+VLOOKUP($A27,'ESA Calculations 2324'!$A$4:$AE$34,4,FALSE)),5)</f>
        <v>1.7819999999999999E-2</v>
      </c>
      <c r="AA27" s="6">
        <f>ROUND($J27*CIS_Base_Salary2324*VLOOKUP($A27,EnrollData2324,'2324 Jun 24 Enroll'!S$1,FALSE),2)</f>
        <v>4781.2299999999996</v>
      </c>
      <c r="AB27" s="6">
        <f>ROUND($J27*CIS_Inc_Salary2324*(VLOOKUP($A27,EnrollData2324,'2324 Jun 24 Enroll'!T$1,FALSE)+VLOOKUP($A27,EnrollData2324,'2324 Jun 24 Enroll'!U$1,FALSE)),2)-AA27</f>
        <v>176.91000000000076</v>
      </c>
      <c r="AC27" s="6">
        <f>ROUND($R27*CAS_Base_Salary2324*VLOOKUP($A27,EnrollData2324,'2324 Jun 24 Enroll'!S$1,FALSE),2)</f>
        <v>480.62</v>
      </c>
      <c r="AD27" s="6">
        <f>ROUND($R27*CAS_Inc_Salary2324*VLOOKUP($A27,EnrollData2324,'2324 Jun 24 Enroll'!T$1,FALSE),2)-AC27</f>
        <v>17.779999999999973</v>
      </c>
      <c r="AE27" s="6">
        <f>ROUND($Z27*CLS_Base_Salary2324*VLOOKUP($A27,EnrollData2324,'2324 Jun 24 Enroll'!S$1,FALSE),2)</f>
        <v>985.51</v>
      </c>
      <c r="AF27" s="6">
        <f>ROUND($Z27*CLS_Inc_Salary2324*VLOOKUP($A27,EnrollData2324,'2324 Jun 24 Enroll'!T$1,FALSE),2)-AE27</f>
        <v>36.450000000000045</v>
      </c>
      <c r="AG27">
        <f t="shared" si="9"/>
        <v>815.3</v>
      </c>
      <c r="AH27" s="69">
        <f t="shared" si="10"/>
        <v>76.290000000000077</v>
      </c>
      <c r="AI27">
        <f t="shared" si="11"/>
        <v>219.4</v>
      </c>
      <c r="AJ27">
        <f t="shared" si="12"/>
        <v>116.97</v>
      </c>
      <c r="AK27">
        <f t="shared" si="13"/>
        <v>945.55</v>
      </c>
      <c r="AL27">
        <f t="shared" si="14"/>
        <v>33.74</v>
      </c>
      <c r="AM27">
        <f t="shared" si="15"/>
        <v>217.4</v>
      </c>
      <c r="AN27">
        <f t="shared" si="16"/>
        <v>6.77</v>
      </c>
      <c r="AO27">
        <f>ROUND(($J27*CIS_Inc_Salary2324*(VLOOKUP($A27,EnrollData2324,'2324 Jun 24 Enroll'!T$1,FALSE)+VLOOKUP($A27,EnrollData2324,'2324 Jun 24 Enroll'!U$1,FALSE))/Apport_613Xpd)*Apport_614Xpd,2)</f>
        <v>82.64</v>
      </c>
      <c r="AP27">
        <f t="shared" si="17"/>
        <v>14.32</v>
      </c>
      <c r="AQ27">
        <f t="shared" si="19"/>
        <v>34.549999999999997</v>
      </c>
      <c r="AR27" s="6">
        <f>ROUND((IF(VLOOKUP($A27,EnrollData2324,'2324 Jun 24 Enroll'!D$1,FALSE)=VLOOKUP($A27,'ESA Calculations 2324'!$A$4:$AE$34,4,FALSE),VLOOKUP($A27,EnrollData2324,'2324 Jun 24 Enroll'!D$1,FALSE),VLOOKUP($A27,'ESA Calculations 2324'!$A$4:$AE$34,4,FALSE))*Apport_M802324+IF(VLOOKUP($A27,EnrollData2324,'2324 Jun 24 Enroll'!M$1,FALSE)=VLOOKUP($A27,'ESA Calculations 2324'!$A$4:$AE$34,18,FALSE),VLOOKUP($A27,EnrollData2324,'2324 Jun 24 Enroll'!M$1,FALSE),VLOOKUP($A27,'ESA Calculations 2324'!$A$4:$AE$34,18,FALSE))*Apport_M802324+IF((VLOOKUP($A27,EnrollData2324,'2324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Enroll'!L$1,FALSE))=VLOOKUP($A27,EnrollData2324,'2324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Enroll'!L$1,FALSE),(VLOOKUP($A27,EnrollData2324,'2324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Enroll'!L$1,FALSE)),(VLOOKUP($A27,EnrollData2324,'2324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Enroll'!L$1,FALSE)))*Apport_M812324)/(IF(VLOOKUP($A27,EnrollData2324,'2324 Jun 24 Enroll'!M$1,FALSE)=VLOOKUP($A27,'ESA Calculations 2324'!$A$4:$AE$34,18,FALSE),VLOOKUP($A27,EnrollData2324,'2324 Jun 24 Enroll'!M$1,FALSE),VLOOKUP($A27,'ESA Calculations 2324'!$A$4:$AE$34,18,FALSE))+IF(VLOOKUP($A27,EnrollData2324,'2324 Jun 24 Enroll'!D$1,FALSE)=VLOOKUP($A27,'ESA Calculations 2324'!$A$4:$AE$34,4,FALSE),VLOOKUP($A27,EnrollData2324,'2324 Jun 24 Enroll'!D$1,FALSE),VLOOKUP($A27,'ESA Calculations 2324'!$A$4:$AE$34,4,FALSE))),2)</f>
        <v>1483.44</v>
      </c>
      <c r="AS27" s="7">
        <f t="shared" si="20"/>
        <v>10524.869999999999</v>
      </c>
      <c r="AT27" s="6">
        <f>IF(VLOOKUP($A27,EnrollData2324,'2324 Jun 24 Enroll'!AA$1,FALSE)=VLOOKUP($A27,'ESA Calculations 2324'!$A$4:$AE$34,24,FALSE),VLOOKUP($A27,EnrollData2324,'2324 Jun 24 Enroll'!AA$1,FALSE),VLOOKUP($A27,'ESA Calculations 2324'!$A$4:$AE$34,24,FALSE))</f>
        <v>82.14</v>
      </c>
    </row>
    <row r="28" spans="1:46">
      <c r="A28" s="40" t="s">
        <v>608</v>
      </c>
      <c r="B28" s="40" t="s">
        <v>609</v>
      </c>
      <c r="C28" s="11">
        <f>ROUND((IFERROR((1/IF(VLOOKUP($A28,EnrollData2324,28,FALSE)=VLOOKUP($A28,'ESA Calculations 2324'!$A$4:$AE$34,3,FALSE),VLOOKUP($A28,EnrollData2324,28,FALSE),VLOOKUP($A28,'ESA Calculations 2324'!$A$4:$AE$34,3,FALSE)))*(1+Apport_Z315),0))+Apport_201A2324,6)</f>
        <v>7.3449E-2</v>
      </c>
      <c r="D28">
        <f>ROUND(IF(VLOOKUP($A28,EnrollData2324,'2324 Jun 24 Enroll'!D$1,FALSE)=VLOOKUP($A28,'ESA Calculations 2324'!$A$4:$AE$34,4,FALSE),VLOOKUP($A28,EnrollData2324,'2324 Jun 24 Enroll'!D$1,FALSE),VLOOKUP($A28,'ESA Calculations 2324'!$A$4:$AE$34,4,FALSE))*C28,3)</f>
        <v>0</v>
      </c>
      <c r="E28">
        <f>ROUND(IF(VLOOKUP($A28,EnrollData2324,'2324 Jun 24 Enroll'!E$1,FALSE)=VLOOKUP($A28,'ESA Calculations 2324'!$A$4:$AE$34,5,FALSE),VLOOKUP($A28,EnrollData2324,'2324 Jun 24 Enroll'!E$1,FALSE),VLOOKUP($A28,'ESA Calculations 2324'!$A$4:$AE$34,5,FALSE))*C28,3)</f>
        <v>2.3650000000000002</v>
      </c>
      <c r="F28">
        <f>ROUND(IF(VLOOKUP($A28,EnrollData2324,'2324 Jun 24 Enroll'!F$1,FALSE)=VLOOKUP($A28,'ESA Calculations 2324'!$A$4:$AE$34,6,FALSE),VLOOKUP($A28,EnrollData2324,'2324 Jun 24 Enroll'!F$1,FALSE),VLOOKUP($A28,'ESA Calculations 2324'!$A$4:$AE$34,6,FALSE))*Apport_222A2324,3)</f>
        <v>0.35199999999999998</v>
      </c>
      <c r="G28">
        <f>ROUND(IF(VLOOKUP($A28,EnrollData2324,'2324 Jun 24 Enroll'!G$1,FALSE)=VLOOKUP($A28,'ESA Calculations 2324'!$A$4:$AE$34,7,FALSE),VLOOKUP($A28,EnrollData2324,'2324 Jun 24 Enroll'!G$1,FALSE),VLOOKUP($A28,'ESA Calculations 2324'!$A$4:$AE$34,7,FALSE))*Apport_210A2324,3)</f>
        <v>0.74399999999999999</v>
      </c>
      <c r="H28">
        <f>ROUND(IF(VLOOKUP($A28,EnrollData2324,'2324 Jun 24 Enroll'!H$1,FALSE)=VLOOKUP($A28,'ESA Calculations 2324'!$A$4:$AE$34,8,FALSE),VLOOKUP($A28,EnrollData2324,'2324 Jun 24 Enroll'!H$1,FALSE),VLOOKUP($A28,'ESA Calculations 2324'!$A$4:$AE$34,8,FALSE))*Apport_213A2324,3)</f>
        <v>0.53800000000000003</v>
      </c>
      <c r="I28">
        <f>ROUND(IF(VLOOKUP($A28,EnrollData2324,'2324 Jun 24 Enroll'!I$1,FALSE)+VLOOKUP($A28,EnrollData2324,'2324 Jun 24 Enroll'!M$1,FALSE)-VLOOKUP($A28,EnrollData2324,'2324 Jun 24 Enroll'!J$1,FALSE)=VLOOKUP($A28,'ESA Calculations 2324'!$A$4:$AE$34,9,FALSE)+VLOOKUP($A28,'ESA Calculations 2324'!$A$4:$AE$34,18,FALSE)-VLOOKUP($A28,'ESA Calculations 2324'!$A$4:$AE$34,10,FALSE),VLOOKUP($A28,EnrollData2324,'2324 Jun 24 Enroll'!I$1,FALSE)+VLOOKUP($A28,EnrollData2324,'2324 Jun 24 Enroll'!M$1,FALSE)-VLOOKUP($A28,EnrollData2324,'2324 Jun 24 Enroll'!J$1,FALSE),VLOOKUP($A28,'ESA Calculations 2324'!$A$4:$AE$34,9,FALSE)+VLOOKUP($A28,'ESA Calculations 2324'!$A$4:$AE$34,18,FALSE)-VLOOKUP($A28,'ESA Calculations 2324'!$A$4:$AE$34,10,FALSE))*Apport_216A2324,3)</f>
        <v>0</v>
      </c>
      <c r="J28">
        <f>ROUND(SUM(D28:I28)/IF(VLOOKUP($A28,EnrollData2324,'2324 Jun 24 Enroll'!M$1,FALSE)+VLOOKUP($A28,EnrollData2324,'2324 Jun 24 Enroll'!D$1,FALSE)=VLOOKUP($A28,'ESA Calculations 2324'!$A$4:$AE$34,18,FALSE)+VLOOKUP($A28,'ESA Calculations 2324'!$A$4:$AE$34,4,FALSE),VLOOKUP($A28,EnrollData2324,'2324 Jun 24 Enroll'!M$1,FALSE)+VLOOKUP($A28,EnrollData2324,'2324 Jun 24 Enroll'!D$1,FALSE),VLOOKUP($A28,'ESA Calculations 2324'!$A$4:$AE$34,18,FALSE)+VLOOKUP($A28,'ESA Calculations 2324'!$A$4:$AE$34,4,FALSE)),5)</f>
        <v>6.0589999999999998E-2</v>
      </c>
      <c r="K28" s="11">
        <f t="shared" si="7"/>
        <v>4.365E-3</v>
      </c>
      <c r="L28">
        <f>ROUND(IF(VLOOKUP($A28,EnrollData2324,'2324 Jun 24 Enroll'!D$1,FALSE)=VLOOKUP($A28,'ESA Calculations 2324'!$A$4:$AE$34,4,FALSE),VLOOKUP($A28,EnrollData2324,'2324 Jun 24 Enroll'!D$1,FALSE),VLOOKUP($A28,'ESA Calculations 2324'!$A$4:$AE$34,4,FALSE))*K28,3)</f>
        <v>0</v>
      </c>
      <c r="M28">
        <f>ROUND(IF(VLOOKUP($A28,EnrollData2324,'2324 Jun 24 Enroll'!E$1,FALSE)=VLOOKUP($A28,'ESA Calculations 2324'!$A$4:$AE$34,5,FALSE),VLOOKUP($A28,EnrollData2324,'2324 Jun 24 Enroll'!E$1,FALSE),VLOOKUP($A28,'ESA Calculations 2324'!$A$4:$AE$34,5,FALSE))*K28,3)</f>
        <v>0.14099999999999999</v>
      </c>
      <c r="N28">
        <f>ROUND(IF(VLOOKUP($A28,EnrollData2324,'2324 Jun 24 Enroll'!F$1,FALSE)=VLOOKUP($A28,'ESA Calculations 2324'!$A$4:$AE$34,6,FALSE),VLOOKUP($A28,EnrollData2324,'2324 Jun 24 Enroll'!F$1,FALSE),VLOOKUP($A28,'ESA Calculations 2324'!$A$4:$AE$34,6,FALSE))*Apport_223A2324,3)</f>
        <v>2.9000000000000001E-2</v>
      </c>
      <c r="O28">
        <f>ROUND(IF(VLOOKUP($A28,EnrollData2324,'2324 Jun 24 Enroll'!G$1,FALSE)=VLOOKUP($A28,'ESA Calculations 2324'!$A$4:$AE$34,7,FALSE),VLOOKUP($A28,EnrollData2324,'2324 Jun 24 Enroll'!G$1,FALSE),VLOOKUP($A28,'ESA Calculations 2324'!$A$4:$AE$34,7,FALSE))*Apport_211A2324,3)</f>
        <v>6.2E-2</v>
      </c>
      <c r="P28">
        <f>ROUND(IF(VLOOKUP($A28,EnrollData2324,'2324 Jun 24 Enroll'!H$1,FALSE)=VLOOKUP($A28,'ESA Calculations 2324'!$A$4:$AE$34,8,FALSE),VLOOKUP($A28,EnrollData2324,'2324 Jun 24 Enroll'!H$1,FALSE),VLOOKUP($A28,'ESA Calculations 2324'!$A$4:$AE$34,8,FALSE))*Apport_214A2324,3)</f>
        <v>4.4999999999999998E-2</v>
      </c>
      <c r="Q28">
        <f>ROUND(IF(VLOOKUP($A28,EnrollData2324,'2324 Jun 24 Enroll'!I$1,FALSE)+VLOOKUP($A28,EnrollData2324,'2324 Jun 24 Enroll'!M$1,FALSE)-VLOOKUP($A28,EnrollData2324,'2324 Jun 24 Enroll'!J$1,FALSE)=VLOOKUP($A28,'ESA Calculations 2324'!$A$4:$AE$34,9,FALSE)+VLOOKUP($A28,'ESA Calculations 2324'!$A$4:$AE$34,18,FALSE)-VLOOKUP($A28,'ESA Calculations 2324'!$A$4:$AE$34,10,FALSE),VLOOKUP($A28,EnrollData2324,'2324 Jun 24 Enroll'!I$1,FALSE)+VLOOKUP($A28,EnrollData2324,'2324 Jun 24 Enroll'!M$1,FALSE)-VLOOKUP($A28,EnrollData2324,'2324 Jun 24 Enroll'!J$1,FALSE),VLOOKUP($A28,'ESA Calculations 2324'!$A$4:$AE$34,9,FALSE)+VLOOKUP($A28,'ESA Calculations 2324'!$A$4:$AE$34,18,FALSE)-VLOOKUP($A28,'ESA Calculations 2324'!$A$4:$AE$34,10,FALSE))*Apport_217A2324,3)</f>
        <v>0</v>
      </c>
      <c r="R28">
        <f>ROUND(SUM(L28:Q28)/IF(VLOOKUP($A28,EnrollData2324,'2324 Jun 24 Enroll'!M$1,FALSE)+VLOOKUP($A28,EnrollData2324,'2324 Jun 24 Enroll'!D$1,FALSE)=VLOOKUP($A28,'ESA Calculations 2324'!$A$4:$AE$34,18,FALSE)+VLOOKUP($A28,'ESA Calculations 2324'!$A$4:$AE$34,4,FALSE),VLOOKUP($A28,EnrollData2324,'2324 Jun 24 Enroll'!M$1,FALSE)+VLOOKUP($A28,EnrollData2324,'2324 Jun 24 Enroll'!D$1,FALSE),VLOOKUP($A28,'ESA Calculations 2324'!$A$4:$AE$34,18,FALSE)+VLOOKUP($A28,'ESA Calculations 2324'!$A$4:$AE$34,4,FALSE)),5)</f>
        <v>4.1999999999999997E-3</v>
      </c>
      <c r="S28" s="11">
        <f t="shared" si="8"/>
        <v>1.8294500000000002E-2</v>
      </c>
      <c r="T28">
        <f>ROUND(IF(VLOOKUP($A28,EnrollData2324,'2324 Jun 24 Enroll'!D$1,FALSE)=VLOOKUP($A28,'ESA Calculations 2324'!$A$4:$AE$34,4,FALSE),VLOOKUP($A28,EnrollData2324,'2324 Jun 24 Enroll'!D$1,FALSE),VLOOKUP($A28,'ESA Calculations 2324'!$A$4:$AE$34,4,FALSE))*S28,3)</f>
        <v>0</v>
      </c>
      <c r="U28">
        <f>ROUND(IF(VLOOKUP($A28,EnrollData2324,'2324 Jun 24 Enroll'!E$1,FALSE)=VLOOKUP($A28,'ESA Calculations 2324'!$A$4:$AE$34,5,FALSE),VLOOKUP($A28,EnrollData2324,'2324 Jun 24 Enroll'!E$1,FALSE),VLOOKUP($A28,'ESA Calculations 2324'!$A$4:$AE$34,5,FALSE))*S28,3)</f>
        <v>0.58899999999999997</v>
      </c>
      <c r="V28">
        <f>ROUND(IF(VLOOKUP($A28,EnrollData2324,'2324 Jun 24 Enroll'!F$1,FALSE)=VLOOKUP($A28,'ESA Calculations 2324'!$A$4:$AE$34,6,FALSE),VLOOKUP($A28,EnrollData2324,'2324 Jun 24 Enroll'!F$1,FALSE),VLOOKUP($A28,'ESA Calculations 2324'!$A$4:$AE$34,6,FALSE))*Apport_224A2324,3)</f>
        <v>0.126</v>
      </c>
      <c r="W28">
        <f>ROUND(IF(VLOOKUP($A28,EnrollData2324,'2324 Jun 24 Enroll'!G$1,FALSE)=VLOOKUP($A28,'ESA Calculations 2324'!$A$4:$AE$34,7,FALSE),VLOOKUP($A28,EnrollData2324,'2324 Jun 24 Enroll'!G$1,FALSE),VLOOKUP($A28,'ESA Calculations 2324'!$A$4:$AE$34,7,FALSE))*Apport_212A2324,3)</f>
        <v>0.26600000000000001</v>
      </c>
      <c r="X28">
        <f>ROUND(IF(VLOOKUP($A28,EnrollData2324,'2324 Jun 24 Enroll'!H$1,FALSE)=VLOOKUP($A28,'ESA Calculations 2324'!$A$4:$AE$34,8,FALSE),VLOOKUP($A28,EnrollData2324,'2324 Jun 24 Enroll'!H$1,FALSE),VLOOKUP($A28,'ESA Calculations 2324'!$A$4:$AE$34,8,FALSE))*Apport_215A2324,3)</f>
        <v>0.19</v>
      </c>
      <c r="Y28">
        <f>ROUND(IF(VLOOKUP($A28,EnrollData2324,'2324 Jun 24 Enroll'!I$1,FALSE)+VLOOKUP($A28,EnrollData2324,'2324 Jun 24 Enroll'!M$1,FALSE)-VLOOKUP($A28,EnrollData2324,'2324 Jun 24 Enroll'!J$1,FALSE)=VLOOKUP($A28,'ESA Calculations 2324'!$A$4:$AE$34,9,FALSE)+VLOOKUP($A28,'ESA Calculations 2324'!$A$4:$AE$34,18,FALSE)-VLOOKUP($A28,'ESA Calculations 2324'!$A$4:$AE$34,10,FALSE),VLOOKUP($A28,EnrollData2324,'2324 Jun 24 Enroll'!I$1,FALSE)+VLOOKUP($A28,EnrollData2324,'2324 Jun 24 Enroll'!M$1,FALSE)-VLOOKUP($A28,EnrollData2324,'2324 Jun 24 Enroll'!J$1,FALSE),VLOOKUP($A28,'ESA Calculations 2324'!$A$4:$AE$34,9,FALSE)+VLOOKUP($A28,'ESA Calculations 2324'!$A$4:$AE$34,18,FALSE)-VLOOKUP($A28,'ESA Calculations 2324'!$A$4:$AE$34,10,FALSE))*Apport_218A2324,3)</f>
        <v>0</v>
      </c>
      <c r="Z28">
        <f>ROUND(SUM(T28:Y28)/IF(VLOOKUP($A28,EnrollData2324,'2324 Jun 24 Enroll'!M$1,FALSE)+VLOOKUP($A28,EnrollData2324,'2324 Jun 24 Enroll'!D$1,FALSE)=VLOOKUP($A28,'ESA Calculations 2324'!$A$4:$AE$34,18,FALSE)+VLOOKUP($A28,'ESA Calculations 2324'!$A$4:$AE$34,4,FALSE),VLOOKUP($A28,EnrollData2324,'2324 Jun 24 Enroll'!M$1,FALSE)+VLOOKUP($A28,EnrollData2324,'2324 Jun 24 Enroll'!D$1,FALSE),VLOOKUP($A28,'ESA Calculations 2324'!$A$4:$AE$34,18,FALSE)+VLOOKUP($A28,'ESA Calculations 2324'!$A$4:$AE$34,4,FALSE)),5)</f>
        <v>1.7739999999999999E-2</v>
      </c>
      <c r="AA28" s="6">
        <f>ROUND($J28*CIS_Base_Salary2324*VLOOKUP($A28,EnrollData2324,'2324 Jun 24 Enroll'!S$1,FALSE),2)</f>
        <v>4670.9799999999996</v>
      </c>
      <c r="AB28" s="6">
        <f>ROUND($J28*CIS_Inc_Salary2324*(VLOOKUP($A28,EnrollData2324,'2324 Jun 24 Enroll'!T$1,FALSE)+VLOOKUP($A28,EnrollData2324,'2324 Jun 24 Enroll'!U$1,FALSE)),2)-AA28</f>
        <v>172.84000000000015</v>
      </c>
      <c r="AC28" s="6">
        <f>ROUND($R28*CAS_Base_Salary2324*VLOOKUP($A28,EnrollData2324,'2324 Jun 24 Enroll'!S$1,FALSE),2)</f>
        <v>480.62</v>
      </c>
      <c r="AD28" s="6">
        <f>ROUND($R28*CAS_Inc_Salary2324*VLOOKUP($A28,EnrollData2324,'2324 Jun 24 Enroll'!T$1,FALSE),2)-AC28</f>
        <v>17.779999999999973</v>
      </c>
      <c r="AE28" s="6">
        <f>ROUND($Z28*CLS_Base_Salary2324*VLOOKUP($A28,EnrollData2324,'2324 Jun 24 Enroll'!S$1,FALSE),2)</f>
        <v>981.08</v>
      </c>
      <c r="AF28" s="6">
        <f>ROUND($Z28*CLS_Inc_Salary2324*VLOOKUP($A28,EnrollData2324,'2324 Jun 24 Enroll'!T$1,FALSE),2)-AE28</f>
        <v>36.289999999999964</v>
      </c>
      <c r="AG28">
        <f t="shared" si="9"/>
        <v>797.69</v>
      </c>
      <c r="AH28" s="69">
        <f t="shared" si="10"/>
        <v>74.639999999999986</v>
      </c>
      <c r="AI28">
        <f t="shared" si="11"/>
        <v>218.41</v>
      </c>
      <c r="AJ28">
        <f t="shared" si="12"/>
        <v>116.45000000000002</v>
      </c>
      <c r="AK28">
        <f t="shared" si="13"/>
        <v>925.74</v>
      </c>
      <c r="AL28">
        <f t="shared" si="14"/>
        <v>33.03</v>
      </c>
      <c r="AM28">
        <f t="shared" si="15"/>
        <v>216.43</v>
      </c>
      <c r="AN28">
        <f t="shared" si="16"/>
        <v>6.74</v>
      </c>
      <c r="AO28">
        <f>ROUND(($J28*CIS_Inc_Salary2324*(VLOOKUP($A28,EnrollData2324,'2324 Jun 24 Enroll'!T$1,FALSE)+VLOOKUP($A28,EnrollData2324,'2324 Jun 24 Enroll'!U$1,FALSE))/Apport_613Xpd)*Apport_614Xpd,2)</f>
        <v>80.73</v>
      </c>
      <c r="AP28">
        <f t="shared" si="17"/>
        <v>13.99</v>
      </c>
      <c r="AQ28">
        <f t="shared" si="19"/>
        <v>33.75</v>
      </c>
      <c r="AR28" s="6">
        <f>ROUND((IF(VLOOKUP($A28,EnrollData2324,'2324 Jun 24 Enroll'!D$1,FALSE)=VLOOKUP($A28,'ESA Calculations 2324'!$A$4:$AE$34,4,FALSE),VLOOKUP($A28,EnrollData2324,'2324 Jun 24 Enroll'!D$1,FALSE),VLOOKUP($A28,'ESA Calculations 2324'!$A$4:$AE$34,4,FALSE))*Apport_M802324+IF(VLOOKUP($A28,EnrollData2324,'2324 Jun 24 Enroll'!M$1,FALSE)=VLOOKUP($A28,'ESA Calculations 2324'!$A$4:$AE$34,18,FALSE),VLOOKUP($A28,EnrollData2324,'2324 Jun 24 Enroll'!M$1,FALSE),VLOOKUP($A28,'ESA Calculations 2324'!$A$4:$AE$34,18,FALSE))*Apport_M802324+IF((VLOOKUP($A28,EnrollData2324,'2324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Enroll'!L$1,FALSE))=VLOOKUP($A28,EnrollData2324,'2324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Enroll'!L$1,FALSE),(VLOOKUP($A28,EnrollData2324,'2324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Enroll'!L$1,FALSE)),(VLOOKUP($A28,EnrollData2324,'2324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Enroll'!L$1,FALSE)))*Apport_M812324)/(IF(VLOOKUP($A28,EnrollData2324,'2324 Jun 24 Enroll'!M$1,FALSE)=VLOOKUP($A28,'ESA Calculations 2324'!$A$4:$AE$34,18,FALSE),VLOOKUP($A28,EnrollData2324,'2324 Jun 24 Enroll'!M$1,FALSE),VLOOKUP($A28,'ESA Calculations 2324'!$A$4:$AE$34,18,FALSE))+IF(VLOOKUP($A28,EnrollData2324,'2324 Jun 24 Enroll'!D$1,FALSE)=VLOOKUP($A28,'ESA Calculations 2324'!$A$4:$AE$34,4,FALSE),VLOOKUP($A28,EnrollData2324,'2324 Jun 24 Enroll'!D$1,FALSE),VLOOKUP($A28,'ESA Calculations 2324'!$A$4:$AE$34,4,FALSE))),2)</f>
        <v>1483.44</v>
      </c>
      <c r="AS28" s="7">
        <f t="shared" si="20"/>
        <v>10360.629999999999</v>
      </c>
      <c r="AT28" s="6">
        <f>IF(VLOOKUP($A28,EnrollData2324,'2324 Jun 24 Enroll'!AA$1,FALSE)=VLOOKUP($A28,'ESA Calculations 2324'!$A$4:$AE$34,24,FALSE),VLOOKUP($A28,EnrollData2324,'2324 Jun 24 Enroll'!AA$1,FALSE),VLOOKUP($A28,'ESA Calculations 2324'!$A$4:$AE$34,24,FALSE))</f>
        <v>66</v>
      </c>
    </row>
    <row r="29" spans="1:46">
      <c r="A29" s="40" t="s">
        <v>592</v>
      </c>
      <c r="B29" s="40" t="s">
        <v>593</v>
      </c>
      <c r="C29" s="11">
        <f>ROUND((IFERROR((1/IF(VLOOKUP($A29,EnrollData2324,28,FALSE)=VLOOKUP($A29,'ESA Calculations 2324'!$A$4:$AE$34,3,FALSE),VLOOKUP($A29,EnrollData2324,28,FALSE),VLOOKUP($A29,'ESA Calculations 2324'!$A$4:$AE$34,3,FALSE)))*(1+Apport_Z315),0))+Apport_201A2324,6)</f>
        <v>7.3449E-2</v>
      </c>
      <c r="D29">
        <f>ROUND(IF(VLOOKUP($A29,EnrollData2324,'2324 Jun 24 Enroll'!D$1,FALSE)=VLOOKUP($A29,'ESA Calculations 2324'!$A$4:$AE$34,4,FALSE),VLOOKUP($A29,EnrollData2324,'2324 Jun 24 Enroll'!D$1,FALSE),VLOOKUP($A29,'ESA Calculations 2324'!$A$4:$AE$34,4,FALSE))*C29,3)</f>
        <v>0</v>
      </c>
      <c r="E29">
        <f>ROUND(IF(VLOOKUP($A29,EnrollData2324,'2324 Jun 24 Enroll'!E$1,FALSE)=VLOOKUP($A29,'ESA Calculations 2324'!$A$4:$AE$34,5,FALSE),VLOOKUP($A29,EnrollData2324,'2324 Jun 24 Enroll'!E$1,FALSE),VLOOKUP($A29,'ESA Calculations 2324'!$A$4:$AE$34,5,FALSE))*C29,3)</f>
        <v>1.3959999999999999</v>
      </c>
      <c r="F29">
        <f>ROUND(IF(VLOOKUP($A29,EnrollData2324,'2324 Jun 24 Enroll'!F$1,FALSE)=VLOOKUP($A29,'ESA Calculations 2324'!$A$4:$AE$34,6,FALSE),VLOOKUP($A29,EnrollData2324,'2324 Jun 24 Enroll'!F$1,FALSE),VLOOKUP($A29,'ESA Calculations 2324'!$A$4:$AE$34,6,FALSE))*Apport_222A2324,3)</f>
        <v>0.28999999999999998</v>
      </c>
      <c r="G29">
        <f>ROUND(IF(VLOOKUP($A29,EnrollData2324,'2324 Jun 24 Enroll'!G$1,FALSE)=VLOOKUP($A29,'ESA Calculations 2324'!$A$4:$AE$34,7,FALSE),VLOOKUP($A29,EnrollData2324,'2324 Jun 24 Enroll'!G$1,FALSE),VLOOKUP($A29,'ESA Calculations 2324'!$A$4:$AE$34,7,FALSE))*Apport_210A2324,3)</f>
        <v>0.68600000000000005</v>
      </c>
      <c r="H29">
        <f>ROUND(IF(VLOOKUP($A29,EnrollData2324,'2324 Jun 24 Enroll'!H$1,FALSE)=VLOOKUP($A29,'ESA Calculations 2324'!$A$4:$AE$34,8,FALSE),VLOOKUP($A29,EnrollData2324,'2324 Jun 24 Enroll'!H$1,FALSE),VLOOKUP($A29,'ESA Calculations 2324'!$A$4:$AE$34,8,FALSE))*Apport_213A2324,3)</f>
        <v>0.29599999999999999</v>
      </c>
      <c r="I29">
        <f>ROUND(IF(VLOOKUP($A29,EnrollData2324,'2324 Jun 24 Enroll'!I$1,FALSE)+VLOOKUP($A29,EnrollData2324,'2324 Jun 24 Enroll'!M$1,FALSE)-VLOOKUP($A29,EnrollData2324,'2324 Jun 24 Enroll'!J$1,FALSE)=VLOOKUP($A29,'ESA Calculations 2324'!$A$4:$AE$34,9,FALSE)+VLOOKUP($A29,'ESA Calculations 2324'!$A$4:$AE$34,18,FALSE)-VLOOKUP($A29,'ESA Calculations 2324'!$A$4:$AE$34,10,FALSE),VLOOKUP($A29,EnrollData2324,'2324 Jun 24 Enroll'!I$1,FALSE)+VLOOKUP($A29,EnrollData2324,'2324 Jun 24 Enroll'!M$1,FALSE)-VLOOKUP($A29,EnrollData2324,'2324 Jun 24 Enroll'!J$1,FALSE),VLOOKUP($A29,'ESA Calculations 2324'!$A$4:$AE$34,9,FALSE)+VLOOKUP($A29,'ESA Calculations 2324'!$A$4:$AE$34,18,FALSE)-VLOOKUP($A29,'ESA Calculations 2324'!$A$4:$AE$34,10,FALSE))*Apport_216A2324,3)</f>
        <v>1.125</v>
      </c>
      <c r="J29">
        <f>ROUND(SUM(D29:I29)/IF(VLOOKUP($A29,EnrollData2324,'2324 Jun 24 Enroll'!M$1,FALSE)+VLOOKUP($A29,EnrollData2324,'2324 Jun 24 Enroll'!D$1,FALSE)=VLOOKUP($A29,'ESA Calculations 2324'!$A$4:$AE$34,18,FALSE)+VLOOKUP($A29,'ESA Calculations 2324'!$A$4:$AE$34,4,FALSE),VLOOKUP($A29,EnrollData2324,'2324 Jun 24 Enroll'!M$1,FALSE)+VLOOKUP($A29,EnrollData2324,'2324 Jun 24 Enroll'!D$1,FALSE),VLOOKUP($A29,'ESA Calculations 2324'!$A$4:$AE$34,18,FALSE)+VLOOKUP($A29,'ESA Calculations 2324'!$A$4:$AE$34,4,FALSE)),5)</f>
        <v>5.5989999999999998E-2</v>
      </c>
      <c r="K29" s="11">
        <f t="shared" si="7"/>
        <v>4.365E-3</v>
      </c>
      <c r="L29">
        <f>ROUND(IF(VLOOKUP($A29,EnrollData2324,'2324 Jun 24 Enroll'!D$1,FALSE)=VLOOKUP($A29,'ESA Calculations 2324'!$A$4:$AE$34,4,FALSE),VLOOKUP($A29,EnrollData2324,'2324 Jun 24 Enroll'!D$1,FALSE),VLOOKUP($A29,'ESA Calculations 2324'!$A$4:$AE$34,4,FALSE))*K29,3)</f>
        <v>0</v>
      </c>
      <c r="M29">
        <f>ROUND(IF(VLOOKUP($A29,EnrollData2324,'2324 Jun 24 Enroll'!E$1,FALSE)=VLOOKUP($A29,'ESA Calculations 2324'!$A$4:$AE$34,5,FALSE),VLOOKUP($A29,EnrollData2324,'2324 Jun 24 Enroll'!E$1,FALSE),VLOOKUP($A29,'ESA Calculations 2324'!$A$4:$AE$34,5,FALSE))*K29,3)</f>
        <v>8.3000000000000004E-2</v>
      </c>
      <c r="N29">
        <f>ROUND(IF(VLOOKUP($A29,EnrollData2324,'2324 Jun 24 Enroll'!F$1,FALSE)=VLOOKUP($A29,'ESA Calculations 2324'!$A$4:$AE$34,6,FALSE),VLOOKUP($A29,EnrollData2324,'2324 Jun 24 Enroll'!F$1,FALSE),VLOOKUP($A29,'ESA Calculations 2324'!$A$4:$AE$34,6,FALSE))*Apport_223A2324,3)</f>
        <v>2.4E-2</v>
      </c>
      <c r="O29">
        <f>ROUND(IF(VLOOKUP($A29,EnrollData2324,'2324 Jun 24 Enroll'!G$1,FALSE)=VLOOKUP($A29,'ESA Calculations 2324'!$A$4:$AE$34,7,FALSE),VLOOKUP($A29,EnrollData2324,'2324 Jun 24 Enroll'!G$1,FALSE),VLOOKUP($A29,'ESA Calculations 2324'!$A$4:$AE$34,7,FALSE))*Apport_211A2324,3)</f>
        <v>5.7000000000000002E-2</v>
      </c>
      <c r="P29">
        <f>ROUND(IF(VLOOKUP($A29,EnrollData2324,'2324 Jun 24 Enroll'!H$1,FALSE)=VLOOKUP($A29,'ESA Calculations 2324'!$A$4:$AE$34,8,FALSE),VLOOKUP($A29,EnrollData2324,'2324 Jun 24 Enroll'!H$1,FALSE),VLOOKUP($A29,'ESA Calculations 2324'!$A$4:$AE$34,8,FALSE))*Apport_214A2324,3)</f>
        <v>2.5000000000000001E-2</v>
      </c>
      <c r="Q29">
        <f>ROUND(IF(VLOOKUP($A29,EnrollData2324,'2324 Jun 24 Enroll'!I$1,FALSE)+VLOOKUP($A29,EnrollData2324,'2324 Jun 24 Enroll'!M$1,FALSE)-VLOOKUP($A29,EnrollData2324,'2324 Jun 24 Enroll'!J$1,FALSE)=VLOOKUP($A29,'ESA Calculations 2324'!$A$4:$AE$34,9,FALSE)+VLOOKUP($A29,'ESA Calculations 2324'!$A$4:$AE$34,18,FALSE)-VLOOKUP($A29,'ESA Calculations 2324'!$A$4:$AE$34,10,FALSE),VLOOKUP($A29,EnrollData2324,'2324 Jun 24 Enroll'!I$1,FALSE)+VLOOKUP($A29,EnrollData2324,'2324 Jun 24 Enroll'!M$1,FALSE)-VLOOKUP($A29,EnrollData2324,'2324 Jun 24 Enroll'!J$1,FALSE),VLOOKUP($A29,'ESA Calculations 2324'!$A$4:$AE$34,9,FALSE)+VLOOKUP($A29,'ESA Calculations 2324'!$A$4:$AE$34,18,FALSE)-VLOOKUP($A29,'ESA Calculations 2324'!$A$4:$AE$34,10,FALSE))*Apport_217A2324,3)</f>
        <v>9.0999999999999998E-2</v>
      </c>
      <c r="R29">
        <f>ROUND(SUM(L29:Q29)/IF(VLOOKUP($A29,EnrollData2324,'2324 Jun 24 Enroll'!M$1,FALSE)+VLOOKUP($A29,EnrollData2324,'2324 Jun 24 Enroll'!D$1,FALSE)=VLOOKUP($A29,'ESA Calculations 2324'!$A$4:$AE$34,18,FALSE)+VLOOKUP($A29,'ESA Calculations 2324'!$A$4:$AE$34,4,FALSE),VLOOKUP($A29,EnrollData2324,'2324 Jun 24 Enroll'!M$1,FALSE)+VLOOKUP($A29,EnrollData2324,'2324 Jun 24 Enroll'!D$1,FALSE),VLOOKUP($A29,'ESA Calculations 2324'!$A$4:$AE$34,18,FALSE)+VLOOKUP($A29,'ESA Calculations 2324'!$A$4:$AE$34,4,FALSE)),5)</f>
        <v>4.13E-3</v>
      </c>
      <c r="S29" s="11">
        <f t="shared" si="8"/>
        <v>1.8294500000000002E-2</v>
      </c>
      <c r="T29">
        <f>ROUND(IF(VLOOKUP($A29,EnrollData2324,'2324 Jun 24 Enroll'!D$1,FALSE)=VLOOKUP($A29,'ESA Calculations 2324'!$A$4:$AE$34,4,FALSE),VLOOKUP($A29,EnrollData2324,'2324 Jun 24 Enroll'!D$1,FALSE),VLOOKUP($A29,'ESA Calculations 2324'!$A$4:$AE$34,4,FALSE))*S29,3)</f>
        <v>0</v>
      </c>
      <c r="U29">
        <f>ROUND(IF(VLOOKUP($A29,EnrollData2324,'2324 Jun 24 Enroll'!E$1,FALSE)=VLOOKUP($A29,'ESA Calculations 2324'!$A$4:$AE$34,5,FALSE),VLOOKUP($A29,EnrollData2324,'2324 Jun 24 Enroll'!E$1,FALSE),VLOOKUP($A29,'ESA Calculations 2324'!$A$4:$AE$34,5,FALSE))*S29,3)</f>
        <v>0.34799999999999998</v>
      </c>
      <c r="V29">
        <f>ROUND(IF(VLOOKUP($A29,EnrollData2324,'2324 Jun 24 Enroll'!F$1,FALSE)=VLOOKUP($A29,'ESA Calculations 2324'!$A$4:$AE$34,6,FALSE),VLOOKUP($A29,EnrollData2324,'2324 Jun 24 Enroll'!F$1,FALSE),VLOOKUP($A29,'ESA Calculations 2324'!$A$4:$AE$34,6,FALSE))*Apport_224A2324,3)</f>
        <v>0.104</v>
      </c>
      <c r="W29">
        <f>ROUND(IF(VLOOKUP($A29,EnrollData2324,'2324 Jun 24 Enroll'!G$1,FALSE)=VLOOKUP($A29,'ESA Calculations 2324'!$A$4:$AE$34,7,FALSE),VLOOKUP($A29,EnrollData2324,'2324 Jun 24 Enroll'!G$1,FALSE),VLOOKUP($A29,'ESA Calculations 2324'!$A$4:$AE$34,7,FALSE))*Apport_212A2324,3)</f>
        <v>0.246</v>
      </c>
      <c r="X29">
        <f>ROUND(IF(VLOOKUP($A29,EnrollData2324,'2324 Jun 24 Enroll'!H$1,FALSE)=VLOOKUP($A29,'ESA Calculations 2324'!$A$4:$AE$34,8,FALSE),VLOOKUP($A29,EnrollData2324,'2324 Jun 24 Enroll'!H$1,FALSE),VLOOKUP($A29,'ESA Calculations 2324'!$A$4:$AE$34,8,FALSE))*Apport_215A2324,3)</f>
        <v>0.104</v>
      </c>
      <c r="Y29">
        <f>ROUND(IF(VLOOKUP($A29,EnrollData2324,'2324 Jun 24 Enroll'!I$1,FALSE)+VLOOKUP($A29,EnrollData2324,'2324 Jun 24 Enroll'!M$1,FALSE)-VLOOKUP($A29,EnrollData2324,'2324 Jun 24 Enroll'!J$1,FALSE)=VLOOKUP($A29,'ESA Calculations 2324'!$A$4:$AE$34,9,FALSE)+VLOOKUP($A29,'ESA Calculations 2324'!$A$4:$AE$34,18,FALSE)-VLOOKUP($A29,'ESA Calculations 2324'!$A$4:$AE$34,10,FALSE),VLOOKUP($A29,EnrollData2324,'2324 Jun 24 Enroll'!I$1,FALSE)+VLOOKUP($A29,EnrollData2324,'2324 Jun 24 Enroll'!M$1,FALSE)-VLOOKUP($A29,EnrollData2324,'2324 Jun 24 Enroll'!J$1,FALSE),VLOOKUP($A29,'ESA Calculations 2324'!$A$4:$AE$34,9,FALSE)+VLOOKUP($A29,'ESA Calculations 2324'!$A$4:$AE$34,18,FALSE)-VLOOKUP($A29,'ESA Calculations 2324'!$A$4:$AE$34,10,FALSE))*Apport_218A2324,3)</f>
        <v>0.38500000000000001</v>
      </c>
      <c r="Z29">
        <f>ROUND(SUM(T29:Y29)/IF(VLOOKUP($A29,EnrollData2324,'2324 Jun 24 Enroll'!M$1,FALSE)+VLOOKUP($A29,EnrollData2324,'2324 Jun 24 Enroll'!D$1,FALSE)=VLOOKUP($A29,'ESA Calculations 2324'!$A$4:$AE$34,18,FALSE)+VLOOKUP($A29,'ESA Calculations 2324'!$A$4:$AE$34,4,FALSE),VLOOKUP($A29,EnrollData2324,'2324 Jun 24 Enroll'!M$1,FALSE)+VLOOKUP($A29,EnrollData2324,'2324 Jun 24 Enroll'!D$1,FALSE),VLOOKUP($A29,'ESA Calculations 2324'!$A$4:$AE$34,18,FALSE)+VLOOKUP($A29,'ESA Calculations 2324'!$A$4:$AE$34,4,FALSE)),5)</f>
        <v>1.7520000000000001E-2</v>
      </c>
      <c r="AA29" s="6">
        <f>ROUND($J29*CIS_Base_Salary2324*VLOOKUP($A29,EnrollData2324,'2324 Jun 24 Enroll'!S$1,FALSE),2)</f>
        <v>4072.04</v>
      </c>
      <c r="AB29" s="6">
        <f>ROUND($J29*CIS_Inc_Salary2324*(VLOOKUP($A29,EnrollData2324,'2324 Jun 24 Enroll'!T$1,FALSE)+VLOOKUP($A29,EnrollData2324,'2324 Jun 24 Enroll'!U$1,FALSE)),2)-AA29</f>
        <v>150.67000000000007</v>
      </c>
      <c r="AC29" s="6">
        <f>ROUND($R29*CAS_Base_Salary2324*VLOOKUP($A29,EnrollData2324,'2324 Jun 24 Enroll'!S$1,FALSE),2)</f>
        <v>445.85</v>
      </c>
      <c r="AD29" s="6">
        <f>ROUND($R29*CAS_Inc_Salary2324*VLOOKUP($A29,EnrollData2324,'2324 Jun 24 Enroll'!T$1,FALSE),2)-AC29</f>
        <v>16.5</v>
      </c>
      <c r="AE29" s="6">
        <f>ROUND($Z29*CLS_Base_Salary2324*VLOOKUP($A29,EnrollData2324,'2324 Jun 24 Enroll'!S$1,FALSE),2)</f>
        <v>914.07</v>
      </c>
      <c r="AF29" s="6">
        <f>ROUND($Z29*CLS_Inc_Salary2324*VLOOKUP($A29,EnrollData2324,'2324 Jun 24 Enroll'!T$1,FALSE),2)-AE29</f>
        <v>33.809999999999945</v>
      </c>
      <c r="AG29">
        <f t="shared" si="9"/>
        <v>740.2</v>
      </c>
      <c r="AH29" s="69">
        <f t="shared" si="10"/>
        <v>69.259999999999991</v>
      </c>
      <c r="AI29">
        <f t="shared" si="11"/>
        <v>215.71</v>
      </c>
      <c r="AJ29">
        <f t="shared" si="12"/>
        <v>114.99999999999997</v>
      </c>
      <c r="AK29">
        <f t="shared" si="13"/>
        <v>811.86</v>
      </c>
      <c r="AL29">
        <f t="shared" si="14"/>
        <v>28.97</v>
      </c>
      <c r="AM29">
        <f t="shared" si="15"/>
        <v>201.64</v>
      </c>
      <c r="AN29">
        <f t="shared" si="16"/>
        <v>6.28</v>
      </c>
      <c r="AO29">
        <f>ROUND(($J29*CIS_Inc_Salary2324*(VLOOKUP($A29,EnrollData2324,'2324 Jun 24 Enroll'!T$1,FALSE)+VLOOKUP($A29,EnrollData2324,'2324 Jun 24 Enroll'!U$1,FALSE))/Apport_613Xpd)*Apport_614Xpd,2)</f>
        <v>70.38</v>
      </c>
      <c r="AP29">
        <f t="shared" si="17"/>
        <v>12.2</v>
      </c>
      <c r="AQ29">
        <f t="shared" si="19"/>
        <v>31.19</v>
      </c>
      <c r="AR29" s="6">
        <f>ROUND((IF(VLOOKUP($A29,EnrollData2324,'2324 Jun 24 Enroll'!D$1,FALSE)=VLOOKUP($A29,'ESA Calculations 2324'!$A$4:$AE$34,4,FALSE),VLOOKUP($A29,EnrollData2324,'2324 Jun 24 Enroll'!D$1,FALSE),VLOOKUP($A29,'ESA Calculations 2324'!$A$4:$AE$34,4,FALSE))*Apport_M802324+IF(VLOOKUP($A29,EnrollData2324,'2324 Jun 24 Enroll'!M$1,FALSE)=VLOOKUP($A29,'ESA Calculations 2324'!$A$4:$AE$34,18,FALSE),VLOOKUP($A29,EnrollData2324,'2324 Jun 24 Enroll'!M$1,FALSE),VLOOKUP($A29,'ESA Calculations 2324'!$A$4:$AE$34,18,FALSE))*Apport_M802324+IF((VLOOKUP($A29,EnrollData2324,'2324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Enroll'!L$1,FALSE))=VLOOKUP($A29,EnrollData2324,'2324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Enroll'!L$1,FALSE),(VLOOKUP($A29,EnrollData2324,'2324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Enroll'!L$1,FALSE)),(VLOOKUP($A29,EnrollData2324,'2324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Enroll'!L$1,FALSE)))*Apport_M812324)/(IF(VLOOKUP($A29,EnrollData2324,'2324 Jun 24 Enroll'!M$1,FALSE)=VLOOKUP($A29,'ESA Calculations 2324'!$A$4:$AE$34,18,FALSE),VLOOKUP($A29,EnrollData2324,'2324 Jun 24 Enroll'!M$1,FALSE),VLOOKUP($A29,'ESA Calculations 2324'!$A$4:$AE$34,18,FALSE))+IF(VLOOKUP($A29,EnrollData2324,'2324 Jun 24 Enroll'!D$1,FALSE)=VLOOKUP($A29,'ESA Calculations 2324'!$A$4:$AE$34,4,FALSE),VLOOKUP($A29,EnrollData2324,'2324 Jun 24 Enroll'!D$1,FALSE),VLOOKUP($A29,'ESA Calculations 2324'!$A$4:$AE$34,4,FALSE))),2)</f>
        <v>1549.77</v>
      </c>
      <c r="AS29" s="7">
        <f t="shared" si="20"/>
        <v>9485.4</v>
      </c>
      <c r="AT29" s="6">
        <f>IF(VLOOKUP($A29,EnrollData2324,'2324 Jun 24 Enroll'!AA$1,FALSE)=VLOOKUP($A29,'ESA Calculations 2324'!$A$4:$AE$34,24,FALSE),VLOOKUP($A29,EnrollData2324,'2324 Jun 24 Enroll'!AA$1,FALSE),VLOOKUP($A29,'ESA Calculations 2324'!$A$4:$AE$34,24,FALSE))</f>
        <v>67.739999999999995</v>
      </c>
    </row>
    <row r="30" spans="1:46">
      <c r="A30" s="40" t="s">
        <v>799</v>
      </c>
      <c r="B30" s="40" t="s">
        <v>800</v>
      </c>
      <c r="C30" s="11">
        <f>ROUND((IFERROR((1/IF(VLOOKUP($A30,EnrollData2324,28,FALSE)=VLOOKUP($A30,'ESA Calculations 2324'!$A$4:$AE$34,3,FALSE),VLOOKUP($A30,EnrollData2324,28,FALSE),VLOOKUP($A30,'ESA Calculations 2324'!$A$4:$AE$34,3,FALSE)))*(1+Apport_Z315),0))+Apport_201A2324,6)</f>
        <v>7.3449E-2</v>
      </c>
      <c r="D30">
        <f>ROUND(IF(VLOOKUP($A30,EnrollData2324,'2324 Jun 24 Enroll'!D$1,FALSE)=VLOOKUP($A30,'ESA Calculations 2324'!$A$4:$AE$34,4,FALSE),VLOOKUP($A30,EnrollData2324,'2324 Jun 24 Enroll'!D$1,FALSE),VLOOKUP($A30,'ESA Calculations 2324'!$A$4:$AE$34,4,FALSE))*C30,3)</f>
        <v>2.02</v>
      </c>
      <c r="E30">
        <f>ROUND(IF(VLOOKUP($A30,EnrollData2324,'2324 Jun 24 Enroll'!E$1,FALSE)=VLOOKUP($A30,'ESA Calculations 2324'!$A$4:$AE$34,5,FALSE),VLOOKUP($A30,EnrollData2324,'2324 Jun 24 Enroll'!E$1,FALSE),VLOOKUP($A30,'ESA Calculations 2324'!$A$4:$AE$34,5,FALSE))*C30,3)</f>
        <v>14.414999999999999</v>
      </c>
      <c r="F30">
        <f>ROUND(IF(VLOOKUP($A30,EnrollData2324,'2324 Jun 24 Enroll'!F$1,FALSE)=VLOOKUP($A30,'ESA Calculations 2324'!$A$4:$AE$34,6,FALSE),VLOOKUP($A30,EnrollData2324,'2324 Jun 24 Enroll'!F$1,FALSE),VLOOKUP($A30,'ESA Calculations 2324'!$A$4:$AE$34,6,FALSE))*Apport_222A2324,3)</f>
        <v>2.1840000000000002</v>
      </c>
      <c r="G30">
        <f>ROUND(IF(VLOOKUP($A30,EnrollData2324,'2324 Jun 24 Enroll'!G$1,FALSE)=VLOOKUP($A30,'ESA Calculations 2324'!$A$4:$AE$34,7,FALSE),VLOOKUP($A30,EnrollData2324,'2324 Jun 24 Enroll'!G$1,FALSE),VLOOKUP($A30,'ESA Calculations 2324'!$A$4:$AE$34,7,FALSE))*Apport_210A2324,3)</f>
        <v>6.3449999999999998</v>
      </c>
      <c r="H30">
        <f>ROUND(IF(VLOOKUP($A30,EnrollData2324,'2324 Jun 24 Enroll'!H$1,FALSE)=VLOOKUP($A30,'ESA Calculations 2324'!$A$4:$AE$34,8,FALSE),VLOOKUP($A30,EnrollData2324,'2324 Jun 24 Enroll'!H$1,FALSE),VLOOKUP($A30,'ESA Calculations 2324'!$A$4:$AE$34,8,FALSE))*Apport_213A2324,3)</f>
        <v>6.0609999999999999</v>
      </c>
      <c r="I30">
        <f>ROUND(IF(VLOOKUP($A30,EnrollData2324,'2324 Jun 24 Enroll'!I$1,FALSE)+VLOOKUP($A30,EnrollData2324,'2324 Jun 24 Enroll'!M$1,FALSE)-VLOOKUP($A30,EnrollData2324,'2324 Jun 24 Enroll'!J$1,FALSE)=VLOOKUP($A30,'ESA Calculations 2324'!$A$4:$AE$34,9,FALSE)+VLOOKUP($A30,'ESA Calculations 2324'!$A$4:$AE$34,18,FALSE)-VLOOKUP($A30,'ESA Calculations 2324'!$A$4:$AE$34,10,FALSE),VLOOKUP($A30,EnrollData2324,'2324 Jun 24 Enroll'!I$1,FALSE)+VLOOKUP($A30,EnrollData2324,'2324 Jun 24 Enroll'!M$1,FALSE)-VLOOKUP($A30,EnrollData2324,'2324 Jun 24 Enroll'!J$1,FALSE),VLOOKUP($A30,'ESA Calculations 2324'!$A$4:$AE$34,9,FALSE)+VLOOKUP($A30,'ESA Calculations 2324'!$A$4:$AE$34,18,FALSE)-VLOOKUP($A30,'ESA Calculations 2324'!$A$4:$AE$34,10,FALSE))*Apport_216A2324,3)</f>
        <v>13.468999999999999</v>
      </c>
      <c r="J30">
        <f>ROUND(SUM(D30:I30)/IF(VLOOKUP($A30,EnrollData2324,'2324 Jun 24 Enroll'!M$1,FALSE)+VLOOKUP($A30,EnrollData2324,'2324 Jun 24 Enroll'!D$1,FALSE)=VLOOKUP($A30,'ESA Calculations 2324'!$A$4:$AE$34,18,FALSE)+VLOOKUP($A30,'ESA Calculations 2324'!$A$4:$AE$34,4,FALSE),VLOOKUP($A30,EnrollData2324,'2324 Jun 24 Enroll'!M$1,FALSE)+VLOOKUP($A30,EnrollData2324,'2324 Jun 24 Enroll'!D$1,FALSE),VLOOKUP($A30,'ESA Calculations 2324'!$A$4:$AE$34,18,FALSE)+VLOOKUP($A30,'ESA Calculations 2324'!$A$4:$AE$34,4,FALSE)),5)</f>
        <v>5.602E-2</v>
      </c>
      <c r="K30" s="11">
        <f t="shared" si="7"/>
        <v>4.365E-3</v>
      </c>
      <c r="L30">
        <f>ROUND(IF(VLOOKUP($A30,EnrollData2324,'2324 Jun 24 Enroll'!D$1,FALSE)=VLOOKUP($A30,'ESA Calculations 2324'!$A$4:$AE$34,4,FALSE),VLOOKUP($A30,EnrollData2324,'2324 Jun 24 Enroll'!D$1,FALSE),VLOOKUP($A30,'ESA Calculations 2324'!$A$4:$AE$34,4,FALSE))*K30,3)</f>
        <v>0.12</v>
      </c>
      <c r="M30">
        <f>ROUND(IF(VLOOKUP($A30,EnrollData2324,'2324 Jun 24 Enroll'!E$1,FALSE)=VLOOKUP($A30,'ESA Calculations 2324'!$A$4:$AE$34,5,FALSE),VLOOKUP($A30,EnrollData2324,'2324 Jun 24 Enroll'!E$1,FALSE),VLOOKUP($A30,'ESA Calculations 2324'!$A$4:$AE$34,5,FALSE))*K30,3)</f>
        <v>0.85699999999999998</v>
      </c>
      <c r="N30">
        <f>ROUND(IF(VLOOKUP($A30,EnrollData2324,'2324 Jun 24 Enroll'!F$1,FALSE)=VLOOKUP($A30,'ESA Calculations 2324'!$A$4:$AE$34,6,FALSE),VLOOKUP($A30,EnrollData2324,'2324 Jun 24 Enroll'!F$1,FALSE),VLOOKUP($A30,'ESA Calculations 2324'!$A$4:$AE$34,6,FALSE))*Apport_223A2324,3)</f>
        <v>0.182</v>
      </c>
      <c r="O30">
        <f>ROUND(IF(VLOOKUP($A30,EnrollData2324,'2324 Jun 24 Enroll'!G$1,FALSE)=VLOOKUP($A30,'ESA Calculations 2324'!$A$4:$AE$34,7,FALSE),VLOOKUP($A30,EnrollData2324,'2324 Jun 24 Enroll'!G$1,FALSE),VLOOKUP($A30,'ESA Calculations 2324'!$A$4:$AE$34,7,FALSE))*Apport_211A2324,3)</f>
        <v>0.52900000000000003</v>
      </c>
      <c r="P30">
        <f>ROUND(IF(VLOOKUP($A30,EnrollData2324,'2324 Jun 24 Enroll'!H$1,FALSE)=VLOOKUP($A30,'ESA Calculations 2324'!$A$4:$AE$34,8,FALSE),VLOOKUP($A30,EnrollData2324,'2324 Jun 24 Enroll'!H$1,FALSE),VLOOKUP($A30,'ESA Calculations 2324'!$A$4:$AE$34,8,FALSE))*Apport_214A2324,3)</f>
        <v>0.503</v>
      </c>
      <c r="Q30">
        <f>ROUND(IF(VLOOKUP($A30,EnrollData2324,'2324 Jun 24 Enroll'!I$1,FALSE)+VLOOKUP($A30,EnrollData2324,'2324 Jun 24 Enroll'!M$1,FALSE)-VLOOKUP($A30,EnrollData2324,'2324 Jun 24 Enroll'!J$1,FALSE)=VLOOKUP($A30,'ESA Calculations 2324'!$A$4:$AE$34,9,FALSE)+VLOOKUP($A30,'ESA Calculations 2324'!$A$4:$AE$34,18,FALSE)-VLOOKUP($A30,'ESA Calculations 2324'!$A$4:$AE$34,10,FALSE),VLOOKUP($A30,EnrollData2324,'2324 Jun 24 Enroll'!I$1,FALSE)+VLOOKUP($A30,EnrollData2324,'2324 Jun 24 Enroll'!M$1,FALSE)-VLOOKUP($A30,EnrollData2324,'2324 Jun 24 Enroll'!J$1,FALSE),VLOOKUP($A30,'ESA Calculations 2324'!$A$4:$AE$34,9,FALSE)+VLOOKUP($A30,'ESA Calculations 2324'!$A$4:$AE$34,18,FALSE)-VLOOKUP($A30,'ESA Calculations 2324'!$A$4:$AE$34,10,FALSE))*Apport_217A2324,3)</f>
        <v>1.0880000000000001</v>
      </c>
      <c r="R30">
        <f>ROUND(SUM(L30:Q30)/IF(VLOOKUP($A30,EnrollData2324,'2324 Jun 24 Enroll'!M$1,FALSE)+VLOOKUP($A30,EnrollData2324,'2324 Jun 24 Enroll'!D$1,FALSE)=VLOOKUP($A30,'ESA Calculations 2324'!$A$4:$AE$34,18,FALSE)+VLOOKUP($A30,'ESA Calculations 2324'!$A$4:$AE$34,4,FALSE),VLOOKUP($A30,EnrollData2324,'2324 Jun 24 Enroll'!M$1,FALSE)+VLOOKUP($A30,EnrollData2324,'2324 Jun 24 Enroll'!D$1,FALSE),VLOOKUP($A30,'ESA Calculations 2324'!$A$4:$AE$34,18,FALSE)+VLOOKUP($A30,'ESA Calculations 2324'!$A$4:$AE$34,4,FALSE)),5)</f>
        <v>4.13E-3</v>
      </c>
      <c r="S30" s="11">
        <f t="shared" si="8"/>
        <v>1.8294500000000002E-2</v>
      </c>
      <c r="T30">
        <f>ROUND(IF(VLOOKUP($A30,EnrollData2324,'2324 Jun 24 Enroll'!D$1,FALSE)=VLOOKUP($A30,'ESA Calculations 2324'!$A$4:$AE$34,4,FALSE),VLOOKUP($A30,EnrollData2324,'2324 Jun 24 Enroll'!D$1,FALSE),VLOOKUP($A30,'ESA Calculations 2324'!$A$4:$AE$34,4,FALSE))*S30,3)</f>
        <v>0.503</v>
      </c>
      <c r="U30">
        <f>ROUND(IF(VLOOKUP($A30,EnrollData2324,'2324 Jun 24 Enroll'!E$1,FALSE)=VLOOKUP($A30,'ESA Calculations 2324'!$A$4:$AE$34,5,FALSE),VLOOKUP($A30,EnrollData2324,'2324 Jun 24 Enroll'!E$1,FALSE),VLOOKUP($A30,'ESA Calculations 2324'!$A$4:$AE$34,5,FALSE))*S30,3)</f>
        <v>3.59</v>
      </c>
      <c r="V30">
        <f>ROUND(IF(VLOOKUP($A30,EnrollData2324,'2324 Jun 24 Enroll'!F$1,FALSE)=VLOOKUP($A30,'ESA Calculations 2324'!$A$4:$AE$34,6,FALSE),VLOOKUP($A30,EnrollData2324,'2324 Jun 24 Enroll'!F$1,FALSE),VLOOKUP($A30,'ESA Calculations 2324'!$A$4:$AE$34,6,FALSE))*Apport_224A2324,3)</f>
        <v>0.78200000000000003</v>
      </c>
      <c r="W30">
        <f>ROUND(IF(VLOOKUP($A30,EnrollData2324,'2324 Jun 24 Enroll'!G$1,FALSE)=VLOOKUP($A30,'ESA Calculations 2324'!$A$4:$AE$34,7,FALSE),VLOOKUP($A30,EnrollData2324,'2324 Jun 24 Enroll'!G$1,FALSE),VLOOKUP($A30,'ESA Calculations 2324'!$A$4:$AE$34,7,FALSE))*Apport_212A2324,3)</f>
        <v>2.2730000000000001</v>
      </c>
      <c r="X30">
        <f>ROUND(IF(VLOOKUP($A30,EnrollData2324,'2324 Jun 24 Enroll'!H$1,FALSE)=VLOOKUP($A30,'ESA Calculations 2324'!$A$4:$AE$34,8,FALSE),VLOOKUP($A30,EnrollData2324,'2324 Jun 24 Enroll'!H$1,FALSE),VLOOKUP($A30,'ESA Calculations 2324'!$A$4:$AE$34,8,FALSE))*Apport_215A2324,3)</f>
        <v>2.1389999999999998</v>
      </c>
      <c r="Y30">
        <f>ROUND(IF(VLOOKUP($A30,EnrollData2324,'2324 Jun 24 Enroll'!I$1,FALSE)+VLOOKUP($A30,EnrollData2324,'2324 Jun 24 Enroll'!M$1,FALSE)-VLOOKUP($A30,EnrollData2324,'2324 Jun 24 Enroll'!J$1,FALSE)=VLOOKUP($A30,'ESA Calculations 2324'!$A$4:$AE$34,9,FALSE)+VLOOKUP($A30,'ESA Calculations 2324'!$A$4:$AE$34,18,FALSE)-VLOOKUP($A30,'ESA Calculations 2324'!$A$4:$AE$34,10,FALSE),VLOOKUP($A30,EnrollData2324,'2324 Jun 24 Enroll'!I$1,FALSE)+VLOOKUP($A30,EnrollData2324,'2324 Jun 24 Enroll'!M$1,FALSE)-VLOOKUP($A30,EnrollData2324,'2324 Jun 24 Enroll'!J$1,FALSE),VLOOKUP($A30,'ESA Calculations 2324'!$A$4:$AE$34,9,FALSE)+VLOOKUP($A30,'ESA Calculations 2324'!$A$4:$AE$34,18,FALSE)-VLOOKUP($A30,'ESA Calculations 2324'!$A$4:$AE$34,10,FALSE))*Apport_218A2324,3)</f>
        <v>4.6109999999999998</v>
      </c>
      <c r="Z30">
        <f>ROUND(SUM(T30:Y30)/IF(VLOOKUP($A30,EnrollData2324,'2324 Jun 24 Enroll'!M$1,FALSE)+VLOOKUP($A30,EnrollData2324,'2324 Jun 24 Enroll'!D$1,FALSE)=VLOOKUP($A30,'ESA Calculations 2324'!$A$4:$AE$34,18,FALSE)+VLOOKUP($A30,'ESA Calculations 2324'!$A$4:$AE$34,4,FALSE),VLOOKUP($A30,EnrollData2324,'2324 Jun 24 Enroll'!M$1,FALSE)+VLOOKUP($A30,EnrollData2324,'2324 Jun 24 Enroll'!D$1,FALSE),VLOOKUP($A30,'ESA Calculations 2324'!$A$4:$AE$34,18,FALSE)+VLOOKUP($A30,'ESA Calculations 2324'!$A$4:$AE$34,4,FALSE)),5)</f>
        <v>1.7500000000000002E-2</v>
      </c>
      <c r="AA30" s="6">
        <f>ROUND($J30*CIS_Base_Salary2324*VLOOKUP($A30,EnrollData2324,'2324 Jun 24 Enroll'!S$1,FALSE),2)</f>
        <v>4074.22</v>
      </c>
      <c r="AB30" s="6">
        <f>ROUND($J30*CIS_Inc_Salary2324*(VLOOKUP($A30,EnrollData2324,'2324 Jun 24 Enroll'!T$1,FALSE)+VLOOKUP($A30,EnrollData2324,'2324 Jun 24 Enroll'!U$1,FALSE)),2)-AA30</f>
        <v>150.75000000000045</v>
      </c>
      <c r="AC30" s="6">
        <f>ROUND($R30*CAS_Base_Salary2324*VLOOKUP($A30,EnrollData2324,'2324 Jun 24 Enroll'!S$1,FALSE),2)</f>
        <v>445.85</v>
      </c>
      <c r="AD30" s="6">
        <f>ROUND($R30*CAS_Inc_Salary2324*VLOOKUP($A30,EnrollData2324,'2324 Jun 24 Enroll'!T$1,FALSE),2)-AC30</f>
        <v>16.5</v>
      </c>
      <c r="AE30" s="6">
        <f>ROUND($Z30*CLS_Base_Salary2324*VLOOKUP($A30,EnrollData2324,'2324 Jun 24 Enroll'!S$1,FALSE),2)</f>
        <v>913.03</v>
      </c>
      <c r="AF30" s="6">
        <f>ROUND($Z30*CLS_Inc_Salary2324*VLOOKUP($A30,EnrollData2324,'2324 Jun 24 Enroll'!T$1,FALSE),2)-AE30</f>
        <v>33.769999999999982</v>
      </c>
      <c r="AG30">
        <f t="shared" si="9"/>
        <v>740.57</v>
      </c>
      <c r="AH30" s="69">
        <f t="shared" si="10"/>
        <v>69.289999999999964</v>
      </c>
      <c r="AI30">
        <f t="shared" si="11"/>
        <v>215.46</v>
      </c>
      <c r="AJ30">
        <f t="shared" si="12"/>
        <v>114.86999999999998</v>
      </c>
      <c r="AK30">
        <f t="shared" si="13"/>
        <v>812.26</v>
      </c>
      <c r="AL30">
        <f t="shared" si="14"/>
        <v>28.98</v>
      </c>
      <c r="AM30">
        <f t="shared" si="15"/>
        <v>201.41</v>
      </c>
      <c r="AN30">
        <f t="shared" si="16"/>
        <v>6.27</v>
      </c>
      <c r="AO30">
        <f>ROUND(($J30*CIS_Inc_Salary2324*(VLOOKUP($A30,EnrollData2324,'2324 Jun 24 Enroll'!T$1,FALSE)+VLOOKUP($A30,EnrollData2324,'2324 Jun 24 Enroll'!U$1,FALSE))/Apport_613Xpd)*Apport_614Xpd,2)</f>
        <v>70.42</v>
      </c>
      <c r="AP30">
        <f t="shared" si="17"/>
        <v>12.2</v>
      </c>
      <c r="AQ30">
        <f t="shared" si="19"/>
        <v>31.2</v>
      </c>
      <c r="AR30" s="6">
        <f>ROUND((IF(VLOOKUP($A30,EnrollData2324,'2324 Jun 24 Enroll'!D$1,FALSE)=VLOOKUP($A30,'ESA Calculations 2324'!$A$4:$AE$34,4,FALSE),VLOOKUP($A30,EnrollData2324,'2324 Jun 24 Enroll'!D$1,FALSE),VLOOKUP($A30,'ESA Calculations 2324'!$A$4:$AE$34,4,FALSE))*Apport_M802324+IF(VLOOKUP($A30,EnrollData2324,'2324 Jun 24 Enroll'!M$1,FALSE)=VLOOKUP($A30,'ESA Calculations 2324'!$A$4:$AE$34,18,FALSE),VLOOKUP($A30,EnrollData2324,'2324 Jun 24 Enroll'!M$1,FALSE),VLOOKUP($A30,'ESA Calculations 2324'!$A$4:$AE$34,18,FALSE))*Apport_M802324+IF((VLOOKUP($A30,EnrollData2324,'2324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Enroll'!L$1,FALSE))=VLOOKUP($A30,EnrollData2324,'2324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Enroll'!L$1,FALSE),(VLOOKUP($A30,EnrollData2324,'2324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Enroll'!L$1,FALSE)),(VLOOKUP($A30,EnrollData2324,'2324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Enroll'!L$1,FALSE)))*Apport_M812324)/(IF(VLOOKUP($A30,EnrollData2324,'2324 Jun 24 Enroll'!M$1,FALSE)=VLOOKUP($A30,'ESA Calculations 2324'!$A$4:$AE$34,18,FALSE),VLOOKUP($A30,EnrollData2324,'2324 Jun 24 Enroll'!M$1,FALSE),VLOOKUP($A30,'ESA Calculations 2324'!$A$4:$AE$34,18,FALSE))+IF(VLOOKUP($A30,EnrollData2324,'2324 Jun 24 Enroll'!D$1,FALSE)=VLOOKUP($A30,'ESA Calculations 2324'!$A$4:$AE$34,4,FALSE),VLOOKUP($A30,EnrollData2324,'2324 Jun 24 Enroll'!D$1,FALSE),VLOOKUP($A30,'ESA Calculations 2324'!$A$4:$AE$34,4,FALSE))),2)</f>
        <v>1551.18</v>
      </c>
      <c r="AS30" s="7">
        <f t="shared" si="20"/>
        <v>9488.23</v>
      </c>
      <c r="AT30" s="6">
        <f>IF(VLOOKUP($A30,EnrollData2324,'2324 Jun 24 Enroll'!AA$1,FALSE)=VLOOKUP($A30,'ESA Calculations 2324'!$A$4:$AE$34,24,FALSE),VLOOKUP($A30,EnrollData2324,'2324 Jun 24 Enroll'!AA$1,FALSE),VLOOKUP($A30,'ESA Calculations 2324'!$A$4:$AE$34,24,FALSE))</f>
        <v>795.5</v>
      </c>
    </row>
    <row r="31" spans="1:46">
      <c r="A31" s="40" t="s">
        <v>845</v>
      </c>
      <c r="B31" s="40" t="s">
        <v>846</v>
      </c>
      <c r="C31" s="11">
        <f>ROUND((IFERROR((1/IF(VLOOKUP($A31,EnrollData2324,28,FALSE)=VLOOKUP($A31,'ESA Calculations 2324'!$A$4:$AE$34,3,FALSE),VLOOKUP($A31,EnrollData2324,28,FALSE),VLOOKUP($A31,'ESA Calculations 2324'!$A$4:$AE$34,3,FALSE)))*(1+Apport_Z315),0))+Apport_201A2324,6)</f>
        <v>7.3449E-2</v>
      </c>
      <c r="D31">
        <f>ROUND(IF(VLOOKUP($A31,EnrollData2324,'2324 Jun 24 Enroll'!D$1,FALSE)=VLOOKUP($A31,'ESA Calculations 2324'!$A$4:$AE$34,4,FALSE),VLOOKUP($A31,EnrollData2324,'2324 Jun 24 Enroll'!D$1,FALSE),VLOOKUP($A31,'ESA Calculations 2324'!$A$4:$AE$34,4,FALSE))*C31,3)</f>
        <v>0</v>
      </c>
      <c r="E31">
        <f>ROUND(IF(VLOOKUP($A31,EnrollData2324,'2324 Jun 24 Enroll'!E$1,FALSE)=VLOOKUP($A31,'ESA Calculations 2324'!$A$4:$AE$34,5,FALSE),VLOOKUP($A31,EnrollData2324,'2324 Jun 24 Enroll'!E$1,FALSE),VLOOKUP($A31,'ESA Calculations 2324'!$A$4:$AE$34,5,FALSE))*C31,3)</f>
        <v>8.17</v>
      </c>
      <c r="F31">
        <f>ROUND(IF(VLOOKUP($A31,EnrollData2324,'2324 Jun 24 Enroll'!F$1,FALSE)=VLOOKUP($A31,'ESA Calculations 2324'!$A$4:$AE$34,6,FALSE),VLOOKUP($A31,EnrollData2324,'2324 Jun 24 Enroll'!F$1,FALSE),VLOOKUP($A31,'ESA Calculations 2324'!$A$4:$AE$34,6,FALSE))*Apport_222A2324,3)</f>
        <v>1.569</v>
      </c>
      <c r="G31">
        <f>ROUND(IF(VLOOKUP($A31,EnrollData2324,'2324 Jun 24 Enroll'!G$1,FALSE)=VLOOKUP($A31,'ESA Calculations 2324'!$A$4:$AE$34,7,FALSE),VLOOKUP($A31,EnrollData2324,'2324 Jun 24 Enroll'!G$1,FALSE),VLOOKUP($A31,'ESA Calculations 2324'!$A$4:$AE$34,7,FALSE))*Apport_210A2324,3)</f>
        <v>3.2749999999999999</v>
      </c>
      <c r="H31">
        <f>ROUND(IF(VLOOKUP($A31,EnrollData2324,'2324 Jun 24 Enroll'!H$1,FALSE)=VLOOKUP($A31,'ESA Calculations 2324'!$A$4:$AE$34,8,FALSE),VLOOKUP($A31,EnrollData2324,'2324 Jun 24 Enroll'!H$1,FALSE),VLOOKUP($A31,'ESA Calculations 2324'!$A$4:$AE$34,8,FALSE))*Apport_213A2324,3)</f>
        <v>2.4729999999999999</v>
      </c>
      <c r="I31">
        <f>ROUND(IF(VLOOKUP($A31,EnrollData2324,'2324 Jun 24 Enroll'!I$1,FALSE)+VLOOKUP($A31,EnrollData2324,'2324 Jun 24 Enroll'!M$1,FALSE)-VLOOKUP($A31,EnrollData2324,'2324 Jun 24 Enroll'!J$1,FALSE)=VLOOKUP($A31,'ESA Calculations 2324'!$A$4:$AE$34,9,FALSE)+VLOOKUP($A31,'ESA Calculations 2324'!$A$4:$AE$34,18,FALSE)-VLOOKUP($A31,'ESA Calculations 2324'!$A$4:$AE$34,10,FALSE),VLOOKUP($A31,EnrollData2324,'2324 Jun 24 Enroll'!I$1,FALSE)+VLOOKUP($A31,EnrollData2324,'2324 Jun 24 Enroll'!M$1,FALSE)-VLOOKUP($A31,EnrollData2324,'2324 Jun 24 Enroll'!J$1,FALSE),VLOOKUP($A31,'ESA Calculations 2324'!$A$4:$AE$34,9,FALSE)+VLOOKUP($A31,'ESA Calculations 2324'!$A$4:$AE$34,18,FALSE)-VLOOKUP($A31,'ESA Calculations 2324'!$A$4:$AE$34,10,FALSE))*Apport_216A2324,3)</f>
        <v>7.3920000000000003</v>
      </c>
      <c r="J31">
        <f>ROUND(SUM(D31:I31)/IF(VLOOKUP($A31,EnrollData2324,'2324 Jun 24 Enroll'!M$1,FALSE)+VLOOKUP($A31,EnrollData2324,'2324 Jun 24 Enroll'!D$1,FALSE)=VLOOKUP($A31,'ESA Calculations 2324'!$A$4:$AE$34,18,FALSE)+VLOOKUP($A31,'ESA Calculations 2324'!$A$4:$AE$34,4,FALSE),VLOOKUP($A31,EnrollData2324,'2324 Jun 24 Enroll'!M$1,FALSE)+VLOOKUP($A31,EnrollData2324,'2324 Jun 24 Enroll'!D$1,FALSE),VLOOKUP($A31,'ESA Calculations 2324'!$A$4:$AE$34,18,FALSE)+VLOOKUP($A31,'ESA Calculations 2324'!$A$4:$AE$34,4,FALSE)),5)</f>
        <v>5.5789999999999999E-2</v>
      </c>
      <c r="K31" s="11">
        <f t="shared" si="7"/>
        <v>4.365E-3</v>
      </c>
      <c r="L31">
        <f>ROUND(IF(VLOOKUP($A31,EnrollData2324,'2324 Jun 24 Enroll'!D$1,FALSE)=VLOOKUP($A31,'ESA Calculations 2324'!$A$4:$AE$34,4,FALSE),VLOOKUP($A31,EnrollData2324,'2324 Jun 24 Enroll'!D$1,FALSE),VLOOKUP($A31,'ESA Calculations 2324'!$A$4:$AE$34,4,FALSE))*K31,3)</f>
        <v>0</v>
      </c>
      <c r="M31">
        <f>ROUND(IF(VLOOKUP($A31,EnrollData2324,'2324 Jun 24 Enroll'!E$1,FALSE)=VLOOKUP($A31,'ESA Calculations 2324'!$A$4:$AE$34,5,FALSE),VLOOKUP($A31,EnrollData2324,'2324 Jun 24 Enroll'!E$1,FALSE),VLOOKUP($A31,'ESA Calculations 2324'!$A$4:$AE$34,5,FALSE))*K31,3)</f>
        <v>0.48599999999999999</v>
      </c>
      <c r="N31">
        <f>ROUND(IF(VLOOKUP($A31,EnrollData2324,'2324 Jun 24 Enroll'!F$1,FALSE)=VLOOKUP($A31,'ESA Calculations 2324'!$A$4:$AE$34,6,FALSE),VLOOKUP($A31,EnrollData2324,'2324 Jun 24 Enroll'!F$1,FALSE),VLOOKUP($A31,'ESA Calculations 2324'!$A$4:$AE$34,6,FALSE))*Apport_223A2324,3)</f>
        <v>0.13100000000000001</v>
      </c>
      <c r="O31">
        <f>ROUND(IF(VLOOKUP($A31,EnrollData2324,'2324 Jun 24 Enroll'!G$1,FALSE)=VLOOKUP($A31,'ESA Calculations 2324'!$A$4:$AE$34,7,FALSE),VLOOKUP($A31,EnrollData2324,'2324 Jun 24 Enroll'!G$1,FALSE),VLOOKUP($A31,'ESA Calculations 2324'!$A$4:$AE$34,7,FALSE))*Apport_211A2324,3)</f>
        <v>0.27300000000000002</v>
      </c>
      <c r="P31">
        <f>ROUND(IF(VLOOKUP($A31,EnrollData2324,'2324 Jun 24 Enroll'!H$1,FALSE)=VLOOKUP($A31,'ESA Calculations 2324'!$A$4:$AE$34,8,FALSE),VLOOKUP($A31,EnrollData2324,'2324 Jun 24 Enroll'!H$1,FALSE),VLOOKUP($A31,'ESA Calculations 2324'!$A$4:$AE$34,8,FALSE))*Apport_214A2324,3)</f>
        <v>0.20499999999999999</v>
      </c>
      <c r="Q31">
        <f>ROUND(IF(VLOOKUP($A31,EnrollData2324,'2324 Jun 24 Enroll'!I$1,FALSE)+VLOOKUP($A31,EnrollData2324,'2324 Jun 24 Enroll'!M$1,FALSE)-VLOOKUP($A31,EnrollData2324,'2324 Jun 24 Enroll'!J$1,FALSE)=VLOOKUP($A31,'ESA Calculations 2324'!$A$4:$AE$34,9,FALSE)+VLOOKUP($A31,'ESA Calculations 2324'!$A$4:$AE$34,18,FALSE)-VLOOKUP($A31,'ESA Calculations 2324'!$A$4:$AE$34,10,FALSE),VLOOKUP($A31,EnrollData2324,'2324 Jun 24 Enroll'!I$1,FALSE)+VLOOKUP($A31,EnrollData2324,'2324 Jun 24 Enroll'!M$1,FALSE)-VLOOKUP($A31,EnrollData2324,'2324 Jun 24 Enroll'!J$1,FALSE),VLOOKUP($A31,'ESA Calculations 2324'!$A$4:$AE$34,9,FALSE)+VLOOKUP($A31,'ESA Calculations 2324'!$A$4:$AE$34,18,FALSE)-VLOOKUP($A31,'ESA Calculations 2324'!$A$4:$AE$34,10,FALSE))*Apport_217A2324,3)</f>
        <v>0.59699999999999998</v>
      </c>
      <c r="R31">
        <f>ROUND(SUM(L31:Q31)/IF(VLOOKUP($A31,EnrollData2324,'2324 Jun 24 Enroll'!M$1,FALSE)+VLOOKUP($A31,EnrollData2324,'2324 Jun 24 Enroll'!D$1,FALSE)=VLOOKUP($A31,'ESA Calculations 2324'!$A$4:$AE$34,18,FALSE)+VLOOKUP($A31,'ESA Calculations 2324'!$A$4:$AE$34,4,FALSE),VLOOKUP($A31,EnrollData2324,'2324 Jun 24 Enroll'!M$1,FALSE)+VLOOKUP($A31,EnrollData2324,'2324 Jun 24 Enroll'!D$1,FALSE),VLOOKUP($A31,'ESA Calculations 2324'!$A$4:$AE$34,18,FALSE)+VLOOKUP($A31,'ESA Calculations 2324'!$A$4:$AE$34,4,FALSE)),5)</f>
        <v>4.13E-3</v>
      </c>
      <c r="S31" s="11">
        <f t="shared" si="8"/>
        <v>1.8294500000000002E-2</v>
      </c>
      <c r="T31">
        <f>ROUND(IF(VLOOKUP($A31,EnrollData2324,'2324 Jun 24 Enroll'!D$1,FALSE)=VLOOKUP($A31,'ESA Calculations 2324'!$A$4:$AE$34,4,FALSE),VLOOKUP($A31,EnrollData2324,'2324 Jun 24 Enroll'!D$1,FALSE),VLOOKUP($A31,'ESA Calculations 2324'!$A$4:$AE$34,4,FALSE))*S31,3)</f>
        <v>0</v>
      </c>
      <c r="U31">
        <f>ROUND(IF(VLOOKUP($A31,EnrollData2324,'2324 Jun 24 Enroll'!E$1,FALSE)=VLOOKUP($A31,'ESA Calculations 2324'!$A$4:$AE$34,5,FALSE),VLOOKUP($A31,EnrollData2324,'2324 Jun 24 Enroll'!E$1,FALSE),VLOOKUP($A31,'ESA Calculations 2324'!$A$4:$AE$34,5,FALSE))*S31,3)</f>
        <v>2.0350000000000001</v>
      </c>
      <c r="V31">
        <f>ROUND(IF(VLOOKUP($A31,EnrollData2324,'2324 Jun 24 Enroll'!F$1,FALSE)=VLOOKUP($A31,'ESA Calculations 2324'!$A$4:$AE$34,6,FALSE),VLOOKUP($A31,EnrollData2324,'2324 Jun 24 Enroll'!F$1,FALSE),VLOOKUP($A31,'ESA Calculations 2324'!$A$4:$AE$34,6,FALSE))*Apport_224A2324,3)</f>
        <v>0.56200000000000006</v>
      </c>
      <c r="W31">
        <f>ROUND(IF(VLOOKUP($A31,EnrollData2324,'2324 Jun 24 Enroll'!G$1,FALSE)=VLOOKUP($A31,'ESA Calculations 2324'!$A$4:$AE$34,7,FALSE),VLOOKUP($A31,EnrollData2324,'2324 Jun 24 Enroll'!G$1,FALSE),VLOOKUP($A31,'ESA Calculations 2324'!$A$4:$AE$34,7,FALSE))*Apport_212A2324,3)</f>
        <v>1.173</v>
      </c>
      <c r="X31">
        <f>ROUND(IF(VLOOKUP($A31,EnrollData2324,'2324 Jun 24 Enroll'!H$1,FALSE)=VLOOKUP($A31,'ESA Calculations 2324'!$A$4:$AE$34,8,FALSE),VLOOKUP($A31,EnrollData2324,'2324 Jun 24 Enroll'!H$1,FALSE),VLOOKUP($A31,'ESA Calculations 2324'!$A$4:$AE$34,8,FALSE))*Apport_215A2324,3)</f>
        <v>0.872</v>
      </c>
      <c r="Y31">
        <f>ROUND(IF(VLOOKUP($A31,EnrollData2324,'2324 Jun 24 Enroll'!I$1,FALSE)+VLOOKUP($A31,EnrollData2324,'2324 Jun 24 Enroll'!M$1,FALSE)-VLOOKUP($A31,EnrollData2324,'2324 Jun 24 Enroll'!J$1,FALSE)=VLOOKUP($A31,'ESA Calculations 2324'!$A$4:$AE$34,9,FALSE)+VLOOKUP($A31,'ESA Calculations 2324'!$A$4:$AE$34,18,FALSE)-VLOOKUP($A31,'ESA Calculations 2324'!$A$4:$AE$34,10,FALSE),VLOOKUP($A31,EnrollData2324,'2324 Jun 24 Enroll'!I$1,FALSE)+VLOOKUP($A31,EnrollData2324,'2324 Jun 24 Enroll'!M$1,FALSE)-VLOOKUP($A31,EnrollData2324,'2324 Jun 24 Enroll'!J$1,FALSE),VLOOKUP($A31,'ESA Calculations 2324'!$A$4:$AE$34,9,FALSE)+VLOOKUP($A31,'ESA Calculations 2324'!$A$4:$AE$34,18,FALSE)-VLOOKUP($A31,'ESA Calculations 2324'!$A$4:$AE$34,10,FALSE))*Apport_218A2324,3)</f>
        <v>2.5310000000000001</v>
      </c>
      <c r="Z31">
        <f>ROUND(SUM(T31:Y31)/IF(VLOOKUP($A31,EnrollData2324,'2324 Jun 24 Enroll'!M$1,FALSE)+VLOOKUP($A31,EnrollData2324,'2324 Jun 24 Enroll'!D$1,FALSE)=VLOOKUP($A31,'ESA Calculations 2324'!$A$4:$AE$34,18,FALSE)+VLOOKUP($A31,'ESA Calculations 2324'!$A$4:$AE$34,4,FALSE),VLOOKUP($A31,EnrollData2324,'2324 Jun 24 Enroll'!M$1,FALSE)+VLOOKUP($A31,EnrollData2324,'2324 Jun 24 Enroll'!D$1,FALSE),VLOOKUP($A31,'ESA Calculations 2324'!$A$4:$AE$34,18,FALSE)+VLOOKUP($A31,'ESA Calculations 2324'!$A$4:$AE$34,4,FALSE)),5)</f>
        <v>1.7489999999999999E-2</v>
      </c>
      <c r="AA31" s="6">
        <f>ROUND($J31*CIS_Base_Salary2324*VLOOKUP($A31,EnrollData2324,'2324 Jun 24 Enroll'!S$1,FALSE),2)</f>
        <v>4057.5</v>
      </c>
      <c r="AB31" s="6">
        <f>ROUND($J31*CIS_Inc_Salary2324*(VLOOKUP($A31,EnrollData2324,'2324 Jun 24 Enroll'!T$1,FALSE)+VLOOKUP($A31,EnrollData2324,'2324 Jun 24 Enroll'!U$1,FALSE)),2)-AA31</f>
        <v>318.43000000000029</v>
      </c>
      <c r="AC31" s="6">
        <f>ROUND($R31*CAS_Base_Salary2324*VLOOKUP($A31,EnrollData2324,'2324 Jun 24 Enroll'!S$1,FALSE),2)</f>
        <v>445.85</v>
      </c>
      <c r="AD31" s="6">
        <f>ROUND($R31*CAS_Inc_Salary2324*VLOOKUP($A31,EnrollData2324,'2324 Jun 24 Enroll'!T$1,FALSE),2)-AC31</f>
        <v>16.5</v>
      </c>
      <c r="AE31" s="6">
        <f>ROUND($Z31*CLS_Base_Salary2324*VLOOKUP($A31,EnrollData2324,'2324 Jun 24 Enroll'!S$1,FALSE),2)</f>
        <v>912.51</v>
      </c>
      <c r="AF31" s="6">
        <f>ROUND($Z31*CLS_Inc_Salary2324*VLOOKUP($A31,EnrollData2324,'2324 Jun 24 Enroll'!T$1,FALSE),2)-AE31</f>
        <v>33.75</v>
      </c>
      <c r="AG31">
        <f t="shared" si="9"/>
        <v>737.74</v>
      </c>
      <c r="AH31" s="69">
        <f t="shared" si="10"/>
        <v>69.019999999999982</v>
      </c>
      <c r="AI31">
        <f t="shared" si="11"/>
        <v>215.34</v>
      </c>
      <c r="AJ31">
        <f t="shared" si="12"/>
        <v>114.79999999999998</v>
      </c>
      <c r="AK31">
        <f t="shared" si="13"/>
        <v>809.25</v>
      </c>
      <c r="AL31">
        <f t="shared" si="14"/>
        <v>58.04</v>
      </c>
      <c r="AM31">
        <f t="shared" si="15"/>
        <v>201.3</v>
      </c>
      <c r="AN31">
        <f t="shared" si="16"/>
        <v>6.26</v>
      </c>
      <c r="AO31">
        <f>ROUND(($J31*CIS_Inc_Salary2324*(VLOOKUP($A31,EnrollData2324,'2324 Jun 24 Enroll'!T$1,FALSE)+VLOOKUP($A31,EnrollData2324,'2324 Jun 24 Enroll'!U$1,FALSE))/Apport_613Xpd)*Apport_614Xpd,2)</f>
        <v>72.930000000000007</v>
      </c>
      <c r="AP31">
        <f t="shared" si="17"/>
        <v>12.64</v>
      </c>
      <c r="AQ31">
        <f t="shared" si="19"/>
        <v>31.08</v>
      </c>
      <c r="AR31" s="6">
        <f>ROUND((IF(VLOOKUP($A31,EnrollData2324,'2324 Jun 24 Enroll'!D$1,FALSE)=VLOOKUP($A31,'ESA Calculations 2324'!$A$4:$AE$34,4,FALSE),VLOOKUP($A31,EnrollData2324,'2324 Jun 24 Enroll'!D$1,FALSE),VLOOKUP($A31,'ESA Calculations 2324'!$A$4:$AE$34,4,FALSE))*Apport_M802324+IF(VLOOKUP($A31,EnrollData2324,'2324 Jun 24 Enroll'!M$1,FALSE)=VLOOKUP($A31,'ESA Calculations 2324'!$A$4:$AE$34,18,FALSE),VLOOKUP($A31,EnrollData2324,'2324 Jun 24 Enroll'!M$1,FALSE),VLOOKUP($A31,'ESA Calculations 2324'!$A$4:$AE$34,18,FALSE))*Apport_M802324+IF((VLOOKUP($A31,EnrollData2324,'2324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Enroll'!L$1,FALSE))=VLOOKUP($A31,EnrollData2324,'2324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Enroll'!L$1,FALSE),(VLOOKUP($A31,EnrollData2324,'2324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Enroll'!L$1,FALSE)),(VLOOKUP($A31,EnrollData2324,'2324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Enroll'!L$1,FALSE)))*Apport_M812324)/(IF(VLOOKUP($A31,EnrollData2324,'2324 Jun 24 Enroll'!M$1,FALSE)=VLOOKUP($A31,'ESA Calculations 2324'!$A$4:$AE$34,18,FALSE),VLOOKUP($A31,EnrollData2324,'2324 Jun 24 Enroll'!M$1,FALSE),VLOOKUP($A31,'ESA Calculations 2324'!$A$4:$AE$34,18,FALSE))+IF(VLOOKUP($A31,EnrollData2324,'2324 Jun 24 Enroll'!D$1,FALSE)=VLOOKUP($A31,'ESA Calculations 2324'!$A$4:$AE$34,4,FALSE),VLOOKUP($A31,EnrollData2324,'2324 Jun 24 Enroll'!D$1,FALSE),VLOOKUP($A31,'ESA Calculations 2324'!$A$4:$AE$34,4,FALSE))),2)</f>
        <v>1555.44</v>
      </c>
      <c r="AS31" s="7">
        <f t="shared" si="20"/>
        <v>9668.3800000000028</v>
      </c>
      <c r="AT31" s="6">
        <f>IF(VLOOKUP($A31,EnrollData2324,'2324 Jun 24 Enroll'!AA$1,FALSE)=VLOOKUP($A31,'ESA Calculations 2324'!$A$4:$AE$34,24,FALSE),VLOOKUP($A31,EnrollData2324,'2324 Jun 24 Enroll'!AA$1,FALSE),VLOOKUP($A31,'ESA Calculations 2324'!$A$4:$AE$34,24,FALSE))</f>
        <v>410.42</v>
      </c>
    </row>
    <row r="32" spans="1:46">
      <c r="A32" s="40" t="s">
        <v>432</v>
      </c>
      <c r="B32" s="40" t="s">
        <v>433</v>
      </c>
      <c r="C32" s="11">
        <f>ROUND((IFERROR((1/IF(VLOOKUP($A32,EnrollData2324,28,FALSE)=VLOOKUP($A32,'ESA Calculations 2324'!$A$4:$AE$34,3,FALSE),VLOOKUP($A32,EnrollData2324,28,FALSE),VLOOKUP($A32,'ESA Calculations 2324'!$A$4:$AE$34,3,FALSE)))*(1+Apport_Z315),0))+Apport_201A2324,6)</f>
        <v>7.3449E-2</v>
      </c>
      <c r="D32">
        <f>ROUND(IF(VLOOKUP($A32,EnrollData2324,'2324 Jun 24 Enroll'!D$1,FALSE)=VLOOKUP($A32,'ESA Calculations 2324'!$A$4:$AE$34,4,FALSE),VLOOKUP($A32,EnrollData2324,'2324 Jun 24 Enroll'!D$1,FALSE),VLOOKUP($A32,'ESA Calculations 2324'!$A$4:$AE$34,4,FALSE))*C32,3)</f>
        <v>0</v>
      </c>
      <c r="E32">
        <f>ROUND(IF(VLOOKUP($A32,EnrollData2324,'2324 Jun 24 Enroll'!E$1,FALSE)=VLOOKUP($A32,'ESA Calculations 2324'!$A$4:$AE$34,5,FALSE),VLOOKUP($A32,EnrollData2324,'2324 Jun 24 Enroll'!E$1,FALSE),VLOOKUP($A32,'ESA Calculations 2324'!$A$4:$AE$34,5,FALSE))*C32,3)</f>
        <v>1.1020000000000001</v>
      </c>
      <c r="F32">
        <f>ROUND(IF(VLOOKUP($A32,EnrollData2324,'2324 Jun 24 Enroll'!F$1,FALSE)=VLOOKUP($A32,'ESA Calculations 2324'!$A$4:$AE$34,6,FALSE),VLOOKUP($A32,EnrollData2324,'2324 Jun 24 Enroll'!F$1,FALSE),VLOOKUP($A32,'ESA Calculations 2324'!$A$4:$AE$34,6,FALSE))*Apport_222A2324,3)</f>
        <v>4.8000000000000001E-2</v>
      </c>
      <c r="G32">
        <f>ROUND(IF(VLOOKUP($A32,EnrollData2324,'2324 Jun 24 Enroll'!G$1,FALSE)=VLOOKUP($A32,'ESA Calculations 2324'!$A$4:$AE$34,7,FALSE),VLOOKUP($A32,EnrollData2324,'2324 Jun 24 Enroll'!G$1,FALSE),VLOOKUP($A32,'ESA Calculations 2324'!$A$4:$AE$34,7,FALSE))*Apport_210A2324,3)</f>
        <v>0.14499999999999999</v>
      </c>
      <c r="H32">
        <f>ROUND(IF(VLOOKUP($A32,EnrollData2324,'2324 Jun 24 Enroll'!H$1,FALSE)=VLOOKUP($A32,'ESA Calculations 2324'!$A$4:$AE$34,8,FALSE),VLOOKUP($A32,EnrollData2324,'2324 Jun 24 Enroll'!H$1,FALSE),VLOOKUP($A32,'ESA Calculations 2324'!$A$4:$AE$34,8,FALSE))*Apport_213A2324,3)</f>
        <v>0</v>
      </c>
      <c r="I32">
        <f>ROUND(IF(VLOOKUP($A32,EnrollData2324,'2324 Jun 24 Enroll'!I$1,FALSE)+VLOOKUP($A32,EnrollData2324,'2324 Jun 24 Enroll'!M$1,FALSE)-VLOOKUP($A32,EnrollData2324,'2324 Jun 24 Enroll'!J$1,FALSE)=VLOOKUP($A32,'ESA Calculations 2324'!$A$4:$AE$34,9,FALSE)+VLOOKUP($A32,'ESA Calculations 2324'!$A$4:$AE$34,18,FALSE)-VLOOKUP($A32,'ESA Calculations 2324'!$A$4:$AE$34,10,FALSE),VLOOKUP($A32,EnrollData2324,'2324 Jun 24 Enroll'!I$1,FALSE)+VLOOKUP($A32,EnrollData2324,'2324 Jun 24 Enroll'!M$1,FALSE)-VLOOKUP($A32,EnrollData2324,'2324 Jun 24 Enroll'!J$1,FALSE),VLOOKUP($A32,'ESA Calculations 2324'!$A$4:$AE$34,9,FALSE)+VLOOKUP($A32,'ESA Calculations 2324'!$A$4:$AE$34,18,FALSE)-VLOOKUP($A32,'ESA Calculations 2324'!$A$4:$AE$34,10,FALSE))*Apport_216A2324,3)</f>
        <v>0</v>
      </c>
      <c r="J32">
        <f>ROUND(SUM(D32:I32)/IF(VLOOKUP($A32,EnrollData2324,'2324 Jun 24 Enroll'!M$1,FALSE)+VLOOKUP($A32,EnrollData2324,'2324 Jun 24 Enroll'!D$1,FALSE)=VLOOKUP($A32,'ESA Calculations 2324'!$A$4:$AE$34,18,FALSE)+VLOOKUP($A32,'ESA Calculations 2324'!$A$4:$AE$34,4,FALSE),VLOOKUP($A32,EnrollData2324,'2324 Jun 24 Enroll'!M$1,FALSE)+VLOOKUP($A32,EnrollData2324,'2324 Jun 24 Enroll'!D$1,FALSE),VLOOKUP($A32,'ESA Calculations 2324'!$A$4:$AE$34,18,FALSE)+VLOOKUP($A32,'ESA Calculations 2324'!$A$4:$AE$34,4,FALSE)),5)</f>
        <v>6.8159999999999998E-2</v>
      </c>
      <c r="K32" s="11">
        <f t="shared" si="7"/>
        <v>4.365E-3</v>
      </c>
      <c r="L32">
        <f>ROUND(IF(VLOOKUP($A32,EnrollData2324,'2324 Jun 24 Enroll'!D$1,FALSE)=VLOOKUP($A32,'ESA Calculations 2324'!$A$4:$AE$34,4,FALSE),VLOOKUP($A32,EnrollData2324,'2324 Jun 24 Enroll'!D$1,FALSE),VLOOKUP($A32,'ESA Calculations 2324'!$A$4:$AE$34,4,FALSE))*K32,3)</f>
        <v>0</v>
      </c>
      <c r="M32">
        <f>ROUND(IF(VLOOKUP($A32,EnrollData2324,'2324 Jun 24 Enroll'!E$1,FALSE)=VLOOKUP($A32,'ESA Calculations 2324'!$A$4:$AE$34,5,FALSE),VLOOKUP($A32,EnrollData2324,'2324 Jun 24 Enroll'!E$1,FALSE),VLOOKUP($A32,'ESA Calculations 2324'!$A$4:$AE$34,5,FALSE))*K32,3)</f>
        <v>6.5000000000000002E-2</v>
      </c>
      <c r="N32">
        <f>ROUND(IF(VLOOKUP($A32,EnrollData2324,'2324 Jun 24 Enroll'!F$1,FALSE)=VLOOKUP($A32,'ESA Calculations 2324'!$A$4:$AE$34,6,FALSE),VLOOKUP($A32,EnrollData2324,'2324 Jun 24 Enroll'!F$1,FALSE),VLOOKUP($A32,'ESA Calculations 2324'!$A$4:$AE$34,6,FALSE))*Apport_223A2324,3)</f>
        <v>4.0000000000000001E-3</v>
      </c>
      <c r="O32">
        <f>ROUND(IF(VLOOKUP($A32,EnrollData2324,'2324 Jun 24 Enroll'!G$1,FALSE)=VLOOKUP($A32,'ESA Calculations 2324'!$A$4:$AE$34,7,FALSE),VLOOKUP($A32,EnrollData2324,'2324 Jun 24 Enroll'!G$1,FALSE),VLOOKUP($A32,'ESA Calculations 2324'!$A$4:$AE$34,7,FALSE))*Apport_211A2324,3)</f>
        <v>1.2E-2</v>
      </c>
      <c r="P32">
        <f>ROUND(IF(VLOOKUP($A32,EnrollData2324,'2324 Jun 24 Enroll'!H$1,FALSE)=VLOOKUP($A32,'ESA Calculations 2324'!$A$4:$AE$34,8,FALSE),VLOOKUP($A32,EnrollData2324,'2324 Jun 24 Enroll'!H$1,FALSE),VLOOKUP($A32,'ESA Calculations 2324'!$A$4:$AE$34,8,FALSE))*Apport_214A2324,3)</f>
        <v>0</v>
      </c>
      <c r="Q32">
        <f>ROUND(IF(VLOOKUP($A32,EnrollData2324,'2324 Jun 24 Enroll'!I$1,FALSE)+VLOOKUP($A32,EnrollData2324,'2324 Jun 24 Enroll'!M$1,FALSE)-VLOOKUP($A32,EnrollData2324,'2324 Jun 24 Enroll'!J$1,FALSE)=VLOOKUP($A32,'ESA Calculations 2324'!$A$4:$AE$34,9,FALSE)+VLOOKUP($A32,'ESA Calculations 2324'!$A$4:$AE$34,18,FALSE)-VLOOKUP($A32,'ESA Calculations 2324'!$A$4:$AE$34,10,FALSE),VLOOKUP($A32,EnrollData2324,'2324 Jun 24 Enroll'!I$1,FALSE)+VLOOKUP($A32,EnrollData2324,'2324 Jun 24 Enroll'!M$1,FALSE)-VLOOKUP($A32,EnrollData2324,'2324 Jun 24 Enroll'!J$1,FALSE),VLOOKUP($A32,'ESA Calculations 2324'!$A$4:$AE$34,9,FALSE)+VLOOKUP($A32,'ESA Calculations 2324'!$A$4:$AE$34,18,FALSE)-VLOOKUP($A32,'ESA Calculations 2324'!$A$4:$AE$34,10,FALSE))*Apport_217A2324,3)</f>
        <v>0</v>
      </c>
      <c r="R32">
        <f>ROUND(SUM(L32:Q32)/IF(VLOOKUP($A32,EnrollData2324,'2324 Jun 24 Enroll'!M$1,FALSE)+VLOOKUP($A32,EnrollData2324,'2324 Jun 24 Enroll'!D$1,FALSE)=VLOOKUP($A32,'ESA Calculations 2324'!$A$4:$AE$34,18,FALSE)+VLOOKUP($A32,'ESA Calculations 2324'!$A$4:$AE$34,4,FALSE),VLOOKUP($A32,EnrollData2324,'2324 Jun 24 Enroll'!M$1,FALSE)+VLOOKUP($A32,EnrollData2324,'2324 Jun 24 Enroll'!D$1,FALSE),VLOOKUP($A32,'ESA Calculations 2324'!$A$4:$AE$34,18,FALSE)+VLOOKUP($A32,'ESA Calculations 2324'!$A$4:$AE$34,4,FALSE)),5)</f>
        <v>4.2599999999999999E-3</v>
      </c>
      <c r="S32" s="11">
        <f t="shared" si="8"/>
        <v>1.8294500000000002E-2</v>
      </c>
      <c r="T32">
        <f>ROUND(IF(VLOOKUP($A32,EnrollData2324,'2324 Jun 24 Enroll'!D$1,FALSE)=VLOOKUP($A32,'ESA Calculations 2324'!$A$4:$AE$34,4,FALSE),VLOOKUP($A32,EnrollData2324,'2324 Jun 24 Enroll'!D$1,FALSE),VLOOKUP($A32,'ESA Calculations 2324'!$A$4:$AE$34,4,FALSE))*S32,3)</f>
        <v>0</v>
      </c>
      <c r="U32">
        <f>ROUND(IF(VLOOKUP($A32,EnrollData2324,'2324 Jun 24 Enroll'!E$1,FALSE)=VLOOKUP($A32,'ESA Calculations 2324'!$A$4:$AE$34,5,FALSE),VLOOKUP($A32,EnrollData2324,'2324 Jun 24 Enroll'!E$1,FALSE),VLOOKUP($A32,'ESA Calculations 2324'!$A$4:$AE$34,5,FALSE))*S32,3)</f>
        <v>0.27400000000000002</v>
      </c>
      <c r="V32">
        <f>ROUND(IF(VLOOKUP($A32,EnrollData2324,'2324 Jun 24 Enroll'!F$1,FALSE)=VLOOKUP($A32,'ESA Calculations 2324'!$A$4:$AE$34,6,FALSE),VLOOKUP($A32,EnrollData2324,'2324 Jun 24 Enroll'!F$1,FALSE),VLOOKUP($A32,'ESA Calculations 2324'!$A$4:$AE$34,6,FALSE))*Apport_224A2324,3)</f>
        <v>1.7000000000000001E-2</v>
      </c>
      <c r="W32">
        <f>ROUND(IF(VLOOKUP($A32,EnrollData2324,'2324 Jun 24 Enroll'!G$1,FALSE)=VLOOKUP($A32,'ESA Calculations 2324'!$A$4:$AE$34,7,FALSE),VLOOKUP($A32,EnrollData2324,'2324 Jun 24 Enroll'!G$1,FALSE),VLOOKUP($A32,'ESA Calculations 2324'!$A$4:$AE$34,7,FALSE))*Apport_212A2324,3)</f>
        <v>5.1999999999999998E-2</v>
      </c>
      <c r="X32">
        <f>ROUND(IF(VLOOKUP($A32,EnrollData2324,'2324 Jun 24 Enroll'!H$1,FALSE)=VLOOKUP($A32,'ESA Calculations 2324'!$A$4:$AE$34,8,FALSE),VLOOKUP($A32,EnrollData2324,'2324 Jun 24 Enroll'!H$1,FALSE),VLOOKUP($A32,'ESA Calculations 2324'!$A$4:$AE$34,8,FALSE))*Apport_215A2324,3)</f>
        <v>0</v>
      </c>
      <c r="Y32">
        <f>ROUND(IF(VLOOKUP($A32,EnrollData2324,'2324 Jun 24 Enroll'!I$1,FALSE)+VLOOKUP($A32,EnrollData2324,'2324 Jun 24 Enroll'!M$1,FALSE)-VLOOKUP($A32,EnrollData2324,'2324 Jun 24 Enroll'!J$1,FALSE)=VLOOKUP($A32,'ESA Calculations 2324'!$A$4:$AE$34,9,FALSE)+VLOOKUP($A32,'ESA Calculations 2324'!$A$4:$AE$34,18,FALSE)-VLOOKUP($A32,'ESA Calculations 2324'!$A$4:$AE$34,10,FALSE),VLOOKUP($A32,EnrollData2324,'2324 Jun 24 Enroll'!I$1,FALSE)+VLOOKUP($A32,EnrollData2324,'2324 Jun 24 Enroll'!M$1,FALSE)-VLOOKUP($A32,EnrollData2324,'2324 Jun 24 Enroll'!J$1,FALSE),VLOOKUP($A32,'ESA Calculations 2324'!$A$4:$AE$34,9,FALSE)+VLOOKUP($A32,'ESA Calculations 2324'!$A$4:$AE$34,18,FALSE)-VLOOKUP($A32,'ESA Calculations 2324'!$A$4:$AE$34,10,FALSE))*Apport_218A2324,3)</f>
        <v>0</v>
      </c>
      <c r="Z32">
        <f>ROUND(SUM(T32:Y32)/IF(VLOOKUP($A32,EnrollData2324,'2324 Jun 24 Enroll'!M$1,FALSE)+VLOOKUP($A32,EnrollData2324,'2324 Jun 24 Enroll'!D$1,FALSE)=VLOOKUP($A32,'ESA Calculations 2324'!$A$4:$AE$34,18,FALSE)+VLOOKUP($A32,'ESA Calculations 2324'!$A$4:$AE$34,4,FALSE),VLOOKUP($A32,EnrollData2324,'2324 Jun 24 Enroll'!M$1,FALSE)+VLOOKUP($A32,EnrollData2324,'2324 Jun 24 Enroll'!D$1,FALSE),VLOOKUP($A32,'ESA Calculations 2324'!$A$4:$AE$34,18,FALSE)+VLOOKUP($A32,'ESA Calculations 2324'!$A$4:$AE$34,4,FALSE)),5)</f>
        <v>1.805E-2</v>
      </c>
      <c r="AA32" s="6">
        <f>ROUND($J32*CIS_Base_Salary2324*VLOOKUP($A32,EnrollData2324,'2324 Jun 24 Enroll'!S$1,FALSE),2)</f>
        <v>4957.1400000000003</v>
      </c>
      <c r="AB32" s="6">
        <f>ROUND($J32*CIS_Inc_Salary2324*(VLOOKUP($A32,EnrollData2324,'2324 Jun 24 Enroll'!T$1,FALSE)+VLOOKUP($A32,EnrollData2324,'2324 Jun 24 Enroll'!U$1,FALSE)),2)-AA32</f>
        <v>389.03999999999996</v>
      </c>
      <c r="AC32" s="6">
        <f>ROUND($R32*CAS_Base_Salary2324*VLOOKUP($A32,EnrollData2324,'2324 Jun 24 Enroll'!S$1,FALSE),2)</f>
        <v>459.89</v>
      </c>
      <c r="AD32" s="6">
        <f>ROUND($R32*CAS_Inc_Salary2324*VLOOKUP($A32,EnrollData2324,'2324 Jun 24 Enroll'!T$1,FALSE),2)-AC32</f>
        <v>17.020000000000039</v>
      </c>
      <c r="AE32" s="6">
        <f>ROUND($Z32*CLS_Base_Salary2324*VLOOKUP($A32,EnrollData2324,'2324 Jun 24 Enroll'!S$1,FALSE),2)</f>
        <v>941.72</v>
      </c>
      <c r="AF32" s="6">
        <f>ROUND($Z32*CLS_Inc_Salary2324*VLOOKUP($A32,EnrollData2324,'2324 Jun 24 Enroll'!T$1,FALSE),2)-AE32</f>
        <v>34.839999999999918</v>
      </c>
      <c r="AG32">
        <f t="shared" si="9"/>
        <v>891.64</v>
      </c>
      <c r="AH32" s="69">
        <f t="shared" si="10"/>
        <v>83.419999999999959</v>
      </c>
      <c r="AI32">
        <f t="shared" si="11"/>
        <v>222.23</v>
      </c>
      <c r="AJ32">
        <f t="shared" si="12"/>
        <v>118.47999999999999</v>
      </c>
      <c r="AK32">
        <f t="shared" si="13"/>
        <v>973.44</v>
      </c>
      <c r="AL32">
        <f t="shared" si="14"/>
        <v>70.37</v>
      </c>
      <c r="AM32">
        <f t="shared" si="15"/>
        <v>207.74</v>
      </c>
      <c r="AN32">
        <f t="shared" si="16"/>
        <v>6.47</v>
      </c>
      <c r="AO32">
        <f>ROUND(($J32*CIS_Inc_Salary2324*(VLOOKUP($A32,EnrollData2324,'2324 Jun 24 Enroll'!T$1,FALSE)+VLOOKUP($A32,EnrollData2324,'2324 Jun 24 Enroll'!U$1,FALSE))/Apport_613Xpd)*Apport_614Xpd,2)</f>
        <v>89.1</v>
      </c>
      <c r="AP32">
        <f t="shared" si="17"/>
        <v>15.44</v>
      </c>
      <c r="AQ32">
        <f t="shared" si="19"/>
        <v>37.97</v>
      </c>
      <c r="AR32" s="6">
        <f>ROUND((IF(VLOOKUP($A32,EnrollData2324,'2324 Jun 24 Enroll'!D$1,FALSE)=VLOOKUP($A32,'ESA Calculations 2324'!$A$4:$AE$34,4,FALSE),VLOOKUP($A32,EnrollData2324,'2324 Jun 24 Enroll'!D$1,FALSE),VLOOKUP($A32,'ESA Calculations 2324'!$A$4:$AE$34,4,FALSE))*Apport_M802324+IF(VLOOKUP($A32,EnrollData2324,'2324 Jun 24 Enroll'!M$1,FALSE)=VLOOKUP($A32,'ESA Calculations 2324'!$A$4:$AE$34,18,FALSE),VLOOKUP($A32,EnrollData2324,'2324 Jun 24 Enroll'!M$1,FALSE),VLOOKUP($A32,'ESA Calculations 2324'!$A$4:$AE$34,18,FALSE))*Apport_M802324+IF((VLOOKUP($A32,EnrollData2324,'2324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Enroll'!L$1,FALSE))=VLOOKUP($A32,EnrollData2324,'2324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Enroll'!L$1,FALSE),(VLOOKUP($A32,EnrollData2324,'2324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Enroll'!L$1,FALSE)),(VLOOKUP($A32,EnrollData2324,'2324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Enroll'!L$1,FALSE)))*Apport_M812324)/(IF(VLOOKUP($A32,EnrollData2324,'2324 Jun 24 Enroll'!M$1,FALSE)=VLOOKUP($A32,'ESA Calculations 2324'!$A$4:$AE$34,18,FALSE),VLOOKUP($A32,EnrollData2324,'2324 Jun 24 Enroll'!M$1,FALSE),VLOOKUP($A32,'ESA Calculations 2324'!$A$4:$AE$34,18,FALSE))+IF(VLOOKUP($A32,EnrollData2324,'2324 Jun 24 Enroll'!D$1,FALSE)=VLOOKUP($A32,'ESA Calculations 2324'!$A$4:$AE$34,4,FALSE),VLOOKUP($A32,EnrollData2324,'2324 Jun 24 Enroll'!D$1,FALSE),VLOOKUP($A32,'ESA Calculations 2324'!$A$4:$AE$34,4,FALSE))),2)</f>
        <v>1483.44</v>
      </c>
      <c r="AS32" s="7">
        <f t="shared" si="20"/>
        <v>10999.390000000001</v>
      </c>
      <c r="AT32" s="6">
        <f>IF(VLOOKUP($A32,EnrollData2324,'2324 Jun 24 Enroll'!AA$1,FALSE)=VLOOKUP($A32,'ESA Calculations 2324'!$A$4:$AE$34,24,FALSE),VLOOKUP($A32,EnrollData2324,'2324 Jun 24 Enroll'!AA$1,FALSE),VLOOKUP($A32,'ESA Calculations 2324'!$A$4:$AE$34,24,FALSE))</f>
        <v>19</v>
      </c>
    </row>
    <row r="33" spans="1:46">
      <c r="A33" s="40" t="s">
        <v>849</v>
      </c>
      <c r="B33" s="40" t="s">
        <v>850</v>
      </c>
      <c r="C33" s="11">
        <f>ROUND((IFERROR((1/IF(VLOOKUP($A33,EnrollData2324,28,FALSE)=VLOOKUP($A33,'ESA Calculations 2324'!$A$4:$AE$34,3,FALSE),VLOOKUP($A33,EnrollData2324,28,FALSE),VLOOKUP($A33,'ESA Calculations 2324'!$A$4:$AE$34,3,FALSE)))*(1+Apport_Z315),0))+Apport_201A2324,6)</f>
        <v>7.2894E-2</v>
      </c>
      <c r="D33">
        <f>ROUND(IF(VLOOKUP($A33,EnrollData2324,'2324 Jun 24 Enroll'!D$1,FALSE)=VLOOKUP($A33,'ESA Calculations 2324'!$A$4:$AE$34,4,FALSE),VLOOKUP($A33,EnrollData2324,'2324 Jun 24 Enroll'!D$1,FALSE),VLOOKUP($A33,'ESA Calculations 2324'!$A$4:$AE$34,4,FALSE))*C33,3)</f>
        <v>0</v>
      </c>
      <c r="E33">
        <f>ROUND(IF(VLOOKUP($A33,EnrollData2324,'2324 Jun 24 Enroll'!E$1,FALSE)=VLOOKUP($A33,'ESA Calculations 2324'!$A$4:$AE$34,5,FALSE),VLOOKUP($A33,EnrollData2324,'2324 Jun 24 Enroll'!E$1,FALSE),VLOOKUP($A33,'ESA Calculations 2324'!$A$4:$AE$34,5,FALSE))*C33,3)</f>
        <v>5.9169999999999998</v>
      </c>
      <c r="F33">
        <f>ROUND(IF(VLOOKUP($A33,EnrollData2324,'2324 Jun 24 Enroll'!F$1,FALSE)=VLOOKUP($A33,'ESA Calculations 2324'!$A$4:$AE$34,6,FALSE),VLOOKUP($A33,EnrollData2324,'2324 Jun 24 Enroll'!F$1,FALSE),VLOOKUP($A33,'ESA Calculations 2324'!$A$4:$AE$34,6,FALSE))*Apport_222A2324,3)</f>
        <v>0.80600000000000005</v>
      </c>
      <c r="G33">
        <f>ROUND(IF(VLOOKUP($A33,EnrollData2324,'2324 Jun 24 Enroll'!G$1,FALSE)=VLOOKUP($A33,'ESA Calculations 2324'!$A$4:$AE$34,7,FALSE),VLOOKUP($A33,EnrollData2324,'2324 Jun 24 Enroll'!G$1,FALSE),VLOOKUP($A33,'ESA Calculations 2324'!$A$4:$AE$34,7,FALSE))*Apport_210A2324,3)</f>
        <v>2.3860000000000001</v>
      </c>
      <c r="H33">
        <f>ROUND(IF(VLOOKUP($A33,EnrollData2324,'2324 Jun 24 Enroll'!H$1,FALSE)=VLOOKUP($A33,'ESA Calculations 2324'!$A$4:$AE$34,8,FALSE),VLOOKUP($A33,EnrollData2324,'2324 Jun 24 Enroll'!H$1,FALSE),VLOOKUP($A33,'ESA Calculations 2324'!$A$4:$AE$34,8,FALSE))*Apport_213A2324,3)</f>
        <v>2.0099999999999998</v>
      </c>
      <c r="I33">
        <f>ROUND(IF(VLOOKUP($A33,EnrollData2324,'2324 Jun 24 Enroll'!I$1,FALSE)+VLOOKUP($A33,EnrollData2324,'2324 Jun 24 Enroll'!M$1,FALSE)-VLOOKUP($A33,EnrollData2324,'2324 Jun 24 Enroll'!J$1,FALSE)=VLOOKUP($A33,'ESA Calculations 2324'!$A$4:$AE$34,9,FALSE)+VLOOKUP($A33,'ESA Calculations 2324'!$A$4:$AE$34,18,FALSE)-VLOOKUP($A33,'ESA Calculations 2324'!$A$4:$AE$34,10,FALSE),VLOOKUP($A33,EnrollData2324,'2324 Jun 24 Enroll'!I$1,FALSE)+VLOOKUP($A33,EnrollData2324,'2324 Jun 24 Enroll'!M$1,FALSE)-VLOOKUP($A33,EnrollData2324,'2324 Jun 24 Enroll'!J$1,FALSE),VLOOKUP($A33,'ESA Calculations 2324'!$A$4:$AE$34,9,FALSE)+VLOOKUP($A33,'ESA Calculations 2324'!$A$4:$AE$34,18,FALSE)-VLOOKUP($A33,'ESA Calculations 2324'!$A$4:$AE$34,10,FALSE))*Apport_216A2324,3)</f>
        <v>4.7210000000000001</v>
      </c>
      <c r="J33">
        <f>ROUND(SUM(D33:I33)/IF(VLOOKUP($A33,EnrollData2324,'2324 Jun 24 Enroll'!M$1,FALSE)+VLOOKUP($A33,EnrollData2324,'2324 Jun 24 Enroll'!D$1,FALSE)=VLOOKUP($A33,'ESA Calculations 2324'!$A$4:$AE$34,18,FALSE)+VLOOKUP($A33,'ESA Calculations 2324'!$A$4:$AE$34,4,FALSE),VLOOKUP($A33,EnrollData2324,'2324 Jun 24 Enroll'!M$1,FALSE)+VLOOKUP($A33,EnrollData2324,'2324 Jun 24 Enroll'!D$1,FALSE),VLOOKUP($A33,'ESA Calculations 2324'!$A$4:$AE$34,18,FALSE)+VLOOKUP($A33,'ESA Calculations 2324'!$A$4:$AE$34,4,FALSE)),5)</f>
        <v>5.5980000000000002E-2</v>
      </c>
      <c r="K33" s="11">
        <f t="shared" si="7"/>
        <v>4.3579999999999999E-3</v>
      </c>
      <c r="L33">
        <f>ROUND(IF(VLOOKUP($A33,EnrollData2324,'2324 Jun 24 Enroll'!D$1,FALSE)=VLOOKUP($A33,'ESA Calculations 2324'!$A$4:$AE$34,4,FALSE),VLOOKUP($A33,EnrollData2324,'2324 Jun 24 Enroll'!D$1,FALSE),VLOOKUP($A33,'ESA Calculations 2324'!$A$4:$AE$34,4,FALSE))*K33,3)</f>
        <v>0</v>
      </c>
      <c r="M33">
        <f>ROUND(IF(VLOOKUP($A33,EnrollData2324,'2324 Jun 24 Enroll'!E$1,FALSE)=VLOOKUP($A33,'ESA Calculations 2324'!$A$4:$AE$34,5,FALSE),VLOOKUP($A33,EnrollData2324,'2324 Jun 24 Enroll'!E$1,FALSE),VLOOKUP($A33,'ESA Calculations 2324'!$A$4:$AE$34,5,FALSE))*K33,3)</f>
        <v>0.35399999999999998</v>
      </c>
      <c r="N33">
        <f>ROUND(IF(VLOOKUP($A33,EnrollData2324,'2324 Jun 24 Enroll'!F$1,FALSE)=VLOOKUP($A33,'ESA Calculations 2324'!$A$4:$AE$34,6,FALSE),VLOOKUP($A33,EnrollData2324,'2324 Jun 24 Enroll'!F$1,FALSE),VLOOKUP($A33,'ESA Calculations 2324'!$A$4:$AE$34,6,FALSE))*Apport_223A2324,3)</f>
        <v>6.7000000000000004E-2</v>
      </c>
      <c r="O33">
        <f>ROUND(IF(VLOOKUP($A33,EnrollData2324,'2324 Jun 24 Enroll'!G$1,FALSE)=VLOOKUP($A33,'ESA Calculations 2324'!$A$4:$AE$34,7,FALSE),VLOOKUP($A33,EnrollData2324,'2324 Jun 24 Enroll'!G$1,FALSE),VLOOKUP($A33,'ESA Calculations 2324'!$A$4:$AE$34,7,FALSE))*Apport_211A2324,3)</f>
        <v>0.19900000000000001</v>
      </c>
      <c r="P33">
        <f>ROUND(IF(VLOOKUP($A33,EnrollData2324,'2324 Jun 24 Enroll'!H$1,FALSE)=VLOOKUP($A33,'ESA Calculations 2324'!$A$4:$AE$34,8,FALSE),VLOOKUP($A33,EnrollData2324,'2324 Jun 24 Enroll'!H$1,FALSE),VLOOKUP($A33,'ESA Calculations 2324'!$A$4:$AE$34,8,FALSE))*Apport_214A2324,3)</f>
        <v>0.16700000000000001</v>
      </c>
      <c r="Q33">
        <f>ROUND(IF(VLOOKUP($A33,EnrollData2324,'2324 Jun 24 Enroll'!I$1,FALSE)+VLOOKUP($A33,EnrollData2324,'2324 Jun 24 Enroll'!M$1,FALSE)-VLOOKUP($A33,EnrollData2324,'2324 Jun 24 Enroll'!J$1,FALSE)=VLOOKUP($A33,'ESA Calculations 2324'!$A$4:$AE$34,9,FALSE)+VLOOKUP($A33,'ESA Calculations 2324'!$A$4:$AE$34,18,FALSE)-VLOOKUP($A33,'ESA Calculations 2324'!$A$4:$AE$34,10,FALSE),VLOOKUP($A33,EnrollData2324,'2324 Jun 24 Enroll'!I$1,FALSE)+VLOOKUP($A33,EnrollData2324,'2324 Jun 24 Enroll'!M$1,FALSE)-VLOOKUP($A33,EnrollData2324,'2324 Jun 24 Enroll'!J$1,FALSE),VLOOKUP($A33,'ESA Calculations 2324'!$A$4:$AE$34,9,FALSE)+VLOOKUP($A33,'ESA Calculations 2324'!$A$4:$AE$34,18,FALSE)-VLOOKUP($A33,'ESA Calculations 2324'!$A$4:$AE$34,10,FALSE))*Apport_217A2324,3)</f>
        <v>0.38100000000000001</v>
      </c>
      <c r="R33">
        <f>ROUND(SUM(L33:Q33)/IF(VLOOKUP($A33,EnrollData2324,'2324 Jun 24 Enroll'!M$1,FALSE)+VLOOKUP($A33,EnrollData2324,'2324 Jun 24 Enroll'!D$1,FALSE)=VLOOKUP($A33,'ESA Calculations 2324'!$A$4:$AE$34,18,FALSE)+VLOOKUP($A33,'ESA Calculations 2324'!$A$4:$AE$34,4,FALSE),VLOOKUP($A33,EnrollData2324,'2324 Jun 24 Enroll'!M$1,FALSE)+VLOOKUP($A33,EnrollData2324,'2324 Jun 24 Enroll'!D$1,FALSE),VLOOKUP($A33,'ESA Calculations 2324'!$A$4:$AE$34,18,FALSE)+VLOOKUP($A33,'ESA Calculations 2324'!$A$4:$AE$34,4,FALSE)),5)</f>
        <v>4.13E-3</v>
      </c>
      <c r="S33" s="11">
        <f t="shared" si="8"/>
        <v>1.82726E-2</v>
      </c>
      <c r="T33">
        <f>ROUND(IF(VLOOKUP($A33,EnrollData2324,'2324 Jun 24 Enroll'!D$1,FALSE)=VLOOKUP($A33,'ESA Calculations 2324'!$A$4:$AE$34,4,FALSE),VLOOKUP($A33,EnrollData2324,'2324 Jun 24 Enroll'!D$1,FALSE),VLOOKUP($A33,'ESA Calculations 2324'!$A$4:$AE$34,4,FALSE))*S33,3)</f>
        <v>0</v>
      </c>
      <c r="U33">
        <f>ROUND(IF(VLOOKUP($A33,EnrollData2324,'2324 Jun 24 Enroll'!E$1,FALSE)=VLOOKUP($A33,'ESA Calculations 2324'!$A$4:$AE$34,5,FALSE),VLOOKUP($A33,EnrollData2324,'2324 Jun 24 Enroll'!E$1,FALSE),VLOOKUP($A33,'ESA Calculations 2324'!$A$4:$AE$34,5,FALSE))*S33,3)</f>
        <v>1.4830000000000001</v>
      </c>
      <c r="V33">
        <f>ROUND(IF(VLOOKUP($A33,EnrollData2324,'2324 Jun 24 Enroll'!F$1,FALSE)=VLOOKUP($A33,'ESA Calculations 2324'!$A$4:$AE$34,6,FALSE),VLOOKUP($A33,EnrollData2324,'2324 Jun 24 Enroll'!F$1,FALSE),VLOOKUP($A33,'ESA Calculations 2324'!$A$4:$AE$34,6,FALSE))*Apport_224A2324,3)</f>
        <v>0.28899999999999998</v>
      </c>
      <c r="W33">
        <f>ROUND(IF(VLOOKUP($A33,EnrollData2324,'2324 Jun 24 Enroll'!G$1,FALSE)=VLOOKUP($A33,'ESA Calculations 2324'!$A$4:$AE$34,7,FALSE),VLOOKUP($A33,EnrollData2324,'2324 Jun 24 Enroll'!G$1,FALSE),VLOOKUP($A33,'ESA Calculations 2324'!$A$4:$AE$34,7,FALSE))*Apport_212A2324,3)</f>
        <v>0.85499999999999998</v>
      </c>
      <c r="X33">
        <f>ROUND(IF(VLOOKUP($A33,EnrollData2324,'2324 Jun 24 Enroll'!H$1,FALSE)=VLOOKUP($A33,'ESA Calculations 2324'!$A$4:$AE$34,8,FALSE),VLOOKUP($A33,EnrollData2324,'2324 Jun 24 Enroll'!H$1,FALSE),VLOOKUP($A33,'ESA Calculations 2324'!$A$4:$AE$34,8,FALSE))*Apport_215A2324,3)</f>
        <v>0.70899999999999996</v>
      </c>
      <c r="Y33">
        <f>ROUND(IF(VLOOKUP($A33,EnrollData2324,'2324 Jun 24 Enroll'!I$1,FALSE)+VLOOKUP($A33,EnrollData2324,'2324 Jun 24 Enroll'!M$1,FALSE)-VLOOKUP($A33,EnrollData2324,'2324 Jun 24 Enroll'!J$1,FALSE)=VLOOKUP($A33,'ESA Calculations 2324'!$A$4:$AE$34,9,FALSE)+VLOOKUP($A33,'ESA Calculations 2324'!$A$4:$AE$34,18,FALSE)-VLOOKUP($A33,'ESA Calculations 2324'!$A$4:$AE$34,10,FALSE),VLOOKUP($A33,EnrollData2324,'2324 Jun 24 Enroll'!I$1,FALSE)+VLOOKUP($A33,EnrollData2324,'2324 Jun 24 Enroll'!M$1,FALSE)-VLOOKUP($A33,EnrollData2324,'2324 Jun 24 Enroll'!J$1,FALSE),VLOOKUP($A33,'ESA Calculations 2324'!$A$4:$AE$34,9,FALSE)+VLOOKUP($A33,'ESA Calculations 2324'!$A$4:$AE$34,18,FALSE)-VLOOKUP($A33,'ESA Calculations 2324'!$A$4:$AE$34,10,FALSE))*Apport_218A2324,3)</f>
        <v>1.6160000000000001</v>
      </c>
      <c r="Z33">
        <f>ROUND(SUM(T33:Y33)/IF(VLOOKUP($A33,EnrollData2324,'2324 Jun 24 Enroll'!M$1,FALSE)+VLOOKUP($A33,EnrollData2324,'2324 Jun 24 Enroll'!D$1,FALSE)=VLOOKUP($A33,'ESA Calculations 2324'!$A$4:$AE$34,18,FALSE)+VLOOKUP($A33,'ESA Calculations 2324'!$A$4:$AE$34,4,FALSE),VLOOKUP($A33,EnrollData2324,'2324 Jun 24 Enroll'!M$1,FALSE)+VLOOKUP($A33,EnrollData2324,'2324 Jun 24 Enroll'!D$1,FALSE),VLOOKUP($A33,'ESA Calculations 2324'!$A$4:$AE$34,18,FALSE)+VLOOKUP($A33,'ESA Calculations 2324'!$A$4:$AE$34,4,FALSE)),5)</f>
        <v>1.7500000000000002E-2</v>
      </c>
      <c r="AA33" s="6">
        <f>ROUND($J33*CIS_Base_Salary2324*VLOOKUP($A33,EnrollData2324,'2324 Jun 24 Enroll'!S$1,FALSE),2)</f>
        <v>4071.31</v>
      </c>
      <c r="AB33" s="6">
        <f>ROUND($J33*CIS_Inc_Salary2324*(VLOOKUP($A33,EnrollData2324,'2324 Jun 24 Enroll'!T$1,FALSE)+VLOOKUP($A33,EnrollData2324,'2324 Jun 24 Enroll'!U$1,FALSE)),2)-AA33</f>
        <v>150.65000000000009</v>
      </c>
      <c r="AC33" s="6">
        <f>ROUND($R33*CAS_Base_Salary2324*VLOOKUP($A33,EnrollData2324,'2324 Jun 24 Enroll'!S$1,FALSE),2)</f>
        <v>445.85</v>
      </c>
      <c r="AD33" s="6">
        <f>ROUND($R33*CAS_Inc_Salary2324*VLOOKUP($A33,EnrollData2324,'2324 Jun 24 Enroll'!T$1,FALSE),2)-AC33</f>
        <v>16.5</v>
      </c>
      <c r="AE33" s="6">
        <f>ROUND($Z33*CLS_Base_Salary2324*VLOOKUP($A33,EnrollData2324,'2324 Jun 24 Enroll'!S$1,FALSE),2)</f>
        <v>913.03</v>
      </c>
      <c r="AF33" s="6">
        <f>ROUND($Z33*CLS_Inc_Salary2324*VLOOKUP($A33,EnrollData2324,'2324 Jun 24 Enroll'!T$1,FALSE),2)-AE33</f>
        <v>33.769999999999982</v>
      </c>
      <c r="AG33">
        <f t="shared" si="9"/>
        <v>740.07</v>
      </c>
      <c r="AH33" s="69">
        <f t="shared" si="10"/>
        <v>69.25</v>
      </c>
      <c r="AI33">
        <f t="shared" si="11"/>
        <v>215.46</v>
      </c>
      <c r="AJ33">
        <f t="shared" si="12"/>
        <v>114.86999999999998</v>
      </c>
      <c r="AK33">
        <f t="shared" si="13"/>
        <v>811.73</v>
      </c>
      <c r="AL33">
        <f t="shared" si="14"/>
        <v>28.97</v>
      </c>
      <c r="AM33">
        <f t="shared" si="15"/>
        <v>201.41</v>
      </c>
      <c r="AN33">
        <f t="shared" si="16"/>
        <v>6.27</v>
      </c>
      <c r="AO33">
        <f>ROUND(($J33*CIS_Inc_Salary2324*(VLOOKUP($A33,EnrollData2324,'2324 Jun 24 Enroll'!T$1,FALSE)+VLOOKUP($A33,EnrollData2324,'2324 Jun 24 Enroll'!U$1,FALSE))/Apport_613Xpd)*Apport_614Xpd,2)</f>
        <v>70.37</v>
      </c>
      <c r="AP33">
        <f t="shared" si="17"/>
        <v>12.2</v>
      </c>
      <c r="AQ33">
        <f t="shared" si="19"/>
        <v>31.18</v>
      </c>
      <c r="AR33" s="6">
        <f>ROUND((IF(VLOOKUP($A33,EnrollData2324,'2324 Jun 24 Enroll'!D$1,FALSE)=VLOOKUP($A33,'ESA Calculations 2324'!$A$4:$AE$34,4,FALSE),VLOOKUP($A33,EnrollData2324,'2324 Jun 24 Enroll'!D$1,FALSE),VLOOKUP($A33,'ESA Calculations 2324'!$A$4:$AE$34,4,FALSE))*Apport_M802324+IF(VLOOKUP($A33,EnrollData2324,'2324 Jun 24 Enroll'!M$1,FALSE)=VLOOKUP($A33,'ESA Calculations 2324'!$A$4:$AE$34,18,FALSE),VLOOKUP($A33,EnrollData2324,'2324 Jun 24 Enroll'!M$1,FALSE),VLOOKUP($A33,'ESA Calculations 2324'!$A$4:$AE$34,18,FALSE))*Apport_M802324+IF((VLOOKUP($A33,EnrollData2324,'2324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Enroll'!L$1,FALSE))=VLOOKUP($A33,EnrollData2324,'2324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Enroll'!L$1,FALSE),(VLOOKUP($A33,EnrollData2324,'2324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Enroll'!L$1,FALSE)),(VLOOKUP($A33,EnrollData2324,'2324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Enroll'!L$1,FALSE)))*Apport_M812324)/(IF(VLOOKUP($A33,EnrollData2324,'2324 Jun 24 Enroll'!M$1,FALSE)=VLOOKUP($A33,'ESA Calculations 2324'!$A$4:$AE$34,18,FALSE),VLOOKUP($A33,EnrollData2324,'2324 Jun 24 Enroll'!M$1,FALSE),VLOOKUP($A33,'ESA Calculations 2324'!$A$4:$AE$34,18,FALSE))+IF(VLOOKUP($A33,EnrollData2324,'2324 Jun 24 Enroll'!D$1,FALSE)=VLOOKUP($A33,'ESA Calculations 2324'!$A$4:$AE$34,4,FALSE),VLOOKUP($A33,EnrollData2324,'2324 Jun 24 Enroll'!D$1,FALSE),VLOOKUP($A33,'ESA Calculations 2324'!$A$4:$AE$34,4,FALSE))),2)</f>
        <v>1550.08</v>
      </c>
      <c r="AS33" s="7">
        <f t="shared" si="20"/>
        <v>9482.9700000000012</v>
      </c>
      <c r="AT33" s="6">
        <f>IF(VLOOKUP($A33,EnrollData2324,'2324 Jun 24 Enroll'!AA$1,FALSE)=VLOOKUP($A33,'ESA Calculations 2324'!$A$4:$AE$34,24,FALSE),VLOOKUP($A33,EnrollData2324,'2324 Jun 24 Enroll'!AA$1,FALSE),VLOOKUP($A33,'ESA Calculations 2324'!$A$4:$AE$34,24,FALSE))</f>
        <v>287.66000000000003</v>
      </c>
    </row>
    <row r="34" spans="1:46" s="15" customFormat="1">
      <c r="A34" s="52" t="s">
        <v>1023</v>
      </c>
      <c r="B34" s="52" t="s">
        <v>1024</v>
      </c>
      <c r="C34" s="33"/>
      <c r="K34" s="33"/>
      <c r="S34" s="33"/>
      <c r="AA34" s="50"/>
      <c r="AB34" s="50"/>
      <c r="AC34" s="50"/>
      <c r="AD34" s="50"/>
      <c r="AE34" s="50"/>
      <c r="AF34" s="50"/>
      <c r="AR34" s="50"/>
      <c r="AS34" s="57">
        <f>ROUND(SUMPRODUCT($AT4:$AT33,AS4:AS33)/$AT34,2)</f>
        <v>9474.8799999999992</v>
      </c>
      <c r="AT34" s="53">
        <f>SUM(AT4:AT33)</f>
        <v>11746.89</v>
      </c>
    </row>
    <row r="35" spans="1:46">
      <c r="A35" s="40" t="s">
        <v>859</v>
      </c>
      <c r="B35" s="40" t="s">
        <v>860</v>
      </c>
      <c r="C35" s="11">
        <f>ROUND((IFERROR((1/IF(VLOOKUP($A35,EnrollData2324,28,FALSE)='District Calculations'!$B$10,VLOOKUP($A35,EnrollData2324,28,FALSE),'District Calculations'!$B$10))*(1+Apport_Z315),0))+Apport_201A2324,6)</f>
        <v>7.3449E-2</v>
      </c>
      <c r="D35">
        <f>ROUND(IF(VLOOKUP($A35,EnrollData2324,'2324 Jun 24 Enroll'!D$1,FALSE)='District Calculations'!$B$11,VLOOKUP($A35,EnrollData2324,'2324 Jun 24 Enroll'!D$1,FALSE),'District Calculations'!$B$11)*C35,3)</f>
        <v>0</v>
      </c>
      <c r="E35">
        <f>ROUND(IF(VLOOKUP($A35,EnrollData2324,'2324 Jun 24 Enroll'!E$1,FALSE)='District Calculations'!$B$12,VLOOKUP($A35,EnrollData2324,'2324 Jun 24 Enroll'!E$1,FALSE),'District Calculations'!$B$12)*C35,3)</f>
        <v>59.53</v>
      </c>
      <c r="F35">
        <f>ROUND(IF(VLOOKUP($A35,EnrollData2324,'2324 Jun 24 Enroll'!F$1,FALSE)='District Calculations'!$B$13,VLOOKUP($A35,EnrollData2324,'2324 Jun 24 Enroll'!F$1,FALSE),'District Calculations'!$B$13)*Apport_222A2324,3)</f>
        <v>10.101000000000001</v>
      </c>
      <c r="G35">
        <f>ROUND(IF(VLOOKUP($A35,EnrollData2324,'2324 Jun 24 Enroll'!G$1,FALSE)='District Calculations'!$B$14,VLOOKUP($A35,EnrollData2324,'2324 Jun 24 Enroll'!G$1,FALSE),'District Calculations'!$B$14)*Apport_210A2324,3)</f>
        <v>22.395</v>
      </c>
      <c r="H35">
        <f>ROUND(IF(VLOOKUP($A35,EnrollData2324,'2324 Jun 24 Enroll'!H$1,FALSE)='District Calculations'!$B$15,VLOOKUP($A35,EnrollData2324,'2324 Jun 24 Enroll'!H$1,FALSE),'District Calculations'!$B$15)*Apport_213A2324,3)</f>
        <v>23.091999999999999</v>
      </c>
      <c r="I35">
        <f>ROUND(IF(VLOOKUP($A35,EnrollData2324,'2324 Jun 24 Enroll'!I$1,FALSE)+VLOOKUP($A35,EnrollData2324,'2324 Jun 24 Enroll'!M$1,FALSE)-VLOOKUP($A35,EnrollData2324,'2324 Jun 24 Enroll'!J$1,FALSE)='District Calculations'!$B$16+'District Calculations'!$B$25-'District Calculations'!$B$17,VLOOKUP($A35,EnrollData2324,'2324 Jun 24 Enroll'!I$1,FALSE)+VLOOKUP($A35,EnrollData2324,'2324 Jun 24 Enroll'!M$1,FALSE)-VLOOKUP($A35,EnrollData2324,'2324 Jun 24 Enroll'!J$1,FALSE),'District Calculations'!$B$16+'District Calculations'!$B$25-'District Calculations'!$B$17)*Apport_216A2324,3)</f>
        <v>58.183999999999997</v>
      </c>
      <c r="J35">
        <f>ROUND(SUM(D35:I35)/(IF(VLOOKUP($A35,EnrollData2324,'2324 Jun 24 Enroll'!M$1,FALSE)='District Calculations'!$B$25,VLOOKUP($A35,EnrollData2324,'2324 Jun 24 Enroll'!M$1,FALSE),'District Calculations'!$B$25)+IF(VLOOKUP($A35,EnrollData2324,'2324 Jun 24 Enroll'!D$1,FALSE)='District Calculations'!$B$11,VLOOKUP($A35,EnrollData2324,'2324 Jun 24 Enroll'!D$1,FALSE),'District Calculations'!$B$11)),5)</f>
        <v>5.5530000000000003E-2</v>
      </c>
      <c r="K35" s="11">
        <f t="shared" ref="K35:K98" si="21">ROUND(((($C35+Apport_203A2324+Apport_202A2324)*Apport_557X)*Apport_558X)+Apport_202A2324,6)</f>
        <v>4.365E-3</v>
      </c>
      <c r="L35">
        <f>ROUND(IF(VLOOKUP($A35,EnrollData2324,'2324 Jun 24 Enroll'!D$1,FALSE)='District Calculations'!$B$11,VLOOKUP($A35,EnrollData2324,'2324 Jun 24 Enroll'!D$1,FALSE),'District Calculations'!$B$11)*K35,3)</f>
        <v>0</v>
      </c>
      <c r="M35">
        <f>ROUND(IF(VLOOKUP($A35,EnrollData2324,'2324 Jun 24 Enroll'!E$1,FALSE)='District Calculations'!$B$12,VLOOKUP($A35,EnrollData2324,'2324 Jun 24 Enroll'!E$1,FALSE),'District Calculations'!$B$12)*K35,3)</f>
        <v>3.5379999999999998</v>
      </c>
      <c r="N35">
        <f>ROUND(IF(VLOOKUP($A35,EnrollData2324,'2324 Jun 24 Enroll'!F$1,FALSE)='District Calculations'!$B$13,VLOOKUP($A35,EnrollData2324,'2324 Jun 24 Enroll'!F$1,FALSE),'District Calculations'!$B$13)*Apport_223A2324,3)</f>
        <v>0.84199999999999997</v>
      </c>
      <c r="O35">
        <f>ROUND(IF(VLOOKUP($A35,EnrollData2324,'2324 Jun 24 Enroll'!G$1,FALSE)='District Calculations'!$B$14,VLOOKUP($A35,EnrollData2324,'2324 Jun 24 Enroll'!G$1,FALSE),'District Calculations'!$B$14)*Apport_211A2324,3)</f>
        <v>1.867</v>
      </c>
      <c r="P35">
        <f>ROUND(IF(VLOOKUP($A35,EnrollData2324,'2324 Jun 24 Enroll'!H$1,FALSE)='District Calculations'!$B$14,VLOOKUP($A35,EnrollData2324,'2324 Jun 24 Enroll'!H$1,FALSE),'District Calculations'!$B$14)*Apport_214A2324,3)</f>
        <v>1.8660000000000001</v>
      </c>
      <c r="Q35">
        <f>ROUND(IF(VLOOKUP($A35,EnrollData2324,'2324 Jun 24 Enroll'!I$1,FALSE)+VLOOKUP($A35,EnrollData2324,'2324 Jun 24 Enroll'!M$1,FALSE)-VLOOKUP($A35,EnrollData2324,'2324 Jun 24 Enroll'!J$1,FALSE)='District Calculations'!$B$16+'District Calculations'!$B$25-'District Calculations'!$B$17,VLOOKUP($A35,EnrollData2324,'2324 Jun 24 Enroll'!I$1,FALSE)+VLOOKUP($A35,EnrollData2324,'2324 Jun 24 Enroll'!M$1,FALSE)-VLOOKUP($A35,EnrollData2324,'2324 Jun 24 Enroll'!J$1,FALSE),'District Calculations'!$B$16+'District Calculations'!$B$25-'District Calculations'!$B$17)*Apport_217A2324,3)</f>
        <v>4.6980000000000004</v>
      </c>
      <c r="R35">
        <f>ROUND(SUM(L35:Q35)/IF(VLOOKUP($A35,EnrollData2324,'2324 Jun 24 Enroll'!M$1,FALSE)+VLOOKUP($A35,EnrollData2324,'2324 Jun 24 Enroll'!D$1,FALSE)='District Calculations'!$B$25+'District Calculations'!$B$11,VLOOKUP($A35,EnrollData2324,'2324 Jun 24 Enroll'!M$1,FALSE)+VLOOKUP($A35,EnrollData2324,'2324 Jun 24 Enroll'!D$1,FALSE),'District Calculations'!$B$25+'District Calculations'!$B$11),5)</f>
        <v>4.1000000000000003E-3</v>
      </c>
      <c r="S35" s="11">
        <f t="shared" ref="S35:S98" si="22">ROUND(((($C35+Apport_203A2324+Apport_202A2324)*Apport_557X)*Apport_559X)+Apport_203A2324,7)</f>
        <v>1.8294500000000002E-2</v>
      </c>
      <c r="T35">
        <f>ROUND(IF(VLOOKUP($A35,EnrollData2324,'2324 Jun 24 Enroll'!D$1,FALSE)='District Calculations'!$B$11,VLOOKUP($A35,EnrollData2324,'2324 Jun 24 Enroll'!D$1,FALSE),'District Calculations'!$B$11)*S35,3)</f>
        <v>0</v>
      </c>
      <c r="U35">
        <f>ROUND(IF(VLOOKUP($A35,EnrollData2324,'2324 Jun 24 Enroll'!E$1,FALSE)='District Calculations'!$B$12,VLOOKUP($A35,EnrollData2324,'2324 Jun 24 Enroll'!E$1,FALSE),'District Calculations'!$B$12)*S35,3)</f>
        <v>14.827999999999999</v>
      </c>
      <c r="V35">
        <f>ROUND(IF(VLOOKUP($A35,EnrollData2324,'2324 Jun 24 Enroll'!F$1,FALSE)='District Calculations'!$B$13,VLOOKUP($A35,EnrollData2324,'2324 Jun 24 Enroll'!F$1,FALSE),'District Calculations'!$B$13)*Apport_224A2324,3)</f>
        <v>3.6190000000000002</v>
      </c>
      <c r="W35">
        <f>ROUND(IF(VLOOKUP($A35,EnrollData2324,'2324 Jun 24 Enroll'!G$1,FALSE)='District Calculations'!$B$14,VLOOKUP($A35,EnrollData2324,'2324 Jun 24 Enroll'!G$1,FALSE),'District Calculations'!$B$14)*Apport_212A2324,3)</f>
        <v>8.0239999999999991</v>
      </c>
      <c r="X35">
        <f>ROUND(IF(VLOOKUP($A35,EnrollData2324,'2324 Jun 24 Enroll'!H$1,FALSE)='District Calculations'!$B$14,VLOOKUP($A35,EnrollData2324,'2324 Jun 24 Enroll'!H$1,FALSE),'District Calculations'!$B$14)*Apport_215A2324,3)</f>
        <v>7.9279999999999999</v>
      </c>
      <c r="Y35">
        <f>ROUND(IF(VLOOKUP($A35,EnrollData2324,'2324 Jun 24 Enroll'!I$1,FALSE)+VLOOKUP($A35,EnrollData2324,'2324 Jun 24 Enroll'!M$1,FALSE)-VLOOKUP($A35,EnrollData2324,'2324 Jun 24 Enroll'!J$1,FALSE)='District Calculations'!$B$16+'District Calculations'!$B$25-'District Calculations'!$B$17,VLOOKUP($A35,EnrollData2324,'2324 Jun 24 Enroll'!I$1,FALSE)+VLOOKUP($A35,EnrollData2324,'2324 Jun 24 Enroll'!M$1,FALSE)-VLOOKUP($A35,EnrollData2324,'2324 Jun 24 Enroll'!J$1,FALSE),'District Calculations'!$B$16+'District Calculations'!$B$25-'District Calculations'!$B$17)*Apport_218A2324,3)</f>
        <v>19.917999999999999</v>
      </c>
      <c r="Z35">
        <f>ROUND(SUM(T35:Y35)/IF(VLOOKUP($A35,EnrollData2324,'2324 Jun 24 Enroll'!M$1,FALSE)+VLOOKUP($A35,EnrollData2324,'2324 Jun 24 Enroll'!D$1,FALSE)='District Calculations'!$B$25+'District Calculations'!$B$11,VLOOKUP($A35,EnrollData2324,'2324 Jun 24 Enroll'!M$1,FALSE)+VLOOKUP($A35,EnrollData2324,'2324 Jun 24 Enroll'!D$1,FALSE),'District Calculations'!$B$25+'District Calculations'!$B$11),5)</f>
        <v>1.7399999999999999E-2</v>
      </c>
      <c r="AA35" s="6">
        <f>ROUND($J35*CIS_Base_Salary2324*VLOOKUP($A35,EnrollData2324,'2324 Jun 24 Enroll'!S$1,FALSE),2)</f>
        <v>4038.59</v>
      </c>
      <c r="AB35" s="6">
        <f>ROUND($J35*CIS_Inc_Salary2324*(VLOOKUP($A35,EnrollData2324,'2324 Jun 24 Enroll'!T$1,FALSE)+VLOOKUP($A35,EnrollData2324,'2324 Jun 24 Enroll'!U$1,FALSE)),2)-AA35</f>
        <v>149.43000000000029</v>
      </c>
      <c r="AC35" s="6">
        <f>ROUND($R35*CAS_Base_Salary2324*VLOOKUP($A35,EnrollData2324,'2324 Jun 24 Enroll'!S$1,FALSE),2)</f>
        <v>442.62</v>
      </c>
      <c r="AD35" s="6">
        <f>ROUND($R35*CAS_Inc_Salary2324*VLOOKUP($A35,EnrollData2324,'2324 Jun 24 Enroll'!T$1,FALSE),2)-AC35</f>
        <v>16.379999999999995</v>
      </c>
      <c r="AE35" s="6">
        <f>ROUND($Z35*CLS_Base_Salary2324*VLOOKUP($A35,EnrollData2324,'2324 Jun 24 Enroll'!S$1,FALSE),2)</f>
        <v>907.81</v>
      </c>
      <c r="AF35" s="6">
        <f>ROUND($Z35*CLS_Inc_Salary2324*VLOOKUP($A35,EnrollData2324,'2324 Jun 24 Enroll'!T$1,FALSE),2)-AE35</f>
        <v>33.580000000000041</v>
      </c>
      <c r="AG35">
        <f t="shared" si="9"/>
        <v>734.16</v>
      </c>
      <c r="AH35" s="69">
        <f t="shared" ref="AH35:AH98" si="23">ROUND(($J35+$R35)*Apport_621X2324*Apport_125XC2324,2)-AG35</f>
        <v>68.700000000000045</v>
      </c>
      <c r="AI35">
        <f t="shared" si="11"/>
        <v>214.23</v>
      </c>
      <c r="AJ35">
        <f t="shared" ref="AJ35:AJ98" si="24">ROUND($Z35*Apport_621X2324*Apport_125X2324,2)-AI35</f>
        <v>114.21000000000001</v>
      </c>
      <c r="AK35">
        <f t="shared" ref="AK35:AK98" si="25">ROUND((AA35+AC35)*Apport_126X2324,2)</f>
        <v>805.27</v>
      </c>
      <c r="AL35">
        <f t="shared" ref="AL35:AL98" si="26">ROUND((AB35+AD35)*Apport_127X2324,2)</f>
        <v>28.73</v>
      </c>
      <c r="AM35">
        <f t="shared" ref="AM35:AM98" si="27">ROUND(AE35*Apport_128X2324,2)</f>
        <v>200.26</v>
      </c>
      <c r="AN35">
        <f t="shared" ref="AN35:AN98" si="28">ROUND(AF35*Apport_129X2324,2)</f>
        <v>6.23</v>
      </c>
      <c r="AO35">
        <f>ROUND(($J35*CIS_Inc_Salary2324*(VLOOKUP($A35,EnrollData2324,'2324 Jun 24 Enroll'!T$1,FALSE)+VLOOKUP($A35,EnrollData2324,'2324 Jun 24 Enroll'!U$1,FALSE))/Apport_613Xpd)*Apport_614Xpd,2)</f>
        <v>69.8</v>
      </c>
      <c r="AP35">
        <f t="shared" ref="AP35:AP98" si="29">ROUND(AO35*Apport_127X2324,2)</f>
        <v>12.1</v>
      </c>
      <c r="AQ35">
        <f t="shared" ref="AQ35" si="30">ROUND((J35*Apport_581X)*(Apport_116X*Apport_132X),2)</f>
        <v>30.93</v>
      </c>
      <c r="AR35" s="6">
        <f>ROUND((VLOOKUP($A35,EnrollData2324,'2324 Jun 24 Enroll'!D$1,FALSE)*Apport_M802324+VLOOKUP($A35,EnrollData2324,'2324 Jun 24 Enroll'!M$1,FALSE)*Apport_M802324+(VLOOKUP($A35,EnrollData2324,'2324 Jun 24 Enroll'!P$1,FALSE)+VLOOKUP($A35,EnrollData2324,'2324 Jun 24 Enroll'!Q$1,FALSE)+VLOOKUP($A35,EnrollData2324,'2324 Jun 24 Enroll'!R$1,FALSE)+VLOOKUP($A35,EnrollData2324,'2324 Jun 24 Enroll'!I$1,FALSE)+VLOOKUP($A35,EnrollData2324,'2324 Jun 24 Enroll'!N$1,FALSE)+VLOOKUP($A35,EnrollData2324,'2324 Jun 24 Enroll'!O$1,FALSE)+VLOOKUP($A35,EnrollData2324,'2324 Jun 24 Enroll'!K$1,FALSE)+VLOOKUP($A35,EnrollData2324,'2324 Jun 24 Enroll'!L$1,FALSE))*Apport_M812324)/(VLOOKUP($A35,EnrollData2324,'2324 Jun 24 Enroll'!M$1,FALSE)+VLOOKUP($A35,EnrollData2324,'2324 Jun 24 Enroll'!D$1,FALSE)),2)</f>
        <v>1569.29</v>
      </c>
      <c r="AS35" s="7">
        <f t="shared" ref="AS35" si="31">SUM(AA35:AR35)</f>
        <v>9442.32</v>
      </c>
    </row>
    <row r="36" spans="1:46">
      <c r="A36" s="40" t="s">
        <v>337</v>
      </c>
      <c r="B36" s="40" t="s">
        <v>338</v>
      </c>
      <c r="C36" s="11">
        <f>ROUND((IFERROR((1/IF(VLOOKUP($A36,EnrollData2324,28,FALSE)='District Calculations'!$B$10,VLOOKUP($A36,EnrollData2324,28,FALSE),'District Calculations'!$B$10))*(1+Apport_Z315),0))+Apport_201A2324,6)</f>
        <v>7.3449E-2</v>
      </c>
      <c r="D36">
        <f>ROUND(IF(VLOOKUP($A36,EnrollData2324,'2324 Jun 24 Enroll'!D$1,FALSE)='District Calculations'!$B$11,VLOOKUP($A36,EnrollData2324,'2324 Jun 24 Enroll'!D$1,FALSE),'District Calculations'!$B$11)*C36,3)</f>
        <v>0</v>
      </c>
      <c r="E36">
        <f>ROUND(IF(VLOOKUP($A36,EnrollData2324,'2324 Jun 24 Enroll'!E$1,FALSE)='District Calculations'!$B$12,VLOOKUP($A36,EnrollData2324,'2324 Jun 24 Enroll'!E$1,FALSE),'District Calculations'!$B$12)*C36,3)</f>
        <v>59.53</v>
      </c>
      <c r="F36">
        <f>ROUND(IF(VLOOKUP($A36,EnrollData2324,'2324 Jun 24 Enroll'!F$1,FALSE)='District Calculations'!$B$13,VLOOKUP($A36,EnrollData2324,'2324 Jun 24 Enroll'!F$1,FALSE),'District Calculations'!$B$13)*Apport_222A2324,3)</f>
        <v>10.101000000000001</v>
      </c>
      <c r="G36">
        <f>ROUND(IF(VLOOKUP($A36,EnrollData2324,'2324 Jun 24 Enroll'!G$1,FALSE)='District Calculations'!$B$14,VLOOKUP($A36,EnrollData2324,'2324 Jun 24 Enroll'!G$1,FALSE),'District Calculations'!$B$14)*Apport_210A2324,3)</f>
        <v>22.395</v>
      </c>
      <c r="H36">
        <f>ROUND(IF(VLOOKUP($A36,EnrollData2324,'2324 Jun 24 Enroll'!H$1,FALSE)='District Calculations'!$B$15,VLOOKUP($A36,EnrollData2324,'2324 Jun 24 Enroll'!H$1,FALSE),'District Calculations'!$B$15)*Apport_213A2324,3)</f>
        <v>23.091999999999999</v>
      </c>
      <c r="I36">
        <f>ROUND(IF(VLOOKUP($A36,EnrollData2324,'2324 Jun 24 Enroll'!I$1,FALSE)+VLOOKUP($A36,EnrollData2324,'2324 Jun 24 Enroll'!M$1,FALSE)-VLOOKUP($A36,EnrollData2324,'2324 Jun 24 Enroll'!J$1,FALSE)='District Calculations'!$B$16+'District Calculations'!$B$25-'District Calculations'!$B$17,VLOOKUP($A36,EnrollData2324,'2324 Jun 24 Enroll'!I$1,FALSE)+VLOOKUP($A36,EnrollData2324,'2324 Jun 24 Enroll'!M$1,FALSE)-VLOOKUP($A36,EnrollData2324,'2324 Jun 24 Enroll'!J$1,FALSE),'District Calculations'!$B$16+'District Calculations'!$B$25-'District Calculations'!$B$17)*Apport_216A2324,3)</f>
        <v>58.183999999999997</v>
      </c>
      <c r="J36">
        <f>ROUND(SUM(D36:I36)/(IF(VLOOKUP($A36,EnrollData2324,'2324 Jun 24 Enroll'!M$1,FALSE)='District Calculations'!$B$25,VLOOKUP($A36,EnrollData2324,'2324 Jun 24 Enroll'!M$1,FALSE),'District Calculations'!$B$25)+IF(VLOOKUP($A36,EnrollData2324,'2324 Jun 24 Enroll'!D$1,FALSE)='District Calculations'!$B$11,VLOOKUP($A36,EnrollData2324,'2324 Jun 24 Enroll'!D$1,FALSE),'District Calculations'!$B$11)),5)</f>
        <v>5.5530000000000003E-2</v>
      </c>
      <c r="K36" s="11">
        <f t="shared" si="21"/>
        <v>4.365E-3</v>
      </c>
      <c r="L36">
        <f>ROUND(IF(VLOOKUP($A36,EnrollData2324,'2324 Jun 24 Enroll'!D$1,FALSE)='District Calculations'!$B$11,VLOOKUP($A36,EnrollData2324,'2324 Jun 24 Enroll'!D$1,FALSE),'District Calculations'!$B$11)*K36,3)</f>
        <v>0</v>
      </c>
      <c r="M36">
        <f>ROUND(IF(VLOOKUP($A36,EnrollData2324,'2324 Jun 24 Enroll'!E$1,FALSE)='District Calculations'!$B$12,VLOOKUP($A36,EnrollData2324,'2324 Jun 24 Enroll'!E$1,FALSE),'District Calculations'!$B$12)*K36,3)</f>
        <v>3.5379999999999998</v>
      </c>
      <c r="N36">
        <f>ROUND(IF(VLOOKUP($A36,EnrollData2324,'2324 Jun 24 Enroll'!F$1,FALSE)='District Calculations'!$B$13,VLOOKUP($A36,EnrollData2324,'2324 Jun 24 Enroll'!F$1,FALSE),'District Calculations'!$B$13)*Apport_223A2324,3)</f>
        <v>0.84199999999999997</v>
      </c>
      <c r="O36">
        <f>ROUND(IF(VLOOKUP($A36,EnrollData2324,'2324 Jun 24 Enroll'!G$1,FALSE)='District Calculations'!$B$14,VLOOKUP($A36,EnrollData2324,'2324 Jun 24 Enroll'!G$1,FALSE),'District Calculations'!$B$14)*Apport_211A2324,3)</f>
        <v>1.867</v>
      </c>
      <c r="P36">
        <f>ROUND(IF(VLOOKUP($A36,EnrollData2324,'2324 Jun 24 Enroll'!H$1,FALSE)='District Calculations'!$B$14,VLOOKUP($A36,EnrollData2324,'2324 Jun 24 Enroll'!H$1,FALSE),'District Calculations'!$B$14)*Apport_214A2324,3)</f>
        <v>1.8660000000000001</v>
      </c>
      <c r="Q36">
        <f>ROUND(IF(VLOOKUP($A36,EnrollData2324,'2324 Jun 24 Enroll'!I$1,FALSE)+VLOOKUP($A36,EnrollData2324,'2324 Jun 24 Enroll'!M$1,FALSE)-VLOOKUP($A36,EnrollData2324,'2324 Jun 24 Enroll'!J$1,FALSE)='District Calculations'!$B$16+'District Calculations'!$B$25-'District Calculations'!$B$17,VLOOKUP($A36,EnrollData2324,'2324 Jun 24 Enroll'!I$1,FALSE)+VLOOKUP($A36,EnrollData2324,'2324 Jun 24 Enroll'!M$1,FALSE)-VLOOKUP($A36,EnrollData2324,'2324 Jun 24 Enroll'!J$1,FALSE),'District Calculations'!$B$16+'District Calculations'!$B$25-'District Calculations'!$B$17)*Apport_217A2324,3)</f>
        <v>4.6980000000000004</v>
      </c>
      <c r="R36">
        <f>ROUND(SUM(L36:Q36)/IF(VLOOKUP($A36,EnrollData2324,'2324 Jun 24 Enroll'!M$1,FALSE)+VLOOKUP($A36,EnrollData2324,'2324 Jun 24 Enroll'!D$1,FALSE)='District Calculations'!$B$25+'District Calculations'!$B$11,VLOOKUP($A36,EnrollData2324,'2324 Jun 24 Enroll'!M$1,FALSE)+VLOOKUP($A36,EnrollData2324,'2324 Jun 24 Enroll'!D$1,FALSE),'District Calculations'!$B$25+'District Calculations'!$B$11),5)</f>
        <v>4.1000000000000003E-3</v>
      </c>
      <c r="S36" s="11">
        <f t="shared" si="22"/>
        <v>1.8294500000000002E-2</v>
      </c>
      <c r="T36">
        <f>ROUND(IF(VLOOKUP($A36,EnrollData2324,'2324 Jun 24 Enroll'!D$1,FALSE)='District Calculations'!$B$11,VLOOKUP($A36,EnrollData2324,'2324 Jun 24 Enroll'!D$1,FALSE),'District Calculations'!$B$11)*S36,3)</f>
        <v>0</v>
      </c>
      <c r="U36">
        <f>ROUND(IF(VLOOKUP($A36,EnrollData2324,'2324 Jun 24 Enroll'!E$1,FALSE)='District Calculations'!$B$12,VLOOKUP($A36,EnrollData2324,'2324 Jun 24 Enroll'!E$1,FALSE),'District Calculations'!$B$12)*S36,3)</f>
        <v>14.827999999999999</v>
      </c>
      <c r="V36">
        <f>ROUND(IF(VLOOKUP($A36,EnrollData2324,'2324 Jun 24 Enroll'!F$1,FALSE)='District Calculations'!$B$13,VLOOKUP($A36,EnrollData2324,'2324 Jun 24 Enroll'!F$1,FALSE),'District Calculations'!$B$13)*Apport_224A2324,3)</f>
        <v>3.6190000000000002</v>
      </c>
      <c r="W36">
        <f>ROUND(IF(VLOOKUP($A36,EnrollData2324,'2324 Jun 24 Enroll'!G$1,FALSE)='District Calculations'!$B$14,VLOOKUP($A36,EnrollData2324,'2324 Jun 24 Enroll'!G$1,FALSE),'District Calculations'!$B$14)*Apport_212A2324,3)</f>
        <v>8.0239999999999991</v>
      </c>
      <c r="X36">
        <f>ROUND(IF(VLOOKUP($A36,EnrollData2324,'2324 Jun 24 Enroll'!H$1,FALSE)='District Calculations'!$B$14,VLOOKUP($A36,EnrollData2324,'2324 Jun 24 Enroll'!H$1,FALSE),'District Calculations'!$B$14)*Apport_215A2324,3)</f>
        <v>7.9279999999999999</v>
      </c>
      <c r="Y36">
        <f>ROUND(IF(VLOOKUP($A36,EnrollData2324,'2324 Jun 24 Enroll'!I$1,FALSE)+VLOOKUP($A36,EnrollData2324,'2324 Jun 24 Enroll'!M$1,FALSE)-VLOOKUP($A36,EnrollData2324,'2324 Jun 24 Enroll'!J$1,FALSE)='District Calculations'!$B$16+'District Calculations'!$B$25-'District Calculations'!$B$17,VLOOKUP($A36,EnrollData2324,'2324 Jun 24 Enroll'!I$1,FALSE)+VLOOKUP($A36,EnrollData2324,'2324 Jun 24 Enroll'!M$1,FALSE)-VLOOKUP($A36,EnrollData2324,'2324 Jun 24 Enroll'!J$1,FALSE),'District Calculations'!$B$16+'District Calculations'!$B$25-'District Calculations'!$B$17)*Apport_218A2324,3)</f>
        <v>19.917999999999999</v>
      </c>
      <c r="Z36">
        <f>ROUND(SUM(T36:Y36)/IF(VLOOKUP($A36,EnrollData2324,'2324 Jun 24 Enroll'!M$1,FALSE)+VLOOKUP($A36,EnrollData2324,'2324 Jun 24 Enroll'!D$1,FALSE)='District Calculations'!$B$25+'District Calculations'!$B$11,VLOOKUP($A36,EnrollData2324,'2324 Jun 24 Enroll'!M$1,FALSE)+VLOOKUP($A36,EnrollData2324,'2324 Jun 24 Enroll'!D$1,FALSE),'District Calculations'!$B$25+'District Calculations'!$B$11),5)</f>
        <v>1.7399999999999999E-2</v>
      </c>
      <c r="AA36" s="6">
        <f>ROUND($J36*CIS_Base_Salary2324*VLOOKUP($A36,EnrollData2324,'2324 Jun 24 Enroll'!S$1,FALSE),2)</f>
        <v>4038.59</v>
      </c>
      <c r="AB36" s="6">
        <f>ROUND($J36*CIS_Inc_Salary2324*(VLOOKUP($A36,EnrollData2324,'2324 Jun 24 Enroll'!T$1,FALSE)+VLOOKUP($A36,EnrollData2324,'2324 Jun 24 Enroll'!U$1,FALSE)),2)-AA36</f>
        <v>149.43000000000029</v>
      </c>
      <c r="AC36" s="6">
        <f>ROUND($R36*CAS_Base_Salary2324*VLOOKUP($A36,EnrollData2324,'2324 Jun 24 Enroll'!S$1,FALSE),2)</f>
        <v>442.62</v>
      </c>
      <c r="AD36" s="6">
        <f>ROUND($R36*CAS_Inc_Salary2324*VLOOKUP($A36,EnrollData2324,'2324 Jun 24 Enroll'!T$1,FALSE),2)-AC36</f>
        <v>16.379999999999995</v>
      </c>
      <c r="AE36" s="6">
        <f>ROUND($Z36*CLS_Base_Salary2324*VLOOKUP($A36,EnrollData2324,'2324 Jun 24 Enroll'!S$1,FALSE),2)</f>
        <v>907.81</v>
      </c>
      <c r="AF36" s="6">
        <f>ROUND($Z36*CLS_Inc_Salary2324*VLOOKUP($A36,EnrollData2324,'2324 Jun 24 Enroll'!T$1,FALSE),2)-AE36</f>
        <v>33.580000000000041</v>
      </c>
      <c r="AG36">
        <f t="shared" si="9"/>
        <v>734.16</v>
      </c>
      <c r="AH36" s="69">
        <f t="shared" si="23"/>
        <v>68.700000000000045</v>
      </c>
      <c r="AI36">
        <f t="shared" si="11"/>
        <v>214.23</v>
      </c>
      <c r="AJ36">
        <f t="shared" si="24"/>
        <v>114.21000000000001</v>
      </c>
      <c r="AK36">
        <f t="shared" si="25"/>
        <v>805.27</v>
      </c>
      <c r="AL36">
        <f t="shared" si="26"/>
        <v>28.73</v>
      </c>
      <c r="AM36">
        <f t="shared" si="27"/>
        <v>200.26</v>
      </c>
      <c r="AN36">
        <f t="shared" si="28"/>
        <v>6.23</v>
      </c>
      <c r="AO36">
        <f>ROUND(($J36*CIS_Inc_Salary2324*(VLOOKUP($A36,EnrollData2324,'2324 Jun 24 Enroll'!T$1,FALSE)+VLOOKUP($A36,EnrollData2324,'2324 Jun 24 Enroll'!U$1,FALSE))/Apport_613Xpd)*Apport_614Xpd,2)</f>
        <v>69.8</v>
      </c>
      <c r="AP36">
        <f t="shared" si="29"/>
        <v>12.1</v>
      </c>
      <c r="AQ36">
        <f t="shared" ref="AQ36:AQ99" si="32">ROUND((J36*Apport_581X)*(Apport_116X*Apport_132X),2)</f>
        <v>30.93</v>
      </c>
      <c r="AR36" s="6">
        <f>ROUND((VLOOKUP($A36,EnrollData2324,'2324 Jun 24 Enroll'!D$1,FALSE)*Apport_M802324+VLOOKUP($A36,EnrollData2324,'2324 Jun 24 Enroll'!M$1,FALSE)*Apport_M802324+(VLOOKUP($A36,EnrollData2324,'2324 Jun 24 Enroll'!P$1,FALSE)+VLOOKUP($A36,EnrollData2324,'2324 Jun 24 Enroll'!Q$1,FALSE)+VLOOKUP($A36,EnrollData2324,'2324 Jun 24 Enroll'!R$1,FALSE)+VLOOKUP($A36,EnrollData2324,'2324 Jun 24 Enroll'!I$1,FALSE)+VLOOKUP($A36,EnrollData2324,'2324 Jun 24 Enroll'!N$1,FALSE)+VLOOKUP($A36,EnrollData2324,'2324 Jun 24 Enroll'!O$1,FALSE)+VLOOKUP($A36,EnrollData2324,'2324 Jun 24 Enroll'!K$1,FALSE)+VLOOKUP($A36,EnrollData2324,'2324 Jun 24 Enroll'!L$1,FALSE))*Apport_M812324)/(VLOOKUP($A36,EnrollData2324,'2324 Jun 24 Enroll'!M$1,FALSE)+VLOOKUP($A36,EnrollData2324,'2324 Jun 24 Enroll'!D$1,FALSE)),2)</f>
        <v>1483.44</v>
      </c>
      <c r="AS36" s="7">
        <f>SUM(AA36:AR36)</f>
        <v>9356.4699999999993</v>
      </c>
    </row>
    <row r="37" spans="1:46">
      <c r="A37" s="40" t="s">
        <v>675</v>
      </c>
      <c r="B37" s="40" t="s">
        <v>676</v>
      </c>
      <c r="C37" s="11">
        <f>ROUND((IFERROR((1/IF(VLOOKUP($A37,EnrollData2324,28,FALSE)='District Calculations'!$B$10,VLOOKUP($A37,EnrollData2324,28,FALSE),'District Calculations'!$B$10))*(1+Apport_Z315),0))+Apport_201A2324,6)</f>
        <v>7.3449E-2</v>
      </c>
      <c r="D37">
        <f>ROUND(IF(VLOOKUP($A37,EnrollData2324,'2324 Jun 24 Enroll'!D$1,FALSE)='District Calculations'!$B$11,VLOOKUP($A37,EnrollData2324,'2324 Jun 24 Enroll'!D$1,FALSE),'District Calculations'!$B$11)*C37,3)</f>
        <v>0</v>
      </c>
      <c r="E37">
        <f>ROUND(IF(VLOOKUP($A37,EnrollData2324,'2324 Jun 24 Enroll'!E$1,FALSE)='District Calculations'!$B$12,VLOOKUP($A37,EnrollData2324,'2324 Jun 24 Enroll'!E$1,FALSE),'District Calculations'!$B$12)*C37,3)</f>
        <v>59.53</v>
      </c>
      <c r="F37">
        <f>ROUND(IF(VLOOKUP($A37,EnrollData2324,'2324 Jun 24 Enroll'!F$1,FALSE)='District Calculations'!$B$13,VLOOKUP($A37,EnrollData2324,'2324 Jun 24 Enroll'!F$1,FALSE),'District Calculations'!$B$13)*Apport_222A2324,3)</f>
        <v>10.101000000000001</v>
      </c>
      <c r="G37">
        <f>ROUND(IF(VLOOKUP($A37,EnrollData2324,'2324 Jun 24 Enroll'!G$1,FALSE)='District Calculations'!$B$14,VLOOKUP($A37,EnrollData2324,'2324 Jun 24 Enroll'!G$1,FALSE),'District Calculations'!$B$14)*Apport_210A2324,3)</f>
        <v>22.395</v>
      </c>
      <c r="H37">
        <f>ROUND(IF(VLOOKUP($A37,EnrollData2324,'2324 Jun 24 Enroll'!H$1,FALSE)='District Calculations'!$B$15,VLOOKUP($A37,EnrollData2324,'2324 Jun 24 Enroll'!H$1,FALSE),'District Calculations'!$B$15)*Apport_213A2324,3)</f>
        <v>23.091999999999999</v>
      </c>
      <c r="I37">
        <f>ROUND(IF(VLOOKUP($A37,EnrollData2324,'2324 Jun 24 Enroll'!I$1,FALSE)+VLOOKUP($A37,EnrollData2324,'2324 Jun 24 Enroll'!M$1,FALSE)-VLOOKUP($A37,EnrollData2324,'2324 Jun 24 Enroll'!J$1,FALSE)='District Calculations'!$B$16+'District Calculations'!$B$25-'District Calculations'!$B$17,VLOOKUP($A37,EnrollData2324,'2324 Jun 24 Enroll'!I$1,FALSE)+VLOOKUP($A37,EnrollData2324,'2324 Jun 24 Enroll'!M$1,FALSE)-VLOOKUP($A37,EnrollData2324,'2324 Jun 24 Enroll'!J$1,FALSE),'District Calculations'!$B$16+'District Calculations'!$B$25-'District Calculations'!$B$17)*Apport_216A2324,3)</f>
        <v>58.183999999999997</v>
      </c>
      <c r="J37">
        <f>ROUND(SUM(D37:I37)/(IF(VLOOKUP($A37,EnrollData2324,'2324 Jun 24 Enroll'!M$1,FALSE)='District Calculations'!$B$25,VLOOKUP($A37,EnrollData2324,'2324 Jun 24 Enroll'!M$1,FALSE),'District Calculations'!$B$25)+IF(VLOOKUP($A37,EnrollData2324,'2324 Jun 24 Enroll'!D$1,FALSE)='District Calculations'!$B$11,VLOOKUP($A37,EnrollData2324,'2324 Jun 24 Enroll'!D$1,FALSE),'District Calculations'!$B$11)),5)</f>
        <v>5.5530000000000003E-2</v>
      </c>
      <c r="K37" s="11">
        <f t="shared" si="21"/>
        <v>4.365E-3</v>
      </c>
      <c r="L37">
        <f>ROUND(IF(VLOOKUP($A37,EnrollData2324,'2324 Jun 24 Enroll'!D$1,FALSE)='District Calculations'!$B$11,VLOOKUP($A37,EnrollData2324,'2324 Jun 24 Enroll'!D$1,FALSE),'District Calculations'!$B$11)*K37,3)</f>
        <v>0</v>
      </c>
      <c r="M37">
        <f>ROUND(IF(VLOOKUP($A37,EnrollData2324,'2324 Jun 24 Enroll'!E$1,FALSE)='District Calculations'!$B$12,VLOOKUP($A37,EnrollData2324,'2324 Jun 24 Enroll'!E$1,FALSE),'District Calculations'!$B$12)*K37,3)</f>
        <v>3.5379999999999998</v>
      </c>
      <c r="N37">
        <f>ROUND(IF(VLOOKUP($A37,EnrollData2324,'2324 Jun 24 Enroll'!F$1,FALSE)='District Calculations'!$B$13,VLOOKUP($A37,EnrollData2324,'2324 Jun 24 Enroll'!F$1,FALSE),'District Calculations'!$B$13)*Apport_223A2324,3)</f>
        <v>0.84199999999999997</v>
      </c>
      <c r="O37">
        <f>ROUND(IF(VLOOKUP($A37,EnrollData2324,'2324 Jun 24 Enroll'!G$1,FALSE)='District Calculations'!$B$14,VLOOKUP($A37,EnrollData2324,'2324 Jun 24 Enroll'!G$1,FALSE),'District Calculations'!$B$14)*Apport_211A2324,3)</f>
        <v>1.867</v>
      </c>
      <c r="P37">
        <f>ROUND(IF(VLOOKUP($A37,EnrollData2324,'2324 Jun 24 Enroll'!H$1,FALSE)='District Calculations'!$B$14,VLOOKUP($A37,EnrollData2324,'2324 Jun 24 Enroll'!H$1,FALSE),'District Calculations'!$B$14)*Apport_214A2324,3)</f>
        <v>1.8660000000000001</v>
      </c>
      <c r="Q37">
        <f>ROUND(IF(VLOOKUP($A37,EnrollData2324,'2324 Jun 24 Enroll'!I$1,FALSE)+VLOOKUP($A37,EnrollData2324,'2324 Jun 24 Enroll'!M$1,FALSE)-VLOOKUP($A37,EnrollData2324,'2324 Jun 24 Enroll'!J$1,FALSE)='District Calculations'!$B$16+'District Calculations'!$B$25-'District Calculations'!$B$17,VLOOKUP($A37,EnrollData2324,'2324 Jun 24 Enroll'!I$1,FALSE)+VLOOKUP($A37,EnrollData2324,'2324 Jun 24 Enroll'!M$1,FALSE)-VLOOKUP($A37,EnrollData2324,'2324 Jun 24 Enroll'!J$1,FALSE),'District Calculations'!$B$16+'District Calculations'!$B$25-'District Calculations'!$B$17)*Apport_217A2324,3)</f>
        <v>4.6980000000000004</v>
      </c>
      <c r="R37">
        <f>ROUND(SUM(L37:Q37)/IF(VLOOKUP($A37,EnrollData2324,'2324 Jun 24 Enroll'!M$1,FALSE)+VLOOKUP($A37,EnrollData2324,'2324 Jun 24 Enroll'!D$1,FALSE)='District Calculations'!$B$25+'District Calculations'!$B$11,VLOOKUP($A37,EnrollData2324,'2324 Jun 24 Enroll'!M$1,FALSE)+VLOOKUP($A37,EnrollData2324,'2324 Jun 24 Enroll'!D$1,FALSE),'District Calculations'!$B$25+'District Calculations'!$B$11),5)</f>
        <v>4.1000000000000003E-3</v>
      </c>
      <c r="S37" s="11">
        <f t="shared" si="22"/>
        <v>1.8294500000000002E-2</v>
      </c>
      <c r="T37">
        <f>ROUND(IF(VLOOKUP($A37,EnrollData2324,'2324 Jun 24 Enroll'!D$1,FALSE)='District Calculations'!$B$11,VLOOKUP($A37,EnrollData2324,'2324 Jun 24 Enroll'!D$1,FALSE),'District Calculations'!$B$11)*S37,3)</f>
        <v>0</v>
      </c>
      <c r="U37">
        <f>ROUND(IF(VLOOKUP($A37,EnrollData2324,'2324 Jun 24 Enroll'!E$1,FALSE)='District Calculations'!$B$12,VLOOKUP($A37,EnrollData2324,'2324 Jun 24 Enroll'!E$1,FALSE),'District Calculations'!$B$12)*S37,3)</f>
        <v>14.827999999999999</v>
      </c>
      <c r="V37">
        <f>ROUND(IF(VLOOKUP($A37,EnrollData2324,'2324 Jun 24 Enroll'!F$1,FALSE)='District Calculations'!$B$13,VLOOKUP($A37,EnrollData2324,'2324 Jun 24 Enroll'!F$1,FALSE),'District Calculations'!$B$13)*Apport_224A2324,3)</f>
        <v>3.6190000000000002</v>
      </c>
      <c r="W37">
        <f>ROUND(IF(VLOOKUP($A37,EnrollData2324,'2324 Jun 24 Enroll'!G$1,FALSE)='District Calculations'!$B$14,VLOOKUP($A37,EnrollData2324,'2324 Jun 24 Enroll'!G$1,FALSE),'District Calculations'!$B$14)*Apport_212A2324,3)</f>
        <v>8.0239999999999991</v>
      </c>
      <c r="X37">
        <f>ROUND(IF(VLOOKUP($A37,EnrollData2324,'2324 Jun 24 Enroll'!H$1,FALSE)='District Calculations'!$B$14,VLOOKUP($A37,EnrollData2324,'2324 Jun 24 Enroll'!H$1,FALSE),'District Calculations'!$B$14)*Apport_215A2324,3)</f>
        <v>7.9279999999999999</v>
      </c>
      <c r="Y37">
        <f>ROUND(IF(VLOOKUP($A37,EnrollData2324,'2324 Jun 24 Enroll'!I$1,FALSE)+VLOOKUP($A37,EnrollData2324,'2324 Jun 24 Enroll'!M$1,FALSE)-VLOOKUP($A37,EnrollData2324,'2324 Jun 24 Enroll'!J$1,FALSE)='District Calculations'!$B$16+'District Calculations'!$B$25-'District Calculations'!$B$17,VLOOKUP($A37,EnrollData2324,'2324 Jun 24 Enroll'!I$1,FALSE)+VLOOKUP($A37,EnrollData2324,'2324 Jun 24 Enroll'!M$1,FALSE)-VLOOKUP($A37,EnrollData2324,'2324 Jun 24 Enroll'!J$1,FALSE),'District Calculations'!$B$16+'District Calculations'!$B$25-'District Calculations'!$B$17)*Apport_218A2324,3)</f>
        <v>19.917999999999999</v>
      </c>
      <c r="Z37">
        <f>ROUND(SUM(T37:Y37)/IF(VLOOKUP($A37,EnrollData2324,'2324 Jun 24 Enroll'!M$1,FALSE)+VLOOKUP($A37,EnrollData2324,'2324 Jun 24 Enroll'!D$1,FALSE)='District Calculations'!$B$25+'District Calculations'!$B$11,VLOOKUP($A37,EnrollData2324,'2324 Jun 24 Enroll'!M$1,FALSE)+VLOOKUP($A37,EnrollData2324,'2324 Jun 24 Enroll'!D$1,FALSE),'District Calculations'!$B$25+'District Calculations'!$B$11),5)</f>
        <v>1.7399999999999999E-2</v>
      </c>
      <c r="AA37" s="6">
        <f>ROUND($J37*CIS_Base_Salary2324*VLOOKUP($A37,EnrollData2324,'2324 Jun 24 Enroll'!S$1,FALSE),2)</f>
        <v>4038.59</v>
      </c>
      <c r="AB37" s="6">
        <f>ROUND($J37*CIS_Inc_Salary2324*(VLOOKUP($A37,EnrollData2324,'2324 Jun 24 Enroll'!T$1,FALSE)+VLOOKUP($A37,EnrollData2324,'2324 Jun 24 Enroll'!U$1,FALSE)),2)-AA37</f>
        <v>149.43000000000029</v>
      </c>
      <c r="AC37" s="6">
        <f>ROUND($R37*CAS_Base_Salary2324*VLOOKUP($A37,EnrollData2324,'2324 Jun 24 Enroll'!S$1,FALSE),2)</f>
        <v>442.62</v>
      </c>
      <c r="AD37" s="6">
        <f>ROUND($R37*CAS_Inc_Salary2324*VLOOKUP($A37,EnrollData2324,'2324 Jun 24 Enroll'!T$1,FALSE),2)-AC37</f>
        <v>16.379999999999995</v>
      </c>
      <c r="AE37" s="6">
        <f>ROUND($Z37*CLS_Base_Salary2324*VLOOKUP($A37,EnrollData2324,'2324 Jun 24 Enroll'!S$1,FALSE),2)</f>
        <v>907.81</v>
      </c>
      <c r="AF37" s="6">
        <f>ROUND($Z37*CLS_Inc_Salary2324*VLOOKUP($A37,EnrollData2324,'2324 Jun 24 Enroll'!T$1,FALSE),2)-AE37</f>
        <v>33.580000000000041</v>
      </c>
      <c r="AG37">
        <f t="shared" si="9"/>
        <v>734.16</v>
      </c>
      <c r="AH37" s="69">
        <f t="shared" si="23"/>
        <v>68.700000000000045</v>
      </c>
      <c r="AI37">
        <f t="shared" si="11"/>
        <v>214.23</v>
      </c>
      <c r="AJ37">
        <f t="shared" si="24"/>
        <v>114.21000000000001</v>
      </c>
      <c r="AK37">
        <f t="shared" si="25"/>
        <v>805.27</v>
      </c>
      <c r="AL37">
        <f t="shared" si="26"/>
        <v>28.73</v>
      </c>
      <c r="AM37">
        <f t="shared" si="27"/>
        <v>200.26</v>
      </c>
      <c r="AN37">
        <f t="shared" si="28"/>
        <v>6.23</v>
      </c>
      <c r="AO37">
        <f>ROUND(($J37*CIS_Inc_Salary2324*(VLOOKUP($A37,EnrollData2324,'2324 Jun 24 Enroll'!T$1,FALSE)+VLOOKUP($A37,EnrollData2324,'2324 Jun 24 Enroll'!U$1,FALSE))/Apport_613Xpd)*Apport_614Xpd,2)</f>
        <v>69.8</v>
      </c>
      <c r="AP37">
        <f t="shared" si="29"/>
        <v>12.1</v>
      </c>
      <c r="AQ37">
        <f t="shared" si="32"/>
        <v>30.93</v>
      </c>
      <c r="AR37" s="6">
        <f>ROUND((VLOOKUP($A37,EnrollData2324,'2324 Jun 24 Enroll'!D$1,FALSE)*Apport_M802324+VLOOKUP($A37,EnrollData2324,'2324 Jun 24 Enroll'!M$1,FALSE)*Apport_M802324+(VLOOKUP($A37,EnrollData2324,'2324 Jun 24 Enroll'!P$1,FALSE)+VLOOKUP($A37,EnrollData2324,'2324 Jun 24 Enroll'!Q$1,FALSE)+VLOOKUP($A37,EnrollData2324,'2324 Jun 24 Enroll'!R$1,FALSE)+VLOOKUP($A37,EnrollData2324,'2324 Jun 24 Enroll'!I$1,FALSE)+VLOOKUP($A37,EnrollData2324,'2324 Jun 24 Enroll'!N$1,FALSE)+VLOOKUP($A37,EnrollData2324,'2324 Jun 24 Enroll'!O$1,FALSE)+VLOOKUP($A37,EnrollData2324,'2324 Jun 24 Enroll'!K$1,FALSE)+VLOOKUP($A37,EnrollData2324,'2324 Jun 24 Enroll'!L$1,FALSE))*Apport_M812324)/(VLOOKUP($A37,EnrollData2324,'2324 Jun 24 Enroll'!M$1,FALSE)+VLOOKUP($A37,EnrollData2324,'2324 Jun 24 Enroll'!D$1,FALSE)),2)</f>
        <v>1548.18</v>
      </c>
      <c r="AS37" s="7">
        <f t="shared" ref="AS37:AS100" si="33">SUM(AA37:AR37)</f>
        <v>9421.2099999999991</v>
      </c>
    </row>
    <row r="38" spans="1:46">
      <c r="A38" s="40" t="s">
        <v>556</v>
      </c>
      <c r="B38" s="40" t="s">
        <v>557</v>
      </c>
      <c r="C38" s="11">
        <f>ROUND((IFERROR((1/IF(VLOOKUP($A38,EnrollData2324,28,FALSE)='District Calculations'!$B$10,VLOOKUP($A38,EnrollData2324,28,FALSE),'District Calculations'!$B$10))*(1+Apport_Z315),0))+Apport_201A2324,6)</f>
        <v>7.3449E-2</v>
      </c>
      <c r="D38">
        <f>ROUND(IF(VLOOKUP($A38,EnrollData2324,'2324 Jun 24 Enroll'!D$1,FALSE)='District Calculations'!$B$11,VLOOKUP($A38,EnrollData2324,'2324 Jun 24 Enroll'!D$1,FALSE),'District Calculations'!$B$11)*C38,3)</f>
        <v>0</v>
      </c>
      <c r="E38">
        <f>ROUND(IF(VLOOKUP($A38,EnrollData2324,'2324 Jun 24 Enroll'!E$1,FALSE)='District Calculations'!$B$12,VLOOKUP($A38,EnrollData2324,'2324 Jun 24 Enroll'!E$1,FALSE),'District Calculations'!$B$12)*C38,3)</f>
        <v>59.53</v>
      </c>
      <c r="F38">
        <f>ROUND(IF(VLOOKUP($A38,EnrollData2324,'2324 Jun 24 Enroll'!F$1,FALSE)='District Calculations'!$B$13,VLOOKUP($A38,EnrollData2324,'2324 Jun 24 Enroll'!F$1,FALSE),'District Calculations'!$B$13)*Apport_222A2324,3)</f>
        <v>10.101000000000001</v>
      </c>
      <c r="G38">
        <f>ROUND(IF(VLOOKUP($A38,EnrollData2324,'2324 Jun 24 Enroll'!G$1,FALSE)='District Calculations'!$B$14,VLOOKUP($A38,EnrollData2324,'2324 Jun 24 Enroll'!G$1,FALSE),'District Calculations'!$B$14)*Apport_210A2324,3)</f>
        <v>22.395</v>
      </c>
      <c r="H38">
        <f>ROUND(IF(VLOOKUP($A38,EnrollData2324,'2324 Jun 24 Enroll'!H$1,FALSE)='District Calculations'!$B$15,VLOOKUP($A38,EnrollData2324,'2324 Jun 24 Enroll'!H$1,FALSE),'District Calculations'!$B$15)*Apport_213A2324,3)</f>
        <v>23.091999999999999</v>
      </c>
      <c r="I38">
        <f>ROUND(IF(VLOOKUP($A38,EnrollData2324,'2324 Jun 24 Enroll'!I$1,FALSE)+VLOOKUP($A38,EnrollData2324,'2324 Jun 24 Enroll'!M$1,FALSE)-VLOOKUP($A38,EnrollData2324,'2324 Jun 24 Enroll'!J$1,FALSE)='District Calculations'!$B$16+'District Calculations'!$B$25-'District Calculations'!$B$17,VLOOKUP($A38,EnrollData2324,'2324 Jun 24 Enroll'!I$1,FALSE)+VLOOKUP($A38,EnrollData2324,'2324 Jun 24 Enroll'!M$1,FALSE)-VLOOKUP($A38,EnrollData2324,'2324 Jun 24 Enroll'!J$1,FALSE),'District Calculations'!$B$16+'District Calculations'!$B$25-'District Calculations'!$B$17)*Apport_216A2324,3)</f>
        <v>58.183999999999997</v>
      </c>
      <c r="J38">
        <f>ROUND(SUM(D38:I38)/(IF(VLOOKUP($A38,EnrollData2324,'2324 Jun 24 Enroll'!M$1,FALSE)='District Calculations'!$B$25,VLOOKUP($A38,EnrollData2324,'2324 Jun 24 Enroll'!M$1,FALSE),'District Calculations'!$B$25)+IF(VLOOKUP($A38,EnrollData2324,'2324 Jun 24 Enroll'!D$1,FALSE)='District Calculations'!$B$11,VLOOKUP($A38,EnrollData2324,'2324 Jun 24 Enroll'!D$1,FALSE),'District Calculations'!$B$11)),5)</f>
        <v>5.5530000000000003E-2</v>
      </c>
      <c r="K38" s="11">
        <f t="shared" si="21"/>
        <v>4.365E-3</v>
      </c>
      <c r="L38">
        <f>ROUND(IF(VLOOKUP($A38,EnrollData2324,'2324 Jun 24 Enroll'!D$1,FALSE)='District Calculations'!$B$11,VLOOKUP($A38,EnrollData2324,'2324 Jun 24 Enroll'!D$1,FALSE),'District Calculations'!$B$11)*K38,3)</f>
        <v>0</v>
      </c>
      <c r="M38">
        <f>ROUND(IF(VLOOKUP($A38,EnrollData2324,'2324 Jun 24 Enroll'!E$1,FALSE)='District Calculations'!$B$12,VLOOKUP($A38,EnrollData2324,'2324 Jun 24 Enroll'!E$1,FALSE),'District Calculations'!$B$12)*K38,3)</f>
        <v>3.5379999999999998</v>
      </c>
      <c r="N38">
        <f>ROUND(IF(VLOOKUP($A38,EnrollData2324,'2324 Jun 24 Enroll'!F$1,FALSE)='District Calculations'!$B$13,VLOOKUP($A38,EnrollData2324,'2324 Jun 24 Enroll'!F$1,FALSE),'District Calculations'!$B$13)*Apport_223A2324,3)</f>
        <v>0.84199999999999997</v>
      </c>
      <c r="O38">
        <f>ROUND(IF(VLOOKUP($A38,EnrollData2324,'2324 Jun 24 Enroll'!G$1,FALSE)='District Calculations'!$B$14,VLOOKUP($A38,EnrollData2324,'2324 Jun 24 Enroll'!G$1,FALSE),'District Calculations'!$B$14)*Apport_211A2324,3)</f>
        <v>1.867</v>
      </c>
      <c r="P38">
        <f>ROUND(IF(VLOOKUP($A38,EnrollData2324,'2324 Jun 24 Enroll'!H$1,FALSE)='District Calculations'!$B$14,VLOOKUP($A38,EnrollData2324,'2324 Jun 24 Enroll'!H$1,FALSE),'District Calculations'!$B$14)*Apport_214A2324,3)</f>
        <v>1.8660000000000001</v>
      </c>
      <c r="Q38">
        <f>ROUND(IF(VLOOKUP($A38,EnrollData2324,'2324 Jun 24 Enroll'!I$1,FALSE)+VLOOKUP($A38,EnrollData2324,'2324 Jun 24 Enroll'!M$1,FALSE)-VLOOKUP($A38,EnrollData2324,'2324 Jun 24 Enroll'!J$1,FALSE)='District Calculations'!$B$16+'District Calculations'!$B$25-'District Calculations'!$B$17,VLOOKUP($A38,EnrollData2324,'2324 Jun 24 Enroll'!I$1,FALSE)+VLOOKUP($A38,EnrollData2324,'2324 Jun 24 Enroll'!M$1,FALSE)-VLOOKUP($A38,EnrollData2324,'2324 Jun 24 Enroll'!J$1,FALSE),'District Calculations'!$B$16+'District Calculations'!$B$25-'District Calculations'!$B$17)*Apport_217A2324,3)</f>
        <v>4.6980000000000004</v>
      </c>
      <c r="R38">
        <f>ROUND(SUM(L38:Q38)/IF(VLOOKUP($A38,EnrollData2324,'2324 Jun 24 Enroll'!M$1,FALSE)+VLOOKUP($A38,EnrollData2324,'2324 Jun 24 Enroll'!D$1,FALSE)='District Calculations'!$B$25+'District Calculations'!$B$11,VLOOKUP($A38,EnrollData2324,'2324 Jun 24 Enroll'!M$1,FALSE)+VLOOKUP($A38,EnrollData2324,'2324 Jun 24 Enroll'!D$1,FALSE),'District Calculations'!$B$25+'District Calculations'!$B$11),5)</f>
        <v>4.1000000000000003E-3</v>
      </c>
      <c r="S38" s="11">
        <f t="shared" si="22"/>
        <v>1.8294500000000002E-2</v>
      </c>
      <c r="T38">
        <f>ROUND(IF(VLOOKUP($A38,EnrollData2324,'2324 Jun 24 Enroll'!D$1,FALSE)='District Calculations'!$B$11,VLOOKUP($A38,EnrollData2324,'2324 Jun 24 Enroll'!D$1,FALSE),'District Calculations'!$B$11)*S38,3)</f>
        <v>0</v>
      </c>
      <c r="U38">
        <f>ROUND(IF(VLOOKUP($A38,EnrollData2324,'2324 Jun 24 Enroll'!E$1,FALSE)='District Calculations'!$B$12,VLOOKUP($A38,EnrollData2324,'2324 Jun 24 Enroll'!E$1,FALSE),'District Calculations'!$B$12)*S38,3)</f>
        <v>14.827999999999999</v>
      </c>
      <c r="V38">
        <f>ROUND(IF(VLOOKUP($A38,EnrollData2324,'2324 Jun 24 Enroll'!F$1,FALSE)='District Calculations'!$B$13,VLOOKUP($A38,EnrollData2324,'2324 Jun 24 Enroll'!F$1,FALSE),'District Calculations'!$B$13)*Apport_224A2324,3)</f>
        <v>3.6190000000000002</v>
      </c>
      <c r="W38">
        <f>ROUND(IF(VLOOKUP($A38,EnrollData2324,'2324 Jun 24 Enroll'!G$1,FALSE)='District Calculations'!$B$14,VLOOKUP($A38,EnrollData2324,'2324 Jun 24 Enroll'!G$1,FALSE),'District Calculations'!$B$14)*Apport_212A2324,3)</f>
        <v>8.0239999999999991</v>
      </c>
      <c r="X38">
        <f>ROUND(IF(VLOOKUP($A38,EnrollData2324,'2324 Jun 24 Enroll'!H$1,FALSE)='District Calculations'!$B$14,VLOOKUP($A38,EnrollData2324,'2324 Jun 24 Enroll'!H$1,FALSE),'District Calculations'!$B$14)*Apport_215A2324,3)</f>
        <v>7.9279999999999999</v>
      </c>
      <c r="Y38">
        <f>ROUND(IF(VLOOKUP($A38,EnrollData2324,'2324 Jun 24 Enroll'!I$1,FALSE)+VLOOKUP($A38,EnrollData2324,'2324 Jun 24 Enroll'!M$1,FALSE)-VLOOKUP($A38,EnrollData2324,'2324 Jun 24 Enroll'!J$1,FALSE)='District Calculations'!$B$16+'District Calculations'!$B$25-'District Calculations'!$B$17,VLOOKUP($A38,EnrollData2324,'2324 Jun 24 Enroll'!I$1,FALSE)+VLOOKUP($A38,EnrollData2324,'2324 Jun 24 Enroll'!M$1,FALSE)-VLOOKUP($A38,EnrollData2324,'2324 Jun 24 Enroll'!J$1,FALSE),'District Calculations'!$B$16+'District Calculations'!$B$25-'District Calculations'!$B$17)*Apport_218A2324,3)</f>
        <v>19.917999999999999</v>
      </c>
      <c r="Z38">
        <f>ROUND(SUM(T38:Y38)/IF(VLOOKUP($A38,EnrollData2324,'2324 Jun 24 Enroll'!M$1,FALSE)+VLOOKUP($A38,EnrollData2324,'2324 Jun 24 Enroll'!D$1,FALSE)='District Calculations'!$B$25+'District Calculations'!$B$11,VLOOKUP($A38,EnrollData2324,'2324 Jun 24 Enroll'!M$1,FALSE)+VLOOKUP($A38,EnrollData2324,'2324 Jun 24 Enroll'!D$1,FALSE),'District Calculations'!$B$25+'District Calculations'!$B$11),5)</f>
        <v>1.7399999999999999E-2</v>
      </c>
      <c r="AA38" s="6">
        <f>ROUND($J38*CIS_Base_Salary2324*VLOOKUP($A38,EnrollData2324,'2324 Jun 24 Enroll'!S$1,FALSE),2)</f>
        <v>4038.59</v>
      </c>
      <c r="AB38" s="6">
        <f>ROUND($J38*CIS_Inc_Salary2324*(VLOOKUP($A38,EnrollData2324,'2324 Jun 24 Enroll'!T$1,FALSE)+VLOOKUP($A38,EnrollData2324,'2324 Jun 24 Enroll'!U$1,FALSE)),2)-AA38</f>
        <v>149.43000000000029</v>
      </c>
      <c r="AC38" s="6">
        <f>ROUND($R38*CAS_Base_Salary2324*VLOOKUP($A38,EnrollData2324,'2324 Jun 24 Enroll'!S$1,FALSE),2)</f>
        <v>442.62</v>
      </c>
      <c r="AD38" s="6">
        <f>ROUND($R38*CAS_Inc_Salary2324*VLOOKUP($A38,EnrollData2324,'2324 Jun 24 Enroll'!T$1,FALSE),2)-AC38</f>
        <v>16.379999999999995</v>
      </c>
      <c r="AE38" s="6">
        <f>ROUND($Z38*CLS_Base_Salary2324*VLOOKUP($A38,EnrollData2324,'2324 Jun 24 Enroll'!S$1,FALSE),2)</f>
        <v>907.81</v>
      </c>
      <c r="AF38" s="6">
        <f>ROUND($Z38*CLS_Inc_Salary2324*VLOOKUP($A38,EnrollData2324,'2324 Jun 24 Enroll'!T$1,FALSE),2)-AE38</f>
        <v>33.580000000000041</v>
      </c>
      <c r="AG38">
        <f t="shared" si="9"/>
        <v>734.16</v>
      </c>
      <c r="AH38" s="69">
        <f t="shared" si="23"/>
        <v>68.700000000000045</v>
      </c>
      <c r="AI38">
        <f t="shared" si="11"/>
        <v>214.23</v>
      </c>
      <c r="AJ38">
        <f t="shared" si="24"/>
        <v>114.21000000000001</v>
      </c>
      <c r="AK38">
        <f t="shared" si="25"/>
        <v>805.27</v>
      </c>
      <c r="AL38">
        <f t="shared" si="26"/>
        <v>28.73</v>
      </c>
      <c r="AM38">
        <f t="shared" si="27"/>
        <v>200.26</v>
      </c>
      <c r="AN38">
        <f t="shared" si="28"/>
        <v>6.23</v>
      </c>
      <c r="AO38">
        <f>ROUND(($J38*CIS_Inc_Salary2324*(VLOOKUP($A38,EnrollData2324,'2324 Jun 24 Enroll'!T$1,FALSE)+VLOOKUP($A38,EnrollData2324,'2324 Jun 24 Enroll'!U$1,FALSE))/Apport_613Xpd)*Apport_614Xpd,2)</f>
        <v>69.8</v>
      </c>
      <c r="AP38">
        <f t="shared" si="29"/>
        <v>12.1</v>
      </c>
      <c r="AQ38">
        <f t="shared" si="32"/>
        <v>30.93</v>
      </c>
      <c r="AR38" s="6">
        <f>ROUND((VLOOKUP($A38,EnrollData2324,'2324 Jun 24 Enroll'!D$1,FALSE)*Apport_M802324+VLOOKUP($A38,EnrollData2324,'2324 Jun 24 Enroll'!M$1,FALSE)*Apport_M802324+(VLOOKUP($A38,EnrollData2324,'2324 Jun 24 Enroll'!P$1,FALSE)+VLOOKUP($A38,EnrollData2324,'2324 Jun 24 Enroll'!Q$1,FALSE)+VLOOKUP($A38,EnrollData2324,'2324 Jun 24 Enroll'!R$1,FALSE)+VLOOKUP($A38,EnrollData2324,'2324 Jun 24 Enroll'!I$1,FALSE)+VLOOKUP($A38,EnrollData2324,'2324 Jun 24 Enroll'!N$1,FALSE)+VLOOKUP($A38,EnrollData2324,'2324 Jun 24 Enroll'!O$1,FALSE)+VLOOKUP($A38,EnrollData2324,'2324 Jun 24 Enroll'!K$1,FALSE)+VLOOKUP($A38,EnrollData2324,'2324 Jun 24 Enroll'!L$1,FALSE))*Apport_M812324)/(VLOOKUP($A38,EnrollData2324,'2324 Jun 24 Enroll'!M$1,FALSE)+VLOOKUP($A38,EnrollData2324,'2324 Jun 24 Enroll'!D$1,FALSE)),2)</f>
        <v>1530.61</v>
      </c>
      <c r="AS38" s="7">
        <f t="shared" si="33"/>
        <v>9403.64</v>
      </c>
    </row>
    <row r="39" spans="1:46">
      <c r="A39" s="40" t="s">
        <v>729</v>
      </c>
      <c r="B39" s="40" t="s">
        <v>730</v>
      </c>
      <c r="C39" s="11">
        <f>ROUND((IFERROR((1/IF(VLOOKUP($A39,EnrollData2324,28,FALSE)='District Calculations'!$B$10,VLOOKUP($A39,EnrollData2324,28,FALSE),'District Calculations'!$B$10))*(1+Apport_Z315),0))+Apport_201A2324,6)</f>
        <v>7.3449E-2</v>
      </c>
      <c r="D39">
        <f>ROUND(IF(VLOOKUP($A39,EnrollData2324,'2324 Jun 24 Enroll'!D$1,FALSE)='District Calculations'!$B$11,VLOOKUP($A39,EnrollData2324,'2324 Jun 24 Enroll'!D$1,FALSE),'District Calculations'!$B$11)*C39,3)</f>
        <v>0</v>
      </c>
      <c r="E39">
        <f>ROUND(IF(VLOOKUP($A39,EnrollData2324,'2324 Jun 24 Enroll'!E$1,FALSE)='District Calculations'!$B$12,VLOOKUP($A39,EnrollData2324,'2324 Jun 24 Enroll'!E$1,FALSE),'District Calculations'!$B$12)*C39,3)</f>
        <v>59.53</v>
      </c>
      <c r="F39">
        <f>ROUND(IF(VLOOKUP($A39,EnrollData2324,'2324 Jun 24 Enroll'!F$1,FALSE)='District Calculations'!$B$13,VLOOKUP($A39,EnrollData2324,'2324 Jun 24 Enroll'!F$1,FALSE),'District Calculations'!$B$13)*Apport_222A2324,3)</f>
        <v>10.101000000000001</v>
      </c>
      <c r="G39">
        <f>ROUND(IF(VLOOKUP($A39,EnrollData2324,'2324 Jun 24 Enroll'!G$1,FALSE)='District Calculations'!$B$14,VLOOKUP($A39,EnrollData2324,'2324 Jun 24 Enroll'!G$1,FALSE),'District Calculations'!$B$14)*Apport_210A2324,3)</f>
        <v>22.395</v>
      </c>
      <c r="H39">
        <f>ROUND(IF(VLOOKUP($A39,EnrollData2324,'2324 Jun 24 Enroll'!H$1,FALSE)='District Calculations'!$B$15,VLOOKUP($A39,EnrollData2324,'2324 Jun 24 Enroll'!H$1,FALSE),'District Calculations'!$B$15)*Apport_213A2324,3)</f>
        <v>23.091999999999999</v>
      </c>
      <c r="I39">
        <f>ROUND(IF(VLOOKUP($A39,EnrollData2324,'2324 Jun 24 Enroll'!I$1,FALSE)+VLOOKUP($A39,EnrollData2324,'2324 Jun 24 Enroll'!M$1,FALSE)-VLOOKUP($A39,EnrollData2324,'2324 Jun 24 Enroll'!J$1,FALSE)='District Calculations'!$B$16+'District Calculations'!$B$25-'District Calculations'!$B$17,VLOOKUP($A39,EnrollData2324,'2324 Jun 24 Enroll'!I$1,FALSE)+VLOOKUP($A39,EnrollData2324,'2324 Jun 24 Enroll'!M$1,FALSE)-VLOOKUP($A39,EnrollData2324,'2324 Jun 24 Enroll'!J$1,FALSE),'District Calculations'!$B$16+'District Calculations'!$B$25-'District Calculations'!$B$17)*Apport_216A2324,3)</f>
        <v>58.183999999999997</v>
      </c>
      <c r="J39">
        <f>ROUND(SUM(D39:I39)/(IF(VLOOKUP($A39,EnrollData2324,'2324 Jun 24 Enroll'!M$1,FALSE)='District Calculations'!$B$25,VLOOKUP($A39,EnrollData2324,'2324 Jun 24 Enroll'!M$1,FALSE),'District Calculations'!$B$25)+IF(VLOOKUP($A39,EnrollData2324,'2324 Jun 24 Enroll'!D$1,FALSE)='District Calculations'!$B$11,VLOOKUP($A39,EnrollData2324,'2324 Jun 24 Enroll'!D$1,FALSE),'District Calculations'!$B$11)),5)</f>
        <v>5.5530000000000003E-2</v>
      </c>
      <c r="K39" s="11">
        <f t="shared" si="21"/>
        <v>4.365E-3</v>
      </c>
      <c r="L39">
        <f>ROUND(IF(VLOOKUP($A39,EnrollData2324,'2324 Jun 24 Enroll'!D$1,FALSE)='District Calculations'!$B$11,VLOOKUP($A39,EnrollData2324,'2324 Jun 24 Enroll'!D$1,FALSE),'District Calculations'!$B$11)*K39,3)</f>
        <v>0</v>
      </c>
      <c r="M39">
        <f>ROUND(IF(VLOOKUP($A39,EnrollData2324,'2324 Jun 24 Enroll'!E$1,FALSE)='District Calculations'!$B$12,VLOOKUP($A39,EnrollData2324,'2324 Jun 24 Enroll'!E$1,FALSE),'District Calculations'!$B$12)*K39,3)</f>
        <v>3.5379999999999998</v>
      </c>
      <c r="N39">
        <f>ROUND(IF(VLOOKUP($A39,EnrollData2324,'2324 Jun 24 Enroll'!F$1,FALSE)='District Calculations'!$B$13,VLOOKUP($A39,EnrollData2324,'2324 Jun 24 Enroll'!F$1,FALSE),'District Calculations'!$B$13)*Apport_223A2324,3)</f>
        <v>0.84199999999999997</v>
      </c>
      <c r="O39">
        <f>ROUND(IF(VLOOKUP($A39,EnrollData2324,'2324 Jun 24 Enroll'!G$1,FALSE)='District Calculations'!$B$14,VLOOKUP($A39,EnrollData2324,'2324 Jun 24 Enroll'!G$1,FALSE),'District Calculations'!$B$14)*Apport_211A2324,3)</f>
        <v>1.867</v>
      </c>
      <c r="P39">
        <f>ROUND(IF(VLOOKUP($A39,EnrollData2324,'2324 Jun 24 Enroll'!H$1,FALSE)='District Calculations'!$B$14,VLOOKUP($A39,EnrollData2324,'2324 Jun 24 Enroll'!H$1,FALSE),'District Calculations'!$B$14)*Apport_214A2324,3)</f>
        <v>1.8660000000000001</v>
      </c>
      <c r="Q39">
        <f>ROUND(IF(VLOOKUP($A39,EnrollData2324,'2324 Jun 24 Enroll'!I$1,FALSE)+VLOOKUP($A39,EnrollData2324,'2324 Jun 24 Enroll'!M$1,FALSE)-VLOOKUP($A39,EnrollData2324,'2324 Jun 24 Enroll'!J$1,FALSE)='District Calculations'!$B$16+'District Calculations'!$B$25-'District Calculations'!$B$17,VLOOKUP($A39,EnrollData2324,'2324 Jun 24 Enroll'!I$1,FALSE)+VLOOKUP($A39,EnrollData2324,'2324 Jun 24 Enroll'!M$1,FALSE)-VLOOKUP($A39,EnrollData2324,'2324 Jun 24 Enroll'!J$1,FALSE),'District Calculations'!$B$16+'District Calculations'!$B$25-'District Calculations'!$B$17)*Apport_217A2324,3)</f>
        <v>4.6980000000000004</v>
      </c>
      <c r="R39">
        <f>ROUND(SUM(L39:Q39)/IF(VLOOKUP($A39,EnrollData2324,'2324 Jun 24 Enroll'!M$1,FALSE)+VLOOKUP($A39,EnrollData2324,'2324 Jun 24 Enroll'!D$1,FALSE)='District Calculations'!$B$25+'District Calculations'!$B$11,VLOOKUP($A39,EnrollData2324,'2324 Jun 24 Enroll'!M$1,FALSE)+VLOOKUP($A39,EnrollData2324,'2324 Jun 24 Enroll'!D$1,FALSE),'District Calculations'!$B$25+'District Calculations'!$B$11),5)</f>
        <v>4.1000000000000003E-3</v>
      </c>
      <c r="S39" s="11">
        <f t="shared" si="22"/>
        <v>1.8294500000000002E-2</v>
      </c>
      <c r="T39">
        <f>ROUND(IF(VLOOKUP($A39,EnrollData2324,'2324 Jun 24 Enroll'!D$1,FALSE)='District Calculations'!$B$11,VLOOKUP($A39,EnrollData2324,'2324 Jun 24 Enroll'!D$1,FALSE),'District Calculations'!$B$11)*S39,3)</f>
        <v>0</v>
      </c>
      <c r="U39">
        <f>ROUND(IF(VLOOKUP($A39,EnrollData2324,'2324 Jun 24 Enroll'!E$1,FALSE)='District Calculations'!$B$12,VLOOKUP($A39,EnrollData2324,'2324 Jun 24 Enroll'!E$1,FALSE),'District Calculations'!$B$12)*S39,3)</f>
        <v>14.827999999999999</v>
      </c>
      <c r="V39">
        <f>ROUND(IF(VLOOKUP($A39,EnrollData2324,'2324 Jun 24 Enroll'!F$1,FALSE)='District Calculations'!$B$13,VLOOKUP($A39,EnrollData2324,'2324 Jun 24 Enroll'!F$1,FALSE),'District Calculations'!$B$13)*Apport_224A2324,3)</f>
        <v>3.6190000000000002</v>
      </c>
      <c r="W39">
        <f>ROUND(IF(VLOOKUP($A39,EnrollData2324,'2324 Jun 24 Enroll'!G$1,FALSE)='District Calculations'!$B$14,VLOOKUP($A39,EnrollData2324,'2324 Jun 24 Enroll'!G$1,FALSE),'District Calculations'!$B$14)*Apport_212A2324,3)</f>
        <v>8.0239999999999991</v>
      </c>
      <c r="X39">
        <f>ROUND(IF(VLOOKUP($A39,EnrollData2324,'2324 Jun 24 Enroll'!H$1,FALSE)='District Calculations'!$B$14,VLOOKUP($A39,EnrollData2324,'2324 Jun 24 Enroll'!H$1,FALSE),'District Calculations'!$B$14)*Apport_215A2324,3)</f>
        <v>7.9279999999999999</v>
      </c>
      <c r="Y39">
        <f>ROUND(IF(VLOOKUP($A39,EnrollData2324,'2324 Jun 24 Enroll'!I$1,FALSE)+VLOOKUP($A39,EnrollData2324,'2324 Jun 24 Enroll'!M$1,FALSE)-VLOOKUP($A39,EnrollData2324,'2324 Jun 24 Enroll'!J$1,FALSE)='District Calculations'!$B$16+'District Calculations'!$B$25-'District Calculations'!$B$17,VLOOKUP($A39,EnrollData2324,'2324 Jun 24 Enroll'!I$1,FALSE)+VLOOKUP($A39,EnrollData2324,'2324 Jun 24 Enroll'!M$1,FALSE)-VLOOKUP($A39,EnrollData2324,'2324 Jun 24 Enroll'!J$1,FALSE),'District Calculations'!$B$16+'District Calculations'!$B$25-'District Calculations'!$B$17)*Apport_218A2324,3)</f>
        <v>19.917999999999999</v>
      </c>
      <c r="Z39">
        <f>ROUND(SUM(T39:Y39)/IF(VLOOKUP($A39,EnrollData2324,'2324 Jun 24 Enroll'!M$1,FALSE)+VLOOKUP($A39,EnrollData2324,'2324 Jun 24 Enroll'!D$1,FALSE)='District Calculations'!$B$25+'District Calculations'!$B$11,VLOOKUP($A39,EnrollData2324,'2324 Jun 24 Enroll'!M$1,FALSE)+VLOOKUP($A39,EnrollData2324,'2324 Jun 24 Enroll'!D$1,FALSE),'District Calculations'!$B$25+'District Calculations'!$B$11),5)</f>
        <v>1.7399999999999999E-2</v>
      </c>
      <c r="AA39" s="6">
        <f>ROUND($J39*CIS_Base_Salary2324*VLOOKUP($A39,EnrollData2324,'2324 Jun 24 Enroll'!S$1,FALSE),2)</f>
        <v>4038.59</v>
      </c>
      <c r="AB39" s="6">
        <f>ROUND($J39*CIS_Inc_Salary2324*(VLOOKUP($A39,EnrollData2324,'2324 Jun 24 Enroll'!T$1,FALSE)+VLOOKUP($A39,EnrollData2324,'2324 Jun 24 Enroll'!U$1,FALSE)),2)-AA39</f>
        <v>316.94999999999982</v>
      </c>
      <c r="AC39" s="6">
        <f>ROUND($R39*CAS_Base_Salary2324*VLOOKUP($A39,EnrollData2324,'2324 Jun 24 Enroll'!S$1,FALSE),2)</f>
        <v>442.62</v>
      </c>
      <c r="AD39" s="6">
        <f>ROUND($R39*CAS_Inc_Salary2324*VLOOKUP($A39,EnrollData2324,'2324 Jun 24 Enroll'!T$1,FALSE),2)-AC39</f>
        <v>16.379999999999995</v>
      </c>
      <c r="AE39" s="6">
        <f>ROUND($Z39*CLS_Base_Salary2324*VLOOKUP($A39,EnrollData2324,'2324 Jun 24 Enroll'!S$1,FALSE),2)</f>
        <v>907.81</v>
      </c>
      <c r="AF39" s="6">
        <f>ROUND($Z39*CLS_Inc_Salary2324*VLOOKUP($A39,EnrollData2324,'2324 Jun 24 Enroll'!T$1,FALSE),2)-AE39</f>
        <v>33.580000000000041</v>
      </c>
      <c r="AG39">
        <f t="shared" si="9"/>
        <v>734.16</v>
      </c>
      <c r="AH39" s="69">
        <f t="shared" si="23"/>
        <v>68.700000000000045</v>
      </c>
      <c r="AI39">
        <f t="shared" si="11"/>
        <v>214.23</v>
      </c>
      <c r="AJ39">
        <f t="shared" si="24"/>
        <v>114.21000000000001</v>
      </c>
      <c r="AK39">
        <f t="shared" si="25"/>
        <v>805.27</v>
      </c>
      <c r="AL39">
        <f t="shared" si="26"/>
        <v>57.77</v>
      </c>
      <c r="AM39">
        <f t="shared" si="27"/>
        <v>200.26</v>
      </c>
      <c r="AN39">
        <f t="shared" si="28"/>
        <v>6.23</v>
      </c>
      <c r="AO39">
        <f>ROUND(($J39*CIS_Inc_Salary2324*(VLOOKUP($A39,EnrollData2324,'2324 Jun 24 Enroll'!T$1,FALSE)+VLOOKUP($A39,EnrollData2324,'2324 Jun 24 Enroll'!U$1,FALSE))/Apport_613Xpd)*Apport_614Xpd,2)</f>
        <v>72.59</v>
      </c>
      <c r="AP39">
        <f t="shared" si="29"/>
        <v>12.58</v>
      </c>
      <c r="AQ39">
        <f t="shared" si="32"/>
        <v>30.93</v>
      </c>
      <c r="AR39" s="6">
        <f>ROUND((VLOOKUP($A39,EnrollData2324,'2324 Jun 24 Enroll'!D$1,FALSE)*Apport_M802324+VLOOKUP($A39,EnrollData2324,'2324 Jun 24 Enroll'!M$1,FALSE)*Apport_M802324+(VLOOKUP($A39,EnrollData2324,'2324 Jun 24 Enroll'!P$1,FALSE)+VLOOKUP($A39,EnrollData2324,'2324 Jun 24 Enroll'!Q$1,FALSE)+VLOOKUP($A39,EnrollData2324,'2324 Jun 24 Enroll'!R$1,FALSE)+VLOOKUP($A39,EnrollData2324,'2324 Jun 24 Enroll'!I$1,FALSE)+VLOOKUP($A39,EnrollData2324,'2324 Jun 24 Enroll'!N$1,FALSE)+VLOOKUP($A39,EnrollData2324,'2324 Jun 24 Enroll'!O$1,FALSE)+VLOOKUP($A39,EnrollData2324,'2324 Jun 24 Enroll'!K$1,FALSE)+VLOOKUP($A39,EnrollData2324,'2324 Jun 24 Enroll'!L$1,FALSE))*Apport_M812324)/(VLOOKUP($A39,EnrollData2324,'2324 Jun 24 Enroll'!M$1,FALSE)+VLOOKUP($A39,EnrollData2324,'2324 Jun 24 Enroll'!D$1,FALSE)),2)</f>
        <v>1554.64</v>
      </c>
      <c r="AS39" s="7">
        <f t="shared" si="33"/>
        <v>9627.5</v>
      </c>
    </row>
    <row r="40" spans="1:46">
      <c r="A40" s="40" t="s">
        <v>384</v>
      </c>
      <c r="B40" s="40" t="s">
        <v>385</v>
      </c>
      <c r="C40" s="11">
        <f>ROUND((IFERROR((1/IF(VLOOKUP($A40,EnrollData2324,28,FALSE)='District Calculations'!$B$10,VLOOKUP($A40,EnrollData2324,28,FALSE),'District Calculations'!$B$10))*(1+Apport_Z315),0))+Apport_201A2324,6)</f>
        <v>7.3449E-2</v>
      </c>
      <c r="D40">
        <f>ROUND(IF(VLOOKUP($A40,EnrollData2324,'2324 Jun 24 Enroll'!D$1,FALSE)='District Calculations'!$B$11,VLOOKUP($A40,EnrollData2324,'2324 Jun 24 Enroll'!D$1,FALSE),'District Calculations'!$B$11)*C40,3)</f>
        <v>0</v>
      </c>
      <c r="E40">
        <f>ROUND(IF(VLOOKUP($A40,EnrollData2324,'2324 Jun 24 Enroll'!E$1,FALSE)='District Calculations'!$B$12,VLOOKUP($A40,EnrollData2324,'2324 Jun 24 Enroll'!E$1,FALSE),'District Calculations'!$B$12)*C40,3)</f>
        <v>59.53</v>
      </c>
      <c r="F40">
        <f>ROUND(IF(VLOOKUP($A40,EnrollData2324,'2324 Jun 24 Enroll'!F$1,FALSE)='District Calculations'!$B$13,VLOOKUP($A40,EnrollData2324,'2324 Jun 24 Enroll'!F$1,FALSE),'District Calculations'!$B$13)*Apport_222A2324,3)</f>
        <v>10.101000000000001</v>
      </c>
      <c r="G40">
        <f>ROUND(IF(VLOOKUP($A40,EnrollData2324,'2324 Jun 24 Enroll'!G$1,FALSE)='District Calculations'!$B$14,VLOOKUP($A40,EnrollData2324,'2324 Jun 24 Enroll'!G$1,FALSE),'District Calculations'!$B$14)*Apport_210A2324,3)</f>
        <v>22.395</v>
      </c>
      <c r="H40">
        <f>ROUND(IF(VLOOKUP($A40,EnrollData2324,'2324 Jun 24 Enroll'!H$1,FALSE)='District Calculations'!$B$15,VLOOKUP($A40,EnrollData2324,'2324 Jun 24 Enroll'!H$1,FALSE),'District Calculations'!$B$15)*Apport_213A2324,3)</f>
        <v>23.091999999999999</v>
      </c>
      <c r="I40">
        <f>ROUND(IF(VLOOKUP($A40,EnrollData2324,'2324 Jun 24 Enroll'!I$1,FALSE)+VLOOKUP($A40,EnrollData2324,'2324 Jun 24 Enroll'!M$1,FALSE)-VLOOKUP($A40,EnrollData2324,'2324 Jun 24 Enroll'!J$1,FALSE)='District Calculations'!$B$16+'District Calculations'!$B$25-'District Calculations'!$B$17,VLOOKUP($A40,EnrollData2324,'2324 Jun 24 Enroll'!I$1,FALSE)+VLOOKUP($A40,EnrollData2324,'2324 Jun 24 Enroll'!M$1,FALSE)-VLOOKUP($A40,EnrollData2324,'2324 Jun 24 Enroll'!J$1,FALSE),'District Calculations'!$B$16+'District Calculations'!$B$25-'District Calculations'!$B$17)*Apport_216A2324,3)</f>
        <v>58.183999999999997</v>
      </c>
      <c r="J40">
        <f>ROUND(SUM(D40:I40)/(IF(VLOOKUP($A40,EnrollData2324,'2324 Jun 24 Enroll'!M$1,FALSE)='District Calculations'!$B$25,VLOOKUP($A40,EnrollData2324,'2324 Jun 24 Enroll'!M$1,FALSE),'District Calculations'!$B$25)+IF(VLOOKUP($A40,EnrollData2324,'2324 Jun 24 Enroll'!D$1,FALSE)='District Calculations'!$B$11,VLOOKUP($A40,EnrollData2324,'2324 Jun 24 Enroll'!D$1,FALSE),'District Calculations'!$B$11)),5)</f>
        <v>5.5530000000000003E-2</v>
      </c>
      <c r="K40" s="11">
        <f t="shared" si="21"/>
        <v>4.365E-3</v>
      </c>
      <c r="L40">
        <f>ROUND(IF(VLOOKUP($A40,EnrollData2324,'2324 Jun 24 Enroll'!D$1,FALSE)='District Calculations'!$B$11,VLOOKUP($A40,EnrollData2324,'2324 Jun 24 Enroll'!D$1,FALSE),'District Calculations'!$B$11)*K40,3)</f>
        <v>0</v>
      </c>
      <c r="M40">
        <f>ROUND(IF(VLOOKUP($A40,EnrollData2324,'2324 Jun 24 Enroll'!E$1,FALSE)='District Calculations'!$B$12,VLOOKUP($A40,EnrollData2324,'2324 Jun 24 Enroll'!E$1,FALSE),'District Calculations'!$B$12)*K40,3)</f>
        <v>3.5379999999999998</v>
      </c>
      <c r="N40">
        <f>ROUND(IF(VLOOKUP($A40,EnrollData2324,'2324 Jun 24 Enroll'!F$1,FALSE)='District Calculations'!$B$13,VLOOKUP($A40,EnrollData2324,'2324 Jun 24 Enroll'!F$1,FALSE),'District Calculations'!$B$13)*Apport_223A2324,3)</f>
        <v>0.84199999999999997</v>
      </c>
      <c r="O40">
        <f>ROUND(IF(VLOOKUP($A40,EnrollData2324,'2324 Jun 24 Enroll'!G$1,FALSE)='District Calculations'!$B$14,VLOOKUP($A40,EnrollData2324,'2324 Jun 24 Enroll'!G$1,FALSE),'District Calculations'!$B$14)*Apport_211A2324,3)</f>
        <v>1.867</v>
      </c>
      <c r="P40">
        <f>ROUND(IF(VLOOKUP($A40,EnrollData2324,'2324 Jun 24 Enroll'!H$1,FALSE)='District Calculations'!$B$14,VLOOKUP($A40,EnrollData2324,'2324 Jun 24 Enroll'!H$1,FALSE),'District Calculations'!$B$14)*Apport_214A2324,3)</f>
        <v>1.8660000000000001</v>
      </c>
      <c r="Q40">
        <f>ROUND(IF(VLOOKUP($A40,EnrollData2324,'2324 Jun 24 Enroll'!I$1,FALSE)+VLOOKUP($A40,EnrollData2324,'2324 Jun 24 Enroll'!M$1,FALSE)-VLOOKUP($A40,EnrollData2324,'2324 Jun 24 Enroll'!J$1,FALSE)='District Calculations'!$B$16+'District Calculations'!$B$25-'District Calculations'!$B$17,VLOOKUP($A40,EnrollData2324,'2324 Jun 24 Enroll'!I$1,FALSE)+VLOOKUP($A40,EnrollData2324,'2324 Jun 24 Enroll'!M$1,FALSE)-VLOOKUP($A40,EnrollData2324,'2324 Jun 24 Enroll'!J$1,FALSE),'District Calculations'!$B$16+'District Calculations'!$B$25-'District Calculations'!$B$17)*Apport_217A2324,3)</f>
        <v>4.6980000000000004</v>
      </c>
      <c r="R40">
        <f>ROUND(SUM(L40:Q40)/IF(VLOOKUP($A40,EnrollData2324,'2324 Jun 24 Enroll'!M$1,FALSE)+VLOOKUP($A40,EnrollData2324,'2324 Jun 24 Enroll'!D$1,FALSE)='District Calculations'!$B$25+'District Calculations'!$B$11,VLOOKUP($A40,EnrollData2324,'2324 Jun 24 Enroll'!M$1,FALSE)+VLOOKUP($A40,EnrollData2324,'2324 Jun 24 Enroll'!D$1,FALSE),'District Calculations'!$B$25+'District Calculations'!$B$11),5)</f>
        <v>4.1000000000000003E-3</v>
      </c>
      <c r="S40" s="11">
        <f t="shared" si="22"/>
        <v>1.8294500000000002E-2</v>
      </c>
      <c r="T40">
        <f>ROUND(IF(VLOOKUP($A40,EnrollData2324,'2324 Jun 24 Enroll'!D$1,FALSE)='District Calculations'!$B$11,VLOOKUP($A40,EnrollData2324,'2324 Jun 24 Enroll'!D$1,FALSE),'District Calculations'!$B$11)*S40,3)</f>
        <v>0</v>
      </c>
      <c r="U40">
        <f>ROUND(IF(VLOOKUP($A40,EnrollData2324,'2324 Jun 24 Enroll'!E$1,FALSE)='District Calculations'!$B$12,VLOOKUP($A40,EnrollData2324,'2324 Jun 24 Enroll'!E$1,FALSE),'District Calculations'!$B$12)*S40,3)</f>
        <v>14.827999999999999</v>
      </c>
      <c r="V40">
        <f>ROUND(IF(VLOOKUP($A40,EnrollData2324,'2324 Jun 24 Enroll'!F$1,FALSE)='District Calculations'!$B$13,VLOOKUP($A40,EnrollData2324,'2324 Jun 24 Enroll'!F$1,FALSE),'District Calculations'!$B$13)*Apport_224A2324,3)</f>
        <v>3.6190000000000002</v>
      </c>
      <c r="W40">
        <f>ROUND(IF(VLOOKUP($A40,EnrollData2324,'2324 Jun 24 Enroll'!G$1,FALSE)='District Calculations'!$B$14,VLOOKUP($A40,EnrollData2324,'2324 Jun 24 Enroll'!G$1,FALSE),'District Calculations'!$B$14)*Apport_212A2324,3)</f>
        <v>8.0239999999999991</v>
      </c>
      <c r="X40">
        <f>ROUND(IF(VLOOKUP($A40,EnrollData2324,'2324 Jun 24 Enroll'!H$1,FALSE)='District Calculations'!$B$14,VLOOKUP($A40,EnrollData2324,'2324 Jun 24 Enroll'!H$1,FALSE),'District Calculations'!$B$14)*Apport_215A2324,3)</f>
        <v>7.9279999999999999</v>
      </c>
      <c r="Y40">
        <f>ROUND(IF(VLOOKUP($A40,EnrollData2324,'2324 Jun 24 Enroll'!I$1,FALSE)+VLOOKUP($A40,EnrollData2324,'2324 Jun 24 Enroll'!M$1,FALSE)-VLOOKUP($A40,EnrollData2324,'2324 Jun 24 Enroll'!J$1,FALSE)='District Calculations'!$B$16+'District Calculations'!$B$25-'District Calculations'!$B$17,VLOOKUP($A40,EnrollData2324,'2324 Jun 24 Enroll'!I$1,FALSE)+VLOOKUP($A40,EnrollData2324,'2324 Jun 24 Enroll'!M$1,FALSE)-VLOOKUP($A40,EnrollData2324,'2324 Jun 24 Enroll'!J$1,FALSE),'District Calculations'!$B$16+'District Calculations'!$B$25-'District Calculations'!$B$17)*Apport_218A2324,3)</f>
        <v>19.917999999999999</v>
      </c>
      <c r="Z40">
        <f>ROUND(SUM(T40:Y40)/IF(VLOOKUP($A40,EnrollData2324,'2324 Jun 24 Enroll'!M$1,FALSE)+VLOOKUP($A40,EnrollData2324,'2324 Jun 24 Enroll'!D$1,FALSE)='District Calculations'!$B$25+'District Calculations'!$B$11,VLOOKUP($A40,EnrollData2324,'2324 Jun 24 Enroll'!M$1,FALSE)+VLOOKUP($A40,EnrollData2324,'2324 Jun 24 Enroll'!D$1,FALSE),'District Calculations'!$B$25+'District Calculations'!$B$11),5)</f>
        <v>1.7399999999999999E-2</v>
      </c>
      <c r="AA40" s="6">
        <f>ROUND($J40*CIS_Base_Salary2324*VLOOKUP($A40,EnrollData2324,'2324 Jun 24 Enroll'!S$1,FALSE),2)</f>
        <v>4038.59</v>
      </c>
      <c r="AB40" s="6">
        <f>ROUND($J40*CIS_Inc_Salary2324*(VLOOKUP($A40,EnrollData2324,'2324 Jun 24 Enroll'!T$1,FALSE)+VLOOKUP($A40,EnrollData2324,'2324 Jun 24 Enroll'!U$1,FALSE)),2)-AA40</f>
        <v>149.43000000000029</v>
      </c>
      <c r="AC40" s="6">
        <f>ROUND($R40*CAS_Base_Salary2324*VLOOKUP($A40,EnrollData2324,'2324 Jun 24 Enroll'!S$1,FALSE),2)</f>
        <v>442.62</v>
      </c>
      <c r="AD40" s="6">
        <f>ROUND($R40*CAS_Inc_Salary2324*VLOOKUP($A40,EnrollData2324,'2324 Jun 24 Enroll'!T$1,FALSE),2)-AC40</f>
        <v>16.379999999999995</v>
      </c>
      <c r="AE40" s="6">
        <f>ROUND($Z40*CLS_Base_Salary2324*VLOOKUP($A40,EnrollData2324,'2324 Jun 24 Enroll'!S$1,FALSE),2)</f>
        <v>907.81</v>
      </c>
      <c r="AF40" s="6">
        <f>ROUND($Z40*CLS_Inc_Salary2324*VLOOKUP($A40,EnrollData2324,'2324 Jun 24 Enroll'!T$1,FALSE),2)-AE40</f>
        <v>33.580000000000041</v>
      </c>
      <c r="AG40">
        <f t="shared" si="9"/>
        <v>734.16</v>
      </c>
      <c r="AH40" s="69">
        <f t="shared" si="23"/>
        <v>68.700000000000045</v>
      </c>
      <c r="AI40">
        <f t="shared" si="11"/>
        <v>214.23</v>
      </c>
      <c r="AJ40">
        <f t="shared" si="24"/>
        <v>114.21000000000001</v>
      </c>
      <c r="AK40">
        <f t="shared" si="25"/>
        <v>805.27</v>
      </c>
      <c r="AL40">
        <f t="shared" si="26"/>
        <v>28.73</v>
      </c>
      <c r="AM40">
        <f t="shared" si="27"/>
        <v>200.26</v>
      </c>
      <c r="AN40">
        <f t="shared" si="28"/>
        <v>6.23</v>
      </c>
      <c r="AO40">
        <f>ROUND(($J40*CIS_Inc_Salary2324*(VLOOKUP($A40,EnrollData2324,'2324 Jun 24 Enroll'!T$1,FALSE)+VLOOKUP($A40,EnrollData2324,'2324 Jun 24 Enroll'!U$1,FALSE))/Apport_613Xpd)*Apport_614Xpd,2)</f>
        <v>69.8</v>
      </c>
      <c r="AP40">
        <f t="shared" si="29"/>
        <v>12.1</v>
      </c>
      <c r="AQ40">
        <f t="shared" si="32"/>
        <v>30.93</v>
      </c>
      <c r="AR40" s="6">
        <f>ROUND((VLOOKUP($A40,EnrollData2324,'2324 Jun 24 Enroll'!D$1,FALSE)*Apport_M802324+VLOOKUP($A40,EnrollData2324,'2324 Jun 24 Enroll'!M$1,FALSE)*Apport_M802324+(VLOOKUP($A40,EnrollData2324,'2324 Jun 24 Enroll'!P$1,FALSE)+VLOOKUP($A40,EnrollData2324,'2324 Jun 24 Enroll'!Q$1,FALSE)+VLOOKUP($A40,EnrollData2324,'2324 Jun 24 Enroll'!R$1,FALSE)+VLOOKUP($A40,EnrollData2324,'2324 Jun 24 Enroll'!I$1,FALSE)+VLOOKUP($A40,EnrollData2324,'2324 Jun 24 Enroll'!N$1,FALSE)+VLOOKUP($A40,EnrollData2324,'2324 Jun 24 Enroll'!O$1,FALSE)+VLOOKUP($A40,EnrollData2324,'2324 Jun 24 Enroll'!K$1,FALSE)+VLOOKUP($A40,EnrollData2324,'2324 Jun 24 Enroll'!L$1,FALSE))*Apport_M812324)/(VLOOKUP($A40,EnrollData2324,'2324 Jun 24 Enroll'!M$1,FALSE)+VLOOKUP($A40,EnrollData2324,'2324 Jun 24 Enroll'!D$1,FALSE)),2)</f>
        <v>1552.6</v>
      </c>
      <c r="AS40" s="7">
        <f t="shared" si="33"/>
        <v>9425.6299999999992</v>
      </c>
    </row>
    <row r="41" spans="1:46">
      <c r="A41" s="40" t="s">
        <v>325</v>
      </c>
      <c r="B41" s="40" t="s">
        <v>326</v>
      </c>
      <c r="C41" s="11">
        <f>ROUND((IFERROR((1/IF(VLOOKUP($A41,EnrollData2324,28,FALSE)='District Calculations'!$B$10,VLOOKUP($A41,EnrollData2324,28,FALSE),'District Calculations'!$B$10))*(1+Apport_Z315),0))+Apport_201A2324,6)</f>
        <v>7.3449E-2</v>
      </c>
      <c r="D41">
        <f>ROUND(IF(VLOOKUP($A41,EnrollData2324,'2324 Jun 24 Enroll'!D$1,FALSE)='District Calculations'!$B$11,VLOOKUP($A41,EnrollData2324,'2324 Jun 24 Enroll'!D$1,FALSE),'District Calculations'!$B$11)*C41,3)</f>
        <v>0</v>
      </c>
      <c r="E41">
        <f>ROUND(IF(VLOOKUP($A41,EnrollData2324,'2324 Jun 24 Enroll'!E$1,FALSE)='District Calculations'!$B$12,VLOOKUP($A41,EnrollData2324,'2324 Jun 24 Enroll'!E$1,FALSE),'District Calculations'!$B$12)*C41,3)</f>
        <v>59.53</v>
      </c>
      <c r="F41">
        <f>ROUND(IF(VLOOKUP($A41,EnrollData2324,'2324 Jun 24 Enroll'!F$1,FALSE)='District Calculations'!$B$13,VLOOKUP($A41,EnrollData2324,'2324 Jun 24 Enroll'!F$1,FALSE),'District Calculations'!$B$13)*Apport_222A2324,3)</f>
        <v>10.101000000000001</v>
      </c>
      <c r="G41">
        <f>ROUND(IF(VLOOKUP($A41,EnrollData2324,'2324 Jun 24 Enroll'!G$1,FALSE)='District Calculations'!$B$14,VLOOKUP($A41,EnrollData2324,'2324 Jun 24 Enroll'!G$1,FALSE),'District Calculations'!$B$14)*Apport_210A2324,3)</f>
        <v>22.395</v>
      </c>
      <c r="H41">
        <f>ROUND(IF(VLOOKUP($A41,EnrollData2324,'2324 Jun 24 Enroll'!H$1,FALSE)='District Calculations'!$B$15,VLOOKUP($A41,EnrollData2324,'2324 Jun 24 Enroll'!H$1,FALSE),'District Calculations'!$B$15)*Apport_213A2324,3)</f>
        <v>23.091999999999999</v>
      </c>
      <c r="I41">
        <f>ROUND(IF(VLOOKUP($A41,EnrollData2324,'2324 Jun 24 Enroll'!I$1,FALSE)+VLOOKUP($A41,EnrollData2324,'2324 Jun 24 Enroll'!M$1,FALSE)-VLOOKUP($A41,EnrollData2324,'2324 Jun 24 Enroll'!J$1,FALSE)='District Calculations'!$B$16+'District Calculations'!$B$25-'District Calculations'!$B$17,VLOOKUP($A41,EnrollData2324,'2324 Jun 24 Enroll'!I$1,FALSE)+VLOOKUP($A41,EnrollData2324,'2324 Jun 24 Enroll'!M$1,FALSE)-VLOOKUP($A41,EnrollData2324,'2324 Jun 24 Enroll'!J$1,FALSE),'District Calculations'!$B$16+'District Calculations'!$B$25-'District Calculations'!$B$17)*Apport_216A2324,3)</f>
        <v>58.183999999999997</v>
      </c>
      <c r="J41">
        <f>ROUND(SUM(D41:I41)/(IF(VLOOKUP($A41,EnrollData2324,'2324 Jun 24 Enroll'!M$1,FALSE)='District Calculations'!$B$25,VLOOKUP($A41,EnrollData2324,'2324 Jun 24 Enroll'!M$1,FALSE),'District Calculations'!$B$25)+IF(VLOOKUP($A41,EnrollData2324,'2324 Jun 24 Enroll'!D$1,FALSE)='District Calculations'!$B$11,VLOOKUP($A41,EnrollData2324,'2324 Jun 24 Enroll'!D$1,FALSE),'District Calculations'!$B$11)),5)</f>
        <v>5.5530000000000003E-2</v>
      </c>
      <c r="K41" s="11">
        <f t="shared" si="21"/>
        <v>4.365E-3</v>
      </c>
      <c r="L41">
        <f>ROUND(IF(VLOOKUP($A41,EnrollData2324,'2324 Jun 24 Enroll'!D$1,FALSE)='District Calculations'!$B$11,VLOOKUP($A41,EnrollData2324,'2324 Jun 24 Enroll'!D$1,FALSE),'District Calculations'!$B$11)*K41,3)</f>
        <v>0</v>
      </c>
      <c r="M41">
        <f>ROUND(IF(VLOOKUP($A41,EnrollData2324,'2324 Jun 24 Enroll'!E$1,FALSE)='District Calculations'!$B$12,VLOOKUP($A41,EnrollData2324,'2324 Jun 24 Enroll'!E$1,FALSE),'District Calculations'!$B$12)*K41,3)</f>
        <v>3.5379999999999998</v>
      </c>
      <c r="N41">
        <f>ROUND(IF(VLOOKUP($A41,EnrollData2324,'2324 Jun 24 Enroll'!F$1,FALSE)='District Calculations'!$B$13,VLOOKUP($A41,EnrollData2324,'2324 Jun 24 Enroll'!F$1,FALSE),'District Calculations'!$B$13)*Apport_223A2324,3)</f>
        <v>0.84199999999999997</v>
      </c>
      <c r="O41">
        <f>ROUND(IF(VLOOKUP($A41,EnrollData2324,'2324 Jun 24 Enroll'!G$1,FALSE)='District Calculations'!$B$14,VLOOKUP($A41,EnrollData2324,'2324 Jun 24 Enroll'!G$1,FALSE),'District Calculations'!$B$14)*Apport_211A2324,3)</f>
        <v>1.867</v>
      </c>
      <c r="P41">
        <f>ROUND(IF(VLOOKUP($A41,EnrollData2324,'2324 Jun 24 Enroll'!H$1,FALSE)='District Calculations'!$B$14,VLOOKUP($A41,EnrollData2324,'2324 Jun 24 Enroll'!H$1,FALSE),'District Calculations'!$B$14)*Apport_214A2324,3)</f>
        <v>1.8660000000000001</v>
      </c>
      <c r="Q41">
        <f>ROUND(IF(VLOOKUP($A41,EnrollData2324,'2324 Jun 24 Enroll'!I$1,FALSE)+VLOOKUP($A41,EnrollData2324,'2324 Jun 24 Enroll'!M$1,FALSE)-VLOOKUP($A41,EnrollData2324,'2324 Jun 24 Enroll'!J$1,FALSE)='District Calculations'!$B$16+'District Calculations'!$B$25-'District Calculations'!$B$17,VLOOKUP($A41,EnrollData2324,'2324 Jun 24 Enroll'!I$1,FALSE)+VLOOKUP($A41,EnrollData2324,'2324 Jun 24 Enroll'!M$1,FALSE)-VLOOKUP($A41,EnrollData2324,'2324 Jun 24 Enroll'!J$1,FALSE),'District Calculations'!$B$16+'District Calculations'!$B$25-'District Calculations'!$B$17)*Apport_217A2324,3)</f>
        <v>4.6980000000000004</v>
      </c>
      <c r="R41">
        <f>ROUND(SUM(L41:Q41)/IF(VLOOKUP($A41,EnrollData2324,'2324 Jun 24 Enroll'!M$1,FALSE)+VLOOKUP($A41,EnrollData2324,'2324 Jun 24 Enroll'!D$1,FALSE)='District Calculations'!$B$25+'District Calculations'!$B$11,VLOOKUP($A41,EnrollData2324,'2324 Jun 24 Enroll'!M$1,FALSE)+VLOOKUP($A41,EnrollData2324,'2324 Jun 24 Enroll'!D$1,FALSE),'District Calculations'!$B$25+'District Calculations'!$B$11),5)</f>
        <v>4.1000000000000003E-3</v>
      </c>
      <c r="S41" s="11">
        <f t="shared" si="22"/>
        <v>1.8294500000000002E-2</v>
      </c>
      <c r="T41">
        <f>ROUND(IF(VLOOKUP($A41,EnrollData2324,'2324 Jun 24 Enroll'!D$1,FALSE)='District Calculations'!$B$11,VLOOKUP($A41,EnrollData2324,'2324 Jun 24 Enroll'!D$1,FALSE),'District Calculations'!$B$11)*S41,3)</f>
        <v>0</v>
      </c>
      <c r="U41">
        <f>ROUND(IF(VLOOKUP($A41,EnrollData2324,'2324 Jun 24 Enroll'!E$1,FALSE)='District Calculations'!$B$12,VLOOKUP($A41,EnrollData2324,'2324 Jun 24 Enroll'!E$1,FALSE),'District Calculations'!$B$12)*S41,3)</f>
        <v>14.827999999999999</v>
      </c>
      <c r="V41">
        <f>ROUND(IF(VLOOKUP($A41,EnrollData2324,'2324 Jun 24 Enroll'!F$1,FALSE)='District Calculations'!$B$13,VLOOKUP($A41,EnrollData2324,'2324 Jun 24 Enroll'!F$1,FALSE),'District Calculations'!$B$13)*Apport_224A2324,3)</f>
        <v>3.6190000000000002</v>
      </c>
      <c r="W41">
        <f>ROUND(IF(VLOOKUP($A41,EnrollData2324,'2324 Jun 24 Enroll'!G$1,FALSE)='District Calculations'!$B$14,VLOOKUP($A41,EnrollData2324,'2324 Jun 24 Enroll'!G$1,FALSE),'District Calculations'!$B$14)*Apport_212A2324,3)</f>
        <v>8.0239999999999991</v>
      </c>
      <c r="X41">
        <f>ROUND(IF(VLOOKUP($A41,EnrollData2324,'2324 Jun 24 Enroll'!H$1,FALSE)='District Calculations'!$B$14,VLOOKUP($A41,EnrollData2324,'2324 Jun 24 Enroll'!H$1,FALSE),'District Calculations'!$B$14)*Apport_215A2324,3)</f>
        <v>7.9279999999999999</v>
      </c>
      <c r="Y41">
        <f>ROUND(IF(VLOOKUP($A41,EnrollData2324,'2324 Jun 24 Enroll'!I$1,FALSE)+VLOOKUP($A41,EnrollData2324,'2324 Jun 24 Enroll'!M$1,FALSE)-VLOOKUP($A41,EnrollData2324,'2324 Jun 24 Enroll'!J$1,FALSE)='District Calculations'!$B$16+'District Calculations'!$B$25-'District Calculations'!$B$17,VLOOKUP($A41,EnrollData2324,'2324 Jun 24 Enroll'!I$1,FALSE)+VLOOKUP($A41,EnrollData2324,'2324 Jun 24 Enroll'!M$1,FALSE)-VLOOKUP($A41,EnrollData2324,'2324 Jun 24 Enroll'!J$1,FALSE),'District Calculations'!$B$16+'District Calculations'!$B$25-'District Calculations'!$B$17)*Apport_218A2324,3)</f>
        <v>19.917999999999999</v>
      </c>
      <c r="Z41">
        <f>ROUND(SUM(T41:Y41)/IF(VLOOKUP($A41,EnrollData2324,'2324 Jun 24 Enroll'!M$1,FALSE)+VLOOKUP($A41,EnrollData2324,'2324 Jun 24 Enroll'!D$1,FALSE)='District Calculations'!$B$25+'District Calculations'!$B$11,VLOOKUP($A41,EnrollData2324,'2324 Jun 24 Enroll'!M$1,FALSE)+VLOOKUP($A41,EnrollData2324,'2324 Jun 24 Enroll'!D$1,FALSE),'District Calculations'!$B$25+'District Calculations'!$B$11),5)</f>
        <v>1.7399999999999999E-2</v>
      </c>
      <c r="AA41" s="6">
        <f>ROUND($J41*CIS_Base_Salary2324*VLOOKUP($A41,EnrollData2324,'2324 Jun 24 Enroll'!S$1,FALSE),2)</f>
        <v>4038.59</v>
      </c>
      <c r="AB41" s="6">
        <f>ROUND($J41*CIS_Inc_Salary2324*(VLOOKUP($A41,EnrollData2324,'2324 Jun 24 Enroll'!T$1,FALSE)+VLOOKUP($A41,EnrollData2324,'2324 Jun 24 Enroll'!U$1,FALSE)),2)-AA41</f>
        <v>149.43000000000029</v>
      </c>
      <c r="AC41" s="6">
        <f>ROUND($R41*CAS_Base_Salary2324*VLOOKUP($A41,EnrollData2324,'2324 Jun 24 Enroll'!S$1,FALSE),2)</f>
        <v>442.62</v>
      </c>
      <c r="AD41" s="6">
        <f>ROUND($R41*CAS_Inc_Salary2324*VLOOKUP($A41,EnrollData2324,'2324 Jun 24 Enroll'!T$1,FALSE),2)-AC41</f>
        <v>16.379999999999995</v>
      </c>
      <c r="AE41" s="6">
        <f>ROUND($Z41*CLS_Base_Salary2324*VLOOKUP($A41,EnrollData2324,'2324 Jun 24 Enroll'!S$1,FALSE),2)</f>
        <v>907.81</v>
      </c>
      <c r="AF41" s="6">
        <f>ROUND($Z41*CLS_Inc_Salary2324*VLOOKUP($A41,EnrollData2324,'2324 Jun 24 Enroll'!T$1,FALSE),2)-AE41</f>
        <v>33.580000000000041</v>
      </c>
      <c r="AG41">
        <f t="shared" si="9"/>
        <v>734.16</v>
      </c>
      <c r="AH41" s="69">
        <f t="shared" si="23"/>
        <v>68.700000000000045</v>
      </c>
      <c r="AI41">
        <f t="shared" si="11"/>
        <v>214.23</v>
      </c>
      <c r="AJ41">
        <f t="shared" si="24"/>
        <v>114.21000000000001</v>
      </c>
      <c r="AK41">
        <f t="shared" si="25"/>
        <v>805.27</v>
      </c>
      <c r="AL41">
        <f t="shared" si="26"/>
        <v>28.73</v>
      </c>
      <c r="AM41">
        <f t="shared" si="27"/>
        <v>200.26</v>
      </c>
      <c r="AN41">
        <f t="shared" si="28"/>
        <v>6.23</v>
      </c>
      <c r="AO41">
        <f>ROUND(($J41*CIS_Inc_Salary2324*(VLOOKUP($A41,EnrollData2324,'2324 Jun 24 Enroll'!T$1,FALSE)+VLOOKUP($A41,EnrollData2324,'2324 Jun 24 Enroll'!U$1,FALSE))/Apport_613Xpd)*Apport_614Xpd,2)</f>
        <v>69.8</v>
      </c>
      <c r="AP41">
        <f t="shared" si="29"/>
        <v>12.1</v>
      </c>
      <c r="AQ41">
        <f t="shared" si="32"/>
        <v>30.93</v>
      </c>
      <c r="AR41" s="6">
        <f>ROUND((VLOOKUP($A41,EnrollData2324,'2324 Jun 24 Enroll'!D$1,FALSE)*Apport_M802324+VLOOKUP($A41,EnrollData2324,'2324 Jun 24 Enroll'!M$1,FALSE)*Apport_M802324+(VLOOKUP($A41,EnrollData2324,'2324 Jun 24 Enroll'!P$1,FALSE)+VLOOKUP($A41,EnrollData2324,'2324 Jun 24 Enroll'!Q$1,FALSE)+VLOOKUP($A41,EnrollData2324,'2324 Jun 24 Enroll'!R$1,FALSE)+VLOOKUP($A41,EnrollData2324,'2324 Jun 24 Enroll'!I$1,FALSE)+VLOOKUP($A41,EnrollData2324,'2324 Jun 24 Enroll'!N$1,FALSE)+VLOOKUP($A41,EnrollData2324,'2324 Jun 24 Enroll'!O$1,FALSE)+VLOOKUP($A41,EnrollData2324,'2324 Jun 24 Enroll'!K$1,FALSE)+VLOOKUP($A41,EnrollData2324,'2324 Jun 24 Enroll'!L$1,FALSE))*Apport_M812324)/(VLOOKUP($A41,EnrollData2324,'2324 Jun 24 Enroll'!M$1,FALSE)+VLOOKUP($A41,EnrollData2324,'2324 Jun 24 Enroll'!D$1,FALSE)),2)</f>
        <v>1540.28</v>
      </c>
      <c r="AS41" s="7">
        <f t="shared" si="33"/>
        <v>9413.31</v>
      </c>
    </row>
    <row r="42" spans="1:46">
      <c r="A42" s="40" t="s">
        <v>524</v>
      </c>
      <c r="B42" s="40" t="s">
        <v>525</v>
      </c>
      <c r="C42" s="11">
        <f>ROUND((IFERROR((1/IF(VLOOKUP($A42,EnrollData2324,28,FALSE)='District Calculations'!$B$10,VLOOKUP($A42,EnrollData2324,28,FALSE),'District Calculations'!$B$10))*(1+Apport_Z315),0))+Apport_201A2324,6)</f>
        <v>7.3449E-2</v>
      </c>
      <c r="D42">
        <f>ROUND(IF(VLOOKUP($A42,EnrollData2324,'2324 Jun 24 Enroll'!D$1,FALSE)='District Calculations'!$B$11,VLOOKUP($A42,EnrollData2324,'2324 Jun 24 Enroll'!D$1,FALSE),'District Calculations'!$B$11)*C42,3)</f>
        <v>0</v>
      </c>
      <c r="E42">
        <f>ROUND(IF(VLOOKUP($A42,EnrollData2324,'2324 Jun 24 Enroll'!E$1,FALSE)='District Calculations'!$B$12,VLOOKUP($A42,EnrollData2324,'2324 Jun 24 Enroll'!E$1,FALSE),'District Calculations'!$B$12)*C42,3)</f>
        <v>59.53</v>
      </c>
      <c r="F42">
        <f>ROUND(IF(VLOOKUP($A42,EnrollData2324,'2324 Jun 24 Enroll'!F$1,FALSE)='District Calculations'!$B$13,VLOOKUP($A42,EnrollData2324,'2324 Jun 24 Enroll'!F$1,FALSE),'District Calculations'!$B$13)*Apport_222A2324,3)</f>
        <v>10.101000000000001</v>
      </c>
      <c r="G42">
        <f>ROUND(IF(VLOOKUP($A42,EnrollData2324,'2324 Jun 24 Enroll'!G$1,FALSE)='District Calculations'!$B$14,VLOOKUP($A42,EnrollData2324,'2324 Jun 24 Enroll'!G$1,FALSE),'District Calculations'!$B$14)*Apport_210A2324,3)</f>
        <v>22.395</v>
      </c>
      <c r="H42">
        <f>ROUND(IF(VLOOKUP($A42,EnrollData2324,'2324 Jun 24 Enroll'!H$1,FALSE)='District Calculations'!$B$15,VLOOKUP($A42,EnrollData2324,'2324 Jun 24 Enroll'!H$1,FALSE),'District Calculations'!$B$15)*Apport_213A2324,3)</f>
        <v>23.091999999999999</v>
      </c>
      <c r="I42">
        <f>ROUND(IF(VLOOKUP($A42,EnrollData2324,'2324 Jun 24 Enroll'!I$1,FALSE)+VLOOKUP($A42,EnrollData2324,'2324 Jun 24 Enroll'!M$1,FALSE)-VLOOKUP($A42,EnrollData2324,'2324 Jun 24 Enroll'!J$1,FALSE)='District Calculations'!$B$16+'District Calculations'!$B$25-'District Calculations'!$B$17,VLOOKUP($A42,EnrollData2324,'2324 Jun 24 Enroll'!I$1,FALSE)+VLOOKUP($A42,EnrollData2324,'2324 Jun 24 Enroll'!M$1,FALSE)-VLOOKUP($A42,EnrollData2324,'2324 Jun 24 Enroll'!J$1,FALSE),'District Calculations'!$B$16+'District Calculations'!$B$25-'District Calculations'!$B$17)*Apport_216A2324,3)</f>
        <v>58.183999999999997</v>
      </c>
      <c r="J42">
        <f>ROUND(SUM(D42:I42)/(IF(VLOOKUP($A42,EnrollData2324,'2324 Jun 24 Enroll'!M$1,FALSE)='District Calculations'!$B$25,VLOOKUP($A42,EnrollData2324,'2324 Jun 24 Enroll'!M$1,FALSE),'District Calculations'!$B$25)+IF(VLOOKUP($A42,EnrollData2324,'2324 Jun 24 Enroll'!D$1,FALSE)='District Calculations'!$B$11,VLOOKUP($A42,EnrollData2324,'2324 Jun 24 Enroll'!D$1,FALSE),'District Calculations'!$B$11)),5)</f>
        <v>5.5530000000000003E-2</v>
      </c>
      <c r="K42" s="11">
        <f t="shared" si="21"/>
        <v>4.365E-3</v>
      </c>
      <c r="L42">
        <f>ROUND(IF(VLOOKUP($A42,EnrollData2324,'2324 Jun 24 Enroll'!D$1,FALSE)='District Calculations'!$B$11,VLOOKUP($A42,EnrollData2324,'2324 Jun 24 Enroll'!D$1,FALSE),'District Calculations'!$B$11)*K42,3)</f>
        <v>0</v>
      </c>
      <c r="M42">
        <f>ROUND(IF(VLOOKUP($A42,EnrollData2324,'2324 Jun 24 Enroll'!E$1,FALSE)='District Calculations'!$B$12,VLOOKUP($A42,EnrollData2324,'2324 Jun 24 Enroll'!E$1,FALSE),'District Calculations'!$B$12)*K42,3)</f>
        <v>3.5379999999999998</v>
      </c>
      <c r="N42">
        <f>ROUND(IF(VLOOKUP($A42,EnrollData2324,'2324 Jun 24 Enroll'!F$1,FALSE)='District Calculations'!$B$13,VLOOKUP($A42,EnrollData2324,'2324 Jun 24 Enroll'!F$1,FALSE),'District Calculations'!$B$13)*Apport_223A2324,3)</f>
        <v>0.84199999999999997</v>
      </c>
      <c r="O42">
        <f>ROUND(IF(VLOOKUP($A42,EnrollData2324,'2324 Jun 24 Enroll'!G$1,FALSE)='District Calculations'!$B$14,VLOOKUP($A42,EnrollData2324,'2324 Jun 24 Enroll'!G$1,FALSE),'District Calculations'!$B$14)*Apport_211A2324,3)</f>
        <v>1.867</v>
      </c>
      <c r="P42">
        <f>ROUND(IF(VLOOKUP($A42,EnrollData2324,'2324 Jun 24 Enroll'!H$1,FALSE)='District Calculations'!$B$14,VLOOKUP($A42,EnrollData2324,'2324 Jun 24 Enroll'!H$1,FALSE),'District Calculations'!$B$14)*Apport_214A2324,3)</f>
        <v>1.8660000000000001</v>
      </c>
      <c r="Q42">
        <f>ROUND(IF(VLOOKUP($A42,EnrollData2324,'2324 Jun 24 Enroll'!I$1,FALSE)+VLOOKUP($A42,EnrollData2324,'2324 Jun 24 Enroll'!M$1,FALSE)-VLOOKUP($A42,EnrollData2324,'2324 Jun 24 Enroll'!J$1,FALSE)='District Calculations'!$B$16+'District Calculations'!$B$25-'District Calculations'!$B$17,VLOOKUP($A42,EnrollData2324,'2324 Jun 24 Enroll'!I$1,FALSE)+VLOOKUP($A42,EnrollData2324,'2324 Jun 24 Enroll'!M$1,FALSE)-VLOOKUP($A42,EnrollData2324,'2324 Jun 24 Enroll'!J$1,FALSE),'District Calculations'!$B$16+'District Calculations'!$B$25-'District Calculations'!$B$17)*Apport_217A2324,3)</f>
        <v>4.6980000000000004</v>
      </c>
      <c r="R42">
        <f>ROUND(SUM(L42:Q42)/IF(VLOOKUP($A42,EnrollData2324,'2324 Jun 24 Enroll'!M$1,FALSE)+VLOOKUP($A42,EnrollData2324,'2324 Jun 24 Enroll'!D$1,FALSE)='District Calculations'!$B$25+'District Calculations'!$B$11,VLOOKUP($A42,EnrollData2324,'2324 Jun 24 Enroll'!M$1,FALSE)+VLOOKUP($A42,EnrollData2324,'2324 Jun 24 Enroll'!D$1,FALSE),'District Calculations'!$B$25+'District Calculations'!$B$11),5)</f>
        <v>4.1000000000000003E-3</v>
      </c>
      <c r="S42" s="11">
        <f t="shared" si="22"/>
        <v>1.8294500000000002E-2</v>
      </c>
      <c r="T42">
        <f>ROUND(IF(VLOOKUP($A42,EnrollData2324,'2324 Jun 24 Enroll'!D$1,FALSE)='District Calculations'!$B$11,VLOOKUP($A42,EnrollData2324,'2324 Jun 24 Enroll'!D$1,FALSE),'District Calculations'!$B$11)*S42,3)</f>
        <v>0</v>
      </c>
      <c r="U42">
        <f>ROUND(IF(VLOOKUP($A42,EnrollData2324,'2324 Jun 24 Enroll'!E$1,FALSE)='District Calculations'!$B$12,VLOOKUP($A42,EnrollData2324,'2324 Jun 24 Enroll'!E$1,FALSE),'District Calculations'!$B$12)*S42,3)</f>
        <v>14.827999999999999</v>
      </c>
      <c r="V42">
        <f>ROUND(IF(VLOOKUP($A42,EnrollData2324,'2324 Jun 24 Enroll'!F$1,FALSE)='District Calculations'!$B$13,VLOOKUP($A42,EnrollData2324,'2324 Jun 24 Enroll'!F$1,FALSE),'District Calculations'!$B$13)*Apport_224A2324,3)</f>
        <v>3.6190000000000002</v>
      </c>
      <c r="W42">
        <f>ROUND(IF(VLOOKUP($A42,EnrollData2324,'2324 Jun 24 Enroll'!G$1,FALSE)='District Calculations'!$B$14,VLOOKUP($A42,EnrollData2324,'2324 Jun 24 Enroll'!G$1,FALSE),'District Calculations'!$B$14)*Apport_212A2324,3)</f>
        <v>8.0239999999999991</v>
      </c>
      <c r="X42">
        <f>ROUND(IF(VLOOKUP($A42,EnrollData2324,'2324 Jun 24 Enroll'!H$1,FALSE)='District Calculations'!$B$14,VLOOKUP($A42,EnrollData2324,'2324 Jun 24 Enroll'!H$1,FALSE),'District Calculations'!$B$14)*Apport_215A2324,3)</f>
        <v>7.9279999999999999</v>
      </c>
      <c r="Y42">
        <f>ROUND(IF(VLOOKUP($A42,EnrollData2324,'2324 Jun 24 Enroll'!I$1,FALSE)+VLOOKUP($A42,EnrollData2324,'2324 Jun 24 Enroll'!M$1,FALSE)-VLOOKUP($A42,EnrollData2324,'2324 Jun 24 Enroll'!J$1,FALSE)='District Calculations'!$B$16+'District Calculations'!$B$25-'District Calculations'!$B$17,VLOOKUP($A42,EnrollData2324,'2324 Jun 24 Enroll'!I$1,FALSE)+VLOOKUP($A42,EnrollData2324,'2324 Jun 24 Enroll'!M$1,FALSE)-VLOOKUP($A42,EnrollData2324,'2324 Jun 24 Enroll'!J$1,FALSE),'District Calculations'!$B$16+'District Calculations'!$B$25-'District Calculations'!$B$17)*Apport_218A2324,3)</f>
        <v>19.917999999999999</v>
      </c>
      <c r="Z42">
        <f>ROUND(SUM(T42:Y42)/IF(VLOOKUP($A42,EnrollData2324,'2324 Jun 24 Enroll'!M$1,FALSE)+VLOOKUP($A42,EnrollData2324,'2324 Jun 24 Enroll'!D$1,FALSE)='District Calculations'!$B$25+'District Calculations'!$B$11,VLOOKUP($A42,EnrollData2324,'2324 Jun 24 Enroll'!M$1,FALSE)+VLOOKUP($A42,EnrollData2324,'2324 Jun 24 Enroll'!D$1,FALSE),'District Calculations'!$B$25+'District Calculations'!$B$11),5)</f>
        <v>1.7399999999999999E-2</v>
      </c>
      <c r="AA42" s="6">
        <f>ROUND($J42*CIS_Base_Salary2324*VLOOKUP($A42,EnrollData2324,'2324 Jun 24 Enroll'!S$1,FALSE),2)</f>
        <v>4038.59</v>
      </c>
      <c r="AB42" s="6">
        <f>ROUND($J42*CIS_Inc_Salary2324*(VLOOKUP($A42,EnrollData2324,'2324 Jun 24 Enroll'!T$1,FALSE)+VLOOKUP($A42,EnrollData2324,'2324 Jun 24 Enroll'!U$1,FALSE)),2)-AA42</f>
        <v>149.43000000000029</v>
      </c>
      <c r="AC42" s="6">
        <f>ROUND($R42*CAS_Base_Salary2324*VLOOKUP($A42,EnrollData2324,'2324 Jun 24 Enroll'!S$1,FALSE),2)</f>
        <v>442.62</v>
      </c>
      <c r="AD42" s="6">
        <f>ROUND($R42*CAS_Inc_Salary2324*VLOOKUP($A42,EnrollData2324,'2324 Jun 24 Enroll'!T$1,FALSE),2)-AC42</f>
        <v>16.379999999999995</v>
      </c>
      <c r="AE42" s="6">
        <f>ROUND($Z42*CLS_Base_Salary2324*VLOOKUP($A42,EnrollData2324,'2324 Jun 24 Enroll'!S$1,FALSE),2)</f>
        <v>907.81</v>
      </c>
      <c r="AF42" s="6">
        <f>ROUND($Z42*CLS_Inc_Salary2324*VLOOKUP($A42,EnrollData2324,'2324 Jun 24 Enroll'!T$1,FALSE),2)-AE42</f>
        <v>33.580000000000041</v>
      </c>
      <c r="AG42">
        <f t="shared" si="9"/>
        <v>734.16</v>
      </c>
      <c r="AH42" s="69">
        <f t="shared" si="23"/>
        <v>68.700000000000045</v>
      </c>
      <c r="AI42">
        <f t="shared" si="11"/>
        <v>214.23</v>
      </c>
      <c r="AJ42">
        <f t="shared" si="24"/>
        <v>114.21000000000001</v>
      </c>
      <c r="AK42">
        <f t="shared" si="25"/>
        <v>805.27</v>
      </c>
      <c r="AL42">
        <f t="shared" si="26"/>
        <v>28.73</v>
      </c>
      <c r="AM42">
        <f t="shared" si="27"/>
        <v>200.26</v>
      </c>
      <c r="AN42">
        <f t="shared" si="28"/>
        <v>6.23</v>
      </c>
      <c r="AO42">
        <f>ROUND(($J42*CIS_Inc_Salary2324*(VLOOKUP($A42,EnrollData2324,'2324 Jun 24 Enroll'!T$1,FALSE)+VLOOKUP($A42,EnrollData2324,'2324 Jun 24 Enroll'!U$1,FALSE))/Apport_613Xpd)*Apport_614Xpd,2)</f>
        <v>69.8</v>
      </c>
      <c r="AP42">
        <f t="shared" si="29"/>
        <v>12.1</v>
      </c>
      <c r="AQ42">
        <f t="shared" si="32"/>
        <v>30.93</v>
      </c>
      <c r="AR42" s="6">
        <f>ROUND((VLOOKUP($A42,EnrollData2324,'2324 Jun 24 Enroll'!D$1,FALSE)*Apport_M802324+VLOOKUP($A42,EnrollData2324,'2324 Jun 24 Enroll'!M$1,FALSE)*Apport_M802324+(VLOOKUP($A42,EnrollData2324,'2324 Jun 24 Enroll'!P$1,FALSE)+VLOOKUP($A42,EnrollData2324,'2324 Jun 24 Enroll'!Q$1,FALSE)+VLOOKUP($A42,EnrollData2324,'2324 Jun 24 Enroll'!R$1,FALSE)+VLOOKUP($A42,EnrollData2324,'2324 Jun 24 Enroll'!I$1,FALSE)+VLOOKUP($A42,EnrollData2324,'2324 Jun 24 Enroll'!N$1,FALSE)+VLOOKUP($A42,EnrollData2324,'2324 Jun 24 Enroll'!O$1,FALSE)+VLOOKUP($A42,EnrollData2324,'2324 Jun 24 Enroll'!K$1,FALSE)+VLOOKUP($A42,EnrollData2324,'2324 Jun 24 Enroll'!L$1,FALSE))*Apport_M812324)/(VLOOKUP($A42,EnrollData2324,'2324 Jun 24 Enroll'!M$1,FALSE)+VLOOKUP($A42,EnrollData2324,'2324 Jun 24 Enroll'!D$1,FALSE)),2)</f>
        <v>1554.38</v>
      </c>
      <c r="AS42" s="7">
        <f t="shared" si="33"/>
        <v>9427.41</v>
      </c>
    </row>
    <row r="43" spans="1:46">
      <c r="A43" s="40" t="s">
        <v>685</v>
      </c>
      <c r="B43" s="40" t="s">
        <v>686</v>
      </c>
      <c r="C43" s="11">
        <f>ROUND((IFERROR((1/IF(VLOOKUP($A43,EnrollData2324,28,FALSE)='District Calculations'!$B$10,VLOOKUP($A43,EnrollData2324,28,FALSE),'District Calculations'!$B$10))*(1+Apport_Z315),0))+Apport_201A2324,6)</f>
        <v>7.3449E-2</v>
      </c>
      <c r="D43">
        <f>ROUND(IF(VLOOKUP($A43,EnrollData2324,'2324 Jun 24 Enroll'!D$1,FALSE)='District Calculations'!$B$11,VLOOKUP($A43,EnrollData2324,'2324 Jun 24 Enroll'!D$1,FALSE),'District Calculations'!$B$11)*C43,3)</f>
        <v>0</v>
      </c>
      <c r="E43">
        <f>ROUND(IF(VLOOKUP($A43,EnrollData2324,'2324 Jun 24 Enroll'!E$1,FALSE)='District Calculations'!$B$12,VLOOKUP($A43,EnrollData2324,'2324 Jun 24 Enroll'!E$1,FALSE),'District Calculations'!$B$12)*C43,3)</f>
        <v>59.53</v>
      </c>
      <c r="F43">
        <f>ROUND(IF(VLOOKUP($A43,EnrollData2324,'2324 Jun 24 Enroll'!F$1,FALSE)='District Calculations'!$B$13,VLOOKUP($A43,EnrollData2324,'2324 Jun 24 Enroll'!F$1,FALSE),'District Calculations'!$B$13)*Apport_222A2324,3)</f>
        <v>10.101000000000001</v>
      </c>
      <c r="G43">
        <f>ROUND(IF(VLOOKUP($A43,EnrollData2324,'2324 Jun 24 Enroll'!G$1,FALSE)='District Calculations'!$B$14,VLOOKUP($A43,EnrollData2324,'2324 Jun 24 Enroll'!G$1,FALSE),'District Calculations'!$B$14)*Apport_210A2324,3)</f>
        <v>22.395</v>
      </c>
      <c r="H43">
        <f>ROUND(IF(VLOOKUP($A43,EnrollData2324,'2324 Jun 24 Enroll'!H$1,FALSE)='District Calculations'!$B$15,VLOOKUP($A43,EnrollData2324,'2324 Jun 24 Enroll'!H$1,FALSE),'District Calculations'!$B$15)*Apport_213A2324,3)</f>
        <v>23.091999999999999</v>
      </c>
      <c r="I43">
        <f>ROUND(IF(VLOOKUP($A43,EnrollData2324,'2324 Jun 24 Enroll'!I$1,FALSE)+VLOOKUP($A43,EnrollData2324,'2324 Jun 24 Enroll'!M$1,FALSE)-VLOOKUP($A43,EnrollData2324,'2324 Jun 24 Enroll'!J$1,FALSE)='District Calculations'!$B$16+'District Calculations'!$B$25-'District Calculations'!$B$17,VLOOKUP($A43,EnrollData2324,'2324 Jun 24 Enroll'!I$1,FALSE)+VLOOKUP($A43,EnrollData2324,'2324 Jun 24 Enroll'!M$1,FALSE)-VLOOKUP($A43,EnrollData2324,'2324 Jun 24 Enroll'!J$1,FALSE),'District Calculations'!$B$16+'District Calculations'!$B$25-'District Calculations'!$B$17)*Apport_216A2324,3)</f>
        <v>58.183999999999997</v>
      </c>
      <c r="J43">
        <f>ROUND(SUM(D43:I43)/(IF(VLOOKUP($A43,EnrollData2324,'2324 Jun 24 Enroll'!M$1,FALSE)='District Calculations'!$B$25,VLOOKUP($A43,EnrollData2324,'2324 Jun 24 Enroll'!M$1,FALSE),'District Calculations'!$B$25)+IF(VLOOKUP($A43,EnrollData2324,'2324 Jun 24 Enroll'!D$1,FALSE)='District Calculations'!$B$11,VLOOKUP($A43,EnrollData2324,'2324 Jun 24 Enroll'!D$1,FALSE),'District Calculations'!$B$11)),5)</f>
        <v>5.5530000000000003E-2</v>
      </c>
      <c r="K43" s="11">
        <f t="shared" si="21"/>
        <v>4.365E-3</v>
      </c>
      <c r="L43">
        <f>ROUND(IF(VLOOKUP($A43,EnrollData2324,'2324 Jun 24 Enroll'!D$1,FALSE)='District Calculations'!$B$11,VLOOKUP($A43,EnrollData2324,'2324 Jun 24 Enroll'!D$1,FALSE),'District Calculations'!$B$11)*K43,3)</f>
        <v>0</v>
      </c>
      <c r="M43">
        <f>ROUND(IF(VLOOKUP($A43,EnrollData2324,'2324 Jun 24 Enroll'!E$1,FALSE)='District Calculations'!$B$12,VLOOKUP($A43,EnrollData2324,'2324 Jun 24 Enroll'!E$1,FALSE),'District Calculations'!$B$12)*K43,3)</f>
        <v>3.5379999999999998</v>
      </c>
      <c r="N43">
        <f>ROUND(IF(VLOOKUP($A43,EnrollData2324,'2324 Jun 24 Enroll'!F$1,FALSE)='District Calculations'!$B$13,VLOOKUP($A43,EnrollData2324,'2324 Jun 24 Enroll'!F$1,FALSE),'District Calculations'!$B$13)*Apport_223A2324,3)</f>
        <v>0.84199999999999997</v>
      </c>
      <c r="O43">
        <f>ROUND(IF(VLOOKUP($A43,EnrollData2324,'2324 Jun 24 Enroll'!G$1,FALSE)='District Calculations'!$B$14,VLOOKUP($A43,EnrollData2324,'2324 Jun 24 Enroll'!G$1,FALSE),'District Calculations'!$B$14)*Apport_211A2324,3)</f>
        <v>1.867</v>
      </c>
      <c r="P43">
        <f>ROUND(IF(VLOOKUP($A43,EnrollData2324,'2324 Jun 24 Enroll'!H$1,FALSE)='District Calculations'!$B$14,VLOOKUP($A43,EnrollData2324,'2324 Jun 24 Enroll'!H$1,FALSE),'District Calculations'!$B$14)*Apport_214A2324,3)</f>
        <v>1.8660000000000001</v>
      </c>
      <c r="Q43">
        <f>ROUND(IF(VLOOKUP($A43,EnrollData2324,'2324 Jun 24 Enroll'!I$1,FALSE)+VLOOKUP($A43,EnrollData2324,'2324 Jun 24 Enroll'!M$1,FALSE)-VLOOKUP($A43,EnrollData2324,'2324 Jun 24 Enroll'!J$1,FALSE)='District Calculations'!$B$16+'District Calculations'!$B$25-'District Calculations'!$B$17,VLOOKUP($A43,EnrollData2324,'2324 Jun 24 Enroll'!I$1,FALSE)+VLOOKUP($A43,EnrollData2324,'2324 Jun 24 Enroll'!M$1,FALSE)-VLOOKUP($A43,EnrollData2324,'2324 Jun 24 Enroll'!J$1,FALSE),'District Calculations'!$B$16+'District Calculations'!$B$25-'District Calculations'!$B$17)*Apport_217A2324,3)</f>
        <v>4.6980000000000004</v>
      </c>
      <c r="R43">
        <f>ROUND(SUM(L43:Q43)/IF(VLOOKUP($A43,EnrollData2324,'2324 Jun 24 Enroll'!M$1,FALSE)+VLOOKUP($A43,EnrollData2324,'2324 Jun 24 Enroll'!D$1,FALSE)='District Calculations'!$B$25+'District Calculations'!$B$11,VLOOKUP($A43,EnrollData2324,'2324 Jun 24 Enroll'!M$1,FALSE)+VLOOKUP($A43,EnrollData2324,'2324 Jun 24 Enroll'!D$1,FALSE),'District Calculations'!$B$25+'District Calculations'!$B$11),5)</f>
        <v>4.1000000000000003E-3</v>
      </c>
      <c r="S43" s="11">
        <f t="shared" si="22"/>
        <v>1.8294500000000002E-2</v>
      </c>
      <c r="T43">
        <f>ROUND(IF(VLOOKUP($A43,EnrollData2324,'2324 Jun 24 Enroll'!D$1,FALSE)='District Calculations'!$B$11,VLOOKUP($A43,EnrollData2324,'2324 Jun 24 Enroll'!D$1,FALSE),'District Calculations'!$B$11)*S43,3)</f>
        <v>0</v>
      </c>
      <c r="U43">
        <f>ROUND(IF(VLOOKUP($A43,EnrollData2324,'2324 Jun 24 Enroll'!E$1,FALSE)='District Calculations'!$B$12,VLOOKUP($A43,EnrollData2324,'2324 Jun 24 Enroll'!E$1,FALSE),'District Calculations'!$B$12)*S43,3)</f>
        <v>14.827999999999999</v>
      </c>
      <c r="V43">
        <f>ROUND(IF(VLOOKUP($A43,EnrollData2324,'2324 Jun 24 Enroll'!F$1,FALSE)='District Calculations'!$B$13,VLOOKUP($A43,EnrollData2324,'2324 Jun 24 Enroll'!F$1,FALSE),'District Calculations'!$B$13)*Apport_224A2324,3)</f>
        <v>3.6190000000000002</v>
      </c>
      <c r="W43">
        <f>ROUND(IF(VLOOKUP($A43,EnrollData2324,'2324 Jun 24 Enroll'!G$1,FALSE)='District Calculations'!$B$14,VLOOKUP($A43,EnrollData2324,'2324 Jun 24 Enroll'!G$1,FALSE),'District Calculations'!$B$14)*Apport_212A2324,3)</f>
        <v>8.0239999999999991</v>
      </c>
      <c r="X43">
        <f>ROUND(IF(VLOOKUP($A43,EnrollData2324,'2324 Jun 24 Enroll'!H$1,FALSE)='District Calculations'!$B$14,VLOOKUP($A43,EnrollData2324,'2324 Jun 24 Enroll'!H$1,FALSE),'District Calculations'!$B$14)*Apport_215A2324,3)</f>
        <v>7.9279999999999999</v>
      </c>
      <c r="Y43">
        <f>ROUND(IF(VLOOKUP($A43,EnrollData2324,'2324 Jun 24 Enroll'!I$1,FALSE)+VLOOKUP($A43,EnrollData2324,'2324 Jun 24 Enroll'!M$1,FALSE)-VLOOKUP($A43,EnrollData2324,'2324 Jun 24 Enroll'!J$1,FALSE)='District Calculations'!$B$16+'District Calculations'!$B$25-'District Calculations'!$B$17,VLOOKUP($A43,EnrollData2324,'2324 Jun 24 Enroll'!I$1,FALSE)+VLOOKUP($A43,EnrollData2324,'2324 Jun 24 Enroll'!M$1,FALSE)-VLOOKUP($A43,EnrollData2324,'2324 Jun 24 Enroll'!J$1,FALSE),'District Calculations'!$B$16+'District Calculations'!$B$25-'District Calculations'!$B$17)*Apport_218A2324,3)</f>
        <v>19.917999999999999</v>
      </c>
      <c r="Z43">
        <f>ROUND(SUM(T43:Y43)/IF(VLOOKUP($A43,EnrollData2324,'2324 Jun 24 Enroll'!M$1,FALSE)+VLOOKUP($A43,EnrollData2324,'2324 Jun 24 Enroll'!D$1,FALSE)='District Calculations'!$B$25+'District Calculations'!$B$11,VLOOKUP($A43,EnrollData2324,'2324 Jun 24 Enroll'!M$1,FALSE)+VLOOKUP($A43,EnrollData2324,'2324 Jun 24 Enroll'!D$1,FALSE),'District Calculations'!$B$25+'District Calculations'!$B$11),5)</f>
        <v>1.7399999999999999E-2</v>
      </c>
      <c r="AA43" s="6">
        <f>ROUND($J43*CIS_Base_Salary2324*VLOOKUP($A43,EnrollData2324,'2324 Jun 24 Enroll'!S$1,FALSE),2)</f>
        <v>4038.59</v>
      </c>
      <c r="AB43" s="6">
        <f>ROUND($J43*CIS_Inc_Salary2324*(VLOOKUP($A43,EnrollData2324,'2324 Jun 24 Enroll'!T$1,FALSE)+VLOOKUP($A43,EnrollData2324,'2324 Jun 24 Enroll'!U$1,FALSE)),2)-AA43</f>
        <v>149.43000000000029</v>
      </c>
      <c r="AC43" s="6">
        <f>ROUND($R43*CAS_Base_Salary2324*VLOOKUP($A43,EnrollData2324,'2324 Jun 24 Enroll'!S$1,FALSE),2)</f>
        <v>442.62</v>
      </c>
      <c r="AD43" s="6">
        <f>ROUND($R43*CAS_Inc_Salary2324*VLOOKUP($A43,EnrollData2324,'2324 Jun 24 Enroll'!T$1,FALSE),2)-AC43</f>
        <v>16.379999999999995</v>
      </c>
      <c r="AE43" s="6">
        <f>ROUND($Z43*CLS_Base_Salary2324*VLOOKUP($A43,EnrollData2324,'2324 Jun 24 Enroll'!S$1,FALSE),2)</f>
        <v>907.81</v>
      </c>
      <c r="AF43" s="6">
        <f>ROUND($Z43*CLS_Inc_Salary2324*VLOOKUP($A43,EnrollData2324,'2324 Jun 24 Enroll'!T$1,FALSE),2)-AE43</f>
        <v>33.580000000000041</v>
      </c>
      <c r="AG43">
        <f t="shared" si="9"/>
        <v>734.16</v>
      </c>
      <c r="AH43" s="69">
        <f t="shared" si="23"/>
        <v>68.700000000000045</v>
      </c>
      <c r="AI43">
        <f t="shared" si="11"/>
        <v>214.23</v>
      </c>
      <c r="AJ43">
        <f t="shared" si="24"/>
        <v>114.21000000000001</v>
      </c>
      <c r="AK43">
        <f t="shared" si="25"/>
        <v>805.27</v>
      </c>
      <c r="AL43">
        <f t="shared" si="26"/>
        <v>28.73</v>
      </c>
      <c r="AM43">
        <f t="shared" si="27"/>
        <v>200.26</v>
      </c>
      <c r="AN43">
        <f t="shared" si="28"/>
        <v>6.23</v>
      </c>
      <c r="AO43">
        <f>ROUND(($J43*CIS_Inc_Salary2324*(VLOOKUP($A43,EnrollData2324,'2324 Jun 24 Enroll'!T$1,FALSE)+VLOOKUP($A43,EnrollData2324,'2324 Jun 24 Enroll'!U$1,FALSE))/Apport_613Xpd)*Apport_614Xpd,2)</f>
        <v>69.8</v>
      </c>
      <c r="AP43">
        <f t="shared" si="29"/>
        <v>12.1</v>
      </c>
      <c r="AQ43">
        <f t="shared" si="32"/>
        <v>30.93</v>
      </c>
      <c r="AR43" s="6">
        <f>ROUND((VLOOKUP($A43,EnrollData2324,'2324 Jun 24 Enroll'!D$1,FALSE)*Apport_M802324+VLOOKUP($A43,EnrollData2324,'2324 Jun 24 Enroll'!M$1,FALSE)*Apport_M802324+(VLOOKUP($A43,EnrollData2324,'2324 Jun 24 Enroll'!P$1,FALSE)+VLOOKUP($A43,EnrollData2324,'2324 Jun 24 Enroll'!Q$1,FALSE)+VLOOKUP($A43,EnrollData2324,'2324 Jun 24 Enroll'!R$1,FALSE)+VLOOKUP($A43,EnrollData2324,'2324 Jun 24 Enroll'!I$1,FALSE)+VLOOKUP($A43,EnrollData2324,'2324 Jun 24 Enroll'!N$1,FALSE)+VLOOKUP($A43,EnrollData2324,'2324 Jun 24 Enroll'!O$1,FALSE)+VLOOKUP($A43,EnrollData2324,'2324 Jun 24 Enroll'!K$1,FALSE)+VLOOKUP($A43,EnrollData2324,'2324 Jun 24 Enroll'!L$1,FALSE))*Apport_M812324)/(VLOOKUP($A43,EnrollData2324,'2324 Jun 24 Enroll'!M$1,FALSE)+VLOOKUP($A43,EnrollData2324,'2324 Jun 24 Enroll'!D$1,FALSE)),2)</f>
        <v>1483.44</v>
      </c>
      <c r="AS43" s="7">
        <f t="shared" si="33"/>
        <v>9356.4699999999993</v>
      </c>
    </row>
    <row r="44" spans="1:46">
      <c r="A44" s="40" t="s">
        <v>530</v>
      </c>
      <c r="B44" s="40" t="s">
        <v>531</v>
      </c>
      <c r="C44" s="11">
        <f>ROUND((IFERROR((1/IF(VLOOKUP($A44,EnrollData2324,28,FALSE)='District Calculations'!$B$10,VLOOKUP($A44,EnrollData2324,28,FALSE),'District Calculations'!$B$10))*(1+Apport_Z315),0))+Apport_201A2324,6)</f>
        <v>7.3449E-2</v>
      </c>
      <c r="D44">
        <f>ROUND(IF(VLOOKUP($A44,EnrollData2324,'2324 Jun 24 Enroll'!D$1,FALSE)='District Calculations'!$B$11,VLOOKUP($A44,EnrollData2324,'2324 Jun 24 Enroll'!D$1,FALSE),'District Calculations'!$B$11)*C44,3)</f>
        <v>0</v>
      </c>
      <c r="E44">
        <f>ROUND(IF(VLOOKUP($A44,EnrollData2324,'2324 Jun 24 Enroll'!E$1,FALSE)='District Calculations'!$B$12,VLOOKUP($A44,EnrollData2324,'2324 Jun 24 Enroll'!E$1,FALSE),'District Calculations'!$B$12)*C44,3)</f>
        <v>59.53</v>
      </c>
      <c r="F44">
        <f>ROUND(IF(VLOOKUP($A44,EnrollData2324,'2324 Jun 24 Enroll'!F$1,FALSE)='District Calculations'!$B$13,VLOOKUP($A44,EnrollData2324,'2324 Jun 24 Enroll'!F$1,FALSE),'District Calculations'!$B$13)*Apport_222A2324,3)</f>
        <v>10.101000000000001</v>
      </c>
      <c r="G44">
        <f>ROUND(IF(VLOOKUP($A44,EnrollData2324,'2324 Jun 24 Enroll'!G$1,FALSE)='District Calculations'!$B$14,VLOOKUP($A44,EnrollData2324,'2324 Jun 24 Enroll'!G$1,FALSE),'District Calculations'!$B$14)*Apport_210A2324,3)</f>
        <v>22.395</v>
      </c>
      <c r="H44">
        <f>ROUND(IF(VLOOKUP($A44,EnrollData2324,'2324 Jun 24 Enroll'!H$1,FALSE)='District Calculations'!$B$15,VLOOKUP($A44,EnrollData2324,'2324 Jun 24 Enroll'!H$1,FALSE),'District Calculations'!$B$15)*Apport_213A2324,3)</f>
        <v>23.091999999999999</v>
      </c>
      <c r="I44">
        <f>ROUND(IF(VLOOKUP($A44,EnrollData2324,'2324 Jun 24 Enroll'!I$1,FALSE)+VLOOKUP($A44,EnrollData2324,'2324 Jun 24 Enroll'!M$1,FALSE)-VLOOKUP($A44,EnrollData2324,'2324 Jun 24 Enroll'!J$1,FALSE)='District Calculations'!$B$16+'District Calculations'!$B$25-'District Calculations'!$B$17,VLOOKUP($A44,EnrollData2324,'2324 Jun 24 Enroll'!I$1,FALSE)+VLOOKUP($A44,EnrollData2324,'2324 Jun 24 Enroll'!M$1,FALSE)-VLOOKUP($A44,EnrollData2324,'2324 Jun 24 Enroll'!J$1,FALSE),'District Calculations'!$B$16+'District Calculations'!$B$25-'District Calculations'!$B$17)*Apport_216A2324,3)</f>
        <v>58.183999999999997</v>
      </c>
      <c r="J44">
        <f>ROUND(SUM(D44:I44)/(IF(VLOOKUP($A44,EnrollData2324,'2324 Jun 24 Enroll'!M$1,FALSE)='District Calculations'!$B$25,VLOOKUP($A44,EnrollData2324,'2324 Jun 24 Enroll'!M$1,FALSE),'District Calculations'!$B$25)+IF(VLOOKUP($A44,EnrollData2324,'2324 Jun 24 Enroll'!D$1,FALSE)='District Calculations'!$B$11,VLOOKUP($A44,EnrollData2324,'2324 Jun 24 Enroll'!D$1,FALSE),'District Calculations'!$B$11)),5)</f>
        <v>5.5530000000000003E-2</v>
      </c>
      <c r="K44" s="11">
        <f t="shared" si="21"/>
        <v>4.365E-3</v>
      </c>
      <c r="L44">
        <f>ROUND(IF(VLOOKUP($A44,EnrollData2324,'2324 Jun 24 Enroll'!D$1,FALSE)='District Calculations'!$B$11,VLOOKUP($A44,EnrollData2324,'2324 Jun 24 Enroll'!D$1,FALSE),'District Calculations'!$B$11)*K44,3)</f>
        <v>0</v>
      </c>
      <c r="M44">
        <f>ROUND(IF(VLOOKUP($A44,EnrollData2324,'2324 Jun 24 Enroll'!E$1,FALSE)='District Calculations'!$B$12,VLOOKUP($A44,EnrollData2324,'2324 Jun 24 Enroll'!E$1,FALSE),'District Calculations'!$B$12)*K44,3)</f>
        <v>3.5379999999999998</v>
      </c>
      <c r="N44">
        <f>ROUND(IF(VLOOKUP($A44,EnrollData2324,'2324 Jun 24 Enroll'!F$1,FALSE)='District Calculations'!$B$13,VLOOKUP($A44,EnrollData2324,'2324 Jun 24 Enroll'!F$1,FALSE),'District Calculations'!$B$13)*Apport_223A2324,3)</f>
        <v>0.84199999999999997</v>
      </c>
      <c r="O44">
        <f>ROUND(IF(VLOOKUP($A44,EnrollData2324,'2324 Jun 24 Enroll'!G$1,FALSE)='District Calculations'!$B$14,VLOOKUP($A44,EnrollData2324,'2324 Jun 24 Enroll'!G$1,FALSE),'District Calculations'!$B$14)*Apport_211A2324,3)</f>
        <v>1.867</v>
      </c>
      <c r="P44">
        <f>ROUND(IF(VLOOKUP($A44,EnrollData2324,'2324 Jun 24 Enroll'!H$1,FALSE)='District Calculations'!$B$14,VLOOKUP($A44,EnrollData2324,'2324 Jun 24 Enroll'!H$1,FALSE),'District Calculations'!$B$14)*Apport_214A2324,3)</f>
        <v>1.8660000000000001</v>
      </c>
      <c r="Q44">
        <f>ROUND(IF(VLOOKUP($A44,EnrollData2324,'2324 Jun 24 Enroll'!I$1,FALSE)+VLOOKUP($A44,EnrollData2324,'2324 Jun 24 Enroll'!M$1,FALSE)-VLOOKUP($A44,EnrollData2324,'2324 Jun 24 Enroll'!J$1,FALSE)='District Calculations'!$B$16+'District Calculations'!$B$25-'District Calculations'!$B$17,VLOOKUP($A44,EnrollData2324,'2324 Jun 24 Enroll'!I$1,FALSE)+VLOOKUP($A44,EnrollData2324,'2324 Jun 24 Enroll'!M$1,FALSE)-VLOOKUP($A44,EnrollData2324,'2324 Jun 24 Enroll'!J$1,FALSE),'District Calculations'!$B$16+'District Calculations'!$B$25-'District Calculations'!$B$17)*Apport_217A2324,3)</f>
        <v>4.6980000000000004</v>
      </c>
      <c r="R44">
        <f>ROUND(SUM(L44:Q44)/IF(VLOOKUP($A44,EnrollData2324,'2324 Jun 24 Enroll'!M$1,FALSE)+VLOOKUP($A44,EnrollData2324,'2324 Jun 24 Enroll'!D$1,FALSE)='District Calculations'!$B$25+'District Calculations'!$B$11,VLOOKUP($A44,EnrollData2324,'2324 Jun 24 Enroll'!M$1,FALSE)+VLOOKUP($A44,EnrollData2324,'2324 Jun 24 Enroll'!D$1,FALSE),'District Calculations'!$B$25+'District Calculations'!$B$11),5)</f>
        <v>4.1000000000000003E-3</v>
      </c>
      <c r="S44" s="11">
        <f t="shared" si="22"/>
        <v>1.8294500000000002E-2</v>
      </c>
      <c r="T44">
        <f>ROUND(IF(VLOOKUP($A44,EnrollData2324,'2324 Jun 24 Enroll'!D$1,FALSE)='District Calculations'!$B$11,VLOOKUP($A44,EnrollData2324,'2324 Jun 24 Enroll'!D$1,FALSE),'District Calculations'!$B$11)*S44,3)</f>
        <v>0</v>
      </c>
      <c r="U44">
        <f>ROUND(IF(VLOOKUP($A44,EnrollData2324,'2324 Jun 24 Enroll'!E$1,FALSE)='District Calculations'!$B$12,VLOOKUP($A44,EnrollData2324,'2324 Jun 24 Enroll'!E$1,FALSE),'District Calculations'!$B$12)*S44,3)</f>
        <v>14.827999999999999</v>
      </c>
      <c r="V44">
        <f>ROUND(IF(VLOOKUP($A44,EnrollData2324,'2324 Jun 24 Enroll'!F$1,FALSE)='District Calculations'!$B$13,VLOOKUP($A44,EnrollData2324,'2324 Jun 24 Enroll'!F$1,FALSE),'District Calculations'!$B$13)*Apport_224A2324,3)</f>
        <v>3.6190000000000002</v>
      </c>
      <c r="W44">
        <f>ROUND(IF(VLOOKUP($A44,EnrollData2324,'2324 Jun 24 Enroll'!G$1,FALSE)='District Calculations'!$B$14,VLOOKUP($A44,EnrollData2324,'2324 Jun 24 Enroll'!G$1,FALSE),'District Calculations'!$B$14)*Apport_212A2324,3)</f>
        <v>8.0239999999999991</v>
      </c>
      <c r="X44">
        <f>ROUND(IF(VLOOKUP($A44,EnrollData2324,'2324 Jun 24 Enroll'!H$1,FALSE)='District Calculations'!$B$14,VLOOKUP($A44,EnrollData2324,'2324 Jun 24 Enroll'!H$1,FALSE),'District Calculations'!$B$14)*Apport_215A2324,3)</f>
        <v>7.9279999999999999</v>
      </c>
      <c r="Y44">
        <f>ROUND(IF(VLOOKUP($A44,EnrollData2324,'2324 Jun 24 Enroll'!I$1,FALSE)+VLOOKUP($A44,EnrollData2324,'2324 Jun 24 Enroll'!M$1,FALSE)-VLOOKUP($A44,EnrollData2324,'2324 Jun 24 Enroll'!J$1,FALSE)='District Calculations'!$B$16+'District Calculations'!$B$25-'District Calculations'!$B$17,VLOOKUP($A44,EnrollData2324,'2324 Jun 24 Enroll'!I$1,FALSE)+VLOOKUP($A44,EnrollData2324,'2324 Jun 24 Enroll'!M$1,FALSE)-VLOOKUP($A44,EnrollData2324,'2324 Jun 24 Enroll'!J$1,FALSE),'District Calculations'!$B$16+'District Calculations'!$B$25-'District Calculations'!$B$17)*Apport_218A2324,3)</f>
        <v>19.917999999999999</v>
      </c>
      <c r="Z44">
        <f>ROUND(SUM(T44:Y44)/IF(VLOOKUP($A44,EnrollData2324,'2324 Jun 24 Enroll'!M$1,FALSE)+VLOOKUP($A44,EnrollData2324,'2324 Jun 24 Enroll'!D$1,FALSE)='District Calculations'!$B$25+'District Calculations'!$B$11,VLOOKUP($A44,EnrollData2324,'2324 Jun 24 Enroll'!M$1,FALSE)+VLOOKUP($A44,EnrollData2324,'2324 Jun 24 Enroll'!D$1,FALSE),'District Calculations'!$B$25+'District Calculations'!$B$11),5)</f>
        <v>1.7399999999999999E-2</v>
      </c>
      <c r="AA44" s="6">
        <f>ROUND($J44*CIS_Base_Salary2324*VLOOKUP($A44,EnrollData2324,'2324 Jun 24 Enroll'!S$1,FALSE),2)</f>
        <v>4038.59</v>
      </c>
      <c r="AB44" s="6">
        <f>ROUND($J44*CIS_Inc_Salary2324*(VLOOKUP($A44,EnrollData2324,'2324 Jun 24 Enroll'!T$1,FALSE)+VLOOKUP($A44,EnrollData2324,'2324 Jun 24 Enroll'!U$1,FALSE)),2)-AA44</f>
        <v>316.94999999999982</v>
      </c>
      <c r="AC44" s="6">
        <f>ROUND($R44*CAS_Base_Salary2324*VLOOKUP($A44,EnrollData2324,'2324 Jun 24 Enroll'!S$1,FALSE),2)</f>
        <v>442.62</v>
      </c>
      <c r="AD44" s="6">
        <f>ROUND($R44*CAS_Inc_Salary2324*VLOOKUP($A44,EnrollData2324,'2324 Jun 24 Enroll'!T$1,FALSE),2)-AC44</f>
        <v>16.379999999999995</v>
      </c>
      <c r="AE44" s="6">
        <f>ROUND($Z44*CLS_Base_Salary2324*VLOOKUP($A44,EnrollData2324,'2324 Jun 24 Enroll'!S$1,FALSE),2)</f>
        <v>907.81</v>
      </c>
      <c r="AF44" s="6">
        <f>ROUND($Z44*CLS_Inc_Salary2324*VLOOKUP($A44,EnrollData2324,'2324 Jun 24 Enroll'!T$1,FALSE),2)-AE44</f>
        <v>33.580000000000041</v>
      </c>
      <c r="AG44">
        <f t="shared" si="9"/>
        <v>734.16</v>
      </c>
      <c r="AH44" s="69">
        <f t="shared" si="23"/>
        <v>68.700000000000045</v>
      </c>
      <c r="AI44">
        <f t="shared" si="11"/>
        <v>214.23</v>
      </c>
      <c r="AJ44">
        <f t="shared" si="24"/>
        <v>114.21000000000001</v>
      </c>
      <c r="AK44">
        <f t="shared" si="25"/>
        <v>805.27</v>
      </c>
      <c r="AL44">
        <f t="shared" si="26"/>
        <v>57.77</v>
      </c>
      <c r="AM44">
        <f t="shared" si="27"/>
        <v>200.26</v>
      </c>
      <c r="AN44">
        <f t="shared" si="28"/>
        <v>6.23</v>
      </c>
      <c r="AO44">
        <f>ROUND(($J44*CIS_Inc_Salary2324*(VLOOKUP($A44,EnrollData2324,'2324 Jun 24 Enroll'!T$1,FALSE)+VLOOKUP($A44,EnrollData2324,'2324 Jun 24 Enroll'!U$1,FALSE))/Apport_613Xpd)*Apport_614Xpd,2)</f>
        <v>72.59</v>
      </c>
      <c r="AP44">
        <f t="shared" si="29"/>
        <v>12.58</v>
      </c>
      <c r="AQ44">
        <f t="shared" si="32"/>
        <v>30.93</v>
      </c>
      <c r="AR44" s="6">
        <f>ROUND((VLOOKUP($A44,EnrollData2324,'2324 Jun 24 Enroll'!D$1,FALSE)*Apport_M802324+VLOOKUP($A44,EnrollData2324,'2324 Jun 24 Enroll'!M$1,FALSE)*Apport_M802324+(VLOOKUP($A44,EnrollData2324,'2324 Jun 24 Enroll'!P$1,FALSE)+VLOOKUP($A44,EnrollData2324,'2324 Jun 24 Enroll'!Q$1,FALSE)+VLOOKUP($A44,EnrollData2324,'2324 Jun 24 Enroll'!R$1,FALSE)+VLOOKUP($A44,EnrollData2324,'2324 Jun 24 Enroll'!I$1,FALSE)+VLOOKUP($A44,EnrollData2324,'2324 Jun 24 Enroll'!N$1,FALSE)+VLOOKUP($A44,EnrollData2324,'2324 Jun 24 Enroll'!O$1,FALSE)+VLOOKUP($A44,EnrollData2324,'2324 Jun 24 Enroll'!K$1,FALSE)+VLOOKUP($A44,EnrollData2324,'2324 Jun 24 Enroll'!L$1,FALSE))*Apport_M812324)/(VLOOKUP($A44,EnrollData2324,'2324 Jun 24 Enroll'!M$1,FALSE)+VLOOKUP($A44,EnrollData2324,'2324 Jun 24 Enroll'!D$1,FALSE)),2)</f>
        <v>1544.67</v>
      </c>
      <c r="AS44" s="7">
        <f t="shared" si="33"/>
        <v>9617.5300000000007</v>
      </c>
    </row>
    <row r="45" spans="1:46">
      <c r="A45" s="40" t="s">
        <v>470</v>
      </c>
      <c r="B45" s="40" t="s">
        <v>471</v>
      </c>
      <c r="C45" s="11">
        <f>ROUND((IFERROR((1/IF(VLOOKUP($A45,EnrollData2324,28,FALSE)='District Calculations'!$B$10,VLOOKUP($A45,EnrollData2324,28,FALSE),'District Calculations'!$B$10))*(1+Apport_Z315),0))+Apport_201A2324,6)</f>
        <v>7.3449E-2</v>
      </c>
      <c r="D45">
        <f>ROUND(IF(VLOOKUP($A45,EnrollData2324,'2324 Jun 24 Enroll'!D$1,FALSE)='District Calculations'!$B$11,VLOOKUP($A45,EnrollData2324,'2324 Jun 24 Enroll'!D$1,FALSE),'District Calculations'!$B$11)*C45,3)</f>
        <v>0</v>
      </c>
      <c r="E45">
        <f>ROUND(IF(VLOOKUP($A45,EnrollData2324,'2324 Jun 24 Enroll'!E$1,FALSE)='District Calculations'!$B$12,VLOOKUP($A45,EnrollData2324,'2324 Jun 24 Enroll'!E$1,FALSE),'District Calculations'!$B$12)*C45,3)</f>
        <v>59.53</v>
      </c>
      <c r="F45">
        <f>ROUND(IF(VLOOKUP($A45,EnrollData2324,'2324 Jun 24 Enroll'!F$1,FALSE)='District Calculations'!$B$13,VLOOKUP($A45,EnrollData2324,'2324 Jun 24 Enroll'!F$1,FALSE),'District Calculations'!$B$13)*Apport_222A2324,3)</f>
        <v>10.101000000000001</v>
      </c>
      <c r="G45">
        <f>ROUND(IF(VLOOKUP($A45,EnrollData2324,'2324 Jun 24 Enroll'!G$1,FALSE)='District Calculations'!$B$14,VLOOKUP($A45,EnrollData2324,'2324 Jun 24 Enroll'!G$1,FALSE),'District Calculations'!$B$14)*Apport_210A2324,3)</f>
        <v>22.395</v>
      </c>
      <c r="H45">
        <f>ROUND(IF(VLOOKUP($A45,EnrollData2324,'2324 Jun 24 Enroll'!H$1,FALSE)='District Calculations'!$B$15,VLOOKUP($A45,EnrollData2324,'2324 Jun 24 Enroll'!H$1,FALSE),'District Calculations'!$B$15)*Apport_213A2324,3)</f>
        <v>23.091999999999999</v>
      </c>
      <c r="I45">
        <f>ROUND(IF(VLOOKUP($A45,EnrollData2324,'2324 Jun 24 Enroll'!I$1,FALSE)+VLOOKUP($A45,EnrollData2324,'2324 Jun 24 Enroll'!M$1,FALSE)-VLOOKUP($A45,EnrollData2324,'2324 Jun 24 Enroll'!J$1,FALSE)='District Calculations'!$B$16+'District Calculations'!$B$25-'District Calculations'!$B$17,VLOOKUP($A45,EnrollData2324,'2324 Jun 24 Enroll'!I$1,FALSE)+VLOOKUP($A45,EnrollData2324,'2324 Jun 24 Enroll'!M$1,FALSE)-VLOOKUP($A45,EnrollData2324,'2324 Jun 24 Enroll'!J$1,FALSE),'District Calculations'!$B$16+'District Calculations'!$B$25-'District Calculations'!$B$17)*Apport_216A2324,3)</f>
        <v>58.183999999999997</v>
      </c>
      <c r="J45">
        <f>ROUND(SUM(D45:I45)/(IF(VLOOKUP($A45,EnrollData2324,'2324 Jun 24 Enroll'!M$1,FALSE)='District Calculations'!$B$25,VLOOKUP($A45,EnrollData2324,'2324 Jun 24 Enroll'!M$1,FALSE),'District Calculations'!$B$25)+IF(VLOOKUP($A45,EnrollData2324,'2324 Jun 24 Enroll'!D$1,FALSE)='District Calculations'!$B$11,VLOOKUP($A45,EnrollData2324,'2324 Jun 24 Enroll'!D$1,FALSE),'District Calculations'!$B$11)),5)</f>
        <v>5.5530000000000003E-2</v>
      </c>
      <c r="K45" s="11">
        <f t="shared" si="21"/>
        <v>4.365E-3</v>
      </c>
      <c r="L45">
        <f>ROUND(IF(VLOOKUP($A45,EnrollData2324,'2324 Jun 24 Enroll'!D$1,FALSE)='District Calculations'!$B$11,VLOOKUP($A45,EnrollData2324,'2324 Jun 24 Enroll'!D$1,FALSE),'District Calculations'!$B$11)*K45,3)</f>
        <v>0</v>
      </c>
      <c r="M45">
        <f>ROUND(IF(VLOOKUP($A45,EnrollData2324,'2324 Jun 24 Enroll'!E$1,FALSE)='District Calculations'!$B$12,VLOOKUP($A45,EnrollData2324,'2324 Jun 24 Enroll'!E$1,FALSE),'District Calculations'!$B$12)*K45,3)</f>
        <v>3.5379999999999998</v>
      </c>
      <c r="N45">
        <f>ROUND(IF(VLOOKUP($A45,EnrollData2324,'2324 Jun 24 Enroll'!F$1,FALSE)='District Calculations'!$B$13,VLOOKUP($A45,EnrollData2324,'2324 Jun 24 Enroll'!F$1,FALSE),'District Calculations'!$B$13)*Apport_223A2324,3)</f>
        <v>0.84199999999999997</v>
      </c>
      <c r="O45">
        <f>ROUND(IF(VLOOKUP($A45,EnrollData2324,'2324 Jun 24 Enroll'!G$1,FALSE)='District Calculations'!$B$14,VLOOKUP($A45,EnrollData2324,'2324 Jun 24 Enroll'!G$1,FALSE),'District Calculations'!$B$14)*Apport_211A2324,3)</f>
        <v>1.867</v>
      </c>
      <c r="P45">
        <f>ROUND(IF(VLOOKUP($A45,EnrollData2324,'2324 Jun 24 Enroll'!H$1,FALSE)='District Calculations'!$B$14,VLOOKUP($A45,EnrollData2324,'2324 Jun 24 Enroll'!H$1,FALSE),'District Calculations'!$B$14)*Apport_214A2324,3)</f>
        <v>1.8660000000000001</v>
      </c>
      <c r="Q45">
        <f>ROUND(IF(VLOOKUP($A45,EnrollData2324,'2324 Jun 24 Enroll'!I$1,FALSE)+VLOOKUP($A45,EnrollData2324,'2324 Jun 24 Enroll'!M$1,FALSE)-VLOOKUP($A45,EnrollData2324,'2324 Jun 24 Enroll'!J$1,FALSE)='District Calculations'!$B$16+'District Calculations'!$B$25-'District Calculations'!$B$17,VLOOKUP($A45,EnrollData2324,'2324 Jun 24 Enroll'!I$1,FALSE)+VLOOKUP($A45,EnrollData2324,'2324 Jun 24 Enroll'!M$1,FALSE)-VLOOKUP($A45,EnrollData2324,'2324 Jun 24 Enroll'!J$1,FALSE),'District Calculations'!$B$16+'District Calculations'!$B$25-'District Calculations'!$B$17)*Apport_217A2324,3)</f>
        <v>4.6980000000000004</v>
      </c>
      <c r="R45">
        <f>ROUND(SUM(L45:Q45)/IF(VLOOKUP($A45,EnrollData2324,'2324 Jun 24 Enroll'!M$1,FALSE)+VLOOKUP($A45,EnrollData2324,'2324 Jun 24 Enroll'!D$1,FALSE)='District Calculations'!$B$25+'District Calculations'!$B$11,VLOOKUP($A45,EnrollData2324,'2324 Jun 24 Enroll'!M$1,FALSE)+VLOOKUP($A45,EnrollData2324,'2324 Jun 24 Enroll'!D$1,FALSE),'District Calculations'!$B$25+'District Calculations'!$B$11),5)</f>
        <v>4.1000000000000003E-3</v>
      </c>
      <c r="S45" s="11">
        <f t="shared" si="22"/>
        <v>1.8294500000000002E-2</v>
      </c>
      <c r="T45">
        <f>ROUND(IF(VLOOKUP($A45,EnrollData2324,'2324 Jun 24 Enroll'!D$1,FALSE)='District Calculations'!$B$11,VLOOKUP($A45,EnrollData2324,'2324 Jun 24 Enroll'!D$1,FALSE),'District Calculations'!$B$11)*S45,3)</f>
        <v>0</v>
      </c>
      <c r="U45">
        <f>ROUND(IF(VLOOKUP($A45,EnrollData2324,'2324 Jun 24 Enroll'!E$1,FALSE)='District Calculations'!$B$12,VLOOKUP($A45,EnrollData2324,'2324 Jun 24 Enroll'!E$1,FALSE),'District Calculations'!$B$12)*S45,3)</f>
        <v>14.827999999999999</v>
      </c>
      <c r="V45">
        <f>ROUND(IF(VLOOKUP($A45,EnrollData2324,'2324 Jun 24 Enroll'!F$1,FALSE)='District Calculations'!$B$13,VLOOKUP($A45,EnrollData2324,'2324 Jun 24 Enroll'!F$1,FALSE),'District Calculations'!$B$13)*Apport_224A2324,3)</f>
        <v>3.6190000000000002</v>
      </c>
      <c r="W45">
        <f>ROUND(IF(VLOOKUP($A45,EnrollData2324,'2324 Jun 24 Enroll'!G$1,FALSE)='District Calculations'!$B$14,VLOOKUP($A45,EnrollData2324,'2324 Jun 24 Enroll'!G$1,FALSE),'District Calculations'!$B$14)*Apport_212A2324,3)</f>
        <v>8.0239999999999991</v>
      </c>
      <c r="X45">
        <f>ROUND(IF(VLOOKUP($A45,EnrollData2324,'2324 Jun 24 Enroll'!H$1,FALSE)='District Calculations'!$B$14,VLOOKUP($A45,EnrollData2324,'2324 Jun 24 Enroll'!H$1,FALSE),'District Calculations'!$B$14)*Apport_215A2324,3)</f>
        <v>7.9279999999999999</v>
      </c>
      <c r="Y45">
        <f>ROUND(IF(VLOOKUP($A45,EnrollData2324,'2324 Jun 24 Enroll'!I$1,FALSE)+VLOOKUP($A45,EnrollData2324,'2324 Jun 24 Enroll'!M$1,FALSE)-VLOOKUP($A45,EnrollData2324,'2324 Jun 24 Enroll'!J$1,FALSE)='District Calculations'!$B$16+'District Calculations'!$B$25-'District Calculations'!$B$17,VLOOKUP($A45,EnrollData2324,'2324 Jun 24 Enroll'!I$1,FALSE)+VLOOKUP($A45,EnrollData2324,'2324 Jun 24 Enroll'!M$1,FALSE)-VLOOKUP($A45,EnrollData2324,'2324 Jun 24 Enroll'!J$1,FALSE),'District Calculations'!$B$16+'District Calculations'!$B$25-'District Calculations'!$B$17)*Apport_218A2324,3)</f>
        <v>19.917999999999999</v>
      </c>
      <c r="Z45">
        <f>ROUND(SUM(T45:Y45)/IF(VLOOKUP($A45,EnrollData2324,'2324 Jun 24 Enroll'!M$1,FALSE)+VLOOKUP($A45,EnrollData2324,'2324 Jun 24 Enroll'!D$1,FALSE)='District Calculations'!$B$25+'District Calculations'!$B$11,VLOOKUP($A45,EnrollData2324,'2324 Jun 24 Enroll'!M$1,FALSE)+VLOOKUP($A45,EnrollData2324,'2324 Jun 24 Enroll'!D$1,FALSE),'District Calculations'!$B$25+'District Calculations'!$B$11),5)</f>
        <v>1.7399999999999999E-2</v>
      </c>
      <c r="AA45" s="6">
        <f>ROUND($J45*CIS_Base_Salary2324*VLOOKUP($A45,EnrollData2324,'2324 Jun 24 Enroll'!S$1,FALSE),2)</f>
        <v>4038.59</v>
      </c>
      <c r="AB45" s="6">
        <f>ROUND($J45*CIS_Inc_Salary2324*(VLOOKUP($A45,EnrollData2324,'2324 Jun 24 Enroll'!T$1,FALSE)+VLOOKUP($A45,EnrollData2324,'2324 Jun 24 Enroll'!U$1,FALSE)),2)-AA45</f>
        <v>149.43000000000029</v>
      </c>
      <c r="AC45" s="6">
        <f>ROUND($R45*CAS_Base_Salary2324*VLOOKUP($A45,EnrollData2324,'2324 Jun 24 Enroll'!S$1,FALSE),2)</f>
        <v>442.62</v>
      </c>
      <c r="AD45" s="6">
        <f>ROUND($R45*CAS_Inc_Salary2324*VLOOKUP($A45,EnrollData2324,'2324 Jun 24 Enroll'!T$1,FALSE),2)-AC45</f>
        <v>16.379999999999995</v>
      </c>
      <c r="AE45" s="6">
        <f>ROUND($Z45*CLS_Base_Salary2324*VLOOKUP($A45,EnrollData2324,'2324 Jun 24 Enroll'!S$1,FALSE),2)</f>
        <v>907.81</v>
      </c>
      <c r="AF45" s="6">
        <f>ROUND($Z45*CLS_Inc_Salary2324*VLOOKUP($A45,EnrollData2324,'2324 Jun 24 Enroll'!T$1,FALSE),2)-AE45</f>
        <v>33.580000000000041</v>
      </c>
      <c r="AG45">
        <f t="shared" si="9"/>
        <v>734.16</v>
      </c>
      <c r="AH45" s="69">
        <f t="shared" si="23"/>
        <v>68.700000000000045</v>
      </c>
      <c r="AI45">
        <f t="shared" si="11"/>
        <v>214.23</v>
      </c>
      <c r="AJ45">
        <f t="shared" si="24"/>
        <v>114.21000000000001</v>
      </c>
      <c r="AK45">
        <f t="shared" si="25"/>
        <v>805.27</v>
      </c>
      <c r="AL45">
        <f t="shared" si="26"/>
        <v>28.73</v>
      </c>
      <c r="AM45">
        <f t="shared" si="27"/>
        <v>200.26</v>
      </c>
      <c r="AN45">
        <f t="shared" si="28"/>
        <v>6.23</v>
      </c>
      <c r="AO45">
        <f>ROUND(($J45*CIS_Inc_Salary2324*(VLOOKUP($A45,EnrollData2324,'2324 Jun 24 Enroll'!T$1,FALSE)+VLOOKUP($A45,EnrollData2324,'2324 Jun 24 Enroll'!U$1,FALSE))/Apport_613Xpd)*Apport_614Xpd,2)</f>
        <v>69.8</v>
      </c>
      <c r="AP45">
        <f t="shared" si="29"/>
        <v>12.1</v>
      </c>
      <c r="AQ45">
        <f t="shared" si="32"/>
        <v>30.93</v>
      </c>
      <c r="AR45" s="6">
        <f>ROUND((VLOOKUP($A45,EnrollData2324,'2324 Jun 24 Enroll'!D$1,FALSE)*Apport_M802324+VLOOKUP($A45,EnrollData2324,'2324 Jun 24 Enroll'!M$1,FALSE)*Apport_M802324+(VLOOKUP($A45,EnrollData2324,'2324 Jun 24 Enroll'!P$1,FALSE)+VLOOKUP($A45,EnrollData2324,'2324 Jun 24 Enroll'!Q$1,FALSE)+VLOOKUP($A45,EnrollData2324,'2324 Jun 24 Enroll'!R$1,FALSE)+VLOOKUP($A45,EnrollData2324,'2324 Jun 24 Enroll'!I$1,FALSE)+VLOOKUP($A45,EnrollData2324,'2324 Jun 24 Enroll'!N$1,FALSE)+VLOOKUP($A45,EnrollData2324,'2324 Jun 24 Enroll'!O$1,FALSE)+VLOOKUP($A45,EnrollData2324,'2324 Jun 24 Enroll'!K$1,FALSE)+VLOOKUP($A45,EnrollData2324,'2324 Jun 24 Enroll'!L$1,FALSE))*Apport_M812324)/(VLOOKUP($A45,EnrollData2324,'2324 Jun 24 Enroll'!M$1,FALSE)+VLOOKUP($A45,EnrollData2324,'2324 Jun 24 Enroll'!D$1,FALSE)),2)</f>
        <v>1548.46</v>
      </c>
      <c r="AS45" s="7">
        <f t="shared" si="33"/>
        <v>9421.49</v>
      </c>
    </row>
    <row r="46" spans="1:46">
      <c r="A46" s="40" t="s">
        <v>701</v>
      </c>
      <c r="B46" s="40" t="s">
        <v>702</v>
      </c>
      <c r="C46" s="11">
        <f>ROUND((IFERROR((1/IF(VLOOKUP($A46,EnrollData2324,28,FALSE)='District Calculations'!$B$10,VLOOKUP($A46,EnrollData2324,28,FALSE),'District Calculations'!$B$10))*(1+Apport_Z315),0))+Apport_201A2324,6)</f>
        <v>7.3449E-2</v>
      </c>
      <c r="D46">
        <f>ROUND(IF(VLOOKUP($A46,EnrollData2324,'2324 Jun 24 Enroll'!D$1,FALSE)='District Calculations'!$B$11,VLOOKUP($A46,EnrollData2324,'2324 Jun 24 Enroll'!D$1,FALSE),'District Calculations'!$B$11)*C46,3)</f>
        <v>0</v>
      </c>
      <c r="E46">
        <f>ROUND(IF(VLOOKUP($A46,EnrollData2324,'2324 Jun 24 Enroll'!E$1,FALSE)='District Calculations'!$B$12,VLOOKUP($A46,EnrollData2324,'2324 Jun 24 Enroll'!E$1,FALSE),'District Calculations'!$B$12)*C46,3)</f>
        <v>59.53</v>
      </c>
      <c r="F46">
        <f>ROUND(IF(VLOOKUP($A46,EnrollData2324,'2324 Jun 24 Enroll'!F$1,FALSE)='District Calculations'!$B$13,VLOOKUP($A46,EnrollData2324,'2324 Jun 24 Enroll'!F$1,FALSE),'District Calculations'!$B$13)*Apport_222A2324,3)</f>
        <v>10.101000000000001</v>
      </c>
      <c r="G46">
        <f>ROUND(IF(VLOOKUP($A46,EnrollData2324,'2324 Jun 24 Enroll'!G$1,FALSE)='District Calculations'!$B$14,VLOOKUP($A46,EnrollData2324,'2324 Jun 24 Enroll'!G$1,FALSE),'District Calculations'!$B$14)*Apport_210A2324,3)</f>
        <v>22.395</v>
      </c>
      <c r="H46">
        <f>ROUND(IF(VLOOKUP($A46,EnrollData2324,'2324 Jun 24 Enroll'!H$1,FALSE)='District Calculations'!$B$15,VLOOKUP($A46,EnrollData2324,'2324 Jun 24 Enroll'!H$1,FALSE),'District Calculations'!$B$15)*Apport_213A2324,3)</f>
        <v>23.091999999999999</v>
      </c>
      <c r="I46">
        <f>ROUND(IF(VLOOKUP($A46,EnrollData2324,'2324 Jun 24 Enroll'!I$1,FALSE)+VLOOKUP($A46,EnrollData2324,'2324 Jun 24 Enroll'!M$1,FALSE)-VLOOKUP($A46,EnrollData2324,'2324 Jun 24 Enroll'!J$1,FALSE)='District Calculations'!$B$16+'District Calculations'!$B$25-'District Calculations'!$B$17,VLOOKUP($A46,EnrollData2324,'2324 Jun 24 Enroll'!I$1,FALSE)+VLOOKUP($A46,EnrollData2324,'2324 Jun 24 Enroll'!M$1,FALSE)-VLOOKUP($A46,EnrollData2324,'2324 Jun 24 Enroll'!J$1,FALSE),'District Calculations'!$B$16+'District Calculations'!$B$25-'District Calculations'!$B$17)*Apport_216A2324,3)</f>
        <v>58.183999999999997</v>
      </c>
      <c r="J46">
        <f>ROUND(SUM(D46:I46)/(IF(VLOOKUP($A46,EnrollData2324,'2324 Jun 24 Enroll'!M$1,FALSE)='District Calculations'!$B$25,VLOOKUP($A46,EnrollData2324,'2324 Jun 24 Enroll'!M$1,FALSE),'District Calculations'!$B$25)+IF(VLOOKUP($A46,EnrollData2324,'2324 Jun 24 Enroll'!D$1,FALSE)='District Calculations'!$B$11,VLOOKUP($A46,EnrollData2324,'2324 Jun 24 Enroll'!D$1,FALSE),'District Calculations'!$B$11)),5)</f>
        <v>5.5530000000000003E-2</v>
      </c>
      <c r="K46" s="11">
        <f t="shared" si="21"/>
        <v>4.365E-3</v>
      </c>
      <c r="L46">
        <f>ROUND(IF(VLOOKUP($A46,EnrollData2324,'2324 Jun 24 Enroll'!D$1,FALSE)='District Calculations'!$B$11,VLOOKUP($A46,EnrollData2324,'2324 Jun 24 Enroll'!D$1,FALSE),'District Calculations'!$B$11)*K46,3)</f>
        <v>0</v>
      </c>
      <c r="M46">
        <f>ROUND(IF(VLOOKUP($A46,EnrollData2324,'2324 Jun 24 Enroll'!E$1,FALSE)='District Calculations'!$B$12,VLOOKUP($A46,EnrollData2324,'2324 Jun 24 Enroll'!E$1,FALSE),'District Calculations'!$B$12)*K46,3)</f>
        <v>3.5379999999999998</v>
      </c>
      <c r="N46">
        <f>ROUND(IF(VLOOKUP($A46,EnrollData2324,'2324 Jun 24 Enroll'!F$1,FALSE)='District Calculations'!$B$13,VLOOKUP($A46,EnrollData2324,'2324 Jun 24 Enroll'!F$1,FALSE),'District Calculations'!$B$13)*Apport_223A2324,3)</f>
        <v>0.84199999999999997</v>
      </c>
      <c r="O46">
        <f>ROUND(IF(VLOOKUP($A46,EnrollData2324,'2324 Jun 24 Enroll'!G$1,FALSE)='District Calculations'!$B$14,VLOOKUP($A46,EnrollData2324,'2324 Jun 24 Enroll'!G$1,FALSE),'District Calculations'!$B$14)*Apport_211A2324,3)</f>
        <v>1.867</v>
      </c>
      <c r="P46">
        <f>ROUND(IF(VLOOKUP($A46,EnrollData2324,'2324 Jun 24 Enroll'!H$1,FALSE)='District Calculations'!$B$14,VLOOKUP($A46,EnrollData2324,'2324 Jun 24 Enroll'!H$1,FALSE),'District Calculations'!$B$14)*Apport_214A2324,3)</f>
        <v>1.8660000000000001</v>
      </c>
      <c r="Q46">
        <f>ROUND(IF(VLOOKUP($A46,EnrollData2324,'2324 Jun 24 Enroll'!I$1,FALSE)+VLOOKUP($A46,EnrollData2324,'2324 Jun 24 Enroll'!M$1,FALSE)-VLOOKUP($A46,EnrollData2324,'2324 Jun 24 Enroll'!J$1,FALSE)='District Calculations'!$B$16+'District Calculations'!$B$25-'District Calculations'!$B$17,VLOOKUP($A46,EnrollData2324,'2324 Jun 24 Enroll'!I$1,FALSE)+VLOOKUP($A46,EnrollData2324,'2324 Jun 24 Enroll'!M$1,FALSE)-VLOOKUP($A46,EnrollData2324,'2324 Jun 24 Enroll'!J$1,FALSE),'District Calculations'!$B$16+'District Calculations'!$B$25-'District Calculations'!$B$17)*Apport_217A2324,3)</f>
        <v>4.6980000000000004</v>
      </c>
      <c r="R46">
        <f>ROUND(SUM(L46:Q46)/IF(VLOOKUP($A46,EnrollData2324,'2324 Jun 24 Enroll'!M$1,FALSE)+VLOOKUP($A46,EnrollData2324,'2324 Jun 24 Enroll'!D$1,FALSE)='District Calculations'!$B$25+'District Calculations'!$B$11,VLOOKUP($A46,EnrollData2324,'2324 Jun 24 Enroll'!M$1,FALSE)+VLOOKUP($A46,EnrollData2324,'2324 Jun 24 Enroll'!D$1,FALSE),'District Calculations'!$B$25+'District Calculations'!$B$11),5)</f>
        <v>4.1000000000000003E-3</v>
      </c>
      <c r="S46" s="11">
        <f t="shared" si="22"/>
        <v>1.8294500000000002E-2</v>
      </c>
      <c r="T46">
        <f>ROUND(IF(VLOOKUP($A46,EnrollData2324,'2324 Jun 24 Enroll'!D$1,FALSE)='District Calculations'!$B$11,VLOOKUP($A46,EnrollData2324,'2324 Jun 24 Enroll'!D$1,FALSE),'District Calculations'!$B$11)*S46,3)</f>
        <v>0</v>
      </c>
      <c r="U46">
        <f>ROUND(IF(VLOOKUP($A46,EnrollData2324,'2324 Jun 24 Enroll'!E$1,FALSE)='District Calculations'!$B$12,VLOOKUP($A46,EnrollData2324,'2324 Jun 24 Enroll'!E$1,FALSE),'District Calculations'!$B$12)*S46,3)</f>
        <v>14.827999999999999</v>
      </c>
      <c r="V46">
        <f>ROUND(IF(VLOOKUP($A46,EnrollData2324,'2324 Jun 24 Enroll'!F$1,FALSE)='District Calculations'!$B$13,VLOOKUP($A46,EnrollData2324,'2324 Jun 24 Enroll'!F$1,FALSE),'District Calculations'!$B$13)*Apport_224A2324,3)</f>
        <v>3.6190000000000002</v>
      </c>
      <c r="W46">
        <f>ROUND(IF(VLOOKUP($A46,EnrollData2324,'2324 Jun 24 Enroll'!G$1,FALSE)='District Calculations'!$B$14,VLOOKUP($A46,EnrollData2324,'2324 Jun 24 Enroll'!G$1,FALSE),'District Calculations'!$B$14)*Apport_212A2324,3)</f>
        <v>8.0239999999999991</v>
      </c>
      <c r="X46">
        <f>ROUND(IF(VLOOKUP($A46,EnrollData2324,'2324 Jun 24 Enroll'!H$1,FALSE)='District Calculations'!$B$14,VLOOKUP($A46,EnrollData2324,'2324 Jun 24 Enroll'!H$1,FALSE),'District Calculations'!$B$14)*Apport_215A2324,3)</f>
        <v>7.9279999999999999</v>
      </c>
      <c r="Y46">
        <f>ROUND(IF(VLOOKUP($A46,EnrollData2324,'2324 Jun 24 Enroll'!I$1,FALSE)+VLOOKUP($A46,EnrollData2324,'2324 Jun 24 Enroll'!M$1,FALSE)-VLOOKUP($A46,EnrollData2324,'2324 Jun 24 Enroll'!J$1,FALSE)='District Calculations'!$B$16+'District Calculations'!$B$25-'District Calculations'!$B$17,VLOOKUP($A46,EnrollData2324,'2324 Jun 24 Enroll'!I$1,FALSE)+VLOOKUP($A46,EnrollData2324,'2324 Jun 24 Enroll'!M$1,FALSE)-VLOOKUP($A46,EnrollData2324,'2324 Jun 24 Enroll'!J$1,FALSE),'District Calculations'!$B$16+'District Calculations'!$B$25-'District Calculations'!$B$17)*Apport_218A2324,3)</f>
        <v>19.917999999999999</v>
      </c>
      <c r="Z46">
        <f>ROUND(SUM(T46:Y46)/IF(VLOOKUP($A46,EnrollData2324,'2324 Jun 24 Enroll'!M$1,FALSE)+VLOOKUP($A46,EnrollData2324,'2324 Jun 24 Enroll'!D$1,FALSE)='District Calculations'!$B$25+'District Calculations'!$B$11,VLOOKUP($A46,EnrollData2324,'2324 Jun 24 Enroll'!M$1,FALSE)+VLOOKUP($A46,EnrollData2324,'2324 Jun 24 Enroll'!D$1,FALSE),'District Calculations'!$B$25+'District Calculations'!$B$11),5)</f>
        <v>1.7399999999999999E-2</v>
      </c>
      <c r="AA46" s="6">
        <f>ROUND($J46*CIS_Base_Salary2324*VLOOKUP($A46,EnrollData2324,'2324 Jun 24 Enroll'!S$1,FALSE),2)</f>
        <v>4038.59</v>
      </c>
      <c r="AB46" s="6">
        <f>ROUND($J46*CIS_Inc_Salary2324*(VLOOKUP($A46,EnrollData2324,'2324 Jun 24 Enroll'!T$1,FALSE)+VLOOKUP($A46,EnrollData2324,'2324 Jun 24 Enroll'!U$1,FALSE)),2)-AA46</f>
        <v>149.43000000000029</v>
      </c>
      <c r="AC46" s="6">
        <f>ROUND($R46*CAS_Base_Salary2324*VLOOKUP($A46,EnrollData2324,'2324 Jun 24 Enroll'!S$1,FALSE),2)</f>
        <v>442.62</v>
      </c>
      <c r="AD46" s="6">
        <f>ROUND($R46*CAS_Inc_Salary2324*VLOOKUP($A46,EnrollData2324,'2324 Jun 24 Enroll'!T$1,FALSE),2)-AC46</f>
        <v>16.379999999999995</v>
      </c>
      <c r="AE46" s="6">
        <f>ROUND($Z46*CLS_Base_Salary2324*VLOOKUP($A46,EnrollData2324,'2324 Jun 24 Enroll'!S$1,FALSE),2)</f>
        <v>907.81</v>
      </c>
      <c r="AF46" s="6">
        <f>ROUND($Z46*CLS_Inc_Salary2324*VLOOKUP($A46,EnrollData2324,'2324 Jun 24 Enroll'!T$1,FALSE),2)-AE46</f>
        <v>33.580000000000041</v>
      </c>
      <c r="AG46">
        <f t="shared" si="9"/>
        <v>734.16</v>
      </c>
      <c r="AH46" s="69">
        <f t="shared" si="23"/>
        <v>68.700000000000045</v>
      </c>
      <c r="AI46">
        <f t="shared" si="11"/>
        <v>214.23</v>
      </c>
      <c r="AJ46">
        <f t="shared" si="24"/>
        <v>114.21000000000001</v>
      </c>
      <c r="AK46">
        <f t="shared" si="25"/>
        <v>805.27</v>
      </c>
      <c r="AL46">
        <f t="shared" si="26"/>
        <v>28.73</v>
      </c>
      <c r="AM46">
        <f t="shared" si="27"/>
        <v>200.26</v>
      </c>
      <c r="AN46">
        <f t="shared" si="28"/>
        <v>6.23</v>
      </c>
      <c r="AO46">
        <f>ROUND(($J46*CIS_Inc_Salary2324*(VLOOKUP($A46,EnrollData2324,'2324 Jun 24 Enroll'!T$1,FALSE)+VLOOKUP($A46,EnrollData2324,'2324 Jun 24 Enroll'!U$1,FALSE))/Apport_613Xpd)*Apport_614Xpd,2)</f>
        <v>69.8</v>
      </c>
      <c r="AP46">
        <f t="shared" si="29"/>
        <v>12.1</v>
      </c>
      <c r="AQ46">
        <f t="shared" si="32"/>
        <v>30.93</v>
      </c>
      <c r="AR46" s="6">
        <f>ROUND((VLOOKUP($A46,EnrollData2324,'2324 Jun 24 Enroll'!D$1,FALSE)*Apport_M802324+VLOOKUP($A46,EnrollData2324,'2324 Jun 24 Enroll'!M$1,FALSE)*Apport_M802324+(VLOOKUP($A46,EnrollData2324,'2324 Jun 24 Enroll'!P$1,FALSE)+VLOOKUP($A46,EnrollData2324,'2324 Jun 24 Enroll'!Q$1,FALSE)+VLOOKUP($A46,EnrollData2324,'2324 Jun 24 Enroll'!R$1,FALSE)+VLOOKUP($A46,EnrollData2324,'2324 Jun 24 Enroll'!I$1,FALSE)+VLOOKUP($A46,EnrollData2324,'2324 Jun 24 Enroll'!N$1,FALSE)+VLOOKUP($A46,EnrollData2324,'2324 Jun 24 Enroll'!O$1,FALSE)+VLOOKUP($A46,EnrollData2324,'2324 Jun 24 Enroll'!K$1,FALSE)+VLOOKUP($A46,EnrollData2324,'2324 Jun 24 Enroll'!L$1,FALSE))*Apport_M812324)/(VLOOKUP($A46,EnrollData2324,'2324 Jun 24 Enroll'!M$1,FALSE)+VLOOKUP($A46,EnrollData2324,'2324 Jun 24 Enroll'!D$1,FALSE)),2)</f>
        <v>1555.2</v>
      </c>
      <c r="AS46" s="7">
        <f t="shared" si="33"/>
        <v>9428.23</v>
      </c>
    </row>
    <row r="47" spans="1:46">
      <c r="A47" s="40" t="s">
        <v>725</v>
      </c>
      <c r="B47" s="40" t="s">
        <v>726</v>
      </c>
      <c r="C47" s="11">
        <f>ROUND((IFERROR((1/IF(VLOOKUP($A47,EnrollData2324,28,FALSE)='District Calculations'!$B$10,VLOOKUP($A47,EnrollData2324,28,FALSE),'District Calculations'!$B$10))*(1+Apport_Z315),0))+Apport_201A2324,6)</f>
        <v>7.3449E-2</v>
      </c>
      <c r="D47">
        <f>ROUND(IF(VLOOKUP($A47,EnrollData2324,'2324 Jun 24 Enroll'!D$1,FALSE)='District Calculations'!$B$11,VLOOKUP($A47,EnrollData2324,'2324 Jun 24 Enroll'!D$1,FALSE),'District Calculations'!$B$11)*C47,3)</f>
        <v>0</v>
      </c>
      <c r="E47">
        <f>ROUND(IF(VLOOKUP($A47,EnrollData2324,'2324 Jun 24 Enroll'!E$1,FALSE)='District Calculations'!$B$12,VLOOKUP($A47,EnrollData2324,'2324 Jun 24 Enroll'!E$1,FALSE),'District Calculations'!$B$12)*C47,3)</f>
        <v>59.53</v>
      </c>
      <c r="F47">
        <f>ROUND(IF(VLOOKUP($A47,EnrollData2324,'2324 Jun 24 Enroll'!F$1,FALSE)='District Calculations'!$B$13,VLOOKUP($A47,EnrollData2324,'2324 Jun 24 Enroll'!F$1,FALSE),'District Calculations'!$B$13)*Apport_222A2324,3)</f>
        <v>10.101000000000001</v>
      </c>
      <c r="G47">
        <f>ROUND(IF(VLOOKUP($A47,EnrollData2324,'2324 Jun 24 Enroll'!G$1,FALSE)='District Calculations'!$B$14,VLOOKUP($A47,EnrollData2324,'2324 Jun 24 Enroll'!G$1,FALSE),'District Calculations'!$B$14)*Apport_210A2324,3)</f>
        <v>22.395</v>
      </c>
      <c r="H47">
        <f>ROUND(IF(VLOOKUP($A47,EnrollData2324,'2324 Jun 24 Enroll'!H$1,FALSE)='District Calculations'!$B$15,VLOOKUP($A47,EnrollData2324,'2324 Jun 24 Enroll'!H$1,FALSE),'District Calculations'!$B$15)*Apport_213A2324,3)</f>
        <v>23.091999999999999</v>
      </c>
      <c r="I47">
        <f>ROUND(IF(VLOOKUP($A47,EnrollData2324,'2324 Jun 24 Enroll'!I$1,FALSE)+VLOOKUP($A47,EnrollData2324,'2324 Jun 24 Enroll'!M$1,FALSE)-VLOOKUP($A47,EnrollData2324,'2324 Jun 24 Enroll'!J$1,FALSE)='District Calculations'!$B$16+'District Calculations'!$B$25-'District Calculations'!$B$17,VLOOKUP($A47,EnrollData2324,'2324 Jun 24 Enroll'!I$1,FALSE)+VLOOKUP($A47,EnrollData2324,'2324 Jun 24 Enroll'!M$1,FALSE)-VLOOKUP($A47,EnrollData2324,'2324 Jun 24 Enroll'!J$1,FALSE),'District Calculations'!$B$16+'District Calculations'!$B$25-'District Calculations'!$B$17)*Apport_216A2324,3)</f>
        <v>58.183999999999997</v>
      </c>
      <c r="J47">
        <f>ROUND(SUM(D47:I47)/(IF(VLOOKUP($A47,EnrollData2324,'2324 Jun 24 Enroll'!M$1,FALSE)='District Calculations'!$B$25,VLOOKUP($A47,EnrollData2324,'2324 Jun 24 Enroll'!M$1,FALSE),'District Calculations'!$B$25)+IF(VLOOKUP($A47,EnrollData2324,'2324 Jun 24 Enroll'!D$1,FALSE)='District Calculations'!$B$11,VLOOKUP($A47,EnrollData2324,'2324 Jun 24 Enroll'!D$1,FALSE),'District Calculations'!$B$11)),5)</f>
        <v>5.5530000000000003E-2</v>
      </c>
      <c r="K47" s="11">
        <f t="shared" si="21"/>
        <v>4.365E-3</v>
      </c>
      <c r="L47">
        <f>ROUND(IF(VLOOKUP($A47,EnrollData2324,'2324 Jun 24 Enroll'!D$1,FALSE)='District Calculations'!$B$11,VLOOKUP($A47,EnrollData2324,'2324 Jun 24 Enroll'!D$1,FALSE),'District Calculations'!$B$11)*K47,3)</f>
        <v>0</v>
      </c>
      <c r="M47">
        <f>ROUND(IF(VLOOKUP($A47,EnrollData2324,'2324 Jun 24 Enroll'!E$1,FALSE)='District Calculations'!$B$12,VLOOKUP($A47,EnrollData2324,'2324 Jun 24 Enroll'!E$1,FALSE),'District Calculations'!$B$12)*K47,3)</f>
        <v>3.5379999999999998</v>
      </c>
      <c r="N47">
        <f>ROUND(IF(VLOOKUP($A47,EnrollData2324,'2324 Jun 24 Enroll'!F$1,FALSE)='District Calculations'!$B$13,VLOOKUP($A47,EnrollData2324,'2324 Jun 24 Enroll'!F$1,FALSE),'District Calculations'!$B$13)*Apport_223A2324,3)</f>
        <v>0.84199999999999997</v>
      </c>
      <c r="O47">
        <f>ROUND(IF(VLOOKUP($A47,EnrollData2324,'2324 Jun 24 Enroll'!G$1,FALSE)='District Calculations'!$B$14,VLOOKUP($A47,EnrollData2324,'2324 Jun 24 Enroll'!G$1,FALSE),'District Calculations'!$B$14)*Apport_211A2324,3)</f>
        <v>1.867</v>
      </c>
      <c r="P47">
        <f>ROUND(IF(VLOOKUP($A47,EnrollData2324,'2324 Jun 24 Enroll'!H$1,FALSE)='District Calculations'!$B$14,VLOOKUP($A47,EnrollData2324,'2324 Jun 24 Enroll'!H$1,FALSE),'District Calculations'!$B$14)*Apport_214A2324,3)</f>
        <v>1.8660000000000001</v>
      </c>
      <c r="Q47">
        <f>ROUND(IF(VLOOKUP($A47,EnrollData2324,'2324 Jun 24 Enroll'!I$1,FALSE)+VLOOKUP($A47,EnrollData2324,'2324 Jun 24 Enroll'!M$1,FALSE)-VLOOKUP($A47,EnrollData2324,'2324 Jun 24 Enroll'!J$1,FALSE)='District Calculations'!$B$16+'District Calculations'!$B$25-'District Calculations'!$B$17,VLOOKUP($A47,EnrollData2324,'2324 Jun 24 Enroll'!I$1,FALSE)+VLOOKUP($A47,EnrollData2324,'2324 Jun 24 Enroll'!M$1,FALSE)-VLOOKUP($A47,EnrollData2324,'2324 Jun 24 Enroll'!J$1,FALSE),'District Calculations'!$B$16+'District Calculations'!$B$25-'District Calculations'!$B$17)*Apport_217A2324,3)</f>
        <v>4.6980000000000004</v>
      </c>
      <c r="R47">
        <f>ROUND(SUM(L47:Q47)/IF(VLOOKUP($A47,EnrollData2324,'2324 Jun 24 Enroll'!M$1,FALSE)+VLOOKUP($A47,EnrollData2324,'2324 Jun 24 Enroll'!D$1,FALSE)='District Calculations'!$B$25+'District Calculations'!$B$11,VLOOKUP($A47,EnrollData2324,'2324 Jun 24 Enroll'!M$1,FALSE)+VLOOKUP($A47,EnrollData2324,'2324 Jun 24 Enroll'!D$1,FALSE),'District Calculations'!$B$25+'District Calculations'!$B$11),5)</f>
        <v>4.1000000000000003E-3</v>
      </c>
      <c r="S47" s="11">
        <f t="shared" si="22"/>
        <v>1.8294500000000002E-2</v>
      </c>
      <c r="T47">
        <f>ROUND(IF(VLOOKUP($A47,EnrollData2324,'2324 Jun 24 Enroll'!D$1,FALSE)='District Calculations'!$B$11,VLOOKUP($A47,EnrollData2324,'2324 Jun 24 Enroll'!D$1,FALSE),'District Calculations'!$B$11)*S47,3)</f>
        <v>0</v>
      </c>
      <c r="U47">
        <f>ROUND(IF(VLOOKUP($A47,EnrollData2324,'2324 Jun 24 Enroll'!E$1,FALSE)='District Calculations'!$B$12,VLOOKUP($A47,EnrollData2324,'2324 Jun 24 Enroll'!E$1,FALSE),'District Calculations'!$B$12)*S47,3)</f>
        <v>14.827999999999999</v>
      </c>
      <c r="V47">
        <f>ROUND(IF(VLOOKUP($A47,EnrollData2324,'2324 Jun 24 Enroll'!F$1,FALSE)='District Calculations'!$B$13,VLOOKUP($A47,EnrollData2324,'2324 Jun 24 Enroll'!F$1,FALSE),'District Calculations'!$B$13)*Apport_224A2324,3)</f>
        <v>3.6190000000000002</v>
      </c>
      <c r="W47">
        <f>ROUND(IF(VLOOKUP($A47,EnrollData2324,'2324 Jun 24 Enroll'!G$1,FALSE)='District Calculations'!$B$14,VLOOKUP($A47,EnrollData2324,'2324 Jun 24 Enroll'!G$1,FALSE),'District Calculations'!$B$14)*Apport_212A2324,3)</f>
        <v>8.0239999999999991</v>
      </c>
      <c r="X47">
        <f>ROUND(IF(VLOOKUP($A47,EnrollData2324,'2324 Jun 24 Enroll'!H$1,FALSE)='District Calculations'!$B$14,VLOOKUP($A47,EnrollData2324,'2324 Jun 24 Enroll'!H$1,FALSE),'District Calculations'!$B$14)*Apport_215A2324,3)</f>
        <v>7.9279999999999999</v>
      </c>
      <c r="Y47">
        <f>ROUND(IF(VLOOKUP($A47,EnrollData2324,'2324 Jun 24 Enroll'!I$1,FALSE)+VLOOKUP($A47,EnrollData2324,'2324 Jun 24 Enroll'!M$1,FALSE)-VLOOKUP($A47,EnrollData2324,'2324 Jun 24 Enroll'!J$1,FALSE)='District Calculations'!$B$16+'District Calculations'!$B$25-'District Calculations'!$B$17,VLOOKUP($A47,EnrollData2324,'2324 Jun 24 Enroll'!I$1,FALSE)+VLOOKUP($A47,EnrollData2324,'2324 Jun 24 Enroll'!M$1,FALSE)-VLOOKUP($A47,EnrollData2324,'2324 Jun 24 Enroll'!J$1,FALSE),'District Calculations'!$B$16+'District Calculations'!$B$25-'District Calculations'!$B$17)*Apport_218A2324,3)</f>
        <v>19.917999999999999</v>
      </c>
      <c r="Z47">
        <f>ROUND(SUM(T47:Y47)/IF(VLOOKUP($A47,EnrollData2324,'2324 Jun 24 Enroll'!M$1,FALSE)+VLOOKUP($A47,EnrollData2324,'2324 Jun 24 Enroll'!D$1,FALSE)='District Calculations'!$B$25+'District Calculations'!$B$11,VLOOKUP($A47,EnrollData2324,'2324 Jun 24 Enroll'!M$1,FALSE)+VLOOKUP($A47,EnrollData2324,'2324 Jun 24 Enroll'!D$1,FALSE),'District Calculations'!$B$25+'District Calculations'!$B$11),5)</f>
        <v>1.7399999999999999E-2</v>
      </c>
      <c r="AA47" s="6">
        <f>ROUND($J47*CIS_Base_Salary2324*VLOOKUP($A47,EnrollData2324,'2324 Jun 24 Enroll'!S$1,FALSE),2)</f>
        <v>4099.16</v>
      </c>
      <c r="AB47" s="6">
        <f>ROUND($J47*CIS_Inc_Salary2324*(VLOOKUP($A47,EnrollData2324,'2324 Jun 24 Enroll'!T$1,FALSE)+VLOOKUP($A47,EnrollData2324,'2324 Jun 24 Enroll'!U$1,FALSE)),2)-AA47</f>
        <v>151.68000000000029</v>
      </c>
      <c r="AC47" s="6">
        <f>ROUND($R47*CAS_Base_Salary2324*VLOOKUP($A47,EnrollData2324,'2324 Jun 24 Enroll'!S$1,FALSE),2)</f>
        <v>449.25</v>
      </c>
      <c r="AD47" s="6">
        <f>ROUND($R47*CAS_Inc_Salary2324*VLOOKUP($A47,EnrollData2324,'2324 Jun 24 Enroll'!T$1,FALSE),2)-AC47</f>
        <v>16.629999999999995</v>
      </c>
      <c r="AE47" s="6">
        <f>ROUND($Z47*CLS_Base_Salary2324*VLOOKUP($A47,EnrollData2324,'2324 Jun 24 Enroll'!S$1,FALSE),2)</f>
        <v>921.43</v>
      </c>
      <c r="AF47" s="6">
        <f>ROUND($Z47*CLS_Inc_Salary2324*VLOOKUP($A47,EnrollData2324,'2324 Jun 24 Enroll'!T$1,FALSE),2)-AE47</f>
        <v>34.080000000000041</v>
      </c>
      <c r="AG47">
        <f t="shared" si="9"/>
        <v>734.16</v>
      </c>
      <c r="AH47" s="69">
        <f t="shared" si="23"/>
        <v>68.700000000000045</v>
      </c>
      <c r="AI47">
        <f t="shared" si="11"/>
        <v>214.23</v>
      </c>
      <c r="AJ47">
        <f t="shared" si="24"/>
        <v>114.21000000000001</v>
      </c>
      <c r="AK47">
        <f t="shared" si="25"/>
        <v>817.35</v>
      </c>
      <c r="AL47">
        <f t="shared" si="26"/>
        <v>29.17</v>
      </c>
      <c r="AM47">
        <f t="shared" si="27"/>
        <v>203.27</v>
      </c>
      <c r="AN47">
        <f t="shared" si="28"/>
        <v>6.33</v>
      </c>
      <c r="AO47">
        <f>ROUND(($J47*CIS_Inc_Salary2324*(VLOOKUP($A47,EnrollData2324,'2324 Jun 24 Enroll'!T$1,FALSE)+VLOOKUP($A47,EnrollData2324,'2324 Jun 24 Enroll'!U$1,FALSE))/Apport_613Xpd)*Apport_614Xpd,2)</f>
        <v>70.849999999999994</v>
      </c>
      <c r="AP47">
        <f t="shared" si="29"/>
        <v>12.28</v>
      </c>
      <c r="AQ47">
        <f t="shared" si="32"/>
        <v>30.93</v>
      </c>
      <c r="AR47" s="6">
        <f>ROUND((VLOOKUP($A47,EnrollData2324,'2324 Jun 24 Enroll'!D$1,FALSE)*Apport_M802324+VLOOKUP($A47,EnrollData2324,'2324 Jun 24 Enroll'!M$1,FALSE)*Apport_M802324+(VLOOKUP($A47,EnrollData2324,'2324 Jun 24 Enroll'!P$1,FALSE)+VLOOKUP($A47,EnrollData2324,'2324 Jun 24 Enroll'!Q$1,FALSE)+VLOOKUP($A47,EnrollData2324,'2324 Jun 24 Enroll'!R$1,FALSE)+VLOOKUP($A47,EnrollData2324,'2324 Jun 24 Enroll'!I$1,FALSE)+VLOOKUP($A47,EnrollData2324,'2324 Jun 24 Enroll'!N$1,FALSE)+VLOOKUP($A47,EnrollData2324,'2324 Jun 24 Enroll'!O$1,FALSE)+VLOOKUP($A47,EnrollData2324,'2324 Jun 24 Enroll'!K$1,FALSE)+VLOOKUP($A47,EnrollData2324,'2324 Jun 24 Enroll'!L$1,FALSE))*Apport_M812324)/(VLOOKUP($A47,EnrollData2324,'2324 Jun 24 Enroll'!M$1,FALSE)+VLOOKUP($A47,EnrollData2324,'2324 Jun 24 Enroll'!D$1,FALSE)),2)</f>
        <v>1559.42</v>
      </c>
      <c r="AS47" s="7">
        <f t="shared" si="33"/>
        <v>9533.130000000001</v>
      </c>
    </row>
    <row r="48" spans="1:46">
      <c r="A48" s="40" t="s">
        <v>572</v>
      </c>
      <c r="B48" s="40" t="s">
        <v>573</v>
      </c>
      <c r="C48" s="11">
        <f>ROUND((IFERROR((1/IF(VLOOKUP($A48,EnrollData2324,28,FALSE)='District Calculations'!$B$10,VLOOKUP($A48,EnrollData2324,28,FALSE),'District Calculations'!$B$10))*(1+Apport_Z315),0))+Apport_201A2324,6)</f>
        <v>7.3449E-2</v>
      </c>
      <c r="D48">
        <f>ROUND(IF(VLOOKUP($A48,EnrollData2324,'2324 Jun 24 Enroll'!D$1,FALSE)='District Calculations'!$B$11,VLOOKUP($A48,EnrollData2324,'2324 Jun 24 Enroll'!D$1,FALSE),'District Calculations'!$B$11)*C48,3)</f>
        <v>0</v>
      </c>
      <c r="E48">
        <f>ROUND(IF(VLOOKUP($A48,EnrollData2324,'2324 Jun 24 Enroll'!E$1,FALSE)='District Calculations'!$B$12,VLOOKUP($A48,EnrollData2324,'2324 Jun 24 Enroll'!E$1,FALSE),'District Calculations'!$B$12)*C48,3)</f>
        <v>59.53</v>
      </c>
      <c r="F48">
        <f>ROUND(IF(VLOOKUP($A48,EnrollData2324,'2324 Jun 24 Enroll'!F$1,FALSE)='District Calculations'!$B$13,VLOOKUP($A48,EnrollData2324,'2324 Jun 24 Enroll'!F$1,FALSE),'District Calculations'!$B$13)*Apport_222A2324,3)</f>
        <v>10.101000000000001</v>
      </c>
      <c r="G48">
        <f>ROUND(IF(VLOOKUP($A48,EnrollData2324,'2324 Jun 24 Enroll'!G$1,FALSE)='District Calculations'!$B$14,VLOOKUP($A48,EnrollData2324,'2324 Jun 24 Enroll'!G$1,FALSE),'District Calculations'!$B$14)*Apport_210A2324,3)</f>
        <v>22.395</v>
      </c>
      <c r="H48">
        <f>ROUND(IF(VLOOKUP($A48,EnrollData2324,'2324 Jun 24 Enroll'!H$1,FALSE)='District Calculations'!$B$15,VLOOKUP($A48,EnrollData2324,'2324 Jun 24 Enroll'!H$1,FALSE),'District Calculations'!$B$15)*Apport_213A2324,3)</f>
        <v>23.091999999999999</v>
      </c>
      <c r="I48">
        <f>ROUND(IF(VLOOKUP($A48,EnrollData2324,'2324 Jun 24 Enroll'!I$1,FALSE)+VLOOKUP($A48,EnrollData2324,'2324 Jun 24 Enroll'!M$1,FALSE)-VLOOKUP($A48,EnrollData2324,'2324 Jun 24 Enroll'!J$1,FALSE)='District Calculations'!$B$16+'District Calculations'!$B$25-'District Calculations'!$B$17,VLOOKUP($A48,EnrollData2324,'2324 Jun 24 Enroll'!I$1,FALSE)+VLOOKUP($A48,EnrollData2324,'2324 Jun 24 Enroll'!M$1,FALSE)-VLOOKUP($A48,EnrollData2324,'2324 Jun 24 Enroll'!J$1,FALSE),'District Calculations'!$B$16+'District Calculations'!$B$25-'District Calculations'!$B$17)*Apport_216A2324,3)</f>
        <v>58.183999999999997</v>
      </c>
      <c r="J48">
        <f>ROUND(SUM(D48:I48)/(IF(VLOOKUP($A48,EnrollData2324,'2324 Jun 24 Enroll'!M$1,FALSE)='District Calculations'!$B$25,VLOOKUP($A48,EnrollData2324,'2324 Jun 24 Enroll'!M$1,FALSE),'District Calculations'!$B$25)+IF(VLOOKUP($A48,EnrollData2324,'2324 Jun 24 Enroll'!D$1,FALSE)='District Calculations'!$B$11,VLOOKUP($A48,EnrollData2324,'2324 Jun 24 Enroll'!D$1,FALSE),'District Calculations'!$B$11)),5)</f>
        <v>5.5530000000000003E-2</v>
      </c>
      <c r="K48" s="11">
        <f>ROUND(((($C48+Apport_203A2324+Apport_202A2324)*Apport_557X)*Apport_558X)+Apport_202A2324,6)</f>
        <v>4.365E-3</v>
      </c>
      <c r="L48">
        <f>ROUND(IF(VLOOKUP($A48,EnrollData2324,'2324 Jun 24 Enroll'!D$1,FALSE)='District Calculations'!$B$11,VLOOKUP($A48,EnrollData2324,'2324 Jun 24 Enroll'!D$1,FALSE),'District Calculations'!$B$11)*K48,3)</f>
        <v>0</v>
      </c>
      <c r="M48">
        <f>ROUND(IF(VLOOKUP($A48,EnrollData2324,'2324 Jun 24 Enroll'!E$1,FALSE)='District Calculations'!$B$12,VLOOKUP($A48,EnrollData2324,'2324 Jun 24 Enroll'!E$1,FALSE),'District Calculations'!$B$12)*K48,3)</f>
        <v>3.5379999999999998</v>
      </c>
      <c r="N48">
        <f>ROUND(IF(VLOOKUP($A48,EnrollData2324,'2324 Jun 24 Enroll'!F$1,FALSE)='District Calculations'!$B$13,VLOOKUP($A48,EnrollData2324,'2324 Jun 24 Enroll'!F$1,FALSE),'District Calculations'!$B$13)*Apport_223A2324,3)</f>
        <v>0.84199999999999997</v>
      </c>
      <c r="O48">
        <f>ROUND(IF(VLOOKUP($A48,EnrollData2324,'2324 Jun 24 Enroll'!G$1,FALSE)='District Calculations'!$B$14,VLOOKUP($A48,EnrollData2324,'2324 Jun 24 Enroll'!G$1,FALSE),'District Calculations'!$B$14)*Apport_211A2324,3)</f>
        <v>1.867</v>
      </c>
      <c r="P48">
        <f>ROUND(IF(VLOOKUP($A48,EnrollData2324,'2324 Jun 24 Enroll'!H$1,FALSE)='District Calculations'!$B$14,VLOOKUP($A48,EnrollData2324,'2324 Jun 24 Enroll'!H$1,FALSE),'District Calculations'!$B$14)*Apport_214A2324,3)</f>
        <v>1.8660000000000001</v>
      </c>
      <c r="Q48">
        <f>ROUND(IF(VLOOKUP($A48,EnrollData2324,'2324 Jun 24 Enroll'!I$1,FALSE)+VLOOKUP($A48,EnrollData2324,'2324 Jun 24 Enroll'!M$1,FALSE)-VLOOKUP($A48,EnrollData2324,'2324 Jun 24 Enroll'!J$1,FALSE)='District Calculations'!$B$16+'District Calculations'!$B$25-'District Calculations'!$B$17,VLOOKUP($A48,EnrollData2324,'2324 Jun 24 Enroll'!I$1,FALSE)+VLOOKUP($A48,EnrollData2324,'2324 Jun 24 Enroll'!M$1,FALSE)-VLOOKUP($A48,EnrollData2324,'2324 Jun 24 Enroll'!J$1,FALSE),'District Calculations'!$B$16+'District Calculations'!$B$25-'District Calculations'!$B$17)*Apport_217A2324,3)</f>
        <v>4.6980000000000004</v>
      </c>
      <c r="R48">
        <f>ROUND(SUM(L48:Q48)/IF(VLOOKUP($A48,EnrollData2324,'2324 Jun 24 Enroll'!M$1,FALSE)+VLOOKUP($A48,EnrollData2324,'2324 Jun 24 Enroll'!D$1,FALSE)='District Calculations'!$B$25+'District Calculations'!$B$11,VLOOKUP($A48,EnrollData2324,'2324 Jun 24 Enroll'!M$1,FALSE)+VLOOKUP($A48,EnrollData2324,'2324 Jun 24 Enroll'!D$1,FALSE),'District Calculations'!$B$25+'District Calculations'!$B$11),5)</f>
        <v>4.1000000000000003E-3</v>
      </c>
      <c r="S48" s="11">
        <f>ROUND(((($C48+Apport_203A2324+Apport_202A2324)*Apport_557X)*Apport_559X)+Apport_203A2324,7)</f>
        <v>1.8294500000000002E-2</v>
      </c>
      <c r="T48">
        <f>ROUND(IF(VLOOKUP($A48,EnrollData2324,'2324 Jun 24 Enroll'!D$1,FALSE)='District Calculations'!$B$11,VLOOKUP($A48,EnrollData2324,'2324 Jun 24 Enroll'!D$1,FALSE),'District Calculations'!$B$11)*S48,3)</f>
        <v>0</v>
      </c>
      <c r="U48">
        <f>ROUND(IF(VLOOKUP($A48,EnrollData2324,'2324 Jun 24 Enroll'!E$1,FALSE)='District Calculations'!$B$12,VLOOKUP($A48,EnrollData2324,'2324 Jun 24 Enroll'!E$1,FALSE),'District Calculations'!$B$12)*S48,3)</f>
        <v>14.827999999999999</v>
      </c>
      <c r="V48">
        <f>ROUND(IF(VLOOKUP($A48,EnrollData2324,'2324 Jun 24 Enroll'!F$1,FALSE)='District Calculations'!$B$13,VLOOKUP($A48,EnrollData2324,'2324 Jun 24 Enroll'!F$1,FALSE),'District Calculations'!$B$13)*Apport_224A2324,3)</f>
        <v>3.6190000000000002</v>
      </c>
      <c r="W48">
        <f>ROUND(IF(VLOOKUP($A48,EnrollData2324,'2324 Jun 24 Enroll'!G$1,FALSE)='District Calculations'!$B$14,VLOOKUP($A48,EnrollData2324,'2324 Jun 24 Enroll'!G$1,FALSE),'District Calculations'!$B$14)*Apport_212A2324,3)</f>
        <v>8.0239999999999991</v>
      </c>
      <c r="X48">
        <f>ROUND(IF(VLOOKUP($A48,EnrollData2324,'2324 Jun 24 Enroll'!H$1,FALSE)='District Calculations'!$B$14,VLOOKUP($A48,EnrollData2324,'2324 Jun 24 Enroll'!H$1,FALSE),'District Calculations'!$B$14)*Apport_215A2324,3)</f>
        <v>7.9279999999999999</v>
      </c>
      <c r="Y48">
        <f>ROUND(IF(VLOOKUP($A48,EnrollData2324,'2324 Jun 24 Enroll'!I$1,FALSE)+VLOOKUP($A48,EnrollData2324,'2324 Jun 24 Enroll'!M$1,FALSE)-VLOOKUP($A48,EnrollData2324,'2324 Jun 24 Enroll'!J$1,FALSE)='District Calculations'!$B$16+'District Calculations'!$B$25-'District Calculations'!$B$17,VLOOKUP($A48,EnrollData2324,'2324 Jun 24 Enroll'!I$1,FALSE)+VLOOKUP($A48,EnrollData2324,'2324 Jun 24 Enroll'!M$1,FALSE)-VLOOKUP($A48,EnrollData2324,'2324 Jun 24 Enroll'!J$1,FALSE),'District Calculations'!$B$16+'District Calculations'!$B$25-'District Calculations'!$B$17)*Apport_218A2324,3)</f>
        <v>19.917999999999999</v>
      </c>
      <c r="Z48">
        <f>ROUND(SUM(T48:Y48)/IF(VLOOKUP($A48,EnrollData2324,'2324 Jun 24 Enroll'!M$1,FALSE)+VLOOKUP($A48,EnrollData2324,'2324 Jun 24 Enroll'!D$1,FALSE)='District Calculations'!$B$25+'District Calculations'!$B$11,VLOOKUP($A48,EnrollData2324,'2324 Jun 24 Enroll'!M$1,FALSE)+VLOOKUP($A48,EnrollData2324,'2324 Jun 24 Enroll'!D$1,FALSE),'District Calculations'!$B$25+'District Calculations'!$B$11),5)</f>
        <v>1.7399999999999999E-2</v>
      </c>
      <c r="AA48" s="6">
        <f>ROUND($J48*CIS_Base_Salary2324*VLOOKUP($A48,EnrollData2324,'2324 Jun 24 Enroll'!S$1,FALSE),2)</f>
        <v>4038.59</v>
      </c>
      <c r="AB48" s="6">
        <f>ROUND($J48*CIS_Inc_Salary2324*(VLOOKUP($A48,EnrollData2324,'2324 Jun 24 Enroll'!T$1,FALSE)+VLOOKUP($A48,EnrollData2324,'2324 Jun 24 Enroll'!U$1,FALSE)),2)-AA48</f>
        <v>149.43000000000029</v>
      </c>
      <c r="AC48" s="6">
        <f>ROUND($R48*CAS_Base_Salary2324*VLOOKUP($A48,EnrollData2324,'2324 Jun 24 Enroll'!S$1,FALSE),2)</f>
        <v>442.62</v>
      </c>
      <c r="AD48" s="6">
        <f>ROUND($R48*CAS_Inc_Salary2324*VLOOKUP($A48,EnrollData2324,'2324 Jun 24 Enroll'!T$1,FALSE),2)-AC48</f>
        <v>16.379999999999995</v>
      </c>
      <c r="AE48" s="6">
        <f>ROUND($Z48*CLS_Base_Salary2324*VLOOKUP($A48,EnrollData2324,'2324 Jun 24 Enroll'!S$1,FALSE),2)</f>
        <v>907.81</v>
      </c>
      <c r="AF48" s="6">
        <f>ROUND($Z48*CLS_Inc_Salary2324*VLOOKUP($A48,EnrollData2324,'2324 Jun 24 Enroll'!T$1,FALSE),2)-AE48</f>
        <v>33.580000000000041</v>
      </c>
      <c r="AG48">
        <f>ROUND(($J48+$R48)*Apport_124X2324,2)</f>
        <v>734.16</v>
      </c>
      <c r="AH48" s="69">
        <f>ROUND(($J48+$R48)*Apport_621X2324*Apport_125XC2324,2)-AG48</f>
        <v>68.700000000000045</v>
      </c>
      <c r="AI48">
        <f>ROUND($Z48*Apport_124X2324,2)</f>
        <v>214.23</v>
      </c>
      <c r="AJ48">
        <f>ROUND($Z48*Apport_621X2324*Apport_125X2324,2)-AI48</f>
        <v>114.21000000000001</v>
      </c>
      <c r="AK48">
        <f>ROUND((AA48+AC48)*Apport_126X2324,2)</f>
        <v>805.27</v>
      </c>
      <c r="AL48">
        <f>ROUND((AB48+AD48)*Apport_127X2324,2)</f>
        <v>28.73</v>
      </c>
      <c r="AM48">
        <f>ROUND(AE48*Apport_128X2324,2)</f>
        <v>200.26</v>
      </c>
      <c r="AN48">
        <f>ROUND(AF48*Apport_129X2324,2)</f>
        <v>6.23</v>
      </c>
      <c r="AO48">
        <f>ROUND(($J48*CIS_Inc_Salary2324*(VLOOKUP($A48,EnrollData2324,'2324 Jun 24 Enroll'!T$1,FALSE)+VLOOKUP($A48,EnrollData2324,'2324 Jun 24 Enroll'!U$1,FALSE))/Apport_613Xpd)*Apport_614Xpd,2)</f>
        <v>69.8</v>
      </c>
      <c r="AP48">
        <f>ROUND(AO48*Apport_127X2324,2)</f>
        <v>12.1</v>
      </c>
      <c r="AQ48">
        <f>ROUND((J48*Apport_581X)*(Apport_116X*Apport_132X),2)</f>
        <v>30.93</v>
      </c>
      <c r="AR48" s="6">
        <f>ROUND((VLOOKUP($A48,EnrollData2324,'2324 Jun 24 Enroll'!D$1,FALSE)*Apport_M802324+VLOOKUP($A48,EnrollData2324,'2324 Jun 24 Enroll'!M$1,FALSE)*Apport_M802324+(VLOOKUP($A48,EnrollData2324,'2324 Jun 24 Enroll'!P$1,FALSE)+VLOOKUP($A48,EnrollData2324,'2324 Jun 24 Enroll'!Q$1,FALSE)+VLOOKUP($A48,EnrollData2324,'2324 Jun 24 Enroll'!R$1,FALSE)+VLOOKUP($A48,EnrollData2324,'2324 Jun 24 Enroll'!I$1,FALSE)+VLOOKUP($A48,EnrollData2324,'2324 Jun 24 Enroll'!N$1,FALSE)+VLOOKUP($A48,EnrollData2324,'2324 Jun 24 Enroll'!O$1,FALSE)+VLOOKUP($A48,EnrollData2324,'2324 Jun 24 Enroll'!K$1,FALSE)+VLOOKUP($A48,EnrollData2324,'2324 Jun 24 Enroll'!L$1,FALSE))*Apport_M812324)/(VLOOKUP($A48,EnrollData2324,'2324 Jun 24 Enroll'!M$1,FALSE)+VLOOKUP($A48,EnrollData2324,'2324 Jun 24 Enroll'!D$1,FALSE)),2)</f>
        <v>1555.67</v>
      </c>
      <c r="AS48" s="7">
        <f>SUM(AA48:AR48)</f>
        <v>9428.7000000000007</v>
      </c>
      <c r="AT48" s="6"/>
    </row>
    <row r="49" spans="1:46">
      <c r="A49" s="40" t="s">
        <v>793</v>
      </c>
      <c r="B49" s="40" t="s">
        <v>794</v>
      </c>
      <c r="C49" s="11">
        <f>ROUND((IFERROR((1/IF(VLOOKUP($A49,EnrollData2324,28,FALSE)='District Calculations'!$B$10,VLOOKUP($A49,EnrollData2324,28,FALSE),'District Calculations'!$B$10))*(1+Apport_Z315),0))+Apport_201A2324,6)</f>
        <v>7.3449E-2</v>
      </c>
      <c r="D49">
        <f>ROUND(IF(VLOOKUP($A49,EnrollData2324,'2324 Jun 24 Enroll'!D$1,FALSE)='District Calculations'!$B$11,VLOOKUP($A49,EnrollData2324,'2324 Jun 24 Enroll'!D$1,FALSE),'District Calculations'!$B$11)*C49,3)</f>
        <v>0</v>
      </c>
      <c r="E49">
        <f>ROUND(IF(VLOOKUP($A49,EnrollData2324,'2324 Jun 24 Enroll'!E$1,FALSE)='District Calculations'!$B$12,VLOOKUP($A49,EnrollData2324,'2324 Jun 24 Enroll'!E$1,FALSE),'District Calculations'!$B$12)*C49,3)</f>
        <v>59.53</v>
      </c>
      <c r="F49">
        <f>ROUND(IF(VLOOKUP($A49,EnrollData2324,'2324 Jun 24 Enroll'!F$1,FALSE)='District Calculations'!$B$13,VLOOKUP($A49,EnrollData2324,'2324 Jun 24 Enroll'!F$1,FALSE),'District Calculations'!$B$13)*Apport_222A2324,3)</f>
        <v>10.101000000000001</v>
      </c>
      <c r="G49">
        <f>ROUND(IF(VLOOKUP($A49,EnrollData2324,'2324 Jun 24 Enroll'!G$1,FALSE)='District Calculations'!$B$14,VLOOKUP($A49,EnrollData2324,'2324 Jun 24 Enroll'!G$1,FALSE),'District Calculations'!$B$14)*Apport_210A2324,3)</f>
        <v>22.395</v>
      </c>
      <c r="H49">
        <f>ROUND(IF(VLOOKUP($A49,EnrollData2324,'2324 Jun 24 Enroll'!H$1,FALSE)='District Calculations'!$B$15,VLOOKUP($A49,EnrollData2324,'2324 Jun 24 Enroll'!H$1,FALSE),'District Calculations'!$B$15)*Apport_213A2324,3)</f>
        <v>23.091999999999999</v>
      </c>
      <c r="I49">
        <f>ROUND(IF(VLOOKUP($A49,EnrollData2324,'2324 Jun 24 Enroll'!I$1,FALSE)+VLOOKUP($A49,EnrollData2324,'2324 Jun 24 Enroll'!M$1,FALSE)-VLOOKUP($A49,EnrollData2324,'2324 Jun 24 Enroll'!J$1,FALSE)='District Calculations'!$B$16+'District Calculations'!$B$25-'District Calculations'!$B$17,VLOOKUP($A49,EnrollData2324,'2324 Jun 24 Enroll'!I$1,FALSE)+VLOOKUP($A49,EnrollData2324,'2324 Jun 24 Enroll'!M$1,FALSE)-VLOOKUP($A49,EnrollData2324,'2324 Jun 24 Enroll'!J$1,FALSE),'District Calculations'!$B$16+'District Calculations'!$B$25-'District Calculations'!$B$17)*Apport_216A2324,3)</f>
        <v>58.183999999999997</v>
      </c>
      <c r="J49">
        <f>ROUND(SUM(D49:I49)/(IF(VLOOKUP($A49,EnrollData2324,'2324 Jun 24 Enroll'!M$1,FALSE)='District Calculations'!$B$25,VLOOKUP($A49,EnrollData2324,'2324 Jun 24 Enroll'!M$1,FALSE),'District Calculations'!$B$25)+IF(VLOOKUP($A49,EnrollData2324,'2324 Jun 24 Enroll'!D$1,FALSE)='District Calculations'!$B$11,VLOOKUP($A49,EnrollData2324,'2324 Jun 24 Enroll'!D$1,FALSE),'District Calculations'!$B$11)),5)</f>
        <v>5.5530000000000003E-2</v>
      </c>
      <c r="K49" s="11">
        <f t="shared" si="21"/>
        <v>4.365E-3</v>
      </c>
      <c r="L49">
        <f>ROUND(IF(VLOOKUP($A49,EnrollData2324,'2324 Jun 24 Enroll'!D$1,FALSE)='District Calculations'!$B$11,VLOOKUP($A49,EnrollData2324,'2324 Jun 24 Enroll'!D$1,FALSE),'District Calculations'!$B$11)*K49,3)</f>
        <v>0</v>
      </c>
      <c r="M49">
        <f>ROUND(IF(VLOOKUP($A49,EnrollData2324,'2324 Jun 24 Enroll'!E$1,FALSE)='District Calculations'!$B$12,VLOOKUP($A49,EnrollData2324,'2324 Jun 24 Enroll'!E$1,FALSE),'District Calculations'!$B$12)*K49,3)</f>
        <v>3.5379999999999998</v>
      </c>
      <c r="N49">
        <f>ROUND(IF(VLOOKUP($A49,EnrollData2324,'2324 Jun 24 Enroll'!F$1,FALSE)='District Calculations'!$B$13,VLOOKUP($A49,EnrollData2324,'2324 Jun 24 Enroll'!F$1,FALSE),'District Calculations'!$B$13)*Apport_223A2324,3)</f>
        <v>0.84199999999999997</v>
      </c>
      <c r="O49">
        <f>ROUND(IF(VLOOKUP($A49,EnrollData2324,'2324 Jun 24 Enroll'!G$1,FALSE)='District Calculations'!$B$14,VLOOKUP($A49,EnrollData2324,'2324 Jun 24 Enroll'!G$1,FALSE),'District Calculations'!$B$14)*Apport_211A2324,3)</f>
        <v>1.867</v>
      </c>
      <c r="P49">
        <f>ROUND(IF(VLOOKUP($A49,EnrollData2324,'2324 Jun 24 Enroll'!H$1,FALSE)='District Calculations'!$B$14,VLOOKUP($A49,EnrollData2324,'2324 Jun 24 Enroll'!H$1,FALSE),'District Calculations'!$B$14)*Apport_214A2324,3)</f>
        <v>1.8660000000000001</v>
      </c>
      <c r="Q49">
        <f>ROUND(IF(VLOOKUP($A49,EnrollData2324,'2324 Jun 24 Enroll'!I$1,FALSE)+VLOOKUP($A49,EnrollData2324,'2324 Jun 24 Enroll'!M$1,FALSE)-VLOOKUP($A49,EnrollData2324,'2324 Jun 24 Enroll'!J$1,FALSE)='District Calculations'!$B$16+'District Calculations'!$B$25-'District Calculations'!$B$17,VLOOKUP($A49,EnrollData2324,'2324 Jun 24 Enroll'!I$1,FALSE)+VLOOKUP($A49,EnrollData2324,'2324 Jun 24 Enroll'!M$1,FALSE)-VLOOKUP($A49,EnrollData2324,'2324 Jun 24 Enroll'!J$1,FALSE),'District Calculations'!$B$16+'District Calculations'!$B$25-'District Calculations'!$B$17)*Apport_217A2324,3)</f>
        <v>4.6980000000000004</v>
      </c>
      <c r="R49">
        <f>ROUND(SUM(L49:Q49)/IF(VLOOKUP($A49,EnrollData2324,'2324 Jun 24 Enroll'!M$1,FALSE)+VLOOKUP($A49,EnrollData2324,'2324 Jun 24 Enroll'!D$1,FALSE)='District Calculations'!$B$25+'District Calculations'!$B$11,VLOOKUP($A49,EnrollData2324,'2324 Jun 24 Enroll'!M$1,FALSE)+VLOOKUP($A49,EnrollData2324,'2324 Jun 24 Enroll'!D$1,FALSE),'District Calculations'!$B$25+'District Calculations'!$B$11),5)</f>
        <v>4.1000000000000003E-3</v>
      </c>
      <c r="S49" s="11">
        <f t="shared" si="22"/>
        <v>1.8294500000000002E-2</v>
      </c>
      <c r="T49">
        <f>ROUND(IF(VLOOKUP($A49,EnrollData2324,'2324 Jun 24 Enroll'!D$1,FALSE)='District Calculations'!$B$11,VLOOKUP($A49,EnrollData2324,'2324 Jun 24 Enroll'!D$1,FALSE),'District Calculations'!$B$11)*S49,3)</f>
        <v>0</v>
      </c>
      <c r="U49">
        <f>ROUND(IF(VLOOKUP($A49,EnrollData2324,'2324 Jun 24 Enroll'!E$1,FALSE)='District Calculations'!$B$12,VLOOKUP($A49,EnrollData2324,'2324 Jun 24 Enroll'!E$1,FALSE),'District Calculations'!$B$12)*S49,3)</f>
        <v>14.827999999999999</v>
      </c>
      <c r="V49">
        <f>ROUND(IF(VLOOKUP($A49,EnrollData2324,'2324 Jun 24 Enroll'!F$1,FALSE)='District Calculations'!$B$13,VLOOKUP($A49,EnrollData2324,'2324 Jun 24 Enroll'!F$1,FALSE),'District Calculations'!$B$13)*Apport_224A2324,3)</f>
        <v>3.6190000000000002</v>
      </c>
      <c r="W49">
        <f>ROUND(IF(VLOOKUP($A49,EnrollData2324,'2324 Jun 24 Enroll'!G$1,FALSE)='District Calculations'!$B$14,VLOOKUP($A49,EnrollData2324,'2324 Jun 24 Enroll'!G$1,FALSE),'District Calculations'!$B$14)*Apport_212A2324,3)</f>
        <v>8.0239999999999991</v>
      </c>
      <c r="X49">
        <f>ROUND(IF(VLOOKUP($A49,EnrollData2324,'2324 Jun 24 Enroll'!H$1,FALSE)='District Calculations'!$B$14,VLOOKUP($A49,EnrollData2324,'2324 Jun 24 Enroll'!H$1,FALSE),'District Calculations'!$B$14)*Apport_215A2324,3)</f>
        <v>7.9279999999999999</v>
      </c>
      <c r="Y49">
        <f>ROUND(IF(VLOOKUP($A49,EnrollData2324,'2324 Jun 24 Enroll'!I$1,FALSE)+VLOOKUP($A49,EnrollData2324,'2324 Jun 24 Enroll'!M$1,FALSE)-VLOOKUP($A49,EnrollData2324,'2324 Jun 24 Enroll'!J$1,FALSE)='District Calculations'!$B$16+'District Calculations'!$B$25-'District Calculations'!$B$17,VLOOKUP($A49,EnrollData2324,'2324 Jun 24 Enroll'!I$1,FALSE)+VLOOKUP($A49,EnrollData2324,'2324 Jun 24 Enroll'!M$1,FALSE)-VLOOKUP($A49,EnrollData2324,'2324 Jun 24 Enroll'!J$1,FALSE),'District Calculations'!$B$16+'District Calculations'!$B$25-'District Calculations'!$B$17)*Apport_218A2324,3)</f>
        <v>19.917999999999999</v>
      </c>
      <c r="Z49">
        <f>ROUND(SUM(T49:Y49)/IF(VLOOKUP($A49,EnrollData2324,'2324 Jun 24 Enroll'!M$1,FALSE)+VLOOKUP($A49,EnrollData2324,'2324 Jun 24 Enroll'!D$1,FALSE)='District Calculations'!$B$25+'District Calculations'!$B$11,VLOOKUP($A49,EnrollData2324,'2324 Jun 24 Enroll'!M$1,FALSE)+VLOOKUP($A49,EnrollData2324,'2324 Jun 24 Enroll'!D$1,FALSE),'District Calculations'!$B$25+'District Calculations'!$B$11),5)</f>
        <v>1.7399999999999999E-2</v>
      </c>
      <c r="AA49" s="6">
        <f>ROUND($J49*CIS_Base_Salary2324*VLOOKUP($A49,EnrollData2324,'2324 Jun 24 Enroll'!S$1,FALSE),2)</f>
        <v>4099.16</v>
      </c>
      <c r="AB49" s="6">
        <f>ROUND($J49*CIS_Inc_Salary2324*(VLOOKUP($A49,EnrollData2324,'2324 Jun 24 Enroll'!T$1,FALSE)+VLOOKUP($A49,EnrollData2324,'2324 Jun 24 Enroll'!U$1,FALSE)),2)-AA49</f>
        <v>151.68000000000029</v>
      </c>
      <c r="AC49" s="6">
        <f>ROUND($R49*CAS_Base_Salary2324*VLOOKUP($A49,EnrollData2324,'2324 Jun 24 Enroll'!S$1,FALSE),2)</f>
        <v>449.25</v>
      </c>
      <c r="AD49" s="6">
        <f>ROUND($R49*CAS_Inc_Salary2324*VLOOKUP($A49,EnrollData2324,'2324 Jun 24 Enroll'!T$1,FALSE),2)-AC49</f>
        <v>16.629999999999995</v>
      </c>
      <c r="AE49" s="6">
        <f>ROUND($Z49*CLS_Base_Salary2324*VLOOKUP($A49,EnrollData2324,'2324 Jun 24 Enroll'!S$1,FALSE),2)</f>
        <v>921.43</v>
      </c>
      <c r="AF49" s="6">
        <f>ROUND($Z49*CLS_Inc_Salary2324*VLOOKUP($A49,EnrollData2324,'2324 Jun 24 Enroll'!T$1,FALSE),2)-AE49</f>
        <v>34.080000000000041</v>
      </c>
      <c r="AG49">
        <f t="shared" si="9"/>
        <v>734.16</v>
      </c>
      <c r="AH49" s="69">
        <f t="shared" si="23"/>
        <v>68.700000000000045</v>
      </c>
      <c r="AI49">
        <f t="shared" si="11"/>
        <v>214.23</v>
      </c>
      <c r="AJ49">
        <f t="shared" si="24"/>
        <v>114.21000000000001</v>
      </c>
      <c r="AK49">
        <f t="shared" si="25"/>
        <v>817.35</v>
      </c>
      <c r="AL49">
        <f t="shared" si="26"/>
        <v>29.17</v>
      </c>
      <c r="AM49">
        <f t="shared" si="27"/>
        <v>203.27</v>
      </c>
      <c r="AN49">
        <f t="shared" si="28"/>
        <v>6.33</v>
      </c>
      <c r="AO49">
        <f>ROUND(($J49*CIS_Inc_Salary2324*(VLOOKUP($A49,EnrollData2324,'2324 Jun 24 Enroll'!T$1,FALSE)+VLOOKUP($A49,EnrollData2324,'2324 Jun 24 Enroll'!U$1,FALSE))/Apport_613Xpd)*Apport_614Xpd,2)</f>
        <v>70.849999999999994</v>
      </c>
      <c r="AP49">
        <f t="shared" si="29"/>
        <v>12.28</v>
      </c>
      <c r="AQ49">
        <f t="shared" si="32"/>
        <v>30.93</v>
      </c>
      <c r="AR49" s="6">
        <f>ROUND((VLOOKUP($A49,EnrollData2324,'2324 Jun 24 Enroll'!D$1,FALSE)*Apport_M802324+VLOOKUP($A49,EnrollData2324,'2324 Jun 24 Enroll'!M$1,FALSE)*Apport_M802324+(VLOOKUP($A49,EnrollData2324,'2324 Jun 24 Enroll'!P$1,FALSE)+VLOOKUP($A49,EnrollData2324,'2324 Jun 24 Enroll'!Q$1,FALSE)+VLOOKUP($A49,EnrollData2324,'2324 Jun 24 Enroll'!R$1,FALSE)+VLOOKUP($A49,EnrollData2324,'2324 Jun 24 Enroll'!I$1,FALSE)+VLOOKUP($A49,EnrollData2324,'2324 Jun 24 Enroll'!N$1,FALSE)+VLOOKUP($A49,EnrollData2324,'2324 Jun 24 Enroll'!O$1,FALSE)+VLOOKUP($A49,EnrollData2324,'2324 Jun 24 Enroll'!K$1,FALSE)+VLOOKUP($A49,EnrollData2324,'2324 Jun 24 Enroll'!L$1,FALSE))*Apport_M812324)/(VLOOKUP($A49,EnrollData2324,'2324 Jun 24 Enroll'!M$1,FALSE)+VLOOKUP($A49,EnrollData2324,'2324 Jun 24 Enroll'!D$1,FALSE)),2)</f>
        <v>1483.44</v>
      </c>
      <c r="AS49" s="7">
        <f t="shared" si="33"/>
        <v>9457.1500000000015</v>
      </c>
    </row>
    <row r="50" spans="1:46">
      <c r="A50" s="40" t="s">
        <v>450</v>
      </c>
      <c r="B50" s="40" t="s">
        <v>451</v>
      </c>
      <c r="C50" s="11">
        <f>ROUND((IFERROR((1/IF(VLOOKUP($A50,EnrollData2324,28,FALSE)='District Calculations'!$B$10,VLOOKUP($A50,EnrollData2324,28,FALSE),'District Calculations'!$B$10))*(1+Apport_Z315),0))+Apport_201A2324,6)</f>
        <v>7.3449E-2</v>
      </c>
      <c r="D50">
        <f>ROUND(IF(VLOOKUP($A50,EnrollData2324,'2324 Jun 24 Enroll'!D$1,FALSE)='District Calculations'!$B$11,VLOOKUP($A50,EnrollData2324,'2324 Jun 24 Enroll'!D$1,FALSE),'District Calculations'!$B$11)*C50,3)</f>
        <v>0</v>
      </c>
      <c r="E50">
        <f>ROUND(IF(VLOOKUP($A50,EnrollData2324,'2324 Jun 24 Enroll'!E$1,FALSE)='District Calculations'!$B$12,VLOOKUP($A50,EnrollData2324,'2324 Jun 24 Enroll'!E$1,FALSE),'District Calculations'!$B$12)*C50,3)</f>
        <v>59.53</v>
      </c>
      <c r="F50">
        <f>ROUND(IF(VLOOKUP($A50,EnrollData2324,'2324 Jun 24 Enroll'!F$1,FALSE)='District Calculations'!$B$13,VLOOKUP($A50,EnrollData2324,'2324 Jun 24 Enroll'!F$1,FALSE),'District Calculations'!$B$13)*Apport_222A2324,3)</f>
        <v>10.101000000000001</v>
      </c>
      <c r="G50">
        <f>ROUND(IF(VLOOKUP($A50,EnrollData2324,'2324 Jun 24 Enroll'!G$1,FALSE)='District Calculations'!$B$14,VLOOKUP($A50,EnrollData2324,'2324 Jun 24 Enroll'!G$1,FALSE),'District Calculations'!$B$14)*Apport_210A2324,3)</f>
        <v>22.395</v>
      </c>
      <c r="H50">
        <f>ROUND(IF(VLOOKUP($A50,EnrollData2324,'2324 Jun 24 Enroll'!H$1,FALSE)='District Calculations'!$B$15,VLOOKUP($A50,EnrollData2324,'2324 Jun 24 Enroll'!H$1,FALSE),'District Calculations'!$B$15)*Apport_213A2324,3)</f>
        <v>23.091999999999999</v>
      </c>
      <c r="I50">
        <f>ROUND(IF(VLOOKUP($A50,EnrollData2324,'2324 Jun 24 Enroll'!I$1,FALSE)+VLOOKUP($A50,EnrollData2324,'2324 Jun 24 Enroll'!M$1,FALSE)-VLOOKUP($A50,EnrollData2324,'2324 Jun 24 Enroll'!J$1,FALSE)='District Calculations'!$B$16+'District Calculations'!$B$25-'District Calculations'!$B$17,VLOOKUP($A50,EnrollData2324,'2324 Jun 24 Enroll'!I$1,FALSE)+VLOOKUP($A50,EnrollData2324,'2324 Jun 24 Enroll'!M$1,FALSE)-VLOOKUP($A50,EnrollData2324,'2324 Jun 24 Enroll'!J$1,FALSE),'District Calculations'!$B$16+'District Calculations'!$B$25-'District Calculations'!$B$17)*Apport_216A2324,3)</f>
        <v>58.183999999999997</v>
      </c>
      <c r="J50">
        <f>ROUND(SUM(D50:I50)/(IF(VLOOKUP($A50,EnrollData2324,'2324 Jun 24 Enroll'!M$1,FALSE)='District Calculations'!$B$25,VLOOKUP($A50,EnrollData2324,'2324 Jun 24 Enroll'!M$1,FALSE),'District Calculations'!$B$25)+IF(VLOOKUP($A50,EnrollData2324,'2324 Jun 24 Enroll'!D$1,FALSE)='District Calculations'!$B$11,VLOOKUP($A50,EnrollData2324,'2324 Jun 24 Enroll'!D$1,FALSE),'District Calculations'!$B$11)),5)</f>
        <v>5.5530000000000003E-2</v>
      </c>
      <c r="K50" s="11">
        <f>ROUND(((($C50+Apport_203A2324+Apport_202A2324)*Apport_557X)*Apport_558X)+Apport_202A2324,6)</f>
        <v>4.365E-3</v>
      </c>
      <c r="L50">
        <f>ROUND(IF(VLOOKUP($A50,EnrollData2324,'2324 Jun 24 Enroll'!D$1,FALSE)='District Calculations'!$B$11,VLOOKUP($A50,EnrollData2324,'2324 Jun 24 Enroll'!D$1,FALSE),'District Calculations'!$B$11)*K50,3)</f>
        <v>0</v>
      </c>
      <c r="M50">
        <f>ROUND(IF(VLOOKUP($A50,EnrollData2324,'2324 Jun 24 Enroll'!E$1,FALSE)='District Calculations'!$B$12,VLOOKUP($A50,EnrollData2324,'2324 Jun 24 Enroll'!E$1,FALSE),'District Calculations'!$B$12)*K50,3)</f>
        <v>3.5379999999999998</v>
      </c>
      <c r="N50">
        <f>ROUND(IF(VLOOKUP($A50,EnrollData2324,'2324 Jun 24 Enroll'!F$1,FALSE)='District Calculations'!$B$13,VLOOKUP($A50,EnrollData2324,'2324 Jun 24 Enroll'!F$1,FALSE),'District Calculations'!$B$13)*Apport_223A2324,3)</f>
        <v>0.84199999999999997</v>
      </c>
      <c r="O50">
        <f>ROUND(IF(VLOOKUP($A50,EnrollData2324,'2324 Jun 24 Enroll'!G$1,FALSE)='District Calculations'!$B$14,VLOOKUP($A50,EnrollData2324,'2324 Jun 24 Enroll'!G$1,FALSE),'District Calculations'!$B$14)*Apport_211A2324,3)</f>
        <v>1.867</v>
      </c>
      <c r="P50">
        <f>ROUND(IF(VLOOKUP($A50,EnrollData2324,'2324 Jun 24 Enroll'!H$1,FALSE)='District Calculations'!$B$14,VLOOKUP($A50,EnrollData2324,'2324 Jun 24 Enroll'!H$1,FALSE),'District Calculations'!$B$14)*Apport_214A2324,3)</f>
        <v>1.8660000000000001</v>
      </c>
      <c r="Q50">
        <f>ROUND(IF(VLOOKUP($A50,EnrollData2324,'2324 Jun 24 Enroll'!I$1,FALSE)+VLOOKUP($A50,EnrollData2324,'2324 Jun 24 Enroll'!M$1,FALSE)-VLOOKUP($A50,EnrollData2324,'2324 Jun 24 Enroll'!J$1,FALSE)='District Calculations'!$B$16+'District Calculations'!$B$25-'District Calculations'!$B$17,VLOOKUP($A50,EnrollData2324,'2324 Jun 24 Enroll'!I$1,FALSE)+VLOOKUP($A50,EnrollData2324,'2324 Jun 24 Enroll'!M$1,FALSE)-VLOOKUP($A50,EnrollData2324,'2324 Jun 24 Enroll'!J$1,FALSE),'District Calculations'!$B$16+'District Calculations'!$B$25-'District Calculations'!$B$17)*Apport_217A2324,3)</f>
        <v>4.6980000000000004</v>
      </c>
      <c r="R50">
        <f>ROUND(SUM(L50:Q50)/IF(VLOOKUP($A50,EnrollData2324,'2324 Jun 24 Enroll'!M$1,FALSE)+VLOOKUP($A50,EnrollData2324,'2324 Jun 24 Enroll'!D$1,FALSE)='District Calculations'!$B$25+'District Calculations'!$B$11,VLOOKUP($A50,EnrollData2324,'2324 Jun 24 Enroll'!M$1,FALSE)+VLOOKUP($A50,EnrollData2324,'2324 Jun 24 Enroll'!D$1,FALSE),'District Calculations'!$B$25+'District Calculations'!$B$11),5)</f>
        <v>4.1000000000000003E-3</v>
      </c>
      <c r="S50" s="11">
        <f>ROUND(((($C50+Apport_203A2324+Apport_202A2324)*Apport_557X)*Apport_559X)+Apport_203A2324,7)</f>
        <v>1.8294500000000002E-2</v>
      </c>
      <c r="T50">
        <f>ROUND(IF(VLOOKUP($A50,EnrollData2324,'2324 Jun 24 Enroll'!D$1,FALSE)='District Calculations'!$B$11,VLOOKUP($A50,EnrollData2324,'2324 Jun 24 Enroll'!D$1,FALSE),'District Calculations'!$B$11)*S50,3)</f>
        <v>0</v>
      </c>
      <c r="U50">
        <f>ROUND(IF(VLOOKUP($A50,EnrollData2324,'2324 Jun 24 Enroll'!E$1,FALSE)='District Calculations'!$B$12,VLOOKUP($A50,EnrollData2324,'2324 Jun 24 Enroll'!E$1,FALSE),'District Calculations'!$B$12)*S50,3)</f>
        <v>14.827999999999999</v>
      </c>
      <c r="V50">
        <f>ROUND(IF(VLOOKUP($A50,EnrollData2324,'2324 Jun 24 Enroll'!F$1,FALSE)='District Calculations'!$B$13,VLOOKUP($A50,EnrollData2324,'2324 Jun 24 Enroll'!F$1,FALSE),'District Calculations'!$B$13)*Apport_224A2324,3)</f>
        <v>3.6190000000000002</v>
      </c>
      <c r="W50">
        <f>ROUND(IF(VLOOKUP($A50,EnrollData2324,'2324 Jun 24 Enroll'!G$1,FALSE)='District Calculations'!$B$14,VLOOKUP($A50,EnrollData2324,'2324 Jun 24 Enroll'!G$1,FALSE),'District Calculations'!$B$14)*Apport_212A2324,3)</f>
        <v>8.0239999999999991</v>
      </c>
      <c r="X50">
        <f>ROUND(IF(VLOOKUP($A50,EnrollData2324,'2324 Jun 24 Enroll'!H$1,FALSE)='District Calculations'!$B$14,VLOOKUP($A50,EnrollData2324,'2324 Jun 24 Enroll'!H$1,FALSE),'District Calculations'!$B$14)*Apport_215A2324,3)</f>
        <v>7.9279999999999999</v>
      </c>
      <c r="Y50">
        <f>ROUND(IF(VLOOKUP($A50,EnrollData2324,'2324 Jun 24 Enroll'!I$1,FALSE)+VLOOKUP($A50,EnrollData2324,'2324 Jun 24 Enroll'!M$1,FALSE)-VLOOKUP($A50,EnrollData2324,'2324 Jun 24 Enroll'!J$1,FALSE)='District Calculations'!$B$16+'District Calculations'!$B$25-'District Calculations'!$B$17,VLOOKUP($A50,EnrollData2324,'2324 Jun 24 Enroll'!I$1,FALSE)+VLOOKUP($A50,EnrollData2324,'2324 Jun 24 Enroll'!M$1,FALSE)-VLOOKUP($A50,EnrollData2324,'2324 Jun 24 Enroll'!J$1,FALSE),'District Calculations'!$B$16+'District Calculations'!$B$25-'District Calculations'!$B$17)*Apport_218A2324,3)</f>
        <v>19.917999999999999</v>
      </c>
      <c r="Z50">
        <f>ROUND(SUM(T50:Y50)/IF(VLOOKUP($A50,EnrollData2324,'2324 Jun 24 Enroll'!M$1,FALSE)+VLOOKUP($A50,EnrollData2324,'2324 Jun 24 Enroll'!D$1,FALSE)='District Calculations'!$B$25+'District Calculations'!$B$11,VLOOKUP($A50,EnrollData2324,'2324 Jun 24 Enroll'!M$1,FALSE)+VLOOKUP($A50,EnrollData2324,'2324 Jun 24 Enroll'!D$1,FALSE),'District Calculations'!$B$25+'District Calculations'!$B$11),5)</f>
        <v>1.7399999999999999E-2</v>
      </c>
      <c r="AA50" s="6">
        <f>ROUND($J50*CIS_Base_Salary2324*VLOOKUP($A50,EnrollData2324,'2324 Jun 24 Enroll'!S$1,FALSE),2)</f>
        <v>4038.59</v>
      </c>
      <c r="AB50" s="6">
        <f>ROUND($J50*CIS_Inc_Salary2324*(VLOOKUP($A50,EnrollData2324,'2324 Jun 24 Enroll'!T$1,FALSE)+VLOOKUP($A50,EnrollData2324,'2324 Jun 24 Enroll'!U$1,FALSE)),2)-AA50</f>
        <v>316.94999999999982</v>
      </c>
      <c r="AC50" s="6">
        <f>ROUND($R50*CAS_Base_Salary2324*VLOOKUP($A50,EnrollData2324,'2324 Jun 24 Enroll'!S$1,FALSE),2)</f>
        <v>442.62</v>
      </c>
      <c r="AD50" s="6">
        <f>ROUND($R50*CAS_Inc_Salary2324*VLOOKUP($A50,EnrollData2324,'2324 Jun 24 Enroll'!T$1,FALSE),2)-AC50</f>
        <v>16.379999999999995</v>
      </c>
      <c r="AE50" s="6">
        <f>ROUND($Z50*CLS_Base_Salary2324*VLOOKUP($A50,EnrollData2324,'2324 Jun 24 Enroll'!S$1,FALSE),2)</f>
        <v>907.81</v>
      </c>
      <c r="AF50" s="6">
        <f>ROUND($Z50*CLS_Inc_Salary2324*VLOOKUP($A50,EnrollData2324,'2324 Jun 24 Enroll'!T$1,FALSE),2)-AE50</f>
        <v>33.580000000000041</v>
      </c>
      <c r="AG50">
        <f>ROUND(($J50+$R50)*Apport_124X2324,2)</f>
        <v>734.16</v>
      </c>
      <c r="AH50" s="69">
        <f>ROUND(($J50+$R50)*Apport_621X2324*Apport_125XC2324,2)-AG50</f>
        <v>68.700000000000045</v>
      </c>
      <c r="AI50">
        <f>ROUND($Z50*Apport_124X2324,2)</f>
        <v>214.23</v>
      </c>
      <c r="AJ50">
        <f>ROUND($Z50*Apport_621X2324*Apport_125X2324,2)-AI50</f>
        <v>114.21000000000001</v>
      </c>
      <c r="AK50">
        <f>ROUND((AA50+AC50)*Apport_126X2324,2)</f>
        <v>805.27</v>
      </c>
      <c r="AL50">
        <f>ROUND((AB50+AD50)*Apport_127X2324,2)</f>
        <v>57.77</v>
      </c>
      <c r="AM50">
        <f>ROUND(AE50*Apport_128X2324,2)</f>
        <v>200.26</v>
      </c>
      <c r="AN50">
        <f>ROUND(AF50*Apport_129X2324,2)</f>
        <v>6.23</v>
      </c>
      <c r="AO50">
        <f>ROUND(($J50*CIS_Inc_Salary2324*(VLOOKUP($A50,EnrollData2324,'2324 Jun 24 Enroll'!T$1,FALSE)+VLOOKUP($A50,EnrollData2324,'2324 Jun 24 Enroll'!U$1,FALSE))/Apport_613Xpd)*Apport_614Xpd,2)</f>
        <v>72.59</v>
      </c>
      <c r="AP50">
        <f>ROUND(AO50*Apport_127X2324,2)</f>
        <v>12.58</v>
      </c>
      <c r="AQ50">
        <f>ROUND((J50*Apport_581X)*(Apport_116X*Apport_132X),2)</f>
        <v>30.93</v>
      </c>
      <c r="AR50" s="6">
        <f>ROUND((VLOOKUP($A50,EnrollData2324,'2324 Jun 24 Enroll'!D$1,FALSE)*Apport_M802324+VLOOKUP($A50,EnrollData2324,'2324 Jun 24 Enroll'!M$1,FALSE)*Apport_M802324+(VLOOKUP($A50,EnrollData2324,'2324 Jun 24 Enroll'!P$1,FALSE)+VLOOKUP($A50,EnrollData2324,'2324 Jun 24 Enroll'!Q$1,FALSE)+VLOOKUP($A50,EnrollData2324,'2324 Jun 24 Enroll'!R$1,FALSE)+VLOOKUP($A50,EnrollData2324,'2324 Jun 24 Enroll'!I$1,FALSE)+VLOOKUP($A50,EnrollData2324,'2324 Jun 24 Enroll'!N$1,FALSE)+VLOOKUP($A50,EnrollData2324,'2324 Jun 24 Enroll'!O$1,FALSE)+VLOOKUP($A50,EnrollData2324,'2324 Jun 24 Enroll'!K$1,FALSE)+VLOOKUP($A50,EnrollData2324,'2324 Jun 24 Enroll'!L$1,FALSE))*Apport_M812324)/(VLOOKUP($A50,EnrollData2324,'2324 Jun 24 Enroll'!M$1,FALSE)+VLOOKUP($A50,EnrollData2324,'2324 Jun 24 Enroll'!D$1,FALSE)),2)</f>
        <v>1531.9</v>
      </c>
      <c r="AS50" s="7">
        <f>SUM(AA50:AR50)</f>
        <v>9604.76</v>
      </c>
      <c r="AT50" s="6"/>
    </row>
    <row r="51" spans="1:46">
      <c r="A51" s="40" t="s">
        <v>542</v>
      </c>
      <c r="B51" s="40" t="s">
        <v>543</v>
      </c>
      <c r="C51" s="11">
        <f>ROUND((IFERROR((1/IF(VLOOKUP($A51,EnrollData2324,28,FALSE)='District Calculations'!$B$10,VLOOKUP($A51,EnrollData2324,28,FALSE),'District Calculations'!$B$10))*(1+Apport_Z315),0))+Apport_201A2324,6)</f>
        <v>7.3449E-2</v>
      </c>
      <c r="D51">
        <f>ROUND(IF(VLOOKUP($A51,EnrollData2324,'2324 Jun 24 Enroll'!D$1,FALSE)='District Calculations'!$B$11,VLOOKUP($A51,EnrollData2324,'2324 Jun 24 Enroll'!D$1,FALSE),'District Calculations'!$B$11)*C51,3)</f>
        <v>0</v>
      </c>
      <c r="E51">
        <f>ROUND(IF(VLOOKUP($A51,EnrollData2324,'2324 Jun 24 Enroll'!E$1,FALSE)='District Calculations'!$B$12,VLOOKUP($A51,EnrollData2324,'2324 Jun 24 Enroll'!E$1,FALSE),'District Calculations'!$B$12)*C51,3)</f>
        <v>59.53</v>
      </c>
      <c r="F51">
        <f>ROUND(IF(VLOOKUP($A51,EnrollData2324,'2324 Jun 24 Enroll'!F$1,FALSE)='District Calculations'!$B$13,VLOOKUP($A51,EnrollData2324,'2324 Jun 24 Enroll'!F$1,FALSE),'District Calculations'!$B$13)*Apport_222A2324,3)</f>
        <v>10.101000000000001</v>
      </c>
      <c r="G51">
        <f>ROUND(IF(VLOOKUP($A51,EnrollData2324,'2324 Jun 24 Enroll'!G$1,FALSE)='District Calculations'!$B$14,VLOOKUP($A51,EnrollData2324,'2324 Jun 24 Enroll'!G$1,FALSE),'District Calculations'!$B$14)*Apport_210A2324,3)</f>
        <v>22.395</v>
      </c>
      <c r="H51">
        <f>ROUND(IF(VLOOKUP($A51,EnrollData2324,'2324 Jun 24 Enroll'!H$1,FALSE)='District Calculations'!$B$15,VLOOKUP($A51,EnrollData2324,'2324 Jun 24 Enroll'!H$1,FALSE),'District Calculations'!$B$15)*Apport_213A2324,3)</f>
        <v>23.091999999999999</v>
      </c>
      <c r="I51">
        <f>ROUND(IF(VLOOKUP($A51,EnrollData2324,'2324 Jun 24 Enroll'!I$1,FALSE)+VLOOKUP($A51,EnrollData2324,'2324 Jun 24 Enroll'!M$1,FALSE)-VLOOKUP($A51,EnrollData2324,'2324 Jun 24 Enroll'!J$1,FALSE)='District Calculations'!$B$16+'District Calculations'!$B$25-'District Calculations'!$B$17,VLOOKUP($A51,EnrollData2324,'2324 Jun 24 Enroll'!I$1,FALSE)+VLOOKUP($A51,EnrollData2324,'2324 Jun 24 Enroll'!M$1,FALSE)-VLOOKUP($A51,EnrollData2324,'2324 Jun 24 Enroll'!J$1,FALSE),'District Calculations'!$B$16+'District Calculations'!$B$25-'District Calculations'!$B$17)*Apport_216A2324,3)</f>
        <v>58.183999999999997</v>
      </c>
      <c r="J51">
        <f>ROUND(SUM(D51:I51)/(IF(VLOOKUP($A51,EnrollData2324,'2324 Jun 24 Enroll'!M$1,FALSE)='District Calculations'!$B$25,VLOOKUP($A51,EnrollData2324,'2324 Jun 24 Enroll'!M$1,FALSE),'District Calculations'!$B$25)+IF(VLOOKUP($A51,EnrollData2324,'2324 Jun 24 Enroll'!D$1,FALSE)='District Calculations'!$B$11,VLOOKUP($A51,EnrollData2324,'2324 Jun 24 Enroll'!D$1,FALSE),'District Calculations'!$B$11)),5)</f>
        <v>5.5530000000000003E-2</v>
      </c>
      <c r="K51" s="11">
        <f t="shared" si="21"/>
        <v>4.365E-3</v>
      </c>
      <c r="L51">
        <f>ROUND(IF(VLOOKUP($A51,EnrollData2324,'2324 Jun 24 Enroll'!D$1,FALSE)='District Calculations'!$B$11,VLOOKUP($A51,EnrollData2324,'2324 Jun 24 Enroll'!D$1,FALSE),'District Calculations'!$B$11)*K51,3)</f>
        <v>0</v>
      </c>
      <c r="M51">
        <f>ROUND(IF(VLOOKUP($A51,EnrollData2324,'2324 Jun 24 Enroll'!E$1,FALSE)='District Calculations'!$B$12,VLOOKUP($A51,EnrollData2324,'2324 Jun 24 Enroll'!E$1,FALSE),'District Calculations'!$B$12)*K51,3)</f>
        <v>3.5379999999999998</v>
      </c>
      <c r="N51">
        <f>ROUND(IF(VLOOKUP($A51,EnrollData2324,'2324 Jun 24 Enroll'!F$1,FALSE)='District Calculations'!$B$13,VLOOKUP($A51,EnrollData2324,'2324 Jun 24 Enroll'!F$1,FALSE),'District Calculations'!$B$13)*Apport_223A2324,3)</f>
        <v>0.84199999999999997</v>
      </c>
      <c r="O51">
        <f>ROUND(IF(VLOOKUP($A51,EnrollData2324,'2324 Jun 24 Enroll'!G$1,FALSE)='District Calculations'!$B$14,VLOOKUP($A51,EnrollData2324,'2324 Jun 24 Enroll'!G$1,FALSE),'District Calculations'!$B$14)*Apport_211A2324,3)</f>
        <v>1.867</v>
      </c>
      <c r="P51">
        <f>ROUND(IF(VLOOKUP($A51,EnrollData2324,'2324 Jun 24 Enroll'!H$1,FALSE)='District Calculations'!$B$14,VLOOKUP($A51,EnrollData2324,'2324 Jun 24 Enroll'!H$1,FALSE),'District Calculations'!$B$14)*Apport_214A2324,3)</f>
        <v>1.8660000000000001</v>
      </c>
      <c r="Q51">
        <f>ROUND(IF(VLOOKUP($A51,EnrollData2324,'2324 Jun 24 Enroll'!I$1,FALSE)+VLOOKUP($A51,EnrollData2324,'2324 Jun 24 Enroll'!M$1,FALSE)-VLOOKUP($A51,EnrollData2324,'2324 Jun 24 Enroll'!J$1,FALSE)='District Calculations'!$B$16+'District Calculations'!$B$25-'District Calculations'!$B$17,VLOOKUP($A51,EnrollData2324,'2324 Jun 24 Enroll'!I$1,FALSE)+VLOOKUP($A51,EnrollData2324,'2324 Jun 24 Enroll'!M$1,FALSE)-VLOOKUP($A51,EnrollData2324,'2324 Jun 24 Enroll'!J$1,FALSE),'District Calculations'!$B$16+'District Calculations'!$B$25-'District Calculations'!$B$17)*Apport_217A2324,3)</f>
        <v>4.6980000000000004</v>
      </c>
      <c r="R51">
        <f>ROUND(SUM(L51:Q51)/IF(VLOOKUP($A51,EnrollData2324,'2324 Jun 24 Enroll'!M$1,FALSE)+VLOOKUP($A51,EnrollData2324,'2324 Jun 24 Enroll'!D$1,FALSE)='District Calculations'!$B$25+'District Calculations'!$B$11,VLOOKUP($A51,EnrollData2324,'2324 Jun 24 Enroll'!M$1,FALSE)+VLOOKUP($A51,EnrollData2324,'2324 Jun 24 Enroll'!D$1,FALSE),'District Calculations'!$B$25+'District Calculations'!$B$11),5)</f>
        <v>4.1000000000000003E-3</v>
      </c>
      <c r="S51" s="11">
        <f t="shared" si="22"/>
        <v>1.8294500000000002E-2</v>
      </c>
      <c r="T51">
        <f>ROUND(IF(VLOOKUP($A51,EnrollData2324,'2324 Jun 24 Enroll'!D$1,FALSE)='District Calculations'!$B$11,VLOOKUP($A51,EnrollData2324,'2324 Jun 24 Enroll'!D$1,FALSE),'District Calculations'!$B$11)*S51,3)</f>
        <v>0</v>
      </c>
      <c r="U51">
        <f>ROUND(IF(VLOOKUP($A51,EnrollData2324,'2324 Jun 24 Enroll'!E$1,FALSE)='District Calculations'!$B$12,VLOOKUP($A51,EnrollData2324,'2324 Jun 24 Enroll'!E$1,FALSE),'District Calculations'!$B$12)*S51,3)</f>
        <v>14.827999999999999</v>
      </c>
      <c r="V51">
        <f>ROUND(IF(VLOOKUP($A51,EnrollData2324,'2324 Jun 24 Enroll'!F$1,FALSE)='District Calculations'!$B$13,VLOOKUP($A51,EnrollData2324,'2324 Jun 24 Enroll'!F$1,FALSE),'District Calculations'!$B$13)*Apport_224A2324,3)</f>
        <v>3.6190000000000002</v>
      </c>
      <c r="W51">
        <f>ROUND(IF(VLOOKUP($A51,EnrollData2324,'2324 Jun 24 Enroll'!G$1,FALSE)='District Calculations'!$B$14,VLOOKUP($A51,EnrollData2324,'2324 Jun 24 Enroll'!G$1,FALSE),'District Calculations'!$B$14)*Apport_212A2324,3)</f>
        <v>8.0239999999999991</v>
      </c>
      <c r="X51">
        <f>ROUND(IF(VLOOKUP($A51,EnrollData2324,'2324 Jun 24 Enroll'!H$1,FALSE)='District Calculations'!$B$14,VLOOKUP($A51,EnrollData2324,'2324 Jun 24 Enroll'!H$1,FALSE),'District Calculations'!$B$14)*Apport_215A2324,3)</f>
        <v>7.9279999999999999</v>
      </c>
      <c r="Y51">
        <f>ROUND(IF(VLOOKUP($A51,EnrollData2324,'2324 Jun 24 Enroll'!I$1,FALSE)+VLOOKUP($A51,EnrollData2324,'2324 Jun 24 Enroll'!M$1,FALSE)-VLOOKUP($A51,EnrollData2324,'2324 Jun 24 Enroll'!J$1,FALSE)='District Calculations'!$B$16+'District Calculations'!$B$25-'District Calculations'!$B$17,VLOOKUP($A51,EnrollData2324,'2324 Jun 24 Enroll'!I$1,FALSE)+VLOOKUP($A51,EnrollData2324,'2324 Jun 24 Enroll'!M$1,FALSE)-VLOOKUP($A51,EnrollData2324,'2324 Jun 24 Enroll'!J$1,FALSE),'District Calculations'!$B$16+'District Calculations'!$B$25-'District Calculations'!$B$17)*Apport_218A2324,3)</f>
        <v>19.917999999999999</v>
      </c>
      <c r="Z51">
        <f>ROUND(SUM(T51:Y51)/IF(VLOOKUP($A51,EnrollData2324,'2324 Jun 24 Enroll'!M$1,FALSE)+VLOOKUP($A51,EnrollData2324,'2324 Jun 24 Enroll'!D$1,FALSE)='District Calculations'!$B$25+'District Calculations'!$B$11,VLOOKUP($A51,EnrollData2324,'2324 Jun 24 Enroll'!M$1,FALSE)+VLOOKUP($A51,EnrollData2324,'2324 Jun 24 Enroll'!D$1,FALSE),'District Calculations'!$B$25+'District Calculations'!$B$11),5)</f>
        <v>1.7399999999999999E-2</v>
      </c>
      <c r="AA51" s="6">
        <f>ROUND($J51*CIS_Base_Salary2324*VLOOKUP($A51,EnrollData2324,'2324 Jun 24 Enroll'!S$1,FALSE),2)</f>
        <v>4038.59</v>
      </c>
      <c r="AB51" s="6">
        <f>ROUND($J51*CIS_Inc_Salary2324*(VLOOKUP($A51,EnrollData2324,'2324 Jun 24 Enroll'!T$1,FALSE)+VLOOKUP($A51,EnrollData2324,'2324 Jun 24 Enroll'!U$1,FALSE)),2)-AA51</f>
        <v>149.43000000000029</v>
      </c>
      <c r="AC51" s="6">
        <f>ROUND($R51*CAS_Base_Salary2324*VLOOKUP($A51,EnrollData2324,'2324 Jun 24 Enroll'!S$1,FALSE),2)</f>
        <v>442.62</v>
      </c>
      <c r="AD51" s="6">
        <f>ROUND($R51*CAS_Inc_Salary2324*VLOOKUP($A51,EnrollData2324,'2324 Jun 24 Enroll'!T$1,FALSE),2)-AC51</f>
        <v>16.379999999999995</v>
      </c>
      <c r="AE51" s="6">
        <f>ROUND($Z51*CLS_Base_Salary2324*VLOOKUP($A51,EnrollData2324,'2324 Jun 24 Enroll'!S$1,FALSE),2)</f>
        <v>907.81</v>
      </c>
      <c r="AF51" s="6">
        <f>ROUND($Z51*CLS_Inc_Salary2324*VLOOKUP($A51,EnrollData2324,'2324 Jun 24 Enroll'!T$1,FALSE),2)-AE51</f>
        <v>33.580000000000041</v>
      </c>
      <c r="AG51">
        <f t="shared" si="9"/>
        <v>734.16</v>
      </c>
      <c r="AH51" s="69">
        <f t="shared" si="23"/>
        <v>68.700000000000045</v>
      </c>
      <c r="AI51">
        <f t="shared" si="11"/>
        <v>214.23</v>
      </c>
      <c r="AJ51">
        <f t="shared" si="24"/>
        <v>114.21000000000001</v>
      </c>
      <c r="AK51">
        <f t="shared" si="25"/>
        <v>805.27</v>
      </c>
      <c r="AL51">
        <f t="shared" si="26"/>
        <v>28.73</v>
      </c>
      <c r="AM51">
        <f t="shared" si="27"/>
        <v>200.26</v>
      </c>
      <c r="AN51">
        <f t="shared" si="28"/>
        <v>6.23</v>
      </c>
      <c r="AO51">
        <f>ROUND(($J51*CIS_Inc_Salary2324*(VLOOKUP($A51,EnrollData2324,'2324 Jun 24 Enroll'!T$1,FALSE)+VLOOKUP($A51,EnrollData2324,'2324 Jun 24 Enroll'!U$1,FALSE))/Apport_613Xpd)*Apport_614Xpd,2)</f>
        <v>69.8</v>
      </c>
      <c r="AP51">
        <f t="shared" si="29"/>
        <v>12.1</v>
      </c>
      <c r="AQ51">
        <f t="shared" si="32"/>
        <v>30.93</v>
      </c>
      <c r="AR51" s="6">
        <f>ROUND((VLOOKUP($A51,EnrollData2324,'2324 Jun 24 Enroll'!D$1,FALSE)*Apport_M802324+VLOOKUP($A51,EnrollData2324,'2324 Jun 24 Enroll'!M$1,FALSE)*Apport_M802324+(VLOOKUP($A51,EnrollData2324,'2324 Jun 24 Enroll'!P$1,FALSE)+VLOOKUP($A51,EnrollData2324,'2324 Jun 24 Enroll'!Q$1,FALSE)+VLOOKUP($A51,EnrollData2324,'2324 Jun 24 Enroll'!R$1,FALSE)+VLOOKUP($A51,EnrollData2324,'2324 Jun 24 Enroll'!I$1,FALSE)+VLOOKUP($A51,EnrollData2324,'2324 Jun 24 Enroll'!N$1,FALSE)+VLOOKUP($A51,EnrollData2324,'2324 Jun 24 Enroll'!O$1,FALSE)+VLOOKUP($A51,EnrollData2324,'2324 Jun 24 Enroll'!K$1,FALSE)+VLOOKUP($A51,EnrollData2324,'2324 Jun 24 Enroll'!L$1,FALSE))*Apport_M812324)/(VLOOKUP($A51,EnrollData2324,'2324 Jun 24 Enroll'!M$1,FALSE)+VLOOKUP($A51,EnrollData2324,'2324 Jun 24 Enroll'!D$1,FALSE)),2)</f>
        <v>1560.4</v>
      </c>
      <c r="AS51" s="7">
        <f t="shared" si="33"/>
        <v>9433.43</v>
      </c>
    </row>
    <row r="52" spans="1:46">
      <c r="A52" s="40" t="s">
        <v>365</v>
      </c>
      <c r="B52" s="40" t="s">
        <v>1007</v>
      </c>
      <c r="C52" s="11">
        <f>ROUND((IFERROR((1/IF(VLOOKUP($A52,EnrollData2324,28,FALSE)='District Calculations'!$B$10,VLOOKUP($A52,EnrollData2324,28,FALSE),'District Calculations'!$B$10))*(1+Apport_Z315),0))+Apport_201A2324,6)</f>
        <v>7.3449E-2</v>
      </c>
      <c r="D52">
        <f>ROUND(IF(VLOOKUP($A52,EnrollData2324,'2324 Jun 24 Enroll'!D$1,FALSE)='District Calculations'!$B$11,VLOOKUP($A52,EnrollData2324,'2324 Jun 24 Enroll'!D$1,FALSE),'District Calculations'!$B$11)*C52,3)</f>
        <v>0</v>
      </c>
      <c r="E52">
        <f>ROUND(IF(VLOOKUP($A52,EnrollData2324,'2324 Jun 24 Enroll'!E$1,FALSE)='District Calculations'!$B$12,VLOOKUP($A52,EnrollData2324,'2324 Jun 24 Enroll'!E$1,FALSE),'District Calculations'!$B$12)*C52,3)</f>
        <v>59.53</v>
      </c>
      <c r="F52">
        <f>ROUND(IF(VLOOKUP($A52,EnrollData2324,'2324 Jun 24 Enroll'!F$1,FALSE)='District Calculations'!$B$13,VLOOKUP($A52,EnrollData2324,'2324 Jun 24 Enroll'!F$1,FALSE),'District Calculations'!$B$13)*Apport_222A2324,3)</f>
        <v>10.101000000000001</v>
      </c>
      <c r="G52">
        <f>ROUND(IF(VLOOKUP($A52,EnrollData2324,'2324 Jun 24 Enroll'!G$1,FALSE)='District Calculations'!$B$14,VLOOKUP($A52,EnrollData2324,'2324 Jun 24 Enroll'!G$1,FALSE),'District Calculations'!$B$14)*Apport_210A2324,3)</f>
        <v>22.395</v>
      </c>
      <c r="H52">
        <f>ROUND(IF(VLOOKUP($A52,EnrollData2324,'2324 Jun 24 Enroll'!H$1,FALSE)='District Calculations'!$B$15,VLOOKUP($A52,EnrollData2324,'2324 Jun 24 Enroll'!H$1,FALSE),'District Calculations'!$B$15)*Apport_213A2324,3)</f>
        <v>23.091999999999999</v>
      </c>
      <c r="I52">
        <f>ROUND(IF(VLOOKUP($A52,EnrollData2324,'2324 Jun 24 Enroll'!I$1,FALSE)+VLOOKUP($A52,EnrollData2324,'2324 Jun 24 Enroll'!M$1,FALSE)-VLOOKUP($A52,EnrollData2324,'2324 Jun 24 Enroll'!J$1,FALSE)='District Calculations'!$B$16+'District Calculations'!$B$25-'District Calculations'!$B$17,VLOOKUP($A52,EnrollData2324,'2324 Jun 24 Enroll'!I$1,FALSE)+VLOOKUP($A52,EnrollData2324,'2324 Jun 24 Enroll'!M$1,FALSE)-VLOOKUP($A52,EnrollData2324,'2324 Jun 24 Enroll'!J$1,FALSE),'District Calculations'!$B$16+'District Calculations'!$B$25-'District Calculations'!$B$17)*Apport_216A2324,3)</f>
        <v>58.183999999999997</v>
      </c>
      <c r="J52">
        <f>ROUND(SUM(D52:I52)/(IF(VLOOKUP($A52,EnrollData2324,'2324 Jun 24 Enroll'!M$1,FALSE)='District Calculations'!$B$25,VLOOKUP($A52,EnrollData2324,'2324 Jun 24 Enroll'!M$1,FALSE),'District Calculations'!$B$25)+IF(VLOOKUP($A52,EnrollData2324,'2324 Jun 24 Enroll'!D$1,FALSE)='District Calculations'!$B$11,VLOOKUP($A52,EnrollData2324,'2324 Jun 24 Enroll'!D$1,FALSE),'District Calculations'!$B$11)),5)</f>
        <v>5.5530000000000003E-2</v>
      </c>
      <c r="K52" s="11">
        <f t="shared" si="21"/>
        <v>4.365E-3</v>
      </c>
      <c r="L52">
        <f>ROUND(IF(VLOOKUP($A52,EnrollData2324,'2324 Jun 24 Enroll'!D$1,FALSE)='District Calculations'!$B$11,VLOOKUP($A52,EnrollData2324,'2324 Jun 24 Enroll'!D$1,FALSE),'District Calculations'!$B$11)*K52,3)</f>
        <v>0</v>
      </c>
      <c r="M52">
        <f>ROUND(IF(VLOOKUP($A52,EnrollData2324,'2324 Jun 24 Enroll'!E$1,FALSE)='District Calculations'!$B$12,VLOOKUP($A52,EnrollData2324,'2324 Jun 24 Enroll'!E$1,FALSE),'District Calculations'!$B$12)*K52,3)</f>
        <v>3.5379999999999998</v>
      </c>
      <c r="N52">
        <f>ROUND(IF(VLOOKUP($A52,EnrollData2324,'2324 Jun 24 Enroll'!F$1,FALSE)='District Calculations'!$B$13,VLOOKUP($A52,EnrollData2324,'2324 Jun 24 Enroll'!F$1,FALSE),'District Calculations'!$B$13)*Apport_223A2324,3)</f>
        <v>0.84199999999999997</v>
      </c>
      <c r="O52">
        <f>ROUND(IF(VLOOKUP($A52,EnrollData2324,'2324 Jun 24 Enroll'!G$1,FALSE)='District Calculations'!$B$14,VLOOKUP($A52,EnrollData2324,'2324 Jun 24 Enroll'!G$1,FALSE),'District Calculations'!$B$14)*Apport_211A2324,3)</f>
        <v>1.867</v>
      </c>
      <c r="P52">
        <f>ROUND(IF(VLOOKUP($A52,EnrollData2324,'2324 Jun 24 Enroll'!H$1,FALSE)='District Calculations'!$B$14,VLOOKUP($A52,EnrollData2324,'2324 Jun 24 Enroll'!H$1,FALSE),'District Calculations'!$B$14)*Apport_214A2324,3)</f>
        <v>1.8660000000000001</v>
      </c>
      <c r="Q52">
        <f>ROUND(IF(VLOOKUP($A52,EnrollData2324,'2324 Jun 24 Enroll'!I$1,FALSE)+VLOOKUP($A52,EnrollData2324,'2324 Jun 24 Enroll'!M$1,FALSE)-VLOOKUP($A52,EnrollData2324,'2324 Jun 24 Enroll'!J$1,FALSE)='District Calculations'!$B$16+'District Calculations'!$B$25-'District Calculations'!$B$17,VLOOKUP($A52,EnrollData2324,'2324 Jun 24 Enroll'!I$1,FALSE)+VLOOKUP($A52,EnrollData2324,'2324 Jun 24 Enroll'!M$1,FALSE)-VLOOKUP($A52,EnrollData2324,'2324 Jun 24 Enroll'!J$1,FALSE),'District Calculations'!$B$16+'District Calculations'!$B$25-'District Calculations'!$B$17)*Apport_217A2324,3)</f>
        <v>4.6980000000000004</v>
      </c>
      <c r="R52">
        <f>ROUND(SUM(L52:Q52)/IF(VLOOKUP($A52,EnrollData2324,'2324 Jun 24 Enroll'!M$1,FALSE)+VLOOKUP($A52,EnrollData2324,'2324 Jun 24 Enroll'!D$1,FALSE)='District Calculations'!$B$25+'District Calculations'!$B$11,VLOOKUP($A52,EnrollData2324,'2324 Jun 24 Enroll'!M$1,FALSE)+VLOOKUP($A52,EnrollData2324,'2324 Jun 24 Enroll'!D$1,FALSE),'District Calculations'!$B$25+'District Calculations'!$B$11),5)</f>
        <v>4.1000000000000003E-3</v>
      </c>
      <c r="S52" s="11">
        <f t="shared" si="22"/>
        <v>1.8294500000000002E-2</v>
      </c>
      <c r="T52">
        <f>ROUND(IF(VLOOKUP($A52,EnrollData2324,'2324 Jun 24 Enroll'!D$1,FALSE)='District Calculations'!$B$11,VLOOKUP($A52,EnrollData2324,'2324 Jun 24 Enroll'!D$1,FALSE),'District Calculations'!$B$11)*S52,3)</f>
        <v>0</v>
      </c>
      <c r="U52">
        <f>ROUND(IF(VLOOKUP($A52,EnrollData2324,'2324 Jun 24 Enroll'!E$1,FALSE)='District Calculations'!$B$12,VLOOKUP($A52,EnrollData2324,'2324 Jun 24 Enroll'!E$1,FALSE),'District Calculations'!$B$12)*S52,3)</f>
        <v>14.827999999999999</v>
      </c>
      <c r="V52">
        <f>ROUND(IF(VLOOKUP($A52,EnrollData2324,'2324 Jun 24 Enroll'!F$1,FALSE)='District Calculations'!$B$13,VLOOKUP($A52,EnrollData2324,'2324 Jun 24 Enroll'!F$1,FALSE),'District Calculations'!$B$13)*Apport_224A2324,3)</f>
        <v>3.6190000000000002</v>
      </c>
      <c r="W52">
        <f>ROUND(IF(VLOOKUP($A52,EnrollData2324,'2324 Jun 24 Enroll'!G$1,FALSE)='District Calculations'!$B$14,VLOOKUP($A52,EnrollData2324,'2324 Jun 24 Enroll'!G$1,FALSE),'District Calculations'!$B$14)*Apport_212A2324,3)</f>
        <v>8.0239999999999991</v>
      </c>
      <c r="X52">
        <f>ROUND(IF(VLOOKUP($A52,EnrollData2324,'2324 Jun 24 Enroll'!H$1,FALSE)='District Calculations'!$B$14,VLOOKUP($A52,EnrollData2324,'2324 Jun 24 Enroll'!H$1,FALSE),'District Calculations'!$B$14)*Apport_215A2324,3)</f>
        <v>7.9279999999999999</v>
      </c>
      <c r="Y52">
        <f>ROUND(IF(VLOOKUP($A52,EnrollData2324,'2324 Jun 24 Enroll'!I$1,FALSE)+VLOOKUP($A52,EnrollData2324,'2324 Jun 24 Enroll'!M$1,FALSE)-VLOOKUP($A52,EnrollData2324,'2324 Jun 24 Enroll'!J$1,FALSE)='District Calculations'!$B$16+'District Calculations'!$B$25-'District Calculations'!$B$17,VLOOKUP($A52,EnrollData2324,'2324 Jun 24 Enroll'!I$1,FALSE)+VLOOKUP($A52,EnrollData2324,'2324 Jun 24 Enroll'!M$1,FALSE)-VLOOKUP($A52,EnrollData2324,'2324 Jun 24 Enroll'!J$1,FALSE),'District Calculations'!$B$16+'District Calculations'!$B$25-'District Calculations'!$B$17)*Apport_218A2324,3)</f>
        <v>19.917999999999999</v>
      </c>
      <c r="Z52">
        <f>ROUND(SUM(T52:Y52)/IF(VLOOKUP($A52,EnrollData2324,'2324 Jun 24 Enroll'!M$1,FALSE)+VLOOKUP($A52,EnrollData2324,'2324 Jun 24 Enroll'!D$1,FALSE)='District Calculations'!$B$25+'District Calculations'!$B$11,VLOOKUP($A52,EnrollData2324,'2324 Jun 24 Enroll'!M$1,FALSE)+VLOOKUP($A52,EnrollData2324,'2324 Jun 24 Enroll'!D$1,FALSE),'District Calculations'!$B$25+'District Calculations'!$B$11),5)</f>
        <v>1.7399999999999999E-2</v>
      </c>
      <c r="AA52" s="6">
        <f>ROUND($J52*CIS_Base_Salary2324*VLOOKUP($A52,EnrollData2324,'2324 Jun 24 Enroll'!S$1,FALSE),2)</f>
        <v>4038.59</v>
      </c>
      <c r="AB52" s="6">
        <f>ROUND($J52*CIS_Inc_Salary2324*(VLOOKUP($A52,EnrollData2324,'2324 Jun 24 Enroll'!T$1,FALSE)+VLOOKUP($A52,EnrollData2324,'2324 Jun 24 Enroll'!U$1,FALSE)),2)-AA52</f>
        <v>316.94999999999982</v>
      </c>
      <c r="AC52" s="6">
        <f>ROUND($R52*CAS_Base_Salary2324*VLOOKUP($A52,EnrollData2324,'2324 Jun 24 Enroll'!S$1,FALSE),2)</f>
        <v>442.62</v>
      </c>
      <c r="AD52" s="6">
        <f>ROUND($R52*CAS_Inc_Salary2324*VLOOKUP($A52,EnrollData2324,'2324 Jun 24 Enroll'!T$1,FALSE),2)-AC52</f>
        <v>16.379999999999995</v>
      </c>
      <c r="AE52" s="6">
        <f>ROUND($Z52*CLS_Base_Salary2324*VLOOKUP($A52,EnrollData2324,'2324 Jun 24 Enroll'!S$1,FALSE),2)</f>
        <v>907.81</v>
      </c>
      <c r="AF52" s="6">
        <f>ROUND($Z52*CLS_Inc_Salary2324*VLOOKUP($A52,EnrollData2324,'2324 Jun 24 Enroll'!T$1,FALSE),2)-AE52</f>
        <v>33.580000000000041</v>
      </c>
      <c r="AG52">
        <f t="shared" si="9"/>
        <v>734.16</v>
      </c>
      <c r="AH52" s="69">
        <f t="shared" si="23"/>
        <v>68.700000000000045</v>
      </c>
      <c r="AI52">
        <f t="shared" si="11"/>
        <v>214.23</v>
      </c>
      <c r="AJ52">
        <f t="shared" si="24"/>
        <v>114.21000000000001</v>
      </c>
      <c r="AK52">
        <f t="shared" si="25"/>
        <v>805.27</v>
      </c>
      <c r="AL52">
        <f t="shared" si="26"/>
        <v>57.77</v>
      </c>
      <c r="AM52">
        <f t="shared" si="27"/>
        <v>200.26</v>
      </c>
      <c r="AN52">
        <f t="shared" si="28"/>
        <v>6.23</v>
      </c>
      <c r="AO52">
        <f>ROUND(($J52*CIS_Inc_Salary2324*(VLOOKUP($A52,EnrollData2324,'2324 Jun 24 Enroll'!T$1,FALSE)+VLOOKUP($A52,EnrollData2324,'2324 Jun 24 Enroll'!U$1,FALSE))/Apport_613Xpd)*Apport_614Xpd,2)</f>
        <v>72.59</v>
      </c>
      <c r="AP52">
        <f t="shared" si="29"/>
        <v>12.58</v>
      </c>
      <c r="AQ52">
        <f t="shared" si="32"/>
        <v>30.93</v>
      </c>
      <c r="AR52" s="6">
        <f>ROUND((VLOOKUP($A52,EnrollData2324,'2324 Jun 24 Enroll'!D$1,FALSE)*Apport_M802324+VLOOKUP($A52,EnrollData2324,'2324 Jun 24 Enroll'!M$1,FALSE)*Apport_M802324+(VLOOKUP($A52,EnrollData2324,'2324 Jun 24 Enroll'!P$1,FALSE)+VLOOKUP($A52,EnrollData2324,'2324 Jun 24 Enroll'!Q$1,FALSE)+VLOOKUP($A52,EnrollData2324,'2324 Jun 24 Enroll'!R$1,FALSE)+VLOOKUP($A52,EnrollData2324,'2324 Jun 24 Enroll'!I$1,FALSE)+VLOOKUP($A52,EnrollData2324,'2324 Jun 24 Enroll'!N$1,FALSE)+VLOOKUP($A52,EnrollData2324,'2324 Jun 24 Enroll'!O$1,FALSE)+VLOOKUP($A52,EnrollData2324,'2324 Jun 24 Enroll'!K$1,FALSE)+VLOOKUP($A52,EnrollData2324,'2324 Jun 24 Enroll'!L$1,FALSE))*Apport_M812324)/(VLOOKUP($A52,EnrollData2324,'2324 Jun 24 Enroll'!M$1,FALSE)+VLOOKUP($A52,EnrollData2324,'2324 Jun 24 Enroll'!D$1,FALSE)),2)</f>
        <v>1548.54</v>
      </c>
      <c r="AS52" s="7">
        <f t="shared" si="33"/>
        <v>9621.4000000000015</v>
      </c>
    </row>
    <row r="53" spans="1:46">
      <c r="A53" s="40" t="s">
        <v>363</v>
      </c>
      <c r="B53" s="40" t="s">
        <v>364</v>
      </c>
      <c r="C53" s="11">
        <f>ROUND((IFERROR((1/IF(VLOOKUP($A53,EnrollData2324,28,FALSE)='District Calculations'!$B$10,VLOOKUP($A53,EnrollData2324,28,FALSE),'District Calculations'!$B$10))*(1+Apport_Z315),0))+Apport_201A2324,6)</f>
        <v>7.3449E-2</v>
      </c>
      <c r="D53">
        <f>ROUND(IF(VLOOKUP($A53,EnrollData2324,'2324 Jun 24 Enroll'!D$1,FALSE)='District Calculations'!$B$11,VLOOKUP($A53,EnrollData2324,'2324 Jun 24 Enroll'!D$1,FALSE),'District Calculations'!$B$11)*C53,3)</f>
        <v>0</v>
      </c>
      <c r="E53">
        <f>ROUND(IF(VLOOKUP($A53,EnrollData2324,'2324 Jun 24 Enroll'!E$1,FALSE)='District Calculations'!$B$12,VLOOKUP($A53,EnrollData2324,'2324 Jun 24 Enroll'!E$1,FALSE),'District Calculations'!$B$12)*C53,3)</f>
        <v>59.53</v>
      </c>
      <c r="F53">
        <f>ROUND(IF(VLOOKUP($A53,EnrollData2324,'2324 Jun 24 Enroll'!F$1,FALSE)='District Calculations'!$B$13,VLOOKUP($A53,EnrollData2324,'2324 Jun 24 Enroll'!F$1,FALSE),'District Calculations'!$B$13)*Apport_222A2324,3)</f>
        <v>10.101000000000001</v>
      </c>
      <c r="G53">
        <f>ROUND(IF(VLOOKUP($A53,EnrollData2324,'2324 Jun 24 Enroll'!G$1,FALSE)='District Calculations'!$B$14,VLOOKUP($A53,EnrollData2324,'2324 Jun 24 Enroll'!G$1,FALSE),'District Calculations'!$B$14)*Apport_210A2324,3)</f>
        <v>22.395</v>
      </c>
      <c r="H53">
        <f>ROUND(IF(VLOOKUP($A53,EnrollData2324,'2324 Jun 24 Enroll'!H$1,FALSE)='District Calculations'!$B$15,VLOOKUP($A53,EnrollData2324,'2324 Jun 24 Enroll'!H$1,FALSE),'District Calculations'!$B$15)*Apport_213A2324,3)</f>
        <v>23.091999999999999</v>
      </c>
      <c r="I53">
        <f>ROUND(IF(VLOOKUP($A53,EnrollData2324,'2324 Jun 24 Enroll'!I$1,FALSE)+VLOOKUP($A53,EnrollData2324,'2324 Jun 24 Enroll'!M$1,FALSE)-VLOOKUP($A53,EnrollData2324,'2324 Jun 24 Enroll'!J$1,FALSE)='District Calculations'!$B$16+'District Calculations'!$B$25-'District Calculations'!$B$17,VLOOKUP($A53,EnrollData2324,'2324 Jun 24 Enroll'!I$1,FALSE)+VLOOKUP($A53,EnrollData2324,'2324 Jun 24 Enroll'!M$1,FALSE)-VLOOKUP($A53,EnrollData2324,'2324 Jun 24 Enroll'!J$1,FALSE),'District Calculations'!$B$16+'District Calculations'!$B$25-'District Calculations'!$B$17)*Apport_216A2324,3)</f>
        <v>58.183999999999997</v>
      </c>
      <c r="J53">
        <f>ROUND(SUM(D53:I53)/(IF(VLOOKUP($A53,EnrollData2324,'2324 Jun 24 Enroll'!M$1,FALSE)='District Calculations'!$B$25,VLOOKUP($A53,EnrollData2324,'2324 Jun 24 Enroll'!M$1,FALSE),'District Calculations'!$B$25)+IF(VLOOKUP($A53,EnrollData2324,'2324 Jun 24 Enroll'!D$1,FALSE)='District Calculations'!$B$11,VLOOKUP($A53,EnrollData2324,'2324 Jun 24 Enroll'!D$1,FALSE),'District Calculations'!$B$11)),5)</f>
        <v>5.5530000000000003E-2</v>
      </c>
      <c r="K53" s="11">
        <f>ROUND(((($C53+Apport_203A2324+Apport_202A2324)*Apport_557X)*Apport_558X)+Apport_202A2324,6)</f>
        <v>4.365E-3</v>
      </c>
      <c r="L53">
        <f>ROUND(IF(VLOOKUP($A53,EnrollData2324,'2324 Jun 24 Enroll'!D$1,FALSE)='District Calculations'!$B$11,VLOOKUP($A53,EnrollData2324,'2324 Jun 24 Enroll'!D$1,FALSE),'District Calculations'!$B$11)*K53,3)</f>
        <v>0</v>
      </c>
      <c r="M53">
        <f>ROUND(IF(VLOOKUP($A53,EnrollData2324,'2324 Jun 24 Enroll'!E$1,FALSE)='District Calculations'!$B$12,VLOOKUP($A53,EnrollData2324,'2324 Jun 24 Enroll'!E$1,FALSE),'District Calculations'!$B$12)*K53,3)</f>
        <v>3.5379999999999998</v>
      </c>
      <c r="N53">
        <f>ROUND(IF(VLOOKUP($A53,EnrollData2324,'2324 Jun 24 Enroll'!F$1,FALSE)='District Calculations'!$B$13,VLOOKUP($A53,EnrollData2324,'2324 Jun 24 Enroll'!F$1,FALSE),'District Calculations'!$B$13)*Apport_223A2324,3)</f>
        <v>0.84199999999999997</v>
      </c>
      <c r="O53">
        <f>ROUND(IF(VLOOKUP($A53,EnrollData2324,'2324 Jun 24 Enroll'!G$1,FALSE)='District Calculations'!$B$14,VLOOKUP($A53,EnrollData2324,'2324 Jun 24 Enroll'!G$1,FALSE),'District Calculations'!$B$14)*Apport_211A2324,3)</f>
        <v>1.867</v>
      </c>
      <c r="P53">
        <f>ROUND(IF(VLOOKUP($A53,EnrollData2324,'2324 Jun 24 Enroll'!H$1,FALSE)='District Calculations'!$B$14,VLOOKUP($A53,EnrollData2324,'2324 Jun 24 Enroll'!H$1,FALSE),'District Calculations'!$B$14)*Apport_214A2324,3)</f>
        <v>1.8660000000000001</v>
      </c>
      <c r="Q53">
        <f>ROUND(IF(VLOOKUP($A53,EnrollData2324,'2324 Jun 24 Enroll'!I$1,FALSE)+VLOOKUP($A53,EnrollData2324,'2324 Jun 24 Enroll'!M$1,FALSE)-VLOOKUP($A53,EnrollData2324,'2324 Jun 24 Enroll'!J$1,FALSE)='District Calculations'!$B$16+'District Calculations'!$B$25-'District Calculations'!$B$17,VLOOKUP($A53,EnrollData2324,'2324 Jun 24 Enroll'!I$1,FALSE)+VLOOKUP($A53,EnrollData2324,'2324 Jun 24 Enroll'!M$1,FALSE)-VLOOKUP($A53,EnrollData2324,'2324 Jun 24 Enroll'!J$1,FALSE),'District Calculations'!$B$16+'District Calculations'!$B$25-'District Calculations'!$B$17)*Apport_217A2324,3)</f>
        <v>4.6980000000000004</v>
      </c>
      <c r="R53">
        <f>ROUND(SUM(L53:Q53)/IF(VLOOKUP($A53,EnrollData2324,'2324 Jun 24 Enroll'!M$1,FALSE)+VLOOKUP($A53,EnrollData2324,'2324 Jun 24 Enroll'!D$1,FALSE)='District Calculations'!$B$25+'District Calculations'!$B$11,VLOOKUP($A53,EnrollData2324,'2324 Jun 24 Enroll'!M$1,FALSE)+VLOOKUP($A53,EnrollData2324,'2324 Jun 24 Enroll'!D$1,FALSE),'District Calculations'!$B$25+'District Calculations'!$B$11),5)</f>
        <v>4.1000000000000003E-3</v>
      </c>
      <c r="S53" s="11">
        <f>ROUND(((($C53+Apport_203A2324+Apport_202A2324)*Apport_557X)*Apport_559X)+Apport_203A2324,7)</f>
        <v>1.8294500000000002E-2</v>
      </c>
      <c r="T53">
        <f>ROUND(IF(VLOOKUP($A53,EnrollData2324,'2324 Jun 24 Enroll'!D$1,FALSE)='District Calculations'!$B$11,VLOOKUP($A53,EnrollData2324,'2324 Jun 24 Enroll'!D$1,FALSE),'District Calculations'!$B$11)*S53,3)</f>
        <v>0</v>
      </c>
      <c r="U53">
        <f>ROUND(IF(VLOOKUP($A53,EnrollData2324,'2324 Jun 24 Enroll'!E$1,FALSE)='District Calculations'!$B$12,VLOOKUP($A53,EnrollData2324,'2324 Jun 24 Enroll'!E$1,FALSE),'District Calculations'!$B$12)*S53,3)</f>
        <v>14.827999999999999</v>
      </c>
      <c r="V53">
        <f>ROUND(IF(VLOOKUP($A53,EnrollData2324,'2324 Jun 24 Enroll'!F$1,FALSE)='District Calculations'!$B$13,VLOOKUP($A53,EnrollData2324,'2324 Jun 24 Enroll'!F$1,FALSE),'District Calculations'!$B$13)*Apport_224A2324,3)</f>
        <v>3.6190000000000002</v>
      </c>
      <c r="W53">
        <f>ROUND(IF(VLOOKUP($A53,EnrollData2324,'2324 Jun 24 Enroll'!G$1,FALSE)='District Calculations'!$B$14,VLOOKUP($A53,EnrollData2324,'2324 Jun 24 Enroll'!G$1,FALSE),'District Calculations'!$B$14)*Apport_212A2324,3)</f>
        <v>8.0239999999999991</v>
      </c>
      <c r="X53">
        <f>ROUND(IF(VLOOKUP($A53,EnrollData2324,'2324 Jun 24 Enroll'!H$1,FALSE)='District Calculations'!$B$14,VLOOKUP($A53,EnrollData2324,'2324 Jun 24 Enroll'!H$1,FALSE),'District Calculations'!$B$14)*Apport_215A2324,3)</f>
        <v>7.9279999999999999</v>
      </c>
      <c r="Y53">
        <f>ROUND(IF(VLOOKUP($A53,EnrollData2324,'2324 Jun 24 Enroll'!I$1,FALSE)+VLOOKUP($A53,EnrollData2324,'2324 Jun 24 Enroll'!M$1,FALSE)-VLOOKUP($A53,EnrollData2324,'2324 Jun 24 Enroll'!J$1,FALSE)='District Calculations'!$B$16+'District Calculations'!$B$25-'District Calculations'!$B$17,VLOOKUP($A53,EnrollData2324,'2324 Jun 24 Enroll'!I$1,FALSE)+VLOOKUP($A53,EnrollData2324,'2324 Jun 24 Enroll'!M$1,FALSE)-VLOOKUP($A53,EnrollData2324,'2324 Jun 24 Enroll'!J$1,FALSE),'District Calculations'!$B$16+'District Calculations'!$B$25-'District Calculations'!$B$17)*Apport_218A2324,3)</f>
        <v>19.917999999999999</v>
      </c>
      <c r="Z53">
        <f>ROUND(SUM(T53:Y53)/IF(VLOOKUP($A53,EnrollData2324,'2324 Jun 24 Enroll'!M$1,FALSE)+VLOOKUP($A53,EnrollData2324,'2324 Jun 24 Enroll'!D$1,FALSE)='District Calculations'!$B$25+'District Calculations'!$B$11,VLOOKUP($A53,EnrollData2324,'2324 Jun 24 Enroll'!M$1,FALSE)+VLOOKUP($A53,EnrollData2324,'2324 Jun 24 Enroll'!D$1,FALSE),'District Calculations'!$B$25+'District Calculations'!$B$11),5)</f>
        <v>1.7399999999999999E-2</v>
      </c>
      <c r="AA53" s="6">
        <f>ROUND($J53*CIS_Base_Salary2324*VLOOKUP($A53,EnrollData2324,'2324 Jun 24 Enroll'!S$1,FALSE),2)</f>
        <v>4038.59</v>
      </c>
      <c r="AB53" s="6">
        <f>ROUND($J53*CIS_Inc_Salary2324*(VLOOKUP($A53,EnrollData2324,'2324 Jun 24 Enroll'!T$1,FALSE)+VLOOKUP($A53,EnrollData2324,'2324 Jun 24 Enroll'!U$1,FALSE)),2)-AA53</f>
        <v>149.43000000000029</v>
      </c>
      <c r="AC53" s="6">
        <f>ROUND($R53*CAS_Base_Salary2324*VLOOKUP($A53,EnrollData2324,'2324 Jun 24 Enroll'!S$1,FALSE),2)</f>
        <v>442.62</v>
      </c>
      <c r="AD53" s="6">
        <f>ROUND($R53*CAS_Inc_Salary2324*VLOOKUP($A53,EnrollData2324,'2324 Jun 24 Enroll'!T$1,FALSE),2)-AC53</f>
        <v>16.379999999999995</v>
      </c>
      <c r="AE53" s="6">
        <f>ROUND($Z53*CLS_Base_Salary2324*VLOOKUP($A53,EnrollData2324,'2324 Jun 24 Enroll'!S$1,FALSE),2)</f>
        <v>907.81</v>
      </c>
      <c r="AF53" s="6">
        <f>ROUND($Z53*CLS_Inc_Salary2324*VLOOKUP($A53,EnrollData2324,'2324 Jun 24 Enroll'!T$1,FALSE),2)-AE53</f>
        <v>33.580000000000041</v>
      </c>
      <c r="AG53">
        <f>ROUND(($J53+$R53)*Apport_124X2324,2)</f>
        <v>734.16</v>
      </c>
      <c r="AH53" s="69">
        <f>ROUND(($J53+$R53)*Apport_621X2324*Apport_125XC2324,2)-AG53</f>
        <v>68.700000000000045</v>
      </c>
      <c r="AI53">
        <f>ROUND($Z53*Apport_124X2324,2)</f>
        <v>214.23</v>
      </c>
      <c r="AJ53">
        <f>ROUND($Z53*Apport_621X2324*Apport_125X2324,2)-AI53</f>
        <v>114.21000000000001</v>
      </c>
      <c r="AK53">
        <f>ROUND((AA53+AC53)*Apport_126X2324,2)</f>
        <v>805.27</v>
      </c>
      <c r="AL53">
        <f>ROUND((AB53+AD53)*Apport_127X2324,2)</f>
        <v>28.73</v>
      </c>
      <c r="AM53">
        <f>ROUND(AE53*Apport_128X2324,2)</f>
        <v>200.26</v>
      </c>
      <c r="AN53">
        <f>ROUND(AF53*Apport_129X2324,2)</f>
        <v>6.23</v>
      </c>
      <c r="AO53">
        <f>ROUND(($J53*CIS_Inc_Salary2324*(VLOOKUP($A53,EnrollData2324,'2324 Jun 24 Enroll'!T$1,FALSE)+VLOOKUP($A53,EnrollData2324,'2324 Jun 24 Enroll'!U$1,FALSE))/Apport_613Xpd)*Apport_614Xpd,2)</f>
        <v>69.8</v>
      </c>
      <c r="AP53">
        <f>ROUND(AO53*Apport_127X2324,2)</f>
        <v>12.1</v>
      </c>
      <c r="AQ53">
        <f>ROUND((J53*Apport_581X)*(Apport_116X*Apport_132X),2)</f>
        <v>30.93</v>
      </c>
      <c r="AR53" s="6">
        <f>ROUND((VLOOKUP($A53,EnrollData2324,'2324 Jun 24 Enroll'!D$1,FALSE)*Apport_M802324+VLOOKUP($A53,EnrollData2324,'2324 Jun 24 Enroll'!M$1,FALSE)*Apport_M802324+(VLOOKUP($A53,EnrollData2324,'2324 Jun 24 Enroll'!P$1,FALSE)+VLOOKUP($A53,EnrollData2324,'2324 Jun 24 Enroll'!Q$1,FALSE)+VLOOKUP($A53,EnrollData2324,'2324 Jun 24 Enroll'!R$1,FALSE)+VLOOKUP($A53,EnrollData2324,'2324 Jun 24 Enroll'!I$1,FALSE)+VLOOKUP($A53,EnrollData2324,'2324 Jun 24 Enroll'!N$1,FALSE)+VLOOKUP($A53,EnrollData2324,'2324 Jun 24 Enroll'!O$1,FALSE)+VLOOKUP($A53,EnrollData2324,'2324 Jun 24 Enroll'!K$1,FALSE)+VLOOKUP($A53,EnrollData2324,'2324 Jun 24 Enroll'!L$1,FALSE))*Apport_M812324)/(VLOOKUP($A53,EnrollData2324,'2324 Jun 24 Enroll'!M$1,FALSE)+VLOOKUP($A53,EnrollData2324,'2324 Jun 24 Enroll'!D$1,FALSE)),2)</f>
        <v>1554.54</v>
      </c>
      <c r="AS53" s="7">
        <f>SUM(AA53:AR53)</f>
        <v>9427.57</v>
      </c>
      <c r="AT53" s="6"/>
    </row>
    <row r="54" spans="1:46">
      <c r="A54" s="40" t="s">
        <v>865</v>
      </c>
      <c r="B54" s="40" t="s">
        <v>866</v>
      </c>
      <c r="C54" s="11">
        <f>ROUND((IFERROR((1/IF(VLOOKUP($A54,EnrollData2324,28,FALSE)='District Calculations'!$B$10,VLOOKUP($A54,EnrollData2324,28,FALSE),'District Calculations'!$B$10))*(1+Apport_Z315),0))+Apport_201A2324,6)</f>
        <v>7.3449E-2</v>
      </c>
      <c r="D54">
        <f>ROUND(IF(VLOOKUP($A54,EnrollData2324,'2324 Jun 24 Enroll'!D$1,FALSE)='District Calculations'!$B$11,VLOOKUP($A54,EnrollData2324,'2324 Jun 24 Enroll'!D$1,FALSE),'District Calculations'!$B$11)*C54,3)</f>
        <v>0</v>
      </c>
      <c r="E54">
        <f>ROUND(IF(VLOOKUP($A54,EnrollData2324,'2324 Jun 24 Enroll'!E$1,FALSE)='District Calculations'!$B$12,VLOOKUP($A54,EnrollData2324,'2324 Jun 24 Enroll'!E$1,FALSE),'District Calculations'!$B$12)*C54,3)</f>
        <v>59.53</v>
      </c>
      <c r="F54">
        <f>ROUND(IF(VLOOKUP($A54,EnrollData2324,'2324 Jun 24 Enroll'!F$1,FALSE)='District Calculations'!$B$13,VLOOKUP($A54,EnrollData2324,'2324 Jun 24 Enroll'!F$1,FALSE),'District Calculations'!$B$13)*Apport_222A2324,3)</f>
        <v>10.101000000000001</v>
      </c>
      <c r="G54">
        <f>ROUND(IF(VLOOKUP($A54,EnrollData2324,'2324 Jun 24 Enroll'!G$1,FALSE)='District Calculations'!$B$14,VLOOKUP($A54,EnrollData2324,'2324 Jun 24 Enroll'!G$1,FALSE),'District Calculations'!$B$14)*Apport_210A2324,3)</f>
        <v>22.395</v>
      </c>
      <c r="H54">
        <f>ROUND(IF(VLOOKUP($A54,EnrollData2324,'2324 Jun 24 Enroll'!H$1,FALSE)='District Calculations'!$B$15,VLOOKUP($A54,EnrollData2324,'2324 Jun 24 Enroll'!H$1,FALSE),'District Calculations'!$B$15)*Apport_213A2324,3)</f>
        <v>23.091999999999999</v>
      </c>
      <c r="I54">
        <f>ROUND(IF(VLOOKUP($A54,EnrollData2324,'2324 Jun 24 Enroll'!I$1,FALSE)+VLOOKUP($A54,EnrollData2324,'2324 Jun 24 Enroll'!M$1,FALSE)-VLOOKUP($A54,EnrollData2324,'2324 Jun 24 Enroll'!J$1,FALSE)='District Calculations'!$B$16+'District Calculations'!$B$25-'District Calculations'!$B$17,VLOOKUP($A54,EnrollData2324,'2324 Jun 24 Enroll'!I$1,FALSE)+VLOOKUP($A54,EnrollData2324,'2324 Jun 24 Enroll'!M$1,FALSE)-VLOOKUP($A54,EnrollData2324,'2324 Jun 24 Enroll'!J$1,FALSE),'District Calculations'!$B$16+'District Calculations'!$B$25-'District Calculations'!$B$17)*Apport_216A2324,3)</f>
        <v>58.183999999999997</v>
      </c>
      <c r="J54">
        <f>ROUND(SUM(D54:I54)/(IF(VLOOKUP($A54,EnrollData2324,'2324 Jun 24 Enroll'!M$1,FALSE)='District Calculations'!$B$25,VLOOKUP($A54,EnrollData2324,'2324 Jun 24 Enroll'!M$1,FALSE),'District Calculations'!$B$25)+IF(VLOOKUP($A54,EnrollData2324,'2324 Jun 24 Enroll'!D$1,FALSE)='District Calculations'!$B$11,VLOOKUP($A54,EnrollData2324,'2324 Jun 24 Enroll'!D$1,FALSE),'District Calculations'!$B$11)),5)</f>
        <v>5.5530000000000003E-2</v>
      </c>
      <c r="K54" s="11">
        <f t="shared" si="21"/>
        <v>4.365E-3</v>
      </c>
      <c r="L54">
        <f>ROUND(IF(VLOOKUP($A54,EnrollData2324,'2324 Jun 24 Enroll'!D$1,FALSE)='District Calculations'!$B$11,VLOOKUP($A54,EnrollData2324,'2324 Jun 24 Enroll'!D$1,FALSE),'District Calculations'!$B$11)*K54,3)</f>
        <v>0</v>
      </c>
      <c r="M54">
        <f>ROUND(IF(VLOOKUP($A54,EnrollData2324,'2324 Jun 24 Enroll'!E$1,FALSE)='District Calculations'!$B$12,VLOOKUP($A54,EnrollData2324,'2324 Jun 24 Enroll'!E$1,FALSE),'District Calculations'!$B$12)*K54,3)</f>
        <v>3.5379999999999998</v>
      </c>
      <c r="N54">
        <f>ROUND(IF(VLOOKUP($A54,EnrollData2324,'2324 Jun 24 Enroll'!F$1,FALSE)='District Calculations'!$B$13,VLOOKUP($A54,EnrollData2324,'2324 Jun 24 Enroll'!F$1,FALSE),'District Calculations'!$B$13)*Apport_223A2324,3)</f>
        <v>0.84199999999999997</v>
      </c>
      <c r="O54">
        <f>ROUND(IF(VLOOKUP($A54,EnrollData2324,'2324 Jun 24 Enroll'!G$1,FALSE)='District Calculations'!$B$14,VLOOKUP($A54,EnrollData2324,'2324 Jun 24 Enroll'!G$1,FALSE),'District Calculations'!$B$14)*Apport_211A2324,3)</f>
        <v>1.867</v>
      </c>
      <c r="P54">
        <f>ROUND(IF(VLOOKUP($A54,EnrollData2324,'2324 Jun 24 Enroll'!H$1,FALSE)='District Calculations'!$B$14,VLOOKUP($A54,EnrollData2324,'2324 Jun 24 Enroll'!H$1,FALSE),'District Calculations'!$B$14)*Apport_214A2324,3)</f>
        <v>1.8660000000000001</v>
      </c>
      <c r="Q54">
        <f>ROUND(IF(VLOOKUP($A54,EnrollData2324,'2324 Jun 24 Enroll'!I$1,FALSE)+VLOOKUP($A54,EnrollData2324,'2324 Jun 24 Enroll'!M$1,FALSE)-VLOOKUP($A54,EnrollData2324,'2324 Jun 24 Enroll'!J$1,FALSE)='District Calculations'!$B$16+'District Calculations'!$B$25-'District Calculations'!$B$17,VLOOKUP($A54,EnrollData2324,'2324 Jun 24 Enroll'!I$1,FALSE)+VLOOKUP($A54,EnrollData2324,'2324 Jun 24 Enroll'!M$1,FALSE)-VLOOKUP($A54,EnrollData2324,'2324 Jun 24 Enroll'!J$1,FALSE),'District Calculations'!$B$16+'District Calculations'!$B$25-'District Calculations'!$B$17)*Apport_217A2324,3)</f>
        <v>4.6980000000000004</v>
      </c>
      <c r="R54">
        <f>ROUND(SUM(L54:Q54)/IF(VLOOKUP($A54,EnrollData2324,'2324 Jun 24 Enroll'!M$1,FALSE)+VLOOKUP($A54,EnrollData2324,'2324 Jun 24 Enroll'!D$1,FALSE)='District Calculations'!$B$25+'District Calculations'!$B$11,VLOOKUP($A54,EnrollData2324,'2324 Jun 24 Enroll'!M$1,FALSE)+VLOOKUP($A54,EnrollData2324,'2324 Jun 24 Enroll'!D$1,FALSE),'District Calculations'!$B$25+'District Calculations'!$B$11),5)</f>
        <v>4.1000000000000003E-3</v>
      </c>
      <c r="S54" s="11">
        <f t="shared" si="22"/>
        <v>1.8294500000000002E-2</v>
      </c>
      <c r="T54">
        <f>ROUND(IF(VLOOKUP($A54,EnrollData2324,'2324 Jun 24 Enroll'!D$1,FALSE)='District Calculations'!$B$11,VLOOKUP($A54,EnrollData2324,'2324 Jun 24 Enroll'!D$1,FALSE),'District Calculations'!$B$11)*S54,3)</f>
        <v>0</v>
      </c>
      <c r="U54">
        <f>ROUND(IF(VLOOKUP($A54,EnrollData2324,'2324 Jun 24 Enroll'!E$1,FALSE)='District Calculations'!$B$12,VLOOKUP($A54,EnrollData2324,'2324 Jun 24 Enroll'!E$1,FALSE),'District Calculations'!$B$12)*S54,3)</f>
        <v>14.827999999999999</v>
      </c>
      <c r="V54">
        <f>ROUND(IF(VLOOKUP($A54,EnrollData2324,'2324 Jun 24 Enroll'!F$1,FALSE)='District Calculations'!$B$13,VLOOKUP($A54,EnrollData2324,'2324 Jun 24 Enroll'!F$1,FALSE),'District Calculations'!$B$13)*Apport_224A2324,3)</f>
        <v>3.6190000000000002</v>
      </c>
      <c r="W54">
        <f>ROUND(IF(VLOOKUP($A54,EnrollData2324,'2324 Jun 24 Enroll'!G$1,FALSE)='District Calculations'!$B$14,VLOOKUP($A54,EnrollData2324,'2324 Jun 24 Enroll'!G$1,FALSE),'District Calculations'!$B$14)*Apport_212A2324,3)</f>
        <v>8.0239999999999991</v>
      </c>
      <c r="X54">
        <f>ROUND(IF(VLOOKUP($A54,EnrollData2324,'2324 Jun 24 Enroll'!H$1,FALSE)='District Calculations'!$B$14,VLOOKUP($A54,EnrollData2324,'2324 Jun 24 Enroll'!H$1,FALSE),'District Calculations'!$B$14)*Apport_215A2324,3)</f>
        <v>7.9279999999999999</v>
      </c>
      <c r="Y54">
        <f>ROUND(IF(VLOOKUP($A54,EnrollData2324,'2324 Jun 24 Enroll'!I$1,FALSE)+VLOOKUP($A54,EnrollData2324,'2324 Jun 24 Enroll'!M$1,FALSE)-VLOOKUP($A54,EnrollData2324,'2324 Jun 24 Enroll'!J$1,FALSE)='District Calculations'!$B$16+'District Calculations'!$B$25-'District Calculations'!$B$17,VLOOKUP($A54,EnrollData2324,'2324 Jun 24 Enroll'!I$1,FALSE)+VLOOKUP($A54,EnrollData2324,'2324 Jun 24 Enroll'!M$1,FALSE)-VLOOKUP($A54,EnrollData2324,'2324 Jun 24 Enroll'!J$1,FALSE),'District Calculations'!$B$16+'District Calculations'!$B$25-'District Calculations'!$B$17)*Apport_218A2324,3)</f>
        <v>19.917999999999999</v>
      </c>
      <c r="Z54">
        <f>ROUND(SUM(T54:Y54)/IF(VLOOKUP($A54,EnrollData2324,'2324 Jun 24 Enroll'!M$1,FALSE)+VLOOKUP($A54,EnrollData2324,'2324 Jun 24 Enroll'!D$1,FALSE)='District Calculations'!$B$25+'District Calculations'!$B$11,VLOOKUP($A54,EnrollData2324,'2324 Jun 24 Enroll'!M$1,FALSE)+VLOOKUP($A54,EnrollData2324,'2324 Jun 24 Enroll'!D$1,FALSE),'District Calculations'!$B$25+'District Calculations'!$B$11),5)</f>
        <v>1.7399999999999999E-2</v>
      </c>
      <c r="AA54" s="6">
        <f>ROUND($J54*CIS_Base_Salary2324*VLOOKUP($A54,EnrollData2324,'2324 Jun 24 Enroll'!S$1,FALSE),2)</f>
        <v>4099.16</v>
      </c>
      <c r="AB54" s="6">
        <f>ROUND($J54*CIS_Inc_Salary2324*(VLOOKUP($A54,EnrollData2324,'2324 Jun 24 Enroll'!T$1,FALSE)+VLOOKUP($A54,EnrollData2324,'2324 Jun 24 Enroll'!U$1,FALSE)),2)-AA54</f>
        <v>151.68000000000029</v>
      </c>
      <c r="AC54" s="6">
        <f>ROUND($R54*CAS_Base_Salary2324*VLOOKUP($A54,EnrollData2324,'2324 Jun 24 Enroll'!S$1,FALSE),2)</f>
        <v>449.25</v>
      </c>
      <c r="AD54" s="6">
        <f>ROUND($R54*CAS_Inc_Salary2324*VLOOKUP($A54,EnrollData2324,'2324 Jun 24 Enroll'!T$1,FALSE),2)-AC54</f>
        <v>16.629999999999995</v>
      </c>
      <c r="AE54" s="6">
        <f>ROUND($Z54*CLS_Base_Salary2324*VLOOKUP($A54,EnrollData2324,'2324 Jun 24 Enroll'!S$1,FALSE),2)</f>
        <v>921.43</v>
      </c>
      <c r="AF54" s="6">
        <f>ROUND($Z54*CLS_Inc_Salary2324*VLOOKUP($A54,EnrollData2324,'2324 Jun 24 Enroll'!T$1,FALSE),2)-AE54</f>
        <v>34.080000000000041</v>
      </c>
      <c r="AG54">
        <f t="shared" si="9"/>
        <v>734.16</v>
      </c>
      <c r="AH54" s="69">
        <f t="shared" si="23"/>
        <v>68.700000000000045</v>
      </c>
      <c r="AI54">
        <f t="shared" si="11"/>
        <v>214.23</v>
      </c>
      <c r="AJ54">
        <f t="shared" si="24"/>
        <v>114.21000000000001</v>
      </c>
      <c r="AK54">
        <f t="shared" si="25"/>
        <v>817.35</v>
      </c>
      <c r="AL54">
        <f t="shared" si="26"/>
        <v>29.17</v>
      </c>
      <c r="AM54">
        <f t="shared" si="27"/>
        <v>203.27</v>
      </c>
      <c r="AN54">
        <f t="shared" si="28"/>
        <v>6.33</v>
      </c>
      <c r="AO54">
        <f>ROUND(($J54*CIS_Inc_Salary2324*(VLOOKUP($A54,EnrollData2324,'2324 Jun 24 Enroll'!T$1,FALSE)+VLOOKUP($A54,EnrollData2324,'2324 Jun 24 Enroll'!U$1,FALSE))/Apport_613Xpd)*Apport_614Xpd,2)</f>
        <v>70.849999999999994</v>
      </c>
      <c r="AP54">
        <f t="shared" si="29"/>
        <v>12.28</v>
      </c>
      <c r="AQ54">
        <f t="shared" si="32"/>
        <v>30.93</v>
      </c>
      <c r="AR54" s="6">
        <f>ROUND((VLOOKUP($A54,EnrollData2324,'2324 Jun 24 Enroll'!D$1,FALSE)*Apport_M802324+VLOOKUP($A54,EnrollData2324,'2324 Jun 24 Enroll'!M$1,FALSE)*Apport_M802324+(VLOOKUP($A54,EnrollData2324,'2324 Jun 24 Enroll'!P$1,FALSE)+VLOOKUP($A54,EnrollData2324,'2324 Jun 24 Enroll'!Q$1,FALSE)+VLOOKUP($A54,EnrollData2324,'2324 Jun 24 Enroll'!R$1,FALSE)+VLOOKUP($A54,EnrollData2324,'2324 Jun 24 Enroll'!I$1,FALSE)+VLOOKUP($A54,EnrollData2324,'2324 Jun 24 Enroll'!N$1,FALSE)+VLOOKUP($A54,EnrollData2324,'2324 Jun 24 Enroll'!O$1,FALSE)+VLOOKUP($A54,EnrollData2324,'2324 Jun 24 Enroll'!K$1,FALSE)+VLOOKUP($A54,EnrollData2324,'2324 Jun 24 Enroll'!L$1,FALSE))*Apport_M812324)/(VLOOKUP($A54,EnrollData2324,'2324 Jun 24 Enroll'!M$1,FALSE)+VLOOKUP($A54,EnrollData2324,'2324 Jun 24 Enroll'!D$1,FALSE)),2)</f>
        <v>1560.58</v>
      </c>
      <c r="AS54" s="7">
        <f t="shared" si="33"/>
        <v>9534.2900000000009</v>
      </c>
    </row>
    <row r="55" spans="1:46">
      <c r="A55" s="40" t="s">
        <v>1029</v>
      </c>
      <c r="B55" s="40" t="s">
        <v>1030</v>
      </c>
      <c r="C55" s="11">
        <f>ROUND((IFERROR((1/IF(VLOOKUP($A55,EnrollData2324,28,FALSE)='District Calculations'!$B$10,VLOOKUP($A55,EnrollData2324,28,FALSE),'District Calculations'!$B$10))*(1+Apport_Z315),0))+Apport_201A2324,6)</f>
        <v>7.3449E-2</v>
      </c>
      <c r="D55">
        <f>ROUND(IF(VLOOKUP($A55,EnrollData2324,'2324 Jun 24 Enroll'!D$1,FALSE)='District Calculations'!$B$11,VLOOKUP($A55,EnrollData2324,'2324 Jun 24 Enroll'!D$1,FALSE),'District Calculations'!$B$11)*C55,3)</f>
        <v>0</v>
      </c>
      <c r="E55">
        <f>ROUND(IF(VLOOKUP($A55,EnrollData2324,'2324 Jun 24 Enroll'!E$1,FALSE)='District Calculations'!$B$12,VLOOKUP($A55,EnrollData2324,'2324 Jun 24 Enroll'!E$1,FALSE),'District Calculations'!$B$12)*C55,3)</f>
        <v>59.53</v>
      </c>
      <c r="F55">
        <f>ROUND(IF(VLOOKUP($A55,EnrollData2324,'2324 Jun 24 Enroll'!F$1,FALSE)='District Calculations'!$B$13,VLOOKUP($A55,EnrollData2324,'2324 Jun 24 Enroll'!F$1,FALSE),'District Calculations'!$B$13)*Apport_222A2324,3)</f>
        <v>10.101000000000001</v>
      </c>
      <c r="G55">
        <f>ROUND(IF(VLOOKUP($A55,EnrollData2324,'2324 Jun 24 Enroll'!G$1,FALSE)='District Calculations'!$B$14,VLOOKUP($A55,EnrollData2324,'2324 Jun 24 Enroll'!G$1,FALSE),'District Calculations'!$B$14)*Apport_210A2324,3)</f>
        <v>22.395</v>
      </c>
      <c r="H55">
        <f>ROUND(IF(VLOOKUP($A55,EnrollData2324,'2324 Jun 24 Enroll'!H$1,FALSE)='District Calculations'!$B$15,VLOOKUP($A55,EnrollData2324,'2324 Jun 24 Enroll'!H$1,FALSE),'District Calculations'!$B$15)*Apport_213A2324,3)</f>
        <v>23.091999999999999</v>
      </c>
      <c r="I55">
        <f>ROUND(IF(VLOOKUP($A55,EnrollData2324,'2324 Jun 24 Enroll'!I$1,FALSE)+VLOOKUP($A55,EnrollData2324,'2324 Jun 24 Enroll'!M$1,FALSE)-VLOOKUP($A55,EnrollData2324,'2324 Jun 24 Enroll'!J$1,FALSE)='District Calculations'!$B$16+'District Calculations'!$B$25-'District Calculations'!$B$17,VLOOKUP($A55,EnrollData2324,'2324 Jun 24 Enroll'!I$1,FALSE)+VLOOKUP($A55,EnrollData2324,'2324 Jun 24 Enroll'!M$1,FALSE)-VLOOKUP($A55,EnrollData2324,'2324 Jun 24 Enroll'!J$1,FALSE),'District Calculations'!$B$16+'District Calculations'!$B$25-'District Calculations'!$B$17)*Apport_216A2324,3)</f>
        <v>58.183999999999997</v>
      </c>
      <c r="J55">
        <f>ROUND(SUM(D55:I55)/(IF(VLOOKUP($A55,EnrollData2324,'2324 Jun 24 Enroll'!M$1,FALSE)='District Calculations'!$B$25,VLOOKUP($A55,EnrollData2324,'2324 Jun 24 Enroll'!M$1,FALSE),'District Calculations'!$B$25)+IF(VLOOKUP($A55,EnrollData2324,'2324 Jun 24 Enroll'!D$1,FALSE)='District Calculations'!$B$11,VLOOKUP($A55,EnrollData2324,'2324 Jun 24 Enroll'!D$1,FALSE),'District Calculations'!$B$11)),5)</f>
        <v>5.5530000000000003E-2</v>
      </c>
      <c r="K55" s="11">
        <f t="shared" si="21"/>
        <v>4.365E-3</v>
      </c>
      <c r="L55">
        <f>ROUND(IF(VLOOKUP($A55,EnrollData2324,'2324 Jun 24 Enroll'!D$1,FALSE)='District Calculations'!$B$11,VLOOKUP($A55,EnrollData2324,'2324 Jun 24 Enroll'!D$1,FALSE),'District Calculations'!$B$11)*K55,3)</f>
        <v>0</v>
      </c>
      <c r="M55">
        <f>ROUND(IF(VLOOKUP($A55,EnrollData2324,'2324 Jun 24 Enroll'!E$1,FALSE)='District Calculations'!$B$12,VLOOKUP($A55,EnrollData2324,'2324 Jun 24 Enroll'!E$1,FALSE),'District Calculations'!$B$12)*K55,3)</f>
        <v>3.5379999999999998</v>
      </c>
      <c r="N55">
        <f>ROUND(IF(VLOOKUP($A55,EnrollData2324,'2324 Jun 24 Enroll'!F$1,FALSE)='District Calculations'!$B$13,VLOOKUP($A55,EnrollData2324,'2324 Jun 24 Enroll'!F$1,FALSE),'District Calculations'!$B$13)*Apport_223A2324,3)</f>
        <v>0.84199999999999997</v>
      </c>
      <c r="O55">
        <f>ROUND(IF(VLOOKUP($A55,EnrollData2324,'2324 Jun 24 Enroll'!G$1,FALSE)='District Calculations'!$B$14,VLOOKUP($A55,EnrollData2324,'2324 Jun 24 Enroll'!G$1,FALSE),'District Calculations'!$B$14)*Apport_211A2324,3)</f>
        <v>1.867</v>
      </c>
      <c r="P55">
        <f>ROUND(IF(VLOOKUP($A55,EnrollData2324,'2324 Jun 24 Enroll'!H$1,FALSE)='District Calculations'!$B$14,VLOOKUP($A55,EnrollData2324,'2324 Jun 24 Enroll'!H$1,FALSE),'District Calculations'!$B$14)*Apport_214A2324,3)</f>
        <v>1.8660000000000001</v>
      </c>
      <c r="Q55">
        <f>ROUND(IF(VLOOKUP($A55,EnrollData2324,'2324 Jun 24 Enroll'!I$1,FALSE)+VLOOKUP($A55,EnrollData2324,'2324 Jun 24 Enroll'!M$1,FALSE)-VLOOKUP($A55,EnrollData2324,'2324 Jun 24 Enroll'!J$1,FALSE)='District Calculations'!$B$16+'District Calculations'!$B$25-'District Calculations'!$B$17,VLOOKUP($A55,EnrollData2324,'2324 Jun 24 Enroll'!I$1,FALSE)+VLOOKUP($A55,EnrollData2324,'2324 Jun 24 Enroll'!M$1,FALSE)-VLOOKUP($A55,EnrollData2324,'2324 Jun 24 Enroll'!J$1,FALSE),'District Calculations'!$B$16+'District Calculations'!$B$25-'District Calculations'!$B$17)*Apport_217A2324,3)</f>
        <v>4.6980000000000004</v>
      </c>
      <c r="R55">
        <f>ROUND(SUM(L55:Q55)/IF(VLOOKUP($A55,EnrollData2324,'2324 Jun 24 Enroll'!M$1,FALSE)+VLOOKUP($A55,EnrollData2324,'2324 Jun 24 Enroll'!D$1,FALSE)='District Calculations'!$B$25+'District Calculations'!$B$11,VLOOKUP($A55,EnrollData2324,'2324 Jun 24 Enroll'!M$1,FALSE)+VLOOKUP($A55,EnrollData2324,'2324 Jun 24 Enroll'!D$1,FALSE),'District Calculations'!$B$25+'District Calculations'!$B$11),5)</f>
        <v>4.1000000000000003E-3</v>
      </c>
      <c r="S55" s="11">
        <f t="shared" si="22"/>
        <v>1.8294500000000002E-2</v>
      </c>
      <c r="T55">
        <f>ROUND(IF(VLOOKUP($A55,EnrollData2324,'2324 Jun 24 Enroll'!D$1,FALSE)='District Calculations'!$B$11,VLOOKUP($A55,EnrollData2324,'2324 Jun 24 Enroll'!D$1,FALSE),'District Calculations'!$B$11)*S55,3)</f>
        <v>0</v>
      </c>
      <c r="U55">
        <f>ROUND(IF(VLOOKUP($A55,EnrollData2324,'2324 Jun 24 Enroll'!E$1,FALSE)='District Calculations'!$B$12,VLOOKUP($A55,EnrollData2324,'2324 Jun 24 Enroll'!E$1,FALSE),'District Calculations'!$B$12)*S55,3)</f>
        <v>14.827999999999999</v>
      </c>
      <c r="V55">
        <f>ROUND(IF(VLOOKUP($A55,EnrollData2324,'2324 Jun 24 Enroll'!F$1,FALSE)='District Calculations'!$B$13,VLOOKUP($A55,EnrollData2324,'2324 Jun 24 Enroll'!F$1,FALSE),'District Calculations'!$B$13)*Apport_224A2324,3)</f>
        <v>3.6190000000000002</v>
      </c>
      <c r="W55">
        <f>ROUND(IF(VLOOKUP($A55,EnrollData2324,'2324 Jun 24 Enroll'!G$1,FALSE)='District Calculations'!$B$14,VLOOKUP($A55,EnrollData2324,'2324 Jun 24 Enroll'!G$1,FALSE),'District Calculations'!$B$14)*Apport_212A2324,3)</f>
        <v>8.0239999999999991</v>
      </c>
      <c r="X55">
        <f>ROUND(IF(VLOOKUP($A55,EnrollData2324,'2324 Jun 24 Enroll'!H$1,FALSE)='District Calculations'!$B$14,VLOOKUP($A55,EnrollData2324,'2324 Jun 24 Enroll'!H$1,FALSE),'District Calculations'!$B$14)*Apport_215A2324,3)</f>
        <v>7.9279999999999999</v>
      </c>
      <c r="Y55">
        <f>ROUND(IF(VLOOKUP($A55,EnrollData2324,'2324 Jun 24 Enroll'!I$1,FALSE)+VLOOKUP($A55,EnrollData2324,'2324 Jun 24 Enroll'!M$1,FALSE)-VLOOKUP($A55,EnrollData2324,'2324 Jun 24 Enroll'!J$1,FALSE)='District Calculations'!$B$16+'District Calculations'!$B$25-'District Calculations'!$B$17,VLOOKUP($A55,EnrollData2324,'2324 Jun 24 Enroll'!I$1,FALSE)+VLOOKUP($A55,EnrollData2324,'2324 Jun 24 Enroll'!M$1,FALSE)-VLOOKUP($A55,EnrollData2324,'2324 Jun 24 Enroll'!J$1,FALSE),'District Calculations'!$B$16+'District Calculations'!$B$25-'District Calculations'!$B$17)*Apport_218A2324,3)</f>
        <v>19.917999999999999</v>
      </c>
      <c r="Z55">
        <f>ROUND(SUM(T55:Y55)/IF(VLOOKUP($A55,EnrollData2324,'2324 Jun 24 Enroll'!M$1,FALSE)+VLOOKUP($A55,EnrollData2324,'2324 Jun 24 Enroll'!D$1,FALSE)='District Calculations'!$B$25+'District Calculations'!$B$11,VLOOKUP($A55,EnrollData2324,'2324 Jun 24 Enroll'!M$1,FALSE)+VLOOKUP($A55,EnrollData2324,'2324 Jun 24 Enroll'!D$1,FALSE),'District Calculations'!$B$25+'District Calculations'!$B$11),5)</f>
        <v>1.7399999999999999E-2</v>
      </c>
      <c r="AA55" s="6">
        <f>ROUND($J55*CIS_Base_Salary2324*VLOOKUP($A55,EnrollData2324,'2324 Jun 24 Enroll'!S$1,FALSE),2)</f>
        <v>4099.16</v>
      </c>
      <c r="AB55" s="6">
        <f>ROUND($J55*CIS_Inc_Salary2324*(VLOOKUP($A55,EnrollData2324,'2324 Jun 24 Enroll'!T$1,FALSE)+VLOOKUP($A55,EnrollData2324,'2324 Jun 24 Enroll'!U$1,FALSE)),2)-AA55</f>
        <v>151.68000000000029</v>
      </c>
      <c r="AC55" s="6">
        <f>ROUND($R55*CAS_Base_Salary2324*VLOOKUP($A55,EnrollData2324,'2324 Jun 24 Enroll'!S$1,FALSE),2)</f>
        <v>449.25</v>
      </c>
      <c r="AD55" s="6">
        <f>ROUND($R55*CAS_Inc_Salary2324*VLOOKUP($A55,EnrollData2324,'2324 Jun 24 Enroll'!T$1,FALSE),2)-AC55</f>
        <v>16.629999999999995</v>
      </c>
      <c r="AE55" s="6">
        <f>ROUND($Z55*CLS_Base_Salary2324*VLOOKUP($A55,EnrollData2324,'2324 Jun 24 Enroll'!S$1,FALSE),2)</f>
        <v>921.43</v>
      </c>
      <c r="AF55" s="6">
        <f>ROUND($Z55*CLS_Inc_Salary2324*VLOOKUP($A55,EnrollData2324,'2324 Jun 24 Enroll'!T$1,FALSE),2)-AE55</f>
        <v>34.080000000000041</v>
      </c>
      <c r="AG55">
        <f t="shared" si="9"/>
        <v>734.16</v>
      </c>
      <c r="AH55" s="69">
        <f t="shared" si="23"/>
        <v>68.700000000000045</v>
      </c>
      <c r="AI55">
        <f t="shared" si="11"/>
        <v>214.23</v>
      </c>
      <c r="AJ55">
        <f t="shared" si="24"/>
        <v>114.21000000000001</v>
      </c>
      <c r="AK55">
        <f t="shared" si="25"/>
        <v>817.35</v>
      </c>
      <c r="AL55">
        <f t="shared" si="26"/>
        <v>29.17</v>
      </c>
      <c r="AM55">
        <f t="shared" si="27"/>
        <v>203.27</v>
      </c>
      <c r="AN55">
        <f t="shared" si="28"/>
        <v>6.33</v>
      </c>
      <c r="AO55">
        <f>ROUND(($J55*CIS_Inc_Salary2324*(VLOOKUP($A55,EnrollData2324,'2324 Jun 24 Enroll'!T$1,FALSE)+VLOOKUP($A55,EnrollData2324,'2324 Jun 24 Enroll'!U$1,FALSE))/Apport_613Xpd)*Apport_614Xpd,2)</f>
        <v>70.849999999999994</v>
      </c>
      <c r="AP55">
        <f t="shared" si="29"/>
        <v>12.28</v>
      </c>
      <c r="AQ55">
        <f t="shared" si="32"/>
        <v>30.93</v>
      </c>
      <c r="AR55" s="6">
        <f>ROUND((VLOOKUP($A55,EnrollData2324,'2324 Jun 24 Enroll'!D$1,FALSE)*Apport_M802324+VLOOKUP($A55,EnrollData2324,'2324 Jun 24 Enroll'!M$1,FALSE)*Apport_M802324+(VLOOKUP($A55,EnrollData2324,'2324 Jun 24 Enroll'!P$1,FALSE)+VLOOKUP($A55,EnrollData2324,'2324 Jun 24 Enroll'!Q$1,FALSE)+VLOOKUP($A55,EnrollData2324,'2324 Jun 24 Enroll'!R$1,FALSE)+VLOOKUP($A55,EnrollData2324,'2324 Jun 24 Enroll'!I$1,FALSE)+VLOOKUP($A55,EnrollData2324,'2324 Jun 24 Enroll'!N$1,FALSE)+VLOOKUP($A55,EnrollData2324,'2324 Jun 24 Enroll'!O$1,FALSE)+VLOOKUP($A55,EnrollData2324,'2324 Jun 24 Enroll'!K$1,FALSE)+VLOOKUP($A55,EnrollData2324,'2324 Jun 24 Enroll'!L$1,FALSE))*Apport_M812324)/(VLOOKUP($A55,EnrollData2324,'2324 Jun 24 Enroll'!M$1,FALSE)+VLOOKUP($A55,EnrollData2324,'2324 Jun 24 Enroll'!D$1,FALSE)),2)</f>
        <v>1523.53</v>
      </c>
      <c r="AS55" s="7">
        <f t="shared" si="33"/>
        <v>9497.2400000000016</v>
      </c>
    </row>
    <row r="56" spans="1:46">
      <c r="A56" s="40" t="s">
        <v>695</v>
      </c>
      <c r="B56" s="40" t="s">
        <v>696</v>
      </c>
      <c r="C56" s="11">
        <f>ROUND((IFERROR((1/IF(VLOOKUP($A56,EnrollData2324,28,FALSE)='District Calculations'!$B$10,VLOOKUP($A56,EnrollData2324,28,FALSE),'District Calculations'!$B$10))*(1+Apport_Z315),0))+Apport_201A2324,6)</f>
        <v>7.3449E-2</v>
      </c>
      <c r="D56">
        <f>ROUND(IF(VLOOKUP($A56,EnrollData2324,'2324 Jun 24 Enroll'!D$1,FALSE)='District Calculations'!$B$11,VLOOKUP($A56,EnrollData2324,'2324 Jun 24 Enroll'!D$1,FALSE),'District Calculations'!$B$11)*C56,3)</f>
        <v>0</v>
      </c>
      <c r="E56">
        <f>ROUND(IF(VLOOKUP($A56,EnrollData2324,'2324 Jun 24 Enroll'!E$1,FALSE)='District Calculations'!$B$12,VLOOKUP($A56,EnrollData2324,'2324 Jun 24 Enroll'!E$1,FALSE),'District Calculations'!$B$12)*C56,3)</f>
        <v>59.53</v>
      </c>
      <c r="F56">
        <f>ROUND(IF(VLOOKUP($A56,EnrollData2324,'2324 Jun 24 Enroll'!F$1,FALSE)='District Calculations'!$B$13,VLOOKUP($A56,EnrollData2324,'2324 Jun 24 Enroll'!F$1,FALSE),'District Calculations'!$B$13)*Apport_222A2324,3)</f>
        <v>10.101000000000001</v>
      </c>
      <c r="G56">
        <f>ROUND(IF(VLOOKUP($A56,EnrollData2324,'2324 Jun 24 Enroll'!G$1,FALSE)='District Calculations'!$B$14,VLOOKUP($A56,EnrollData2324,'2324 Jun 24 Enroll'!G$1,FALSE),'District Calculations'!$B$14)*Apport_210A2324,3)</f>
        <v>22.395</v>
      </c>
      <c r="H56">
        <f>ROUND(IF(VLOOKUP($A56,EnrollData2324,'2324 Jun 24 Enroll'!H$1,FALSE)='District Calculations'!$B$15,VLOOKUP($A56,EnrollData2324,'2324 Jun 24 Enroll'!H$1,FALSE),'District Calculations'!$B$15)*Apport_213A2324,3)</f>
        <v>23.091999999999999</v>
      </c>
      <c r="I56">
        <f>ROUND(IF(VLOOKUP($A56,EnrollData2324,'2324 Jun 24 Enroll'!I$1,FALSE)+VLOOKUP($A56,EnrollData2324,'2324 Jun 24 Enroll'!M$1,FALSE)-VLOOKUP($A56,EnrollData2324,'2324 Jun 24 Enroll'!J$1,FALSE)='District Calculations'!$B$16+'District Calculations'!$B$25-'District Calculations'!$B$17,VLOOKUP($A56,EnrollData2324,'2324 Jun 24 Enroll'!I$1,FALSE)+VLOOKUP($A56,EnrollData2324,'2324 Jun 24 Enroll'!M$1,FALSE)-VLOOKUP($A56,EnrollData2324,'2324 Jun 24 Enroll'!J$1,FALSE),'District Calculations'!$B$16+'District Calculations'!$B$25-'District Calculations'!$B$17)*Apport_216A2324,3)</f>
        <v>58.183999999999997</v>
      </c>
      <c r="J56">
        <f>ROUND(SUM(D56:I56)/(IF(VLOOKUP($A56,EnrollData2324,'2324 Jun 24 Enroll'!M$1,FALSE)='District Calculations'!$B$25,VLOOKUP($A56,EnrollData2324,'2324 Jun 24 Enroll'!M$1,FALSE),'District Calculations'!$B$25)+IF(VLOOKUP($A56,EnrollData2324,'2324 Jun 24 Enroll'!D$1,FALSE)='District Calculations'!$B$11,VLOOKUP($A56,EnrollData2324,'2324 Jun 24 Enroll'!D$1,FALSE),'District Calculations'!$B$11)),5)</f>
        <v>5.5530000000000003E-2</v>
      </c>
      <c r="K56" s="11">
        <f t="shared" si="21"/>
        <v>4.365E-3</v>
      </c>
      <c r="L56">
        <f>ROUND(IF(VLOOKUP($A56,EnrollData2324,'2324 Jun 24 Enroll'!D$1,FALSE)='District Calculations'!$B$11,VLOOKUP($A56,EnrollData2324,'2324 Jun 24 Enroll'!D$1,FALSE),'District Calculations'!$B$11)*K56,3)</f>
        <v>0</v>
      </c>
      <c r="M56">
        <f>ROUND(IF(VLOOKUP($A56,EnrollData2324,'2324 Jun 24 Enroll'!E$1,FALSE)='District Calculations'!$B$12,VLOOKUP($A56,EnrollData2324,'2324 Jun 24 Enroll'!E$1,FALSE),'District Calculations'!$B$12)*K56,3)</f>
        <v>3.5379999999999998</v>
      </c>
      <c r="N56">
        <f>ROUND(IF(VLOOKUP($A56,EnrollData2324,'2324 Jun 24 Enroll'!F$1,FALSE)='District Calculations'!$B$13,VLOOKUP($A56,EnrollData2324,'2324 Jun 24 Enroll'!F$1,FALSE),'District Calculations'!$B$13)*Apport_223A2324,3)</f>
        <v>0.84199999999999997</v>
      </c>
      <c r="O56">
        <f>ROUND(IF(VLOOKUP($A56,EnrollData2324,'2324 Jun 24 Enroll'!G$1,FALSE)='District Calculations'!$B$14,VLOOKUP($A56,EnrollData2324,'2324 Jun 24 Enroll'!G$1,FALSE),'District Calculations'!$B$14)*Apport_211A2324,3)</f>
        <v>1.867</v>
      </c>
      <c r="P56">
        <f>ROUND(IF(VLOOKUP($A56,EnrollData2324,'2324 Jun 24 Enroll'!H$1,FALSE)='District Calculations'!$B$14,VLOOKUP($A56,EnrollData2324,'2324 Jun 24 Enroll'!H$1,FALSE),'District Calculations'!$B$14)*Apport_214A2324,3)</f>
        <v>1.8660000000000001</v>
      </c>
      <c r="Q56">
        <f>ROUND(IF(VLOOKUP($A56,EnrollData2324,'2324 Jun 24 Enroll'!I$1,FALSE)+VLOOKUP($A56,EnrollData2324,'2324 Jun 24 Enroll'!M$1,FALSE)-VLOOKUP($A56,EnrollData2324,'2324 Jun 24 Enroll'!J$1,FALSE)='District Calculations'!$B$16+'District Calculations'!$B$25-'District Calculations'!$B$17,VLOOKUP($A56,EnrollData2324,'2324 Jun 24 Enroll'!I$1,FALSE)+VLOOKUP($A56,EnrollData2324,'2324 Jun 24 Enroll'!M$1,FALSE)-VLOOKUP($A56,EnrollData2324,'2324 Jun 24 Enroll'!J$1,FALSE),'District Calculations'!$B$16+'District Calculations'!$B$25-'District Calculations'!$B$17)*Apport_217A2324,3)</f>
        <v>4.6980000000000004</v>
      </c>
      <c r="R56">
        <f>ROUND(SUM(L56:Q56)/IF(VLOOKUP($A56,EnrollData2324,'2324 Jun 24 Enroll'!M$1,FALSE)+VLOOKUP($A56,EnrollData2324,'2324 Jun 24 Enroll'!D$1,FALSE)='District Calculations'!$B$25+'District Calculations'!$B$11,VLOOKUP($A56,EnrollData2324,'2324 Jun 24 Enroll'!M$1,FALSE)+VLOOKUP($A56,EnrollData2324,'2324 Jun 24 Enroll'!D$1,FALSE),'District Calculations'!$B$25+'District Calculations'!$B$11),5)</f>
        <v>4.1000000000000003E-3</v>
      </c>
      <c r="S56" s="11">
        <f t="shared" si="22"/>
        <v>1.8294500000000002E-2</v>
      </c>
      <c r="T56">
        <f>ROUND(IF(VLOOKUP($A56,EnrollData2324,'2324 Jun 24 Enroll'!D$1,FALSE)='District Calculations'!$B$11,VLOOKUP($A56,EnrollData2324,'2324 Jun 24 Enroll'!D$1,FALSE),'District Calculations'!$B$11)*S56,3)</f>
        <v>0</v>
      </c>
      <c r="U56">
        <f>ROUND(IF(VLOOKUP($A56,EnrollData2324,'2324 Jun 24 Enroll'!E$1,FALSE)='District Calculations'!$B$12,VLOOKUP($A56,EnrollData2324,'2324 Jun 24 Enroll'!E$1,FALSE),'District Calculations'!$B$12)*S56,3)</f>
        <v>14.827999999999999</v>
      </c>
      <c r="V56">
        <f>ROUND(IF(VLOOKUP($A56,EnrollData2324,'2324 Jun 24 Enroll'!F$1,FALSE)='District Calculations'!$B$13,VLOOKUP($A56,EnrollData2324,'2324 Jun 24 Enroll'!F$1,FALSE),'District Calculations'!$B$13)*Apport_224A2324,3)</f>
        <v>3.6190000000000002</v>
      </c>
      <c r="W56">
        <f>ROUND(IF(VLOOKUP($A56,EnrollData2324,'2324 Jun 24 Enroll'!G$1,FALSE)='District Calculations'!$B$14,VLOOKUP($A56,EnrollData2324,'2324 Jun 24 Enroll'!G$1,FALSE),'District Calculations'!$B$14)*Apport_212A2324,3)</f>
        <v>8.0239999999999991</v>
      </c>
      <c r="X56">
        <f>ROUND(IF(VLOOKUP($A56,EnrollData2324,'2324 Jun 24 Enroll'!H$1,FALSE)='District Calculations'!$B$14,VLOOKUP($A56,EnrollData2324,'2324 Jun 24 Enroll'!H$1,FALSE),'District Calculations'!$B$14)*Apport_215A2324,3)</f>
        <v>7.9279999999999999</v>
      </c>
      <c r="Y56">
        <f>ROUND(IF(VLOOKUP($A56,EnrollData2324,'2324 Jun 24 Enroll'!I$1,FALSE)+VLOOKUP($A56,EnrollData2324,'2324 Jun 24 Enroll'!M$1,FALSE)-VLOOKUP($A56,EnrollData2324,'2324 Jun 24 Enroll'!J$1,FALSE)='District Calculations'!$B$16+'District Calculations'!$B$25-'District Calculations'!$B$17,VLOOKUP($A56,EnrollData2324,'2324 Jun 24 Enroll'!I$1,FALSE)+VLOOKUP($A56,EnrollData2324,'2324 Jun 24 Enroll'!M$1,FALSE)-VLOOKUP($A56,EnrollData2324,'2324 Jun 24 Enroll'!J$1,FALSE),'District Calculations'!$B$16+'District Calculations'!$B$25-'District Calculations'!$B$17)*Apport_218A2324,3)</f>
        <v>19.917999999999999</v>
      </c>
      <c r="Z56">
        <f>ROUND(SUM(T56:Y56)/IF(VLOOKUP($A56,EnrollData2324,'2324 Jun 24 Enroll'!M$1,FALSE)+VLOOKUP($A56,EnrollData2324,'2324 Jun 24 Enroll'!D$1,FALSE)='District Calculations'!$B$25+'District Calculations'!$B$11,VLOOKUP($A56,EnrollData2324,'2324 Jun 24 Enroll'!M$1,FALSE)+VLOOKUP($A56,EnrollData2324,'2324 Jun 24 Enroll'!D$1,FALSE),'District Calculations'!$B$25+'District Calculations'!$B$11),5)</f>
        <v>1.7399999999999999E-2</v>
      </c>
      <c r="AA56" s="6">
        <f>ROUND($J56*CIS_Base_Salary2324*VLOOKUP($A56,EnrollData2324,'2324 Jun 24 Enroll'!S$1,FALSE),2)</f>
        <v>4099.16</v>
      </c>
      <c r="AB56" s="6">
        <f>ROUND($J56*CIS_Inc_Salary2324*(VLOOKUP($A56,EnrollData2324,'2324 Jun 24 Enroll'!T$1,FALSE)+VLOOKUP($A56,EnrollData2324,'2324 Jun 24 Enroll'!U$1,FALSE)),2)-AA56</f>
        <v>256.38000000000011</v>
      </c>
      <c r="AC56" s="6">
        <f>ROUND($R56*CAS_Base_Salary2324*VLOOKUP($A56,EnrollData2324,'2324 Jun 24 Enroll'!S$1,FALSE),2)</f>
        <v>449.25</v>
      </c>
      <c r="AD56" s="6">
        <f>ROUND($R56*CAS_Inc_Salary2324*VLOOKUP($A56,EnrollData2324,'2324 Jun 24 Enroll'!T$1,FALSE),2)-AC56</f>
        <v>16.629999999999995</v>
      </c>
      <c r="AE56" s="6">
        <f>ROUND($Z56*CLS_Base_Salary2324*VLOOKUP($A56,EnrollData2324,'2324 Jun 24 Enroll'!S$1,FALSE),2)</f>
        <v>921.43</v>
      </c>
      <c r="AF56" s="6">
        <f>ROUND($Z56*CLS_Inc_Salary2324*VLOOKUP($A56,EnrollData2324,'2324 Jun 24 Enroll'!T$1,FALSE),2)-AE56</f>
        <v>34.080000000000041</v>
      </c>
      <c r="AG56">
        <f t="shared" si="9"/>
        <v>734.16</v>
      </c>
      <c r="AH56" s="69">
        <f t="shared" si="23"/>
        <v>68.700000000000045</v>
      </c>
      <c r="AI56">
        <f t="shared" si="11"/>
        <v>214.23</v>
      </c>
      <c r="AJ56">
        <f t="shared" si="24"/>
        <v>114.21000000000001</v>
      </c>
      <c r="AK56">
        <f t="shared" si="25"/>
        <v>817.35</v>
      </c>
      <c r="AL56">
        <f t="shared" si="26"/>
        <v>47.31</v>
      </c>
      <c r="AM56">
        <f t="shared" si="27"/>
        <v>203.27</v>
      </c>
      <c r="AN56">
        <f t="shared" si="28"/>
        <v>6.33</v>
      </c>
      <c r="AO56">
        <f>ROUND(($J56*CIS_Inc_Salary2324*(VLOOKUP($A56,EnrollData2324,'2324 Jun 24 Enroll'!T$1,FALSE)+VLOOKUP($A56,EnrollData2324,'2324 Jun 24 Enroll'!U$1,FALSE))/Apport_613Xpd)*Apport_614Xpd,2)</f>
        <v>72.59</v>
      </c>
      <c r="AP56">
        <f t="shared" si="29"/>
        <v>12.58</v>
      </c>
      <c r="AQ56">
        <f t="shared" si="32"/>
        <v>30.93</v>
      </c>
      <c r="AR56" s="6">
        <f>ROUND((VLOOKUP($A56,EnrollData2324,'2324 Jun 24 Enroll'!D$1,FALSE)*Apport_M802324+VLOOKUP($A56,EnrollData2324,'2324 Jun 24 Enroll'!M$1,FALSE)*Apport_M802324+(VLOOKUP($A56,EnrollData2324,'2324 Jun 24 Enroll'!P$1,FALSE)+VLOOKUP($A56,EnrollData2324,'2324 Jun 24 Enroll'!Q$1,FALSE)+VLOOKUP($A56,EnrollData2324,'2324 Jun 24 Enroll'!R$1,FALSE)+VLOOKUP($A56,EnrollData2324,'2324 Jun 24 Enroll'!I$1,FALSE)+VLOOKUP($A56,EnrollData2324,'2324 Jun 24 Enroll'!N$1,FALSE)+VLOOKUP($A56,EnrollData2324,'2324 Jun 24 Enroll'!O$1,FALSE)+VLOOKUP($A56,EnrollData2324,'2324 Jun 24 Enroll'!K$1,FALSE)+VLOOKUP($A56,EnrollData2324,'2324 Jun 24 Enroll'!L$1,FALSE))*Apport_M812324)/(VLOOKUP($A56,EnrollData2324,'2324 Jun 24 Enroll'!M$1,FALSE)+VLOOKUP($A56,EnrollData2324,'2324 Jun 24 Enroll'!D$1,FALSE)),2)</f>
        <v>1556.68</v>
      </c>
      <c r="AS56" s="7">
        <f t="shared" si="33"/>
        <v>9655.27</v>
      </c>
    </row>
    <row r="57" spans="1:46">
      <c r="A57" s="40" t="s">
        <v>412</v>
      </c>
      <c r="B57" s="40" t="s">
        <v>413</v>
      </c>
      <c r="C57" s="11">
        <f>ROUND((IFERROR((1/IF(VLOOKUP($A57,EnrollData2324,28,FALSE)='District Calculations'!$B$10,VLOOKUP($A57,EnrollData2324,28,FALSE),'District Calculations'!$B$10))*(1+Apport_Z315),0))+Apport_201A2324,6)</f>
        <v>7.3449E-2</v>
      </c>
      <c r="D57">
        <f>ROUND(IF(VLOOKUP($A57,EnrollData2324,'2324 Jun 24 Enroll'!D$1,FALSE)='District Calculations'!$B$11,VLOOKUP($A57,EnrollData2324,'2324 Jun 24 Enroll'!D$1,FALSE),'District Calculations'!$B$11)*C57,3)</f>
        <v>0</v>
      </c>
      <c r="E57">
        <f>ROUND(IF(VLOOKUP($A57,EnrollData2324,'2324 Jun 24 Enroll'!E$1,FALSE)='District Calculations'!$B$12,VLOOKUP($A57,EnrollData2324,'2324 Jun 24 Enroll'!E$1,FALSE),'District Calculations'!$B$12)*C57,3)</f>
        <v>59.53</v>
      </c>
      <c r="F57">
        <f>ROUND(IF(VLOOKUP($A57,EnrollData2324,'2324 Jun 24 Enroll'!F$1,FALSE)='District Calculations'!$B$13,VLOOKUP($A57,EnrollData2324,'2324 Jun 24 Enroll'!F$1,FALSE),'District Calculations'!$B$13)*Apport_222A2324,3)</f>
        <v>10.101000000000001</v>
      </c>
      <c r="G57">
        <f>ROUND(IF(VLOOKUP($A57,EnrollData2324,'2324 Jun 24 Enroll'!G$1,FALSE)='District Calculations'!$B$14,VLOOKUP($A57,EnrollData2324,'2324 Jun 24 Enroll'!G$1,FALSE),'District Calculations'!$B$14)*Apport_210A2324,3)</f>
        <v>22.395</v>
      </c>
      <c r="H57">
        <f>ROUND(IF(VLOOKUP($A57,EnrollData2324,'2324 Jun 24 Enroll'!H$1,FALSE)='District Calculations'!$B$15,VLOOKUP($A57,EnrollData2324,'2324 Jun 24 Enroll'!H$1,FALSE),'District Calculations'!$B$15)*Apport_213A2324,3)</f>
        <v>23.091999999999999</v>
      </c>
      <c r="I57">
        <f>ROUND(IF(VLOOKUP($A57,EnrollData2324,'2324 Jun 24 Enroll'!I$1,FALSE)+VLOOKUP($A57,EnrollData2324,'2324 Jun 24 Enroll'!M$1,FALSE)-VLOOKUP($A57,EnrollData2324,'2324 Jun 24 Enroll'!J$1,FALSE)='District Calculations'!$B$16+'District Calculations'!$B$25-'District Calculations'!$B$17,VLOOKUP($A57,EnrollData2324,'2324 Jun 24 Enroll'!I$1,FALSE)+VLOOKUP($A57,EnrollData2324,'2324 Jun 24 Enroll'!M$1,FALSE)-VLOOKUP($A57,EnrollData2324,'2324 Jun 24 Enroll'!J$1,FALSE),'District Calculations'!$B$16+'District Calculations'!$B$25-'District Calculations'!$B$17)*Apport_216A2324,3)</f>
        <v>58.183999999999997</v>
      </c>
      <c r="J57">
        <f>ROUND(SUM(D57:I57)/(IF(VLOOKUP($A57,EnrollData2324,'2324 Jun 24 Enroll'!M$1,FALSE)='District Calculations'!$B$25,VLOOKUP($A57,EnrollData2324,'2324 Jun 24 Enroll'!M$1,FALSE),'District Calculations'!$B$25)+IF(VLOOKUP($A57,EnrollData2324,'2324 Jun 24 Enroll'!D$1,FALSE)='District Calculations'!$B$11,VLOOKUP($A57,EnrollData2324,'2324 Jun 24 Enroll'!D$1,FALSE),'District Calculations'!$B$11)),5)</f>
        <v>5.5530000000000003E-2</v>
      </c>
      <c r="K57" s="11">
        <f t="shared" si="21"/>
        <v>4.365E-3</v>
      </c>
      <c r="L57">
        <f>ROUND(IF(VLOOKUP($A57,EnrollData2324,'2324 Jun 24 Enroll'!D$1,FALSE)='District Calculations'!$B$11,VLOOKUP($A57,EnrollData2324,'2324 Jun 24 Enroll'!D$1,FALSE),'District Calculations'!$B$11)*K57,3)</f>
        <v>0</v>
      </c>
      <c r="M57">
        <f>ROUND(IF(VLOOKUP($A57,EnrollData2324,'2324 Jun 24 Enroll'!E$1,FALSE)='District Calculations'!$B$12,VLOOKUP($A57,EnrollData2324,'2324 Jun 24 Enroll'!E$1,FALSE),'District Calculations'!$B$12)*K57,3)</f>
        <v>3.5379999999999998</v>
      </c>
      <c r="N57">
        <f>ROUND(IF(VLOOKUP($A57,EnrollData2324,'2324 Jun 24 Enroll'!F$1,FALSE)='District Calculations'!$B$13,VLOOKUP($A57,EnrollData2324,'2324 Jun 24 Enroll'!F$1,FALSE),'District Calculations'!$B$13)*Apport_223A2324,3)</f>
        <v>0.84199999999999997</v>
      </c>
      <c r="O57">
        <f>ROUND(IF(VLOOKUP($A57,EnrollData2324,'2324 Jun 24 Enroll'!G$1,FALSE)='District Calculations'!$B$14,VLOOKUP($A57,EnrollData2324,'2324 Jun 24 Enroll'!G$1,FALSE),'District Calculations'!$B$14)*Apport_211A2324,3)</f>
        <v>1.867</v>
      </c>
      <c r="P57">
        <f>ROUND(IF(VLOOKUP($A57,EnrollData2324,'2324 Jun 24 Enroll'!H$1,FALSE)='District Calculations'!$B$14,VLOOKUP($A57,EnrollData2324,'2324 Jun 24 Enroll'!H$1,FALSE),'District Calculations'!$B$14)*Apport_214A2324,3)</f>
        <v>1.8660000000000001</v>
      </c>
      <c r="Q57">
        <f>ROUND(IF(VLOOKUP($A57,EnrollData2324,'2324 Jun 24 Enroll'!I$1,FALSE)+VLOOKUP($A57,EnrollData2324,'2324 Jun 24 Enroll'!M$1,FALSE)-VLOOKUP($A57,EnrollData2324,'2324 Jun 24 Enroll'!J$1,FALSE)='District Calculations'!$B$16+'District Calculations'!$B$25-'District Calculations'!$B$17,VLOOKUP($A57,EnrollData2324,'2324 Jun 24 Enroll'!I$1,FALSE)+VLOOKUP($A57,EnrollData2324,'2324 Jun 24 Enroll'!M$1,FALSE)-VLOOKUP($A57,EnrollData2324,'2324 Jun 24 Enroll'!J$1,FALSE),'District Calculations'!$B$16+'District Calculations'!$B$25-'District Calculations'!$B$17)*Apport_217A2324,3)</f>
        <v>4.6980000000000004</v>
      </c>
      <c r="R57">
        <f>ROUND(SUM(L57:Q57)/IF(VLOOKUP($A57,EnrollData2324,'2324 Jun 24 Enroll'!M$1,FALSE)+VLOOKUP($A57,EnrollData2324,'2324 Jun 24 Enroll'!D$1,FALSE)='District Calculations'!$B$25+'District Calculations'!$B$11,VLOOKUP($A57,EnrollData2324,'2324 Jun 24 Enroll'!M$1,FALSE)+VLOOKUP($A57,EnrollData2324,'2324 Jun 24 Enroll'!D$1,FALSE),'District Calculations'!$B$25+'District Calculations'!$B$11),5)</f>
        <v>4.1000000000000003E-3</v>
      </c>
      <c r="S57" s="11">
        <f t="shared" si="22"/>
        <v>1.8294500000000002E-2</v>
      </c>
      <c r="T57">
        <f>ROUND(IF(VLOOKUP($A57,EnrollData2324,'2324 Jun 24 Enroll'!D$1,FALSE)='District Calculations'!$B$11,VLOOKUP($A57,EnrollData2324,'2324 Jun 24 Enroll'!D$1,FALSE),'District Calculations'!$B$11)*S57,3)</f>
        <v>0</v>
      </c>
      <c r="U57">
        <f>ROUND(IF(VLOOKUP($A57,EnrollData2324,'2324 Jun 24 Enroll'!E$1,FALSE)='District Calculations'!$B$12,VLOOKUP($A57,EnrollData2324,'2324 Jun 24 Enroll'!E$1,FALSE),'District Calculations'!$B$12)*S57,3)</f>
        <v>14.827999999999999</v>
      </c>
      <c r="V57">
        <f>ROUND(IF(VLOOKUP($A57,EnrollData2324,'2324 Jun 24 Enroll'!F$1,FALSE)='District Calculations'!$B$13,VLOOKUP($A57,EnrollData2324,'2324 Jun 24 Enroll'!F$1,FALSE),'District Calculations'!$B$13)*Apport_224A2324,3)</f>
        <v>3.6190000000000002</v>
      </c>
      <c r="W57">
        <f>ROUND(IF(VLOOKUP($A57,EnrollData2324,'2324 Jun 24 Enroll'!G$1,FALSE)='District Calculations'!$B$14,VLOOKUP($A57,EnrollData2324,'2324 Jun 24 Enroll'!G$1,FALSE),'District Calculations'!$B$14)*Apport_212A2324,3)</f>
        <v>8.0239999999999991</v>
      </c>
      <c r="X57">
        <f>ROUND(IF(VLOOKUP($A57,EnrollData2324,'2324 Jun 24 Enroll'!H$1,FALSE)='District Calculations'!$B$14,VLOOKUP($A57,EnrollData2324,'2324 Jun 24 Enroll'!H$1,FALSE),'District Calculations'!$B$14)*Apport_215A2324,3)</f>
        <v>7.9279999999999999</v>
      </c>
      <c r="Y57">
        <f>ROUND(IF(VLOOKUP($A57,EnrollData2324,'2324 Jun 24 Enroll'!I$1,FALSE)+VLOOKUP($A57,EnrollData2324,'2324 Jun 24 Enroll'!M$1,FALSE)-VLOOKUP($A57,EnrollData2324,'2324 Jun 24 Enroll'!J$1,FALSE)='District Calculations'!$B$16+'District Calculations'!$B$25-'District Calculations'!$B$17,VLOOKUP($A57,EnrollData2324,'2324 Jun 24 Enroll'!I$1,FALSE)+VLOOKUP($A57,EnrollData2324,'2324 Jun 24 Enroll'!M$1,FALSE)-VLOOKUP($A57,EnrollData2324,'2324 Jun 24 Enroll'!J$1,FALSE),'District Calculations'!$B$16+'District Calculations'!$B$25-'District Calculations'!$B$17)*Apport_218A2324,3)</f>
        <v>19.917999999999999</v>
      </c>
      <c r="Z57">
        <f>ROUND(SUM(T57:Y57)/IF(VLOOKUP($A57,EnrollData2324,'2324 Jun 24 Enroll'!M$1,FALSE)+VLOOKUP($A57,EnrollData2324,'2324 Jun 24 Enroll'!D$1,FALSE)='District Calculations'!$B$25+'District Calculations'!$B$11,VLOOKUP($A57,EnrollData2324,'2324 Jun 24 Enroll'!M$1,FALSE)+VLOOKUP($A57,EnrollData2324,'2324 Jun 24 Enroll'!D$1,FALSE),'District Calculations'!$B$25+'District Calculations'!$B$11),5)</f>
        <v>1.7399999999999999E-2</v>
      </c>
      <c r="AA57" s="6">
        <f>ROUND($J57*CIS_Base_Salary2324*VLOOKUP($A57,EnrollData2324,'2324 Jun 24 Enroll'!S$1,FALSE),2)</f>
        <v>4038.59</v>
      </c>
      <c r="AB57" s="6">
        <f>ROUND($J57*CIS_Inc_Salary2324*(VLOOKUP($A57,EnrollData2324,'2324 Jun 24 Enroll'!T$1,FALSE)+VLOOKUP($A57,EnrollData2324,'2324 Jun 24 Enroll'!U$1,FALSE)),2)-AA57</f>
        <v>149.43000000000029</v>
      </c>
      <c r="AC57" s="6">
        <f>ROUND($R57*CAS_Base_Salary2324*VLOOKUP($A57,EnrollData2324,'2324 Jun 24 Enroll'!S$1,FALSE),2)</f>
        <v>442.62</v>
      </c>
      <c r="AD57" s="6">
        <f>ROUND($R57*CAS_Inc_Salary2324*VLOOKUP($A57,EnrollData2324,'2324 Jun 24 Enroll'!T$1,FALSE),2)-AC57</f>
        <v>16.379999999999995</v>
      </c>
      <c r="AE57" s="6">
        <f>ROUND($Z57*CLS_Base_Salary2324*VLOOKUP($A57,EnrollData2324,'2324 Jun 24 Enroll'!S$1,FALSE),2)</f>
        <v>907.81</v>
      </c>
      <c r="AF57" s="6">
        <f>ROUND($Z57*CLS_Inc_Salary2324*VLOOKUP($A57,EnrollData2324,'2324 Jun 24 Enroll'!T$1,FALSE),2)-AE57</f>
        <v>33.580000000000041</v>
      </c>
      <c r="AG57">
        <f t="shared" si="9"/>
        <v>734.16</v>
      </c>
      <c r="AH57" s="69">
        <f t="shared" si="23"/>
        <v>68.700000000000045</v>
      </c>
      <c r="AI57">
        <f t="shared" si="11"/>
        <v>214.23</v>
      </c>
      <c r="AJ57">
        <f t="shared" si="24"/>
        <v>114.21000000000001</v>
      </c>
      <c r="AK57">
        <f t="shared" si="25"/>
        <v>805.27</v>
      </c>
      <c r="AL57">
        <f t="shared" si="26"/>
        <v>28.73</v>
      </c>
      <c r="AM57">
        <f t="shared" si="27"/>
        <v>200.26</v>
      </c>
      <c r="AN57">
        <f t="shared" si="28"/>
        <v>6.23</v>
      </c>
      <c r="AO57">
        <f>ROUND(($J57*CIS_Inc_Salary2324*(VLOOKUP($A57,EnrollData2324,'2324 Jun 24 Enroll'!T$1,FALSE)+VLOOKUP($A57,EnrollData2324,'2324 Jun 24 Enroll'!U$1,FALSE))/Apport_613Xpd)*Apport_614Xpd,2)</f>
        <v>69.8</v>
      </c>
      <c r="AP57">
        <f t="shared" si="29"/>
        <v>12.1</v>
      </c>
      <c r="AQ57">
        <f t="shared" si="32"/>
        <v>30.93</v>
      </c>
      <c r="AR57" s="6">
        <f>ROUND((VLOOKUP($A57,EnrollData2324,'2324 Jun 24 Enroll'!D$1,FALSE)*Apport_M802324+VLOOKUP($A57,EnrollData2324,'2324 Jun 24 Enroll'!M$1,FALSE)*Apport_M802324+(VLOOKUP($A57,EnrollData2324,'2324 Jun 24 Enroll'!P$1,FALSE)+VLOOKUP($A57,EnrollData2324,'2324 Jun 24 Enroll'!Q$1,FALSE)+VLOOKUP($A57,EnrollData2324,'2324 Jun 24 Enroll'!R$1,FALSE)+VLOOKUP($A57,EnrollData2324,'2324 Jun 24 Enroll'!I$1,FALSE)+VLOOKUP($A57,EnrollData2324,'2324 Jun 24 Enroll'!N$1,FALSE)+VLOOKUP($A57,EnrollData2324,'2324 Jun 24 Enroll'!O$1,FALSE)+VLOOKUP($A57,EnrollData2324,'2324 Jun 24 Enroll'!K$1,FALSE)+VLOOKUP($A57,EnrollData2324,'2324 Jun 24 Enroll'!L$1,FALSE))*Apport_M812324)/(VLOOKUP($A57,EnrollData2324,'2324 Jun 24 Enroll'!M$1,FALSE)+VLOOKUP($A57,EnrollData2324,'2324 Jun 24 Enroll'!D$1,FALSE)),2)</f>
        <v>1603.25</v>
      </c>
      <c r="AS57" s="7">
        <f t="shared" si="33"/>
        <v>9476.2799999999988</v>
      </c>
    </row>
    <row r="58" spans="1:46">
      <c r="A58" s="40" t="s">
        <v>755</v>
      </c>
      <c r="B58" s="40" t="s">
        <v>756</v>
      </c>
      <c r="C58" s="11">
        <f>ROUND((IFERROR((1/IF(VLOOKUP($A58,EnrollData2324,28,FALSE)='District Calculations'!$B$10,VLOOKUP($A58,EnrollData2324,28,FALSE),'District Calculations'!$B$10))*(1+Apport_Z315),0))+Apport_201A2324,6)</f>
        <v>7.3449E-2</v>
      </c>
      <c r="D58">
        <f>ROUND(IF(VLOOKUP($A58,EnrollData2324,'2324 Jun 24 Enroll'!D$1,FALSE)='District Calculations'!$B$11,VLOOKUP($A58,EnrollData2324,'2324 Jun 24 Enroll'!D$1,FALSE),'District Calculations'!$B$11)*C58,3)</f>
        <v>0</v>
      </c>
      <c r="E58">
        <f>ROUND(IF(VLOOKUP($A58,EnrollData2324,'2324 Jun 24 Enroll'!E$1,FALSE)='District Calculations'!$B$12,VLOOKUP($A58,EnrollData2324,'2324 Jun 24 Enroll'!E$1,FALSE),'District Calculations'!$B$12)*C58,3)</f>
        <v>59.53</v>
      </c>
      <c r="F58">
        <f>ROUND(IF(VLOOKUP($A58,EnrollData2324,'2324 Jun 24 Enroll'!F$1,FALSE)='District Calculations'!$B$13,VLOOKUP($A58,EnrollData2324,'2324 Jun 24 Enroll'!F$1,FALSE),'District Calculations'!$B$13)*Apport_222A2324,3)</f>
        <v>10.101000000000001</v>
      </c>
      <c r="G58">
        <f>ROUND(IF(VLOOKUP($A58,EnrollData2324,'2324 Jun 24 Enroll'!G$1,FALSE)='District Calculations'!$B$14,VLOOKUP($A58,EnrollData2324,'2324 Jun 24 Enroll'!G$1,FALSE),'District Calculations'!$B$14)*Apport_210A2324,3)</f>
        <v>22.395</v>
      </c>
      <c r="H58">
        <f>ROUND(IF(VLOOKUP($A58,EnrollData2324,'2324 Jun 24 Enroll'!H$1,FALSE)='District Calculations'!$B$15,VLOOKUP($A58,EnrollData2324,'2324 Jun 24 Enroll'!H$1,FALSE),'District Calculations'!$B$15)*Apport_213A2324,3)</f>
        <v>23.091999999999999</v>
      </c>
      <c r="I58">
        <f>ROUND(IF(VLOOKUP($A58,EnrollData2324,'2324 Jun 24 Enroll'!I$1,FALSE)+VLOOKUP($A58,EnrollData2324,'2324 Jun 24 Enroll'!M$1,FALSE)-VLOOKUP($A58,EnrollData2324,'2324 Jun 24 Enroll'!J$1,FALSE)='District Calculations'!$B$16+'District Calculations'!$B$25-'District Calculations'!$B$17,VLOOKUP($A58,EnrollData2324,'2324 Jun 24 Enroll'!I$1,FALSE)+VLOOKUP($A58,EnrollData2324,'2324 Jun 24 Enroll'!M$1,FALSE)-VLOOKUP($A58,EnrollData2324,'2324 Jun 24 Enroll'!J$1,FALSE),'District Calculations'!$B$16+'District Calculations'!$B$25-'District Calculations'!$B$17)*Apport_216A2324,3)</f>
        <v>58.183999999999997</v>
      </c>
      <c r="J58">
        <f>ROUND(SUM(D58:I58)/(IF(VLOOKUP($A58,EnrollData2324,'2324 Jun 24 Enroll'!M$1,FALSE)='District Calculations'!$B$25,VLOOKUP($A58,EnrollData2324,'2324 Jun 24 Enroll'!M$1,FALSE),'District Calculations'!$B$25)+IF(VLOOKUP($A58,EnrollData2324,'2324 Jun 24 Enroll'!D$1,FALSE)='District Calculations'!$B$11,VLOOKUP($A58,EnrollData2324,'2324 Jun 24 Enroll'!D$1,FALSE),'District Calculations'!$B$11)),5)</f>
        <v>5.5530000000000003E-2</v>
      </c>
      <c r="K58" s="11">
        <f t="shared" si="21"/>
        <v>4.365E-3</v>
      </c>
      <c r="L58">
        <f>ROUND(IF(VLOOKUP($A58,EnrollData2324,'2324 Jun 24 Enroll'!D$1,FALSE)='District Calculations'!$B$11,VLOOKUP($A58,EnrollData2324,'2324 Jun 24 Enroll'!D$1,FALSE),'District Calculations'!$B$11)*K58,3)</f>
        <v>0</v>
      </c>
      <c r="M58">
        <f>ROUND(IF(VLOOKUP($A58,EnrollData2324,'2324 Jun 24 Enroll'!E$1,FALSE)='District Calculations'!$B$12,VLOOKUP($A58,EnrollData2324,'2324 Jun 24 Enroll'!E$1,FALSE),'District Calculations'!$B$12)*K58,3)</f>
        <v>3.5379999999999998</v>
      </c>
      <c r="N58">
        <f>ROUND(IF(VLOOKUP($A58,EnrollData2324,'2324 Jun 24 Enroll'!F$1,FALSE)='District Calculations'!$B$13,VLOOKUP($A58,EnrollData2324,'2324 Jun 24 Enroll'!F$1,FALSE),'District Calculations'!$B$13)*Apport_223A2324,3)</f>
        <v>0.84199999999999997</v>
      </c>
      <c r="O58">
        <f>ROUND(IF(VLOOKUP($A58,EnrollData2324,'2324 Jun 24 Enroll'!G$1,FALSE)='District Calculations'!$B$14,VLOOKUP($A58,EnrollData2324,'2324 Jun 24 Enroll'!G$1,FALSE),'District Calculations'!$B$14)*Apport_211A2324,3)</f>
        <v>1.867</v>
      </c>
      <c r="P58">
        <f>ROUND(IF(VLOOKUP($A58,EnrollData2324,'2324 Jun 24 Enroll'!H$1,FALSE)='District Calculations'!$B$14,VLOOKUP($A58,EnrollData2324,'2324 Jun 24 Enroll'!H$1,FALSE),'District Calculations'!$B$14)*Apport_214A2324,3)</f>
        <v>1.8660000000000001</v>
      </c>
      <c r="Q58">
        <f>ROUND(IF(VLOOKUP($A58,EnrollData2324,'2324 Jun 24 Enroll'!I$1,FALSE)+VLOOKUP($A58,EnrollData2324,'2324 Jun 24 Enroll'!M$1,FALSE)-VLOOKUP($A58,EnrollData2324,'2324 Jun 24 Enroll'!J$1,FALSE)='District Calculations'!$B$16+'District Calculations'!$B$25-'District Calculations'!$B$17,VLOOKUP($A58,EnrollData2324,'2324 Jun 24 Enroll'!I$1,FALSE)+VLOOKUP($A58,EnrollData2324,'2324 Jun 24 Enroll'!M$1,FALSE)-VLOOKUP($A58,EnrollData2324,'2324 Jun 24 Enroll'!J$1,FALSE),'District Calculations'!$B$16+'District Calculations'!$B$25-'District Calculations'!$B$17)*Apport_217A2324,3)</f>
        <v>4.6980000000000004</v>
      </c>
      <c r="R58">
        <f>ROUND(SUM(L58:Q58)/IF(VLOOKUP($A58,EnrollData2324,'2324 Jun 24 Enroll'!M$1,FALSE)+VLOOKUP($A58,EnrollData2324,'2324 Jun 24 Enroll'!D$1,FALSE)='District Calculations'!$B$25+'District Calculations'!$B$11,VLOOKUP($A58,EnrollData2324,'2324 Jun 24 Enroll'!M$1,FALSE)+VLOOKUP($A58,EnrollData2324,'2324 Jun 24 Enroll'!D$1,FALSE),'District Calculations'!$B$25+'District Calculations'!$B$11),5)</f>
        <v>4.1000000000000003E-3</v>
      </c>
      <c r="S58" s="11">
        <f t="shared" si="22"/>
        <v>1.8294500000000002E-2</v>
      </c>
      <c r="T58">
        <f>ROUND(IF(VLOOKUP($A58,EnrollData2324,'2324 Jun 24 Enroll'!D$1,FALSE)='District Calculations'!$B$11,VLOOKUP($A58,EnrollData2324,'2324 Jun 24 Enroll'!D$1,FALSE),'District Calculations'!$B$11)*S58,3)</f>
        <v>0</v>
      </c>
      <c r="U58">
        <f>ROUND(IF(VLOOKUP($A58,EnrollData2324,'2324 Jun 24 Enroll'!E$1,FALSE)='District Calculations'!$B$12,VLOOKUP($A58,EnrollData2324,'2324 Jun 24 Enroll'!E$1,FALSE),'District Calculations'!$B$12)*S58,3)</f>
        <v>14.827999999999999</v>
      </c>
      <c r="V58">
        <f>ROUND(IF(VLOOKUP($A58,EnrollData2324,'2324 Jun 24 Enroll'!F$1,FALSE)='District Calculations'!$B$13,VLOOKUP($A58,EnrollData2324,'2324 Jun 24 Enroll'!F$1,FALSE),'District Calculations'!$B$13)*Apport_224A2324,3)</f>
        <v>3.6190000000000002</v>
      </c>
      <c r="W58">
        <f>ROUND(IF(VLOOKUP($A58,EnrollData2324,'2324 Jun 24 Enroll'!G$1,FALSE)='District Calculations'!$B$14,VLOOKUP($A58,EnrollData2324,'2324 Jun 24 Enroll'!G$1,FALSE),'District Calculations'!$B$14)*Apport_212A2324,3)</f>
        <v>8.0239999999999991</v>
      </c>
      <c r="X58">
        <f>ROUND(IF(VLOOKUP($A58,EnrollData2324,'2324 Jun 24 Enroll'!H$1,FALSE)='District Calculations'!$B$14,VLOOKUP($A58,EnrollData2324,'2324 Jun 24 Enroll'!H$1,FALSE),'District Calculations'!$B$14)*Apport_215A2324,3)</f>
        <v>7.9279999999999999</v>
      </c>
      <c r="Y58">
        <f>ROUND(IF(VLOOKUP($A58,EnrollData2324,'2324 Jun 24 Enroll'!I$1,FALSE)+VLOOKUP($A58,EnrollData2324,'2324 Jun 24 Enroll'!M$1,FALSE)-VLOOKUP($A58,EnrollData2324,'2324 Jun 24 Enroll'!J$1,FALSE)='District Calculations'!$B$16+'District Calculations'!$B$25-'District Calculations'!$B$17,VLOOKUP($A58,EnrollData2324,'2324 Jun 24 Enroll'!I$1,FALSE)+VLOOKUP($A58,EnrollData2324,'2324 Jun 24 Enroll'!M$1,FALSE)-VLOOKUP($A58,EnrollData2324,'2324 Jun 24 Enroll'!J$1,FALSE),'District Calculations'!$B$16+'District Calculations'!$B$25-'District Calculations'!$B$17)*Apport_218A2324,3)</f>
        <v>19.917999999999999</v>
      </c>
      <c r="Z58">
        <f>ROUND(SUM(T58:Y58)/IF(VLOOKUP($A58,EnrollData2324,'2324 Jun 24 Enroll'!M$1,FALSE)+VLOOKUP($A58,EnrollData2324,'2324 Jun 24 Enroll'!D$1,FALSE)='District Calculations'!$B$25+'District Calculations'!$B$11,VLOOKUP($A58,EnrollData2324,'2324 Jun 24 Enroll'!M$1,FALSE)+VLOOKUP($A58,EnrollData2324,'2324 Jun 24 Enroll'!D$1,FALSE),'District Calculations'!$B$25+'District Calculations'!$B$11),5)</f>
        <v>1.7399999999999999E-2</v>
      </c>
      <c r="AA58" s="6">
        <f>ROUND($J58*CIS_Base_Salary2324*VLOOKUP($A58,EnrollData2324,'2324 Jun 24 Enroll'!S$1,FALSE),2)</f>
        <v>4280.8999999999996</v>
      </c>
      <c r="AB58" s="6">
        <f>ROUND($J58*CIS_Inc_Salary2324*(VLOOKUP($A58,EnrollData2324,'2324 Jun 24 Enroll'!T$1,FALSE)+VLOOKUP($A58,EnrollData2324,'2324 Jun 24 Enroll'!U$1,FALSE)),2)-AA58</f>
        <v>158.40000000000055</v>
      </c>
      <c r="AC58" s="6">
        <f>ROUND($R58*CAS_Base_Salary2324*VLOOKUP($A58,EnrollData2324,'2324 Jun 24 Enroll'!S$1,FALSE),2)</f>
        <v>469.17</v>
      </c>
      <c r="AD58" s="6">
        <f>ROUND($R58*CAS_Inc_Salary2324*VLOOKUP($A58,EnrollData2324,'2324 Jun 24 Enroll'!T$1,FALSE),2)-AC58</f>
        <v>17.359999999999957</v>
      </c>
      <c r="AE58" s="6">
        <f>ROUND($Z58*CLS_Base_Salary2324*VLOOKUP($A58,EnrollData2324,'2324 Jun 24 Enroll'!S$1,FALSE),2)</f>
        <v>962.28</v>
      </c>
      <c r="AF58" s="6">
        <f>ROUND($Z58*CLS_Inc_Salary2324*VLOOKUP($A58,EnrollData2324,'2324 Jun 24 Enroll'!T$1,FALSE),2)-AE58</f>
        <v>35.600000000000023</v>
      </c>
      <c r="AG58">
        <f t="shared" si="9"/>
        <v>734.16</v>
      </c>
      <c r="AH58" s="69">
        <f t="shared" si="23"/>
        <v>68.700000000000045</v>
      </c>
      <c r="AI58">
        <f t="shared" si="11"/>
        <v>214.23</v>
      </c>
      <c r="AJ58">
        <f t="shared" si="24"/>
        <v>114.21000000000001</v>
      </c>
      <c r="AK58">
        <f t="shared" si="25"/>
        <v>853.59</v>
      </c>
      <c r="AL58">
        <f t="shared" si="26"/>
        <v>30.46</v>
      </c>
      <c r="AM58">
        <f t="shared" si="27"/>
        <v>212.28</v>
      </c>
      <c r="AN58">
        <f t="shared" si="28"/>
        <v>6.61</v>
      </c>
      <c r="AO58">
        <f>ROUND(($J58*CIS_Inc_Salary2324*(VLOOKUP($A58,EnrollData2324,'2324 Jun 24 Enroll'!T$1,FALSE)+VLOOKUP($A58,EnrollData2324,'2324 Jun 24 Enroll'!U$1,FALSE))/Apport_613Xpd)*Apport_614Xpd,2)</f>
        <v>73.989999999999995</v>
      </c>
      <c r="AP58">
        <f t="shared" si="29"/>
        <v>12.82</v>
      </c>
      <c r="AQ58">
        <f t="shared" si="32"/>
        <v>30.93</v>
      </c>
      <c r="AR58" s="6">
        <f>ROUND((VLOOKUP($A58,EnrollData2324,'2324 Jun 24 Enroll'!D$1,FALSE)*Apport_M802324+VLOOKUP($A58,EnrollData2324,'2324 Jun 24 Enroll'!M$1,FALSE)*Apport_M802324+(VLOOKUP($A58,EnrollData2324,'2324 Jun 24 Enroll'!P$1,FALSE)+VLOOKUP($A58,EnrollData2324,'2324 Jun 24 Enroll'!Q$1,FALSE)+VLOOKUP($A58,EnrollData2324,'2324 Jun 24 Enroll'!R$1,FALSE)+VLOOKUP($A58,EnrollData2324,'2324 Jun 24 Enroll'!I$1,FALSE)+VLOOKUP($A58,EnrollData2324,'2324 Jun 24 Enroll'!N$1,FALSE)+VLOOKUP($A58,EnrollData2324,'2324 Jun 24 Enroll'!O$1,FALSE)+VLOOKUP($A58,EnrollData2324,'2324 Jun 24 Enroll'!K$1,FALSE)+VLOOKUP($A58,EnrollData2324,'2324 Jun 24 Enroll'!L$1,FALSE))*Apport_M812324)/(VLOOKUP($A58,EnrollData2324,'2324 Jun 24 Enroll'!M$1,FALSE)+VLOOKUP($A58,EnrollData2324,'2324 Jun 24 Enroll'!D$1,FALSE)),2)</f>
        <v>1562.62</v>
      </c>
      <c r="AS58" s="7">
        <f t="shared" si="33"/>
        <v>9838.3099999999977</v>
      </c>
    </row>
    <row r="59" spans="1:46">
      <c r="A59" s="40" t="s">
        <v>359</v>
      </c>
      <c r="B59" s="40" t="s">
        <v>360</v>
      </c>
      <c r="C59" s="11">
        <f>ROUND((IFERROR((1/IF(VLOOKUP($A59,EnrollData2324,28,FALSE)='District Calculations'!$B$10,VLOOKUP($A59,EnrollData2324,28,FALSE),'District Calculations'!$B$10))*(1+Apport_Z315),0))+Apport_201A2324,6)</f>
        <v>7.3449E-2</v>
      </c>
      <c r="D59">
        <f>ROUND(IF(VLOOKUP($A59,EnrollData2324,'2324 Jun 24 Enroll'!D$1,FALSE)='District Calculations'!$B$11,VLOOKUP($A59,EnrollData2324,'2324 Jun 24 Enroll'!D$1,FALSE),'District Calculations'!$B$11)*C59,3)</f>
        <v>0</v>
      </c>
      <c r="E59">
        <f>ROUND(IF(VLOOKUP($A59,EnrollData2324,'2324 Jun 24 Enroll'!E$1,FALSE)='District Calculations'!$B$12,VLOOKUP($A59,EnrollData2324,'2324 Jun 24 Enroll'!E$1,FALSE),'District Calculations'!$B$12)*C59,3)</f>
        <v>59.53</v>
      </c>
      <c r="F59">
        <f>ROUND(IF(VLOOKUP($A59,EnrollData2324,'2324 Jun 24 Enroll'!F$1,FALSE)='District Calculations'!$B$13,VLOOKUP($A59,EnrollData2324,'2324 Jun 24 Enroll'!F$1,FALSE),'District Calculations'!$B$13)*Apport_222A2324,3)</f>
        <v>10.101000000000001</v>
      </c>
      <c r="G59">
        <f>ROUND(IF(VLOOKUP($A59,EnrollData2324,'2324 Jun 24 Enroll'!G$1,FALSE)='District Calculations'!$B$14,VLOOKUP($A59,EnrollData2324,'2324 Jun 24 Enroll'!G$1,FALSE),'District Calculations'!$B$14)*Apport_210A2324,3)</f>
        <v>22.395</v>
      </c>
      <c r="H59">
        <f>ROUND(IF(VLOOKUP($A59,EnrollData2324,'2324 Jun 24 Enroll'!H$1,FALSE)='District Calculations'!$B$15,VLOOKUP($A59,EnrollData2324,'2324 Jun 24 Enroll'!H$1,FALSE),'District Calculations'!$B$15)*Apport_213A2324,3)</f>
        <v>23.091999999999999</v>
      </c>
      <c r="I59">
        <f>ROUND(IF(VLOOKUP($A59,EnrollData2324,'2324 Jun 24 Enroll'!I$1,FALSE)+VLOOKUP($A59,EnrollData2324,'2324 Jun 24 Enroll'!M$1,FALSE)-VLOOKUP($A59,EnrollData2324,'2324 Jun 24 Enroll'!J$1,FALSE)='District Calculations'!$B$16+'District Calculations'!$B$25-'District Calculations'!$B$17,VLOOKUP($A59,EnrollData2324,'2324 Jun 24 Enroll'!I$1,FALSE)+VLOOKUP($A59,EnrollData2324,'2324 Jun 24 Enroll'!M$1,FALSE)-VLOOKUP($A59,EnrollData2324,'2324 Jun 24 Enroll'!J$1,FALSE),'District Calculations'!$B$16+'District Calculations'!$B$25-'District Calculations'!$B$17)*Apport_216A2324,3)</f>
        <v>58.183999999999997</v>
      </c>
      <c r="J59">
        <f>ROUND(SUM(D59:I59)/(IF(VLOOKUP($A59,EnrollData2324,'2324 Jun 24 Enroll'!M$1,FALSE)='District Calculations'!$B$25,VLOOKUP($A59,EnrollData2324,'2324 Jun 24 Enroll'!M$1,FALSE),'District Calculations'!$B$25)+IF(VLOOKUP($A59,EnrollData2324,'2324 Jun 24 Enroll'!D$1,FALSE)='District Calculations'!$B$11,VLOOKUP($A59,EnrollData2324,'2324 Jun 24 Enroll'!D$1,FALSE),'District Calculations'!$B$11)),5)</f>
        <v>5.5530000000000003E-2</v>
      </c>
      <c r="K59" s="11">
        <f t="shared" si="21"/>
        <v>4.365E-3</v>
      </c>
      <c r="L59">
        <f>ROUND(IF(VLOOKUP($A59,EnrollData2324,'2324 Jun 24 Enroll'!D$1,FALSE)='District Calculations'!$B$11,VLOOKUP($A59,EnrollData2324,'2324 Jun 24 Enroll'!D$1,FALSE),'District Calculations'!$B$11)*K59,3)</f>
        <v>0</v>
      </c>
      <c r="M59">
        <f>ROUND(IF(VLOOKUP($A59,EnrollData2324,'2324 Jun 24 Enroll'!E$1,FALSE)='District Calculations'!$B$12,VLOOKUP($A59,EnrollData2324,'2324 Jun 24 Enroll'!E$1,FALSE),'District Calculations'!$B$12)*K59,3)</f>
        <v>3.5379999999999998</v>
      </c>
      <c r="N59">
        <f>ROUND(IF(VLOOKUP($A59,EnrollData2324,'2324 Jun 24 Enroll'!F$1,FALSE)='District Calculations'!$B$13,VLOOKUP($A59,EnrollData2324,'2324 Jun 24 Enroll'!F$1,FALSE),'District Calculations'!$B$13)*Apport_223A2324,3)</f>
        <v>0.84199999999999997</v>
      </c>
      <c r="O59">
        <f>ROUND(IF(VLOOKUP($A59,EnrollData2324,'2324 Jun 24 Enroll'!G$1,FALSE)='District Calculations'!$B$14,VLOOKUP($A59,EnrollData2324,'2324 Jun 24 Enroll'!G$1,FALSE),'District Calculations'!$B$14)*Apport_211A2324,3)</f>
        <v>1.867</v>
      </c>
      <c r="P59">
        <f>ROUND(IF(VLOOKUP($A59,EnrollData2324,'2324 Jun 24 Enroll'!H$1,FALSE)='District Calculations'!$B$14,VLOOKUP($A59,EnrollData2324,'2324 Jun 24 Enroll'!H$1,FALSE),'District Calculations'!$B$14)*Apport_214A2324,3)</f>
        <v>1.8660000000000001</v>
      </c>
      <c r="Q59">
        <f>ROUND(IF(VLOOKUP($A59,EnrollData2324,'2324 Jun 24 Enroll'!I$1,FALSE)+VLOOKUP($A59,EnrollData2324,'2324 Jun 24 Enroll'!M$1,FALSE)-VLOOKUP($A59,EnrollData2324,'2324 Jun 24 Enroll'!J$1,FALSE)='District Calculations'!$B$16+'District Calculations'!$B$25-'District Calculations'!$B$17,VLOOKUP($A59,EnrollData2324,'2324 Jun 24 Enroll'!I$1,FALSE)+VLOOKUP($A59,EnrollData2324,'2324 Jun 24 Enroll'!M$1,FALSE)-VLOOKUP($A59,EnrollData2324,'2324 Jun 24 Enroll'!J$1,FALSE),'District Calculations'!$B$16+'District Calculations'!$B$25-'District Calculations'!$B$17)*Apport_217A2324,3)</f>
        <v>4.6980000000000004</v>
      </c>
      <c r="R59">
        <f>ROUND(SUM(L59:Q59)/IF(VLOOKUP($A59,EnrollData2324,'2324 Jun 24 Enroll'!M$1,FALSE)+VLOOKUP($A59,EnrollData2324,'2324 Jun 24 Enroll'!D$1,FALSE)='District Calculations'!$B$25+'District Calculations'!$B$11,VLOOKUP($A59,EnrollData2324,'2324 Jun 24 Enroll'!M$1,FALSE)+VLOOKUP($A59,EnrollData2324,'2324 Jun 24 Enroll'!D$1,FALSE),'District Calculations'!$B$25+'District Calculations'!$B$11),5)</f>
        <v>4.1000000000000003E-3</v>
      </c>
      <c r="S59" s="11">
        <f t="shared" si="22"/>
        <v>1.8294500000000002E-2</v>
      </c>
      <c r="T59">
        <f>ROUND(IF(VLOOKUP($A59,EnrollData2324,'2324 Jun 24 Enroll'!D$1,FALSE)='District Calculations'!$B$11,VLOOKUP($A59,EnrollData2324,'2324 Jun 24 Enroll'!D$1,FALSE),'District Calculations'!$B$11)*S59,3)</f>
        <v>0</v>
      </c>
      <c r="U59">
        <f>ROUND(IF(VLOOKUP($A59,EnrollData2324,'2324 Jun 24 Enroll'!E$1,FALSE)='District Calculations'!$B$12,VLOOKUP($A59,EnrollData2324,'2324 Jun 24 Enroll'!E$1,FALSE),'District Calculations'!$B$12)*S59,3)</f>
        <v>14.827999999999999</v>
      </c>
      <c r="V59">
        <f>ROUND(IF(VLOOKUP($A59,EnrollData2324,'2324 Jun 24 Enroll'!F$1,FALSE)='District Calculations'!$B$13,VLOOKUP($A59,EnrollData2324,'2324 Jun 24 Enroll'!F$1,FALSE),'District Calculations'!$B$13)*Apport_224A2324,3)</f>
        <v>3.6190000000000002</v>
      </c>
      <c r="W59">
        <f>ROUND(IF(VLOOKUP($A59,EnrollData2324,'2324 Jun 24 Enroll'!G$1,FALSE)='District Calculations'!$B$14,VLOOKUP($A59,EnrollData2324,'2324 Jun 24 Enroll'!G$1,FALSE),'District Calculations'!$B$14)*Apport_212A2324,3)</f>
        <v>8.0239999999999991</v>
      </c>
      <c r="X59">
        <f>ROUND(IF(VLOOKUP($A59,EnrollData2324,'2324 Jun 24 Enroll'!H$1,FALSE)='District Calculations'!$B$14,VLOOKUP($A59,EnrollData2324,'2324 Jun 24 Enroll'!H$1,FALSE),'District Calculations'!$B$14)*Apport_215A2324,3)</f>
        <v>7.9279999999999999</v>
      </c>
      <c r="Y59">
        <f>ROUND(IF(VLOOKUP($A59,EnrollData2324,'2324 Jun 24 Enroll'!I$1,FALSE)+VLOOKUP($A59,EnrollData2324,'2324 Jun 24 Enroll'!M$1,FALSE)-VLOOKUP($A59,EnrollData2324,'2324 Jun 24 Enroll'!J$1,FALSE)='District Calculations'!$B$16+'District Calculations'!$B$25-'District Calculations'!$B$17,VLOOKUP($A59,EnrollData2324,'2324 Jun 24 Enroll'!I$1,FALSE)+VLOOKUP($A59,EnrollData2324,'2324 Jun 24 Enroll'!M$1,FALSE)-VLOOKUP($A59,EnrollData2324,'2324 Jun 24 Enroll'!J$1,FALSE),'District Calculations'!$B$16+'District Calculations'!$B$25-'District Calculations'!$B$17)*Apport_218A2324,3)</f>
        <v>19.917999999999999</v>
      </c>
      <c r="Z59">
        <f>ROUND(SUM(T59:Y59)/IF(VLOOKUP($A59,EnrollData2324,'2324 Jun 24 Enroll'!M$1,FALSE)+VLOOKUP($A59,EnrollData2324,'2324 Jun 24 Enroll'!D$1,FALSE)='District Calculations'!$B$25+'District Calculations'!$B$11,VLOOKUP($A59,EnrollData2324,'2324 Jun 24 Enroll'!M$1,FALSE)+VLOOKUP($A59,EnrollData2324,'2324 Jun 24 Enroll'!D$1,FALSE),'District Calculations'!$B$25+'District Calculations'!$B$11),5)</f>
        <v>1.7399999999999999E-2</v>
      </c>
      <c r="AA59" s="6">
        <f>ROUND($J59*CIS_Base_Salary2324*VLOOKUP($A59,EnrollData2324,'2324 Jun 24 Enroll'!S$1,FALSE),2)</f>
        <v>4038.59</v>
      </c>
      <c r="AB59" s="6">
        <f>ROUND($J59*CIS_Inc_Salary2324*(VLOOKUP($A59,EnrollData2324,'2324 Jun 24 Enroll'!T$1,FALSE)+VLOOKUP($A59,EnrollData2324,'2324 Jun 24 Enroll'!U$1,FALSE)),2)-AA59</f>
        <v>149.43000000000029</v>
      </c>
      <c r="AC59" s="6">
        <f>ROUND($R59*CAS_Base_Salary2324*VLOOKUP($A59,EnrollData2324,'2324 Jun 24 Enroll'!S$1,FALSE),2)</f>
        <v>442.62</v>
      </c>
      <c r="AD59" s="6">
        <f>ROUND($R59*CAS_Inc_Salary2324*VLOOKUP($A59,EnrollData2324,'2324 Jun 24 Enroll'!T$1,FALSE),2)-AC59</f>
        <v>16.379999999999995</v>
      </c>
      <c r="AE59" s="6">
        <f>ROUND($Z59*CLS_Base_Salary2324*VLOOKUP($A59,EnrollData2324,'2324 Jun 24 Enroll'!S$1,FALSE),2)</f>
        <v>907.81</v>
      </c>
      <c r="AF59" s="6">
        <f>ROUND($Z59*CLS_Inc_Salary2324*VLOOKUP($A59,EnrollData2324,'2324 Jun 24 Enroll'!T$1,FALSE),2)-AE59</f>
        <v>33.580000000000041</v>
      </c>
      <c r="AG59">
        <f t="shared" si="9"/>
        <v>734.16</v>
      </c>
      <c r="AH59" s="69">
        <f t="shared" si="23"/>
        <v>68.700000000000045</v>
      </c>
      <c r="AI59">
        <f t="shared" si="11"/>
        <v>214.23</v>
      </c>
      <c r="AJ59">
        <f t="shared" si="24"/>
        <v>114.21000000000001</v>
      </c>
      <c r="AK59">
        <f t="shared" si="25"/>
        <v>805.27</v>
      </c>
      <c r="AL59">
        <f t="shared" si="26"/>
        <v>28.73</v>
      </c>
      <c r="AM59">
        <f t="shared" si="27"/>
        <v>200.26</v>
      </c>
      <c r="AN59">
        <f t="shared" si="28"/>
        <v>6.23</v>
      </c>
      <c r="AO59">
        <f>ROUND(($J59*CIS_Inc_Salary2324*(VLOOKUP($A59,EnrollData2324,'2324 Jun 24 Enroll'!T$1,FALSE)+VLOOKUP($A59,EnrollData2324,'2324 Jun 24 Enroll'!U$1,FALSE))/Apport_613Xpd)*Apport_614Xpd,2)</f>
        <v>69.8</v>
      </c>
      <c r="AP59">
        <f t="shared" si="29"/>
        <v>12.1</v>
      </c>
      <c r="AQ59">
        <f t="shared" si="32"/>
        <v>30.93</v>
      </c>
      <c r="AR59" s="6">
        <f>ROUND((VLOOKUP($A59,EnrollData2324,'2324 Jun 24 Enroll'!D$1,FALSE)*Apport_M802324+VLOOKUP($A59,EnrollData2324,'2324 Jun 24 Enroll'!M$1,FALSE)*Apport_M802324+(VLOOKUP($A59,EnrollData2324,'2324 Jun 24 Enroll'!P$1,FALSE)+VLOOKUP($A59,EnrollData2324,'2324 Jun 24 Enroll'!Q$1,FALSE)+VLOOKUP($A59,EnrollData2324,'2324 Jun 24 Enroll'!R$1,FALSE)+VLOOKUP($A59,EnrollData2324,'2324 Jun 24 Enroll'!I$1,FALSE)+VLOOKUP($A59,EnrollData2324,'2324 Jun 24 Enroll'!N$1,FALSE)+VLOOKUP($A59,EnrollData2324,'2324 Jun 24 Enroll'!O$1,FALSE)+VLOOKUP($A59,EnrollData2324,'2324 Jun 24 Enroll'!K$1,FALSE)+VLOOKUP($A59,EnrollData2324,'2324 Jun 24 Enroll'!L$1,FALSE))*Apport_M812324)/(VLOOKUP($A59,EnrollData2324,'2324 Jun 24 Enroll'!M$1,FALSE)+VLOOKUP($A59,EnrollData2324,'2324 Jun 24 Enroll'!D$1,FALSE)),2)</f>
        <v>1538.83</v>
      </c>
      <c r="AS59" s="7">
        <f t="shared" si="33"/>
        <v>9411.86</v>
      </c>
    </row>
    <row r="60" spans="1:46">
      <c r="A60" s="40" t="s">
        <v>711</v>
      </c>
      <c r="B60" s="40" t="s">
        <v>712</v>
      </c>
      <c r="C60" s="11">
        <f>ROUND((IFERROR((1/IF(VLOOKUP($A60,EnrollData2324,28,FALSE)='District Calculations'!$B$10,VLOOKUP($A60,EnrollData2324,28,FALSE),'District Calculations'!$B$10))*(1+Apport_Z315),0))+Apport_201A2324,6)</f>
        <v>7.3449E-2</v>
      </c>
      <c r="D60">
        <f>ROUND(IF(VLOOKUP($A60,EnrollData2324,'2324 Jun 24 Enroll'!D$1,FALSE)='District Calculations'!$B$11,VLOOKUP($A60,EnrollData2324,'2324 Jun 24 Enroll'!D$1,FALSE),'District Calculations'!$B$11)*C60,3)</f>
        <v>0</v>
      </c>
      <c r="E60">
        <f>ROUND(IF(VLOOKUP($A60,EnrollData2324,'2324 Jun 24 Enroll'!E$1,FALSE)='District Calculations'!$B$12,VLOOKUP($A60,EnrollData2324,'2324 Jun 24 Enroll'!E$1,FALSE),'District Calculations'!$B$12)*C60,3)</f>
        <v>59.53</v>
      </c>
      <c r="F60">
        <f>ROUND(IF(VLOOKUP($A60,EnrollData2324,'2324 Jun 24 Enroll'!F$1,FALSE)='District Calculations'!$B$13,VLOOKUP($A60,EnrollData2324,'2324 Jun 24 Enroll'!F$1,FALSE),'District Calculations'!$B$13)*Apport_222A2324,3)</f>
        <v>10.101000000000001</v>
      </c>
      <c r="G60">
        <f>ROUND(IF(VLOOKUP($A60,EnrollData2324,'2324 Jun 24 Enroll'!G$1,FALSE)='District Calculations'!$B$14,VLOOKUP($A60,EnrollData2324,'2324 Jun 24 Enroll'!G$1,FALSE),'District Calculations'!$B$14)*Apport_210A2324,3)</f>
        <v>22.395</v>
      </c>
      <c r="H60">
        <f>ROUND(IF(VLOOKUP($A60,EnrollData2324,'2324 Jun 24 Enroll'!H$1,FALSE)='District Calculations'!$B$15,VLOOKUP($A60,EnrollData2324,'2324 Jun 24 Enroll'!H$1,FALSE),'District Calculations'!$B$15)*Apport_213A2324,3)</f>
        <v>23.091999999999999</v>
      </c>
      <c r="I60">
        <f>ROUND(IF(VLOOKUP($A60,EnrollData2324,'2324 Jun 24 Enroll'!I$1,FALSE)+VLOOKUP($A60,EnrollData2324,'2324 Jun 24 Enroll'!M$1,FALSE)-VLOOKUP($A60,EnrollData2324,'2324 Jun 24 Enroll'!J$1,FALSE)='District Calculations'!$B$16+'District Calculations'!$B$25-'District Calculations'!$B$17,VLOOKUP($A60,EnrollData2324,'2324 Jun 24 Enroll'!I$1,FALSE)+VLOOKUP($A60,EnrollData2324,'2324 Jun 24 Enroll'!M$1,FALSE)-VLOOKUP($A60,EnrollData2324,'2324 Jun 24 Enroll'!J$1,FALSE),'District Calculations'!$B$16+'District Calculations'!$B$25-'District Calculations'!$B$17)*Apport_216A2324,3)</f>
        <v>58.183999999999997</v>
      </c>
      <c r="J60">
        <f>ROUND(SUM(D60:I60)/(IF(VLOOKUP($A60,EnrollData2324,'2324 Jun 24 Enroll'!M$1,FALSE)='District Calculations'!$B$25,VLOOKUP($A60,EnrollData2324,'2324 Jun 24 Enroll'!M$1,FALSE),'District Calculations'!$B$25)+IF(VLOOKUP($A60,EnrollData2324,'2324 Jun 24 Enroll'!D$1,FALSE)='District Calculations'!$B$11,VLOOKUP($A60,EnrollData2324,'2324 Jun 24 Enroll'!D$1,FALSE),'District Calculations'!$B$11)),5)</f>
        <v>5.5530000000000003E-2</v>
      </c>
      <c r="K60" s="11">
        <f t="shared" si="21"/>
        <v>4.365E-3</v>
      </c>
      <c r="L60">
        <f>ROUND(IF(VLOOKUP($A60,EnrollData2324,'2324 Jun 24 Enroll'!D$1,FALSE)='District Calculations'!$B$11,VLOOKUP($A60,EnrollData2324,'2324 Jun 24 Enroll'!D$1,FALSE),'District Calculations'!$B$11)*K60,3)</f>
        <v>0</v>
      </c>
      <c r="M60">
        <f>ROUND(IF(VLOOKUP($A60,EnrollData2324,'2324 Jun 24 Enroll'!E$1,FALSE)='District Calculations'!$B$12,VLOOKUP($A60,EnrollData2324,'2324 Jun 24 Enroll'!E$1,FALSE),'District Calculations'!$B$12)*K60,3)</f>
        <v>3.5379999999999998</v>
      </c>
      <c r="N60">
        <f>ROUND(IF(VLOOKUP($A60,EnrollData2324,'2324 Jun 24 Enroll'!F$1,FALSE)='District Calculations'!$B$13,VLOOKUP($A60,EnrollData2324,'2324 Jun 24 Enroll'!F$1,FALSE),'District Calculations'!$B$13)*Apport_223A2324,3)</f>
        <v>0.84199999999999997</v>
      </c>
      <c r="O60">
        <f>ROUND(IF(VLOOKUP($A60,EnrollData2324,'2324 Jun 24 Enroll'!G$1,FALSE)='District Calculations'!$B$14,VLOOKUP($A60,EnrollData2324,'2324 Jun 24 Enroll'!G$1,FALSE),'District Calculations'!$B$14)*Apport_211A2324,3)</f>
        <v>1.867</v>
      </c>
      <c r="P60">
        <f>ROUND(IF(VLOOKUP($A60,EnrollData2324,'2324 Jun 24 Enroll'!H$1,FALSE)='District Calculations'!$B$14,VLOOKUP($A60,EnrollData2324,'2324 Jun 24 Enroll'!H$1,FALSE),'District Calculations'!$B$14)*Apport_214A2324,3)</f>
        <v>1.8660000000000001</v>
      </c>
      <c r="Q60">
        <f>ROUND(IF(VLOOKUP($A60,EnrollData2324,'2324 Jun 24 Enroll'!I$1,FALSE)+VLOOKUP($A60,EnrollData2324,'2324 Jun 24 Enroll'!M$1,FALSE)-VLOOKUP($A60,EnrollData2324,'2324 Jun 24 Enroll'!J$1,FALSE)='District Calculations'!$B$16+'District Calculations'!$B$25-'District Calculations'!$B$17,VLOOKUP($A60,EnrollData2324,'2324 Jun 24 Enroll'!I$1,FALSE)+VLOOKUP($A60,EnrollData2324,'2324 Jun 24 Enroll'!M$1,FALSE)-VLOOKUP($A60,EnrollData2324,'2324 Jun 24 Enroll'!J$1,FALSE),'District Calculations'!$B$16+'District Calculations'!$B$25-'District Calculations'!$B$17)*Apport_217A2324,3)</f>
        <v>4.6980000000000004</v>
      </c>
      <c r="R60">
        <f>ROUND(SUM(L60:Q60)/IF(VLOOKUP($A60,EnrollData2324,'2324 Jun 24 Enroll'!M$1,FALSE)+VLOOKUP($A60,EnrollData2324,'2324 Jun 24 Enroll'!D$1,FALSE)='District Calculations'!$B$25+'District Calculations'!$B$11,VLOOKUP($A60,EnrollData2324,'2324 Jun 24 Enroll'!M$1,FALSE)+VLOOKUP($A60,EnrollData2324,'2324 Jun 24 Enroll'!D$1,FALSE),'District Calculations'!$B$25+'District Calculations'!$B$11),5)</f>
        <v>4.1000000000000003E-3</v>
      </c>
      <c r="S60" s="11">
        <f t="shared" si="22"/>
        <v>1.8294500000000002E-2</v>
      </c>
      <c r="T60">
        <f>ROUND(IF(VLOOKUP($A60,EnrollData2324,'2324 Jun 24 Enroll'!D$1,FALSE)='District Calculations'!$B$11,VLOOKUP($A60,EnrollData2324,'2324 Jun 24 Enroll'!D$1,FALSE),'District Calculations'!$B$11)*S60,3)</f>
        <v>0</v>
      </c>
      <c r="U60">
        <f>ROUND(IF(VLOOKUP($A60,EnrollData2324,'2324 Jun 24 Enroll'!E$1,FALSE)='District Calculations'!$B$12,VLOOKUP($A60,EnrollData2324,'2324 Jun 24 Enroll'!E$1,FALSE),'District Calculations'!$B$12)*S60,3)</f>
        <v>14.827999999999999</v>
      </c>
      <c r="V60">
        <f>ROUND(IF(VLOOKUP($A60,EnrollData2324,'2324 Jun 24 Enroll'!F$1,FALSE)='District Calculations'!$B$13,VLOOKUP($A60,EnrollData2324,'2324 Jun 24 Enroll'!F$1,FALSE),'District Calculations'!$B$13)*Apport_224A2324,3)</f>
        <v>3.6190000000000002</v>
      </c>
      <c r="W60">
        <f>ROUND(IF(VLOOKUP($A60,EnrollData2324,'2324 Jun 24 Enroll'!G$1,FALSE)='District Calculations'!$B$14,VLOOKUP($A60,EnrollData2324,'2324 Jun 24 Enroll'!G$1,FALSE),'District Calculations'!$B$14)*Apport_212A2324,3)</f>
        <v>8.0239999999999991</v>
      </c>
      <c r="X60">
        <f>ROUND(IF(VLOOKUP($A60,EnrollData2324,'2324 Jun 24 Enroll'!H$1,FALSE)='District Calculations'!$B$14,VLOOKUP($A60,EnrollData2324,'2324 Jun 24 Enroll'!H$1,FALSE),'District Calculations'!$B$14)*Apport_215A2324,3)</f>
        <v>7.9279999999999999</v>
      </c>
      <c r="Y60">
        <f>ROUND(IF(VLOOKUP($A60,EnrollData2324,'2324 Jun 24 Enroll'!I$1,FALSE)+VLOOKUP($A60,EnrollData2324,'2324 Jun 24 Enroll'!M$1,FALSE)-VLOOKUP($A60,EnrollData2324,'2324 Jun 24 Enroll'!J$1,FALSE)='District Calculations'!$B$16+'District Calculations'!$B$25-'District Calculations'!$B$17,VLOOKUP($A60,EnrollData2324,'2324 Jun 24 Enroll'!I$1,FALSE)+VLOOKUP($A60,EnrollData2324,'2324 Jun 24 Enroll'!M$1,FALSE)-VLOOKUP($A60,EnrollData2324,'2324 Jun 24 Enroll'!J$1,FALSE),'District Calculations'!$B$16+'District Calculations'!$B$25-'District Calculations'!$B$17)*Apport_218A2324,3)</f>
        <v>19.917999999999999</v>
      </c>
      <c r="Z60">
        <f>ROUND(SUM(T60:Y60)/IF(VLOOKUP($A60,EnrollData2324,'2324 Jun 24 Enroll'!M$1,FALSE)+VLOOKUP($A60,EnrollData2324,'2324 Jun 24 Enroll'!D$1,FALSE)='District Calculations'!$B$25+'District Calculations'!$B$11,VLOOKUP($A60,EnrollData2324,'2324 Jun 24 Enroll'!M$1,FALSE)+VLOOKUP($A60,EnrollData2324,'2324 Jun 24 Enroll'!D$1,FALSE),'District Calculations'!$B$25+'District Calculations'!$B$11),5)</f>
        <v>1.7399999999999999E-2</v>
      </c>
      <c r="AA60" s="6">
        <f>ROUND($J60*CIS_Base_Salary2324*VLOOKUP($A60,EnrollData2324,'2324 Jun 24 Enroll'!S$1,FALSE),2)</f>
        <v>4038.59</v>
      </c>
      <c r="AB60" s="6">
        <f>ROUND($J60*CIS_Inc_Salary2324*(VLOOKUP($A60,EnrollData2324,'2324 Jun 24 Enroll'!T$1,FALSE)+VLOOKUP($A60,EnrollData2324,'2324 Jun 24 Enroll'!U$1,FALSE)),2)-AA60</f>
        <v>149.43000000000029</v>
      </c>
      <c r="AC60" s="6">
        <f>ROUND($R60*CAS_Base_Salary2324*VLOOKUP($A60,EnrollData2324,'2324 Jun 24 Enroll'!S$1,FALSE),2)</f>
        <v>442.62</v>
      </c>
      <c r="AD60" s="6">
        <f>ROUND($R60*CAS_Inc_Salary2324*VLOOKUP($A60,EnrollData2324,'2324 Jun 24 Enroll'!T$1,FALSE),2)-AC60</f>
        <v>16.379999999999995</v>
      </c>
      <c r="AE60" s="6">
        <f>ROUND($Z60*CLS_Base_Salary2324*VLOOKUP($A60,EnrollData2324,'2324 Jun 24 Enroll'!S$1,FALSE),2)</f>
        <v>907.81</v>
      </c>
      <c r="AF60" s="6">
        <f>ROUND($Z60*CLS_Inc_Salary2324*VLOOKUP($A60,EnrollData2324,'2324 Jun 24 Enroll'!T$1,FALSE),2)-AE60</f>
        <v>33.580000000000041</v>
      </c>
      <c r="AG60">
        <f t="shared" si="9"/>
        <v>734.16</v>
      </c>
      <c r="AH60" s="69">
        <f t="shared" si="23"/>
        <v>68.700000000000045</v>
      </c>
      <c r="AI60">
        <f t="shared" si="11"/>
        <v>214.23</v>
      </c>
      <c r="AJ60">
        <f t="shared" si="24"/>
        <v>114.21000000000001</v>
      </c>
      <c r="AK60">
        <f t="shared" si="25"/>
        <v>805.27</v>
      </c>
      <c r="AL60">
        <f t="shared" si="26"/>
        <v>28.73</v>
      </c>
      <c r="AM60">
        <f t="shared" si="27"/>
        <v>200.26</v>
      </c>
      <c r="AN60">
        <f t="shared" si="28"/>
        <v>6.23</v>
      </c>
      <c r="AO60">
        <f>ROUND(($J60*CIS_Inc_Salary2324*(VLOOKUP($A60,EnrollData2324,'2324 Jun 24 Enroll'!T$1,FALSE)+VLOOKUP($A60,EnrollData2324,'2324 Jun 24 Enroll'!U$1,FALSE))/Apport_613Xpd)*Apport_614Xpd,2)</f>
        <v>69.8</v>
      </c>
      <c r="AP60">
        <f t="shared" si="29"/>
        <v>12.1</v>
      </c>
      <c r="AQ60">
        <f t="shared" si="32"/>
        <v>30.93</v>
      </c>
      <c r="AR60" s="6">
        <f>ROUND((VLOOKUP($A60,EnrollData2324,'2324 Jun 24 Enroll'!D$1,FALSE)*Apport_M802324+VLOOKUP($A60,EnrollData2324,'2324 Jun 24 Enroll'!M$1,FALSE)*Apport_M802324+(VLOOKUP($A60,EnrollData2324,'2324 Jun 24 Enroll'!P$1,FALSE)+VLOOKUP($A60,EnrollData2324,'2324 Jun 24 Enroll'!Q$1,FALSE)+VLOOKUP($A60,EnrollData2324,'2324 Jun 24 Enroll'!R$1,FALSE)+VLOOKUP($A60,EnrollData2324,'2324 Jun 24 Enroll'!I$1,FALSE)+VLOOKUP($A60,EnrollData2324,'2324 Jun 24 Enroll'!N$1,FALSE)+VLOOKUP($A60,EnrollData2324,'2324 Jun 24 Enroll'!O$1,FALSE)+VLOOKUP($A60,EnrollData2324,'2324 Jun 24 Enroll'!K$1,FALSE)+VLOOKUP($A60,EnrollData2324,'2324 Jun 24 Enroll'!L$1,FALSE))*Apport_M812324)/(VLOOKUP($A60,EnrollData2324,'2324 Jun 24 Enroll'!M$1,FALSE)+VLOOKUP($A60,EnrollData2324,'2324 Jun 24 Enroll'!D$1,FALSE)),2)</f>
        <v>1649.23</v>
      </c>
      <c r="AS60" s="7">
        <f t="shared" si="33"/>
        <v>9522.26</v>
      </c>
    </row>
    <row r="61" spans="1:46">
      <c r="A61" s="40" t="s">
        <v>920</v>
      </c>
      <c r="B61" s="40" t="s">
        <v>1008</v>
      </c>
      <c r="C61" s="11">
        <f>ROUND((IFERROR((1/IF(VLOOKUP($A61,EnrollData2324,28,FALSE)='District Calculations'!$B$10,VLOOKUP($A61,EnrollData2324,28,FALSE),'District Calculations'!$B$10))*(1+Apport_Z315),0))+Apport_201A2324,6)</f>
        <v>7.3449E-2</v>
      </c>
      <c r="D61">
        <f>ROUND(IF(VLOOKUP($A61,EnrollData2324,'2324 Jun 24 Enroll'!D$1,FALSE)='District Calculations'!$B$11,VLOOKUP($A61,EnrollData2324,'2324 Jun 24 Enroll'!D$1,FALSE),'District Calculations'!$B$11)*C61,3)</f>
        <v>0</v>
      </c>
      <c r="E61">
        <f>ROUND(IF(VLOOKUP($A61,EnrollData2324,'2324 Jun 24 Enroll'!E$1,FALSE)='District Calculations'!$B$12,VLOOKUP($A61,EnrollData2324,'2324 Jun 24 Enroll'!E$1,FALSE),'District Calculations'!$B$12)*C61,3)</f>
        <v>59.53</v>
      </c>
      <c r="F61">
        <f>ROUND(IF(VLOOKUP($A61,EnrollData2324,'2324 Jun 24 Enroll'!F$1,FALSE)='District Calculations'!$B$13,VLOOKUP($A61,EnrollData2324,'2324 Jun 24 Enroll'!F$1,FALSE),'District Calculations'!$B$13)*Apport_222A2324,3)</f>
        <v>10.101000000000001</v>
      </c>
      <c r="G61">
        <f>ROUND(IF(VLOOKUP($A61,EnrollData2324,'2324 Jun 24 Enroll'!G$1,FALSE)='District Calculations'!$B$14,VLOOKUP($A61,EnrollData2324,'2324 Jun 24 Enroll'!G$1,FALSE),'District Calculations'!$B$14)*Apport_210A2324,3)</f>
        <v>22.395</v>
      </c>
      <c r="H61">
        <f>ROUND(IF(VLOOKUP($A61,EnrollData2324,'2324 Jun 24 Enroll'!H$1,FALSE)='District Calculations'!$B$15,VLOOKUP($A61,EnrollData2324,'2324 Jun 24 Enroll'!H$1,FALSE),'District Calculations'!$B$15)*Apport_213A2324,3)</f>
        <v>23.091999999999999</v>
      </c>
      <c r="I61">
        <f>ROUND(IF(VLOOKUP($A61,EnrollData2324,'2324 Jun 24 Enroll'!I$1,FALSE)+VLOOKUP($A61,EnrollData2324,'2324 Jun 24 Enroll'!M$1,FALSE)-VLOOKUP($A61,EnrollData2324,'2324 Jun 24 Enroll'!J$1,FALSE)='District Calculations'!$B$16+'District Calculations'!$B$25-'District Calculations'!$B$17,VLOOKUP($A61,EnrollData2324,'2324 Jun 24 Enroll'!I$1,FALSE)+VLOOKUP($A61,EnrollData2324,'2324 Jun 24 Enroll'!M$1,FALSE)-VLOOKUP($A61,EnrollData2324,'2324 Jun 24 Enroll'!J$1,FALSE),'District Calculations'!$B$16+'District Calculations'!$B$25-'District Calculations'!$B$17)*Apport_216A2324,3)</f>
        <v>58.183999999999997</v>
      </c>
      <c r="J61">
        <f>ROUND(SUM(D61:I61)/(IF(VLOOKUP($A61,EnrollData2324,'2324 Jun 24 Enroll'!M$1,FALSE)='District Calculations'!$B$25,VLOOKUP($A61,EnrollData2324,'2324 Jun 24 Enroll'!M$1,FALSE),'District Calculations'!$B$25)+IF(VLOOKUP($A61,EnrollData2324,'2324 Jun 24 Enroll'!D$1,FALSE)='District Calculations'!$B$11,VLOOKUP($A61,EnrollData2324,'2324 Jun 24 Enroll'!D$1,FALSE),'District Calculations'!$B$11)),5)</f>
        <v>5.5530000000000003E-2</v>
      </c>
      <c r="K61" s="11">
        <f t="shared" si="21"/>
        <v>4.365E-3</v>
      </c>
      <c r="L61">
        <f>ROUND(IF(VLOOKUP($A61,EnrollData2324,'2324 Jun 24 Enroll'!D$1,FALSE)='District Calculations'!$B$11,VLOOKUP($A61,EnrollData2324,'2324 Jun 24 Enroll'!D$1,FALSE),'District Calculations'!$B$11)*K61,3)</f>
        <v>0</v>
      </c>
      <c r="M61">
        <f>ROUND(IF(VLOOKUP($A61,EnrollData2324,'2324 Jun 24 Enroll'!E$1,FALSE)='District Calculations'!$B$12,VLOOKUP($A61,EnrollData2324,'2324 Jun 24 Enroll'!E$1,FALSE),'District Calculations'!$B$12)*K61,3)</f>
        <v>3.5379999999999998</v>
      </c>
      <c r="N61">
        <f>ROUND(IF(VLOOKUP($A61,EnrollData2324,'2324 Jun 24 Enroll'!F$1,FALSE)='District Calculations'!$B$13,VLOOKUP($A61,EnrollData2324,'2324 Jun 24 Enroll'!F$1,FALSE),'District Calculations'!$B$13)*Apport_223A2324,3)</f>
        <v>0.84199999999999997</v>
      </c>
      <c r="O61">
        <f>ROUND(IF(VLOOKUP($A61,EnrollData2324,'2324 Jun 24 Enroll'!G$1,FALSE)='District Calculations'!$B$14,VLOOKUP($A61,EnrollData2324,'2324 Jun 24 Enroll'!G$1,FALSE),'District Calculations'!$B$14)*Apport_211A2324,3)</f>
        <v>1.867</v>
      </c>
      <c r="P61">
        <f>ROUND(IF(VLOOKUP($A61,EnrollData2324,'2324 Jun 24 Enroll'!H$1,FALSE)='District Calculations'!$B$14,VLOOKUP($A61,EnrollData2324,'2324 Jun 24 Enroll'!H$1,FALSE),'District Calculations'!$B$14)*Apport_214A2324,3)</f>
        <v>1.8660000000000001</v>
      </c>
      <c r="Q61">
        <f>ROUND(IF(VLOOKUP($A61,EnrollData2324,'2324 Jun 24 Enroll'!I$1,FALSE)+VLOOKUP($A61,EnrollData2324,'2324 Jun 24 Enroll'!M$1,FALSE)-VLOOKUP($A61,EnrollData2324,'2324 Jun 24 Enroll'!J$1,FALSE)='District Calculations'!$B$16+'District Calculations'!$B$25-'District Calculations'!$B$17,VLOOKUP($A61,EnrollData2324,'2324 Jun 24 Enroll'!I$1,FALSE)+VLOOKUP($A61,EnrollData2324,'2324 Jun 24 Enroll'!M$1,FALSE)-VLOOKUP($A61,EnrollData2324,'2324 Jun 24 Enroll'!J$1,FALSE),'District Calculations'!$B$16+'District Calculations'!$B$25-'District Calculations'!$B$17)*Apport_217A2324,3)</f>
        <v>4.6980000000000004</v>
      </c>
      <c r="R61">
        <f>ROUND(SUM(L61:Q61)/IF(VLOOKUP($A61,EnrollData2324,'2324 Jun 24 Enroll'!M$1,FALSE)+VLOOKUP($A61,EnrollData2324,'2324 Jun 24 Enroll'!D$1,FALSE)='District Calculations'!$B$25+'District Calculations'!$B$11,VLOOKUP($A61,EnrollData2324,'2324 Jun 24 Enroll'!M$1,FALSE)+VLOOKUP($A61,EnrollData2324,'2324 Jun 24 Enroll'!D$1,FALSE),'District Calculations'!$B$25+'District Calculations'!$B$11),5)</f>
        <v>4.1000000000000003E-3</v>
      </c>
      <c r="S61" s="11">
        <f t="shared" si="22"/>
        <v>1.8294500000000002E-2</v>
      </c>
      <c r="T61">
        <f>ROUND(IF(VLOOKUP($A61,EnrollData2324,'2324 Jun 24 Enroll'!D$1,FALSE)='District Calculations'!$B$11,VLOOKUP($A61,EnrollData2324,'2324 Jun 24 Enroll'!D$1,FALSE),'District Calculations'!$B$11)*S61,3)</f>
        <v>0</v>
      </c>
      <c r="U61">
        <f>ROUND(IF(VLOOKUP($A61,EnrollData2324,'2324 Jun 24 Enroll'!E$1,FALSE)='District Calculations'!$B$12,VLOOKUP($A61,EnrollData2324,'2324 Jun 24 Enroll'!E$1,FALSE),'District Calculations'!$B$12)*S61,3)</f>
        <v>14.827999999999999</v>
      </c>
      <c r="V61">
        <f>ROUND(IF(VLOOKUP($A61,EnrollData2324,'2324 Jun 24 Enroll'!F$1,FALSE)='District Calculations'!$B$13,VLOOKUP($A61,EnrollData2324,'2324 Jun 24 Enroll'!F$1,FALSE),'District Calculations'!$B$13)*Apport_224A2324,3)</f>
        <v>3.6190000000000002</v>
      </c>
      <c r="W61">
        <f>ROUND(IF(VLOOKUP($A61,EnrollData2324,'2324 Jun 24 Enroll'!G$1,FALSE)='District Calculations'!$B$14,VLOOKUP($A61,EnrollData2324,'2324 Jun 24 Enroll'!G$1,FALSE),'District Calculations'!$B$14)*Apport_212A2324,3)</f>
        <v>8.0239999999999991</v>
      </c>
      <c r="X61">
        <f>ROUND(IF(VLOOKUP($A61,EnrollData2324,'2324 Jun 24 Enroll'!H$1,FALSE)='District Calculations'!$B$14,VLOOKUP($A61,EnrollData2324,'2324 Jun 24 Enroll'!H$1,FALSE),'District Calculations'!$B$14)*Apport_215A2324,3)</f>
        <v>7.9279999999999999</v>
      </c>
      <c r="Y61">
        <f>ROUND(IF(VLOOKUP($A61,EnrollData2324,'2324 Jun 24 Enroll'!I$1,FALSE)+VLOOKUP($A61,EnrollData2324,'2324 Jun 24 Enroll'!M$1,FALSE)-VLOOKUP($A61,EnrollData2324,'2324 Jun 24 Enroll'!J$1,FALSE)='District Calculations'!$B$16+'District Calculations'!$B$25-'District Calculations'!$B$17,VLOOKUP($A61,EnrollData2324,'2324 Jun 24 Enroll'!I$1,FALSE)+VLOOKUP($A61,EnrollData2324,'2324 Jun 24 Enroll'!M$1,FALSE)-VLOOKUP($A61,EnrollData2324,'2324 Jun 24 Enroll'!J$1,FALSE),'District Calculations'!$B$16+'District Calculations'!$B$25-'District Calculations'!$B$17)*Apport_218A2324,3)</f>
        <v>19.917999999999999</v>
      </c>
      <c r="Z61">
        <f>ROUND(SUM(T61:Y61)/IF(VLOOKUP($A61,EnrollData2324,'2324 Jun 24 Enroll'!M$1,FALSE)+VLOOKUP($A61,EnrollData2324,'2324 Jun 24 Enroll'!D$1,FALSE)='District Calculations'!$B$25+'District Calculations'!$B$11,VLOOKUP($A61,EnrollData2324,'2324 Jun 24 Enroll'!M$1,FALSE)+VLOOKUP($A61,EnrollData2324,'2324 Jun 24 Enroll'!D$1,FALSE),'District Calculations'!$B$25+'District Calculations'!$B$11),5)</f>
        <v>1.7399999999999999E-2</v>
      </c>
      <c r="AA61" s="6">
        <f>ROUND($J61*CIS_Base_Salary2324*VLOOKUP($A61,EnrollData2324,'2324 Jun 24 Enroll'!S$1,FALSE),2)</f>
        <v>4038.59</v>
      </c>
      <c r="AB61" s="6">
        <f>ROUND($J61*CIS_Inc_Salary2324*(VLOOKUP($A61,EnrollData2324,'2324 Jun 24 Enroll'!T$1,FALSE)+VLOOKUP($A61,EnrollData2324,'2324 Jun 24 Enroll'!U$1,FALSE)),2)-AA61</f>
        <v>149.43000000000029</v>
      </c>
      <c r="AC61" s="6">
        <f>ROUND($R61*CAS_Base_Salary2324*VLOOKUP($A61,EnrollData2324,'2324 Jun 24 Enroll'!S$1,FALSE),2)</f>
        <v>442.62</v>
      </c>
      <c r="AD61" s="6">
        <f>ROUND($R61*CAS_Inc_Salary2324*VLOOKUP($A61,EnrollData2324,'2324 Jun 24 Enroll'!T$1,FALSE),2)-AC61</f>
        <v>16.379999999999995</v>
      </c>
      <c r="AE61" s="6">
        <f>ROUND($Z61*CLS_Base_Salary2324*VLOOKUP($A61,EnrollData2324,'2324 Jun 24 Enroll'!S$1,FALSE),2)</f>
        <v>907.81</v>
      </c>
      <c r="AF61" s="6">
        <f>ROUND($Z61*CLS_Inc_Salary2324*VLOOKUP($A61,EnrollData2324,'2324 Jun 24 Enroll'!T$1,FALSE),2)-AE61</f>
        <v>33.580000000000041</v>
      </c>
      <c r="AG61">
        <f t="shared" si="9"/>
        <v>734.16</v>
      </c>
      <c r="AH61" s="69">
        <f t="shared" si="23"/>
        <v>68.700000000000045</v>
      </c>
      <c r="AI61">
        <f t="shared" si="11"/>
        <v>214.23</v>
      </c>
      <c r="AJ61">
        <f t="shared" si="24"/>
        <v>114.21000000000001</v>
      </c>
      <c r="AK61">
        <f t="shared" si="25"/>
        <v>805.27</v>
      </c>
      <c r="AL61">
        <f t="shared" si="26"/>
        <v>28.73</v>
      </c>
      <c r="AM61">
        <f t="shared" si="27"/>
        <v>200.26</v>
      </c>
      <c r="AN61">
        <f t="shared" si="28"/>
        <v>6.23</v>
      </c>
      <c r="AO61">
        <f>ROUND(($J61*CIS_Inc_Salary2324*(VLOOKUP($A61,EnrollData2324,'2324 Jun 24 Enroll'!T$1,FALSE)+VLOOKUP($A61,EnrollData2324,'2324 Jun 24 Enroll'!U$1,FALSE))/Apport_613Xpd)*Apport_614Xpd,2)</f>
        <v>69.8</v>
      </c>
      <c r="AP61">
        <f t="shared" si="29"/>
        <v>12.1</v>
      </c>
      <c r="AQ61">
        <f t="shared" si="32"/>
        <v>30.93</v>
      </c>
      <c r="AR61" s="6">
        <f>ROUND((VLOOKUP($A61,EnrollData2324,'2324 Jun 24 Enroll'!D$1,FALSE)*Apport_M802324+VLOOKUP($A61,EnrollData2324,'2324 Jun 24 Enroll'!M$1,FALSE)*Apport_M802324+(VLOOKUP($A61,EnrollData2324,'2324 Jun 24 Enroll'!P$1,FALSE)+VLOOKUP($A61,EnrollData2324,'2324 Jun 24 Enroll'!Q$1,FALSE)+VLOOKUP($A61,EnrollData2324,'2324 Jun 24 Enroll'!R$1,FALSE)+VLOOKUP($A61,EnrollData2324,'2324 Jun 24 Enroll'!I$1,FALSE)+VLOOKUP($A61,EnrollData2324,'2324 Jun 24 Enroll'!N$1,FALSE)+VLOOKUP($A61,EnrollData2324,'2324 Jun 24 Enroll'!O$1,FALSE)+VLOOKUP($A61,EnrollData2324,'2324 Jun 24 Enroll'!K$1,FALSE)+VLOOKUP($A61,EnrollData2324,'2324 Jun 24 Enroll'!L$1,FALSE))*Apport_M812324)/(VLOOKUP($A61,EnrollData2324,'2324 Jun 24 Enroll'!M$1,FALSE)+VLOOKUP($A61,EnrollData2324,'2324 Jun 24 Enroll'!D$1,FALSE)),2)</f>
        <v>1553.08</v>
      </c>
      <c r="AS61" s="7">
        <f t="shared" si="33"/>
        <v>9426.11</v>
      </c>
    </row>
    <row r="62" spans="1:46">
      <c r="A62" s="40" t="s">
        <v>841</v>
      </c>
      <c r="B62" s="40" t="s">
        <v>842</v>
      </c>
      <c r="C62" s="11">
        <f>ROUND((IFERROR((1/IF(VLOOKUP($A62,EnrollData2324,28,FALSE)='District Calculations'!$B$10,VLOOKUP($A62,EnrollData2324,28,FALSE),'District Calculations'!$B$10))*(1+Apport_Z315),0))+Apport_201A2324,6)</f>
        <v>7.3449E-2</v>
      </c>
      <c r="D62">
        <f>ROUND(IF(VLOOKUP($A62,EnrollData2324,'2324 Jun 24 Enroll'!D$1,FALSE)='District Calculations'!$B$11,VLOOKUP($A62,EnrollData2324,'2324 Jun 24 Enroll'!D$1,FALSE),'District Calculations'!$B$11)*C62,3)</f>
        <v>0</v>
      </c>
      <c r="E62">
        <f>ROUND(IF(VLOOKUP($A62,EnrollData2324,'2324 Jun 24 Enroll'!E$1,FALSE)='District Calculations'!$B$12,VLOOKUP($A62,EnrollData2324,'2324 Jun 24 Enroll'!E$1,FALSE),'District Calculations'!$B$12)*C62,3)</f>
        <v>59.53</v>
      </c>
      <c r="F62">
        <f>ROUND(IF(VLOOKUP($A62,EnrollData2324,'2324 Jun 24 Enroll'!F$1,FALSE)='District Calculations'!$B$13,VLOOKUP($A62,EnrollData2324,'2324 Jun 24 Enroll'!F$1,FALSE),'District Calculations'!$B$13)*Apport_222A2324,3)</f>
        <v>10.101000000000001</v>
      </c>
      <c r="G62">
        <f>ROUND(IF(VLOOKUP($A62,EnrollData2324,'2324 Jun 24 Enroll'!G$1,FALSE)='District Calculations'!$B$14,VLOOKUP($A62,EnrollData2324,'2324 Jun 24 Enroll'!G$1,FALSE),'District Calculations'!$B$14)*Apport_210A2324,3)</f>
        <v>22.395</v>
      </c>
      <c r="H62">
        <f>ROUND(IF(VLOOKUP($A62,EnrollData2324,'2324 Jun 24 Enroll'!H$1,FALSE)='District Calculations'!$B$15,VLOOKUP($A62,EnrollData2324,'2324 Jun 24 Enroll'!H$1,FALSE),'District Calculations'!$B$15)*Apport_213A2324,3)</f>
        <v>23.091999999999999</v>
      </c>
      <c r="I62">
        <f>ROUND(IF(VLOOKUP($A62,EnrollData2324,'2324 Jun 24 Enroll'!I$1,FALSE)+VLOOKUP($A62,EnrollData2324,'2324 Jun 24 Enroll'!M$1,FALSE)-VLOOKUP($A62,EnrollData2324,'2324 Jun 24 Enroll'!J$1,FALSE)='District Calculations'!$B$16+'District Calculations'!$B$25-'District Calculations'!$B$17,VLOOKUP($A62,EnrollData2324,'2324 Jun 24 Enroll'!I$1,FALSE)+VLOOKUP($A62,EnrollData2324,'2324 Jun 24 Enroll'!M$1,FALSE)-VLOOKUP($A62,EnrollData2324,'2324 Jun 24 Enroll'!J$1,FALSE),'District Calculations'!$B$16+'District Calculations'!$B$25-'District Calculations'!$B$17)*Apport_216A2324,3)</f>
        <v>58.183999999999997</v>
      </c>
      <c r="J62">
        <f>ROUND(SUM(D62:I62)/(IF(VLOOKUP($A62,EnrollData2324,'2324 Jun 24 Enroll'!M$1,FALSE)='District Calculations'!$B$25,VLOOKUP($A62,EnrollData2324,'2324 Jun 24 Enroll'!M$1,FALSE),'District Calculations'!$B$25)+IF(VLOOKUP($A62,EnrollData2324,'2324 Jun 24 Enroll'!D$1,FALSE)='District Calculations'!$B$11,VLOOKUP($A62,EnrollData2324,'2324 Jun 24 Enroll'!D$1,FALSE),'District Calculations'!$B$11)),5)</f>
        <v>5.5530000000000003E-2</v>
      </c>
      <c r="K62" s="11">
        <f t="shared" si="21"/>
        <v>4.365E-3</v>
      </c>
      <c r="L62">
        <f>ROUND(IF(VLOOKUP($A62,EnrollData2324,'2324 Jun 24 Enroll'!D$1,FALSE)='District Calculations'!$B$11,VLOOKUP($A62,EnrollData2324,'2324 Jun 24 Enroll'!D$1,FALSE),'District Calculations'!$B$11)*K62,3)</f>
        <v>0</v>
      </c>
      <c r="M62">
        <f>ROUND(IF(VLOOKUP($A62,EnrollData2324,'2324 Jun 24 Enroll'!E$1,FALSE)='District Calculations'!$B$12,VLOOKUP($A62,EnrollData2324,'2324 Jun 24 Enroll'!E$1,FALSE),'District Calculations'!$B$12)*K62,3)</f>
        <v>3.5379999999999998</v>
      </c>
      <c r="N62">
        <f>ROUND(IF(VLOOKUP($A62,EnrollData2324,'2324 Jun 24 Enroll'!F$1,FALSE)='District Calculations'!$B$13,VLOOKUP($A62,EnrollData2324,'2324 Jun 24 Enroll'!F$1,FALSE),'District Calculations'!$B$13)*Apport_223A2324,3)</f>
        <v>0.84199999999999997</v>
      </c>
      <c r="O62">
        <f>ROUND(IF(VLOOKUP($A62,EnrollData2324,'2324 Jun 24 Enroll'!G$1,FALSE)='District Calculations'!$B$14,VLOOKUP($A62,EnrollData2324,'2324 Jun 24 Enroll'!G$1,FALSE),'District Calculations'!$B$14)*Apport_211A2324,3)</f>
        <v>1.867</v>
      </c>
      <c r="P62">
        <f>ROUND(IF(VLOOKUP($A62,EnrollData2324,'2324 Jun 24 Enroll'!H$1,FALSE)='District Calculations'!$B$14,VLOOKUP($A62,EnrollData2324,'2324 Jun 24 Enroll'!H$1,FALSE),'District Calculations'!$B$14)*Apport_214A2324,3)</f>
        <v>1.8660000000000001</v>
      </c>
      <c r="Q62">
        <f>ROUND(IF(VLOOKUP($A62,EnrollData2324,'2324 Jun 24 Enroll'!I$1,FALSE)+VLOOKUP($A62,EnrollData2324,'2324 Jun 24 Enroll'!M$1,FALSE)-VLOOKUP($A62,EnrollData2324,'2324 Jun 24 Enroll'!J$1,FALSE)='District Calculations'!$B$16+'District Calculations'!$B$25-'District Calculations'!$B$17,VLOOKUP($A62,EnrollData2324,'2324 Jun 24 Enroll'!I$1,FALSE)+VLOOKUP($A62,EnrollData2324,'2324 Jun 24 Enroll'!M$1,FALSE)-VLOOKUP($A62,EnrollData2324,'2324 Jun 24 Enroll'!J$1,FALSE),'District Calculations'!$B$16+'District Calculations'!$B$25-'District Calculations'!$B$17)*Apport_217A2324,3)</f>
        <v>4.6980000000000004</v>
      </c>
      <c r="R62">
        <f>ROUND(SUM(L62:Q62)/IF(VLOOKUP($A62,EnrollData2324,'2324 Jun 24 Enroll'!M$1,FALSE)+VLOOKUP($A62,EnrollData2324,'2324 Jun 24 Enroll'!D$1,FALSE)='District Calculations'!$B$25+'District Calculations'!$B$11,VLOOKUP($A62,EnrollData2324,'2324 Jun 24 Enroll'!M$1,FALSE)+VLOOKUP($A62,EnrollData2324,'2324 Jun 24 Enroll'!D$1,FALSE),'District Calculations'!$B$25+'District Calculations'!$B$11),5)</f>
        <v>4.1000000000000003E-3</v>
      </c>
      <c r="S62" s="11">
        <f t="shared" si="22"/>
        <v>1.8294500000000002E-2</v>
      </c>
      <c r="T62">
        <f>ROUND(IF(VLOOKUP($A62,EnrollData2324,'2324 Jun 24 Enroll'!D$1,FALSE)='District Calculations'!$B$11,VLOOKUP($A62,EnrollData2324,'2324 Jun 24 Enroll'!D$1,FALSE),'District Calculations'!$B$11)*S62,3)</f>
        <v>0</v>
      </c>
      <c r="U62">
        <f>ROUND(IF(VLOOKUP($A62,EnrollData2324,'2324 Jun 24 Enroll'!E$1,FALSE)='District Calculations'!$B$12,VLOOKUP($A62,EnrollData2324,'2324 Jun 24 Enroll'!E$1,FALSE),'District Calculations'!$B$12)*S62,3)</f>
        <v>14.827999999999999</v>
      </c>
      <c r="V62">
        <f>ROUND(IF(VLOOKUP($A62,EnrollData2324,'2324 Jun 24 Enroll'!F$1,FALSE)='District Calculations'!$B$13,VLOOKUP($A62,EnrollData2324,'2324 Jun 24 Enroll'!F$1,FALSE),'District Calculations'!$B$13)*Apport_224A2324,3)</f>
        <v>3.6190000000000002</v>
      </c>
      <c r="W62">
        <f>ROUND(IF(VLOOKUP($A62,EnrollData2324,'2324 Jun 24 Enroll'!G$1,FALSE)='District Calculations'!$B$14,VLOOKUP($A62,EnrollData2324,'2324 Jun 24 Enroll'!G$1,FALSE),'District Calculations'!$B$14)*Apport_212A2324,3)</f>
        <v>8.0239999999999991</v>
      </c>
      <c r="X62">
        <f>ROUND(IF(VLOOKUP($A62,EnrollData2324,'2324 Jun 24 Enroll'!H$1,FALSE)='District Calculations'!$B$14,VLOOKUP($A62,EnrollData2324,'2324 Jun 24 Enroll'!H$1,FALSE),'District Calculations'!$B$14)*Apport_215A2324,3)</f>
        <v>7.9279999999999999</v>
      </c>
      <c r="Y62">
        <f>ROUND(IF(VLOOKUP($A62,EnrollData2324,'2324 Jun 24 Enroll'!I$1,FALSE)+VLOOKUP($A62,EnrollData2324,'2324 Jun 24 Enroll'!M$1,FALSE)-VLOOKUP($A62,EnrollData2324,'2324 Jun 24 Enroll'!J$1,FALSE)='District Calculations'!$B$16+'District Calculations'!$B$25-'District Calculations'!$B$17,VLOOKUP($A62,EnrollData2324,'2324 Jun 24 Enroll'!I$1,FALSE)+VLOOKUP($A62,EnrollData2324,'2324 Jun 24 Enroll'!M$1,FALSE)-VLOOKUP($A62,EnrollData2324,'2324 Jun 24 Enroll'!J$1,FALSE),'District Calculations'!$B$16+'District Calculations'!$B$25-'District Calculations'!$B$17)*Apport_218A2324,3)</f>
        <v>19.917999999999999</v>
      </c>
      <c r="Z62">
        <f>ROUND(SUM(T62:Y62)/IF(VLOOKUP($A62,EnrollData2324,'2324 Jun 24 Enroll'!M$1,FALSE)+VLOOKUP($A62,EnrollData2324,'2324 Jun 24 Enroll'!D$1,FALSE)='District Calculations'!$B$25+'District Calculations'!$B$11,VLOOKUP($A62,EnrollData2324,'2324 Jun 24 Enroll'!M$1,FALSE)+VLOOKUP($A62,EnrollData2324,'2324 Jun 24 Enroll'!D$1,FALSE),'District Calculations'!$B$25+'District Calculations'!$B$11),5)</f>
        <v>1.7399999999999999E-2</v>
      </c>
      <c r="AA62" s="6">
        <f>ROUND($J62*CIS_Base_Salary2324*VLOOKUP($A62,EnrollData2324,'2324 Jun 24 Enroll'!S$1,FALSE),2)</f>
        <v>4280.8999999999996</v>
      </c>
      <c r="AB62" s="6">
        <f>ROUND($J62*CIS_Inc_Salary2324*(VLOOKUP($A62,EnrollData2324,'2324 Jun 24 Enroll'!T$1,FALSE)+VLOOKUP($A62,EnrollData2324,'2324 Jun 24 Enroll'!U$1,FALSE)),2)-AA62</f>
        <v>158.40000000000055</v>
      </c>
      <c r="AC62" s="6">
        <f>ROUND($R62*CAS_Base_Salary2324*VLOOKUP($A62,EnrollData2324,'2324 Jun 24 Enroll'!S$1,FALSE),2)</f>
        <v>469.17</v>
      </c>
      <c r="AD62" s="6">
        <f>ROUND($R62*CAS_Inc_Salary2324*VLOOKUP($A62,EnrollData2324,'2324 Jun 24 Enroll'!T$1,FALSE),2)-AC62</f>
        <v>17.359999999999957</v>
      </c>
      <c r="AE62" s="6">
        <f>ROUND($Z62*CLS_Base_Salary2324*VLOOKUP($A62,EnrollData2324,'2324 Jun 24 Enroll'!S$1,FALSE),2)</f>
        <v>962.28</v>
      </c>
      <c r="AF62" s="6">
        <f>ROUND($Z62*CLS_Inc_Salary2324*VLOOKUP($A62,EnrollData2324,'2324 Jun 24 Enroll'!T$1,FALSE),2)-AE62</f>
        <v>35.600000000000023</v>
      </c>
      <c r="AG62">
        <f t="shared" si="9"/>
        <v>734.16</v>
      </c>
      <c r="AH62" s="69">
        <f t="shared" si="23"/>
        <v>68.700000000000045</v>
      </c>
      <c r="AI62">
        <f t="shared" si="11"/>
        <v>214.23</v>
      </c>
      <c r="AJ62">
        <f t="shared" si="24"/>
        <v>114.21000000000001</v>
      </c>
      <c r="AK62">
        <f t="shared" si="25"/>
        <v>853.59</v>
      </c>
      <c r="AL62">
        <f t="shared" si="26"/>
        <v>30.46</v>
      </c>
      <c r="AM62">
        <f t="shared" si="27"/>
        <v>212.28</v>
      </c>
      <c r="AN62">
        <f t="shared" si="28"/>
        <v>6.61</v>
      </c>
      <c r="AO62">
        <f>ROUND(($J62*CIS_Inc_Salary2324*(VLOOKUP($A62,EnrollData2324,'2324 Jun 24 Enroll'!T$1,FALSE)+VLOOKUP($A62,EnrollData2324,'2324 Jun 24 Enroll'!U$1,FALSE))/Apport_613Xpd)*Apport_614Xpd,2)</f>
        <v>73.989999999999995</v>
      </c>
      <c r="AP62">
        <f t="shared" si="29"/>
        <v>12.82</v>
      </c>
      <c r="AQ62">
        <f t="shared" si="32"/>
        <v>30.93</v>
      </c>
      <c r="AR62" s="6">
        <f>ROUND((VLOOKUP($A62,EnrollData2324,'2324 Jun 24 Enroll'!D$1,FALSE)*Apport_M802324+VLOOKUP($A62,EnrollData2324,'2324 Jun 24 Enroll'!M$1,FALSE)*Apport_M802324+(VLOOKUP($A62,EnrollData2324,'2324 Jun 24 Enroll'!P$1,FALSE)+VLOOKUP($A62,EnrollData2324,'2324 Jun 24 Enroll'!Q$1,FALSE)+VLOOKUP($A62,EnrollData2324,'2324 Jun 24 Enroll'!R$1,FALSE)+VLOOKUP($A62,EnrollData2324,'2324 Jun 24 Enroll'!I$1,FALSE)+VLOOKUP($A62,EnrollData2324,'2324 Jun 24 Enroll'!N$1,FALSE)+VLOOKUP($A62,EnrollData2324,'2324 Jun 24 Enroll'!O$1,FALSE)+VLOOKUP($A62,EnrollData2324,'2324 Jun 24 Enroll'!K$1,FALSE)+VLOOKUP($A62,EnrollData2324,'2324 Jun 24 Enroll'!L$1,FALSE))*Apport_M812324)/(VLOOKUP($A62,EnrollData2324,'2324 Jun 24 Enroll'!M$1,FALSE)+VLOOKUP($A62,EnrollData2324,'2324 Jun 24 Enroll'!D$1,FALSE)),2)</f>
        <v>1551.64</v>
      </c>
      <c r="AS62" s="7">
        <f t="shared" si="33"/>
        <v>9827.3299999999981</v>
      </c>
    </row>
    <row r="63" spans="1:46">
      <c r="A63" s="40" t="s">
        <v>504</v>
      </c>
      <c r="B63" s="40" t="s">
        <v>505</v>
      </c>
      <c r="C63" s="11">
        <f>ROUND((IFERROR((1/IF(VLOOKUP($A63,EnrollData2324,28,FALSE)='District Calculations'!$B$10,VLOOKUP($A63,EnrollData2324,28,FALSE),'District Calculations'!$B$10))*(1+Apport_Z315),0))+Apport_201A2324,6)</f>
        <v>7.3449E-2</v>
      </c>
      <c r="D63">
        <f>ROUND(IF(VLOOKUP($A63,EnrollData2324,'2324 Jun 24 Enroll'!D$1,FALSE)='District Calculations'!$B$11,VLOOKUP($A63,EnrollData2324,'2324 Jun 24 Enroll'!D$1,FALSE),'District Calculations'!$B$11)*C63,3)</f>
        <v>0</v>
      </c>
      <c r="E63">
        <f>ROUND(IF(VLOOKUP($A63,EnrollData2324,'2324 Jun 24 Enroll'!E$1,FALSE)='District Calculations'!$B$12,VLOOKUP($A63,EnrollData2324,'2324 Jun 24 Enroll'!E$1,FALSE),'District Calculations'!$B$12)*C63,3)</f>
        <v>59.53</v>
      </c>
      <c r="F63">
        <f>ROUND(IF(VLOOKUP($A63,EnrollData2324,'2324 Jun 24 Enroll'!F$1,FALSE)='District Calculations'!$B$13,VLOOKUP($A63,EnrollData2324,'2324 Jun 24 Enroll'!F$1,FALSE),'District Calculations'!$B$13)*Apport_222A2324,3)</f>
        <v>10.101000000000001</v>
      </c>
      <c r="G63">
        <f>ROUND(IF(VLOOKUP($A63,EnrollData2324,'2324 Jun 24 Enroll'!G$1,FALSE)='District Calculations'!$B$14,VLOOKUP($A63,EnrollData2324,'2324 Jun 24 Enroll'!G$1,FALSE),'District Calculations'!$B$14)*Apport_210A2324,3)</f>
        <v>22.395</v>
      </c>
      <c r="H63">
        <f>ROUND(IF(VLOOKUP($A63,EnrollData2324,'2324 Jun 24 Enroll'!H$1,FALSE)='District Calculations'!$B$15,VLOOKUP($A63,EnrollData2324,'2324 Jun 24 Enroll'!H$1,FALSE),'District Calculations'!$B$15)*Apport_213A2324,3)</f>
        <v>23.091999999999999</v>
      </c>
      <c r="I63">
        <f>ROUND(IF(VLOOKUP($A63,EnrollData2324,'2324 Jun 24 Enroll'!I$1,FALSE)+VLOOKUP($A63,EnrollData2324,'2324 Jun 24 Enroll'!M$1,FALSE)-VLOOKUP($A63,EnrollData2324,'2324 Jun 24 Enroll'!J$1,FALSE)='District Calculations'!$B$16+'District Calculations'!$B$25-'District Calculations'!$B$17,VLOOKUP($A63,EnrollData2324,'2324 Jun 24 Enroll'!I$1,FALSE)+VLOOKUP($A63,EnrollData2324,'2324 Jun 24 Enroll'!M$1,FALSE)-VLOOKUP($A63,EnrollData2324,'2324 Jun 24 Enroll'!J$1,FALSE),'District Calculations'!$B$16+'District Calculations'!$B$25-'District Calculations'!$B$17)*Apport_216A2324,3)</f>
        <v>58.183999999999997</v>
      </c>
      <c r="J63">
        <f>ROUND(SUM(D63:I63)/(IF(VLOOKUP($A63,EnrollData2324,'2324 Jun 24 Enroll'!M$1,FALSE)='District Calculations'!$B$25,VLOOKUP($A63,EnrollData2324,'2324 Jun 24 Enroll'!M$1,FALSE),'District Calculations'!$B$25)+IF(VLOOKUP($A63,EnrollData2324,'2324 Jun 24 Enroll'!D$1,FALSE)='District Calculations'!$B$11,VLOOKUP($A63,EnrollData2324,'2324 Jun 24 Enroll'!D$1,FALSE),'District Calculations'!$B$11)),5)</f>
        <v>5.5530000000000003E-2</v>
      </c>
      <c r="K63" s="11">
        <f t="shared" si="21"/>
        <v>4.365E-3</v>
      </c>
      <c r="L63">
        <f>ROUND(IF(VLOOKUP($A63,EnrollData2324,'2324 Jun 24 Enroll'!D$1,FALSE)='District Calculations'!$B$11,VLOOKUP($A63,EnrollData2324,'2324 Jun 24 Enroll'!D$1,FALSE),'District Calculations'!$B$11)*K63,3)</f>
        <v>0</v>
      </c>
      <c r="M63">
        <f>ROUND(IF(VLOOKUP($A63,EnrollData2324,'2324 Jun 24 Enroll'!E$1,FALSE)='District Calculations'!$B$12,VLOOKUP($A63,EnrollData2324,'2324 Jun 24 Enroll'!E$1,FALSE),'District Calculations'!$B$12)*K63,3)</f>
        <v>3.5379999999999998</v>
      </c>
      <c r="N63">
        <f>ROUND(IF(VLOOKUP($A63,EnrollData2324,'2324 Jun 24 Enroll'!F$1,FALSE)='District Calculations'!$B$13,VLOOKUP($A63,EnrollData2324,'2324 Jun 24 Enroll'!F$1,FALSE),'District Calculations'!$B$13)*Apport_223A2324,3)</f>
        <v>0.84199999999999997</v>
      </c>
      <c r="O63">
        <f>ROUND(IF(VLOOKUP($A63,EnrollData2324,'2324 Jun 24 Enroll'!G$1,FALSE)='District Calculations'!$B$14,VLOOKUP($A63,EnrollData2324,'2324 Jun 24 Enroll'!G$1,FALSE),'District Calculations'!$B$14)*Apport_211A2324,3)</f>
        <v>1.867</v>
      </c>
      <c r="P63">
        <f>ROUND(IF(VLOOKUP($A63,EnrollData2324,'2324 Jun 24 Enroll'!H$1,FALSE)='District Calculations'!$B$14,VLOOKUP($A63,EnrollData2324,'2324 Jun 24 Enroll'!H$1,FALSE),'District Calculations'!$B$14)*Apport_214A2324,3)</f>
        <v>1.8660000000000001</v>
      </c>
      <c r="Q63">
        <f>ROUND(IF(VLOOKUP($A63,EnrollData2324,'2324 Jun 24 Enroll'!I$1,FALSE)+VLOOKUP($A63,EnrollData2324,'2324 Jun 24 Enroll'!M$1,FALSE)-VLOOKUP($A63,EnrollData2324,'2324 Jun 24 Enroll'!J$1,FALSE)='District Calculations'!$B$16+'District Calculations'!$B$25-'District Calculations'!$B$17,VLOOKUP($A63,EnrollData2324,'2324 Jun 24 Enroll'!I$1,FALSE)+VLOOKUP($A63,EnrollData2324,'2324 Jun 24 Enroll'!M$1,FALSE)-VLOOKUP($A63,EnrollData2324,'2324 Jun 24 Enroll'!J$1,FALSE),'District Calculations'!$B$16+'District Calculations'!$B$25-'District Calculations'!$B$17)*Apport_217A2324,3)</f>
        <v>4.6980000000000004</v>
      </c>
      <c r="R63">
        <f>ROUND(SUM(L63:Q63)/IF(VLOOKUP($A63,EnrollData2324,'2324 Jun 24 Enroll'!M$1,FALSE)+VLOOKUP($A63,EnrollData2324,'2324 Jun 24 Enroll'!D$1,FALSE)='District Calculations'!$B$25+'District Calculations'!$B$11,VLOOKUP($A63,EnrollData2324,'2324 Jun 24 Enroll'!M$1,FALSE)+VLOOKUP($A63,EnrollData2324,'2324 Jun 24 Enroll'!D$1,FALSE),'District Calculations'!$B$25+'District Calculations'!$B$11),5)</f>
        <v>4.1000000000000003E-3</v>
      </c>
      <c r="S63" s="11">
        <f t="shared" si="22"/>
        <v>1.8294500000000002E-2</v>
      </c>
      <c r="T63">
        <f>ROUND(IF(VLOOKUP($A63,EnrollData2324,'2324 Jun 24 Enroll'!D$1,FALSE)='District Calculations'!$B$11,VLOOKUP($A63,EnrollData2324,'2324 Jun 24 Enroll'!D$1,FALSE),'District Calculations'!$B$11)*S63,3)</f>
        <v>0</v>
      </c>
      <c r="U63">
        <f>ROUND(IF(VLOOKUP($A63,EnrollData2324,'2324 Jun 24 Enroll'!E$1,FALSE)='District Calculations'!$B$12,VLOOKUP($A63,EnrollData2324,'2324 Jun 24 Enroll'!E$1,FALSE),'District Calculations'!$B$12)*S63,3)</f>
        <v>14.827999999999999</v>
      </c>
      <c r="V63">
        <f>ROUND(IF(VLOOKUP($A63,EnrollData2324,'2324 Jun 24 Enroll'!F$1,FALSE)='District Calculations'!$B$13,VLOOKUP($A63,EnrollData2324,'2324 Jun 24 Enroll'!F$1,FALSE),'District Calculations'!$B$13)*Apport_224A2324,3)</f>
        <v>3.6190000000000002</v>
      </c>
      <c r="W63">
        <f>ROUND(IF(VLOOKUP($A63,EnrollData2324,'2324 Jun 24 Enroll'!G$1,FALSE)='District Calculations'!$B$14,VLOOKUP($A63,EnrollData2324,'2324 Jun 24 Enroll'!G$1,FALSE),'District Calculations'!$B$14)*Apport_212A2324,3)</f>
        <v>8.0239999999999991</v>
      </c>
      <c r="X63">
        <f>ROUND(IF(VLOOKUP($A63,EnrollData2324,'2324 Jun 24 Enroll'!H$1,FALSE)='District Calculations'!$B$14,VLOOKUP($A63,EnrollData2324,'2324 Jun 24 Enroll'!H$1,FALSE),'District Calculations'!$B$14)*Apport_215A2324,3)</f>
        <v>7.9279999999999999</v>
      </c>
      <c r="Y63">
        <f>ROUND(IF(VLOOKUP($A63,EnrollData2324,'2324 Jun 24 Enroll'!I$1,FALSE)+VLOOKUP($A63,EnrollData2324,'2324 Jun 24 Enroll'!M$1,FALSE)-VLOOKUP($A63,EnrollData2324,'2324 Jun 24 Enroll'!J$1,FALSE)='District Calculations'!$B$16+'District Calculations'!$B$25-'District Calculations'!$B$17,VLOOKUP($A63,EnrollData2324,'2324 Jun 24 Enroll'!I$1,FALSE)+VLOOKUP($A63,EnrollData2324,'2324 Jun 24 Enroll'!M$1,FALSE)-VLOOKUP($A63,EnrollData2324,'2324 Jun 24 Enroll'!J$1,FALSE),'District Calculations'!$B$16+'District Calculations'!$B$25-'District Calculations'!$B$17)*Apport_218A2324,3)</f>
        <v>19.917999999999999</v>
      </c>
      <c r="Z63">
        <f>ROUND(SUM(T63:Y63)/IF(VLOOKUP($A63,EnrollData2324,'2324 Jun 24 Enroll'!M$1,FALSE)+VLOOKUP($A63,EnrollData2324,'2324 Jun 24 Enroll'!D$1,FALSE)='District Calculations'!$B$25+'District Calculations'!$B$11,VLOOKUP($A63,EnrollData2324,'2324 Jun 24 Enroll'!M$1,FALSE)+VLOOKUP($A63,EnrollData2324,'2324 Jun 24 Enroll'!D$1,FALSE),'District Calculations'!$B$25+'District Calculations'!$B$11),5)</f>
        <v>1.7399999999999999E-2</v>
      </c>
      <c r="AA63" s="6">
        <f>ROUND($J63*CIS_Base_Salary2324*VLOOKUP($A63,EnrollData2324,'2324 Jun 24 Enroll'!S$1,FALSE),2)</f>
        <v>4280.8999999999996</v>
      </c>
      <c r="AB63" s="6">
        <f>ROUND($J63*CIS_Inc_Salary2324*(VLOOKUP($A63,EnrollData2324,'2324 Jun 24 Enroll'!T$1,FALSE)+VLOOKUP($A63,EnrollData2324,'2324 Jun 24 Enroll'!U$1,FALSE)),2)-AA63</f>
        <v>158.40000000000055</v>
      </c>
      <c r="AC63" s="6">
        <f>ROUND($R63*CAS_Base_Salary2324*VLOOKUP($A63,EnrollData2324,'2324 Jun 24 Enroll'!S$1,FALSE),2)</f>
        <v>469.17</v>
      </c>
      <c r="AD63" s="6">
        <f>ROUND($R63*CAS_Inc_Salary2324*VLOOKUP($A63,EnrollData2324,'2324 Jun 24 Enroll'!T$1,FALSE),2)-AC63</f>
        <v>17.359999999999957</v>
      </c>
      <c r="AE63" s="6">
        <f>ROUND($Z63*CLS_Base_Salary2324*VLOOKUP($A63,EnrollData2324,'2324 Jun 24 Enroll'!S$1,FALSE),2)</f>
        <v>962.28</v>
      </c>
      <c r="AF63" s="6">
        <f>ROUND($Z63*CLS_Inc_Salary2324*VLOOKUP($A63,EnrollData2324,'2324 Jun 24 Enroll'!T$1,FALSE),2)-AE63</f>
        <v>35.600000000000023</v>
      </c>
      <c r="AG63">
        <f t="shared" si="9"/>
        <v>734.16</v>
      </c>
      <c r="AH63" s="69">
        <f t="shared" si="23"/>
        <v>68.700000000000045</v>
      </c>
      <c r="AI63">
        <f t="shared" si="11"/>
        <v>214.23</v>
      </c>
      <c r="AJ63">
        <f t="shared" si="24"/>
        <v>114.21000000000001</v>
      </c>
      <c r="AK63">
        <f t="shared" si="25"/>
        <v>853.59</v>
      </c>
      <c r="AL63">
        <f t="shared" si="26"/>
        <v>30.46</v>
      </c>
      <c r="AM63">
        <f t="shared" si="27"/>
        <v>212.28</v>
      </c>
      <c r="AN63">
        <f t="shared" si="28"/>
        <v>6.61</v>
      </c>
      <c r="AO63">
        <f>ROUND(($J63*CIS_Inc_Salary2324*(VLOOKUP($A63,EnrollData2324,'2324 Jun 24 Enroll'!T$1,FALSE)+VLOOKUP($A63,EnrollData2324,'2324 Jun 24 Enroll'!U$1,FALSE))/Apport_613Xpd)*Apport_614Xpd,2)</f>
        <v>73.989999999999995</v>
      </c>
      <c r="AP63">
        <f t="shared" si="29"/>
        <v>12.82</v>
      </c>
      <c r="AQ63">
        <f t="shared" si="32"/>
        <v>30.93</v>
      </c>
      <c r="AR63" s="6">
        <f>ROUND((VLOOKUP($A63,EnrollData2324,'2324 Jun 24 Enroll'!D$1,FALSE)*Apport_M802324+VLOOKUP($A63,EnrollData2324,'2324 Jun 24 Enroll'!M$1,FALSE)*Apport_M802324+(VLOOKUP($A63,EnrollData2324,'2324 Jun 24 Enroll'!P$1,FALSE)+VLOOKUP($A63,EnrollData2324,'2324 Jun 24 Enroll'!Q$1,FALSE)+VLOOKUP($A63,EnrollData2324,'2324 Jun 24 Enroll'!R$1,FALSE)+VLOOKUP($A63,EnrollData2324,'2324 Jun 24 Enroll'!I$1,FALSE)+VLOOKUP($A63,EnrollData2324,'2324 Jun 24 Enroll'!N$1,FALSE)+VLOOKUP($A63,EnrollData2324,'2324 Jun 24 Enroll'!O$1,FALSE)+VLOOKUP($A63,EnrollData2324,'2324 Jun 24 Enroll'!K$1,FALSE)+VLOOKUP($A63,EnrollData2324,'2324 Jun 24 Enroll'!L$1,FALSE))*Apport_M812324)/(VLOOKUP($A63,EnrollData2324,'2324 Jun 24 Enroll'!M$1,FALSE)+VLOOKUP($A63,EnrollData2324,'2324 Jun 24 Enroll'!D$1,FALSE)),2)</f>
        <v>1549.41</v>
      </c>
      <c r="AS63" s="7">
        <f t="shared" si="33"/>
        <v>9825.0999999999985</v>
      </c>
    </row>
    <row r="64" spans="1:46">
      <c r="A64" s="40" t="s">
        <v>536</v>
      </c>
      <c r="B64" s="40" t="s">
        <v>537</v>
      </c>
      <c r="C64" s="11">
        <f>ROUND((IFERROR((1/IF(VLOOKUP($A64,EnrollData2324,28,FALSE)='District Calculations'!$B$10,VLOOKUP($A64,EnrollData2324,28,FALSE),'District Calculations'!$B$10))*(1+Apport_Z315),0))+Apport_201A2324,6)</f>
        <v>7.3449E-2</v>
      </c>
      <c r="D64">
        <f>ROUND(IF(VLOOKUP($A64,EnrollData2324,'2324 Jun 24 Enroll'!D$1,FALSE)='District Calculations'!$B$11,VLOOKUP($A64,EnrollData2324,'2324 Jun 24 Enroll'!D$1,FALSE),'District Calculations'!$B$11)*C64,3)</f>
        <v>0</v>
      </c>
      <c r="E64">
        <f>ROUND(IF(VLOOKUP($A64,EnrollData2324,'2324 Jun 24 Enroll'!E$1,FALSE)='District Calculations'!$B$12,VLOOKUP($A64,EnrollData2324,'2324 Jun 24 Enroll'!E$1,FALSE),'District Calculations'!$B$12)*C64,3)</f>
        <v>59.53</v>
      </c>
      <c r="F64">
        <f>ROUND(IF(VLOOKUP($A64,EnrollData2324,'2324 Jun 24 Enroll'!F$1,FALSE)='District Calculations'!$B$13,VLOOKUP($A64,EnrollData2324,'2324 Jun 24 Enroll'!F$1,FALSE),'District Calculations'!$B$13)*Apport_222A2324,3)</f>
        <v>10.101000000000001</v>
      </c>
      <c r="G64">
        <f>ROUND(IF(VLOOKUP($A64,EnrollData2324,'2324 Jun 24 Enroll'!G$1,FALSE)='District Calculations'!$B$14,VLOOKUP($A64,EnrollData2324,'2324 Jun 24 Enroll'!G$1,FALSE),'District Calculations'!$B$14)*Apport_210A2324,3)</f>
        <v>22.395</v>
      </c>
      <c r="H64">
        <f>ROUND(IF(VLOOKUP($A64,EnrollData2324,'2324 Jun 24 Enroll'!H$1,FALSE)='District Calculations'!$B$15,VLOOKUP($A64,EnrollData2324,'2324 Jun 24 Enroll'!H$1,FALSE),'District Calculations'!$B$15)*Apport_213A2324,3)</f>
        <v>23.091999999999999</v>
      </c>
      <c r="I64">
        <f>ROUND(IF(VLOOKUP($A64,EnrollData2324,'2324 Jun 24 Enroll'!I$1,FALSE)+VLOOKUP($A64,EnrollData2324,'2324 Jun 24 Enroll'!M$1,FALSE)-VLOOKUP($A64,EnrollData2324,'2324 Jun 24 Enroll'!J$1,FALSE)='District Calculations'!$B$16+'District Calculations'!$B$25-'District Calculations'!$B$17,VLOOKUP($A64,EnrollData2324,'2324 Jun 24 Enroll'!I$1,FALSE)+VLOOKUP($A64,EnrollData2324,'2324 Jun 24 Enroll'!M$1,FALSE)-VLOOKUP($A64,EnrollData2324,'2324 Jun 24 Enroll'!J$1,FALSE),'District Calculations'!$B$16+'District Calculations'!$B$25-'District Calculations'!$B$17)*Apport_216A2324,3)</f>
        <v>58.183999999999997</v>
      </c>
      <c r="J64">
        <f>ROUND(SUM(D64:I64)/(IF(VLOOKUP($A64,EnrollData2324,'2324 Jun 24 Enroll'!M$1,FALSE)='District Calculations'!$B$25,VLOOKUP($A64,EnrollData2324,'2324 Jun 24 Enroll'!M$1,FALSE),'District Calculations'!$B$25)+IF(VLOOKUP($A64,EnrollData2324,'2324 Jun 24 Enroll'!D$1,FALSE)='District Calculations'!$B$11,VLOOKUP($A64,EnrollData2324,'2324 Jun 24 Enroll'!D$1,FALSE),'District Calculations'!$B$11)),5)</f>
        <v>5.5530000000000003E-2</v>
      </c>
      <c r="K64" s="11">
        <f t="shared" si="21"/>
        <v>4.365E-3</v>
      </c>
      <c r="L64">
        <f>ROUND(IF(VLOOKUP($A64,EnrollData2324,'2324 Jun 24 Enroll'!D$1,FALSE)='District Calculations'!$B$11,VLOOKUP($A64,EnrollData2324,'2324 Jun 24 Enroll'!D$1,FALSE),'District Calculations'!$B$11)*K64,3)</f>
        <v>0</v>
      </c>
      <c r="M64">
        <f>ROUND(IF(VLOOKUP($A64,EnrollData2324,'2324 Jun 24 Enroll'!E$1,FALSE)='District Calculations'!$B$12,VLOOKUP($A64,EnrollData2324,'2324 Jun 24 Enroll'!E$1,FALSE),'District Calculations'!$B$12)*K64,3)</f>
        <v>3.5379999999999998</v>
      </c>
      <c r="N64">
        <f>ROUND(IF(VLOOKUP($A64,EnrollData2324,'2324 Jun 24 Enroll'!F$1,FALSE)='District Calculations'!$B$13,VLOOKUP($A64,EnrollData2324,'2324 Jun 24 Enroll'!F$1,FALSE),'District Calculations'!$B$13)*Apport_223A2324,3)</f>
        <v>0.84199999999999997</v>
      </c>
      <c r="O64">
        <f>ROUND(IF(VLOOKUP($A64,EnrollData2324,'2324 Jun 24 Enroll'!G$1,FALSE)='District Calculations'!$B$14,VLOOKUP($A64,EnrollData2324,'2324 Jun 24 Enroll'!G$1,FALSE),'District Calculations'!$B$14)*Apport_211A2324,3)</f>
        <v>1.867</v>
      </c>
      <c r="P64">
        <f>ROUND(IF(VLOOKUP($A64,EnrollData2324,'2324 Jun 24 Enroll'!H$1,FALSE)='District Calculations'!$B$14,VLOOKUP($A64,EnrollData2324,'2324 Jun 24 Enroll'!H$1,FALSE),'District Calculations'!$B$14)*Apport_214A2324,3)</f>
        <v>1.8660000000000001</v>
      </c>
      <c r="Q64">
        <f>ROUND(IF(VLOOKUP($A64,EnrollData2324,'2324 Jun 24 Enroll'!I$1,FALSE)+VLOOKUP($A64,EnrollData2324,'2324 Jun 24 Enroll'!M$1,FALSE)-VLOOKUP($A64,EnrollData2324,'2324 Jun 24 Enroll'!J$1,FALSE)='District Calculations'!$B$16+'District Calculations'!$B$25-'District Calculations'!$B$17,VLOOKUP($A64,EnrollData2324,'2324 Jun 24 Enroll'!I$1,FALSE)+VLOOKUP($A64,EnrollData2324,'2324 Jun 24 Enroll'!M$1,FALSE)-VLOOKUP($A64,EnrollData2324,'2324 Jun 24 Enroll'!J$1,FALSE),'District Calculations'!$B$16+'District Calculations'!$B$25-'District Calculations'!$B$17)*Apport_217A2324,3)</f>
        <v>4.6980000000000004</v>
      </c>
      <c r="R64">
        <f>ROUND(SUM(L64:Q64)/IF(VLOOKUP($A64,EnrollData2324,'2324 Jun 24 Enroll'!M$1,FALSE)+VLOOKUP($A64,EnrollData2324,'2324 Jun 24 Enroll'!D$1,FALSE)='District Calculations'!$B$25+'District Calculations'!$B$11,VLOOKUP($A64,EnrollData2324,'2324 Jun 24 Enroll'!M$1,FALSE)+VLOOKUP($A64,EnrollData2324,'2324 Jun 24 Enroll'!D$1,FALSE),'District Calculations'!$B$25+'District Calculations'!$B$11),5)</f>
        <v>4.1000000000000003E-3</v>
      </c>
      <c r="S64" s="11">
        <f t="shared" si="22"/>
        <v>1.8294500000000002E-2</v>
      </c>
      <c r="T64">
        <f>ROUND(IF(VLOOKUP($A64,EnrollData2324,'2324 Jun 24 Enroll'!D$1,FALSE)='District Calculations'!$B$11,VLOOKUP($A64,EnrollData2324,'2324 Jun 24 Enroll'!D$1,FALSE),'District Calculations'!$B$11)*S64,3)</f>
        <v>0</v>
      </c>
      <c r="U64">
        <f>ROUND(IF(VLOOKUP($A64,EnrollData2324,'2324 Jun 24 Enroll'!E$1,FALSE)='District Calculations'!$B$12,VLOOKUP($A64,EnrollData2324,'2324 Jun 24 Enroll'!E$1,FALSE),'District Calculations'!$B$12)*S64,3)</f>
        <v>14.827999999999999</v>
      </c>
      <c r="V64">
        <f>ROUND(IF(VLOOKUP($A64,EnrollData2324,'2324 Jun 24 Enroll'!F$1,FALSE)='District Calculations'!$B$13,VLOOKUP($A64,EnrollData2324,'2324 Jun 24 Enroll'!F$1,FALSE),'District Calculations'!$B$13)*Apport_224A2324,3)</f>
        <v>3.6190000000000002</v>
      </c>
      <c r="W64">
        <f>ROUND(IF(VLOOKUP($A64,EnrollData2324,'2324 Jun 24 Enroll'!G$1,FALSE)='District Calculations'!$B$14,VLOOKUP($A64,EnrollData2324,'2324 Jun 24 Enroll'!G$1,FALSE),'District Calculations'!$B$14)*Apport_212A2324,3)</f>
        <v>8.0239999999999991</v>
      </c>
      <c r="X64">
        <f>ROUND(IF(VLOOKUP($A64,EnrollData2324,'2324 Jun 24 Enroll'!H$1,FALSE)='District Calculations'!$B$14,VLOOKUP($A64,EnrollData2324,'2324 Jun 24 Enroll'!H$1,FALSE),'District Calculations'!$B$14)*Apport_215A2324,3)</f>
        <v>7.9279999999999999</v>
      </c>
      <c r="Y64">
        <f>ROUND(IF(VLOOKUP($A64,EnrollData2324,'2324 Jun 24 Enroll'!I$1,FALSE)+VLOOKUP($A64,EnrollData2324,'2324 Jun 24 Enroll'!M$1,FALSE)-VLOOKUP($A64,EnrollData2324,'2324 Jun 24 Enroll'!J$1,FALSE)='District Calculations'!$B$16+'District Calculations'!$B$25-'District Calculations'!$B$17,VLOOKUP($A64,EnrollData2324,'2324 Jun 24 Enroll'!I$1,FALSE)+VLOOKUP($A64,EnrollData2324,'2324 Jun 24 Enroll'!M$1,FALSE)-VLOOKUP($A64,EnrollData2324,'2324 Jun 24 Enroll'!J$1,FALSE),'District Calculations'!$B$16+'District Calculations'!$B$25-'District Calculations'!$B$17)*Apport_218A2324,3)</f>
        <v>19.917999999999999</v>
      </c>
      <c r="Z64">
        <f>ROUND(SUM(T64:Y64)/IF(VLOOKUP($A64,EnrollData2324,'2324 Jun 24 Enroll'!M$1,FALSE)+VLOOKUP($A64,EnrollData2324,'2324 Jun 24 Enroll'!D$1,FALSE)='District Calculations'!$B$25+'District Calculations'!$B$11,VLOOKUP($A64,EnrollData2324,'2324 Jun 24 Enroll'!M$1,FALSE)+VLOOKUP($A64,EnrollData2324,'2324 Jun 24 Enroll'!D$1,FALSE),'District Calculations'!$B$25+'District Calculations'!$B$11),5)</f>
        <v>1.7399999999999999E-2</v>
      </c>
      <c r="AA64" s="6">
        <f>ROUND($J64*CIS_Base_Salary2324*VLOOKUP($A64,EnrollData2324,'2324 Jun 24 Enroll'!S$1,FALSE),2)</f>
        <v>4280.8999999999996</v>
      </c>
      <c r="AB64" s="6">
        <f>ROUND($J64*CIS_Inc_Salary2324*(VLOOKUP($A64,EnrollData2324,'2324 Jun 24 Enroll'!T$1,FALSE)+VLOOKUP($A64,EnrollData2324,'2324 Jun 24 Enroll'!U$1,FALSE)),2)-AA64</f>
        <v>325.92000000000007</v>
      </c>
      <c r="AC64" s="6">
        <f>ROUND($R64*CAS_Base_Salary2324*VLOOKUP($A64,EnrollData2324,'2324 Jun 24 Enroll'!S$1,FALSE),2)</f>
        <v>469.17</v>
      </c>
      <c r="AD64" s="6">
        <f>ROUND($R64*CAS_Inc_Salary2324*VLOOKUP($A64,EnrollData2324,'2324 Jun 24 Enroll'!T$1,FALSE),2)-AC64</f>
        <v>17.359999999999957</v>
      </c>
      <c r="AE64" s="6">
        <f>ROUND($Z64*CLS_Base_Salary2324*VLOOKUP($A64,EnrollData2324,'2324 Jun 24 Enroll'!S$1,FALSE),2)</f>
        <v>962.28</v>
      </c>
      <c r="AF64" s="6">
        <f>ROUND($Z64*CLS_Inc_Salary2324*VLOOKUP($A64,EnrollData2324,'2324 Jun 24 Enroll'!T$1,FALSE),2)-AE64</f>
        <v>35.600000000000023</v>
      </c>
      <c r="AG64">
        <f t="shared" si="9"/>
        <v>734.16</v>
      </c>
      <c r="AH64" s="69">
        <f t="shared" si="23"/>
        <v>68.700000000000045</v>
      </c>
      <c r="AI64">
        <f t="shared" si="11"/>
        <v>214.23</v>
      </c>
      <c r="AJ64">
        <f t="shared" si="24"/>
        <v>114.21000000000001</v>
      </c>
      <c r="AK64">
        <f t="shared" si="25"/>
        <v>853.59</v>
      </c>
      <c r="AL64">
        <f t="shared" si="26"/>
        <v>59.49</v>
      </c>
      <c r="AM64">
        <f t="shared" si="27"/>
        <v>212.28</v>
      </c>
      <c r="AN64">
        <f t="shared" si="28"/>
        <v>6.61</v>
      </c>
      <c r="AO64">
        <f>ROUND(($J64*CIS_Inc_Salary2324*(VLOOKUP($A64,EnrollData2324,'2324 Jun 24 Enroll'!T$1,FALSE)+VLOOKUP($A64,EnrollData2324,'2324 Jun 24 Enroll'!U$1,FALSE))/Apport_613Xpd)*Apport_614Xpd,2)</f>
        <v>76.78</v>
      </c>
      <c r="AP64">
        <f t="shared" si="29"/>
        <v>13.31</v>
      </c>
      <c r="AQ64">
        <f t="shared" si="32"/>
        <v>30.93</v>
      </c>
      <c r="AR64" s="6">
        <f>ROUND((VLOOKUP($A64,EnrollData2324,'2324 Jun 24 Enroll'!D$1,FALSE)*Apport_M802324+VLOOKUP($A64,EnrollData2324,'2324 Jun 24 Enroll'!M$1,FALSE)*Apport_M802324+(VLOOKUP($A64,EnrollData2324,'2324 Jun 24 Enroll'!P$1,FALSE)+VLOOKUP($A64,EnrollData2324,'2324 Jun 24 Enroll'!Q$1,FALSE)+VLOOKUP($A64,EnrollData2324,'2324 Jun 24 Enroll'!R$1,FALSE)+VLOOKUP($A64,EnrollData2324,'2324 Jun 24 Enroll'!I$1,FALSE)+VLOOKUP($A64,EnrollData2324,'2324 Jun 24 Enroll'!N$1,FALSE)+VLOOKUP($A64,EnrollData2324,'2324 Jun 24 Enroll'!O$1,FALSE)+VLOOKUP($A64,EnrollData2324,'2324 Jun 24 Enroll'!K$1,FALSE)+VLOOKUP($A64,EnrollData2324,'2324 Jun 24 Enroll'!L$1,FALSE))*Apport_M812324)/(VLOOKUP($A64,EnrollData2324,'2324 Jun 24 Enroll'!M$1,FALSE)+VLOOKUP($A64,EnrollData2324,'2324 Jun 24 Enroll'!D$1,FALSE)),2)</f>
        <v>1545.68</v>
      </c>
      <c r="AS64" s="7">
        <f t="shared" si="33"/>
        <v>10021.200000000001</v>
      </c>
    </row>
    <row r="65" spans="1:45">
      <c r="A65" s="40" t="s">
        <v>857</v>
      </c>
      <c r="B65" s="40" t="s">
        <v>858</v>
      </c>
      <c r="C65" s="11">
        <f>ROUND((IFERROR((1/IF(VLOOKUP($A65,EnrollData2324,28,FALSE)='District Calculations'!$B$10,VLOOKUP($A65,EnrollData2324,28,FALSE),'District Calculations'!$B$10))*(1+Apport_Z315),0))+Apport_201A2324,6)</f>
        <v>7.3449E-2</v>
      </c>
      <c r="D65">
        <f>ROUND(IF(VLOOKUP($A65,EnrollData2324,'2324 Jun 24 Enroll'!D$1,FALSE)='District Calculations'!$B$11,VLOOKUP($A65,EnrollData2324,'2324 Jun 24 Enroll'!D$1,FALSE),'District Calculations'!$B$11)*C65,3)</f>
        <v>0</v>
      </c>
      <c r="E65">
        <f>ROUND(IF(VLOOKUP($A65,EnrollData2324,'2324 Jun 24 Enroll'!E$1,FALSE)='District Calculations'!$B$12,VLOOKUP($A65,EnrollData2324,'2324 Jun 24 Enroll'!E$1,FALSE),'District Calculations'!$B$12)*C65,3)</f>
        <v>59.53</v>
      </c>
      <c r="F65">
        <f>ROUND(IF(VLOOKUP($A65,EnrollData2324,'2324 Jun 24 Enroll'!F$1,FALSE)='District Calculations'!$B$13,VLOOKUP($A65,EnrollData2324,'2324 Jun 24 Enroll'!F$1,FALSE),'District Calculations'!$B$13)*Apport_222A2324,3)</f>
        <v>10.101000000000001</v>
      </c>
      <c r="G65">
        <f>ROUND(IF(VLOOKUP($A65,EnrollData2324,'2324 Jun 24 Enroll'!G$1,FALSE)='District Calculations'!$B$14,VLOOKUP($A65,EnrollData2324,'2324 Jun 24 Enroll'!G$1,FALSE),'District Calculations'!$B$14)*Apport_210A2324,3)</f>
        <v>22.395</v>
      </c>
      <c r="H65">
        <f>ROUND(IF(VLOOKUP($A65,EnrollData2324,'2324 Jun 24 Enroll'!H$1,FALSE)='District Calculations'!$B$15,VLOOKUP($A65,EnrollData2324,'2324 Jun 24 Enroll'!H$1,FALSE),'District Calculations'!$B$15)*Apport_213A2324,3)</f>
        <v>23.091999999999999</v>
      </c>
      <c r="I65">
        <f>ROUND(IF(VLOOKUP($A65,EnrollData2324,'2324 Jun 24 Enroll'!I$1,FALSE)+VLOOKUP($A65,EnrollData2324,'2324 Jun 24 Enroll'!M$1,FALSE)-VLOOKUP($A65,EnrollData2324,'2324 Jun 24 Enroll'!J$1,FALSE)='District Calculations'!$B$16+'District Calculations'!$B$25-'District Calculations'!$B$17,VLOOKUP($A65,EnrollData2324,'2324 Jun 24 Enroll'!I$1,FALSE)+VLOOKUP($A65,EnrollData2324,'2324 Jun 24 Enroll'!M$1,FALSE)-VLOOKUP($A65,EnrollData2324,'2324 Jun 24 Enroll'!J$1,FALSE),'District Calculations'!$B$16+'District Calculations'!$B$25-'District Calculations'!$B$17)*Apport_216A2324,3)</f>
        <v>58.183999999999997</v>
      </c>
      <c r="J65">
        <f>ROUND(SUM(D65:I65)/(IF(VLOOKUP($A65,EnrollData2324,'2324 Jun 24 Enroll'!M$1,FALSE)='District Calculations'!$B$25,VLOOKUP($A65,EnrollData2324,'2324 Jun 24 Enroll'!M$1,FALSE),'District Calculations'!$B$25)+IF(VLOOKUP($A65,EnrollData2324,'2324 Jun 24 Enroll'!D$1,FALSE)='District Calculations'!$B$11,VLOOKUP($A65,EnrollData2324,'2324 Jun 24 Enroll'!D$1,FALSE),'District Calculations'!$B$11)),5)</f>
        <v>5.5530000000000003E-2</v>
      </c>
      <c r="K65" s="11">
        <f t="shared" si="21"/>
        <v>4.365E-3</v>
      </c>
      <c r="L65">
        <f>ROUND(IF(VLOOKUP($A65,EnrollData2324,'2324 Jun 24 Enroll'!D$1,FALSE)='District Calculations'!$B$11,VLOOKUP($A65,EnrollData2324,'2324 Jun 24 Enroll'!D$1,FALSE),'District Calculations'!$B$11)*K65,3)</f>
        <v>0</v>
      </c>
      <c r="M65">
        <f>ROUND(IF(VLOOKUP($A65,EnrollData2324,'2324 Jun 24 Enroll'!E$1,FALSE)='District Calculations'!$B$12,VLOOKUP($A65,EnrollData2324,'2324 Jun 24 Enroll'!E$1,FALSE),'District Calculations'!$B$12)*K65,3)</f>
        <v>3.5379999999999998</v>
      </c>
      <c r="N65">
        <f>ROUND(IF(VLOOKUP($A65,EnrollData2324,'2324 Jun 24 Enroll'!F$1,FALSE)='District Calculations'!$B$13,VLOOKUP($A65,EnrollData2324,'2324 Jun 24 Enroll'!F$1,FALSE),'District Calculations'!$B$13)*Apport_223A2324,3)</f>
        <v>0.84199999999999997</v>
      </c>
      <c r="O65">
        <f>ROUND(IF(VLOOKUP($A65,EnrollData2324,'2324 Jun 24 Enroll'!G$1,FALSE)='District Calculations'!$B$14,VLOOKUP($A65,EnrollData2324,'2324 Jun 24 Enroll'!G$1,FALSE),'District Calculations'!$B$14)*Apport_211A2324,3)</f>
        <v>1.867</v>
      </c>
      <c r="P65">
        <f>ROUND(IF(VLOOKUP($A65,EnrollData2324,'2324 Jun 24 Enroll'!H$1,FALSE)='District Calculations'!$B$14,VLOOKUP($A65,EnrollData2324,'2324 Jun 24 Enroll'!H$1,FALSE),'District Calculations'!$B$14)*Apport_214A2324,3)</f>
        <v>1.8660000000000001</v>
      </c>
      <c r="Q65">
        <f>ROUND(IF(VLOOKUP($A65,EnrollData2324,'2324 Jun 24 Enroll'!I$1,FALSE)+VLOOKUP($A65,EnrollData2324,'2324 Jun 24 Enroll'!M$1,FALSE)-VLOOKUP($A65,EnrollData2324,'2324 Jun 24 Enroll'!J$1,FALSE)='District Calculations'!$B$16+'District Calculations'!$B$25-'District Calculations'!$B$17,VLOOKUP($A65,EnrollData2324,'2324 Jun 24 Enroll'!I$1,FALSE)+VLOOKUP($A65,EnrollData2324,'2324 Jun 24 Enroll'!M$1,FALSE)-VLOOKUP($A65,EnrollData2324,'2324 Jun 24 Enroll'!J$1,FALSE),'District Calculations'!$B$16+'District Calculations'!$B$25-'District Calculations'!$B$17)*Apport_217A2324,3)</f>
        <v>4.6980000000000004</v>
      </c>
      <c r="R65">
        <f>ROUND(SUM(L65:Q65)/IF(VLOOKUP($A65,EnrollData2324,'2324 Jun 24 Enroll'!M$1,FALSE)+VLOOKUP($A65,EnrollData2324,'2324 Jun 24 Enroll'!D$1,FALSE)='District Calculations'!$B$25+'District Calculations'!$B$11,VLOOKUP($A65,EnrollData2324,'2324 Jun 24 Enroll'!M$1,FALSE)+VLOOKUP($A65,EnrollData2324,'2324 Jun 24 Enroll'!D$1,FALSE),'District Calculations'!$B$25+'District Calculations'!$B$11),5)</f>
        <v>4.1000000000000003E-3</v>
      </c>
      <c r="S65" s="11">
        <f t="shared" si="22"/>
        <v>1.8294500000000002E-2</v>
      </c>
      <c r="T65">
        <f>ROUND(IF(VLOOKUP($A65,EnrollData2324,'2324 Jun 24 Enroll'!D$1,FALSE)='District Calculations'!$B$11,VLOOKUP($A65,EnrollData2324,'2324 Jun 24 Enroll'!D$1,FALSE),'District Calculations'!$B$11)*S65,3)</f>
        <v>0</v>
      </c>
      <c r="U65">
        <f>ROUND(IF(VLOOKUP($A65,EnrollData2324,'2324 Jun 24 Enroll'!E$1,FALSE)='District Calculations'!$B$12,VLOOKUP($A65,EnrollData2324,'2324 Jun 24 Enroll'!E$1,FALSE),'District Calculations'!$B$12)*S65,3)</f>
        <v>14.827999999999999</v>
      </c>
      <c r="V65">
        <f>ROUND(IF(VLOOKUP($A65,EnrollData2324,'2324 Jun 24 Enroll'!F$1,FALSE)='District Calculations'!$B$13,VLOOKUP($A65,EnrollData2324,'2324 Jun 24 Enroll'!F$1,FALSE),'District Calculations'!$B$13)*Apport_224A2324,3)</f>
        <v>3.6190000000000002</v>
      </c>
      <c r="W65">
        <f>ROUND(IF(VLOOKUP($A65,EnrollData2324,'2324 Jun 24 Enroll'!G$1,FALSE)='District Calculations'!$B$14,VLOOKUP($A65,EnrollData2324,'2324 Jun 24 Enroll'!G$1,FALSE),'District Calculations'!$B$14)*Apport_212A2324,3)</f>
        <v>8.0239999999999991</v>
      </c>
      <c r="X65">
        <f>ROUND(IF(VLOOKUP($A65,EnrollData2324,'2324 Jun 24 Enroll'!H$1,FALSE)='District Calculations'!$B$14,VLOOKUP($A65,EnrollData2324,'2324 Jun 24 Enroll'!H$1,FALSE),'District Calculations'!$B$14)*Apport_215A2324,3)</f>
        <v>7.9279999999999999</v>
      </c>
      <c r="Y65">
        <f>ROUND(IF(VLOOKUP($A65,EnrollData2324,'2324 Jun 24 Enroll'!I$1,FALSE)+VLOOKUP($A65,EnrollData2324,'2324 Jun 24 Enroll'!M$1,FALSE)-VLOOKUP($A65,EnrollData2324,'2324 Jun 24 Enroll'!J$1,FALSE)='District Calculations'!$B$16+'District Calculations'!$B$25-'District Calculations'!$B$17,VLOOKUP($A65,EnrollData2324,'2324 Jun 24 Enroll'!I$1,FALSE)+VLOOKUP($A65,EnrollData2324,'2324 Jun 24 Enroll'!M$1,FALSE)-VLOOKUP($A65,EnrollData2324,'2324 Jun 24 Enroll'!J$1,FALSE),'District Calculations'!$B$16+'District Calculations'!$B$25-'District Calculations'!$B$17)*Apport_218A2324,3)</f>
        <v>19.917999999999999</v>
      </c>
      <c r="Z65">
        <f>ROUND(SUM(T65:Y65)/IF(VLOOKUP($A65,EnrollData2324,'2324 Jun 24 Enroll'!M$1,FALSE)+VLOOKUP($A65,EnrollData2324,'2324 Jun 24 Enroll'!D$1,FALSE)='District Calculations'!$B$25+'District Calculations'!$B$11,VLOOKUP($A65,EnrollData2324,'2324 Jun 24 Enroll'!M$1,FALSE)+VLOOKUP($A65,EnrollData2324,'2324 Jun 24 Enroll'!D$1,FALSE),'District Calculations'!$B$25+'District Calculations'!$B$11),5)</f>
        <v>1.7399999999999999E-2</v>
      </c>
      <c r="AA65" s="6">
        <f>ROUND($J65*CIS_Base_Salary2324*VLOOKUP($A65,EnrollData2324,'2324 Jun 24 Enroll'!S$1,FALSE),2)</f>
        <v>4280.8999999999996</v>
      </c>
      <c r="AB65" s="6">
        <f>ROUND($J65*CIS_Inc_Salary2324*(VLOOKUP($A65,EnrollData2324,'2324 Jun 24 Enroll'!T$1,FALSE)+VLOOKUP($A65,EnrollData2324,'2324 Jun 24 Enroll'!U$1,FALSE)),2)-AA65</f>
        <v>158.40000000000055</v>
      </c>
      <c r="AC65" s="6">
        <f>ROUND($R65*CAS_Base_Salary2324*VLOOKUP($A65,EnrollData2324,'2324 Jun 24 Enroll'!S$1,FALSE),2)</f>
        <v>469.17</v>
      </c>
      <c r="AD65" s="6">
        <f>ROUND($R65*CAS_Inc_Salary2324*VLOOKUP($A65,EnrollData2324,'2324 Jun 24 Enroll'!T$1,FALSE),2)-AC65</f>
        <v>17.359999999999957</v>
      </c>
      <c r="AE65" s="6">
        <f>ROUND($Z65*CLS_Base_Salary2324*VLOOKUP($A65,EnrollData2324,'2324 Jun 24 Enroll'!S$1,FALSE),2)</f>
        <v>962.28</v>
      </c>
      <c r="AF65" s="6">
        <f>ROUND($Z65*CLS_Inc_Salary2324*VLOOKUP($A65,EnrollData2324,'2324 Jun 24 Enroll'!T$1,FALSE),2)-AE65</f>
        <v>35.600000000000023</v>
      </c>
      <c r="AG65">
        <f t="shared" si="9"/>
        <v>734.16</v>
      </c>
      <c r="AH65" s="69">
        <f t="shared" si="23"/>
        <v>68.700000000000045</v>
      </c>
      <c r="AI65">
        <f t="shared" si="11"/>
        <v>214.23</v>
      </c>
      <c r="AJ65">
        <f t="shared" si="24"/>
        <v>114.21000000000001</v>
      </c>
      <c r="AK65">
        <f t="shared" si="25"/>
        <v>853.59</v>
      </c>
      <c r="AL65">
        <f t="shared" si="26"/>
        <v>30.46</v>
      </c>
      <c r="AM65">
        <f t="shared" si="27"/>
        <v>212.28</v>
      </c>
      <c r="AN65">
        <f t="shared" si="28"/>
        <v>6.61</v>
      </c>
      <c r="AO65">
        <f>ROUND(($J65*CIS_Inc_Salary2324*(VLOOKUP($A65,EnrollData2324,'2324 Jun 24 Enroll'!T$1,FALSE)+VLOOKUP($A65,EnrollData2324,'2324 Jun 24 Enroll'!U$1,FALSE))/Apport_613Xpd)*Apport_614Xpd,2)</f>
        <v>73.989999999999995</v>
      </c>
      <c r="AP65">
        <f t="shared" si="29"/>
        <v>12.82</v>
      </c>
      <c r="AQ65">
        <f t="shared" si="32"/>
        <v>30.93</v>
      </c>
      <c r="AR65" s="6">
        <f>ROUND((VLOOKUP($A65,EnrollData2324,'2324 Jun 24 Enroll'!D$1,FALSE)*Apport_M802324+VLOOKUP($A65,EnrollData2324,'2324 Jun 24 Enroll'!M$1,FALSE)*Apport_M802324+(VLOOKUP($A65,EnrollData2324,'2324 Jun 24 Enroll'!P$1,FALSE)+VLOOKUP($A65,EnrollData2324,'2324 Jun 24 Enroll'!Q$1,FALSE)+VLOOKUP($A65,EnrollData2324,'2324 Jun 24 Enroll'!R$1,FALSE)+VLOOKUP($A65,EnrollData2324,'2324 Jun 24 Enroll'!I$1,FALSE)+VLOOKUP($A65,EnrollData2324,'2324 Jun 24 Enroll'!N$1,FALSE)+VLOOKUP($A65,EnrollData2324,'2324 Jun 24 Enroll'!O$1,FALSE)+VLOOKUP($A65,EnrollData2324,'2324 Jun 24 Enroll'!K$1,FALSE)+VLOOKUP($A65,EnrollData2324,'2324 Jun 24 Enroll'!L$1,FALSE))*Apport_M812324)/(VLOOKUP($A65,EnrollData2324,'2324 Jun 24 Enroll'!M$1,FALSE)+VLOOKUP($A65,EnrollData2324,'2324 Jun 24 Enroll'!D$1,FALSE)),2)</f>
        <v>1555.48</v>
      </c>
      <c r="AS65" s="7">
        <f t="shared" si="33"/>
        <v>9831.1699999999983</v>
      </c>
    </row>
    <row r="66" spans="1:45">
      <c r="A66" s="40" t="s">
        <v>460</v>
      </c>
      <c r="B66" s="40" t="s">
        <v>461</v>
      </c>
      <c r="C66" s="11">
        <f>ROUND((IFERROR((1/IF(VLOOKUP($A66,EnrollData2324,28,FALSE)='District Calculations'!$B$10,VLOOKUP($A66,EnrollData2324,28,FALSE),'District Calculations'!$B$10))*(1+Apport_Z315),0))+Apport_201A2324,6)</f>
        <v>7.3449E-2</v>
      </c>
      <c r="D66">
        <f>ROUND(IF(VLOOKUP($A66,EnrollData2324,'2324 Jun 24 Enroll'!D$1,FALSE)='District Calculations'!$B$11,VLOOKUP($A66,EnrollData2324,'2324 Jun 24 Enroll'!D$1,FALSE),'District Calculations'!$B$11)*C66,3)</f>
        <v>0</v>
      </c>
      <c r="E66">
        <f>ROUND(IF(VLOOKUP($A66,EnrollData2324,'2324 Jun 24 Enroll'!E$1,FALSE)='District Calculations'!$B$12,VLOOKUP($A66,EnrollData2324,'2324 Jun 24 Enroll'!E$1,FALSE),'District Calculations'!$B$12)*C66,3)</f>
        <v>59.53</v>
      </c>
      <c r="F66">
        <f>ROUND(IF(VLOOKUP($A66,EnrollData2324,'2324 Jun 24 Enroll'!F$1,FALSE)='District Calculations'!$B$13,VLOOKUP($A66,EnrollData2324,'2324 Jun 24 Enroll'!F$1,FALSE),'District Calculations'!$B$13)*Apport_222A2324,3)</f>
        <v>10.101000000000001</v>
      </c>
      <c r="G66">
        <f>ROUND(IF(VLOOKUP($A66,EnrollData2324,'2324 Jun 24 Enroll'!G$1,FALSE)='District Calculations'!$B$14,VLOOKUP($A66,EnrollData2324,'2324 Jun 24 Enroll'!G$1,FALSE),'District Calculations'!$B$14)*Apport_210A2324,3)</f>
        <v>22.395</v>
      </c>
      <c r="H66">
        <f>ROUND(IF(VLOOKUP($A66,EnrollData2324,'2324 Jun 24 Enroll'!H$1,FALSE)='District Calculations'!$B$15,VLOOKUP($A66,EnrollData2324,'2324 Jun 24 Enroll'!H$1,FALSE),'District Calculations'!$B$15)*Apport_213A2324,3)</f>
        <v>23.091999999999999</v>
      </c>
      <c r="I66">
        <f>ROUND(IF(VLOOKUP($A66,EnrollData2324,'2324 Jun 24 Enroll'!I$1,FALSE)+VLOOKUP($A66,EnrollData2324,'2324 Jun 24 Enroll'!M$1,FALSE)-VLOOKUP($A66,EnrollData2324,'2324 Jun 24 Enroll'!J$1,FALSE)='District Calculations'!$B$16+'District Calculations'!$B$25-'District Calculations'!$B$17,VLOOKUP($A66,EnrollData2324,'2324 Jun 24 Enroll'!I$1,FALSE)+VLOOKUP($A66,EnrollData2324,'2324 Jun 24 Enroll'!M$1,FALSE)-VLOOKUP($A66,EnrollData2324,'2324 Jun 24 Enroll'!J$1,FALSE),'District Calculations'!$B$16+'District Calculations'!$B$25-'District Calculations'!$B$17)*Apport_216A2324,3)</f>
        <v>58.183999999999997</v>
      </c>
      <c r="J66">
        <f>ROUND(SUM(D66:I66)/(IF(VLOOKUP($A66,EnrollData2324,'2324 Jun 24 Enroll'!M$1,FALSE)='District Calculations'!$B$25,VLOOKUP($A66,EnrollData2324,'2324 Jun 24 Enroll'!M$1,FALSE),'District Calculations'!$B$25)+IF(VLOOKUP($A66,EnrollData2324,'2324 Jun 24 Enroll'!D$1,FALSE)='District Calculations'!$B$11,VLOOKUP($A66,EnrollData2324,'2324 Jun 24 Enroll'!D$1,FALSE),'District Calculations'!$B$11)),5)</f>
        <v>5.5530000000000003E-2</v>
      </c>
      <c r="K66" s="11">
        <f t="shared" si="21"/>
        <v>4.365E-3</v>
      </c>
      <c r="L66">
        <f>ROUND(IF(VLOOKUP($A66,EnrollData2324,'2324 Jun 24 Enroll'!D$1,FALSE)='District Calculations'!$B$11,VLOOKUP($A66,EnrollData2324,'2324 Jun 24 Enroll'!D$1,FALSE),'District Calculations'!$B$11)*K66,3)</f>
        <v>0</v>
      </c>
      <c r="M66">
        <f>ROUND(IF(VLOOKUP($A66,EnrollData2324,'2324 Jun 24 Enroll'!E$1,FALSE)='District Calculations'!$B$12,VLOOKUP($A66,EnrollData2324,'2324 Jun 24 Enroll'!E$1,FALSE),'District Calculations'!$B$12)*K66,3)</f>
        <v>3.5379999999999998</v>
      </c>
      <c r="N66">
        <f>ROUND(IF(VLOOKUP($A66,EnrollData2324,'2324 Jun 24 Enroll'!F$1,FALSE)='District Calculations'!$B$13,VLOOKUP($A66,EnrollData2324,'2324 Jun 24 Enroll'!F$1,FALSE),'District Calculations'!$B$13)*Apport_223A2324,3)</f>
        <v>0.84199999999999997</v>
      </c>
      <c r="O66">
        <f>ROUND(IF(VLOOKUP($A66,EnrollData2324,'2324 Jun 24 Enroll'!G$1,FALSE)='District Calculations'!$B$14,VLOOKUP($A66,EnrollData2324,'2324 Jun 24 Enroll'!G$1,FALSE),'District Calculations'!$B$14)*Apport_211A2324,3)</f>
        <v>1.867</v>
      </c>
      <c r="P66">
        <f>ROUND(IF(VLOOKUP($A66,EnrollData2324,'2324 Jun 24 Enroll'!H$1,FALSE)='District Calculations'!$B$14,VLOOKUP($A66,EnrollData2324,'2324 Jun 24 Enroll'!H$1,FALSE),'District Calculations'!$B$14)*Apport_214A2324,3)</f>
        <v>1.8660000000000001</v>
      </c>
      <c r="Q66">
        <f>ROUND(IF(VLOOKUP($A66,EnrollData2324,'2324 Jun 24 Enroll'!I$1,FALSE)+VLOOKUP($A66,EnrollData2324,'2324 Jun 24 Enroll'!M$1,FALSE)-VLOOKUP($A66,EnrollData2324,'2324 Jun 24 Enroll'!J$1,FALSE)='District Calculations'!$B$16+'District Calculations'!$B$25-'District Calculations'!$B$17,VLOOKUP($A66,EnrollData2324,'2324 Jun 24 Enroll'!I$1,FALSE)+VLOOKUP($A66,EnrollData2324,'2324 Jun 24 Enroll'!M$1,FALSE)-VLOOKUP($A66,EnrollData2324,'2324 Jun 24 Enroll'!J$1,FALSE),'District Calculations'!$B$16+'District Calculations'!$B$25-'District Calculations'!$B$17)*Apport_217A2324,3)</f>
        <v>4.6980000000000004</v>
      </c>
      <c r="R66">
        <f>ROUND(SUM(L66:Q66)/IF(VLOOKUP($A66,EnrollData2324,'2324 Jun 24 Enroll'!M$1,FALSE)+VLOOKUP($A66,EnrollData2324,'2324 Jun 24 Enroll'!D$1,FALSE)='District Calculations'!$B$25+'District Calculations'!$B$11,VLOOKUP($A66,EnrollData2324,'2324 Jun 24 Enroll'!M$1,FALSE)+VLOOKUP($A66,EnrollData2324,'2324 Jun 24 Enroll'!D$1,FALSE),'District Calculations'!$B$25+'District Calculations'!$B$11),5)</f>
        <v>4.1000000000000003E-3</v>
      </c>
      <c r="S66" s="11">
        <f t="shared" si="22"/>
        <v>1.8294500000000002E-2</v>
      </c>
      <c r="T66">
        <f>ROUND(IF(VLOOKUP($A66,EnrollData2324,'2324 Jun 24 Enroll'!D$1,FALSE)='District Calculations'!$B$11,VLOOKUP($A66,EnrollData2324,'2324 Jun 24 Enroll'!D$1,FALSE),'District Calculations'!$B$11)*S66,3)</f>
        <v>0</v>
      </c>
      <c r="U66">
        <f>ROUND(IF(VLOOKUP($A66,EnrollData2324,'2324 Jun 24 Enroll'!E$1,FALSE)='District Calculations'!$B$12,VLOOKUP($A66,EnrollData2324,'2324 Jun 24 Enroll'!E$1,FALSE),'District Calculations'!$B$12)*S66,3)</f>
        <v>14.827999999999999</v>
      </c>
      <c r="V66">
        <f>ROUND(IF(VLOOKUP($A66,EnrollData2324,'2324 Jun 24 Enroll'!F$1,FALSE)='District Calculations'!$B$13,VLOOKUP($A66,EnrollData2324,'2324 Jun 24 Enroll'!F$1,FALSE),'District Calculations'!$B$13)*Apport_224A2324,3)</f>
        <v>3.6190000000000002</v>
      </c>
      <c r="W66">
        <f>ROUND(IF(VLOOKUP($A66,EnrollData2324,'2324 Jun 24 Enroll'!G$1,FALSE)='District Calculations'!$B$14,VLOOKUP($A66,EnrollData2324,'2324 Jun 24 Enroll'!G$1,FALSE),'District Calculations'!$B$14)*Apport_212A2324,3)</f>
        <v>8.0239999999999991</v>
      </c>
      <c r="X66">
        <f>ROUND(IF(VLOOKUP($A66,EnrollData2324,'2324 Jun 24 Enroll'!H$1,FALSE)='District Calculations'!$B$14,VLOOKUP($A66,EnrollData2324,'2324 Jun 24 Enroll'!H$1,FALSE),'District Calculations'!$B$14)*Apport_215A2324,3)</f>
        <v>7.9279999999999999</v>
      </c>
      <c r="Y66">
        <f>ROUND(IF(VLOOKUP($A66,EnrollData2324,'2324 Jun 24 Enroll'!I$1,FALSE)+VLOOKUP($A66,EnrollData2324,'2324 Jun 24 Enroll'!M$1,FALSE)-VLOOKUP($A66,EnrollData2324,'2324 Jun 24 Enroll'!J$1,FALSE)='District Calculations'!$B$16+'District Calculations'!$B$25-'District Calculations'!$B$17,VLOOKUP($A66,EnrollData2324,'2324 Jun 24 Enroll'!I$1,FALSE)+VLOOKUP($A66,EnrollData2324,'2324 Jun 24 Enroll'!M$1,FALSE)-VLOOKUP($A66,EnrollData2324,'2324 Jun 24 Enroll'!J$1,FALSE),'District Calculations'!$B$16+'District Calculations'!$B$25-'District Calculations'!$B$17)*Apport_218A2324,3)</f>
        <v>19.917999999999999</v>
      </c>
      <c r="Z66">
        <f>ROUND(SUM(T66:Y66)/IF(VLOOKUP($A66,EnrollData2324,'2324 Jun 24 Enroll'!M$1,FALSE)+VLOOKUP($A66,EnrollData2324,'2324 Jun 24 Enroll'!D$1,FALSE)='District Calculations'!$B$25+'District Calculations'!$B$11,VLOOKUP($A66,EnrollData2324,'2324 Jun 24 Enroll'!M$1,FALSE)+VLOOKUP($A66,EnrollData2324,'2324 Jun 24 Enroll'!D$1,FALSE),'District Calculations'!$B$25+'District Calculations'!$B$11),5)</f>
        <v>1.7399999999999999E-2</v>
      </c>
      <c r="AA66" s="6">
        <f>ROUND($J66*CIS_Base_Salary2324*VLOOKUP($A66,EnrollData2324,'2324 Jun 24 Enroll'!S$1,FALSE),2)</f>
        <v>4280.8999999999996</v>
      </c>
      <c r="AB66" s="6">
        <f>ROUND($J66*CIS_Inc_Salary2324*(VLOOKUP($A66,EnrollData2324,'2324 Jun 24 Enroll'!T$1,FALSE)+VLOOKUP($A66,EnrollData2324,'2324 Jun 24 Enroll'!U$1,FALSE)),2)-AA66</f>
        <v>325.92000000000007</v>
      </c>
      <c r="AC66" s="6">
        <f>ROUND($R66*CAS_Base_Salary2324*VLOOKUP($A66,EnrollData2324,'2324 Jun 24 Enroll'!S$1,FALSE),2)</f>
        <v>469.17</v>
      </c>
      <c r="AD66" s="6">
        <f>ROUND($R66*CAS_Inc_Salary2324*VLOOKUP($A66,EnrollData2324,'2324 Jun 24 Enroll'!T$1,FALSE),2)-AC66</f>
        <v>17.359999999999957</v>
      </c>
      <c r="AE66" s="6">
        <f>ROUND($Z66*CLS_Base_Salary2324*VLOOKUP($A66,EnrollData2324,'2324 Jun 24 Enroll'!S$1,FALSE),2)</f>
        <v>962.28</v>
      </c>
      <c r="AF66" s="6">
        <f>ROUND($Z66*CLS_Inc_Salary2324*VLOOKUP($A66,EnrollData2324,'2324 Jun 24 Enroll'!T$1,FALSE),2)-AE66</f>
        <v>35.600000000000023</v>
      </c>
      <c r="AG66">
        <f t="shared" si="9"/>
        <v>734.16</v>
      </c>
      <c r="AH66" s="69">
        <f t="shared" si="23"/>
        <v>68.700000000000045</v>
      </c>
      <c r="AI66">
        <f t="shared" si="11"/>
        <v>214.23</v>
      </c>
      <c r="AJ66">
        <f t="shared" si="24"/>
        <v>114.21000000000001</v>
      </c>
      <c r="AK66">
        <f t="shared" si="25"/>
        <v>853.59</v>
      </c>
      <c r="AL66">
        <f t="shared" si="26"/>
        <v>59.49</v>
      </c>
      <c r="AM66">
        <f t="shared" si="27"/>
        <v>212.28</v>
      </c>
      <c r="AN66">
        <f t="shared" si="28"/>
        <v>6.61</v>
      </c>
      <c r="AO66">
        <f>ROUND(($J66*CIS_Inc_Salary2324*(VLOOKUP($A66,EnrollData2324,'2324 Jun 24 Enroll'!T$1,FALSE)+VLOOKUP($A66,EnrollData2324,'2324 Jun 24 Enroll'!U$1,FALSE))/Apport_613Xpd)*Apport_614Xpd,2)</f>
        <v>76.78</v>
      </c>
      <c r="AP66">
        <f t="shared" si="29"/>
        <v>13.31</v>
      </c>
      <c r="AQ66">
        <f t="shared" si="32"/>
        <v>30.93</v>
      </c>
      <c r="AR66" s="6">
        <f>ROUND((VLOOKUP($A66,EnrollData2324,'2324 Jun 24 Enroll'!D$1,FALSE)*Apport_M802324+VLOOKUP($A66,EnrollData2324,'2324 Jun 24 Enroll'!M$1,FALSE)*Apport_M802324+(VLOOKUP($A66,EnrollData2324,'2324 Jun 24 Enroll'!P$1,FALSE)+VLOOKUP($A66,EnrollData2324,'2324 Jun 24 Enroll'!Q$1,FALSE)+VLOOKUP($A66,EnrollData2324,'2324 Jun 24 Enroll'!R$1,FALSE)+VLOOKUP($A66,EnrollData2324,'2324 Jun 24 Enroll'!I$1,FALSE)+VLOOKUP($A66,EnrollData2324,'2324 Jun 24 Enroll'!N$1,FALSE)+VLOOKUP($A66,EnrollData2324,'2324 Jun 24 Enroll'!O$1,FALSE)+VLOOKUP($A66,EnrollData2324,'2324 Jun 24 Enroll'!K$1,FALSE)+VLOOKUP($A66,EnrollData2324,'2324 Jun 24 Enroll'!L$1,FALSE))*Apport_M812324)/(VLOOKUP($A66,EnrollData2324,'2324 Jun 24 Enroll'!M$1,FALSE)+VLOOKUP($A66,EnrollData2324,'2324 Jun 24 Enroll'!D$1,FALSE)),2)</f>
        <v>1558.36</v>
      </c>
      <c r="AS66" s="7">
        <f t="shared" si="33"/>
        <v>10033.880000000001</v>
      </c>
    </row>
    <row r="67" spans="1:45">
      <c r="A67" s="40" t="s">
        <v>357</v>
      </c>
      <c r="B67" s="40" t="s">
        <v>358</v>
      </c>
      <c r="C67" s="11">
        <f>ROUND((IFERROR((1/IF(VLOOKUP($A67,EnrollData2324,28,FALSE)='District Calculations'!$B$10,VLOOKUP($A67,EnrollData2324,28,FALSE),'District Calculations'!$B$10))*(1+Apport_Z315),0))+Apport_201A2324,6)</f>
        <v>7.3449E-2</v>
      </c>
      <c r="D67">
        <f>ROUND(IF(VLOOKUP($A67,EnrollData2324,'2324 Jun 24 Enroll'!D$1,FALSE)='District Calculations'!$B$11,VLOOKUP($A67,EnrollData2324,'2324 Jun 24 Enroll'!D$1,FALSE),'District Calculations'!$B$11)*C67,3)</f>
        <v>0</v>
      </c>
      <c r="E67">
        <f>ROUND(IF(VLOOKUP($A67,EnrollData2324,'2324 Jun 24 Enroll'!E$1,FALSE)='District Calculations'!$B$12,VLOOKUP($A67,EnrollData2324,'2324 Jun 24 Enroll'!E$1,FALSE),'District Calculations'!$B$12)*C67,3)</f>
        <v>59.53</v>
      </c>
      <c r="F67">
        <f>ROUND(IF(VLOOKUP($A67,EnrollData2324,'2324 Jun 24 Enroll'!F$1,FALSE)='District Calculations'!$B$13,VLOOKUP($A67,EnrollData2324,'2324 Jun 24 Enroll'!F$1,FALSE),'District Calculations'!$B$13)*Apport_222A2324,3)</f>
        <v>10.101000000000001</v>
      </c>
      <c r="G67">
        <f>ROUND(IF(VLOOKUP($A67,EnrollData2324,'2324 Jun 24 Enroll'!G$1,FALSE)='District Calculations'!$B$14,VLOOKUP($A67,EnrollData2324,'2324 Jun 24 Enroll'!G$1,FALSE),'District Calculations'!$B$14)*Apport_210A2324,3)</f>
        <v>22.395</v>
      </c>
      <c r="H67">
        <f>ROUND(IF(VLOOKUP($A67,EnrollData2324,'2324 Jun 24 Enroll'!H$1,FALSE)='District Calculations'!$B$15,VLOOKUP($A67,EnrollData2324,'2324 Jun 24 Enroll'!H$1,FALSE),'District Calculations'!$B$15)*Apport_213A2324,3)</f>
        <v>23.091999999999999</v>
      </c>
      <c r="I67">
        <f>ROUND(IF(VLOOKUP($A67,EnrollData2324,'2324 Jun 24 Enroll'!I$1,FALSE)+VLOOKUP($A67,EnrollData2324,'2324 Jun 24 Enroll'!M$1,FALSE)-VLOOKUP($A67,EnrollData2324,'2324 Jun 24 Enroll'!J$1,FALSE)='District Calculations'!$B$16+'District Calculations'!$B$25-'District Calculations'!$B$17,VLOOKUP($A67,EnrollData2324,'2324 Jun 24 Enroll'!I$1,FALSE)+VLOOKUP($A67,EnrollData2324,'2324 Jun 24 Enroll'!M$1,FALSE)-VLOOKUP($A67,EnrollData2324,'2324 Jun 24 Enroll'!J$1,FALSE),'District Calculations'!$B$16+'District Calculations'!$B$25-'District Calculations'!$B$17)*Apport_216A2324,3)</f>
        <v>58.183999999999997</v>
      </c>
      <c r="J67">
        <f>ROUND(SUM(D67:I67)/(IF(VLOOKUP($A67,EnrollData2324,'2324 Jun 24 Enroll'!M$1,FALSE)='District Calculations'!$B$25,VLOOKUP($A67,EnrollData2324,'2324 Jun 24 Enroll'!M$1,FALSE),'District Calculations'!$B$25)+IF(VLOOKUP($A67,EnrollData2324,'2324 Jun 24 Enroll'!D$1,FALSE)='District Calculations'!$B$11,VLOOKUP($A67,EnrollData2324,'2324 Jun 24 Enroll'!D$1,FALSE),'District Calculations'!$B$11)),5)</f>
        <v>5.5530000000000003E-2</v>
      </c>
      <c r="K67" s="11">
        <f t="shared" si="21"/>
        <v>4.365E-3</v>
      </c>
      <c r="L67">
        <f>ROUND(IF(VLOOKUP($A67,EnrollData2324,'2324 Jun 24 Enroll'!D$1,FALSE)='District Calculations'!$B$11,VLOOKUP($A67,EnrollData2324,'2324 Jun 24 Enroll'!D$1,FALSE),'District Calculations'!$B$11)*K67,3)</f>
        <v>0</v>
      </c>
      <c r="M67">
        <f>ROUND(IF(VLOOKUP($A67,EnrollData2324,'2324 Jun 24 Enroll'!E$1,FALSE)='District Calculations'!$B$12,VLOOKUP($A67,EnrollData2324,'2324 Jun 24 Enroll'!E$1,FALSE),'District Calculations'!$B$12)*K67,3)</f>
        <v>3.5379999999999998</v>
      </c>
      <c r="N67">
        <f>ROUND(IF(VLOOKUP($A67,EnrollData2324,'2324 Jun 24 Enroll'!F$1,FALSE)='District Calculations'!$B$13,VLOOKUP($A67,EnrollData2324,'2324 Jun 24 Enroll'!F$1,FALSE),'District Calculations'!$B$13)*Apport_223A2324,3)</f>
        <v>0.84199999999999997</v>
      </c>
      <c r="O67">
        <f>ROUND(IF(VLOOKUP($A67,EnrollData2324,'2324 Jun 24 Enroll'!G$1,FALSE)='District Calculations'!$B$14,VLOOKUP($A67,EnrollData2324,'2324 Jun 24 Enroll'!G$1,FALSE),'District Calculations'!$B$14)*Apport_211A2324,3)</f>
        <v>1.867</v>
      </c>
      <c r="P67">
        <f>ROUND(IF(VLOOKUP($A67,EnrollData2324,'2324 Jun 24 Enroll'!H$1,FALSE)='District Calculations'!$B$14,VLOOKUP($A67,EnrollData2324,'2324 Jun 24 Enroll'!H$1,FALSE),'District Calculations'!$B$14)*Apport_214A2324,3)</f>
        <v>1.8660000000000001</v>
      </c>
      <c r="Q67">
        <f>ROUND(IF(VLOOKUP($A67,EnrollData2324,'2324 Jun 24 Enroll'!I$1,FALSE)+VLOOKUP($A67,EnrollData2324,'2324 Jun 24 Enroll'!M$1,FALSE)-VLOOKUP($A67,EnrollData2324,'2324 Jun 24 Enroll'!J$1,FALSE)='District Calculations'!$B$16+'District Calculations'!$B$25-'District Calculations'!$B$17,VLOOKUP($A67,EnrollData2324,'2324 Jun 24 Enroll'!I$1,FALSE)+VLOOKUP($A67,EnrollData2324,'2324 Jun 24 Enroll'!M$1,FALSE)-VLOOKUP($A67,EnrollData2324,'2324 Jun 24 Enroll'!J$1,FALSE),'District Calculations'!$B$16+'District Calculations'!$B$25-'District Calculations'!$B$17)*Apport_217A2324,3)</f>
        <v>4.6980000000000004</v>
      </c>
      <c r="R67">
        <f>ROUND(SUM(L67:Q67)/IF(VLOOKUP($A67,EnrollData2324,'2324 Jun 24 Enroll'!M$1,FALSE)+VLOOKUP($A67,EnrollData2324,'2324 Jun 24 Enroll'!D$1,FALSE)='District Calculations'!$B$25+'District Calculations'!$B$11,VLOOKUP($A67,EnrollData2324,'2324 Jun 24 Enroll'!M$1,FALSE)+VLOOKUP($A67,EnrollData2324,'2324 Jun 24 Enroll'!D$1,FALSE),'District Calculations'!$B$25+'District Calculations'!$B$11),5)</f>
        <v>4.1000000000000003E-3</v>
      </c>
      <c r="S67" s="11">
        <f t="shared" si="22"/>
        <v>1.8294500000000002E-2</v>
      </c>
      <c r="T67">
        <f>ROUND(IF(VLOOKUP($A67,EnrollData2324,'2324 Jun 24 Enroll'!D$1,FALSE)='District Calculations'!$B$11,VLOOKUP($A67,EnrollData2324,'2324 Jun 24 Enroll'!D$1,FALSE),'District Calculations'!$B$11)*S67,3)</f>
        <v>0</v>
      </c>
      <c r="U67">
        <f>ROUND(IF(VLOOKUP($A67,EnrollData2324,'2324 Jun 24 Enroll'!E$1,FALSE)='District Calculations'!$B$12,VLOOKUP($A67,EnrollData2324,'2324 Jun 24 Enroll'!E$1,FALSE),'District Calculations'!$B$12)*S67,3)</f>
        <v>14.827999999999999</v>
      </c>
      <c r="V67">
        <f>ROUND(IF(VLOOKUP($A67,EnrollData2324,'2324 Jun 24 Enroll'!F$1,FALSE)='District Calculations'!$B$13,VLOOKUP($A67,EnrollData2324,'2324 Jun 24 Enroll'!F$1,FALSE),'District Calculations'!$B$13)*Apport_224A2324,3)</f>
        <v>3.6190000000000002</v>
      </c>
      <c r="W67">
        <f>ROUND(IF(VLOOKUP($A67,EnrollData2324,'2324 Jun 24 Enroll'!G$1,FALSE)='District Calculations'!$B$14,VLOOKUP($A67,EnrollData2324,'2324 Jun 24 Enroll'!G$1,FALSE),'District Calculations'!$B$14)*Apport_212A2324,3)</f>
        <v>8.0239999999999991</v>
      </c>
      <c r="X67">
        <f>ROUND(IF(VLOOKUP($A67,EnrollData2324,'2324 Jun 24 Enroll'!H$1,FALSE)='District Calculations'!$B$14,VLOOKUP($A67,EnrollData2324,'2324 Jun 24 Enroll'!H$1,FALSE),'District Calculations'!$B$14)*Apport_215A2324,3)</f>
        <v>7.9279999999999999</v>
      </c>
      <c r="Y67">
        <f>ROUND(IF(VLOOKUP($A67,EnrollData2324,'2324 Jun 24 Enroll'!I$1,FALSE)+VLOOKUP($A67,EnrollData2324,'2324 Jun 24 Enroll'!M$1,FALSE)-VLOOKUP($A67,EnrollData2324,'2324 Jun 24 Enroll'!J$1,FALSE)='District Calculations'!$B$16+'District Calculations'!$B$25-'District Calculations'!$B$17,VLOOKUP($A67,EnrollData2324,'2324 Jun 24 Enroll'!I$1,FALSE)+VLOOKUP($A67,EnrollData2324,'2324 Jun 24 Enroll'!M$1,FALSE)-VLOOKUP($A67,EnrollData2324,'2324 Jun 24 Enroll'!J$1,FALSE),'District Calculations'!$B$16+'District Calculations'!$B$25-'District Calculations'!$B$17)*Apport_218A2324,3)</f>
        <v>19.917999999999999</v>
      </c>
      <c r="Z67">
        <f>ROUND(SUM(T67:Y67)/IF(VLOOKUP($A67,EnrollData2324,'2324 Jun 24 Enroll'!M$1,FALSE)+VLOOKUP($A67,EnrollData2324,'2324 Jun 24 Enroll'!D$1,FALSE)='District Calculations'!$B$25+'District Calculations'!$B$11,VLOOKUP($A67,EnrollData2324,'2324 Jun 24 Enroll'!M$1,FALSE)+VLOOKUP($A67,EnrollData2324,'2324 Jun 24 Enroll'!D$1,FALSE),'District Calculations'!$B$25+'District Calculations'!$B$11),5)</f>
        <v>1.7399999999999999E-2</v>
      </c>
      <c r="AA67" s="6">
        <f>ROUND($J67*CIS_Base_Salary2324*VLOOKUP($A67,EnrollData2324,'2324 Jun 24 Enroll'!S$1,FALSE),2)</f>
        <v>4341.4799999999996</v>
      </c>
      <c r="AB67" s="6">
        <f>ROUND($J67*CIS_Inc_Salary2324*(VLOOKUP($A67,EnrollData2324,'2324 Jun 24 Enroll'!T$1,FALSE)+VLOOKUP($A67,EnrollData2324,'2324 Jun 24 Enroll'!U$1,FALSE)),2)-AA67</f>
        <v>265.34000000000015</v>
      </c>
      <c r="AC67" s="6">
        <f>ROUND($R67*CAS_Base_Salary2324*VLOOKUP($A67,EnrollData2324,'2324 Jun 24 Enroll'!S$1,FALSE),2)</f>
        <v>475.81</v>
      </c>
      <c r="AD67" s="6">
        <f>ROUND($R67*CAS_Inc_Salary2324*VLOOKUP($A67,EnrollData2324,'2324 Jun 24 Enroll'!T$1,FALSE),2)-AC67</f>
        <v>17.610000000000014</v>
      </c>
      <c r="AE67" s="6">
        <f>ROUND($Z67*CLS_Base_Salary2324*VLOOKUP($A67,EnrollData2324,'2324 Jun 24 Enroll'!S$1,FALSE),2)</f>
        <v>975.9</v>
      </c>
      <c r="AF67" s="6">
        <f>ROUND($Z67*CLS_Inc_Salary2324*VLOOKUP($A67,EnrollData2324,'2324 Jun 24 Enroll'!T$1,FALSE),2)-AE67</f>
        <v>36.100000000000023</v>
      </c>
      <c r="AG67">
        <f t="shared" si="9"/>
        <v>734.16</v>
      </c>
      <c r="AH67" s="69">
        <f t="shared" si="23"/>
        <v>68.700000000000045</v>
      </c>
      <c r="AI67">
        <f t="shared" si="11"/>
        <v>214.23</v>
      </c>
      <c r="AJ67">
        <f t="shared" si="24"/>
        <v>114.21000000000001</v>
      </c>
      <c r="AK67">
        <f t="shared" si="25"/>
        <v>865.67</v>
      </c>
      <c r="AL67">
        <f t="shared" si="26"/>
        <v>49.04</v>
      </c>
      <c r="AM67">
        <f t="shared" si="27"/>
        <v>215.28</v>
      </c>
      <c r="AN67">
        <f t="shared" si="28"/>
        <v>6.7</v>
      </c>
      <c r="AO67">
        <f>ROUND(($J67*CIS_Inc_Salary2324*(VLOOKUP($A67,EnrollData2324,'2324 Jun 24 Enroll'!T$1,FALSE)+VLOOKUP($A67,EnrollData2324,'2324 Jun 24 Enroll'!U$1,FALSE))/Apport_613Xpd)*Apport_614Xpd,2)</f>
        <v>76.78</v>
      </c>
      <c r="AP67">
        <f t="shared" si="29"/>
        <v>13.31</v>
      </c>
      <c r="AQ67">
        <f t="shared" si="32"/>
        <v>30.93</v>
      </c>
      <c r="AR67" s="6">
        <f>ROUND((VLOOKUP($A67,EnrollData2324,'2324 Jun 24 Enroll'!D$1,FALSE)*Apport_M802324+VLOOKUP($A67,EnrollData2324,'2324 Jun 24 Enroll'!M$1,FALSE)*Apport_M802324+(VLOOKUP($A67,EnrollData2324,'2324 Jun 24 Enroll'!P$1,FALSE)+VLOOKUP($A67,EnrollData2324,'2324 Jun 24 Enroll'!Q$1,FALSE)+VLOOKUP($A67,EnrollData2324,'2324 Jun 24 Enroll'!R$1,FALSE)+VLOOKUP($A67,EnrollData2324,'2324 Jun 24 Enroll'!I$1,FALSE)+VLOOKUP($A67,EnrollData2324,'2324 Jun 24 Enroll'!N$1,FALSE)+VLOOKUP($A67,EnrollData2324,'2324 Jun 24 Enroll'!O$1,FALSE)+VLOOKUP($A67,EnrollData2324,'2324 Jun 24 Enroll'!K$1,FALSE)+VLOOKUP($A67,EnrollData2324,'2324 Jun 24 Enroll'!L$1,FALSE))*Apport_M812324)/(VLOOKUP($A67,EnrollData2324,'2324 Jun 24 Enroll'!M$1,FALSE)+VLOOKUP($A67,EnrollData2324,'2324 Jun 24 Enroll'!D$1,FALSE)),2)</f>
        <v>1555.48</v>
      </c>
      <c r="AS67" s="7">
        <f t="shared" si="33"/>
        <v>10056.73</v>
      </c>
    </row>
    <row r="68" spans="1:45">
      <c r="A68" s="40" t="s">
        <v>331</v>
      </c>
      <c r="B68" s="40" t="s">
        <v>332</v>
      </c>
      <c r="C68" s="11">
        <f>ROUND((IFERROR((1/IF(VLOOKUP($A68,EnrollData2324,28,FALSE)='District Calculations'!$B$10,VLOOKUP($A68,EnrollData2324,28,FALSE),'District Calculations'!$B$10))*(1+Apport_Z315),0))+Apport_201A2324,6)</f>
        <v>7.3449E-2</v>
      </c>
      <c r="D68">
        <f>ROUND(IF(VLOOKUP($A68,EnrollData2324,'2324 Jun 24 Enroll'!D$1,FALSE)='District Calculations'!$B$11,VLOOKUP($A68,EnrollData2324,'2324 Jun 24 Enroll'!D$1,FALSE),'District Calculations'!$B$11)*C68,3)</f>
        <v>0</v>
      </c>
      <c r="E68">
        <f>ROUND(IF(VLOOKUP($A68,EnrollData2324,'2324 Jun 24 Enroll'!E$1,FALSE)='District Calculations'!$B$12,VLOOKUP($A68,EnrollData2324,'2324 Jun 24 Enroll'!E$1,FALSE),'District Calculations'!$B$12)*C68,3)</f>
        <v>59.53</v>
      </c>
      <c r="F68">
        <f>ROUND(IF(VLOOKUP($A68,EnrollData2324,'2324 Jun 24 Enroll'!F$1,FALSE)='District Calculations'!$B$13,VLOOKUP($A68,EnrollData2324,'2324 Jun 24 Enroll'!F$1,FALSE),'District Calculations'!$B$13)*Apport_222A2324,3)</f>
        <v>10.101000000000001</v>
      </c>
      <c r="G68">
        <f>ROUND(IF(VLOOKUP($A68,EnrollData2324,'2324 Jun 24 Enroll'!G$1,FALSE)='District Calculations'!$B$14,VLOOKUP($A68,EnrollData2324,'2324 Jun 24 Enroll'!G$1,FALSE),'District Calculations'!$B$14)*Apport_210A2324,3)</f>
        <v>22.395</v>
      </c>
      <c r="H68">
        <f>ROUND(IF(VLOOKUP($A68,EnrollData2324,'2324 Jun 24 Enroll'!H$1,FALSE)='District Calculations'!$B$15,VLOOKUP($A68,EnrollData2324,'2324 Jun 24 Enroll'!H$1,FALSE),'District Calculations'!$B$15)*Apport_213A2324,3)</f>
        <v>23.091999999999999</v>
      </c>
      <c r="I68">
        <f>ROUND(IF(VLOOKUP($A68,EnrollData2324,'2324 Jun 24 Enroll'!I$1,FALSE)+VLOOKUP($A68,EnrollData2324,'2324 Jun 24 Enroll'!M$1,FALSE)-VLOOKUP($A68,EnrollData2324,'2324 Jun 24 Enroll'!J$1,FALSE)='District Calculations'!$B$16+'District Calculations'!$B$25-'District Calculations'!$B$17,VLOOKUP($A68,EnrollData2324,'2324 Jun 24 Enroll'!I$1,FALSE)+VLOOKUP($A68,EnrollData2324,'2324 Jun 24 Enroll'!M$1,FALSE)-VLOOKUP($A68,EnrollData2324,'2324 Jun 24 Enroll'!J$1,FALSE),'District Calculations'!$B$16+'District Calculations'!$B$25-'District Calculations'!$B$17)*Apport_216A2324,3)</f>
        <v>58.183999999999997</v>
      </c>
      <c r="J68">
        <f>ROUND(SUM(D68:I68)/(IF(VLOOKUP($A68,EnrollData2324,'2324 Jun 24 Enroll'!M$1,FALSE)='District Calculations'!$B$25,VLOOKUP($A68,EnrollData2324,'2324 Jun 24 Enroll'!M$1,FALSE),'District Calculations'!$B$25)+IF(VLOOKUP($A68,EnrollData2324,'2324 Jun 24 Enroll'!D$1,FALSE)='District Calculations'!$B$11,VLOOKUP($A68,EnrollData2324,'2324 Jun 24 Enroll'!D$1,FALSE),'District Calculations'!$B$11)),5)</f>
        <v>5.5530000000000003E-2</v>
      </c>
      <c r="K68" s="11">
        <f t="shared" si="21"/>
        <v>4.365E-3</v>
      </c>
      <c r="L68">
        <f>ROUND(IF(VLOOKUP($A68,EnrollData2324,'2324 Jun 24 Enroll'!D$1,FALSE)='District Calculations'!$B$11,VLOOKUP($A68,EnrollData2324,'2324 Jun 24 Enroll'!D$1,FALSE),'District Calculations'!$B$11)*K68,3)</f>
        <v>0</v>
      </c>
      <c r="M68">
        <f>ROUND(IF(VLOOKUP($A68,EnrollData2324,'2324 Jun 24 Enroll'!E$1,FALSE)='District Calculations'!$B$12,VLOOKUP($A68,EnrollData2324,'2324 Jun 24 Enroll'!E$1,FALSE),'District Calculations'!$B$12)*K68,3)</f>
        <v>3.5379999999999998</v>
      </c>
      <c r="N68">
        <f>ROUND(IF(VLOOKUP($A68,EnrollData2324,'2324 Jun 24 Enroll'!F$1,FALSE)='District Calculations'!$B$13,VLOOKUP($A68,EnrollData2324,'2324 Jun 24 Enroll'!F$1,FALSE),'District Calculations'!$B$13)*Apport_223A2324,3)</f>
        <v>0.84199999999999997</v>
      </c>
      <c r="O68">
        <f>ROUND(IF(VLOOKUP($A68,EnrollData2324,'2324 Jun 24 Enroll'!G$1,FALSE)='District Calculations'!$B$14,VLOOKUP($A68,EnrollData2324,'2324 Jun 24 Enroll'!G$1,FALSE),'District Calculations'!$B$14)*Apport_211A2324,3)</f>
        <v>1.867</v>
      </c>
      <c r="P68">
        <f>ROUND(IF(VLOOKUP($A68,EnrollData2324,'2324 Jun 24 Enroll'!H$1,FALSE)='District Calculations'!$B$14,VLOOKUP($A68,EnrollData2324,'2324 Jun 24 Enroll'!H$1,FALSE),'District Calculations'!$B$14)*Apport_214A2324,3)</f>
        <v>1.8660000000000001</v>
      </c>
      <c r="Q68">
        <f>ROUND(IF(VLOOKUP($A68,EnrollData2324,'2324 Jun 24 Enroll'!I$1,FALSE)+VLOOKUP($A68,EnrollData2324,'2324 Jun 24 Enroll'!M$1,FALSE)-VLOOKUP($A68,EnrollData2324,'2324 Jun 24 Enroll'!J$1,FALSE)='District Calculations'!$B$16+'District Calculations'!$B$25-'District Calculations'!$B$17,VLOOKUP($A68,EnrollData2324,'2324 Jun 24 Enroll'!I$1,FALSE)+VLOOKUP($A68,EnrollData2324,'2324 Jun 24 Enroll'!M$1,FALSE)-VLOOKUP($A68,EnrollData2324,'2324 Jun 24 Enroll'!J$1,FALSE),'District Calculations'!$B$16+'District Calculations'!$B$25-'District Calculations'!$B$17)*Apport_217A2324,3)</f>
        <v>4.6980000000000004</v>
      </c>
      <c r="R68">
        <f>ROUND(SUM(L68:Q68)/IF(VLOOKUP($A68,EnrollData2324,'2324 Jun 24 Enroll'!M$1,FALSE)+VLOOKUP($A68,EnrollData2324,'2324 Jun 24 Enroll'!D$1,FALSE)='District Calculations'!$B$25+'District Calculations'!$B$11,VLOOKUP($A68,EnrollData2324,'2324 Jun 24 Enroll'!M$1,FALSE)+VLOOKUP($A68,EnrollData2324,'2324 Jun 24 Enroll'!D$1,FALSE),'District Calculations'!$B$25+'District Calculations'!$B$11),5)</f>
        <v>4.1000000000000003E-3</v>
      </c>
      <c r="S68" s="11">
        <f t="shared" si="22"/>
        <v>1.8294500000000002E-2</v>
      </c>
      <c r="T68">
        <f>ROUND(IF(VLOOKUP($A68,EnrollData2324,'2324 Jun 24 Enroll'!D$1,FALSE)='District Calculations'!$B$11,VLOOKUP($A68,EnrollData2324,'2324 Jun 24 Enroll'!D$1,FALSE),'District Calculations'!$B$11)*S68,3)</f>
        <v>0</v>
      </c>
      <c r="U68">
        <f>ROUND(IF(VLOOKUP($A68,EnrollData2324,'2324 Jun 24 Enroll'!E$1,FALSE)='District Calculations'!$B$12,VLOOKUP($A68,EnrollData2324,'2324 Jun 24 Enroll'!E$1,FALSE),'District Calculations'!$B$12)*S68,3)</f>
        <v>14.827999999999999</v>
      </c>
      <c r="V68">
        <f>ROUND(IF(VLOOKUP($A68,EnrollData2324,'2324 Jun 24 Enroll'!F$1,FALSE)='District Calculations'!$B$13,VLOOKUP($A68,EnrollData2324,'2324 Jun 24 Enroll'!F$1,FALSE),'District Calculations'!$B$13)*Apport_224A2324,3)</f>
        <v>3.6190000000000002</v>
      </c>
      <c r="W68">
        <f>ROUND(IF(VLOOKUP($A68,EnrollData2324,'2324 Jun 24 Enroll'!G$1,FALSE)='District Calculations'!$B$14,VLOOKUP($A68,EnrollData2324,'2324 Jun 24 Enroll'!G$1,FALSE),'District Calculations'!$B$14)*Apport_212A2324,3)</f>
        <v>8.0239999999999991</v>
      </c>
      <c r="X68">
        <f>ROUND(IF(VLOOKUP($A68,EnrollData2324,'2324 Jun 24 Enroll'!H$1,FALSE)='District Calculations'!$B$14,VLOOKUP($A68,EnrollData2324,'2324 Jun 24 Enroll'!H$1,FALSE),'District Calculations'!$B$14)*Apport_215A2324,3)</f>
        <v>7.9279999999999999</v>
      </c>
      <c r="Y68">
        <f>ROUND(IF(VLOOKUP($A68,EnrollData2324,'2324 Jun 24 Enroll'!I$1,FALSE)+VLOOKUP($A68,EnrollData2324,'2324 Jun 24 Enroll'!M$1,FALSE)-VLOOKUP($A68,EnrollData2324,'2324 Jun 24 Enroll'!J$1,FALSE)='District Calculations'!$B$16+'District Calculations'!$B$25-'District Calculations'!$B$17,VLOOKUP($A68,EnrollData2324,'2324 Jun 24 Enroll'!I$1,FALSE)+VLOOKUP($A68,EnrollData2324,'2324 Jun 24 Enroll'!M$1,FALSE)-VLOOKUP($A68,EnrollData2324,'2324 Jun 24 Enroll'!J$1,FALSE),'District Calculations'!$B$16+'District Calculations'!$B$25-'District Calculations'!$B$17)*Apport_218A2324,3)</f>
        <v>19.917999999999999</v>
      </c>
      <c r="Z68">
        <f>ROUND(SUM(T68:Y68)/IF(VLOOKUP($A68,EnrollData2324,'2324 Jun 24 Enroll'!M$1,FALSE)+VLOOKUP($A68,EnrollData2324,'2324 Jun 24 Enroll'!D$1,FALSE)='District Calculations'!$B$25+'District Calculations'!$B$11,VLOOKUP($A68,EnrollData2324,'2324 Jun 24 Enroll'!M$1,FALSE)+VLOOKUP($A68,EnrollData2324,'2324 Jun 24 Enroll'!D$1,FALSE),'District Calculations'!$B$25+'District Calculations'!$B$11),5)</f>
        <v>1.7399999999999999E-2</v>
      </c>
      <c r="AA68" s="6">
        <f>ROUND($J68*CIS_Base_Salary2324*VLOOKUP($A68,EnrollData2324,'2324 Jun 24 Enroll'!S$1,FALSE),2)</f>
        <v>4280.8999999999996</v>
      </c>
      <c r="AB68" s="6">
        <f>ROUND($J68*CIS_Inc_Salary2324*(VLOOKUP($A68,EnrollData2324,'2324 Jun 24 Enroll'!T$1,FALSE)+VLOOKUP($A68,EnrollData2324,'2324 Jun 24 Enroll'!U$1,FALSE)),2)-AA68</f>
        <v>325.92000000000007</v>
      </c>
      <c r="AC68" s="6">
        <f>ROUND($R68*CAS_Base_Salary2324*VLOOKUP($A68,EnrollData2324,'2324 Jun 24 Enroll'!S$1,FALSE),2)</f>
        <v>469.17</v>
      </c>
      <c r="AD68" s="6">
        <f>ROUND($R68*CAS_Inc_Salary2324*VLOOKUP($A68,EnrollData2324,'2324 Jun 24 Enroll'!T$1,FALSE),2)-AC68</f>
        <v>17.359999999999957</v>
      </c>
      <c r="AE68" s="6">
        <f>ROUND($Z68*CLS_Base_Salary2324*VLOOKUP($A68,EnrollData2324,'2324 Jun 24 Enroll'!S$1,FALSE),2)</f>
        <v>962.28</v>
      </c>
      <c r="AF68" s="6">
        <f>ROUND($Z68*CLS_Inc_Salary2324*VLOOKUP($A68,EnrollData2324,'2324 Jun 24 Enroll'!T$1,FALSE),2)-AE68</f>
        <v>35.600000000000023</v>
      </c>
      <c r="AG68">
        <f t="shared" si="9"/>
        <v>734.16</v>
      </c>
      <c r="AH68" s="69">
        <f t="shared" si="23"/>
        <v>68.700000000000045</v>
      </c>
      <c r="AI68">
        <f t="shared" si="11"/>
        <v>214.23</v>
      </c>
      <c r="AJ68">
        <f t="shared" si="24"/>
        <v>114.21000000000001</v>
      </c>
      <c r="AK68">
        <f t="shared" si="25"/>
        <v>853.59</v>
      </c>
      <c r="AL68">
        <f t="shared" si="26"/>
        <v>59.49</v>
      </c>
      <c r="AM68">
        <f t="shared" si="27"/>
        <v>212.28</v>
      </c>
      <c r="AN68">
        <f t="shared" si="28"/>
        <v>6.61</v>
      </c>
      <c r="AO68">
        <f>ROUND(($J68*CIS_Inc_Salary2324*(VLOOKUP($A68,EnrollData2324,'2324 Jun 24 Enroll'!T$1,FALSE)+VLOOKUP($A68,EnrollData2324,'2324 Jun 24 Enroll'!U$1,FALSE))/Apport_613Xpd)*Apport_614Xpd,2)</f>
        <v>76.78</v>
      </c>
      <c r="AP68">
        <f t="shared" si="29"/>
        <v>13.31</v>
      </c>
      <c r="AQ68">
        <f t="shared" si="32"/>
        <v>30.93</v>
      </c>
      <c r="AR68" s="6">
        <f>ROUND((VLOOKUP($A68,EnrollData2324,'2324 Jun 24 Enroll'!D$1,FALSE)*Apport_M802324+VLOOKUP($A68,EnrollData2324,'2324 Jun 24 Enroll'!M$1,FALSE)*Apport_M802324+(VLOOKUP($A68,EnrollData2324,'2324 Jun 24 Enroll'!P$1,FALSE)+VLOOKUP($A68,EnrollData2324,'2324 Jun 24 Enroll'!Q$1,FALSE)+VLOOKUP($A68,EnrollData2324,'2324 Jun 24 Enroll'!R$1,FALSE)+VLOOKUP($A68,EnrollData2324,'2324 Jun 24 Enroll'!I$1,FALSE)+VLOOKUP($A68,EnrollData2324,'2324 Jun 24 Enroll'!N$1,FALSE)+VLOOKUP($A68,EnrollData2324,'2324 Jun 24 Enroll'!O$1,FALSE)+VLOOKUP($A68,EnrollData2324,'2324 Jun 24 Enroll'!K$1,FALSE)+VLOOKUP($A68,EnrollData2324,'2324 Jun 24 Enroll'!L$1,FALSE))*Apport_M812324)/(VLOOKUP($A68,EnrollData2324,'2324 Jun 24 Enroll'!M$1,FALSE)+VLOOKUP($A68,EnrollData2324,'2324 Jun 24 Enroll'!D$1,FALSE)),2)</f>
        <v>1567.74</v>
      </c>
      <c r="AS68" s="7">
        <f t="shared" si="33"/>
        <v>10043.26</v>
      </c>
    </row>
    <row r="69" spans="1:45">
      <c r="A69" s="40" t="s">
        <v>727</v>
      </c>
      <c r="B69" s="40" t="s">
        <v>728</v>
      </c>
      <c r="C69" s="11">
        <f>ROUND((IFERROR((1/IF(VLOOKUP($A69,EnrollData2324,28,FALSE)='District Calculations'!$B$10,VLOOKUP($A69,EnrollData2324,28,FALSE),'District Calculations'!$B$10))*(1+Apport_Z315),0))+Apport_201A2324,6)</f>
        <v>7.3449E-2</v>
      </c>
      <c r="D69">
        <f>ROUND(IF(VLOOKUP($A69,EnrollData2324,'2324 Jun 24 Enroll'!D$1,FALSE)='District Calculations'!$B$11,VLOOKUP($A69,EnrollData2324,'2324 Jun 24 Enroll'!D$1,FALSE),'District Calculations'!$B$11)*C69,3)</f>
        <v>0</v>
      </c>
      <c r="E69">
        <f>ROUND(IF(VLOOKUP($A69,EnrollData2324,'2324 Jun 24 Enroll'!E$1,FALSE)='District Calculations'!$B$12,VLOOKUP($A69,EnrollData2324,'2324 Jun 24 Enroll'!E$1,FALSE),'District Calculations'!$B$12)*C69,3)</f>
        <v>59.53</v>
      </c>
      <c r="F69">
        <f>ROUND(IF(VLOOKUP($A69,EnrollData2324,'2324 Jun 24 Enroll'!F$1,FALSE)='District Calculations'!$B$13,VLOOKUP($A69,EnrollData2324,'2324 Jun 24 Enroll'!F$1,FALSE),'District Calculations'!$B$13)*Apport_222A2324,3)</f>
        <v>10.101000000000001</v>
      </c>
      <c r="G69">
        <f>ROUND(IF(VLOOKUP($A69,EnrollData2324,'2324 Jun 24 Enroll'!G$1,FALSE)='District Calculations'!$B$14,VLOOKUP($A69,EnrollData2324,'2324 Jun 24 Enroll'!G$1,FALSE),'District Calculations'!$B$14)*Apport_210A2324,3)</f>
        <v>22.395</v>
      </c>
      <c r="H69">
        <f>ROUND(IF(VLOOKUP($A69,EnrollData2324,'2324 Jun 24 Enroll'!H$1,FALSE)='District Calculations'!$B$15,VLOOKUP($A69,EnrollData2324,'2324 Jun 24 Enroll'!H$1,FALSE),'District Calculations'!$B$15)*Apport_213A2324,3)</f>
        <v>23.091999999999999</v>
      </c>
      <c r="I69">
        <f>ROUND(IF(VLOOKUP($A69,EnrollData2324,'2324 Jun 24 Enroll'!I$1,FALSE)+VLOOKUP($A69,EnrollData2324,'2324 Jun 24 Enroll'!M$1,FALSE)-VLOOKUP($A69,EnrollData2324,'2324 Jun 24 Enroll'!J$1,FALSE)='District Calculations'!$B$16+'District Calculations'!$B$25-'District Calculations'!$B$17,VLOOKUP($A69,EnrollData2324,'2324 Jun 24 Enroll'!I$1,FALSE)+VLOOKUP($A69,EnrollData2324,'2324 Jun 24 Enroll'!M$1,FALSE)-VLOOKUP($A69,EnrollData2324,'2324 Jun 24 Enroll'!J$1,FALSE),'District Calculations'!$B$16+'District Calculations'!$B$25-'District Calculations'!$B$17)*Apport_216A2324,3)</f>
        <v>58.183999999999997</v>
      </c>
      <c r="J69">
        <f>ROUND(SUM(D69:I69)/(IF(VLOOKUP($A69,EnrollData2324,'2324 Jun 24 Enroll'!M$1,FALSE)='District Calculations'!$B$25,VLOOKUP($A69,EnrollData2324,'2324 Jun 24 Enroll'!M$1,FALSE),'District Calculations'!$B$25)+IF(VLOOKUP($A69,EnrollData2324,'2324 Jun 24 Enroll'!D$1,FALSE)='District Calculations'!$B$11,VLOOKUP($A69,EnrollData2324,'2324 Jun 24 Enroll'!D$1,FALSE),'District Calculations'!$B$11)),5)</f>
        <v>5.5530000000000003E-2</v>
      </c>
      <c r="K69" s="11">
        <f t="shared" si="21"/>
        <v>4.365E-3</v>
      </c>
      <c r="L69">
        <f>ROUND(IF(VLOOKUP($A69,EnrollData2324,'2324 Jun 24 Enroll'!D$1,FALSE)='District Calculations'!$B$11,VLOOKUP($A69,EnrollData2324,'2324 Jun 24 Enroll'!D$1,FALSE),'District Calculations'!$B$11)*K69,3)</f>
        <v>0</v>
      </c>
      <c r="M69">
        <f>ROUND(IF(VLOOKUP($A69,EnrollData2324,'2324 Jun 24 Enroll'!E$1,FALSE)='District Calculations'!$B$12,VLOOKUP($A69,EnrollData2324,'2324 Jun 24 Enroll'!E$1,FALSE),'District Calculations'!$B$12)*K69,3)</f>
        <v>3.5379999999999998</v>
      </c>
      <c r="N69">
        <f>ROUND(IF(VLOOKUP($A69,EnrollData2324,'2324 Jun 24 Enroll'!F$1,FALSE)='District Calculations'!$B$13,VLOOKUP($A69,EnrollData2324,'2324 Jun 24 Enroll'!F$1,FALSE),'District Calculations'!$B$13)*Apport_223A2324,3)</f>
        <v>0.84199999999999997</v>
      </c>
      <c r="O69">
        <f>ROUND(IF(VLOOKUP($A69,EnrollData2324,'2324 Jun 24 Enroll'!G$1,FALSE)='District Calculations'!$B$14,VLOOKUP($A69,EnrollData2324,'2324 Jun 24 Enroll'!G$1,FALSE),'District Calculations'!$B$14)*Apport_211A2324,3)</f>
        <v>1.867</v>
      </c>
      <c r="P69">
        <f>ROUND(IF(VLOOKUP($A69,EnrollData2324,'2324 Jun 24 Enroll'!H$1,FALSE)='District Calculations'!$B$14,VLOOKUP($A69,EnrollData2324,'2324 Jun 24 Enroll'!H$1,FALSE),'District Calculations'!$B$14)*Apport_214A2324,3)</f>
        <v>1.8660000000000001</v>
      </c>
      <c r="Q69">
        <f>ROUND(IF(VLOOKUP($A69,EnrollData2324,'2324 Jun 24 Enroll'!I$1,FALSE)+VLOOKUP($A69,EnrollData2324,'2324 Jun 24 Enroll'!M$1,FALSE)-VLOOKUP($A69,EnrollData2324,'2324 Jun 24 Enroll'!J$1,FALSE)='District Calculations'!$B$16+'District Calculations'!$B$25-'District Calculations'!$B$17,VLOOKUP($A69,EnrollData2324,'2324 Jun 24 Enroll'!I$1,FALSE)+VLOOKUP($A69,EnrollData2324,'2324 Jun 24 Enroll'!M$1,FALSE)-VLOOKUP($A69,EnrollData2324,'2324 Jun 24 Enroll'!J$1,FALSE),'District Calculations'!$B$16+'District Calculations'!$B$25-'District Calculations'!$B$17)*Apport_217A2324,3)</f>
        <v>4.6980000000000004</v>
      </c>
      <c r="R69">
        <f>ROUND(SUM(L69:Q69)/IF(VLOOKUP($A69,EnrollData2324,'2324 Jun 24 Enroll'!M$1,FALSE)+VLOOKUP($A69,EnrollData2324,'2324 Jun 24 Enroll'!D$1,FALSE)='District Calculations'!$B$25+'District Calculations'!$B$11,VLOOKUP($A69,EnrollData2324,'2324 Jun 24 Enroll'!M$1,FALSE)+VLOOKUP($A69,EnrollData2324,'2324 Jun 24 Enroll'!D$1,FALSE),'District Calculations'!$B$25+'District Calculations'!$B$11),5)</f>
        <v>4.1000000000000003E-3</v>
      </c>
      <c r="S69" s="11">
        <f t="shared" si="22"/>
        <v>1.8294500000000002E-2</v>
      </c>
      <c r="T69">
        <f>ROUND(IF(VLOOKUP($A69,EnrollData2324,'2324 Jun 24 Enroll'!D$1,FALSE)='District Calculations'!$B$11,VLOOKUP($A69,EnrollData2324,'2324 Jun 24 Enroll'!D$1,FALSE),'District Calculations'!$B$11)*S69,3)</f>
        <v>0</v>
      </c>
      <c r="U69">
        <f>ROUND(IF(VLOOKUP($A69,EnrollData2324,'2324 Jun 24 Enroll'!E$1,FALSE)='District Calculations'!$B$12,VLOOKUP($A69,EnrollData2324,'2324 Jun 24 Enroll'!E$1,FALSE),'District Calculations'!$B$12)*S69,3)</f>
        <v>14.827999999999999</v>
      </c>
      <c r="V69">
        <f>ROUND(IF(VLOOKUP($A69,EnrollData2324,'2324 Jun 24 Enroll'!F$1,FALSE)='District Calculations'!$B$13,VLOOKUP($A69,EnrollData2324,'2324 Jun 24 Enroll'!F$1,FALSE),'District Calculations'!$B$13)*Apport_224A2324,3)</f>
        <v>3.6190000000000002</v>
      </c>
      <c r="W69">
        <f>ROUND(IF(VLOOKUP($A69,EnrollData2324,'2324 Jun 24 Enroll'!G$1,FALSE)='District Calculations'!$B$14,VLOOKUP($A69,EnrollData2324,'2324 Jun 24 Enroll'!G$1,FALSE),'District Calculations'!$B$14)*Apport_212A2324,3)</f>
        <v>8.0239999999999991</v>
      </c>
      <c r="X69">
        <f>ROUND(IF(VLOOKUP($A69,EnrollData2324,'2324 Jun 24 Enroll'!H$1,FALSE)='District Calculations'!$B$14,VLOOKUP($A69,EnrollData2324,'2324 Jun 24 Enroll'!H$1,FALSE),'District Calculations'!$B$14)*Apport_215A2324,3)</f>
        <v>7.9279999999999999</v>
      </c>
      <c r="Y69">
        <f>ROUND(IF(VLOOKUP($A69,EnrollData2324,'2324 Jun 24 Enroll'!I$1,FALSE)+VLOOKUP($A69,EnrollData2324,'2324 Jun 24 Enroll'!M$1,FALSE)-VLOOKUP($A69,EnrollData2324,'2324 Jun 24 Enroll'!J$1,FALSE)='District Calculations'!$B$16+'District Calculations'!$B$25-'District Calculations'!$B$17,VLOOKUP($A69,EnrollData2324,'2324 Jun 24 Enroll'!I$1,FALSE)+VLOOKUP($A69,EnrollData2324,'2324 Jun 24 Enroll'!M$1,FALSE)-VLOOKUP($A69,EnrollData2324,'2324 Jun 24 Enroll'!J$1,FALSE),'District Calculations'!$B$16+'District Calculations'!$B$25-'District Calculations'!$B$17)*Apport_218A2324,3)</f>
        <v>19.917999999999999</v>
      </c>
      <c r="Z69">
        <f>ROUND(SUM(T69:Y69)/IF(VLOOKUP($A69,EnrollData2324,'2324 Jun 24 Enroll'!M$1,FALSE)+VLOOKUP($A69,EnrollData2324,'2324 Jun 24 Enroll'!D$1,FALSE)='District Calculations'!$B$25+'District Calculations'!$B$11,VLOOKUP($A69,EnrollData2324,'2324 Jun 24 Enroll'!M$1,FALSE)+VLOOKUP($A69,EnrollData2324,'2324 Jun 24 Enroll'!D$1,FALSE),'District Calculations'!$B$25+'District Calculations'!$B$11),5)</f>
        <v>1.7399999999999999E-2</v>
      </c>
      <c r="AA69" s="6">
        <f>ROUND($J69*CIS_Base_Salary2324*VLOOKUP($A69,EnrollData2324,'2324 Jun 24 Enroll'!S$1,FALSE),2)</f>
        <v>4280.8999999999996</v>
      </c>
      <c r="AB69" s="6">
        <f>ROUND($J69*CIS_Inc_Salary2324*(VLOOKUP($A69,EnrollData2324,'2324 Jun 24 Enroll'!T$1,FALSE)+VLOOKUP($A69,EnrollData2324,'2324 Jun 24 Enroll'!U$1,FALSE)),2)-AA69</f>
        <v>158.40000000000055</v>
      </c>
      <c r="AC69" s="6">
        <f>ROUND($R69*CAS_Base_Salary2324*VLOOKUP($A69,EnrollData2324,'2324 Jun 24 Enroll'!S$1,FALSE),2)</f>
        <v>469.17</v>
      </c>
      <c r="AD69" s="6">
        <f>ROUND($R69*CAS_Inc_Salary2324*VLOOKUP($A69,EnrollData2324,'2324 Jun 24 Enroll'!T$1,FALSE),2)-AC69</f>
        <v>17.359999999999957</v>
      </c>
      <c r="AE69" s="6">
        <f>ROUND($Z69*CLS_Base_Salary2324*VLOOKUP($A69,EnrollData2324,'2324 Jun 24 Enroll'!S$1,FALSE),2)</f>
        <v>962.28</v>
      </c>
      <c r="AF69" s="6">
        <f>ROUND($Z69*CLS_Inc_Salary2324*VLOOKUP($A69,EnrollData2324,'2324 Jun 24 Enroll'!T$1,FALSE),2)-AE69</f>
        <v>35.600000000000023</v>
      </c>
      <c r="AG69">
        <f t="shared" si="9"/>
        <v>734.16</v>
      </c>
      <c r="AH69" s="69">
        <f t="shared" si="23"/>
        <v>68.700000000000045</v>
      </c>
      <c r="AI69">
        <f t="shared" si="11"/>
        <v>214.23</v>
      </c>
      <c r="AJ69">
        <f t="shared" si="24"/>
        <v>114.21000000000001</v>
      </c>
      <c r="AK69">
        <f t="shared" si="25"/>
        <v>853.59</v>
      </c>
      <c r="AL69">
        <f t="shared" si="26"/>
        <v>30.46</v>
      </c>
      <c r="AM69">
        <f t="shared" si="27"/>
        <v>212.28</v>
      </c>
      <c r="AN69">
        <f t="shared" si="28"/>
        <v>6.61</v>
      </c>
      <c r="AO69">
        <f>ROUND(($J69*CIS_Inc_Salary2324*(VLOOKUP($A69,EnrollData2324,'2324 Jun 24 Enroll'!T$1,FALSE)+VLOOKUP($A69,EnrollData2324,'2324 Jun 24 Enroll'!U$1,FALSE))/Apport_613Xpd)*Apport_614Xpd,2)</f>
        <v>73.989999999999995</v>
      </c>
      <c r="AP69">
        <f t="shared" si="29"/>
        <v>12.82</v>
      </c>
      <c r="AQ69">
        <f t="shared" si="32"/>
        <v>30.93</v>
      </c>
      <c r="AR69" s="6">
        <f>ROUND((VLOOKUP($A69,EnrollData2324,'2324 Jun 24 Enroll'!D$1,FALSE)*Apport_M802324+VLOOKUP($A69,EnrollData2324,'2324 Jun 24 Enroll'!M$1,FALSE)*Apport_M802324+(VLOOKUP($A69,EnrollData2324,'2324 Jun 24 Enroll'!P$1,FALSE)+VLOOKUP($A69,EnrollData2324,'2324 Jun 24 Enroll'!Q$1,FALSE)+VLOOKUP($A69,EnrollData2324,'2324 Jun 24 Enroll'!R$1,FALSE)+VLOOKUP($A69,EnrollData2324,'2324 Jun 24 Enroll'!I$1,FALSE)+VLOOKUP($A69,EnrollData2324,'2324 Jun 24 Enroll'!N$1,FALSE)+VLOOKUP($A69,EnrollData2324,'2324 Jun 24 Enroll'!O$1,FALSE)+VLOOKUP($A69,EnrollData2324,'2324 Jun 24 Enroll'!K$1,FALSE)+VLOOKUP($A69,EnrollData2324,'2324 Jun 24 Enroll'!L$1,FALSE))*Apport_M812324)/(VLOOKUP($A69,EnrollData2324,'2324 Jun 24 Enroll'!M$1,FALSE)+VLOOKUP($A69,EnrollData2324,'2324 Jun 24 Enroll'!D$1,FALSE)),2)</f>
        <v>1548.78</v>
      </c>
      <c r="AS69" s="7">
        <f t="shared" si="33"/>
        <v>9824.4699999999993</v>
      </c>
    </row>
    <row r="70" spans="1:45">
      <c r="A70" t="s">
        <v>1089</v>
      </c>
      <c r="B70" t="s">
        <v>1090</v>
      </c>
      <c r="C70" s="11">
        <f>ROUND((IFERROR((1/IF(VLOOKUP($A70,EnrollData2324,28,FALSE)='District Calculations'!$B$10,VLOOKUP($A70,EnrollData2324,28,FALSE),'District Calculations'!$B$10))*(1+Apport_Z315),0))+Apport_201A2324,6)</f>
        <v>7.3449E-2</v>
      </c>
      <c r="D70">
        <f>ROUND(IF(VLOOKUP($A70,EnrollData2324,'2324 Jun 24 Enroll'!D$1,FALSE)='District Calculations'!$B$11,VLOOKUP($A70,EnrollData2324,'2324 Jun 24 Enroll'!D$1,FALSE),'District Calculations'!$B$11)*C70,3)</f>
        <v>0</v>
      </c>
      <c r="E70">
        <f>ROUND(IF(VLOOKUP($A70,EnrollData2324,'2324 Jun 24 Enroll'!E$1,FALSE)='District Calculations'!$B$12,VLOOKUP($A70,EnrollData2324,'2324 Jun 24 Enroll'!E$1,FALSE),'District Calculations'!$B$12)*C70,3)</f>
        <v>59.53</v>
      </c>
      <c r="F70">
        <f>ROUND(IF(VLOOKUP($A70,EnrollData2324,'2324 Jun 24 Enroll'!F$1,FALSE)='District Calculations'!$B$13,VLOOKUP($A70,EnrollData2324,'2324 Jun 24 Enroll'!F$1,FALSE),'District Calculations'!$B$13)*Apport_222A2324,3)</f>
        <v>10.101000000000001</v>
      </c>
      <c r="G70">
        <f>ROUND(IF(VLOOKUP($A70,EnrollData2324,'2324 Jun 24 Enroll'!G$1,FALSE)='District Calculations'!$B$14,VLOOKUP($A70,EnrollData2324,'2324 Jun 24 Enroll'!G$1,FALSE),'District Calculations'!$B$14)*Apport_210A2324,3)</f>
        <v>22.395</v>
      </c>
      <c r="H70">
        <f>ROUND(IF(VLOOKUP($A70,EnrollData2324,'2324 Jun 24 Enroll'!H$1,FALSE)='District Calculations'!$B$15,VLOOKUP($A70,EnrollData2324,'2324 Jun 24 Enroll'!H$1,FALSE),'District Calculations'!$B$15)*Apport_213A2324,3)</f>
        <v>23.091999999999999</v>
      </c>
      <c r="I70">
        <f>ROUND(IF(VLOOKUP($A70,EnrollData2324,'2324 Jun 24 Enroll'!I$1,FALSE)+VLOOKUP($A70,EnrollData2324,'2324 Jun 24 Enroll'!M$1,FALSE)-VLOOKUP($A70,EnrollData2324,'2324 Jun 24 Enroll'!J$1,FALSE)='District Calculations'!$B$16+'District Calculations'!$B$25-'District Calculations'!$B$17,VLOOKUP($A70,EnrollData2324,'2324 Jun 24 Enroll'!I$1,FALSE)+VLOOKUP($A70,EnrollData2324,'2324 Jun 24 Enroll'!M$1,FALSE)-VLOOKUP($A70,EnrollData2324,'2324 Jun 24 Enroll'!J$1,FALSE),'District Calculations'!$B$16+'District Calculations'!$B$25-'District Calculations'!$B$17)*Apport_216A2324,3)</f>
        <v>58.183999999999997</v>
      </c>
      <c r="J70">
        <f>ROUND(SUM(D70:I70)/(IF(VLOOKUP($A70,EnrollData2324,'2324 Jun 24 Enroll'!M$1,FALSE)='District Calculations'!$B$25,VLOOKUP($A70,EnrollData2324,'2324 Jun 24 Enroll'!M$1,FALSE),'District Calculations'!$B$25)+IF(VLOOKUP($A70,EnrollData2324,'2324 Jun 24 Enroll'!D$1,FALSE)='District Calculations'!$B$11,VLOOKUP($A70,EnrollData2324,'2324 Jun 24 Enroll'!D$1,FALSE),'District Calculations'!$B$11)),5)</f>
        <v>5.5530000000000003E-2</v>
      </c>
      <c r="K70" s="11">
        <f t="shared" si="21"/>
        <v>4.365E-3</v>
      </c>
      <c r="L70">
        <f>ROUND(IF(VLOOKUP($A70,EnrollData2324,'2324 Jun 24 Enroll'!D$1,FALSE)='District Calculations'!$B$11,VLOOKUP($A70,EnrollData2324,'2324 Jun 24 Enroll'!D$1,FALSE),'District Calculations'!$B$11)*K70,3)</f>
        <v>0</v>
      </c>
      <c r="M70">
        <f>ROUND(IF(VLOOKUP($A70,EnrollData2324,'2324 Jun 24 Enroll'!E$1,FALSE)='District Calculations'!$B$12,VLOOKUP($A70,EnrollData2324,'2324 Jun 24 Enroll'!E$1,FALSE),'District Calculations'!$B$12)*K70,3)</f>
        <v>3.5379999999999998</v>
      </c>
      <c r="N70">
        <f>ROUND(IF(VLOOKUP($A70,EnrollData2324,'2324 Jun 24 Enroll'!F$1,FALSE)='District Calculations'!$B$13,VLOOKUP($A70,EnrollData2324,'2324 Jun 24 Enroll'!F$1,FALSE),'District Calculations'!$B$13)*Apport_223A2324,3)</f>
        <v>0.84199999999999997</v>
      </c>
      <c r="O70">
        <f>ROUND(IF(VLOOKUP($A70,EnrollData2324,'2324 Jun 24 Enroll'!G$1,FALSE)='District Calculations'!$B$14,VLOOKUP($A70,EnrollData2324,'2324 Jun 24 Enroll'!G$1,FALSE),'District Calculations'!$B$14)*Apport_211A2324,3)</f>
        <v>1.867</v>
      </c>
      <c r="P70">
        <f>ROUND(IF(VLOOKUP($A70,EnrollData2324,'2324 Jun 24 Enroll'!H$1,FALSE)='District Calculations'!$B$14,VLOOKUP($A70,EnrollData2324,'2324 Jun 24 Enroll'!H$1,FALSE),'District Calculations'!$B$14)*Apport_214A2324,3)</f>
        <v>1.8660000000000001</v>
      </c>
      <c r="Q70">
        <f>ROUND(IF(VLOOKUP($A70,EnrollData2324,'2324 Jun 24 Enroll'!I$1,FALSE)+VLOOKUP($A70,EnrollData2324,'2324 Jun 24 Enroll'!M$1,FALSE)-VLOOKUP($A70,EnrollData2324,'2324 Jun 24 Enroll'!J$1,FALSE)='District Calculations'!$B$16+'District Calculations'!$B$25-'District Calculations'!$B$17,VLOOKUP($A70,EnrollData2324,'2324 Jun 24 Enroll'!I$1,FALSE)+VLOOKUP($A70,EnrollData2324,'2324 Jun 24 Enroll'!M$1,FALSE)-VLOOKUP($A70,EnrollData2324,'2324 Jun 24 Enroll'!J$1,FALSE),'District Calculations'!$B$16+'District Calculations'!$B$25-'District Calculations'!$B$17)*Apport_217A2324,3)</f>
        <v>4.6980000000000004</v>
      </c>
      <c r="R70">
        <f>ROUND(SUM(L70:Q70)/IF(VLOOKUP($A70,EnrollData2324,'2324 Jun 24 Enroll'!M$1,FALSE)+VLOOKUP($A70,EnrollData2324,'2324 Jun 24 Enroll'!D$1,FALSE)='District Calculations'!$B$25+'District Calculations'!$B$11,VLOOKUP($A70,EnrollData2324,'2324 Jun 24 Enroll'!M$1,FALSE)+VLOOKUP($A70,EnrollData2324,'2324 Jun 24 Enroll'!D$1,FALSE),'District Calculations'!$B$25+'District Calculations'!$B$11),5)</f>
        <v>4.1000000000000003E-3</v>
      </c>
      <c r="S70" s="11">
        <f t="shared" si="22"/>
        <v>1.8294500000000002E-2</v>
      </c>
      <c r="T70">
        <f>ROUND(IF(VLOOKUP($A70,EnrollData2324,'2324 Jun 24 Enroll'!D$1,FALSE)='District Calculations'!$B$11,VLOOKUP($A70,EnrollData2324,'2324 Jun 24 Enroll'!D$1,FALSE),'District Calculations'!$B$11)*S70,3)</f>
        <v>0</v>
      </c>
      <c r="U70">
        <f>ROUND(IF(VLOOKUP($A70,EnrollData2324,'2324 Jun 24 Enroll'!E$1,FALSE)='District Calculations'!$B$12,VLOOKUP($A70,EnrollData2324,'2324 Jun 24 Enroll'!E$1,FALSE),'District Calculations'!$B$12)*S70,3)</f>
        <v>14.827999999999999</v>
      </c>
      <c r="V70">
        <f>ROUND(IF(VLOOKUP($A70,EnrollData2324,'2324 Jun 24 Enroll'!F$1,FALSE)='District Calculations'!$B$13,VLOOKUP($A70,EnrollData2324,'2324 Jun 24 Enroll'!F$1,FALSE),'District Calculations'!$B$13)*Apport_224A2324,3)</f>
        <v>3.6190000000000002</v>
      </c>
      <c r="W70">
        <f>ROUND(IF(VLOOKUP($A70,EnrollData2324,'2324 Jun 24 Enroll'!G$1,FALSE)='District Calculations'!$B$14,VLOOKUP($A70,EnrollData2324,'2324 Jun 24 Enroll'!G$1,FALSE),'District Calculations'!$B$14)*Apport_212A2324,3)</f>
        <v>8.0239999999999991</v>
      </c>
      <c r="X70">
        <f>ROUND(IF(VLOOKUP($A70,EnrollData2324,'2324 Jun 24 Enroll'!H$1,FALSE)='District Calculations'!$B$14,VLOOKUP($A70,EnrollData2324,'2324 Jun 24 Enroll'!H$1,FALSE),'District Calculations'!$B$14)*Apport_215A2324,3)</f>
        <v>7.9279999999999999</v>
      </c>
      <c r="Y70">
        <f>ROUND(IF(VLOOKUP($A70,EnrollData2324,'2324 Jun 24 Enroll'!I$1,FALSE)+VLOOKUP($A70,EnrollData2324,'2324 Jun 24 Enroll'!M$1,FALSE)-VLOOKUP($A70,EnrollData2324,'2324 Jun 24 Enroll'!J$1,FALSE)='District Calculations'!$B$16+'District Calculations'!$B$25-'District Calculations'!$B$17,VLOOKUP($A70,EnrollData2324,'2324 Jun 24 Enroll'!I$1,FALSE)+VLOOKUP($A70,EnrollData2324,'2324 Jun 24 Enroll'!M$1,FALSE)-VLOOKUP($A70,EnrollData2324,'2324 Jun 24 Enroll'!J$1,FALSE),'District Calculations'!$B$16+'District Calculations'!$B$25-'District Calculations'!$B$17)*Apport_218A2324,3)</f>
        <v>19.917999999999999</v>
      </c>
      <c r="Z70">
        <f>ROUND(SUM(T70:Y70)/IF(VLOOKUP($A70,EnrollData2324,'2324 Jun 24 Enroll'!M$1,FALSE)+VLOOKUP($A70,EnrollData2324,'2324 Jun 24 Enroll'!D$1,FALSE)='District Calculations'!$B$25+'District Calculations'!$B$11,VLOOKUP($A70,EnrollData2324,'2324 Jun 24 Enroll'!M$1,FALSE)+VLOOKUP($A70,EnrollData2324,'2324 Jun 24 Enroll'!D$1,FALSE),'District Calculations'!$B$25+'District Calculations'!$B$11),5)</f>
        <v>1.7399999999999999E-2</v>
      </c>
      <c r="AA70" s="6">
        <f>ROUND($J70*CIS_Base_Salary2324*VLOOKUP($A70,EnrollData2324,'2324 Jun 24 Enroll'!S$1,FALSE),2)</f>
        <v>4280.8999999999996</v>
      </c>
      <c r="AB70" s="6">
        <f>ROUND($J70*CIS_Inc_Salary2324*(VLOOKUP($A70,EnrollData2324,'2324 Jun 24 Enroll'!T$1,FALSE)+VLOOKUP($A70,EnrollData2324,'2324 Jun 24 Enroll'!U$1,FALSE)),2)-AA70</f>
        <v>158.40000000000055</v>
      </c>
      <c r="AC70" s="6">
        <f>ROUND($R70*CAS_Base_Salary2324*VLOOKUP($A70,EnrollData2324,'2324 Jun 24 Enroll'!S$1,FALSE),2)</f>
        <v>469.17</v>
      </c>
      <c r="AD70" s="6">
        <f>ROUND($R70*CAS_Inc_Salary2324*VLOOKUP($A70,EnrollData2324,'2324 Jun 24 Enroll'!T$1,FALSE),2)-AC70</f>
        <v>17.359999999999957</v>
      </c>
      <c r="AE70" s="6">
        <f>ROUND($Z70*CLS_Base_Salary2324*VLOOKUP($A70,EnrollData2324,'2324 Jun 24 Enroll'!S$1,FALSE),2)</f>
        <v>962.28</v>
      </c>
      <c r="AF70" s="6">
        <f>ROUND($Z70*CLS_Inc_Salary2324*VLOOKUP($A70,EnrollData2324,'2324 Jun 24 Enroll'!T$1,FALSE),2)-AE70</f>
        <v>35.600000000000023</v>
      </c>
      <c r="AG70">
        <f t="shared" si="9"/>
        <v>734.16</v>
      </c>
      <c r="AH70" s="69">
        <f t="shared" si="23"/>
        <v>68.700000000000045</v>
      </c>
      <c r="AI70">
        <f t="shared" si="11"/>
        <v>214.23</v>
      </c>
      <c r="AJ70">
        <f t="shared" si="24"/>
        <v>114.21000000000001</v>
      </c>
      <c r="AK70">
        <f t="shared" si="25"/>
        <v>853.59</v>
      </c>
      <c r="AL70">
        <f t="shared" si="26"/>
        <v>30.46</v>
      </c>
      <c r="AM70">
        <f t="shared" si="27"/>
        <v>212.28</v>
      </c>
      <c r="AN70">
        <f t="shared" si="28"/>
        <v>6.61</v>
      </c>
      <c r="AO70">
        <f>ROUND(($J70*CIS_Inc_Salary2324*(VLOOKUP($A70,EnrollData2324,'2324 Jun 24 Enroll'!T$1,FALSE)+VLOOKUP($A70,EnrollData2324,'2324 Jun 24 Enroll'!U$1,FALSE))/Apport_613Xpd)*Apport_614Xpd,2)</f>
        <v>73.989999999999995</v>
      </c>
      <c r="AP70">
        <f t="shared" si="29"/>
        <v>12.82</v>
      </c>
      <c r="AQ70">
        <f t="shared" si="32"/>
        <v>30.93</v>
      </c>
      <c r="AR70" s="6">
        <f>ROUND((VLOOKUP($A70,EnrollData2324,'2324 Jun 24 Enroll'!D$1,FALSE)*Apport_M802324+VLOOKUP($A70,EnrollData2324,'2324 Jun 24 Enroll'!M$1,FALSE)*Apport_M802324+(VLOOKUP($A70,EnrollData2324,'2324 Jun 24 Enroll'!P$1,FALSE)+VLOOKUP($A70,EnrollData2324,'2324 Jun 24 Enroll'!Q$1,FALSE)+VLOOKUP($A70,EnrollData2324,'2324 Jun 24 Enroll'!R$1,FALSE)+VLOOKUP($A70,EnrollData2324,'2324 Jun 24 Enroll'!I$1,FALSE)+VLOOKUP($A70,EnrollData2324,'2324 Jun 24 Enroll'!N$1,FALSE)+VLOOKUP($A70,EnrollData2324,'2324 Jun 24 Enroll'!O$1,FALSE)+VLOOKUP($A70,EnrollData2324,'2324 Jun 24 Enroll'!K$1,FALSE)+VLOOKUP($A70,EnrollData2324,'2324 Jun 24 Enroll'!L$1,FALSE))*Apport_M812324)/(VLOOKUP($A70,EnrollData2324,'2324 Jun 24 Enroll'!M$1,FALSE)+VLOOKUP($A70,EnrollData2324,'2324 Jun 24 Enroll'!D$1,FALSE)),2)</f>
        <v>1683.67</v>
      </c>
      <c r="AS70" s="7">
        <f t="shared" ref="AS70" si="34">SUM(AA70:AR70)</f>
        <v>9959.3599999999988</v>
      </c>
    </row>
    <row r="71" spans="1:45">
      <c r="A71" s="40" t="s">
        <v>791</v>
      </c>
      <c r="B71" s="40" t="s">
        <v>792</v>
      </c>
      <c r="C71" s="11">
        <f>ROUND((IFERROR((1/IF(VLOOKUP($A71,EnrollData2324,28,FALSE)='District Calculations'!$B$10,VLOOKUP($A71,EnrollData2324,28,FALSE),'District Calculations'!$B$10))*(1+Apport_Z315),0))+Apport_201A2324,6)</f>
        <v>7.3449E-2</v>
      </c>
      <c r="D71">
        <f>ROUND(IF(VLOOKUP($A71,EnrollData2324,'2324 Jun 24 Enroll'!D$1,FALSE)='District Calculations'!$B$11,VLOOKUP($A71,EnrollData2324,'2324 Jun 24 Enroll'!D$1,FALSE),'District Calculations'!$B$11)*C71,3)</f>
        <v>0</v>
      </c>
      <c r="E71">
        <f>ROUND(IF(VLOOKUP($A71,EnrollData2324,'2324 Jun 24 Enroll'!E$1,FALSE)='District Calculations'!$B$12,VLOOKUP($A71,EnrollData2324,'2324 Jun 24 Enroll'!E$1,FALSE),'District Calculations'!$B$12)*C71,3)</f>
        <v>59.53</v>
      </c>
      <c r="F71">
        <f>ROUND(IF(VLOOKUP($A71,EnrollData2324,'2324 Jun 24 Enroll'!F$1,FALSE)='District Calculations'!$B$13,VLOOKUP($A71,EnrollData2324,'2324 Jun 24 Enroll'!F$1,FALSE),'District Calculations'!$B$13)*Apport_222A2324,3)</f>
        <v>10.101000000000001</v>
      </c>
      <c r="G71">
        <f>ROUND(IF(VLOOKUP($A71,EnrollData2324,'2324 Jun 24 Enroll'!G$1,FALSE)='District Calculations'!$B$14,VLOOKUP($A71,EnrollData2324,'2324 Jun 24 Enroll'!G$1,FALSE),'District Calculations'!$B$14)*Apport_210A2324,3)</f>
        <v>22.395</v>
      </c>
      <c r="H71">
        <f>ROUND(IF(VLOOKUP($A71,EnrollData2324,'2324 Jun 24 Enroll'!H$1,FALSE)='District Calculations'!$B$15,VLOOKUP($A71,EnrollData2324,'2324 Jun 24 Enroll'!H$1,FALSE),'District Calculations'!$B$15)*Apport_213A2324,3)</f>
        <v>23.091999999999999</v>
      </c>
      <c r="I71">
        <f>ROUND(IF(VLOOKUP($A71,EnrollData2324,'2324 Jun 24 Enroll'!I$1,FALSE)+VLOOKUP($A71,EnrollData2324,'2324 Jun 24 Enroll'!M$1,FALSE)-VLOOKUP($A71,EnrollData2324,'2324 Jun 24 Enroll'!J$1,FALSE)='District Calculations'!$B$16+'District Calculations'!$B$25-'District Calculations'!$B$17,VLOOKUP($A71,EnrollData2324,'2324 Jun 24 Enroll'!I$1,FALSE)+VLOOKUP($A71,EnrollData2324,'2324 Jun 24 Enroll'!M$1,FALSE)-VLOOKUP($A71,EnrollData2324,'2324 Jun 24 Enroll'!J$1,FALSE),'District Calculations'!$B$16+'District Calculations'!$B$25-'District Calculations'!$B$17)*Apport_216A2324,3)</f>
        <v>58.183999999999997</v>
      </c>
      <c r="J71">
        <f>ROUND(SUM(D71:I71)/(IF(VLOOKUP($A71,EnrollData2324,'2324 Jun 24 Enroll'!M$1,FALSE)='District Calculations'!$B$25,VLOOKUP($A71,EnrollData2324,'2324 Jun 24 Enroll'!M$1,FALSE),'District Calculations'!$B$25)+IF(VLOOKUP($A71,EnrollData2324,'2324 Jun 24 Enroll'!D$1,FALSE)='District Calculations'!$B$11,VLOOKUP($A71,EnrollData2324,'2324 Jun 24 Enroll'!D$1,FALSE),'District Calculations'!$B$11)),5)</f>
        <v>5.5530000000000003E-2</v>
      </c>
      <c r="K71" s="11">
        <f t="shared" si="21"/>
        <v>4.365E-3</v>
      </c>
      <c r="L71">
        <f>ROUND(IF(VLOOKUP($A71,EnrollData2324,'2324 Jun 24 Enroll'!D$1,FALSE)='District Calculations'!$B$11,VLOOKUP($A71,EnrollData2324,'2324 Jun 24 Enroll'!D$1,FALSE),'District Calculations'!$B$11)*K71,3)</f>
        <v>0</v>
      </c>
      <c r="M71">
        <f>ROUND(IF(VLOOKUP($A71,EnrollData2324,'2324 Jun 24 Enroll'!E$1,FALSE)='District Calculations'!$B$12,VLOOKUP($A71,EnrollData2324,'2324 Jun 24 Enroll'!E$1,FALSE),'District Calculations'!$B$12)*K71,3)</f>
        <v>3.5379999999999998</v>
      </c>
      <c r="N71">
        <f>ROUND(IF(VLOOKUP($A71,EnrollData2324,'2324 Jun 24 Enroll'!F$1,FALSE)='District Calculations'!$B$13,VLOOKUP($A71,EnrollData2324,'2324 Jun 24 Enroll'!F$1,FALSE),'District Calculations'!$B$13)*Apport_223A2324,3)</f>
        <v>0.84199999999999997</v>
      </c>
      <c r="O71">
        <f>ROUND(IF(VLOOKUP($A71,EnrollData2324,'2324 Jun 24 Enroll'!G$1,FALSE)='District Calculations'!$B$14,VLOOKUP($A71,EnrollData2324,'2324 Jun 24 Enroll'!G$1,FALSE),'District Calculations'!$B$14)*Apport_211A2324,3)</f>
        <v>1.867</v>
      </c>
      <c r="P71">
        <f>ROUND(IF(VLOOKUP($A71,EnrollData2324,'2324 Jun 24 Enroll'!H$1,FALSE)='District Calculations'!$B$14,VLOOKUP($A71,EnrollData2324,'2324 Jun 24 Enroll'!H$1,FALSE),'District Calculations'!$B$14)*Apport_214A2324,3)</f>
        <v>1.8660000000000001</v>
      </c>
      <c r="Q71">
        <f>ROUND(IF(VLOOKUP($A71,EnrollData2324,'2324 Jun 24 Enroll'!I$1,FALSE)+VLOOKUP($A71,EnrollData2324,'2324 Jun 24 Enroll'!M$1,FALSE)-VLOOKUP($A71,EnrollData2324,'2324 Jun 24 Enroll'!J$1,FALSE)='District Calculations'!$B$16+'District Calculations'!$B$25-'District Calculations'!$B$17,VLOOKUP($A71,EnrollData2324,'2324 Jun 24 Enroll'!I$1,FALSE)+VLOOKUP($A71,EnrollData2324,'2324 Jun 24 Enroll'!M$1,FALSE)-VLOOKUP($A71,EnrollData2324,'2324 Jun 24 Enroll'!J$1,FALSE),'District Calculations'!$B$16+'District Calculations'!$B$25-'District Calculations'!$B$17)*Apport_217A2324,3)</f>
        <v>4.6980000000000004</v>
      </c>
      <c r="R71">
        <f>ROUND(SUM(L71:Q71)/IF(VLOOKUP($A71,EnrollData2324,'2324 Jun 24 Enroll'!M$1,FALSE)+VLOOKUP($A71,EnrollData2324,'2324 Jun 24 Enroll'!D$1,FALSE)='District Calculations'!$B$25+'District Calculations'!$B$11,VLOOKUP($A71,EnrollData2324,'2324 Jun 24 Enroll'!M$1,FALSE)+VLOOKUP($A71,EnrollData2324,'2324 Jun 24 Enroll'!D$1,FALSE),'District Calculations'!$B$25+'District Calculations'!$B$11),5)</f>
        <v>4.1000000000000003E-3</v>
      </c>
      <c r="S71" s="11">
        <f t="shared" si="22"/>
        <v>1.8294500000000002E-2</v>
      </c>
      <c r="T71">
        <f>ROUND(IF(VLOOKUP($A71,EnrollData2324,'2324 Jun 24 Enroll'!D$1,FALSE)='District Calculations'!$B$11,VLOOKUP($A71,EnrollData2324,'2324 Jun 24 Enroll'!D$1,FALSE),'District Calculations'!$B$11)*S71,3)</f>
        <v>0</v>
      </c>
      <c r="U71">
        <f>ROUND(IF(VLOOKUP($A71,EnrollData2324,'2324 Jun 24 Enroll'!E$1,FALSE)='District Calculations'!$B$12,VLOOKUP($A71,EnrollData2324,'2324 Jun 24 Enroll'!E$1,FALSE),'District Calculations'!$B$12)*S71,3)</f>
        <v>14.827999999999999</v>
      </c>
      <c r="V71">
        <f>ROUND(IF(VLOOKUP($A71,EnrollData2324,'2324 Jun 24 Enroll'!F$1,FALSE)='District Calculations'!$B$13,VLOOKUP($A71,EnrollData2324,'2324 Jun 24 Enroll'!F$1,FALSE),'District Calculations'!$B$13)*Apport_224A2324,3)</f>
        <v>3.6190000000000002</v>
      </c>
      <c r="W71">
        <f>ROUND(IF(VLOOKUP($A71,EnrollData2324,'2324 Jun 24 Enroll'!G$1,FALSE)='District Calculations'!$B$14,VLOOKUP($A71,EnrollData2324,'2324 Jun 24 Enroll'!G$1,FALSE),'District Calculations'!$B$14)*Apport_212A2324,3)</f>
        <v>8.0239999999999991</v>
      </c>
      <c r="X71">
        <f>ROUND(IF(VLOOKUP($A71,EnrollData2324,'2324 Jun 24 Enroll'!H$1,FALSE)='District Calculations'!$B$14,VLOOKUP($A71,EnrollData2324,'2324 Jun 24 Enroll'!H$1,FALSE),'District Calculations'!$B$14)*Apport_215A2324,3)</f>
        <v>7.9279999999999999</v>
      </c>
      <c r="Y71">
        <f>ROUND(IF(VLOOKUP($A71,EnrollData2324,'2324 Jun 24 Enroll'!I$1,FALSE)+VLOOKUP($A71,EnrollData2324,'2324 Jun 24 Enroll'!M$1,FALSE)-VLOOKUP($A71,EnrollData2324,'2324 Jun 24 Enroll'!J$1,FALSE)='District Calculations'!$B$16+'District Calculations'!$B$25-'District Calculations'!$B$17,VLOOKUP($A71,EnrollData2324,'2324 Jun 24 Enroll'!I$1,FALSE)+VLOOKUP($A71,EnrollData2324,'2324 Jun 24 Enroll'!M$1,FALSE)-VLOOKUP($A71,EnrollData2324,'2324 Jun 24 Enroll'!J$1,FALSE),'District Calculations'!$B$16+'District Calculations'!$B$25-'District Calculations'!$B$17)*Apport_218A2324,3)</f>
        <v>19.917999999999999</v>
      </c>
      <c r="Z71">
        <f>ROUND(SUM(T71:Y71)/IF(VLOOKUP($A71,EnrollData2324,'2324 Jun 24 Enroll'!M$1,FALSE)+VLOOKUP($A71,EnrollData2324,'2324 Jun 24 Enroll'!D$1,FALSE)='District Calculations'!$B$25+'District Calculations'!$B$11,VLOOKUP($A71,EnrollData2324,'2324 Jun 24 Enroll'!M$1,FALSE)+VLOOKUP($A71,EnrollData2324,'2324 Jun 24 Enroll'!D$1,FALSE),'District Calculations'!$B$25+'District Calculations'!$B$11),5)</f>
        <v>1.7399999999999999E-2</v>
      </c>
      <c r="AA71" s="6">
        <f>ROUND($J71*CIS_Base_Salary2324*VLOOKUP($A71,EnrollData2324,'2324 Jun 24 Enroll'!S$1,FALSE),2)</f>
        <v>4038.59</v>
      </c>
      <c r="AB71" s="6">
        <f>ROUND($J71*CIS_Inc_Salary2324*(VLOOKUP($A71,EnrollData2324,'2324 Jun 24 Enroll'!T$1,FALSE)+VLOOKUP($A71,EnrollData2324,'2324 Jun 24 Enroll'!U$1,FALSE)),2)-AA71</f>
        <v>149.43000000000029</v>
      </c>
      <c r="AC71" s="6">
        <f>ROUND($R71*CAS_Base_Salary2324*VLOOKUP($A71,EnrollData2324,'2324 Jun 24 Enroll'!S$1,FALSE),2)</f>
        <v>442.62</v>
      </c>
      <c r="AD71" s="6">
        <f>ROUND($R71*CAS_Inc_Salary2324*VLOOKUP($A71,EnrollData2324,'2324 Jun 24 Enroll'!T$1,FALSE),2)-AC71</f>
        <v>16.379999999999995</v>
      </c>
      <c r="AE71" s="6">
        <f>ROUND($Z71*CLS_Base_Salary2324*VLOOKUP($A71,EnrollData2324,'2324 Jun 24 Enroll'!S$1,FALSE),2)</f>
        <v>907.81</v>
      </c>
      <c r="AF71" s="6">
        <f>ROUND($Z71*CLS_Inc_Salary2324*VLOOKUP($A71,EnrollData2324,'2324 Jun 24 Enroll'!T$1,FALSE),2)-AE71</f>
        <v>33.580000000000041</v>
      </c>
      <c r="AG71">
        <f t="shared" ref="AG71:AG134" si="35">ROUND(($J71+$R71)*Apport_124X2324,2)</f>
        <v>734.16</v>
      </c>
      <c r="AH71" s="69">
        <f t="shared" si="23"/>
        <v>68.700000000000045</v>
      </c>
      <c r="AI71">
        <f t="shared" ref="AI71:AI134" si="36">ROUND($Z71*Apport_124X2324,2)</f>
        <v>214.23</v>
      </c>
      <c r="AJ71">
        <f t="shared" si="24"/>
        <v>114.21000000000001</v>
      </c>
      <c r="AK71">
        <f t="shared" si="25"/>
        <v>805.27</v>
      </c>
      <c r="AL71">
        <f t="shared" si="26"/>
        <v>28.73</v>
      </c>
      <c r="AM71">
        <f t="shared" si="27"/>
        <v>200.26</v>
      </c>
      <c r="AN71">
        <f t="shared" si="28"/>
        <v>6.23</v>
      </c>
      <c r="AO71">
        <f>ROUND(($J71*CIS_Inc_Salary2324*(VLOOKUP($A71,EnrollData2324,'2324 Jun 24 Enroll'!T$1,FALSE)+VLOOKUP($A71,EnrollData2324,'2324 Jun 24 Enroll'!U$1,FALSE))/Apport_613Xpd)*Apport_614Xpd,2)</f>
        <v>69.8</v>
      </c>
      <c r="AP71">
        <f t="shared" si="29"/>
        <v>12.1</v>
      </c>
      <c r="AQ71">
        <f t="shared" si="32"/>
        <v>30.93</v>
      </c>
      <c r="AR71" s="6">
        <f>ROUND((VLOOKUP($A71,EnrollData2324,'2324 Jun 24 Enroll'!D$1,FALSE)*Apport_M802324+VLOOKUP($A71,EnrollData2324,'2324 Jun 24 Enroll'!M$1,FALSE)*Apport_M802324+(VLOOKUP($A71,EnrollData2324,'2324 Jun 24 Enroll'!P$1,FALSE)+VLOOKUP($A71,EnrollData2324,'2324 Jun 24 Enroll'!Q$1,FALSE)+VLOOKUP($A71,EnrollData2324,'2324 Jun 24 Enroll'!R$1,FALSE)+VLOOKUP($A71,EnrollData2324,'2324 Jun 24 Enroll'!I$1,FALSE)+VLOOKUP($A71,EnrollData2324,'2324 Jun 24 Enroll'!N$1,FALSE)+VLOOKUP($A71,EnrollData2324,'2324 Jun 24 Enroll'!O$1,FALSE)+VLOOKUP($A71,EnrollData2324,'2324 Jun 24 Enroll'!K$1,FALSE)+VLOOKUP($A71,EnrollData2324,'2324 Jun 24 Enroll'!L$1,FALSE))*Apport_M812324)/(VLOOKUP($A71,EnrollData2324,'2324 Jun 24 Enroll'!M$1,FALSE)+VLOOKUP($A71,EnrollData2324,'2324 Jun 24 Enroll'!D$1,FALSE)),2)</f>
        <v>1677.14</v>
      </c>
      <c r="AS71" s="7">
        <f t="shared" si="33"/>
        <v>9550.17</v>
      </c>
    </row>
    <row r="72" spans="1:45">
      <c r="A72" s="40" t="s">
        <v>558</v>
      </c>
      <c r="B72" s="40" t="s">
        <v>559</v>
      </c>
      <c r="C72" s="11">
        <f>ROUND((IFERROR((1/IF(VLOOKUP($A72,EnrollData2324,28,FALSE)='District Calculations'!$B$10,VLOOKUP($A72,EnrollData2324,28,FALSE),'District Calculations'!$B$10))*(1+Apport_Z315),0))+Apport_201A2324,6)</f>
        <v>7.3449E-2</v>
      </c>
      <c r="D72">
        <f>ROUND(IF(VLOOKUP($A72,EnrollData2324,'2324 Jun 24 Enroll'!D$1,FALSE)='District Calculations'!$B$11,VLOOKUP($A72,EnrollData2324,'2324 Jun 24 Enroll'!D$1,FALSE),'District Calculations'!$B$11)*C72,3)</f>
        <v>0</v>
      </c>
      <c r="E72">
        <f>ROUND(IF(VLOOKUP($A72,EnrollData2324,'2324 Jun 24 Enroll'!E$1,FALSE)='District Calculations'!$B$12,VLOOKUP($A72,EnrollData2324,'2324 Jun 24 Enroll'!E$1,FALSE),'District Calculations'!$B$12)*C72,3)</f>
        <v>59.53</v>
      </c>
      <c r="F72">
        <f>ROUND(IF(VLOOKUP($A72,EnrollData2324,'2324 Jun 24 Enroll'!F$1,FALSE)='District Calculations'!$B$13,VLOOKUP($A72,EnrollData2324,'2324 Jun 24 Enroll'!F$1,FALSE),'District Calculations'!$B$13)*Apport_222A2324,3)</f>
        <v>10.101000000000001</v>
      </c>
      <c r="G72">
        <f>ROUND(IF(VLOOKUP($A72,EnrollData2324,'2324 Jun 24 Enroll'!G$1,FALSE)='District Calculations'!$B$14,VLOOKUP($A72,EnrollData2324,'2324 Jun 24 Enroll'!G$1,FALSE),'District Calculations'!$B$14)*Apport_210A2324,3)</f>
        <v>22.395</v>
      </c>
      <c r="H72">
        <f>ROUND(IF(VLOOKUP($A72,EnrollData2324,'2324 Jun 24 Enroll'!H$1,FALSE)='District Calculations'!$B$15,VLOOKUP($A72,EnrollData2324,'2324 Jun 24 Enroll'!H$1,FALSE),'District Calculations'!$B$15)*Apport_213A2324,3)</f>
        <v>23.091999999999999</v>
      </c>
      <c r="I72">
        <f>ROUND(IF(VLOOKUP($A72,EnrollData2324,'2324 Jun 24 Enroll'!I$1,FALSE)+VLOOKUP($A72,EnrollData2324,'2324 Jun 24 Enroll'!M$1,FALSE)-VLOOKUP($A72,EnrollData2324,'2324 Jun 24 Enroll'!J$1,FALSE)='District Calculations'!$B$16+'District Calculations'!$B$25-'District Calculations'!$B$17,VLOOKUP($A72,EnrollData2324,'2324 Jun 24 Enroll'!I$1,FALSE)+VLOOKUP($A72,EnrollData2324,'2324 Jun 24 Enroll'!M$1,FALSE)-VLOOKUP($A72,EnrollData2324,'2324 Jun 24 Enroll'!J$1,FALSE),'District Calculations'!$B$16+'District Calculations'!$B$25-'District Calculations'!$B$17)*Apport_216A2324,3)</f>
        <v>58.183999999999997</v>
      </c>
      <c r="J72">
        <f>ROUND(SUM(D72:I72)/(IF(VLOOKUP($A72,EnrollData2324,'2324 Jun 24 Enroll'!M$1,FALSE)='District Calculations'!$B$25,VLOOKUP($A72,EnrollData2324,'2324 Jun 24 Enroll'!M$1,FALSE),'District Calculations'!$B$25)+IF(VLOOKUP($A72,EnrollData2324,'2324 Jun 24 Enroll'!D$1,FALSE)='District Calculations'!$B$11,VLOOKUP($A72,EnrollData2324,'2324 Jun 24 Enroll'!D$1,FALSE),'District Calculations'!$B$11)),5)</f>
        <v>5.5530000000000003E-2</v>
      </c>
      <c r="K72" s="11">
        <f t="shared" si="21"/>
        <v>4.365E-3</v>
      </c>
      <c r="L72">
        <f>ROUND(IF(VLOOKUP($A72,EnrollData2324,'2324 Jun 24 Enroll'!D$1,FALSE)='District Calculations'!$B$11,VLOOKUP($A72,EnrollData2324,'2324 Jun 24 Enroll'!D$1,FALSE),'District Calculations'!$B$11)*K72,3)</f>
        <v>0</v>
      </c>
      <c r="M72">
        <f>ROUND(IF(VLOOKUP($A72,EnrollData2324,'2324 Jun 24 Enroll'!E$1,FALSE)='District Calculations'!$B$12,VLOOKUP($A72,EnrollData2324,'2324 Jun 24 Enroll'!E$1,FALSE),'District Calculations'!$B$12)*K72,3)</f>
        <v>3.5379999999999998</v>
      </c>
      <c r="N72">
        <f>ROUND(IF(VLOOKUP($A72,EnrollData2324,'2324 Jun 24 Enroll'!F$1,FALSE)='District Calculations'!$B$13,VLOOKUP($A72,EnrollData2324,'2324 Jun 24 Enroll'!F$1,FALSE),'District Calculations'!$B$13)*Apport_223A2324,3)</f>
        <v>0.84199999999999997</v>
      </c>
      <c r="O72">
        <f>ROUND(IF(VLOOKUP($A72,EnrollData2324,'2324 Jun 24 Enroll'!G$1,FALSE)='District Calculations'!$B$14,VLOOKUP($A72,EnrollData2324,'2324 Jun 24 Enroll'!G$1,FALSE),'District Calculations'!$B$14)*Apport_211A2324,3)</f>
        <v>1.867</v>
      </c>
      <c r="P72">
        <f>ROUND(IF(VLOOKUP($A72,EnrollData2324,'2324 Jun 24 Enroll'!H$1,FALSE)='District Calculations'!$B$14,VLOOKUP($A72,EnrollData2324,'2324 Jun 24 Enroll'!H$1,FALSE),'District Calculations'!$B$14)*Apport_214A2324,3)</f>
        <v>1.8660000000000001</v>
      </c>
      <c r="Q72">
        <f>ROUND(IF(VLOOKUP($A72,EnrollData2324,'2324 Jun 24 Enroll'!I$1,FALSE)+VLOOKUP($A72,EnrollData2324,'2324 Jun 24 Enroll'!M$1,FALSE)-VLOOKUP($A72,EnrollData2324,'2324 Jun 24 Enroll'!J$1,FALSE)='District Calculations'!$B$16+'District Calculations'!$B$25-'District Calculations'!$B$17,VLOOKUP($A72,EnrollData2324,'2324 Jun 24 Enroll'!I$1,FALSE)+VLOOKUP($A72,EnrollData2324,'2324 Jun 24 Enroll'!M$1,FALSE)-VLOOKUP($A72,EnrollData2324,'2324 Jun 24 Enroll'!J$1,FALSE),'District Calculations'!$B$16+'District Calculations'!$B$25-'District Calculations'!$B$17)*Apport_217A2324,3)</f>
        <v>4.6980000000000004</v>
      </c>
      <c r="R72">
        <f>ROUND(SUM(L72:Q72)/IF(VLOOKUP($A72,EnrollData2324,'2324 Jun 24 Enroll'!M$1,FALSE)+VLOOKUP($A72,EnrollData2324,'2324 Jun 24 Enroll'!D$1,FALSE)='District Calculations'!$B$25+'District Calculations'!$B$11,VLOOKUP($A72,EnrollData2324,'2324 Jun 24 Enroll'!M$1,FALSE)+VLOOKUP($A72,EnrollData2324,'2324 Jun 24 Enroll'!D$1,FALSE),'District Calculations'!$B$25+'District Calculations'!$B$11),5)</f>
        <v>4.1000000000000003E-3</v>
      </c>
      <c r="S72" s="11">
        <f t="shared" si="22"/>
        <v>1.8294500000000002E-2</v>
      </c>
      <c r="T72">
        <f>ROUND(IF(VLOOKUP($A72,EnrollData2324,'2324 Jun 24 Enroll'!D$1,FALSE)='District Calculations'!$B$11,VLOOKUP($A72,EnrollData2324,'2324 Jun 24 Enroll'!D$1,FALSE),'District Calculations'!$B$11)*S72,3)</f>
        <v>0</v>
      </c>
      <c r="U72">
        <f>ROUND(IF(VLOOKUP($A72,EnrollData2324,'2324 Jun 24 Enroll'!E$1,FALSE)='District Calculations'!$B$12,VLOOKUP($A72,EnrollData2324,'2324 Jun 24 Enroll'!E$1,FALSE),'District Calculations'!$B$12)*S72,3)</f>
        <v>14.827999999999999</v>
      </c>
      <c r="V72">
        <f>ROUND(IF(VLOOKUP($A72,EnrollData2324,'2324 Jun 24 Enroll'!F$1,FALSE)='District Calculations'!$B$13,VLOOKUP($A72,EnrollData2324,'2324 Jun 24 Enroll'!F$1,FALSE),'District Calculations'!$B$13)*Apport_224A2324,3)</f>
        <v>3.6190000000000002</v>
      </c>
      <c r="W72">
        <f>ROUND(IF(VLOOKUP($A72,EnrollData2324,'2324 Jun 24 Enroll'!G$1,FALSE)='District Calculations'!$B$14,VLOOKUP($A72,EnrollData2324,'2324 Jun 24 Enroll'!G$1,FALSE),'District Calculations'!$B$14)*Apport_212A2324,3)</f>
        <v>8.0239999999999991</v>
      </c>
      <c r="X72">
        <f>ROUND(IF(VLOOKUP($A72,EnrollData2324,'2324 Jun 24 Enroll'!H$1,FALSE)='District Calculations'!$B$14,VLOOKUP($A72,EnrollData2324,'2324 Jun 24 Enroll'!H$1,FALSE),'District Calculations'!$B$14)*Apport_215A2324,3)</f>
        <v>7.9279999999999999</v>
      </c>
      <c r="Y72">
        <f>ROUND(IF(VLOOKUP($A72,EnrollData2324,'2324 Jun 24 Enroll'!I$1,FALSE)+VLOOKUP($A72,EnrollData2324,'2324 Jun 24 Enroll'!M$1,FALSE)-VLOOKUP($A72,EnrollData2324,'2324 Jun 24 Enroll'!J$1,FALSE)='District Calculations'!$B$16+'District Calculations'!$B$25-'District Calculations'!$B$17,VLOOKUP($A72,EnrollData2324,'2324 Jun 24 Enroll'!I$1,FALSE)+VLOOKUP($A72,EnrollData2324,'2324 Jun 24 Enroll'!M$1,FALSE)-VLOOKUP($A72,EnrollData2324,'2324 Jun 24 Enroll'!J$1,FALSE),'District Calculations'!$B$16+'District Calculations'!$B$25-'District Calculations'!$B$17)*Apport_218A2324,3)</f>
        <v>19.917999999999999</v>
      </c>
      <c r="Z72">
        <f>ROUND(SUM(T72:Y72)/IF(VLOOKUP($A72,EnrollData2324,'2324 Jun 24 Enroll'!M$1,FALSE)+VLOOKUP($A72,EnrollData2324,'2324 Jun 24 Enroll'!D$1,FALSE)='District Calculations'!$B$25+'District Calculations'!$B$11,VLOOKUP($A72,EnrollData2324,'2324 Jun 24 Enroll'!M$1,FALSE)+VLOOKUP($A72,EnrollData2324,'2324 Jun 24 Enroll'!D$1,FALSE),'District Calculations'!$B$25+'District Calculations'!$B$11),5)</f>
        <v>1.7399999999999999E-2</v>
      </c>
      <c r="AA72" s="6">
        <f>ROUND($J72*CIS_Base_Salary2324*VLOOKUP($A72,EnrollData2324,'2324 Jun 24 Enroll'!S$1,FALSE),2)</f>
        <v>4038.59</v>
      </c>
      <c r="AB72" s="6">
        <f>ROUND($J72*CIS_Inc_Salary2324*(VLOOKUP($A72,EnrollData2324,'2324 Jun 24 Enroll'!T$1,FALSE)+VLOOKUP($A72,EnrollData2324,'2324 Jun 24 Enroll'!U$1,FALSE)),2)-AA72</f>
        <v>149.43000000000029</v>
      </c>
      <c r="AC72" s="6">
        <f>ROUND($R72*CAS_Base_Salary2324*VLOOKUP($A72,EnrollData2324,'2324 Jun 24 Enroll'!S$1,FALSE),2)</f>
        <v>442.62</v>
      </c>
      <c r="AD72" s="6">
        <f>ROUND($R72*CAS_Inc_Salary2324*VLOOKUP($A72,EnrollData2324,'2324 Jun 24 Enroll'!T$1,FALSE),2)-AC72</f>
        <v>16.379999999999995</v>
      </c>
      <c r="AE72" s="6">
        <f>ROUND($Z72*CLS_Base_Salary2324*VLOOKUP($A72,EnrollData2324,'2324 Jun 24 Enroll'!S$1,FALSE),2)</f>
        <v>907.81</v>
      </c>
      <c r="AF72" s="6">
        <f>ROUND($Z72*CLS_Inc_Salary2324*VLOOKUP($A72,EnrollData2324,'2324 Jun 24 Enroll'!T$1,FALSE),2)-AE72</f>
        <v>33.580000000000041</v>
      </c>
      <c r="AG72">
        <f t="shared" si="35"/>
        <v>734.16</v>
      </c>
      <c r="AH72" s="69">
        <f t="shared" si="23"/>
        <v>68.700000000000045</v>
      </c>
      <c r="AI72">
        <f t="shared" si="36"/>
        <v>214.23</v>
      </c>
      <c r="AJ72">
        <f t="shared" si="24"/>
        <v>114.21000000000001</v>
      </c>
      <c r="AK72">
        <f t="shared" si="25"/>
        <v>805.27</v>
      </c>
      <c r="AL72">
        <f t="shared" si="26"/>
        <v>28.73</v>
      </c>
      <c r="AM72">
        <f t="shared" si="27"/>
        <v>200.26</v>
      </c>
      <c r="AN72">
        <f t="shared" si="28"/>
        <v>6.23</v>
      </c>
      <c r="AO72">
        <f>ROUND(($J72*CIS_Inc_Salary2324*(VLOOKUP($A72,EnrollData2324,'2324 Jun 24 Enroll'!T$1,FALSE)+VLOOKUP($A72,EnrollData2324,'2324 Jun 24 Enroll'!U$1,FALSE))/Apport_613Xpd)*Apport_614Xpd,2)</f>
        <v>69.8</v>
      </c>
      <c r="AP72">
        <f t="shared" si="29"/>
        <v>12.1</v>
      </c>
      <c r="AQ72">
        <f t="shared" si="32"/>
        <v>30.93</v>
      </c>
      <c r="AR72" s="6">
        <f>ROUND((VLOOKUP($A72,EnrollData2324,'2324 Jun 24 Enroll'!D$1,FALSE)*Apport_M802324+VLOOKUP($A72,EnrollData2324,'2324 Jun 24 Enroll'!M$1,FALSE)*Apport_M802324+(VLOOKUP($A72,EnrollData2324,'2324 Jun 24 Enroll'!P$1,FALSE)+VLOOKUP($A72,EnrollData2324,'2324 Jun 24 Enroll'!Q$1,FALSE)+VLOOKUP($A72,EnrollData2324,'2324 Jun 24 Enroll'!R$1,FALSE)+VLOOKUP($A72,EnrollData2324,'2324 Jun 24 Enroll'!I$1,FALSE)+VLOOKUP($A72,EnrollData2324,'2324 Jun 24 Enroll'!N$1,FALSE)+VLOOKUP($A72,EnrollData2324,'2324 Jun 24 Enroll'!O$1,FALSE)+VLOOKUP($A72,EnrollData2324,'2324 Jun 24 Enroll'!K$1,FALSE)+VLOOKUP($A72,EnrollData2324,'2324 Jun 24 Enroll'!L$1,FALSE))*Apport_M812324)/(VLOOKUP($A72,EnrollData2324,'2324 Jun 24 Enroll'!M$1,FALSE)+VLOOKUP($A72,EnrollData2324,'2324 Jun 24 Enroll'!D$1,FALSE)),2)</f>
        <v>1548.13</v>
      </c>
      <c r="AS72" s="7">
        <f t="shared" si="33"/>
        <v>9421.16</v>
      </c>
    </row>
    <row r="73" spans="1:45">
      <c r="A73" s="40" t="s">
        <v>366</v>
      </c>
      <c r="B73" s="40" t="s">
        <v>367</v>
      </c>
      <c r="C73" s="11">
        <f>ROUND((IFERROR((1/IF(VLOOKUP($A73,EnrollData2324,28,FALSE)='District Calculations'!$B$10,VLOOKUP($A73,EnrollData2324,28,FALSE),'District Calculations'!$B$10))*(1+Apport_Z315),0))+Apport_201A2324,6)</f>
        <v>7.3449E-2</v>
      </c>
      <c r="D73">
        <f>ROUND(IF(VLOOKUP($A73,EnrollData2324,'2324 Jun 24 Enroll'!D$1,FALSE)='District Calculations'!$B$11,VLOOKUP($A73,EnrollData2324,'2324 Jun 24 Enroll'!D$1,FALSE),'District Calculations'!$B$11)*C73,3)</f>
        <v>0</v>
      </c>
      <c r="E73">
        <f>ROUND(IF(VLOOKUP($A73,EnrollData2324,'2324 Jun 24 Enroll'!E$1,FALSE)='District Calculations'!$B$12,VLOOKUP($A73,EnrollData2324,'2324 Jun 24 Enroll'!E$1,FALSE),'District Calculations'!$B$12)*C73,3)</f>
        <v>59.53</v>
      </c>
      <c r="F73">
        <f>ROUND(IF(VLOOKUP($A73,EnrollData2324,'2324 Jun 24 Enroll'!F$1,FALSE)='District Calculations'!$B$13,VLOOKUP($A73,EnrollData2324,'2324 Jun 24 Enroll'!F$1,FALSE),'District Calculations'!$B$13)*Apport_222A2324,3)</f>
        <v>10.101000000000001</v>
      </c>
      <c r="G73">
        <f>ROUND(IF(VLOOKUP($A73,EnrollData2324,'2324 Jun 24 Enroll'!G$1,FALSE)='District Calculations'!$B$14,VLOOKUP($A73,EnrollData2324,'2324 Jun 24 Enroll'!G$1,FALSE),'District Calculations'!$B$14)*Apport_210A2324,3)</f>
        <v>22.395</v>
      </c>
      <c r="H73">
        <f>ROUND(IF(VLOOKUP($A73,EnrollData2324,'2324 Jun 24 Enroll'!H$1,FALSE)='District Calculations'!$B$15,VLOOKUP($A73,EnrollData2324,'2324 Jun 24 Enroll'!H$1,FALSE),'District Calculations'!$B$15)*Apport_213A2324,3)</f>
        <v>23.091999999999999</v>
      </c>
      <c r="I73">
        <f>ROUND(IF(VLOOKUP($A73,EnrollData2324,'2324 Jun 24 Enroll'!I$1,FALSE)+VLOOKUP($A73,EnrollData2324,'2324 Jun 24 Enroll'!M$1,FALSE)-VLOOKUP($A73,EnrollData2324,'2324 Jun 24 Enroll'!J$1,FALSE)='District Calculations'!$B$16+'District Calculations'!$B$25-'District Calculations'!$B$17,VLOOKUP($A73,EnrollData2324,'2324 Jun 24 Enroll'!I$1,FALSE)+VLOOKUP($A73,EnrollData2324,'2324 Jun 24 Enroll'!M$1,FALSE)-VLOOKUP($A73,EnrollData2324,'2324 Jun 24 Enroll'!J$1,FALSE),'District Calculations'!$B$16+'District Calculations'!$B$25-'District Calculations'!$B$17)*Apport_216A2324,3)</f>
        <v>58.183999999999997</v>
      </c>
      <c r="J73">
        <f>ROUND(SUM(D73:I73)/(IF(VLOOKUP($A73,EnrollData2324,'2324 Jun 24 Enroll'!M$1,FALSE)='District Calculations'!$B$25,VLOOKUP($A73,EnrollData2324,'2324 Jun 24 Enroll'!M$1,FALSE),'District Calculations'!$B$25)+IF(VLOOKUP($A73,EnrollData2324,'2324 Jun 24 Enroll'!D$1,FALSE)='District Calculations'!$B$11,VLOOKUP($A73,EnrollData2324,'2324 Jun 24 Enroll'!D$1,FALSE),'District Calculations'!$B$11)),5)</f>
        <v>5.5530000000000003E-2</v>
      </c>
      <c r="K73" s="11">
        <f t="shared" si="21"/>
        <v>4.365E-3</v>
      </c>
      <c r="L73">
        <f>ROUND(IF(VLOOKUP($A73,EnrollData2324,'2324 Jun 24 Enroll'!D$1,FALSE)='District Calculations'!$B$11,VLOOKUP($A73,EnrollData2324,'2324 Jun 24 Enroll'!D$1,FALSE),'District Calculations'!$B$11)*K73,3)</f>
        <v>0</v>
      </c>
      <c r="M73">
        <f>ROUND(IF(VLOOKUP($A73,EnrollData2324,'2324 Jun 24 Enroll'!E$1,FALSE)='District Calculations'!$B$12,VLOOKUP($A73,EnrollData2324,'2324 Jun 24 Enroll'!E$1,FALSE),'District Calculations'!$B$12)*K73,3)</f>
        <v>3.5379999999999998</v>
      </c>
      <c r="N73">
        <f>ROUND(IF(VLOOKUP($A73,EnrollData2324,'2324 Jun 24 Enroll'!F$1,FALSE)='District Calculations'!$B$13,VLOOKUP($A73,EnrollData2324,'2324 Jun 24 Enroll'!F$1,FALSE),'District Calculations'!$B$13)*Apport_223A2324,3)</f>
        <v>0.84199999999999997</v>
      </c>
      <c r="O73">
        <f>ROUND(IF(VLOOKUP($A73,EnrollData2324,'2324 Jun 24 Enroll'!G$1,FALSE)='District Calculations'!$B$14,VLOOKUP($A73,EnrollData2324,'2324 Jun 24 Enroll'!G$1,FALSE),'District Calculations'!$B$14)*Apport_211A2324,3)</f>
        <v>1.867</v>
      </c>
      <c r="P73">
        <f>ROUND(IF(VLOOKUP($A73,EnrollData2324,'2324 Jun 24 Enroll'!H$1,FALSE)='District Calculations'!$B$14,VLOOKUP($A73,EnrollData2324,'2324 Jun 24 Enroll'!H$1,FALSE),'District Calculations'!$B$14)*Apport_214A2324,3)</f>
        <v>1.8660000000000001</v>
      </c>
      <c r="Q73">
        <f>ROUND(IF(VLOOKUP($A73,EnrollData2324,'2324 Jun 24 Enroll'!I$1,FALSE)+VLOOKUP($A73,EnrollData2324,'2324 Jun 24 Enroll'!M$1,FALSE)-VLOOKUP($A73,EnrollData2324,'2324 Jun 24 Enroll'!J$1,FALSE)='District Calculations'!$B$16+'District Calculations'!$B$25-'District Calculations'!$B$17,VLOOKUP($A73,EnrollData2324,'2324 Jun 24 Enroll'!I$1,FALSE)+VLOOKUP($A73,EnrollData2324,'2324 Jun 24 Enroll'!M$1,FALSE)-VLOOKUP($A73,EnrollData2324,'2324 Jun 24 Enroll'!J$1,FALSE),'District Calculations'!$B$16+'District Calculations'!$B$25-'District Calculations'!$B$17)*Apport_217A2324,3)</f>
        <v>4.6980000000000004</v>
      </c>
      <c r="R73">
        <f>ROUND(SUM(L73:Q73)/IF(VLOOKUP($A73,EnrollData2324,'2324 Jun 24 Enroll'!M$1,FALSE)+VLOOKUP($A73,EnrollData2324,'2324 Jun 24 Enroll'!D$1,FALSE)='District Calculations'!$B$25+'District Calculations'!$B$11,VLOOKUP($A73,EnrollData2324,'2324 Jun 24 Enroll'!M$1,FALSE)+VLOOKUP($A73,EnrollData2324,'2324 Jun 24 Enroll'!D$1,FALSE),'District Calculations'!$B$25+'District Calculations'!$B$11),5)</f>
        <v>4.1000000000000003E-3</v>
      </c>
      <c r="S73" s="11">
        <f t="shared" si="22"/>
        <v>1.8294500000000002E-2</v>
      </c>
      <c r="T73">
        <f>ROUND(IF(VLOOKUP($A73,EnrollData2324,'2324 Jun 24 Enroll'!D$1,FALSE)='District Calculations'!$B$11,VLOOKUP($A73,EnrollData2324,'2324 Jun 24 Enroll'!D$1,FALSE),'District Calculations'!$B$11)*S73,3)</f>
        <v>0</v>
      </c>
      <c r="U73">
        <f>ROUND(IF(VLOOKUP($A73,EnrollData2324,'2324 Jun 24 Enroll'!E$1,FALSE)='District Calculations'!$B$12,VLOOKUP($A73,EnrollData2324,'2324 Jun 24 Enroll'!E$1,FALSE),'District Calculations'!$B$12)*S73,3)</f>
        <v>14.827999999999999</v>
      </c>
      <c r="V73">
        <f>ROUND(IF(VLOOKUP($A73,EnrollData2324,'2324 Jun 24 Enroll'!F$1,FALSE)='District Calculations'!$B$13,VLOOKUP($A73,EnrollData2324,'2324 Jun 24 Enroll'!F$1,FALSE),'District Calculations'!$B$13)*Apport_224A2324,3)</f>
        <v>3.6190000000000002</v>
      </c>
      <c r="W73">
        <f>ROUND(IF(VLOOKUP($A73,EnrollData2324,'2324 Jun 24 Enroll'!G$1,FALSE)='District Calculations'!$B$14,VLOOKUP($A73,EnrollData2324,'2324 Jun 24 Enroll'!G$1,FALSE),'District Calculations'!$B$14)*Apport_212A2324,3)</f>
        <v>8.0239999999999991</v>
      </c>
      <c r="X73">
        <f>ROUND(IF(VLOOKUP($A73,EnrollData2324,'2324 Jun 24 Enroll'!H$1,FALSE)='District Calculations'!$B$14,VLOOKUP($A73,EnrollData2324,'2324 Jun 24 Enroll'!H$1,FALSE),'District Calculations'!$B$14)*Apport_215A2324,3)</f>
        <v>7.9279999999999999</v>
      </c>
      <c r="Y73">
        <f>ROUND(IF(VLOOKUP($A73,EnrollData2324,'2324 Jun 24 Enroll'!I$1,FALSE)+VLOOKUP($A73,EnrollData2324,'2324 Jun 24 Enroll'!M$1,FALSE)-VLOOKUP($A73,EnrollData2324,'2324 Jun 24 Enroll'!J$1,FALSE)='District Calculations'!$B$16+'District Calculations'!$B$25-'District Calculations'!$B$17,VLOOKUP($A73,EnrollData2324,'2324 Jun 24 Enroll'!I$1,FALSE)+VLOOKUP($A73,EnrollData2324,'2324 Jun 24 Enroll'!M$1,FALSE)-VLOOKUP($A73,EnrollData2324,'2324 Jun 24 Enroll'!J$1,FALSE),'District Calculations'!$B$16+'District Calculations'!$B$25-'District Calculations'!$B$17)*Apport_218A2324,3)</f>
        <v>19.917999999999999</v>
      </c>
      <c r="Z73">
        <f>ROUND(SUM(T73:Y73)/IF(VLOOKUP($A73,EnrollData2324,'2324 Jun 24 Enroll'!M$1,FALSE)+VLOOKUP($A73,EnrollData2324,'2324 Jun 24 Enroll'!D$1,FALSE)='District Calculations'!$B$25+'District Calculations'!$B$11,VLOOKUP($A73,EnrollData2324,'2324 Jun 24 Enroll'!M$1,FALSE)+VLOOKUP($A73,EnrollData2324,'2324 Jun 24 Enroll'!D$1,FALSE),'District Calculations'!$B$25+'District Calculations'!$B$11),5)</f>
        <v>1.7399999999999999E-2</v>
      </c>
      <c r="AA73" s="6">
        <f>ROUND($J73*CIS_Base_Salary2324*VLOOKUP($A73,EnrollData2324,'2324 Jun 24 Enroll'!S$1,FALSE),2)</f>
        <v>4038.59</v>
      </c>
      <c r="AB73" s="6">
        <f>ROUND($J73*CIS_Inc_Salary2324*(VLOOKUP($A73,EnrollData2324,'2324 Jun 24 Enroll'!T$1,FALSE)+VLOOKUP($A73,EnrollData2324,'2324 Jun 24 Enroll'!U$1,FALSE)),2)-AA73</f>
        <v>149.43000000000029</v>
      </c>
      <c r="AC73" s="6">
        <f>ROUND($R73*CAS_Base_Salary2324*VLOOKUP($A73,EnrollData2324,'2324 Jun 24 Enroll'!S$1,FALSE),2)</f>
        <v>442.62</v>
      </c>
      <c r="AD73" s="6">
        <f>ROUND($R73*CAS_Inc_Salary2324*VLOOKUP($A73,EnrollData2324,'2324 Jun 24 Enroll'!T$1,FALSE),2)-AC73</f>
        <v>16.379999999999995</v>
      </c>
      <c r="AE73" s="6">
        <f>ROUND($Z73*CLS_Base_Salary2324*VLOOKUP($A73,EnrollData2324,'2324 Jun 24 Enroll'!S$1,FALSE),2)</f>
        <v>907.81</v>
      </c>
      <c r="AF73" s="6">
        <f>ROUND($Z73*CLS_Inc_Salary2324*VLOOKUP($A73,EnrollData2324,'2324 Jun 24 Enroll'!T$1,FALSE),2)-AE73</f>
        <v>33.580000000000041</v>
      </c>
      <c r="AG73">
        <f t="shared" si="35"/>
        <v>734.16</v>
      </c>
      <c r="AH73" s="69">
        <f t="shared" si="23"/>
        <v>68.700000000000045</v>
      </c>
      <c r="AI73">
        <f t="shared" si="36"/>
        <v>214.23</v>
      </c>
      <c r="AJ73">
        <f t="shared" si="24"/>
        <v>114.21000000000001</v>
      </c>
      <c r="AK73">
        <f t="shared" si="25"/>
        <v>805.27</v>
      </c>
      <c r="AL73">
        <f t="shared" si="26"/>
        <v>28.73</v>
      </c>
      <c r="AM73">
        <f t="shared" si="27"/>
        <v>200.26</v>
      </c>
      <c r="AN73">
        <f t="shared" si="28"/>
        <v>6.23</v>
      </c>
      <c r="AO73">
        <f>ROUND(($J73*CIS_Inc_Salary2324*(VLOOKUP($A73,EnrollData2324,'2324 Jun 24 Enroll'!T$1,FALSE)+VLOOKUP($A73,EnrollData2324,'2324 Jun 24 Enroll'!U$1,FALSE))/Apport_613Xpd)*Apport_614Xpd,2)</f>
        <v>69.8</v>
      </c>
      <c r="AP73">
        <f t="shared" si="29"/>
        <v>12.1</v>
      </c>
      <c r="AQ73">
        <f t="shared" si="32"/>
        <v>30.93</v>
      </c>
      <c r="AR73" s="6">
        <f>ROUND((VLOOKUP($A73,EnrollData2324,'2324 Jun 24 Enroll'!D$1,FALSE)*Apport_M802324+VLOOKUP($A73,EnrollData2324,'2324 Jun 24 Enroll'!M$1,FALSE)*Apport_M802324+(VLOOKUP($A73,EnrollData2324,'2324 Jun 24 Enroll'!P$1,FALSE)+VLOOKUP($A73,EnrollData2324,'2324 Jun 24 Enroll'!Q$1,FALSE)+VLOOKUP($A73,EnrollData2324,'2324 Jun 24 Enroll'!R$1,FALSE)+VLOOKUP($A73,EnrollData2324,'2324 Jun 24 Enroll'!I$1,FALSE)+VLOOKUP($A73,EnrollData2324,'2324 Jun 24 Enroll'!N$1,FALSE)+VLOOKUP($A73,EnrollData2324,'2324 Jun 24 Enroll'!O$1,FALSE)+VLOOKUP($A73,EnrollData2324,'2324 Jun 24 Enroll'!K$1,FALSE)+VLOOKUP($A73,EnrollData2324,'2324 Jun 24 Enroll'!L$1,FALSE))*Apport_M812324)/(VLOOKUP($A73,EnrollData2324,'2324 Jun 24 Enroll'!M$1,FALSE)+VLOOKUP($A73,EnrollData2324,'2324 Jun 24 Enroll'!D$1,FALSE)),2)</f>
        <v>1545.13</v>
      </c>
      <c r="AS73" s="7">
        <f t="shared" si="33"/>
        <v>9418.16</v>
      </c>
    </row>
    <row r="74" spans="1:45">
      <c r="A74" s="40" t="s">
        <v>889</v>
      </c>
      <c r="B74" s="40" t="s">
        <v>890</v>
      </c>
      <c r="C74" s="11">
        <f>ROUND((IFERROR((1/IF(VLOOKUP($A74,EnrollData2324,28,FALSE)='District Calculations'!$B$10,VLOOKUP($A74,EnrollData2324,28,FALSE),'District Calculations'!$B$10))*(1+Apport_Z315),0))+Apport_201A2324,6)</f>
        <v>7.3449E-2</v>
      </c>
      <c r="D74">
        <f>ROUND(IF(VLOOKUP($A74,EnrollData2324,'2324 Jun 24 Enroll'!D$1,FALSE)='District Calculations'!$B$11,VLOOKUP($A74,EnrollData2324,'2324 Jun 24 Enroll'!D$1,FALSE),'District Calculations'!$B$11)*C74,3)</f>
        <v>0</v>
      </c>
      <c r="E74">
        <f>ROUND(IF(VLOOKUP($A74,EnrollData2324,'2324 Jun 24 Enroll'!E$1,FALSE)='District Calculations'!$B$12,VLOOKUP($A74,EnrollData2324,'2324 Jun 24 Enroll'!E$1,FALSE),'District Calculations'!$B$12)*C74,3)</f>
        <v>59.53</v>
      </c>
      <c r="F74">
        <f>ROUND(IF(VLOOKUP($A74,EnrollData2324,'2324 Jun 24 Enroll'!F$1,FALSE)='District Calculations'!$B$13,VLOOKUP($A74,EnrollData2324,'2324 Jun 24 Enroll'!F$1,FALSE),'District Calculations'!$B$13)*Apport_222A2324,3)</f>
        <v>10.101000000000001</v>
      </c>
      <c r="G74">
        <f>ROUND(IF(VLOOKUP($A74,EnrollData2324,'2324 Jun 24 Enroll'!G$1,FALSE)='District Calculations'!$B$14,VLOOKUP($A74,EnrollData2324,'2324 Jun 24 Enroll'!G$1,FALSE),'District Calculations'!$B$14)*Apport_210A2324,3)</f>
        <v>22.395</v>
      </c>
      <c r="H74">
        <f>ROUND(IF(VLOOKUP($A74,EnrollData2324,'2324 Jun 24 Enroll'!H$1,FALSE)='District Calculations'!$B$15,VLOOKUP($A74,EnrollData2324,'2324 Jun 24 Enroll'!H$1,FALSE),'District Calculations'!$B$15)*Apport_213A2324,3)</f>
        <v>23.091999999999999</v>
      </c>
      <c r="I74">
        <f>ROUND(IF(VLOOKUP($A74,EnrollData2324,'2324 Jun 24 Enroll'!I$1,FALSE)+VLOOKUP($A74,EnrollData2324,'2324 Jun 24 Enroll'!M$1,FALSE)-VLOOKUP($A74,EnrollData2324,'2324 Jun 24 Enroll'!J$1,FALSE)='District Calculations'!$B$16+'District Calculations'!$B$25-'District Calculations'!$B$17,VLOOKUP($A74,EnrollData2324,'2324 Jun 24 Enroll'!I$1,FALSE)+VLOOKUP($A74,EnrollData2324,'2324 Jun 24 Enroll'!M$1,FALSE)-VLOOKUP($A74,EnrollData2324,'2324 Jun 24 Enroll'!J$1,FALSE),'District Calculations'!$B$16+'District Calculations'!$B$25-'District Calculations'!$B$17)*Apport_216A2324,3)</f>
        <v>58.183999999999997</v>
      </c>
      <c r="J74">
        <f>ROUND(SUM(D74:I74)/(IF(VLOOKUP($A74,EnrollData2324,'2324 Jun 24 Enroll'!M$1,FALSE)='District Calculations'!$B$25,VLOOKUP($A74,EnrollData2324,'2324 Jun 24 Enroll'!M$1,FALSE),'District Calculations'!$B$25)+IF(VLOOKUP($A74,EnrollData2324,'2324 Jun 24 Enroll'!D$1,FALSE)='District Calculations'!$B$11,VLOOKUP($A74,EnrollData2324,'2324 Jun 24 Enroll'!D$1,FALSE),'District Calculations'!$B$11)),5)</f>
        <v>5.5530000000000003E-2</v>
      </c>
      <c r="K74" s="11">
        <f t="shared" si="21"/>
        <v>4.365E-3</v>
      </c>
      <c r="L74">
        <f>ROUND(IF(VLOOKUP($A74,EnrollData2324,'2324 Jun 24 Enroll'!D$1,FALSE)='District Calculations'!$B$11,VLOOKUP($A74,EnrollData2324,'2324 Jun 24 Enroll'!D$1,FALSE),'District Calculations'!$B$11)*K74,3)</f>
        <v>0</v>
      </c>
      <c r="M74">
        <f>ROUND(IF(VLOOKUP($A74,EnrollData2324,'2324 Jun 24 Enroll'!E$1,FALSE)='District Calculations'!$B$12,VLOOKUP($A74,EnrollData2324,'2324 Jun 24 Enroll'!E$1,FALSE),'District Calculations'!$B$12)*K74,3)</f>
        <v>3.5379999999999998</v>
      </c>
      <c r="N74">
        <f>ROUND(IF(VLOOKUP($A74,EnrollData2324,'2324 Jun 24 Enroll'!F$1,FALSE)='District Calculations'!$B$13,VLOOKUP($A74,EnrollData2324,'2324 Jun 24 Enroll'!F$1,FALSE),'District Calculations'!$B$13)*Apport_223A2324,3)</f>
        <v>0.84199999999999997</v>
      </c>
      <c r="O74">
        <f>ROUND(IF(VLOOKUP($A74,EnrollData2324,'2324 Jun 24 Enroll'!G$1,FALSE)='District Calculations'!$B$14,VLOOKUP($A74,EnrollData2324,'2324 Jun 24 Enroll'!G$1,FALSE),'District Calculations'!$B$14)*Apport_211A2324,3)</f>
        <v>1.867</v>
      </c>
      <c r="P74">
        <f>ROUND(IF(VLOOKUP($A74,EnrollData2324,'2324 Jun 24 Enroll'!H$1,FALSE)='District Calculations'!$B$14,VLOOKUP($A74,EnrollData2324,'2324 Jun 24 Enroll'!H$1,FALSE),'District Calculations'!$B$14)*Apport_214A2324,3)</f>
        <v>1.8660000000000001</v>
      </c>
      <c r="Q74">
        <f>ROUND(IF(VLOOKUP($A74,EnrollData2324,'2324 Jun 24 Enroll'!I$1,FALSE)+VLOOKUP($A74,EnrollData2324,'2324 Jun 24 Enroll'!M$1,FALSE)-VLOOKUP($A74,EnrollData2324,'2324 Jun 24 Enroll'!J$1,FALSE)='District Calculations'!$B$16+'District Calculations'!$B$25-'District Calculations'!$B$17,VLOOKUP($A74,EnrollData2324,'2324 Jun 24 Enroll'!I$1,FALSE)+VLOOKUP($A74,EnrollData2324,'2324 Jun 24 Enroll'!M$1,FALSE)-VLOOKUP($A74,EnrollData2324,'2324 Jun 24 Enroll'!J$1,FALSE),'District Calculations'!$B$16+'District Calculations'!$B$25-'District Calculations'!$B$17)*Apport_217A2324,3)</f>
        <v>4.6980000000000004</v>
      </c>
      <c r="R74">
        <f>ROUND(SUM(L74:Q74)/IF(VLOOKUP($A74,EnrollData2324,'2324 Jun 24 Enroll'!M$1,FALSE)+VLOOKUP($A74,EnrollData2324,'2324 Jun 24 Enroll'!D$1,FALSE)='District Calculations'!$B$25+'District Calculations'!$B$11,VLOOKUP($A74,EnrollData2324,'2324 Jun 24 Enroll'!M$1,FALSE)+VLOOKUP($A74,EnrollData2324,'2324 Jun 24 Enroll'!D$1,FALSE),'District Calculations'!$B$25+'District Calculations'!$B$11),5)</f>
        <v>4.1000000000000003E-3</v>
      </c>
      <c r="S74" s="11">
        <f t="shared" si="22"/>
        <v>1.8294500000000002E-2</v>
      </c>
      <c r="T74">
        <f>ROUND(IF(VLOOKUP($A74,EnrollData2324,'2324 Jun 24 Enroll'!D$1,FALSE)='District Calculations'!$B$11,VLOOKUP($A74,EnrollData2324,'2324 Jun 24 Enroll'!D$1,FALSE),'District Calculations'!$B$11)*S74,3)</f>
        <v>0</v>
      </c>
      <c r="U74">
        <f>ROUND(IF(VLOOKUP($A74,EnrollData2324,'2324 Jun 24 Enroll'!E$1,FALSE)='District Calculations'!$B$12,VLOOKUP($A74,EnrollData2324,'2324 Jun 24 Enroll'!E$1,FALSE),'District Calculations'!$B$12)*S74,3)</f>
        <v>14.827999999999999</v>
      </c>
      <c r="V74">
        <f>ROUND(IF(VLOOKUP($A74,EnrollData2324,'2324 Jun 24 Enroll'!F$1,FALSE)='District Calculations'!$B$13,VLOOKUP($A74,EnrollData2324,'2324 Jun 24 Enroll'!F$1,FALSE),'District Calculations'!$B$13)*Apport_224A2324,3)</f>
        <v>3.6190000000000002</v>
      </c>
      <c r="W74">
        <f>ROUND(IF(VLOOKUP($A74,EnrollData2324,'2324 Jun 24 Enroll'!G$1,FALSE)='District Calculations'!$B$14,VLOOKUP($A74,EnrollData2324,'2324 Jun 24 Enroll'!G$1,FALSE),'District Calculations'!$B$14)*Apport_212A2324,3)</f>
        <v>8.0239999999999991</v>
      </c>
      <c r="X74">
        <f>ROUND(IF(VLOOKUP($A74,EnrollData2324,'2324 Jun 24 Enroll'!H$1,FALSE)='District Calculations'!$B$14,VLOOKUP($A74,EnrollData2324,'2324 Jun 24 Enroll'!H$1,FALSE),'District Calculations'!$B$14)*Apport_215A2324,3)</f>
        <v>7.9279999999999999</v>
      </c>
      <c r="Y74">
        <f>ROUND(IF(VLOOKUP($A74,EnrollData2324,'2324 Jun 24 Enroll'!I$1,FALSE)+VLOOKUP($A74,EnrollData2324,'2324 Jun 24 Enroll'!M$1,FALSE)-VLOOKUP($A74,EnrollData2324,'2324 Jun 24 Enroll'!J$1,FALSE)='District Calculations'!$B$16+'District Calculations'!$B$25-'District Calculations'!$B$17,VLOOKUP($A74,EnrollData2324,'2324 Jun 24 Enroll'!I$1,FALSE)+VLOOKUP($A74,EnrollData2324,'2324 Jun 24 Enroll'!M$1,FALSE)-VLOOKUP($A74,EnrollData2324,'2324 Jun 24 Enroll'!J$1,FALSE),'District Calculations'!$B$16+'District Calculations'!$B$25-'District Calculations'!$B$17)*Apport_218A2324,3)</f>
        <v>19.917999999999999</v>
      </c>
      <c r="Z74">
        <f>ROUND(SUM(T74:Y74)/IF(VLOOKUP($A74,EnrollData2324,'2324 Jun 24 Enroll'!M$1,FALSE)+VLOOKUP($A74,EnrollData2324,'2324 Jun 24 Enroll'!D$1,FALSE)='District Calculations'!$B$25+'District Calculations'!$B$11,VLOOKUP($A74,EnrollData2324,'2324 Jun 24 Enroll'!M$1,FALSE)+VLOOKUP($A74,EnrollData2324,'2324 Jun 24 Enroll'!D$1,FALSE),'District Calculations'!$B$25+'District Calculations'!$B$11),5)</f>
        <v>1.7399999999999999E-2</v>
      </c>
      <c r="AA74" s="6">
        <f>ROUND($J74*CIS_Base_Salary2324*VLOOKUP($A74,EnrollData2324,'2324 Jun 24 Enroll'!S$1,FALSE),2)</f>
        <v>4038.59</v>
      </c>
      <c r="AB74" s="6">
        <f>ROUND($J74*CIS_Inc_Salary2324*(VLOOKUP($A74,EnrollData2324,'2324 Jun 24 Enroll'!T$1,FALSE)+VLOOKUP($A74,EnrollData2324,'2324 Jun 24 Enroll'!U$1,FALSE)),2)-AA74</f>
        <v>149.43000000000029</v>
      </c>
      <c r="AC74" s="6">
        <f>ROUND($R74*CAS_Base_Salary2324*VLOOKUP($A74,EnrollData2324,'2324 Jun 24 Enroll'!S$1,FALSE),2)</f>
        <v>442.62</v>
      </c>
      <c r="AD74" s="6">
        <f>ROUND($R74*CAS_Inc_Salary2324*VLOOKUP($A74,EnrollData2324,'2324 Jun 24 Enroll'!T$1,FALSE),2)-AC74</f>
        <v>16.379999999999995</v>
      </c>
      <c r="AE74" s="6">
        <f>ROUND($Z74*CLS_Base_Salary2324*VLOOKUP($A74,EnrollData2324,'2324 Jun 24 Enroll'!S$1,FALSE),2)</f>
        <v>907.81</v>
      </c>
      <c r="AF74" s="6">
        <f>ROUND($Z74*CLS_Inc_Salary2324*VLOOKUP($A74,EnrollData2324,'2324 Jun 24 Enroll'!T$1,FALSE),2)-AE74</f>
        <v>33.580000000000041</v>
      </c>
      <c r="AG74">
        <f t="shared" si="35"/>
        <v>734.16</v>
      </c>
      <c r="AH74" s="69">
        <f t="shared" si="23"/>
        <v>68.700000000000045</v>
      </c>
      <c r="AI74">
        <f t="shared" si="36"/>
        <v>214.23</v>
      </c>
      <c r="AJ74">
        <f t="shared" si="24"/>
        <v>114.21000000000001</v>
      </c>
      <c r="AK74">
        <f t="shared" si="25"/>
        <v>805.27</v>
      </c>
      <c r="AL74">
        <f t="shared" si="26"/>
        <v>28.73</v>
      </c>
      <c r="AM74">
        <f t="shared" si="27"/>
        <v>200.26</v>
      </c>
      <c r="AN74">
        <f t="shared" si="28"/>
        <v>6.23</v>
      </c>
      <c r="AO74">
        <f>ROUND(($J74*CIS_Inc_Salary2324*(VLOOKUP($A74,EnrollData2324,'2324 Jun 24 Enroll'!T$1,FALSE)+VLOOKUP($A74,EnrollData2324,'2324 Jun 24 Enroll'!U$1,FALSE))/Apport_613Xpd)*Apport_614Xpd,2)</f>
        <v>69.8</v>
      </c>
      <c r="AP74">
        <f t="shared" si="29"/>
        <v>12.1</v>
      </c>
      <c r="AQ74">
        <f t="shared" si="32"/>
        <v>30.93</v>
      </c>
      <c r="AR74" s="6">
        <f>ROUND((VLOOKUP($A74,EnrollData2324,'2324 Jun 24 Enroll'!D$1,FALSE)*Apport_M802324+VLOOKUP($A74,EnrollData2324,'2324 Jun 24 Enroll'!M$1,FALSE)*Apport_M802324+(VLOOKUP($A74,EnrollData2324,'2324 Jun 24 Enroll'!P$1,FALSE)+VLOOKUP($A74,EnrollData2324,'2324 Jun 24 Enroll'!Q$1,FALSE)+VLOOKUP($A74,EnrollData2324,'2324 Jun 24 Enroll'!R$1,FALSE)+VLOOKUP($A74,EnrollData2324,'2324 Jun 24 Enroll'!I$1,FALSE)+VLOOKUP($A74,EnrollData2324,'2324 Jun 24 Enroll'!N$1,FALSE)+VLOOKUP($A74,EnrollData2324,'2324 Jun 24 Enroll'!O$1,FALSE)+VLOOKUP($A74,EnrollData2324,'2324 Jun 24 Enroll'!K$1,FALSE)+VLOOKUP($A74,EnrollData2324,'2324 Jun 24 Enroll'!L$1,FALSE))*Apport_M812324)/(VLOOKUP($A74,EnrollData2324,'2324 Jun 24 Enroll'!M$1,FALSE)+VLOOKUP($A74,EnrollData2324,'2324 Jun 24 Enroll'!D$1,FALSE)),2)</f>
        <v>1549.66</v>
      </c>
      <c r="AS74" s="7">
        <f t="shared" si="33"/>
        <v>9422.69</v>
      </c>
    </row>
    <row r="75" spans="1:45">
      <c r="A75" s="40" t="s">
        <v>522</v>
      </c>
      <c r="B75" s="40" t="s">
        <v>523</v>
      </c>
      <c r="C75" s="11">
        <f>ROUND((IFERROR((1/IF(VLOOKUP($A75,EnrollData2324,28,FALSE)='District Calculations'!$B$10,VLOOKUP($A75,EnrollData2324,28,FALSE),'District Calculations'!$B$10))*(1+Apport_Z315),0))+Apport_201A2324,6)</f>
        <v>7.3449E-2</v>
      </c>
      <c r="D75">
        <f>ROUND(IF(VLOOKUP($A75,EnrollData2324,'2324 Jun 24 Enroll'!D$1,FALSE)='District Calculations'!$B$11,VLOOKUP($A75,EnrollData2324,'2324 Jun 24 Enroll'!D$1,FALSE),'District Calculations'!$B$11)*C75,3)</f>
        <v>0</v>
      </c>
      <c r="E75">
        <f>ROUND(IF(VLOOKUP($A75,EnrollData2324,'2324 Jun 24 Enroll'!E$1,FALSE)='District Calculations'!$B$12,VLOOKUP($A75,EnrollData2324,'2324 Jun 24 Enroll'!E$1,FALSE),'District Calculations'!$B$12)*C75,3)</f>
        <v>59.53</v>
      </c>
      <c r="F75">
        <f>ROUND(IF(VLOOKUP($A75,EnrollData2324,'2324 Jun 24 Enroll'!F$1,FALSE)='District Calculations'!$B$13,VLOOKUP($A75,EnrollData2324,'2324 Jun 24 Enroll'!F$1,FALSE),'District Calculations'!$B$13)*Apport_222A2324,3)</f>
        <v>10.101000000000001</v>
      </c>
      <c r="G75">
        <f>ROUND(IF(VLOOKUP($A75,EnrollData2324,'2324 Jun 24 Enroll'!G$1,FALSE)='District Calculations'!$B$14,VLOOKUP($A75,EnrollData2324,'2324 Jun 24 Enroll'!G$1,FALSE),'District Calculations'!$B$14)*Apport_210A2324,3)</f>
        <v>22.395</v>
      </c>
      <c r="H75">
        <f>ROUND(IF(VLOOKUP($A75,EnrollData2324,'2324 Jun 24 Enroll'!H$1,FALSE)='District Calculations'!$B$15,VLOOKUP($A75,EnrollData2324,'2324 Jun 24 Enroll'!H$1,FALSE),'District Calculations'!$B$15)*Apport_213A2324,3)</f>
        <v>23.091999999999999</v>
      </c>
      <c r="I75">
        <f>ROUND(IF(VLOOKUP($A75,EnrollData2324,'2324 Jun 24 Enroll'!I$1,FALSE)+VLOOKUP($A75,EnrollData2324,'2324 Jun 24 Enroll'!M$1,FALSE)-VLOOKUP($A75,EnrollData2324,'2324 Jun 24 Enroll'!J$1,FALSE)='District Calculations'!$B$16+'District Calculations'!$B$25-'District Calculations'!$B$17,VLOOKUP($A75,EnrollData2324,'2324 Jun 24 Enroll'!I$1,FALSE)+VLOOKUP($A75,EnrollData2324,'2324 Jun 24 Enroll'!M$1,FALSE)-VLOOKUP($A75,EnrollData2324,'2324 Jun 24 Enroll'!J$1,FALSE),'District Calculations'!$B$16+'District Calculations'!$B$25-'District Calculations'!$B$17)*Apport_216A2324,3)</f>
        <v>58.183999999999997</v>
      </c>
      <c r="J75">
        <f>ROUND(SUM(D75:I75)/(IF(VLOOKUP($A75,EnrollData2324,'2324 Jun 24 Enroll'!M$1,FALSE)='District Calculations'!$B$25,VLOOKUP($A75,EnrollData2324,'2324 Jun 24 Enroll'!M$1,FALSE),'District Calculations'!$B$25)+IF(VLOOKUP($A75,EnrollData2324,'2324 Jun 24 Enroll'!D$1,FALSE)='District Calculations'!$B$11,VLOOKUP($A75,EnrollData2324,'2324 Jun 24 Enroll'!D$1,FALSE),'District Calculations'!$B$11)),5)</f>
        <v>5.5530000000000003E-2</v>
      </c>
      <c r="K75" s="11">
        <f t="shared" si="21"/>
        <v>4.365E-3</v>
      </c>
      <c r="L75">
        <f>ROUND(IF(VLOOKUP($A75,EnrollData2324,'2324 Jun 24 Enroll'!D$1,FALSE)='District Calculations'!$B$11,VLOOKUP($A75,EnrollData2324,'2324 Jun 24 Enroll'!D$1,FALSE),'District Calculations'!$B$11)*K75,3)</f>
        <v>0</v>
      </c>
      <c r="M75">
        <f>ROUND(IF(VLOOKUP($A75,EnrollData2324,'2324 Jun 24 Enroll'!E$1,FALSE)='District Calculations'!$B$12,VLOOKUP($A75,EnrollData2324,'2324 Jun 24 Enroll'!E$1,FALSE),'District Calculations'!$B$12)*K75,3)</f>
        <v>3.5379999999999998</v>
      </c>
      <c r="N75">
        <f>ROUND(IF(VLOOKUP($A75,EnrollData2324,'2324 Jun 24 Enroll'!F$1,FALSE)='District Calculations'!$B$13,VLOOKUP($A75,EnrollData2324,'2324 Jun 24 Enroll'!F$1,FALSE),'District Calculations'!$B$13)*Apport_223A2324,3)</f>
        <v>0.84199999999999997</v>
      </c>
      <c r="O75">
        <f>ROUND(IF(VLOOKUP($A75,EnrollData2324,'2324 Jun 24 Enroll'!G$1,FALSE)='District Calculations'!$B$14,VLOOKUP($A75,EnrollData2324,'2324 Jun 24 Enroll'!G$1,FALSE),'District Calculations'!$B$14)*Apport_211A2324,3)</f>
        <v>1.867</v>
      </c>
      <c r="P75">
        <f>ROUND(IF(VLOOKUP($A75,EnrollData2324,'2324 Jun 24 Enroll'!H$1,FALSE)='District Calculations'!$B$14,VLOOKUP($A75,EnrollData2324,'2324 Jun 24 Enroll'!H$1,FALSE),'District Calculations'!$B$14)*Apport_214A2324,3)</f>
        <v>1.8660000000000001</v>
      </c>
      <c r="Q75">
        <f>ROUND(IF(VLOOKUP($A75,EnrollData2324,'2324 Jun 24 Enroll'!I$1,FALSE)+VLOOKUP($A75,EnrollData2324,'2324 Jun 24 Enroll'!M$1,FALSE)-VLOOKUP($A75,EnrollData2324,'2324 Jun 24 Enroll'!J$1,FALSE)='District Calculations'!$B$16+'District Calculations'!$B$25-'District Calculations'!$B$17,VLOOKUP($A75,EnrollData2324,'2324 Jun 24 Enroll'!I$1,FALSE)+VLOOKUP($A75,EnrollData2324,'2324 Jun 24 Enroll'!M$1,FALSE)-VLOOKUP($A75,EnrollData2324,'2324 Jun 24 Enroll'!J$1,FALSE),'District Calculations'!$B$16+'District Calculations'!$B$25-'District Calculations'!$B$17)*Apport_217A2324,3)</f>
        <v>4.6980000000000004</v>
      </c>
      <c r="R75">
        <f>ROUND(SUM(L75:Q75)/IF(VLOOKUP($A75,EnrollData2324,'2324 Jun 24 Enroll'!M$1,FALSE)+VLOOKUP($A75,EnrollData2324,'2324 Jun 24 Enroll'!D$1,FALSE)='District Calculations'!$B$25+'District Calculations'!$B$11,VLOOKUP($A75,EnrollData2324,'2324 Jun 24 Enroll'!M$1,FALSE)+VLOOKUP($A75,EnrollData2324,'2324 Jun 24 Enroll'!D$1,FALSE),'District Calculations'!$B$25+'District Calculations'!$B$11),5)</f>
        <v>4.1000000000000003E-3</v>
      </c>
      <c r="S75" s="11">
        <f t="shared" si="22"/>
        <v>1.8294500000000002E-2</v>
      </c>
      <c r="T75">
        <f>ROUND(IF(VLOOKUP($A75,EnrollData2324,'2324 Jun 24 Enroll'!D$1,FALSE)='District Calculations'!$B$11,VLOOKUP($A75,EnrollData2324,'2324 Jun 24 Enroll'!D$1,FALSE),'District Calculations'!$B$11)*S75,3)</f>
        <v>0</v>
      </c>
      <c r="U75">
        <f>ROUND(IF(VLOOKUP($A75,EnrollData2324,'2324 Jun 24 Enroll'!E$1,FALSE)='District Calculations'!$B$12,VLOOKUP($A75,EnrollData2324,'2324 Jun 24 Enroll'!E$1,FALSE),'District Calculations'!$B$12)*S75,3)</f>
        <v>14.827999999999999</v>
      </c>
      <c r="V75">
        <f>ROUND(IF(VLOOKUP($A75,EnrollData2324,'2324 Jun 24 Enroll'!F$1,FALSE)='District Calculations'!$B$13,VLOOKUP($A75,EnrollData2324,'2324 Jun 24 Enroll'!F$1,FALSE),'District Calculations'!$B$13)*Apport_224A2324,3)</f>
        <v>3.6190000000000002</v>
      </c>
      <c r="W75">
        <f>ROUND(IF(VLOOKUP($A75,EnrollData2324,'2324 Jun 24 Enroll'!G$1,FALSE)='District Calculations'!$B$14,VLOOKUP($A75,EnrollData2324,'2324 Jun 24 Enroll'!G$1,FALSE),'District Calculations'!$B$14)*Apport_212A2324,3)</f>
        <v>8.0239999999999991</v>
      </c>
      <c r="X75">
        <f>ROUND(IF(VLOOKUP($A75,EnrollData2324,'2324 Jun 24 Enroll'!H$1,FALSE)='District Calculations'!$B$14,VLOOKUP($A75,EnrollData2324,'2324 Jun 24 Enroll'!H$1,FALSE),'District Calculations'!$B$14)*Apport_215A2324,3)</f>
        <v>7.9279999999999999</v>
      </c>
      <c r="Y75">
        <f>ROUND(IF(VLOOKUP($A75,EnrollData2324,'2324 Jun 24 Enroll'!I$1,FALSE)+VLOOKUP($A75,EnrollData2324,'2324 Jun 24 Enroll'!M$1,FALSE)-VLOOKUP($A75,EnrollData2324,'2324 Jun 24 Enroll'!J$1,FALSE)='District Calculations'!$B$16+'District Calculations'!$B$25-'District Calculations'!$B$17,VLOOKUP($A75,EnrollData2324,'2324 Jun 24 Enroll'!I$1,FALSE)+VLOOKUP($A75,EnrollData2324,'2324 Jun 24 Enroll'!M$1,FALSE)-VLOOKUP($A75,EnrollData2324,'2324 Jun 24 Enroll'!J$1,FALSE),'District Calculations'!$B$16+'District Calculations'!$B$25-'District Calculations'!$B$17)*Apport_218A2324,3)</f>
        <v>19.917999999999999</v>
      </c>
      <c r="Z75">
        <f>ROUND(SUM(T75:Y75)/IF(VLOOKUP($A75,EnrollData2324,'2324 Jun 24 Enroll'!M$1,FALSE)+VLOOKUP($A75,EnrollData2324,'2324 Jun 24 Enroll'!D$1,FALSE)='District Calculations'!$B$25+'District Calculations'!$B$11,VLOOKUP($A75,EnrollData2324,'2324 Jun 24 Enroll'!M$1,FALSE)+VLOOKUP($A75,EnrollData2324,'2324 Jun 24 Enroll'!D$1,FALSE),'District Calculations'!$B$25+'District Calculations'!$B$11),5)</f>
        <v>1.7399999999999999E-2</v>
      </c>
      <c r="AA75" s="6">
        <f>ROUND($J75*CIS_Base_Salary2324*VLOOKUP($A75,EnrollData2324,'2324 Jun 24 Enroll'!S$1,FALSE),2)</f>
        <v>4038.59</v>
      </c>
      <c r="AB75" s="6">
        <f>ROUND($J75*CIS_Inc_Salary2324*(VLOOKUP($A75,EnrollData2324,'2324 Jun 24 Enroll'!T$1,FALSE)+VLOOKUP($A75,EnrollData2324,'2324 Jun 24 Enroll'!U$1,FALSE)),2)-AA75</f>
        <v>149.43000000000029</v>
      </c>
      <c r="AC75" s="6">
        <f>ROUND($R75*CAS_Base_Salary2324*VLOOKUP($A75,EnrollData2324,'2324 Jun 24 Enroll'!S$1,FALSE),2)</f>
        <v>442.62</v>
      </c>
      <c r="AD75" s="6">
        <f>ROUND($R75*CAS_Inc_Salary2324*VLOOKUP($A75,EnrollData2324,'2324 Jun 24 Enroll'!T$1,FALSE),2)-AC75</f>
        <v>16.379999999999995</v>
      </c>
      <c r="AE75" s="6">
        <f>ROUND($Z75*CLS_Base_Salary2324*VLOOKUP($A75,EnrollData2324,'2324 Jun 24 Enroll'!S$1,FALSE),2)</f>
        <v>907.81</v>
      </c>
      <c r="AF75" s="6">
        <f>ROUND($Z75*CLS_Inc_Salary2324*VLOOKUP($A75,EnrollData2324,'2324 Jun 24 Enroll'!T$1,FALSE),2)-AE75</f>
        <v>33.580000000000041</v>
      </c>
      <c r="AG75">
        <f t="shared" si="35"/>
        <v>734.16</v>
      </c>
      <c r="AH75" s="69">
        <f t="shared" si="23"/>
        <v>68.700000000000045</v>
      </c>
      <c r="AI75">
        <f t="shared" si="36"/>
        <v>214.23</v>
      </c>
      <c r="AJ75">
        <f t="shared" si="24"/>
        <v>114.21000000000001</v>
      </c>
      <c r="AK75">
        <f t="shared" si="25"/>
        <v>805.27</v>
      </c>
      <c r="AL75">
        <f t="shared" si="26"/>
        <v>28.73</v>
      </c>
      <c r="AM75">
        <f t="shared" si="27"/>
        <v>200.26</v>
      </c>
      <c r="AN75">
        <f t="shared" si="28"/>
        <v>6.23</v>
      </c>
      <c r="AO75">
        <f>ROUND(($J75*CIS_Inc_Salary2324*(VLOOKUP($A75,EnrollData2324,'2324 Jun 24 Enroll'!T$1,FALSE)+VLOOKUP($A75,EnrollData2324,'2324 Jun 24 Enroll'!U$1,FALSE))/Apport_613Xpd)*Apport_614Xpd,2)</f>
        <v>69.8</v>
      </c>
      <c r="AP75">
        <f t="shared" si="29"/>
        <v>12.1</v>
      </c>
      <c r="AQ75">
        <f t="shared" si="32"/>
        <v>30.93</v>
      </c>
      <c r="AR75" s="6">
        <f>ROUND((VLOOKUP($A75,EnrollData2324,'2324 Jun 24 Enroll'!D$1,FALSE)*Apport_M802324+VLOOKUP($A75,EnrollData2324,'2324 Jun 24 Enroll'!M$1,FALSE)*Apport_M802324+(VLOOKUP($A75,EnrollData2324,'2324 Jun 24 Enroll'!P$1,FALSE)+VLOOKUP($A75,EnrollData2324,'2324 Jun 24 Enroll'!Q$1,FALSE)+VLOOKUP($A75,EnrollData2324,'2324 Jun 24 Enroll'!R$1,FALSE)+VLOOKUP($A75,EnrollData2324,'2324 Jun 24 Enroll'!I$1,FALSE)+VLOOKUP($A75,EnrollData2324,'2324 Jun 24 Enroll'!N$1,FALSE)+VLOOKUP($A75,EnrollData2324,'2324 Jun 24 Enroll'!O$1,FALSE)+VLOOKUP($A75,EnrollData2324,'2324 Jun 24 Enroll'!K$1,FALSE)+VLOOKUP($A75,EnrollData2324,'2324 Jun 24 Enroll'!L$1,FALSE))*Apport_M812324)/(VLOOKUP($A75,EnrollData2324,'2324 Jun 24 Enroll'!M$1,FALSE)+VLOOKUP($A75,EnrollData2324,'2324 Jun 24 Enroll'!D$1,FALSE)),2)</f>
        <v>1551.42</v>
      </c>
      <c r="AS75" s="7">
        <f t="shared" si="33"/>
        <v>9424.4500000000007</v>
      </c>
    </row>
    <row r="76" spans="1:45">
      <c r="A76" s="40" t="s">
        <v>351</v>
      </c>
      <c r="B76" s="40" t="s">
        <v>352</v>
      </c>
      <c r="C76" s="11">
        <f>ROUND((IFERROR((1/IF(VLOOKUP($A76,EnrollData2324,28,FALSE)='District Calculations'!$B$10,VLOOKUP($A76,EnrollData2324,28,FALSE),'District Calculations'!$B$10))*(1+Apport_Z315),0))+Apport_201A2324,6)</f>
        <v>7.3449E-2</v>
      </c>
      <c r="D76">
        <f>ROUND(IF(VLOOKUP($A76,EnrollData2324,'2324 Jun 24 Enroll'!D$1,FALSE)='District Calculations'!$B$11,VLOOKUP($A76,EnrollData2324,'2324 Jun 24 Enroll'!D$1,FALSE),'District Calculations'!$B$11)*C76,3)</f>
        <v>0</v>
      </c>
      <c r="E76">
        <f>ROUND(IF(VLOOKUP($A76,EnrollData2324,'2324 Jun 24 Enroll'!E$1,FALSE)='District Calculations'!$B$12,VLOOKUP($A76,EnrollData2324,'2324 Jun 24 Enroll'!E$1,FALSE),'District Calculations'!$B$12)*C76,3)</f>
        <v>59.53</v>
      </c>
      <c r="F76">
        <f>ROUND(IF(VLOOKUP($A76,EnrollData2324,'2324 Jun 24 Enroll'!F$1,FALSE)='District Calculations'!$B$13,VLOOKUP($A76,EnrollData2324,'2324 Jun 24 Enroll'!F$1,FALSE),'District Calculations'!$B$13)*Apport_222A2324,3)</f>
        <v>10.101000000000001</v>
      </c>
      <c r="G76">
        <f>ROUND(IF(VLOOKUP($A76,EnrollData2324,'2324 Jun 24 Enroll'!G$1,FALSE)='District Calculations'!$B$14,VLOOKUP($A76,EnrollData2324,'2324 Jun 24 Enroll'!G$1,FALSE),'District Calculations'!$B$14)*Apport_210A2324,3)</f>
        <v>22.395</v>
      </c>
      <c r="H76">
        <f>ROUND(IF(VLOOKUP($A76,EnrollData2324,'2324 Jun 24 Enroll'!H$1,FALSE)='District Calculations'!$B$15,VLOOKUP($A76,EnrollData2324,'2324 Jun 24 Enroll'!H$1,FALSE),'District Calculations'!$B$15)*Apport_213A2324,3)</f>
        <v>23.091999999999999</v>
      </c>
      <c r="I76">
        <f>ROUND(IF(VLOOKUP($A76,EnrollData2324,'2324 Jun 24 Enroll'!I$1,FALSE)+VLOOKUP($A76,EnrollData2324,'2324 Jun 24 Enroll'!M$1,FALSE)-VLOOKUP($A76,EnrollData2324,'2324 Jun 24 Enroll'!J$1,FALSE)='District Calculations'!$B$16+'District Calculations'!$B$25-'District Calculations'!$B$17,VLOOKUP($A76,EnrollData2324,'2324 Jun 24 Enroll'!I$1,FALSE)+VLOOKUP($A76,EnrollData2324,'2324 Jun 24 Enroll'!M$1,FALSE)-VLOOKUP($A76,EnrollData2324,'2324 Jun 24 Enroll'!J$1,FALSE),'District Calculations'!$B$16+'District Calculations'!$B$25-'District Calculations'!$B$17)*Apport_216A2324,3)</f>
        <v>58.183999999999997</v>
      </c>
      <c r="J76">
        <f>ROUND(SUM(D76:I76)/(IF(VLOOKUP($A76,EnrollData2324,'2324 Jun 24 Enroll'!M$1,FALSE)='District Calculations'!$B$25,VLOOKUP($A76,EnrollData2324,'2324 Jun 24 Enroll'!M$1,FALSE),'District Calculations'!$B$25)+IF(VLOOKUP($A76,EnrollData2324,'2324 Jun 24 Enroll'!D$1,FALSE)='District Calculations'!$B$11,VLOOKUP($A76,EnrollData2324,'2324 Jun 24 Enroll'!D$1,FALSE),'District Calculations'!$B$11)),5)</f>
        <v>5.5530000000000003E-2</v>
      </c>
      <c r="K76" s="11">
        <f t="shared" si="21"/>
        <v>4.365E-3</v>
      </c>
      <c r="L76">
        <f>ROUND(IF(VLOOKUP($A76,EnrollData2324,'2324 Jun 24 Enroll'!D$1,FALSE)='District Calculations'!$B$11,VLOOKUP($A76,EnrollData2324,'2324 Jun 24 Enroll'!D$1,FALSE),'District Calculations'!$B$11)*K76,3)</f>
        <v>0</v>
      </c>
      <c r="M76">
        <f>ROUND(IF(VLOOKUP($A76,EnrollData2324,'2324 Jun 24 Enroll'!E$1,FALSE)='District Calculations'!$B$12,VLOOKUP($A76,EnrollData2324,'2324 Jun 24 Enroll'!E$1,FALSE),'District Calculations'!$B$12)*K76,3)</f>
        <v>3.5379999999999998</v>
      </c>
      <c r="N76">
        <f>ROUND(IF(VLOOKUP($A76,EnrollData2324,'2324 Jun 24 Enroll'!F$1,FALSE)='District Calculations'!$B$13,VLOOKUP($A76,EnrollData2324,'2324 Jun 24 Enroll'!F$1,FALSE),'District Calculations'!$B$13)*Apport_223A2324,3)</f>
        <v>0.84199999999999997</v>
      </c>
      <c r="O76">
        <f>ROUND(IF(VLOOKUP($A76,EnrollData2324,'2324 Jun 24 Enroll'!G$1,FALSE)='District Calculations'!$B$14,VLOOKUP($A76,EnrollData2324,'2324 Jun 24 Enroll'!G$1,FALSE),'District Calculations'!$B$14)*Apport_211A2324,3)</f>
        <v>1.867</v>
      </c>
      <c r="P76">
        <f>ROUND(IF(VLOOKUP($A76,EnrollData2324,'2324 Jun 24 Enroll'!H$1,FALSE)='District Calculations'!$B$14,VLOOKUP($A76,EnrollData2324,'2324 Jun 24 Enroll'!H$1,FALSE),'District Calculations'!$B$14)*Apport_214A2324,3)</f>
        <v>1.8660000000000001</v>
      </c>
      <c r="Q76">
        <f>ROUND(IF(VLOOKUP($A76,EnrollData2324,'2324 Jun 24 Enroll'!I$1,FALSE)+VLOOKUP($A76,EnrollData2324,'2324 Jun 24 Enroll'!M$1,FALSE)-VLOOKUP($A76,EnrollData2324,'2324 Jun 24 Enroll'!J$1,FALSE)='District Calculations'!$B$16+'District Calculations'!$B$25-'District Calculations'!$B$17,VLOOKUP($A76,EnrollData2324,'2324 Jun 24 Enroll'!I$1,FALSE)+VLOOKUP($A76,EnrollData2324,'2324 Jun 24 Enroll'!M$1,FALSE)-VLOOKUP($A76,EnrollData2324,'2324 Jun 24 Enroll'!J$1,FALSE),'District Calculations'!$B$16+'District Calculations'!$B$25-'District Calculations'!$B$17)*Apport_217A2324,3)</f>
        <v>4.6980000000000004</v>
      </c>
      <c r="R76">
        <f>ROUND(SUM(L76:Q76)/IF(VLOOKUP($A76,EnrollData2324,'2324 Jun 24 Enroll'!M$1,FALSE)+VLOOKUP($A76,EnrollData2324,'2324 Jun 24 Enroll'!D$1,FALSE)='District Calculations'!$B$25+'District Calculations'!$B$11,VLOOKUP($A76,EnrollData2324,'2324 Jun 24 Enroll'!M$1,FALSE)+VLOOKUP($A76,EnrollData2324,'2324 Jun 24 Enroll'!D$1,FALSE),'District Calculations'!$B$25+'District Calculations'!$B$11),5)</f>
        <v>4.1000000000000003E-3</v>
      </c>
      <c r="S76" s="11">
        <f t="shared" si="22"/>
        <v>1.8294500000000002E-2</v>
      </c>
      <c r="T76">
        <f>ROUND(IF(VLOOKUP($A76,EnrollData2324,'2324 Jun 24 Enroll'!D$1,FALSE)='District Calculations'!$B$11,VLOOKUP($A76,EnrollData2324,'2324 Jun 24 Enroll'!D$1,FALSE),'District Calculations'!$B$11)*S76,3)</f>
        <v>0</v>
      </c>
      <c r="U76">
        <f>ROUND(IF(VLOOKUP($A76,EnrollData2324,'2324 Jun 24 Enroll'!E$1,FALSE)='District Calculations'!$B$12,VLOOKUP($A76,EnrollData2324,'2324 Jun 24 Enroll'!E$1,FALSE),'District Calculations'!$B$12)*S76,3)</f>
        <v>14.827999999999999</v>
      </c>
      <c r="V76">
        <f>ROUND(IF(VLOOKUP($A76,EnrollData2324,'2324 Jun 24 Enroll'!F$1,FALSE)='District Calculations'!$B$13,VLOOKUP($A76,EnrollData2324,'2324 Jun 24 Enroll'!F$1,FALSE),'District Calculations'!$B$13)*Apport_224A2324,3)</f>
        <v>3.6190000000000002</v>
      </c>
      <c r="W76">
        <f>ROUND(IF(VLOOKUP($A76,EnrollData2324,'2324 Jun 24 Enroll'!G$1,FALSE)='District Calculations'!$B$14,VLOOKUP($A76,EnrollData2324,'2324 Jun 24 Enroll'!G$1,FALSE),'District Calculations'!$B$14)*Apport_212A2324,3)</f>
        <v>8.0239999999999991</v>
      </c>
      <c r="X76">
        <f>ROUND(IF(VLOOKUP($A76,EnrollData2324,'2324 Jun 24 Enroll'!H$1,FALSE)='District Calculations'!$B$14,VLOOKUP($A76,EnrollData2324,'2324 Jun 24 Enroll'!H$1,FALSE),'District Calculations'!$B$14)*Apport_215A2324,3)</f>
        <v>7.9279999999999999</v>
      </c>
      <c r="Y76">
        <f>ROUND(IF(VLOOKUP($A76,EnrollData2324,'2324 Jun 24 Enroll'!I$1,FALSE)+VLOOKUP($A76,EnrollData2324,'2324 Jun 24 Enroll'!M$1,FALSE)-VLOOKUP($A76,EnrollData2324,'2324 Jun 24 Enroll'!J$1,FALSE)='District Calculations'!$B$16+'District Calculations'!$B$25-'District Calculations'!$B$17,VLOOKUP($A76,EnrollData2324,'2324 Jun 24 Enroll'!I$1,FALSE)+VLOOKUP($A76,EnrollData2324,'2324 Jun 24 Enroll'!M$1,FALSE)-VLOOKUP($A76,EnrollData2324,'2324 Jun 24 Enroll'!J$1,FALSE),'District Calculations'!$B$16+'District Calculations'!$B$25-'District Calculations'!$B$17)*Apport_218A2324,3)</f>
        <v>19.917999999999999</v>
      </c>
      <c r="Z76">
        <f>ROUND(SUM(T76:Y76)/IF(VLOOKUP($A76,EnrollData2324,'2324 Jun 24 Enroll'!M$1,FALSE)+VLOOKUP($A76,EnrollData2324,'2324 Jun 24 Enroll'!D$1,FALSE)='District Calculations'!$B$25+'District Calculations'!$B$11,VLOOKUP($A76,EnrollData2324,'2324 Jun 24 Enroll'!M$1,FALSE)+VLOOKUP($A76,EnrollData2324,'2324 Jun 24 Enroll'!D$1,FALSE),'District Calculations'!$B$25+'District Calculations'!$B$11),5)</f>
        <v>1.7399999999999999E-2</v>
      </c>
      <c r="AA76" s="6">
        <f>ROUND($J76*CIS_Base_Salary2324*VLOOKUP($A76,EnrollData2324,'2324 Jun 24 Enroll'!S$1,FALSE),2)</f>
        <v>4038.59</v>
      </c>
      <c r="AB76" s="6">
        <f>ROUND($J76*CIS_Inc_Salary2324*(VLOOKUP($A76,EnrollData2324,'2324 Jun 24 Enroll'!T$1,FALSE)+VLOOKUP($A76,EnrollData2324,'2324 Jun 24 Enroll'!U$1,FALSE)),2)-AA76</f>
        <v>149.43000000000029</v>
      </c>
      <c r="AC76" s="6">
        <f>ROUND($R76*CAS_Base_Salary2324*VLOOKUP($A76,EnrollData2324,'2324 Jun 24 Enroll'!S$1,FALSE),2)</f>
        <v>442.62</v>
      </c>
      <c r="AD76" s="6">
        <f>ROUND($R76*CAS_Inc_Salary2324*VLOOKUP($A76,EnrollData2324,'2324 Jun 24 Enroll'!T$1,FALSE),2)-AC76</f>
        <v>16.379999999999995</v>
      </c>
      <c r="AE76" s="6">
        <f>ROUND($Z76*CLS_Base_Salary2324*VLOOKUP($A76,EnrollData2324,'2324 Jun 24 Enroll'!S$1,FALSE),2)</f>
        <v>907.81</v>
      </c>
      <c r="AF76" s="6">
        <f>ROUND($Z76*CLS_Inc_Salary2324*VLOOKUP($A76,EnrollData2324,'2324 Jun 24 Enroll'!T$1,FALSE),2)-AE76</f>
        <v>33.580000000000041</v>
      </c>
      <c r="AG76">
        <f t="shared" si="35"/>
        <v>734.16</v>
      </c>
      <c r="AH76" s="69">
        <f t="shared" si="23"/>
        <v>68.700000000000045</v>
      </c>
      <c r="AI76">
        <f t="shared" si="36"/>
        <v>214.23</v>
      </c>
      <c r="AJ76">
        <f t="shared" si="24"/>
        <v>114.21000000000001</v>
      </c>
      <c r="AK76">
        <f t="shared" si="25"/>
        <v>805.27</v>
      </c>
      <c r="AL76">
        <f t="shared" si="26"/>
        <v>28.73</v>
      </c>
      <c r="AM76">
        <f t="shared" si="27"/>
        <v>200.26</v>
      </c>
      <c r="AN76">
        <f t="shared" si="28"/>
        <v>6.23</v>
      </c>
      <c r="AO76">
        <f>ROUND(($J76*CIS_Inc_Salary2324*(VLOOKUP($A76,EnrollData2324,'2324 Jun 24 Enroll'!T$1,FALSE)+VLOOKUP($A76,EnrollData2324,'2324 Jun 24 Enroll'!U$1,FALSE))/Apport_613Xpd)*Apport_614Xpd,2)</f>
        <v>69.8</v>
      </c>
      <c r="AP76">
        <f t="shared" si="29"/>
        <v>12.1</v>
      </c>
      <c r="AQ76">
        <f t="shared" si="32"/>
        <v>30.93</v>
      </c>
      <c r="AR76" s="6">
        <f>ROUND((VLOOKUP($A76,EnrollData2324,'2324 Jun 24 Enroll'!D$1,FALSE)*Apport_M802324+VLOOKUP($A76,EnrollData2324,'2324 Jun 24 Enroll'!M$1,FALSE)*Apport_M802324+(VLOOKUP($A76,EnrollData2324,'2324 Jun 24 Enroll'!P$1,FALSE)+VLOOKUP($A76,EnrollData2324,'2324 Jun 24 Enroll'!Q$1,FALSE)+VLOOKUP($A76,EnrollData2324,'2324 Jun 24 Enroll'!R$1,FALSE)+VLOOKUP($A76,EnrollData2324,'2324 Jun 24 Enroll'!I$1,FALSE)+VLOOKUP($A76,EnrollData2324,'2324 Jun 24 Enroll'!N$1,FALSE)+VLOOKUP($A76,EnrollData2324,'2324 Jun 24 Enroll'!O$1,FALSE)+VLOOKUP($A76,EnrollData2324,'2324 Jun 24 Enroll'!K$1,FALSE)+VLOOKUP($A76,EnrollData2324,'2324 Jun 24 Enroll'!L$1,FALSE))*Apport_M812324)/(VLOOKUP($A76,EnrollData2324,'2324 Jun 24 Enroll'!M$1,FALSE)+VLOOKUP($A76,EnrollData2324,'2324 Jun 24 Enroll'!D$1,FALSE)),2)</f>
        <v>1551.28</v>
      </c>
      <c r="AS76" s="7">
        <f t="shared" si="33"/>
        <v>9424.31</v>
      </c>
    </row>
    <row r="77" spans="1:45">
      <c r="A77" s="40" t="s">
        <v>438</v>
      </c>
      <c r="B77" s="40" t="s">
        <v>439</v>
      </c>
      <c r="C77" s="11">
        <f>ROUND((IFERROR((1/IF(VLOOKUP($A77,EnrollData2324,28,FALSE)='District Calculations'!$B$10,VLOOKUP($A77,EnrollData2324,28,FALSE),'District Calculations'!$B$10))*(1+Apport_Z315),0))+Apport_201A2324,6)</f>
        <v>7.3449E-2</v>
      </c>
      <c r="D77">
        <f>ROUND(IF(VLOOKUP($A77,EnrollData2324,'2324 Jun 24 Enroll'!D$1,FALSE)='District Calculations'!$B$11,VLOOKUP($A77,EnrollData2324,'2324 Jun 24 Enroll'!D$1,FALSE),'District Calculations'!$B$11)*C77,3)</f>
        <v>0</v>
      </c>
      <c r="E77">
        <f>ROUND(IF(VLOOKUP($A77,EnrollData2324,'2324 Jun 24 Enroll'!E$1,FALSE)='District Calculations'!$B$12,VLOOKUP($A77,EnrollData2324,'2324 Jun 24 Enroll'!E$1,FALSE),'District Calculations'!$B$12)*C77,3)</f>
        <v>59.53</v>
      </c>
      <c r="F77">
        <f>ROUND(IF(VLOOKUP($A77,EnrollData2324,'2324 Jun 24 Enroll'!F$1,FALSE)='District Calculations'!$B$13,VLOOKUP($A77,EnrollData2324,'2324 Jun 24 Enroll'!F$1,FALSE),'District Calculations'!$B$13)*Apport_222A2324,3)</f>
        <v>10.101000000000001</v>
      </c>
      <c r="G77">
        <f>ROUND(IF(VLOOKUP($A77,EnrollData2324,'2324 Jun 24 Enroll'!G$1,FALSE)='District Calculations'!$B$14,VLOOKUP($A77,EnrollData2324,'2324 Jun 24 Enroll'!G$1,FALSE),'District Calculations'!$B$14)*Apport_210A2324,3)</f>
        <v>22.395</v>
      </c>
      <c r="H77">
        <f>ROUND(IF(VLOOKUP($A77,EnrollData2324,'2324 Jun 24 Enroll'!H$1,FALSE)='District Calculations'!$B$15,VLOOKUP($A77,EnrollData2324,'2324 Jun 24 Enroll'!H$1,FALSE),'District Calculations'!$B$15)*Apport_213A2324,3)</f>
        <v>23.091999999999999</v>
      </c>
      <c r="I77">
        <f>ROUND(IF(VLOOKUP($A77,EnrollData2324,'2324 Jun 24 Enroll'!I$1,FALSE)+VLOOKUP($A77,EnrollData2324,'2324 Jun 24 Enroll'!M$1,FALSE)-VLOOKUP($A77,EnrollData2324,'2324 Jun 24 Enroll'!J$1,FALSE)='District Calculations'!$B$16+'District Calculations'!$B$25-'District Calculations'!$B$17,VLOOKUP($A77,EnrollData2324,'2324 Jun 24 Enroll'!I$1,FALSE)+VLOOKUP($A77,EnrollData2324,'2324 Jun 24 Enroll'!M$1,FALSE)-VLOOKUP($A77,EnrollData2324,'2324 Jun 24 Enroll'!J$1,FALSE),'District Calculations'!$B$16+'District Calculations'!$B$25-'District Calculations'!$B$17)*Apport_216A2324,3)</f>
        <v>58.183999999999997</v>
      </c>
      <c r="J77">
        <f>ROUND(SUM(D77:I77)/(IF(VLOOKUP($A77,EnrollData2324,'2324 Jun 24 Enroll'!M$1,FALSE)='District Calculations'!$B$25,VLOOKUP($A77,EnrollData2324,'2324 Jun 24 Enroll'!M$1,FALSE),'District Calculations'!$B$25)+IF(VLOOKUP($A77,EnrollData2324,'2324 Jun 24 Enroll'!D$1,FALSE)='District Calculations'!$B$11,VLOOKUP($A77,EnrollData2324,'2324 Jun 24 Enroll'!D$1,FALSE),'District Calculations'!$B$11)),5)</f>
        <v>5.5530000000000003E-2</v>
      </c>
      <c r="K77" s="11">
        <f t="shared" si="21"/>
        <v>4.365E-3</v>
      </c>
      <c r="L77">
        <f>ROUND(IF(VLOOKUP($A77,EnrollData2324,'2324 Jun 24 Enroll'!D$1,FALSE)='District Calculations'!$B$11,VLOOKUP($A77,EnrollData2324,'2324 Jun 24 Enroll'!D$1,FALSE),'District Calculations'!$B$11)*K77,3)</f>
        <v>0</v>
      </c>
      <c r="M77">
        <f>ROUND(IF(VLOOKUP($A77,EnrollData2324,'2324 Jun 24 Enroll'!E$1,FALSE)='District Calculations'!$B$12,VLOOKUP($A77,EnrollData2324,'2324 Jun 24 Enroll'!E$1,FALSE),'District Calculations'!$B$12)*K77,3)</f>
        <v>3.5379999999999998</v>
      </c>
      <c r="N77">
        <f>ROUND(IF(VLOOKUP($A77,EnrollData2324,'2324 Jun 24 Enroll'!F$1,FALSE)='District Calculations'!$B$13,VLOOKUP($A77,EnrollData2324,'2324 Jun 24 Enroll'!F$1,FALSE),'District Calculations'!$B$13)*Apport_223A2324,3)</f>
        <v>0.84199999999999997</v>
      </c>
      <c r="O77">
        <f>ROUND(IF(VLOOKUP($A77,EnrollData2324,'2324 Jun 24 Enroll'!G$1,FALSE)='District Calculations'!$B$14,VLOOKUP($A77,EnrollData2324,'2324 Jun 24 Enroll'!G$1,FALSE),'District Calculations'!$B$14)*Apport_211A2324,3)</f>
        <v>1.867</v>
      </c>
      <c r="P77">
        <f>ROUND(IF(VLOOKUP($A77,EnrollData2324,'2324 Jun 24 Enroll'!H$1,FALSE)='District Calculations'!$B$14,VLOOKUP($A77,EnrollData2324,'2324 Jun 24 Enroll'!H$1,FALSE),'District Calculations'!$B$14)*Apport_214A2324,3)</f>
        <v>1.8660000000000001</v>
      </c>
      <c r="Q77">
        <f>ROUND(IF(VLOOKUP($A77,EnrollData2324,'2324 Jun 24 Enroll'!I$1,FALSE)+VLOOKUP($A77,EnrollData2324,'2324 Jun 24 Enroll'!M$1,FALSE)-VLOOKUP($A77,EnrollData2324,'2324 Jun 24 Enroll'!J$1,FALSE)='District Calculations'!$B$16+'District Calculations'!$B$25-'District Calculations'!$B$17,VLOOKUP($A77,EnrollData2324,'2324 Jun 24 Enroll'!I$1,FALSE)+VLOOKUP($A77,EnrollData2324,'2324 Jun 24 Enroll'!M$1,FALSE)-VLOOKUP($A77,EnrollData2324,'2324 Jun 24 Enroll'!J$1,FALSE),'District Calculations'!$B$16+'District Calculations'!$B$25-'District Calculations'!$B$17)*Apport_217A2324,3)</f>
        <v>4.6980000000000004</v>
      </c>
      <c r="R77">
        <f>ROUND(SUM(L77:Q77)/IF(VLOOKUP($A77,EnrollData2324,'2324 Jun 24 Enroll'!M$1,FALSE)+VLOOKUP($A77,EnrollData2324,'2324 Jun 24 Enroll'!D$1,FALSE)='District Calculations'!$B$25+'District Calculations'!$B$11,VLOOKUP($A77,EnrollData2324,'2324 Jun 24 Enroll'!M$1,FALSE)+VLOOKUP($A77,EnrollData2324,'2324 Jun 24 Enroll'!D$1,FALSE),'District Calculations'!$B$25+'District Calculations'!$B$11),5)</f>
        <v>4.1000000000000003E-3</v>
      </c>
      <c r="S77" s="11">
        <f t="shared" si="22"/>
        <v>1.8294500000000002E-2</v>
      </c>
      <c r="T77">
        <f>ROUND(IF(VLOOKUP($A77,EnrollData2324,'2324 Jun 24 Enroll'!D$1,FALSE)='District Calculations'!$B$11,VLOOKUP($A77,EnrollData2324,'2324 Jun 24 Enroll'!D$1,FALSE),'District Calculations'!$B$11)*S77,3)</f>
        <v>0</v>
      </c>
      <c r="U77">
        <f>ROUND(IF(VLOOKUP($A77,EnrollData2324,'2324 Jun 24 Enroll'!E$1,FALSE)='District Calculations'!$B$12,VLOOKUP($A77,EnrollData2324,'2324 Jun 24 Enroll'!E$1,FALSE),'District Calculations'!$B$12)*S77,3)</f>
        <v>14.827999999999999</v>
      </c>
      <c r="V77">
        <f>ROUND(IF(VLOOKUP($A77,EnrollData2324,'2324 Jun 24 Enroll'!F$1,FALSE)='District Calculations'!$B$13,VLOOKUP($A77,EnrollData2324,'2324 Jun 24 Enroll'!F$1,FALSE),'District Calculations'!$B$13)*Apport_224A2324,3)</f>
        <v>3.6190000000000002</v>
      </c>
      <c r="W77">
        <f>ROUND(IF(VLOOKUP($A77,EnrollData2324,'2324 Jun 24 Enroll'!G$1,FALSE)='District Calculations'!$B$14,VLOOKUP($A77,EnrollData2324,'2324 Jun 24 Enroll'!G$1,FALSE),'District Calculations'!$B$14)*Apport_212A2324,3)</f>
        <v>8.0239999999999991</v>
      </c>
      <c r="X77">
        <f>ROUND(IF(VLOOKUP($A77,EnrollData2324,'2324 Jun 24 Enroll'!H$1,FALSE)='District Calculations'!$B$14,VLOOKUP($A77,EnrollData2324,'2324 Jun 24 Enroll'!H$1,FALSE),'District Calculations'!$B$14)*Apport_215A2324,3)</f>
        <v>7.9279999999999999</v>
      </c>
      <c r="Y77">
        <f>ROUND(IF(VLOOKUP($A77,EnrollData2324,'2324 Jun 24 Enroll'!I$1,FALSE)+VLOOKUP($A77,EnrollData2324,'2324 Jun 24 Enroll'!M$1,FALSE)-VLOOKUP($A77,EnrollData2324,'2324 Jun 24 Enroll'!J$1,FALSE)='District Calculations'!$B$16+'District Calculations'!$B$25-'District Calculations'!$B$17,VLOOKUP($A77,EnrollData2324,'2324 Jun 24 Enroll'!I$1,FALSE)+VLOOKUP($A77,EnrollData2324,'2324 Jun 24 Enroll'!M$1,FALSE)-VLOOKUP($A77,EnrollData2324,'2324 Jun 24 Enroll'!J$1,FALSE),'District Calculations'!$B$16+'District Calculations'!$B$25-'District Calculations'!$B$17)*Apport_218A2324,3)</f>
        <v>19.917999999999999</v>
      </c>
      <c r="Z77">
        <f>ROUND(SUM(T77:Y77)/IF(VLOOKUP($A77,EnrollData2324,'2324 Jun 24 Enroll'!M$1,FALSE)+VLOOKUP($A77,EnrollData2324,'2324 Jun 24 Enroll'!D$1,FALSE)='District Calculations'!$B$25+'District Calculations'!$B$11,VLOOKUP($A77,EnrollData2324,'2324 Jun 24 Enroll'!M$1,FALSE)+VLOOKUP($A77,EnrollData2324,'2324 Jun 24 Enroll'!D$1,FALSE),'District Calculations'!$B$25+'District Calculations'!$B$11),5)</f>
        <v>1.7399999999999999E-2</v>
      </c>
      <c r="AA77" s="6">
        <f>ROUND($J77*CIS_Base_Salary2324*VLOOKUP($A77,EnrollData2324,'2324 Jun 24 Enroll'!S$1,FALSE),2)</f>
        <v>4038.59</v>
      </c>
      <c r="AB77" s="6">
        <f>ROUND($J77*CIS_Inc_Salary2324*(VLOOKUP($A77,EnrollData2324,'2324 Jun 24 Enroll'!T$1,FALSE)+VLOOKUP($A77,EnrollData2324,'2324 Jun 24 Enroll'!U$1,FALSE)),2)-AA77</f>
        <v>149.43000000000029</v>
      </c>
      <c r="AC77" s="6">
        <f>ROUND($R77*CAS_Base_Salary2324*VLOOKUP($A77,EnrollData2324,'2324 Jun 24 Enroll'!S$1,FALSE),2)</f>
        <v>442.62</v>
      </c>
      <c r="AD77" s="6">
        <f>ROUND($R77*CAS_Inc_Salary2324*VLOOKUP($A77,EnrollData2324,'2324 Jun 24 Enroll'!T$1,FALSE),2)-AC77</f>
        <v>16.379999999999995</v>
      </c>
      <c r="AE77" s="6">
        <f>ROUND($Z77*CLS_Base_Salary2324*VLOOKUP($A77,EnrollData2324,'2324 Jun 24 Enroll'!S$1,FALSE),2)</f>
        <v>907.81</v>
      </c>
      <c r="AF77" s="6">
        <f>ROUND($Z77*CLS_Inc_Salary2324*VLOOKUP($A77,EnrollData2324,'2324 Jun 24 Enroll'!T$1,FALSE),2)-AE77</f>
        <v>33.580000000000041</v>
      </c>
      <c r="AG77">
        <f t="shared" si="35"/>
        <v>734.16</v>
      </c>
      <c r="AH77" s="69">
        <f t="shared" si="23"/>
        <v>68.700000000000045</v>
      </c>
      <c r="AI77">
        <f t="shared" si="36"/>
        <v>214.23</v>
      </c>
      <c r="AJ77">
        <f t="shared" si="24"/>
        <v>114.21000000000001</v>
      </c>
      <c r="AK77">
        <f t="shared" si="25"/>
        <v>805.27</v>
      </c>
      <c r="AL77">
        <f t="shared" si="26"/>
        <v>28.73</v>
      </c>
      <c r="AM77">
        <f t="shared" si="27"/>
        <v>200.26</v>
      </c>
      <c r="AN77">
        <f t="shared" si="28"/>
        <v>6.23</v>
      </c>
      <c r="AO77">
        <f>ROUND(($J77*CIS_Inc_Salary2324*(VLOOKUP($A77,EnrollData2324,'2324 Jun 24 Enroll'!T$1,FALSE)+VLOOKUP($A77,EnrollData2324,'2324 Jun 24 Enroll'!U$1,FALSE))/Apport_613Xpd)*Apport_614Xpd,2)</f>
        <v>69.8</v>
      </c>
      <c r="AP77">
        <f t="shared" si="29"/>
        <v>12.1</v>
      </c>
      <c r="AQ77">
        <f t="shared" si="32"/>
        <v>30.93</v>
      </c>
      <c r="AR77" s="6">
        <f>ROUND((VLOOKUP($A77,EnrollData2324,'2324 Jun 24 Enroll'!D$1,FALSE)*Apport_M802324+VLOOKUP($A77,EnrollData2324,'2324 Jun 24 Enroll'!M$1,FALSE)*Apport_M802324+(VLOOKUP($A77,EnrollData2324,'2324 Jun 24 Enroll'!P$1,FALSE)+VLOOKUP($A77,EnrollData2324,'2324 Jun 24 Enroll'!Q$1,FALSE)+VLOOKUP($A77,EnrollData2324,'2324 Jun 24 Enroll'!R$1,FALSE)+VLOOKUP($A77,EnrollData2324,'2324 Jun 24 Enroll'!I$1,FALSE)+VLOOKUP($A77,EnrollData2324,'2324 Jun 24 Enroll'!N$1,FALSE)+VLOOKUP($A77,EnrollData2324,'2324 Jun 24 Enroll'!O$1,FALSE)+VLOOKUP($A77,EnrollData2324,'2324 Jun 24 Enroll'!K$1,FALSE)+VLOOKUP($A77,EnrollData2324,'2324 Jun 24 Enroll'!L$1,FALSE))*Apport_M812324)/(VLOOKUP($A77,EnrollData2324,'2324 Jun 24 Enroll'!M$1,FALSE)+VLOOKUP($A77,EnrollData2324,'2324 Jun 24 Enroll'!D$1,FALSE)),2)</f>
        <v>1550.58</v>
      </c>
      <c r="AS77" s="7">
        <f t="shared" si="33"/>
        <v>9423.61</v>
      </c>
    </row>
    <row r="78" spans="1:45">
      <c r="A78" s="40" t="s">
        <v>520</v>
      </c>
      <c r="B78" s="40" t="s">
        <v>521</v>
      </c>
      <c r="C78" s="11">
        <f>ROUND((IFERROR((1/IF(VLOOKUP($A78,EnrollData2324,28,FALSE)='District Calculations'!$B$10,VLOOKUP($A78,EnrollData2324,28,FALSE),'District Calculations'!$B$10))*(1+Apport_Z315),0))+Apport_201A2324,6)</f>
        <v>7.3449E-2</v>
      </c>
      <c r="D78">
        <f>ROUND(IF(VLOOKUP($A78,EnrollData2324,'2324 Jun 24 Enroll'!D$1,FALSE)='District Calculations'!$B$11,VLOOKUP($A78,EnrollData2324,'2324 Jun 24 Enroll'!D$1,FALSE),'District Calculations'!$B$11)*C78,3)</f>
        <v>0</v>
      </c>
      <c r="E78">
        <f>ROUND(IF(VLOOKUP($A78,EnrollData2324,'2324 Jun 24 Enroll'!E$1,FALSE)='District Calculations'!$B$12,VLOOKUP($A78,EnrollData2324,'2324 Jun 24 Enroll'!E$1,FALSE),'District Calculations'!$B$12)*C78,3)</f>
        <v>59.53</v>
      </c>
      <c r="F78">
        <f>ROUND(IF(VLOOKUP($A78,EnrollData2324,'2324 Jun 24 Enroll'!F$1,FALSE)='District Calculations'!$B$13,VLOOKUP($A78,EnrollData2324,'2324 Jun 24 Enroll'!F$1,FALSE),'District Calculations'!$B$13)*Apport_222A2324,3)</f>
        <v>10.101000000000001</v>
      </c>
      <c r="G78">
        <f>ROUND(IF(VLOOKUP($A78,EnrollData2324,'2324 Jun 24 Enroll'!G$1,FALSE)='District Calculations'!$B$14,VLOOKUP($A78,EnrollData2324,'2324 Jun 24 Enroll'!G$1,FALSE),'District Calculations'!$B$14)*Apport_210A2324,3)</f>
        <v>22.395</v>
      </c>
      <c r="H78">
        <f>ROUND(IF(VLOOKUP($A78,EnrollData2324,'2324 Jun 24 Enroll'!H$1,FALSE)='District Calculations'!$B$15,VLOOKUP($A78,EnrollData2324,'2324 Jun 24 Enroll'!H$1,FALSE),'District Calculations'!$B$15)*Apport_213A2324,3)</f>
        <v>23.091999999999999</v>
      </c>
      <c r="I78">
        <f>ROUND(IF(VLOOKUP($A78,EnrollData2324,'2324 Jun 24 Enroll'!I$1,FALSE)+VLOOKUP($A78,EnrollData2324,'2324 Jun 24 Enroll'!M$1,FALSE)-VLOOKUP($A78,EnrollData2324,'2324 Jun 24 Enroll'!J$1,FALSE)='District Calculations'!$B$16+'District Calculations'!$B$25-'District Calculations'!$B$17,VLOOKUP($A78,EnrollData2324,'2324 Jun 24 Enroll'!I$1,FALSE)+VLOOKUP($A78,EnrollData2324,'2324 Jun 24 Enroll'!M$1,FALSE)-VLOOKUP($A78,EnrollData2324,'2324 Jun 24 Enroll'!J$1,FALSE),'District Calculations'!$B$16+'District Calculations'!$B$25-'District Calculations'!$B$17)*Apport_216A2324,3)</f>
        <v>58.183999999999997</v>
      </c>
      <c r="J78">
        <f>ROUND(SUM(D78:I78)/(IF(VLOOKUP($A78,EnrollData2324,'2324 Jun 24 Enroll'!M$1,FALSE)='District Calculations'!$B$25,VLOOKUP($A78,EnrollData2324,'2324 Jun 24 Enroll'!M$1,FALSE),'District Calculations'!$B$25)+IF(VLOOKUP($A78,EnrollData2324,'2324 Jun 24 Enroll'!D$1,FALSE)='District Calculations'!$B$11,VLOOKUP($A78,EnrollData2324,'2324 Jun 24 Enroll'!D$1,FALSE),'District Calculations'!$B$11)),5)</f>
        <v>5.5530000000000003E-2</v>
      </c>
      <c r="K78" s="11">
        <f t="shared" si="21"/>
        <v>4.365E-3</v>
      </c>
      <c r="L78">
        <f>ROUND(IF(VLOOKUP($A78,EnrollData2324,'2324 Jun 24 Enroll'!D$1,FALSE)='District Calculations'!$B$11,VLOOKUP($A78,EnrollData2324,'2324 Jun 24 Enroll'!D$1,FALSE),'District Calculations'!$B$11)*K78,3)</f>
        <v>0</v>
      </c>
      <c r="M78">
        <f>ROUND(IF(VLOOKUP($A78,EnrollData2324,'2324 Jun 24 Enroll'!E$1,FALSE)='District Calculations'!$B$12,VLOOKUP($A78,EnrollData2324,'2324 Jun 24 Enroll'!E$1,FALSE),'District Calculations'!$B$12)*K78,3)</f>
        <v>3.5379999999999998</v>
      </c>
      <c r="N78">
        <f>ROUND(IF(VLOOKUP($A78,EnrollData2324,'2324 Jun 24 Enroll'!F$1,FALSE)='District Calculations'!$B$13,VLOOKUP($A78,EnrollData2324,'2324 Jun 24 Enroll'!F$1,FALSE),'District Calculations'!$B$13)*Apport_223A2324,3)</f>
        <v>0.84199999999999997</v>
      </c>
      <c r="O78">
        <f>ROUND(IF(VLOOKUP($A78,EnrollData2324,'2324 Jun 24 Enroll'!G$1,FALSE)='District Calculations'!$B$14,VLOOKUP($A78,EnrollData2324,'2324 Jun 24 Enroll'!G$1,FALSE),'District Calculations'!$B$14)*Apport_211A2324,3)</f>
        <v>1.867</v>
      </c>
      <c r="P78">
        <f>ROUND(IF(VLOOKUP($A78,EnrollData2324,'2324 Jun 24 Enroll'!H$1,FALSE)='District Calculations'!$B$14,VLOOKUP($A78,EnrollData2324,'2324 Jun 24 Enroll'!H$1,FALSE),'District Calculations'!$B$14)*Apport_214A2324,3)</f>
        <v>1.8660000000000001</v>
      </c>
      <c r="Q78">
        <f>ROUND(IF(VLOOKUP($A78,EnrollData2324,'2324 Jun 24 Enroll'!I$1,FALSE)+VLOOKUP($A78,EnrollData2324,'2324 Jun 24 Enroll'!M$1,FALSE)-VLOOKUP($A78,EnrollData2324,'2324 Jun 24 Enroll'!J$1,FALSE)='District Calculations'!$B$16+'District Calculations'!$B$25-'District Calculations'!$B$17,VLOOKUP($A78,EnrollData2324,'2324 Jun 24 Enroll'!I$1,FALSE)+VLOOKUP($A78,EnrollData2324,'2324 Jun 24 Enroll'!M$1,FALSE)-VLOOKUP($A78,EnrollData2324,'2324 Jun 24 Enroll'!J$1,FALSE),'District Calculations'!$B$16+'District Calculations'!$B$25-'District Calculations'!$B$17)*Apport_217A2324,3)</f>
        <v>4.6980000000000004</v>
      </c>
      <c r="R78">
        <f>ROUND(SUM(L78:Q78)/IF(VLOOKUP($A78,EnrollData2324,'2324 Jun 24 Enroll'!M$1,FALSE)+VLOOKUP($A78,EnrollData2324,'2324 Jun 24 Enroll'!D$1,FALSE)='District Calculations'!$B$25+'District Calculations'!$B$11,VLOOKUP($A78,EnrollData2324,'2324 Jun 24 Enroll'!M$1,FALSE)+VLOOKUP($A78,EnrollData2324,'2324 Jun 24 Enroll'!D$1,FALSE),'District Calculations'!$B$25+'District Calculations'!$B$11),5)</f>
        <v>4.1000000000000003E-3</v>
      </c>
      <c r="S78" s="11">
        <f t="shared" si="22"/>
        <v>1.8294500000000002E-2</v>
      </c>
      <c r="T78">
        <f>ROUND(IF(VLOOKUP($A78,EnrollData2324,'2324 Jun 24 Enroll'!D$1,FALSE)='District Calculations'!$B$11,VLOOKUP($A78,EnrollData2324,'2324 Jun 24 Enroll'!D$1,FALSE),'District Calculations'!$B$11)*S78,3)</f>
        <v>0</v>
      </c>
      <c r="U78">
        <f>ROUND(IF(VLOOKUP($A78,EnrollData2324,'2324 Jun 24 Enroll'!E$1,FALSE)='District Calculations'!$B$12,VLOOKUP($A78,EnrollData2324,'2324 Jun 24 Enroll'!E$1,FALSE),'District Calculations'!$B$12)*S78,3)</f>
        <v>14.827999999999999</v>
      </c>
      <c r="V78">
        <f>ROUND(IF(VLOOKUP($A78,EnrollData2324,'2324 Jun 24 Enroll'!F$1,FALSE)='District Calculations'!$B$13,VLOOKUP($A78,EnrollData2324,'2324 Jun 24 Enroll'!F$1,FALSE),'District Calculations'!$B$13)*Apport_224A2324,3)</f>
        <v>3.6190000000000002</v>
      </c>
      <c r="W78">
        <f>ROUND(IF(VLOOKUP($A78,EnrollData2324,'2324 Jun 24 Enroll'!G$1,FALSE)='District Calculations'!$B$14,VLOOKUP($A78,EnrollData2324,'2324 Jun 24 Enroll'!G$1,FALSE),'District Calculations'!$B$14)*Apport_212A2324,3)</f>
        <v>8.0239999999999991</v>
      </c>
      <c r="X78">
        <f>ROUND(IF(VLOOKUP($A78,EnrollData2324,'2324 Jun 24 Enroll'!H$1,FALSE)='District Calculations'!$B$14,VLOOKUP($A78,EnrollData2324,'2324 Jun 24 Enroll'!H$1,FALSE),'District Calculations'!$B$14)*Apport_215A2324,3)</f>
        <v>7.9279999999999999</v>
      </c>
      <c r="Y78">
        <f>ROUND(IF(VLOOKUP($A78,EnrollData2324,'2324 Jun 24 Enroll'!I$1,FALSE)+VLOOKUP($A78,EnrollData2324,'2324 Jun 24 Enroll'!M$1,FALSE)-VLOOKUP($A78,EnrollData2324,'2324 Jun 24 Enroll'!J$1,FALSE)='District Calculations'!$B$16+'District Calculations'!$B$25-'District Calculations'!$B$17,VLOOKUP($A78,EnrollData2324,'2324 Jun 24 Enroll'!I$1,FALSE)+VLOOKUP($A78,EnrollData2324,'2324 Jun 24 Enroll'!M$1,FALSE)-VLOOKUP($A78,EnrollData2324,'2324 Jun 24 Enroll'!J$1,FALSE),'District Calculations'!$B$16+'District Calculations'!$B$25-'District Calculations'!$B$17)*Apport_218A2324,3)</f>
        <v>19.917999999999999</v>
      </c>
      <c r="Z78">
        <f>ROUND(SUM(T78:Y78)/IF(VLOOKUP($A78,EnrollData2324,'2324 Jun 24 Enroll'!M$1,FALSE)+VLOOKUP($A78,EnrollData2324,'2324 Jun 24 Enroll'!D$1,FALSE)='District Calculations'!$B$25+'District Calculations'!$B$11,VLOOKUP($A78,EnrollData2324,'2324 Jun 24 Enroll'!M$1,FALSE)+VLOOKUP($A78,EnrollData2324,'2324 Jun 24 Enroll'!D$1,FALSE),'District Calculations'!$B$25+'District Calculations'!$B$11),5)</f>
        <v>1.7399999999999999E-2</v>
      </c>
      <c r="AA78" s="6">
        <f>ROUND($J78*CIS_Base_Salary2324*VLOOKUP($A78,EnrollData2324,'2324 Jun 24 Enroll'!S$1,FALSE),2)</f>
        <v>4038.59</v>
      </c>
      <c r="AB78" s="6">
        <f>ROUND($J78*CIS_Inc_Salary2324*(VLOOKUP($A78,EnrollData2324,'2324 Jun 24 Enroll'!T$1,FALSE)+VLOOKUP($A78,EnrollData2324,'2324 Jun 24 Enroll'!U$1,FALSE)),2)-AA78</f>
        <v>149.43000000000029</v>
      </c>
      <c r="AC78" s="6">
        <f>ROUND($R78*CAS_Base_Salary2324*VLOOKUP($A78,EnrollData2324,'2324 Jun 24 Enroll'!S$1,FALSE),2)</f>
        <v>442.62</v>
      </c>
      <c r="AD78" s="6">
        <f>ROUND($R78*CAS_Inc_Salary2324*VLOOKUP($A78,EnrollData2324,'2324 Jun 24 Enroll'!T$1,FALSE),2)-AC78</f>
        <v>16.379999999999995</v>
      </c>
      <c r="AE78" s="6">
        <f>ROUND($Z78*CLS_Base_Salary2324*VLOOKUP($A78,EnrollData2324,'2324 Jun 24 Enroll'!S$1,FALSE),2)</f>
        <v>907.81</v>
      </c>
      <c r="AF78" s="6">
        <f>ROUND($Z78*CLS_Inc_Salary2324*VLOOKUP($A78,EnrollData2324,'2324 Jun 24 Enroll'!T$1,FALSE),2)-AE78</f>
        <v>33.580000000000041</v>
      </c>
      <c r="AG78">
        <f t="shared" si="35"/>
        <v>734.16</v>
      </c>
      <c r="AH78" s="69">
        <f t="shared" si="23"/>
        <v>68.700000000000045</v>
      </c>
      <c r="AI78">
        <f t="shared" si="36"/>
        <v>214.23</v>
      </c>
      <c r="AJ78">
        <f t="shared" si="24"/>
        <v>114.21000000000001</v>
      </c>
      <c r="AK78">
        <f t="shared" si="25"/>
        <v>805.27</v>
      </c>
      <c r="AL78">
        <f t="shared" si="26"/>
        <v>28.73</v>
      </c>
      <c r="AM78">
        <f t="shared" si="27"/>
        <v>200.26</v>
      </c>
      <c r="AN78">
        <f t="shared" si="28"/>
        <v>6.23</v>
      </c>
      <c r="AO78">
        <f>ROUND(($J78*CIS_Inc_Salary2324*(VLOOKUP($A78,EnrollData2324,'2324 Jun 24 Enroll'!T$1,FALSE)+VLOOKUP($A78,EnrollData2324,'2324 Jun 24 Enroll'!U$1,FALSE))/Apport_613Xpd)*Apport_614Xpd,2)</f>
        <v>69.8</v>
      </c>
      <c r="AP78">
        <f t="shared" si="29"/>
        <v>12.1</v>
      </c>
      <c r="AQ78">
        <f t="shared" si="32"/>
        <v>30.93</v>
      </c>
      <c r="AR78" s="6">
        <f>ROUND((VLOOKUP($A78,EnrollData2324,'2324 Jun 24 Enroll'!D$1,FALSE)*Apport_M802324+VLOOKUP($A78,EnrollData2324,'2324 Jun 24 Enroll'!M$1,FALSE)*Apport_M802324+(VLOOKUP($A78,EnrollData2324,'2324 Jun 24 Enroll'!P$1,FALSE)+VLOOKUP($A78,EnrollData2324,'2324 Jun 24 Enroll'!Q$1,FALSE)+VLOOKUP($A78,EnrollData2324,'2324 Jun 24 Enroll'!R$1,FALSE)+VLOOKUP($A78,EnrollData2324,'2324 Jun 24 Enroll'!I$1,FALSE)+VLOOKUP($A78,EnrollData2324,'2324 Jun 24 Enroll'!N$1,FALSE)+VLOOKUP($A78,EnrollData2324,'2324 Jun 24 Enroll'!O$1,FALSE)+VLOOKUP($A78,EnrollData2324,'2324 Jun 24 Enroll'!K$1,FALSE)+VLOOKUP($A78,EnrollData2324,'2324 Jun 24 Enroll'!L$1,FALSE))*Apport_M812324)/(VLOOKUP($A78,EnrollData2324,'2324 Jun 24 Enroll'!M$1,FALSE)+VLOOKUP($A78,EnrollData2324,'2324 Jun 24 Enroll'!D$1,FALSE)),2)</f>
        <v>1483.44</v>
      </c>
      <c r="AS78" s="7">
        <f t="shared" si="33"/>
        <v>9356.4699999999993</v>
      </c>
    </row>
    <row r="79" spans="1:45">
      <c r="A79" s="40" t="s">
        <v>416</v>
      </c>
      <c r="B79" s="40" t="s">
        <v>417</v>
      </c>
      <c r="C79" s="11">
        <f>ROUND((IFERROR((1/IF(VLOOKUP($A79,EnrollData2324,28,FALSE)='District Calculations'!$B$10,VLOOKUP($A79,EnrollData2324,28,FALSE),'District Calculations'!$B$10))*(1+Apport_Z315),0))+Apport_201A2324,6)</f>
        <v>7.3449E-2</v>
      </c>
      <c r="D79">
        <f>ROUND(IF(VLOOKUP($A79,EnrollData2324,'2324 Jun 24 Enroll'!D$1,FALSE)='District Calculations'!$B$11,VLOOKUP($A79,EnrollData2324,'2324 Jun 24 Enroll'!D$1,FALSE),'District Calculations'!$B$11)*C79,3)</f>
        <v>0</v>
      </c>
      <c r="E79">
        <f>ROUND(IF(VLOOKUP($A79,EnrollData2324,'2324 Jun 24 Enroll'!E$1,FALSE)='District Calculations'!$B$12,VLOOKUP($A79,EnrollData2324,'2324 Jun 24 Enroll'!E$1,FALSE),'District Calculations'!$B$12)*C79,3)</f>
        <v>59.53</v>
      </c>
      <c r="F79">
        <f>ROUND(IF(VLOOKUP($A79,EnrollData2324,'2324 Jun 24 Enroll'!F$1,FALSE)='District Calculations'!$B$13,VLOOKUP($A79,EnrollData2324,'2324 Jun 24 Enroll'!F$1,FALSE),'District Calculations'!$B$13)*Apport_222A2324,3)</f>
        <v>10.101000000000001</v>
      </c>
      <c r="G79">
        <f>ROUND(IF(VLOOKUP($A79,EnrollData2324,'2324 Jun 24 Enroll'!G$1,FALSE)='District Calculations'!$B$14,VLOOKUP($A79,EnrollData2324,'2324 Jun 24 Enroll'!G$1,FALSE),'District Calculations'!$B$14)*Apport_210A2324,3)</f>
        <v>22.395</v>
      </c>
      <c r="H79">
        <f>ROUND(IF(VLOOKUP($A79,EnrollData2324,'2324 Jun 24 Enroll'!H$1,FALSE)='District Calculations'!$B$15,VLOOKUP($A79,EnrollData2324,'2324 Jun 24 Enroll'!H$1,FALSE),'District Calculations'!$B$15)*Apport_213A2324,3)</f>
        <v>23.091999999999999</v>
      </c>
      <c r="I79">
        <f>ROUND(IF(VLOOKUP($A79,EnrollData2324,'2324 Jun 24 Enroll'!I$1,FALSE)+VLOOKUP($A79,EnrollData2324,'2324 Jun 24 Enroll'!M$1,FALSE)-VLOOKUP($A79,EnrollData2324,'2324 Jun 24 Enroll'!J$1,FALSE)='District Calculations'!$B$16+'District Calculations'!$B$25-'District Calculations'!$B$17,VLOOKUP($A79,EnrollData2324,'2324 Jun 24 Enroll'!I$1,FALSE)+VLOOKUP($A79,EnrollData2324,'2324 Jun 24 Enroll'!M$1,FALSE)-VLOOKUP($A79,EnrollData2324,'2324 Jun 24 Enroll'!J$1,FALSE),'District Calculations'!$B$16+'District Calculations'!$B$25-'District Calculations'!$B$17)*Apport_216A2324,3)</f>
        <v>58.183999999999997</v>
      </c>
      <c r="J79">
        <f>ROUND(SUM(D79:I79)/(IF(VLOOKUP($A79,EnrollData2324,'2324 Jun 24 Enroll'!M$1,FALSE)='District Calculations'!$B$25,VLOOKUP($A79,EnrollData2324,'2324 Jun 24 Enroll'!M$1,FALSE),'District Calculations'!$B$25)+IF(VLOOKUP($A79,EnrollData2324,'2324 Jun 24 Enroll'!D$1,FALSE)='District Calculations'!$B$11,VLOOKUP($A79,EnrollData2324,'2324 Jun 24 Enroll'!D$1,FALSE),'District Calculations'!$B$11)),5)</f>
        <v>5.5530000000000003E-2</v>
      </c>
      <c r="K79" s="11">
        <f t="shared" si="21"/>
        <v>4.365E-3</v>
      </c>
      <c r="L79">
        <f>ROUND(IF(VLOOKUP($A79,EnrollData2324,'2324 Jun 24 Enroll'!D$1,FALSE)='District Calculations'!$B$11,VLOOKUP($A79,EnrollData2324,'2324 Jun 24 Enroll'!D$1,FALSE),'District Calculations'!$B$11)*K79,3)</f>
        <v>0</v>
      </c>
      <c r="M79">
        <f>ROUND(IF(VLOOKUP($A79,EnrollData2324,'2324 Jun 24 Enroll'!E$1,FALSE)='District Calculations'!$B$12,VLOOKUP($A79,EnrollData2324,'2324 Jun 24 Enroll'!E$1,FALSE),'District Calculations'!$B$12)*K79,3)</f>
        <v>3.5379999999999998</v>
      </c>
      <c r="N79">
        <f>ROUND(IF(VLOOKUP($A79,EnrollData2324,'2324 Jun 24 Enroll'!F$1,FALSE)='District Calculations'!$B$13,VLOOKUP($A79,EnrollData2324,'2324 Jun 24 Enroll'!F$1,FALSE),'District Calculations'!$B$13)*Apport_223A2324,3)</f>
        <v>0.84199999999999997</v>
      </c>
      <c r="O79">
        <f>ROUND(IF(VLOOKUP($A79,EnrollData2324,'2324 Jun 24 Enroll'!G$1,FALSE)='District Calculations'!$B$14,VLOOKUP($A79,EnrollData2324,'2324 Jun 24 Enroll'!G$1,FALSE),'District Calculations'!$B$14)*Apport_211A2324,3)</f>
        <v>1.867</v>
      </c>
      <c r="P79">
        <f>ROUND(IF(VLOOKUP($A79,EnrollData2324,'2324 Jun 24 Enroll'!H$1,FALSE)='District Calculations'!$B$14,VLOOKUP($A79,EnrollData2324,'2324 Jun 24 Enroll'!H$1,FALSE),'District Calculations'!$B$14)*Apport_214A2324,3)</f>
        <v>1.8660000000000001</v>
      </c>
      <c r="Q79">
        <f>ROUND(IF(VLOOKUP($A79,EnrollData2324,'2324 Jun 24 Enroll'!I$1,FALSE)+VLOOKUP($A79,EnrollData2324,'2324 Jun 24 Enroll'!M$1,FALSE)-VLOOKUP($A79,EnrollData2324,'2324 Jun 24 Enroll'!J$1,FALSE)='District Calculations'!$B$16+'District Calculations'!$B$25-'District Calculations'!$B$17,VLOOKUP($A79,EnrollData2324,'2324 Jun 24 Enroll'!I$1,FALSE)+VLOOKUP($A79,EnrollData2324,'2324 Jun 24 Enroll'!M$1,FALSE)-VLOOKUP($A79,EnrollData2324,'2324 Jun 24 Enroll'!J$1,FALSE),'District Calculations'!$B$16+'District Calculations'!$B$25-'District Calculations'!$B$17)*Apport_217A2324,3)</f>
        <v>4.6980000000000004</v>
      </c>
      <c r="R79">
        <f>ROUND(SUM(L79:Q79)/IF(VLOOKUP($A79,EnrollData2324,'2324 Jun 24 Enroll'!M$1,FALSE)+VLOOKUP($A79,EnrollData2324,'2324 Jun 24 Enroll'!D$1,FALSE)='District Calculations'!$B$25+'District Calculations'!$B$11,VLOOKUP($A79,EnrollData2324,'2324 Jun 24 Enroll'!M$1,FALSE)+VLOOKUP($A79,EnrollData2324,'2324 Jun 24 Enroll'!D$1,FALSE),'District Calculations'!$B$25+'District Calculations'!$B$11),5)</f>
        <v>4.1000000000000003E-3</v>
      </c>
      <c r="S79" s="11">
        <f t="shared" si="22"/>
        <v>1.8294500000000002E-2</v>
      </c>
      <c r="T79">
        <f>ROUND(IF(VLOOKUP($A79,EnrollData2324,'2324 Jun 24 Enroll'!D$1,FALSE)='District Calculations'!$B$11,VLOOKUP($A79,EnrollData2324,'2324 Jun 24 Enroll'!D$1,FALSE),'District Calculations'!$B$11)*S79,3)</f>
        <v>0</v>
      </c>
      <c r="U79">
        <f>ROUND(IF(VLOOKUP($A79,EnrollData2324,'2324 Jun 24 Enroll'!E$1,FALSE)='District Calculations'!$B$12,VLOOKUP($A79,EnrollData2324,'2324 Jun 24 Enroll'!E$1,FALSE),'District Calculations'!$B$12)*S79,3)</f>
        <v>14.827999999999999</v>
      </c>
      <c r="V79">
        <f>ROUND(IF(VLOOKUP($A79,EnrollData2324,'2324 Jun 24 Enroll'!F$1,FALSE)='District Calculations'!$B$13,VLOOKUP($A79,EnrollData2324,'2324 Jun 24 Enroll'!F$1,FALSE),'District Calculations'!$B$13)*Apport_224A2324,3)</f>
        <v>3.6190000000000002</v>
      </c>
      <c r="W79">
        <f>ROUND(IF(VLOOKUP($A79,EnrollData2324,'2324 Jun 24 Enroll'!G$1,FALSE)='District Calculations'!$B$14,VLOOKUP($A79,EnrollData2324,'2324 Jun 24 Enroll'!G$1,FALSE),'District Calculations'!$B$14)*Apport_212A2324,3)</f>
        <v>8.0239999999999991</v>
      </c>
      <c r="X79">
        <f>ROUND(IF(VLOOKUP($A79,EnrollData2324,'2324 Jun 24 Enroll'!H$1,FALSE)='District Calculations'!$B$14,VLOOKUP($A79,EnrollData2324,'2324 Jun 24 Enroll'!H$1,FALSE),'District Calculations'!$B$14)*Apport_215A2324,3)</f>
        <v>7.9279999999999999</v>
      </c>
      <c r="Y79">
        <f>ROUND(IF(VLOOKUP($A79,EnrollData2324,'2324 Jun 24 Enroll'!I$1,FALSE)+VLOOKUP($A79,EnrollData2324,'2324 Jun 24 Enroll'!M$1,FALSE)-VLOOKUP($A79,EnrollData2324,'2324 Jun 24 Enroll'!J$1,FALSE)='District Calculations'!$B$16+'District Calculations'!$B$25-'District Calculations'!$B$17,VLOOKUP($A79,EnrollData2324,'2324 Jun 24 Enroll'!I$1,FALSE)+VLOOKUP($A79,EnrollData2324,'2324 Jun 24 Enroll'!M$1,FALSE)-VLOOKUP($A79,EnrollData2324,'2324 Jun 24 Enroll'!J$1,FALSE),'District Calculations'!$B$16+'District Calculations'!$B$25-'District Calculations'!$B$17)*Apport_218A2324,3)</f>
        <v>19.917999999999999</v>
      </c>
      <c r="Z79">
        <f>ROUND(SUM(T79:Y79)/IF(VLOOKUP($A79,EnrollData2324,'2324 Jun 24 Enroll'!M$1,FALSE)+VLOOKUP($A79,EnrollData2324,'2324 Jun 24 Enroll'!D$1,FALSE)='District Calculations'!$B$25+'District Calculations'!$B$11,VLOOKUP($A79,EnrollData2324,'2324 Jun 24 Enroll'!M$1,FALSE)+VLOOKUP($A79,EnrollData2324,'2324 Jun 24 Enroll'!D$1,FALSE),'District Calculations'!$B$25+'District Calculations'!$B$11),5)</f>
        <v>1.7399999999999999E-2</v>
      </c>
      <c r="AA79" s="6">
        <f>ROUND($J79*CIS_Base_Salary2324*VLOOKUP($A79,EnrollData2324,'2324 Jun 24 Enroll'!S$1,FALSE),2)</f>
        <v>4038.59</v>
      </c>
      <c r="AB79" s="6">
        <f>ROUND($J79*CIS_Inc_Salary2324*(VLOOKUP($A79,EnrollData2324,'2324 Jun 24 Enroll'!T$1,FALSE)+VLOOKUP($A79,EnrollData2324,'2324 Jun 24 Enroll'!U$1,FALSE)),2)-AA79</f>
        <v>233.1899999999996</v>
      </c>
      <c r="AC79" s="6">
        <f>ROUND($R79*CAS_Base_Salary2324*VLOOKUP($A79,EnrollData2324,'2324 Jun 24 Enroll'!S$1,FALSE),2)</f>
        <v>442.62</v>
      </c>
      <c r="AD79" s="6">
        <f>ROUND($R79*CAS_Inc_Salary2324*VLOOKUP($A79,EnrollData2324,'2324 Jun 24 Enroll'!T$1,FALSE),2)-AC79</f>
        <v>16.379999999999995</v>
      </c>
      <c r="AE79" s="6">
        <f>ROUND($Z79*CLS_Base_Salary2324*VLOOKUP($A79,EnrollData2324,'2324 Jun 24 Enroll'!S$1,FALSE),2)</f>
        <v>907.81</v>
      </c>
      <c r="AF79" s="6">
        <f>ROUND($Z79*CLS_Inc_Salary2324*VLOOKUP($A79,EnrollData2324,'2324 Jun 24 Enroll'!T$1,FALSE),2)-AE79</f>
        <v>33.580000000000041</v>
      </c>
      <c r="AG79">
        <f t="shared" si="35"/>
        <v>734.16</v>
      </c>
      <c r="AH79" s="69">
        <f t="shared" si="23"/>
        <v>68.700000000000045</v>
      </c>
      <c r="AI79">
        <f t="shared" si="36"/>
        <v>214.23</v>
      </c>
      <c r="AJ79">
        <f t="shared" si="24"/>
        <v>114.21000000000001</v>
      </c>
      <c r="AK79">
        <f t="shared" si="25"/>
        <v>805.27</v>
      </c>
      <c r="AL79">
        <f t="shared" si="26"/>
        <v>43.25</v>
      </c>
      <c r="AM79">
        <f t="shared" si="27"/>
        <v>200.26</v>
      </c>
      <c r="AN79">
        <f t="shared" si="28"/>
        <v>6.23</v>
      </c>
      <c r="AO79">
        <f>ROUND(($J79*CIS_Inc_Salary2324*(VLOOKUP($A79,EnrollData2324,'2324 Jun 24 Enroll'!T$1,FALSE)+VLOOKUP($A79,EnrollData2324,'2324 Jun 24 Enroll'!U$1,FALSE))/Apport_613Xpd)*Apport_614Xpd,2)</f>
        <v>71.2</v>
      </c>
      <c r="AP79">
        <f t="shared" si="29"/>
        <v>12.34</v>
      </c>
      <c r="AQ79">
        <f t="shared" si="32"/>
        <v>30.93</v>
      </c>
      <c r="AR79" s="6">
        <f>ROUND((VLOOKUP($A79,EnrollData2324,'2324 Jun 24 Enroll'!D$1,FALSE)*Apport_M802324+VLOOKUP($A79,EnrollData2324,'2324 Jun 24 Enroll'!M$1,FALSE)*Apport_M802324+(VLOOKUP($A79,EnrollData2324,'2324 Jun 24 Enroll'!P$1,FALSE)+VLOOKUP($A79,EnrollData2324,'2324 Jun 24 Enroll'!Q$1,FALSE)+VLOOKUP($A79,EnrollData2324,'2324 Jun 24 Enroll'!R$1,FALSE)+VLOOKUP($A79,EnrollData2324,'2324 Jun 24 Enroll'!I$1,FALSE)+VLOOKUP($A79,EnrollData2324,'2324 Jun 24 Enroll'!N$1,FALSE)+VLOOKUP($A79,EnrollData2324,'2324 Jun 24 Enroll'!O$1,FALSE)+VLOOKUP($A79,EnrollData2324,'2324 Jun 24 Enroll'!K$1,FALSE)+VLOOKUP($A79,EnrollData2324,'2324 Jun 24 Enroll'!L$1,FALSE))*Apport_M812324)/(VLOOKUP($A79,EnrollData2324,'2324 Jun 24 Enroll'!M$1,FALSE)+VLOOKUP($A79,EnrollData2324,'2324 Jun 24 Enroll'!D$1,FALSE)),2)</f>
        <v>1597.72</v>
      </c>
      <c r="AS79" s="7">
        <f t="shared" si="33"/>
        <v>9570.67</v>
      </c>
    </row>
    <row r="80" spans="1:45">
      <c r="A80" s="40" t="s">
        <v>667</v>
      </c>
      <c r="B80" s="40" t="s">
        <v>668</v>
      </c>
      <c r="C80" s="11">
        <f>ROUND((IFERROR((1/IF(VLOOKUP($A80,EnrollData2324,28,FALSE)='District Calculations'!$B$10,VLOOKUP($A80,EnrollData2324,28,FALSE),'District Calculations'!$B$10))*(1+Apport_Z315),0))+Apport_201A2324,6)</f>
        <v>7.3449E-2</v>
      </c>
      <c r="D80">
        <f>ROUND(IF(VLOOKUP($A80,EnrollData2324,'2324 Jun 24 Enroll'!D$1,FALSE)='District Calculations'!$B$11,VLOOKUP($A80,EnrollData2324,'2324 Jun 24 Enroll'!D$1,FALSE),'District Calculations'!$B$11)*C80,3)</f>
        <v>0</v>
      </c>
      <c r="E80">
        <f>ROUND(IF(VLOOKUP($A80,EnrollData2324,'2324 Jun 24 Enroll'!E$1,FALSE)='District Calculations'!$B$12,VLOOKUP($A80,EnrollData2324,'2324 Jun 24 Enroll'!E$1,FALSE),'District Calculations'!$B$12)*C80,3)</f>
        <v>59.53</v>
      </c>
      <c r="F80">
        <f>ROUND(IF(VLOOKUP($A80,EnrollData2324,'2324 Jun 24 Enroll'!F$1,FALSE)='District Calculations'!$B$13,VLOOKUP($A80,EnrollData2324,'2324 Jun 24 Enroll'!F$1,FALSE),'District Calculations'!$B$13)*Apport_222A2324,3)</f>
        <v>10.101000000000001</v>
      </c>
      <c r="G80">
        <f>ROUND(IF(VLOOKUP($A80,EnrollData2324,'2324 Jun 24 Enroll'!G$1,FALSE)='District Calculations'!$B$14,VLOOKUP($A80,EnrollData2324,'2324 Jun 24 Enroll'!G$1,FALSE),'District Calculations'!$B$14)*Apport_210A2324,3)</f>
        <v>22.395</v>
      </c>
      <c r="H80">
        <f>ROUND(IF(VLOOKUP($A80,EnrollData2324,'2324 Jun 24 Enroll'!H$1,FALSE)='District Calculations'!$B$15,VLOOKUP($A80,EnrollData2324,'2324 Jun 24 Enroll'!H$1,FALSE),'District Calculations'!$B$15)*Apport_213A2324,3)</f>
        <v>23.091999999999999</v>
      </c>
      <c r="I80">
        <f>ROUND(IF(VLOOKUP($A80,EnrollData2324,'2324 Jun 24 Enroll'!I$1,FALSE)+VLOOKUP($A80,EnrollData2324,'2324 Jun 24 Enroll'!M$1,FALSE)-VLOOKUP($A80,EnrollData2324,'2324 Jun 24 Enroll'!J$1,FALSE)='District Calculations'!$B$16+'District Calculations'!$B$25-'District Calculations'!$B$17,VLOOKUP($A80,EnrollData2324,'2324 Jun 24 Enroll'!I$1,FALSE)+VLOOKUP($A80,EnrollData2324,'2324 Jun 24 Enroll'!M$1,FALSE)-VLOOKUP($A80,EnrollData2324,'2324 Jun 24 Enroll'!J$1,FALSE),'District Calculations'!$B$16+'District Calculations'!$B$25-'District Calculations'!$B$17)*Apport_216A2324,3)</f>
        <v>58.183999999999997</v>
      </c>
      <c r="J80">
        <f>ROUND(SUM(D80:I80)/(IF(VLOOKUP($A80,EnrollData2324,'2324 Jun 24 Enroll'!M$1,FALSE)='District Calculations'!$B$25,VLOOKUP($A80,EnrollData2324,'2324 Jun 24 Enroll'!M$1,FALSE),'District Calculations'!$B$25)+IF(VLOOKUP($A80,EnrollData2324,'2324 Jun 24 Enroll'!D$1,FALSE)='District Calculations'!$B$11,VLOOKUP($A80,EnrollData2324,'2324 Jun 24 Enroll'!D$1,FALSE),'District Calculations'!$B$11)),5)</f>
        <v>5.5530000000000003E-2</v>
      </c>
      <c r="K80" s="11">
        <f t="shared" si="21"/>
        <v>4.365E-3</v>
      </c>
      <c r="L80">
        <f>ROUND(IF(VLOOKUP($A80,EnrollData2324,'2324 Jun 24 Enroll'!D$1,FALSE)='District Calculations'!$B$11,VLOOKUP($A80,EnrollData2324,'2324 Jun 24 Enroll'!D$1,FALSE),'District Calculations'!$B$11)*K80,3)</f>
        <v>0</v>
      </c>
      <c r="M80">
        <f>ROUND(IF(VLOOKUP($A80,EnrollData2324,'2324 Jun 24 Enroll'!E$1,FALSE)='District Calculations'!$B$12,VLOOKUP($A80,EnrollData2324,'2324 Jun 24 Enroll'!E$1,FALSE),'District Calculations'!$B$12)*K80,3)</f>
        <v>3.5379999999999998</v>
      </c>
      <c r="N80">
        <f>ROUND(IF(VLOOKUP($A80,EnrollData2324,'2324 Jun 24 Enroll'!F$1,FALSE)='District Calculations'!$B$13,VLOOKUP($A80,EnrollData2324,'2324 Jun 24 Enroll'!F$1,FALSE),'District Calculations'!$B$13)*Apport_223A2324,3)</f>
        <v>0.84199999999999997</v>
      </c>
      <c r="O80">
        <f>ROUND(IF(VLOOKUP($A80,EnrollData2324,'2324 Jun 24 Enroll'!G$1,FALSE)='District Calculations'!$B$14,VLOOKUP($A80,EnrollData2324,'2324 Jun 24 Enroll'!G$1,FALSE),'District Calculations'!$B$14)*Apport_211A2324,3)</f>
        <v>1.867</v>
      </c>
      <c r="P80">
        <f>ROUND(IF(VLOOKUP($A80,EnrollData2324,'2324 Jun 24 Enroll'!H$1,FALSE)='District Calculations'!$B$14,VLOOKUP($A80,EnrollData2324,'2324 Jun 24 Enroll'!H$1,FALSE),'District Calculations'!$B$14)*Apport_214A2324,3)</f>
        <v>1.8660000000000001</v>
      </c>
      <c r="Q80">
        <f>ROUND(IF(VLOOKUP($A80,EnrollData2324,'2324 Jun 24 Enroll'!I$1,FALSE)+VLOOKUP($A80,EnrollData2324,'2324 Jun 24 Enroll'!M$1,FALSE)-VLOOKUP($A80,EnrollData2324,'2324 Jun 24 Enroll'!J$1,FALSE)='District Calculations'!$B$16+'District Calculations'!$B$25-'District Calculations'!$B$17,VLOOKUP($A80,EnrollData2324,'2324 Jun 24 Enroll'!I$1,FALSE)+VLOOKUP($A80,EnrollData2324,'2324 Jun 24 Enroll'!M$1,FALSE)-VLOOKUP($A80,EnrollData2324,'2324 Jun 24 Enroll'!J$1,FALSE),'District Calculations'!$B$16+'District Calculations'!$B$25-'District Calculations'!$B$17)*Apport_217A2324,3)</f>
        <v>4.6980000000000004</v>
      </c>
      <c r="R80">
        <f>ROUND(SUM(L80:Q80)/IF(VLOOKUP($A80,EnrollData2324,'2324 Jun 24 Enroll'!M$1,FALSE)+VLOOKUP($A80,EnrollData2324,'2324 Jun 24 Enroll'!D$1,FALSE)='District Calculations'!$B$25+'District Calculations'!$B$11,VLOOKUP($A80,EnrollData2324,'2324 Jun 24 Enroll'!M$1,FALSE)+VLOOKUP($A80,EnrollData2324,'2324 Jun 24 Enroll'!D$1,FALSE),'District Calculations'!$B$25+'District Calculations'!$B$11),5)</f>
        <v>4.1000000000000003E-3</v>
      </c>
      <c r="S80" s="11">
        <f t="shared" si="22"/>
        <v>1.8294500000000002E-2</v>
      </c>
      <c r="T80">
        <f>ROUND(IF(VLOOKUP($A80,EnrollData2324,'2324 Jun 24 Enroll'!D$1,FALSE)='District Calculations'!$B$11,VLOOKUP($A80,EnrollData2324,'2324 Jun 24 Enroll'!D$1,FALSE),'District Calculations'!$B$11)*S80,3)</f>
        <v>0</v>
      </c>
      <c r="U80">
        <f>ROUND(IF(VLOOKUP($A80,EnrollData2324,'2324 Jun 24 Enroll'!E$1,FALSE)='District Calculations'!$B$12,VLOOKUP($A80,EnrollData2324,'2324 Jun 24 Enroll'!E$1,FALSE),'District Calculations'!$B$12)*S80,3)</f>
        <v>14.827999999999999</v>
      </c>
      <c r="V80">
        <f>ROUND(IF(VLOOKUP($A80,EnrollData2324,'2324 Jun 24 Enroll'!F$1,FALSE)='District Calculations'!$B$13,VLOOKUP($A80,EnrollData2324,'2324 Jun 24 Enroll'!F$1,FALSE),'District Calculations'!$B$13)*Apport_224A2324,3)</f>
        <v>3.6190000000000002</v>
      </c>
      <c r="W80">
        <f>ROUND(IF(VLOOKUP($A80,EnrollData2324,'2324 Jun 24 Enroll'!G$1,FALSE)='District Calculations'!$B$14,VLOOKUP($A80,EnrollData2324,'2324 Jun 24 Enroll'!G$1,FALSE),'District Calculations'!$B$14)*Apport_212A2324,3)</f>
        <v>8.0239999999999991</v>
      </c>
      <c r="X80">
        <f>ROUND(IF(VLOOKUP($A80,EnrollData2324,'2324 Jun 24 Enroll'!H$1,FALSE)='District Calculations'!$B$14,VLOOKUP($A80,EnrollData2324,'2324 Jun 24 Enroll'!H$1,FALSE),'District Calculations'!$B$14)*Apport_215A2324,3)</f>
        <v>7.9279999999999999</v>
      </c>
      <c r="Y80">
        <f>ROUND(IF(VLOOKUP($A80,EnrollData2324,'2324 Jun 24 Enroll'!I$1,FALSE)+VLOOKUP($A80,EnrollData2324,'2324 Jun 24 Enroll'!M$1,FALSE)-VLOOKUP($A80,EnrollData2324,'2324 Jun 24 Enroll'!J$1,FALSE)='District Calculations'!$B$16+'District Calculations'!$B$25-'District Calculations'!$B$17,VLOOKUP($A80,EnrollData2324,'2324 Jun 24 Enroll'!I$1,FALSE)+VLOOKUP($A80,EnrollData2324,'2324 Jun 24 Enroll'!M$1,FALSE)-VLOOKUP($A80,EnrollData2324,'2324 Jun 24 Enroll'!J$1,FALSE),'District Calculations'!$B$16+'District Calculations'!$B$25-'District Calculations'!$B$17)*Apport_218A2324,3)</f>
        <v>19.917999999999999</v>
      </c>
      <c r="Z80">
        <f>ROUND(SUM(T80:Y80)/IF(VLOOKUP($A80,EnrollData2324,'2324 Jun 24 Enroll'!M$1,FALSE)+VLOOKUP($A80,EnrollData2324,'2324 Jun 24 Enroll'!D$1,FALSE)='District Calculations'!$B$25+'District Calculations'!$B$11,VLOOKUP($A80,EnrollData2324,'2324 Jun 24 Enroll'!M$1,FALSE)+VLOOKUP($A80,EnrollData2324,'2324 Jun 24 Enroll'!D$1,FALSE),'District Calculations'!$B$25+'District Calculations'!$B$11),5)</f>
        <v>1.7399999999999999E-2</v>
      </c>
      <c r="AA80" s="6">
        <f>ROUND($J80*CIS_Base_Salary2324*VLOOKUP($A80,EnrollData2324,'2324 Jun 24 Enroll'!S$1,FALSE),2)</f>
        <v>4038.59</v>
      </c>
      <c r="AB80" s="6">
        <f>ROUND($J80*CIS_Inc_Salary2324*(VLOOKUP($A80,EnrollData2324,'2324 Jun 24 Enroll'!T$1,FALSE)+VLOOKUP($A80,EnrollData2324,'2324 Jun 24 Enroll'!U$1,FALSE)),2)-AA80</f>
        <v>233.1899999999996</v>
      </c>
      <c r="AC80" s="6">
        <f>ROUND($R80*CAS_Base_Salary2324*VLOOKUP($A80,EnrollData2324,'2324 Jun 24 Enroll'!S$1,FALSE),2)</f>
        <v>442.62</v>
      </c>
      <c r="AD80" s="6">
        <f>ROUND($R80*CAS_Inc_Salary2324*VLOOKUP($A80,EnrollData2324,'2324 Jun 24 Enroll'!T$1,FALSE),2)-AC80</f>
        <v>16.379999999999995</v>
      </c>
      <c r="AE80" s="6">
        <f>ROUND($Z80*CLS_Base_Salary2324*VLOOKUP($A80,EnrollData2324,'2324 Jun 24 Enroll'!S$1,FALSE),2)</f>
        <v>907.81</v>
      </c>
      <c r="AF80" s="6">
        <f>ROUND($Z80*CLS_Inc_Salary2324*VLOOKUP($A80,EnrollData2324,'2324 Jun 24 Enroll'!T$1,FALSE),2)-AE80</f>
        <v>33.580000000000041</v>
      </c>
      <c r="AG80">
        <f t="shared" si="35"/>
        <v>734.16</v>
      </c>
      <c r="AH80" s="69">
        <f t="shared" si="23"/>
        <v>68.700000000000045</v>
      </c>
      <c r="AI80">
        <f t="shared" si="36"/>
        <v>214.23</v>
      </c>
      <c r="AJ80">
        <f t="shared" si="24"/>
        <v>114.21000000000001</v>
      </c>
      <c r="AK80">
        <f t="shared" si="25"/>
        <v>805.27</v>
      </c>
      <c r="AL80">
        <f t="shared" si="26"/>
        <v>43.25</v>
      </c>
      <c r="AM80">
        <f t="shared" si="27"/>
        <v>200.26</v>
      </c>
      <c r="AN80">
        <f t="shared" si="28"/>
        <v>6.23</v>
      </c>
      <c r="AO80">
        <f>ROUND(($J80*CIS_Inc_Salary2324*(VLOOKUP($A80,EnrollData2324,'2324 Jun 24 Enroll'!T$1,FALSE)+VLOOKUP($A80,EnrollData2324,'2324 Jun 24 Enroll'!U$1,FALSE))/Apport_613Xpd)*Apport_614Xpd,2)</f>
        <v>71.2</v>
      </c>
      <c r="AP80">
        <f t="shared" si="29"/>
        <v>12.34</v>
      </c>
      <c r="AQ80">
        <f t="shared" si="32"/>
        <v>30.93</v>
      </c>
      <c r="AR80" s="6">
        <f>ROUND((VLOOKUP($A80,EnrollData2324,'2324 Jun 24 Enroll'!D$1,FALSE)*Apport_M802324+VLOOKUP($A80,EnrollData2324,'2324 Jun 24 Enroll'!M$1,FALSE)*Apport_M802324+(VLOOKUP($A80,EnrollData2324,'2324 Jun 24 Enroll'!P$1,FALSE)+VLOOKUP($A80,EnrollData2324,'2324 Jun 24 Enroll'!Q$1,FALSE)+VLOOKUP($A80,EnrollData2324,'2324 Jun 24 Enroll'!R$1,FALSE)+VLOOKUP($A80,EnrollData2324,'2324 Jun 24 Enroll'!I$1,FALSE)+VLOOKUP($A80,EnrollData2324,'2324 Jun 24 Enroll'!N$1,FALSE)+VLOOKUP($A80,EnrollData2324,'2324 Jun 24 Enroll'!O$1,FALSE)+VLOOKUP($A80,EnrollData2324,'2324 Jun 24 Enroll'!K$1,FALSE)+VLOOKUP($A80,EnrollData2324,'2324 Jun 24 Enroll'!L$1,FALSE))*Apport_M812324)/(VLOOKUP($A80,EnrollData2324,'2324 Jun 24 Enroll'!M$1,FALSE)+VLOOKUP($A80,EnrollData2324,'2324 Jun 24 Enroll'!D$1,FALSE)),2)</f>
        <v>1483.44</v>
      </c>
      <c r="AS80" s="7">
        <f t="shared" si="33"/>
        <v>9456.39</v>
      </c>
    </row>
    <row r="81" spans="1:45">
      <c r="A81" s="40" t="s">
        <v>510</v>
      </c>
      <c r="B81" s="40" t="s">
        <v>511</v>
      </c>
      <c r="C81" s="11">
        <f>ROUND((IFERROR((1/IF(VLOOKUP($A81,EnrollData2324,28,FALSE)='District Calculations'!$B$10,VLOOKUP($A81,EnrollData2324,28,FALSE),'District Calculations'!$B$10))*(1+Apport_Z315),0))+Apport_201A2324,6)</f>
        <v>7.3449E-2</v>
      </c>
      <c r="D81">
        <f>ROUND(IF(VLOOKUP($A81,EnrollData2324,'2324 Jun 24 Enroll'!D$1,FALSE)='District Calculations'!$B$11,VLOOKUP($A81,EnrollData2324,'2324 Jun 24 Enroll'!D$1,FALSE),'District Calculations'!$B$11)*C81,3)</f>
        <v>0</v>
      </c>
      <c r="E81">
        <f>ROUND(IF(VLOOKUP($A81,EnrollData2324,'2324 Jun 24 Enroll'!E$1,FALSE)='District Calculations'!$B$12,VLOOKUP($A81,EnrollData2324,'2324 Jun 24 Enroll'!E$1,FALSE),'District Calculations'!$B$12)*C81,3)</f>
        <v>59.53</v>
      </c>
      <c r="F81">
        <f>ROUND(IF(VLOOKUP($A81,EnrollData2324,'2324 Jun 24 Enroll'!F$1,FALSE)='District Calculations'!$B$13,VLOOKUP($A81,EnrollData2324,'2324 Jun 24 Enroll'!F$1,FALSE),'District Calculations'!$B$13)*Apport_222A2324,3)</f>
        <v>10.101000000000001</v>
      </c>
      <c r="G81">
        <f>ROUND(IF(VLOOKUP($A81,EnrollData2324,'2324 Jun 24 Enroll'!G$1,FALSE)='District Calculations'!$B$14,VLOOKUP($A81,EnrollData2324,'2324 Jun 24 Enroll'!G$1,FALSE),'District Calculations'!$B$14)*Apport_210A2324,3)</f>
        <v>22.395</v>
      </c>
      <c r="H81">
        <f>ROUND(IF(VLOOKUP($A81,EnrollData2324,'2324 Jun 24 Enroll'!H$1,FALSE)='District Calculations'!$B$15,VLOOKUP($A81,EnrollData2324,'2324 Jun 24 Enroll'!H$1,FALSE),'District Calculations'!$B$15)*Apport_213A2324,3)</f>
        <v>23.091999999999999</v>
      </c>
      <c r="I81">
        <f>ROUND(IF(VLOOKUP($A81,EnrollData2324,'2324 Jun 24 Enroll'!I$1,FALSE)+VLOOKUP($A81,EnrollData2324,'2324 Jun 24 Enroll'!M$1,FALSE)-VLOOKUP($A81,EnrollData2324,'2324 Jun 24 Enroll'!J$1,FALSE)='District Calculations'!$B$16+'District Calculations'!$B$25-'District Calculations'!$B$17,VLOOKUP($A81,EnrollData2324,'2324 Jun 24 Enroll'!I$1,FALSE)+VLOOKUP($A81,EnrollData2324,'2324 Jun 24 Enroll'!M$1,FALSE)-VLOOKUP($A81,EnrollData2324,'2324 Jun 24 Enroll'!J$1,FALSE),'District Calculations'!$B$16+'District Calculations'!$B$25-'District Calculations'!$B$17)*Apport_216A2324,3)</f>
        <v>58.183999999999997</v>
      </c>
      <c r="J81">
        <f>ROUND(SUM(D81:I81)/(IF(VLOOKUP($A81,EnrollData2324,'2324 Jun 24 Enroll'!M$1,FALSE)='District Calculations'!$B$25,VLOOKUP($A81,EnrollData2324,'2324 Jun 24 Enroll'!M$1,FALSE),'District Calculations'!$B$25)+IF(VLOOKUP($A81,EnrollData2324,'2324 Jun 24 Enroll'!D$1,FALSE)='District Calculations'!$B$11,VLOOKUP($A81,EnrollData2324,'2324 Jun 24 Enroll'!D$1,FALSE),'District Calculations'!$B$11)),5)</f>
        <v>5.5530000000000003E-2</v>
      </c>
      <c r="K81" s="11">
        <f t="shared" si="21"/>
        <v>4.365E-3</v>
      </c>
      <c r="L81">
        <f>ROUND(IF(VLOOKUP($A81,EnrollData2324,'2324 Jun 24 Enroll'!D$1,FALSE)='District Calculations'!$B$11,VLOOKUP($A81,EnrollData2324,'2324 Jun 24 Enroll'!D$1,FALSE),'District Calculations'!$B$11)*K81,3)</f>
        <v>0</v>
      </c>
      <c r="M81">
        <f>ROUND(IF(VLOOKUP($A81,EnrollData2324,'2324 Jun 24 Enroll'!E$1,FALSE)='District Calculations'!$B$12,VLOOKUP($A81,EnrollData2324,'2324 Jun 24 Enroll'!E$1,FALSE),'District Calculations'!$B$12)*K81,3)</f>
        <v>3.5379999999999998</v>
      </c>
      <c r="N81">
        <f>ROUND(IF(VLOOKUP($A81,EnrollData2324,'2324 Jun 24 Enroll'!F$1,FALSE)='District Calculations'!$B$13,VLOOKUP($A81,EnrollData2324,'2324 Jun 24 Enroll'!F$1,FALSE),'District Calculations'!$B$13)*Apport_223A2324,3)</f>
        <v>0.84199999999999997</v>
      </c>
      <c r="O81">
        <f>ROUND(IF(VLOOKUP($A81,EnrollData2324,'2324 Jun 24 Enroll'!G$1,FALSE)='District Calculations'!$B$14,VLOOKUP($A81,EnrollData2324,'2324 Jun 24 Enroll'!G$1,FALSE),'District Calculations'!$B$14)*Apport_211A2324,3)</f>
        <v>1.867</v>
      </c>
      <c r="P81">
        <f>ROUND(IF(VLOOKUP($A81,EnrollData2324,'2324 Jun 24 Enroll'!H$1,FALSE)='District Calculations'!$B$14,VLOOKUP($A81,EnrollData2324,'2324 Jun 24 Enroll'!H$1,FALSE),'District Calculations'!$B$14)*Apport_214A2324,3)</f>
        <v>1.8660000000000001</v>
      </c>
      <c r="Q81">
        <f>ROUND(IF(VLOOKUP($A81,EnrollData2324,'2324 Jun 24 Enroll'!I$1,FALSE)+VLOOKUP($A81,EnrollData2324,'2324 Jun 24 Enroll'!M$1,FALSE)-VLOOKUP($A81,EnrollData2324,'2324 Jun 24 Enroll'!J$1,FALSE)='District Calculations'!$B$16+'District Calculations'!$B$25-'District Calculations'!$B$17,VLOOKUP($A81,EnrollData2324,'2324 Jun 24 Enroll'!I$1,FALSE)+VLOOKUP($A81,EnrollData2324,'2324 Jun 24 Enroll'!M$1,FALSE)-VLOOKUP($A81,EnrollData2324,'2324 Jun 24 Enroll'!J$1,FALSE),'District Calculations'!$B$16+'District Calculations'!$B$25-'District Calculations'!$B$17)*Apport_217A2324,3)</f>
        <v>4.6980000000000004</v>
      </c>
      <c r="R81">
        <f>ROUND(SUM(L81:Q81)/IF(VLOOKUP($A81,EnrollData2324,'2324 Jun 24 Enroll'!M$1,FALSE)+VLOOKUP($A81,EnrollData2324,'2324 Jun 24 Enroll'!D$1,FALSE)='District Calculations'!$B$25+'District Calculations'!$B$11,VLOOKUP($A81,EnrollData2324,'2324 Jun 24 Enroll'!M$1,FALSE)+VLOOKUP($A81,EnrollData2324,'2324 Jun 24 Enroll'!D$1,FALSE),'District Calculations'!$B$25+'District Calculations'!$B$11),5)</f>
        <v>4.1000000000000003E-3</v>
      </c>
      <c r="S81" s="11">
        <f t="shared" si="22"/>
        <v>1.8294500000000002E-2</v>
      </c>
      <c r="T81">
        <f>ROUND(IF(VLOOKUP($A81,EnrollData2324,'2324 Jun 24 Enroll'!D$1,FALSE)='District Calculations'!$B$11,VLOOKUP($A81,EnrollData2324,'2324 Jun 24 Enroll'!D$1,FALSE),'District Calculations'!$B$11)*S81,3)</f>
        <v>0</v>
      </c>
      <c r="U81">
        <f>ROUND(IF(VLOOKUP($A81,EnrollData2324,'2324 Jun 24 Enroll'!E$1,FALSE)='District Calculations'!$B$12,VLOOKUP($A81,EnrollData2324,'2324 Jun 24 Enroll'!E$1,FALSE),'District Calculations'!$B$12)*S81,3)</f>
        <v>14.827999999999999</v>
      </c>
      <c r="V81">
        <f>ROUND(IF(VLOOKUP($A81,EnrollData2324,'2324 Jun 24 Enroll'!F$1,FALSE)='District Calculations'!$B$13,VLOOKUP($A81,EnrollData2324,'2324 Jun 24 Enroll'!F$1,FALSE),'District Calculations'!$B$13)*Apport_224A2324,3)</f>
        <v>3.6190000000000002</v>
      </c>
      <c r="W81">
        <f>ROUND(IF(VLOOKUP($A81,EnrollData2324,'2324 Jun 24 Enroll'!G$1,FALSE)='District Calculations'!$B$14,VLOOKUP($A81,EnrollData2324,'2324 Jun 24 Enroll'!G$1,FALSE),'District Calculations'!$B$14)*Apport_212A2324,3)</f>
        <v>8.0239999999999991</v>
      </c>
      <c r="X81">
        <f>ROUND(IF(VLOOKUP($A81,EnrollData2324,'2324 Jun 24 Enroll'!H$1,FALSE)='District Calculations'!$B$14,VLOOKUP($A81,EnrollData2324,'2324 Jun 24 Enroll'!H$1,FALSE),'District Calculations'!$B$14)*Apport_215A2324,3)</f>
        <v>7.9279999999999999</v>
      </c>
      <c r="Y81">
        <f>ROUND(IF(VLOOKUP($A81,EnrollData2324,'2324 Jun 24 Enroll'!I$1,FALSE)+VLOOKUP($A81,EnrollData2324,'2324 Jun 24 Enroll'!M$1,FALSE)-VLOOKUP($A81,EnrollData2324,'2324 Jun 24 Enroll'!J$1,FALSE)='District Calculations'!$B$16+'District Calculations'!$B$25-'District Calculations'!$B$17,VLOOKUP($A81,EnrollData2324,'2324 Jun 24 Enroll'!I$1,FALSE)+VLOOKUP($A81,EnrollData2324,'2324 Jun 24 Enroll'!M$1,FALSE)-VLOOKUP($A81,EnrollData2324,'2324 Jun 24 Enroll'!J$1,FALSE),'District Calculations'!$B$16+'District Calculations'!$B$25-'District Calculations'!$B$17)*Apport_218A2324,3)</f>
        <v>19.917999999999999</v>
      </c>
      <c r="Z81">
        <f>ROUND(SUM(T81:Y81)/IF(VLOOKUP($A81,EnrollData2324,'2324 Jun 24 Enroll'!M$1,FALSE)+VLOOKUP($A81,EnrollData2324,'2324 Jun 24 Enroll'!D$1,FALSE)='District Calculations'!$B$25+'District Calculations'!$B$11,VLOOKUP($A81,EnrollData2324,'2324 Jun 24 Enroll'!M$1,FALSE)+VLOOKUP($A81,EnrollData2324,'2324 Jun 24 Enroll'!D$1,FALSE),'District Calculations'!$B$25+'District Calculations'!$B$11),5)</f>
        <v>1.7399999999999999E-2</v>
      </c>
      <c r="AA81" s="6">
        <f>ROUND($J81*CIS_Base_Salary2324*VLOOKUP($A81,EnrollData2324,'2324 Jun 24 Enroll'!S$1,FALSE),2)</f>
        <v>4038.59</v>
      </c>
      <c r="AB81" s="6">
        <f>ROUND($J81*CIS_Inc_Salary2324*(VLOOKUP($A81,EnrollData2324,'2324 Jun 24 Enroll'!T$1,FALSE)+VLOOKUP($A81,EnrollData2324,'2324 Jun 24 Enroll'!U$1,FALSE)),2)-AA81</f>
        <v>149.43000000000029</v>
      </c>
      <c r="AC81" s="6">
        <f>ROUND($R81*CAS_Base_Salary2324*VLOOKUP($A81,EnrollData2324,'2324 Jun 24 Enroll'!S$1,FALSE),2)</f>
        <v>442.62</v>
      </c>
      <c r="AD81" s="6">
        <f>ROUND($R81*CAS_Inc_Salary2324*VLOOKUP($A81,EnrollData2324,'2324 Jun 24 Enroll'!T$1,FALSE),2)-AC81</f>
        <v>16.379999999999995</v>
      </c>
      <c r="AE81" s="6">
        <f>ROUND($Z81*CLS_Base_Salary2324*VLOOKUP($A81,EnrollData2324,'2324 Jun 24 Enroll'!S$1,FALSE),2)</f>
        <v>907.81</v>
      </c>
      <c r="AF81" s="6">
        <f>ROUND($Z81*CLS_Inc_Salary2324*VLOOKUP($A81,EnrollData2324,'2324 Jun 24 Enroll'!T$1,FALSE),2)-AE81</f>
        <v>33.580000000000041</v>
      </c>
      <c r="AG81">
        <f t="shared" si="35"/>
        <v>734.16</v>
      </c>
      <c r="AH81" s="69">
        <f t="shared" si="23"/>
        <v>68.700000000000045</v>
      </c>
      <c r="AI81">
        <f t="shared" si="36"/>
        <v>214.23</v>
      </c>
      <c r="AJ81">
        <f t="shared" si="24"/>
        <v>114.21000000000001</v>
      </c>
      <c r="AK81">
        <f t="shared" si="25"/>
        <v>805.27</v>
      </c>
      <c r="AL81">
        <f t="shared" si="26"/>
        <v>28.73</v>
      </c>
      <c r="AM81">
        <f t="shared" si="27"/>
        <v>200.26</v>
      </c>
      <c r="AN81">
        <f t="shared" si="28"/>
        <v>6.23</v>
      </c>
      <c r="AO81">
        <f>ROUND(($J81*CIS_Inc_Salary2324*(VLOOKUP($A81,EnrollData2324,'2324 Jun 24 Enroll'!T$1,FALSE)+VLOOKUP($A81,EnrollData2324,'2324 Jun 24 Enroll'!U$1,FALSE))/Apport_613Xpd)*Apport_614Xpd,2)</f>
        <v>69.8</v>
      </c>
      <c r="AP81">
        <f t="shared" si="29"/>
        <v>12.1</v>
      </c>
      <c r="AQ81">
        <f t="shared" si="32"/>
        <v>30.93</v>
      </c>
      <c r="AR81" s="6">
        <f>ROUND((VLOOKUP($A81,EnrollData2324,'2324 Jun 24 Enroll'!D$1,FALSE)*Apport_M802324+VLOOKUP($A81,EnrollData2324,'2324 Jun 24 Enroll'!M$1,FALSE)*Apport_M802324+(VLOOKUP($A81,EnrollData2324,'2324 Jun 24 Enroll'!P$1,FALSE)+VLOOKUP($A81,EnrollData2324,'2324 Jun 24 Enroll'!Q$1,FALSE)+VLOOKUP($A81,EnrollData2324,'2324 Jun 24 Enroll'!R$1,FALSE)+VLOOKUP($A81,EnrollData2324,'2324 Jun 24 Enroll'!I$1,FALSE)+VLOOKUP($A81,EnrollData2324,'2324 Jun 24 Enroll'!N$1,FALSE)+VLOOKUP($A81,EnrollData2324,'2324 Jun 24 Enroll'!O$1,FALSE)+VLOOKUP($A81,EnrollData2324,'2324 Jun 24 Enroll'!K$1,FALSE)+VLOOKUP($A81,EnrollData2324,'2324 Jun 24 Enroll'!L$1,FALSE))*Apport_M812324)/(VLOOKUP($A81,EnrollData2324,'2324 Jun 24 Enroll'!M$1,FALSE)+VLOOKUP($A81,EnrollData2324,'2324 Jun 24 Enroll'!D$1,FALSE)),2)</f>
        <v>1544.99</v>
      </c>
      <c r="AS81" s="7">
        <f t="shared" si="33"/>
        <v>9418.02</v>
      </c>
    </row>
    <row r="82" spans="1:45">
      <c r="A82" s="40" t="s">
        <v>723</v>
      </c>
      <c r="B82" s="40" t="s">
        <v>724</v>
      </c>
      <c r="C82" s="11">
        <f>ROUND((IFERROR((1/IF(VLOOKUP($A82,EnrollData2324,28,FALSE)='District Calculations'!$B$10,VLOOKUP($A82,EnrollData2324,28,FALSE),'District Calculations'!$B$10))*(1+Apport_Z315),0))+Apport_201A2324,6)</f>
        <v>7.3449E-2</v>
      </c>
      <c r="D82">
        <f>ROUND(IF(VLOOKUP($A82,EnrollData2324,'2324 Jun 24 Enroll'!D$1,FALSE)='District Calculations'!$B$11,VLOOKUP($A82,EnrollData2324,'2324 Jun 24 Enroll'!D$1,FALSE),'District Calculations'!$B$11)*C82,3)</f>
        <v>0</v>
      </c>
      <c r="E82">
        <f>ROUND(IF(VLOOKUP($A82,EnrollData2324,'2324 Jun 24 Enroll'!E$1,FALSE)='District Calculations'!$B$12,VLOOKUP($A82,EnrollData2324,'2324 Jun 24 Enroll'!E$1,FALSE),'District Calculations'!$B$12)*C82,3)</f>
        <v>59.53</v>
      </c>
      <c r="F82">
        <f>ROUND(IF(VLOOKUP($A82,EnrollData2324,'2324 Jun 24 Enroll'!F$1,FALSE)='District Calculations'!$B$13,VLOOKUP($A82,EnrollData2324,'2324 Jun 24 Enroll'!F$1,FALSE),'District Calculations'!$B$13)*Apport_222A2324,3)</f>
        <v>10.101000000000001</v>
      </c>
      <c r="G82">
        <f>ROUND(IF(VLOOKUP($A82,EnrollData2324,'2324 Jun 24 Enroll'!G$1,FALSE)='District Calculations'!$B$14,VLOOKUP($A82,EnrollData2324,'2324 Jun 24 Enroll'!G$1,FALSE),'District Calculations'!$B$14)*Apport_210A2324,3)</f>
        <v>22.395</v>
      </c>
      <c r="H82">
        <f>ROUND(IF(VLOOKUP($A82,EnrollData2324,'2324 Jun 24 Enroll'!H$1,FALSE)='District Calculations'!$B$15,VLOOKUP($A82,EnrollData2324,'2324 Jun 24 Enroll'!H$1,FALSE),'District Calculations'!$B$15)*Apport_213A2324,3)</f>
        <v>23.091999999999999</v>
      </c>
      <c r="I82">
        <f>ROUND(IF(VLOOKUP($A82,EnrollData2324,'2324 Jun 24 Enroll'!I$1,FALSE)+VLOOKUP($A82,EnrollData2324,'2324 Jun 24 Enroll'!M$1,FALSE)-VLOOKUP($A82,EnrollData2324,'2324 Jun 24 Enroll'!J$1,FALSE)='District Calculations'!$B$16+'District Calculations'!$B$25-'District Calculations'!$B$17,VLOOKUP($A82,EnrollData2324,'2324 Jun 24 Enroll'!I$1,FALSE)+VLOOKUP($A82,EnrollData2324,'2324 Jun 24 Enroll'!M$1,FALSE)-VLOOKUP($A82,EnrollData2324,'2324 Jun 24 Enroll'!J$1,FALSE),'District Calculations'!$B$16+'District Calculations'!$B$25-'District Calculations'!$B$17)*Apport_216A2324,3)</f>
        <v>58.183999999999997</v>
      </c>
      <c r="J82">
        <f>ROUND(SUM(D82:I82)/(IF(VLOOKUP($A82,EnrollData2324,'2324 Jun 24 Enroll'!M$1,FALSE)='District Calculations'!$B$25,VLOOKUP($A82,EnrollData2324,'2324 Jun 24 Enroll'!M$1,FALSE),'District Calculations'!$B$25)+IF(VLOOKUP($A82,EnrollData2324,'2324 Jun 24 Enroll'!D$1,FALSE)='District Calculations'!$B$11,VLOOKUP($A82,EnrollData2324,'2324 Jun 24 Enroll'!D$1,FALSE),'District Calculations'!$B$11)),5)</f>
        <v>5.5530000000000003E-2</v>
      </c>
      <c r="K82" s="11">
        <f t="shared" si="21"/>
        <v>4.365E-3</v>
      </c>
      <c r="L82">
        <f>ROUND(IF(VLOOKUP($A82,EnrollData2324,'2324 Jun 24 Enroll'!D$1,FALSE)='District Calculations'!$B$11,VLOOKUP($A82,EnrollData2324,'2324 Jun 24 Enroll'!D$1,FALSE),'District Calculations'!$B$11)*K82,3)</f>
        <v>0</v>
      </c>
      <c r="M82">
        <f>ROUND(IF(VLOOKUP($A82,EnrollData2324,'2324 Jun 24 Enroll'!E$1,FALSE)='District Calculations'!$B$12,VLOOKUP($A82,EnrollData2324,'2324 Jun 24 Enroll'!E$1,FALSE),'District Calculations'!$B$12)*K82,3)</f>
        <v>3.5379999999999998</v>
      </c>
      <c r="N82">
        <f>ROUND(IF(VLOOKUP($A82,EnrollData2324,'2324 Jun 24 Enroll'!F$1,FALSE)='District Calculations'!$B$13,VLOOKUP($A82,EnrollData2324,'2324 Jun 24 Enroll'!F$1,FALSE),'District Calculations'!$B$13)*Apport_223A2324,3)</f>
        <v>0.84199999999999997</v>
      </c>
      <c r="O82">
        <f>ROUND(IF(VLOOKUP($A82,EnrollData2324,'2324 Jun 24 Enroll'!G$1,FALSE)='District Calculations'!$B$14,VLOOKUP($A82,EnrollData2324,'2324 Jun 24 Enroll'!G$1,FALSE),'District Calculations'!$B$14)*Apport_211A2324,3)</f>
        <v>1.867</v>
      </c>
      <c r="P82">
        <f>ROUND(IF(VLOOKUP($A82,EnrollData2324,'2324 Jun 24 Enroll'!H$1,FALSE)='District Calculations'!$B$14,VLOOKUP($A82,EnrollData2324,'2324 Jun 24 Enroll'!H$1,FALSE),'District Calculations'!$B$14)*Apport_214A2324,3)</f>
        <v>1.8660000000000001</v>
      </c>
      <c r="Q82">
        <f>ROUND(IF(VLOOKUP($A82,EnrollData2324,'2324 Jun 24 Enroll'!I$1,FALSE)+VLOOKUP($A82,EnrollData2324,'2324 Jun 24 Enroll'!M$1,FALSE)-VLOOKUP($A82,EnrollData2324,'2324 Jun 24 Enroll'!J$1,FALSE)='District Calculations'!$B$16+'District Calculations'!$B$25-'District Calculations'!$B$17,VLOOKUP($A82,EnrollData2324,'2324 Jun 24 Enroll'!I$1,FALSE)+VLOOKUP($A82,EnrollData2324,'2324 Jun 24 Enroll'!M$1,FALSE)-VLOOKUP($A82,EnrollData2324,'2324 Jun 24 Enroll'!J$1,FALSE),'District Calculations'!$B$16+'District Calculations'!$B$25-'District Calculations'!$B$17)*Apport_217A2324,3)</f>
        <v>4.6980000000000004</v>
      </c>
      <c r="R82">
        <f>ROUND(SUM(L82:Q82)/IF(VLOOKUP($A82,EnrollData2324,'2324 Jun 24 Enroll'!M$1,FALSE)+VLOOKUP($A82,EnrollData2324,'2324 Jun 24 Enroll'!D$1,FALSE)='District Calculations'!$B$25+'District Calculations'!$B$11,VLOOKUP($A82,EnrollData2324,'2324 Jun 24 Enroll'!M$1,FALSE)+VLOOKUP($A82,EnrollData2324,'2324 Jun 24 Enroll'!D$1,FALSE),'District Calculations'!$B$25+'District Calculations'!$B$11),5)</f>
        <v>4.1000000000000003E-3</v>
      </c>
      <c r="S82" s="11">
        <f t="shared" si="22"/>
        <v>1.8294500000000002E-2</v>
      </c>
      <c r="T82">
        <f>ROUND(IF(VLOOKUP($A82,EnrollData2324,'2324 Jun 24 Enroll'!D$1,FALSE)='District Calculations'!$B$11,VLOOKUP($A82,EnrollData2324,'2324 Jun 24 Enroll'!D$1,FALSE),'District Calculations'!$B$11)*S82,3)</f>
        <v>0</v>
      </c>
      <c r="U82">
        <f>ROUND(IF(VLOOKUP($A82,EnrollData2324,'2324 Jun 24 Enroll'!E$1,FALSE)='District Calculations'!$B$12,VLOOKUP($A82,EnrollData2324,'2324 Jun 24 Enroll'!E$1,FALSE),'District Calculations'!$B$12)*S82,3)</f>
        <v>14.827999999999999</v>
      </c>
      <c r="V82">
        <f>ROUND(IF(VLOOKUP($A82,EnrollData2324,'2324 Jun 24 Enroll'!F$1,FALSE)='District Calculations'!$B$13,VLOOKUP($A82,EnrollData2324,'2324 Jun 24 Enroll'!F$1,FALSE),'District Calculations'!$B$13)*Apport_224A2324,3)</f>
        <v>3.6190000000000002</v>
      </c>
      <c r="W82">
        <f>ROUND(IF(VLOOKUP($A82,EnrollData2324,'2324 Jun 24 Enroll'!G$1,FALSE)='District Calculations'!$B$14,VLOOKUP($A82,EnrollData2324,'2324 Jun 24 Enroll'!G$1,FALSE),'District Calculations'!$B$14)*Apport_212A2324,3)</f>
        <v>8.0239999999999991</v>
      </c>
      <c r="X82">
        <f>ROUND(IF(VLOOKUP($A82,EnrollData2324,'2324 Jun 24 Enroll'!H$1,FALSE)='District Calculations'!$B$14,VLOOKUP($A82,EnrollData2324,'2324 Jun 24 Enroll'!H$1,FALSE),'District Calculations'!$B$14)*Apport_215A2324,3)</f>
        <v>7.9279999999999999</v>
      </c>
      <c r="Y82">
        <f>ROUND(IF(VLOOKUP($A82,EnrollData2324,'2324 Jun 24 Enroll'!I$1,FALSE)+VLOOKUP($A82,EnrollData2324,'2324 Jun 24 Enroll'!M$1,FALSE)-VLOOKUP($A82,EnrollData2324,'2324 Jun 24 Enroll'!J$1,FALSE)='District Calculations'!$B$16+'District Calculations'!$B$25-'District Calculations'!$B$17,VLOOKUP($A82,EnrollData2324,'2324 Jun 24 Enroll'!I$1,FALSE)+VLOOKUP($A82,EnrollData2324,'2324 Jun 24 Enroll'!M$1,FALSE)-VLOOKUP($A82,EnrollData2324,'2324 Jun 24 Enroll'!J$1,FALSE),'District Calculations'!$B$16+'District Calculations'!$B$25-'District Calculations'!$B$17)*Apport_218A2324,3)</f>
        <v>19.917999999999999</v>
      </c>
      <c r="Z82">
        <f>ROUND(SUM(T82:Y82)/IF(VLOOKUP($A82,EnrollData2324,'2324 Jun 24 Enroll'!M$1,FALSE)+VLOOKUP($A82,EnrollData2324,'2324 Jun 24 Enroll'!D$1,FALSE)='District Calculations'!$B$25+'District Calculations'!$B$11,VLOOKUP($A82,EnrollData2324,'2324 Jun 24 Enroll'!M$1,FALSE)+VLOOKUP($A82,EnrollData2324,'2324 Jun 24 Enroll'!D$1,FALSE),'District Calculations'!$B$25+'District Calculations'!$B$11),5)</f>
        <v>1.7399999999999999E-2</v>
      </c>
      <c r="AA82" s="6">
        <f>ROUND($J82*CIS_Base_Salary2324*VLOOKUP($A82,EnrollData2324,'2324 Jun 24 Enroll'!S$1,FALSE),2)</f>
        <v>4038.59</v>
      </c>
      <c r="AB82" s="6">
        <f>ROUND($J82*CIS_Inc_Salary2324*(VLOOKUP($A82,EnrollData2324,'2324 Jun 24 Enroll'!T$1,FALSE)+VLOOKUP($A82,EnrollData2324,'2324 Jun 24 Enroll'!U$1,FALSE)),2)-AA82</f>
        <v>233.1899999999996</v>
      </c>
      <c r="AC82" s="6">
        <f>ROUND($R82*CAS_Base_Salary2324*VLOOKUP($A82,EnrollData2324,'2324 Jun 24 Enroll'!S$1,FALSE),2)</f>
        <v>442.62</v>
      </c>
      <c r="AD82" s="6">
        <f>ROUND($R82*CAS_Inc_Salary2324*VLOOKUP($A82,EnrollData2324,'2324 Jun 24 Enroll'!T$1,FALSE),2)-AC82</f>
        <v>16.379999999999995</v>
      </c>
      <c r="AE82" s="6">
        <f>ROUND($Z82*CLS_Base_Salary2324*VLOOKUP($A82,EnrollData2324,'2324 Jun 24 Enroll'!S$1,FALSE),2)</f>
        <v>907.81</v>
      </c>
      <c r="AF82" s="6">
        <f>ROUND($Z82*CLS_Inc_Salary2324*VLOOKUP($A82,EnrollData2324,'2324 Jun 24 Enroll'!T$1,FALSE),2)-AE82</f>
        <v>33.580000000000041</v>
      </c>
      <c r="AG82">
        <f t="shared" si="35"/>
        <v>734.16</v>
      </c>
      <c r="AH82" s="69">
        <f t="shared" si="23"/>
        <v>68.700000000000045</v>
      </c>
      <c r="AI82">
        <f t="shared" si="36"/>
        <v>214.23</v>
      </c>
      <c r="AJ82">
        <f t="shared" si="24"/>
        <v>114.21000000000001</v>
      </c>
      <c r="AK82">
        <f t="shared" si="25"/>
        <v>805.27</v>
      </c>
      <c r="AL82">
        <f t="shared" si="26"/>
        <v>43.25</v>
      </c>
      <c r="AM82">
        <f t="shared" si="27"/>
        <v>200.26</v>
      </c>
      <c r="AN82">
        <f t="shared" si="28"/>
        <v>6.23</v>
      </c>
      <c r="AO82">
        <f>ROUND(($J82*CIS_Inc_Salary2324*(VLOOKUP($A82,EnrollData2324,'2324 Jun 24 Enroll'!T$1,FALSE)+VLOOKUP($A82,EnrollData2324,'2324 Jun 24 Enroll'!U$1,FALSE))/Apport_613Xpd)*Apport_614Xpd,2)</f>
        <v>71.2</v>
      </c>
      <c r="AP82">
        <f t="shared" si="29"/>
        <v>12.34</v>
      </c>
      <c r="AQ82">
        <f t="shared" si="32"/>
        <v>30.93</v>
      </c>
      <c r="AR82" s="6">
        <f>ROUND((VLOOKUP($A82,EnrollData2324,'2324 Jun 24 Enroll'!D$1,FALSE)*Apport_M802324+VLOOKUP($A82,EnrollData2324,'2324 Jun 24 Enroll'!M$1,FALSE)*Apport_M802324+(VLOOKUP($A82,EnrollData2324,'2324 Jun 24 Enroll'!P$1,FALSE)+VLOOKUP($A82,EnrollData2324,'2324 Jun 24 Enroll'!Q$1,FALSE)+VLOOKUP($A82,EnrollData2324,'2324 Jun 24 Enroll'!R$1,FALSE)+VLOOKUP($A82,EnrollData2324,'2324 Jun 24 Enroll'!I$1,FALSE)+VLOOKUP($A82,EnrollData2324,'2324 Jun 24 Enroll'!N$1,FALSE)+VLOOKUP($A82,EnrollData2324,'2324 Jun 24 Enroll'!O$1,FALSE)+VLOOKUP($A82,EnrollData2324,'2324 Jun 24 Enroll'!K$1,FALSE)+VLOOKUP($A82,EnrollData2324,'2324 Jun 24 Enroll'!L$1,FALSE))*Apport_M812324)/(VLOOKUP($A82,EnrollData2324,'2324 Jun 24 Enroll'!M$1,FALSE)+VLOOKUP($A82,EnrollData2324,'2324 Jun 24 Enroll'!D$1,FALSE)),2)</f>
        <v>1571.43</v>
      </c>
      <c r="AS82" s="7">
        <f t="shared" si="33"/>
        <v>9544.3799999999992</v>
      </c>
    </row>
    <row r="83" spans="1:45">
      <c r="A83" s="40" t="s">
        <v>681</v>
      </c>
      <c r="B83" s="40" t="s">
        <v>682</v>
      </c>
      <c r="C83" s="11">
        <f>ROUND((IFERROR((1/IF(VLOOKUP($A83,EnrollData2324,28,FALSE)='District Calculations'!$B$10,VLOOKUP($A83,EnrollData2324,28,FALSE),'District Calculations'!$B$10))*(1+Apport_Z315),0))+Apport_201A2324,6)</f>
        <v>7.3449E-2</v>
      </c>
      <c r="D83">
        <f>ROUND(IF(VLOOKUP($A83,EnrollData2324,'2324 Jun 24 Enroll'!D$1,FALSE)='District Calculations'!$B$11,VLOOKUP($A83,EnrollData2324,'2324 Jun 24 Enroll'!D$1,FALSE),'District Calculations'!$B$11)*C83,3)</f>
        <v>0</v>
      </c>
      <c r="E83">
        <f>ROUND(IF(VLOOKUP($A83,EnrollData2324,'2324 Jun 24 Enroll'!E$1,FALSE)='District Calculations'!$B$12,VLOOKUP($A83,EnrollData2324,'2324 Jun 24 Enroll'!E$1,FALSE),'District Calculations'!$B$12)*C83,3)</f>
        <v>59.53</v>
      </c>
      <c r="F83">
        <f>ROUND(IF(VLOOKUP($A83,EnrollData2324,'2324 Jun 24 Enroll'!F$1,FALSE)='District Calculations'!$B$13,VLOOKUP($A83,EnrollData2324,'2324 Jun 24 Enroll'!F$1,FALSE),'District Calculations'!$B$13)*Apport_222A2324,3)</f>
        <v>10.101000000000001</v>
      </c>
      <c r="G83">
        <f>ROUND(IF(VLOOKUP($A83,EnrollData2324,'2324 Jun 24 Enroll'!G$1,FALSE)='District Calculations'!$B$14,VLOOKUP($A83,EnrollData2324,'2324 Jun 24 Enroll'!G$1,FALSE),'District Calculations'!$B$14)*Apport_210A2324,3)</f>
        <v>22.395</v>
      </c>
      <c r="H83">
        <f>ROUND(IF(VLOOKUP($A83,EnrollData2324,'2324 Jun 24 Enroll'!H$1,FALSE)='District Calculations'!$B$15,VLOOKUP($A83,EnrollData2324,'2324 Jun 24 Enroll'!H$1,FALSE),'District Calculations'!$B$15)*Apport_213A2324,3)</f>
        <v>23.091999999999999</v>
      </c>
      <c r="I83">
        <f>ROUND(IF(VLOOKUP($A83,EnrollData2324,'2324 Jun 24 Enroll'!I$1,FALSE)+VLOOKUP($A83,EnrollData2324,'2324 Jun 24 Enroll'!M$1,FALSE)-VLOOKUP($A83,EnrollData2324,'2324 Jun 24 Enroll'!J$1,FALSE)='District Calculations'!$B$16+'District Calculations'!$B$25-'District Calculations'!$B$17,VLOOKUP($A83,EnrollData2324,'2324 Jun 24 Enroll'!I$1,FALSE)+VLOOKUP($A83,EnrollData2324,'2324 Jun 24 Enroll'!M$1,FALSE)-VLOOKUP($A83,EnrollData2324,'2324 Jun 24 Enroll'!J$1,FALSE),'District Calculations'!$B$16+'District Calculations'!$B$25-'District Calculations'!$B$17)*Apport_216A2324,3)</f>
        <v>58.183999999999997</v>
      </c>
      <c r="J83">
        <f>ROUND(SUM(D83:I83)/(IF(VLOOKUP($A83,EnrollData2324,'2324 Jun 24 Enroll'!M$1,FALSE)='District Calculations'!$B$25,VLOOKUP($A83,EnrollData2324,'2324 Jun 24 Enroll'!M$1,FALSE),'District Calculations'!$B$25)+IF(VLOOKUP($A83,EnrollData2324,'2324 Jun 24 Enroll'!D$1,FALSE)='District Calculations'!$B$11,VLOOKUP($A83,EnrollData2324,'2324 Jun 24 Enroll'!D$1,FALSE),'District Calculations'!$B$11)),5)</f>
        <v>5.5530000000000003E-2</v>
      </c>
      <c r="K83" s="11">
        <f t="shared" si="21"/>
        <v>4.365E-3</v>
      </c>
      <c r="L83">
        <f>ROUND(IF(VLOOKUP($A83,EnrollData2324,'2324 Jun 24 Enroll'!D$1,FALSE)='District Calculations'!$B$11,VLOOKUP($A83,EnrollData2324,'2324 Jun 24 Enroll'!D$1,FALSE),'District Calculations'!$B$11)*K83,3)</f>
        <v>0</v>
      </c>
      <c r="M83">
        <f>ROUND(IF(VLOOKUP($A83,EnrollData2324,'2324 Jun 24 Enroll'!E$1,FALSE)='District Calculations'!$B$12,VLOOKUP($A83,EnrollData2324,'2324 Jun 24 Enroll'!E$1,FALSE),'District Calculations'!$B$12)*K83,3)</f>
        <v>3.5379999999999998</v>
      </c>
      <c r="N83">
        <f>ROUND(IF(VLOOKUP($A83,EnrollData2324,'2324 Jun 24 Enroll'!F$1,FALSE)='District Calculations'!$B$13,VLOOKUP($A83,EnrollData2324,'2324 Jun 24 Enroll'!F$1,FALSE),'District Calculations'!$B$13)*Apport_223A2324,3)</f>
        <v>0.84199999999999997</v>
      </c>
      <c r="O83">
        <f>ROUND(IF(VLOOKUP($A83,EnrollData2324,'2324 Jun 24 Enroll'!G$1,FALSE)='District Calculations'!$B$14,VLOOKUP($A83,EnrollData2324,'2324 Jun 24 Enroll'!G$1,FALSE),'District Calculations'!$B$14)*Apport_211A2324,3)</f>
        <v>1.867</v>
      </c>
      <c r="P83">
        <f>ROUND(IF(VLOOKUP($A83,EnrollData2324,'2324 Jun 24 Enroll'!H$1,FALSE)='District Calculations'!$B$14,VLOOKUP($A83,EnrollData2324,'2324 Jun 24 Enroll'!H$1,FALSE),'District Calculations'!$B$14)*Apport_214A2324,3)</f>
        <v>1.8660000000000001</v>
      </c>
      <c r="Q83">
        <f>ROUND(IF(VLOOKUP($A83,EnrollData2324,'2324 Jun 24 Enroll'!I$1,FALSE)+VLOOKUP($A83,EnrollData2324,'2324 Jun 24 Enroll'!M$1,FALSE)-VLOOKUP($A83,EnrollData2324,'2324 Jun 24 Enroll'!J$1,FALSE)='District Calculations'!$B$16+'District Calculations'!$B$25-'District Calculations'!$B$17,VLOOKUP($A83,EnrollData2324,'2324 Jun 24 Enroll'!I$1,FALSE)+VLOOKUP($A83,EnrollData2324,'2324 Jun 24 Enroll'!M$1,FALSE)-VLOOKUP($A83,EnrollData2324,'2324 Jun 24 Enroll'!J$1,FALSE),'District Calculations'!$B$16+'District Calculations'!$B$25-'District Calculations'!$B$17)*Apport_217A2324,3)</f>
        <v>4.6980000000000004</v>
      </c>
      <c r="R83">
        <f>ROUND(SUM(L83:Q83)/IF(VLOOKUP($A83,EnrollData2324,'2324 Jun 24 Enroll'!M$1,FALSE)+VLOOKUP($A83,EnrollData2324,'2324 Jun 24 Enroll'!D$1,FALSE)='District Calculations'!$B$25+'District Calculations'!$B$11,VLOOKUP($A83,EnrollData2324,'2324 Jun 24 Enroll'!M$1,FALSE)+VLOOKUP($A83,EnrollData2324,'2324 Jun 24 Enroll'!D$1,FALSE),'District Calculations'!$B$25+'District Calculations'!$B$11),5)</f>
        <v>4.1000000000000003E-3</v>
      </c>
      <c r="S83" s="11">
        <f t="shared" si="22"/>
        <v>1.8294500000000002E-2</v>
      </c>
      <c r="T83">
        <f>ROUND(IF(VLOOKUP($A83,EnrollData2324,'2324 Jun 24 Enroll'!D$1,FALSE)='District Calculations'!$B$11,VLOOKUP($A83,EnrollData2324,'2324 Jun 24 Enroll'!D$1,FALSE),'District Calculations'!$B$11)*S83,3)</f>
        <v>0</v>
      </c>
      <c r="U83">
        <f>ROUND(IF(VLOOKUP($A83,EnrollData2324,'2324 Jun 24 Enroll'!E$1,FALSE)='District Calculations'!$B$12,VLOOKUP($A83,EnrollData2324,'2324 Jun 24 Enroll'!E$1,FALSE),'District Calculations'!$B$12)*S83,3)</f>
        <v>14.827999999999999</v>
      </c>
      <c r="V83">
        <f>ROUND(IF(VLOOKUP($A83,EnrollData2324,'2324 Jun 24 Enroll'!F$1,FALSE)='District Calculations'!$B$13,VLOOKUP($A83,EnrollData2324,'2324 Jun 24 Enroll'!F$1,FALSE),'District Calculations'!$B$13)*Apport_224A2324,3)</f>
        <v>3.6190000000000002</v>
      </c>
      <c r="W83">
        <f>ROUND(IF(VLOOKUP($A83,EnrollData2324,'2324 Jun 24 Enroll'!G$1,FALSE)='District Calculations'!$B$14,VLOOKUP($A83,EnrollData2324,'2324 Jun 24 Enroll'!G$1,FALSE),'District Calculations'!$B$14)*Apport_212A2324,3)</f>
        <v>8.0239999999999991</v>
      </c>
      <c r="X83">
        <f>ROUND(IF(VLOOKUP($A83,EnrollData2324,'2324 Jun 24 Enroll'!H$1,FALSE)='District Calculations'!$B$14,VLOOKUP($A83,EnrollData2324,'2324 Jun 24 Enroll'!H$1,FALSE),'District Calculations'!$B$14)*Apport_215A2324,3)</f>
        <v>7.9279999999999999</v>
      </c>
      <c r="Y83">
        <f>ROUND(IF(VLOOKUP($A83,EnrollData2324,'2324 Jun 24 Enroll'!I$1,FALSE)+VLOOKUP($A83,EnrollData2324,'2324 Jun 24 Enroll'!M$1,FALSE)-VLOOKUP($A83,EnrollData2324,'2324 Jun 24 Enroll'!J$1,FALSE)='District Calculations'!$B$16+'District Calculations'!$B$25-'District Calculations'!$B$17,VLOOKUP($A83,EnrollData2324,'2324 Jun 24 Enroll'!I$1,FALSE)+VLOOKUP($A83,EnrollData2324,'2324 Jun 24 Enroll'!M$1,FALSE)-VLOOKUP($A83,EnrollData2324,'2324 Jun 24 Enroll'!J$1,FALSE),'District Calculations'!$B$16+'District Calculations'!$B$25-'District Calculations'!$B$17)*Apport_218A2324,3)</f>
        <v>19.917999999999999</v>
      </c>
      <c r="Z83">
        <f>ROUND(SUM(T83:Y83)/IF(VLOOKUP($A83,EnrollData2324,'2324 Jun 24 Enroll'!M$1,FALSE)+VLOOKUP($A83,EnrollData2324,'2324 Jun 24 Enroll'!D$1,FALSE)='District Calculations'!$B$25+'District Calculations'!$B$11,VLOOKUP($A83,EnrollData2324,'2324 Jun 24 Enroll'!M$1,FALSE)+VLOOKUP($A83,EnrollData2324,'2324 Jun 24 Enroll'!D$1,FALSE),'District Calculations'!$B$25+'District Calculations'!$B$11),5)</f>
        <v>1.7399999999999999E-2</v>
      </c>
      <c r="AA83" s="6">
        <f>ROUND($J83*CIS_Base_Salary2324*VLOOKUP($A83,EnrollData2324,'2324 Jun 24 Enroll'!S$1,FALSE),2)</f>
        <v>4038.59</v>
      </c>
      <c r="AB83" s="6">
        <f>ROUND($J83*CIS_Inc_Salary2324*(VLOOKUP($A83,EnrollData2324,'2324 Jun 24 Enroll'!T$1,FALSE)+VLOOKUP($A83,EnrollData2324,'2324 Jun 24 Enroll'!U$1,FALSE)),2)-AA83</f>
        <v>149.43000000000029</v>
      </c>
      <c r="AC83" s="6">
        <f>ROUND($R83*CAS_Base_Salary2324*VLOOKUP($A83,EnrollData2324,'2324 Jun 24 Enroll'!S$1,FALSE),2)</f>
        <v>442.62</v>
      </c>
      <c r="AD83" s="6">
        <f>ROUND($R83*CAS_Inc_Salary2324*VLOOKUP($A83,EnrollData2324,'2324 Jun 24 Enroll'!T$1,FALSE),2)-AC83</f>
        <v>16.379999999999995</v>
      </c>
      <c r="AE83" s="6">
        <f>ROUND($Z83*CLS_Base_Salary2324*VLOOKUP($A83,EnrollData2324,'2324 Jun 24 Enroll'!S$1,FALSE),2)</f>
        <v>907.81</v>
      </c>
      <c r="AF83" s="6">
        <f>ROUND($Z83*CLS_Inc_Salary2324*VLOOKUP($A83,EnrollData2324,'2324 Jun 24 Enroll'!T$1,FALSE),2)-AE83</f>
        <v>33.580000000000041</v>
      </c>
      <c r="AG83">
        <f t="shared" si="35"/>
        <v>734.16</v>
      </c>
      <c r="AH83" s="69">
        <f t="shared" si="23"/>
        <v>68.700000000000045</v>
      </c>
      <c r="AI83">
        <f t="shared" si="36"/>
        <v>214.23</v>
      </c>
      <c r="AJ83">
        <f t="shared" si="24"/>
        <v>114.21000000000001</v>
      </c>
      <c r="AK83">
        <f t="shared" si="25"/>
        <v>805.27</v>
      </c>
      <c r="AL83">
        <f t="shared" si="26"/>
        <v>28.73</v>
      </c>
      <c r="AM83">
        <f t="shared" si="27"/>
        <v>200.26</v>
      </c>
      <c r="AN83">
        <f t="shared" si="28"/>
        <v>6.23</v>
      </c>
      <c r="AO83">
        <f>ROUND(($J83*CIS_Inc_Salary2324*(VLOOKUP($A83,EnrollData2324,'2324 Jun 24 Enroll'!T$1,FALSE)+VLOOKUP($A83,EnrollData2324,'2324 Jun 24 Enroll'!U$1,FALSE))/Apport_613Xpd)*Apport_614Xpd,2)</f>
        <v>69.8</v>
      </c>
      <c r="AP83">
        <f t="shared" si="29"/>
        <v>12.1</v>
      </c>
      <c r="AQ83">
        <f t="shared" si="32"/>
        <v>30.93</v>
      </c>
      <c r="AR83" s="6">
        <f>ROUND((VLOOKUP($A83,EnrollData2324,'2324 Jun 24 Enroll'!D$1,FALSE)*Apport_M802324+VLOOKUP($A83,EnrollData2324,'2324 Jun 24 Enroll'!M$1,FALSE)*Apport_M802324+(VLOOKUP($A83,EnrollData2324,'2324 Jun 24 Enroll'!P$1,FALSE)+VLOOKUP($A83,EnrollData2324,'2324 Jun 24 Enroll'!Q$1,FALSE)+VLOOKUP($A83,EnrollData2324,'2324 Jun 24 Enroll'!R$1,FALSE)+VLOOKUP($A83,EnrollData2324,'2324 Jun 24 Enroll'!I$1,FALSE)+VLOOKUP($A83,EnrollData2324,'2324 Jun 24 Enroll'!N$1,FALSE)+VLOOKUP($A83,EnrollData2324,'2324 Jun 24 Enroll'!O$1,FALSE)+VLOOKUP($A83,EnrollData2324,'2324 Jun 24 Enroll'!K$1,FALSE)+VLOOKUP($A83,EnrollData2324,'2324 Jun 24 Enroll'!L$1,FALSE))*Apport_M812324)/(VLOOKUP($A83,EnrollData2324,'2324 Jun 24 Enroll'!M$1,FALSE)+VLOOKUP($A83,EnrollData2324,'2324 Jun 24 Enroll'!D$1,FALSE)),2)</f>
        <v>1547.14</v>
      </c>
      <c r="AS83" s="7">
        <f t="shared" si="33"/>
        <v>9420.17</v>
      </c>
    </row>
    <row r="84" spans="1:45">
      <c r="A84" s="40" t="s">
        <v>629</v>
      </c>
      <c r="B84" s="40" t="s">
        <v>630</v>
      </c>
      <c r="C84" s="11">
        <f>ROUND((IFERROR((1/IF(VLOOKUP($A84,EnrollData2324,28,FALSE)='District Calculations'!$B$10,VLOOKUP($A84,EnrollData2324,28,FALSE),'District Calculations'!$B$10))*(1+Apport_Z315),0))+Apport_201A2324,6)</f>
        <v>7.3449E-2</v>
      </c>
      <c r="D84">
        <f>ROUND(IF(VLOOKUP($A84,EnrollData2324,'2324 Jun 24 Enroll'!D$1,FALSE)='District Calculations'!$B$11,VLOOKUP($A84,EnrollData2324,'2324 Jun 24 Enroll'!D$1,FALSE),'District Calculations'!$B$11)*C84,3)</f>
        <v>0</v>
      </c>
      <c r="E84">
        <f>ROUND(IF(VLOOKUP($A84,EnrollData2324,'2324 Jun 24 Enroll'!E$1,FALSE)='District Calculations'!$B$12,VLOOKUP($A84,EnrollData2324,'2324 Jun 24 Enroll'!E$1,FALSE),'District Calculations'!$B$12)*C84,3)</f>
        <v>59.53</v>
      </c>
      <c r="F84">
        <f>ROUND(IF(VLOOKUP($A84,EnrollData2324,'2324 Jun 24 Enroll'!F$1,FALSE)='District Calculations'!$B$13,VLOOKUP($A84,EnrollData2324,'2324 Jun 24 Enroll'!F$1,FALSE),'District Calculations'!$B$13)*Apport_222A2324,3)</f>
        <v>10.101000000000001</v>
      </c>
      <c r="G84">
        <f>ROUND(IF(VLOOKUP($A84,EnrollData2324,'2324 Jun 24 Enroll'!G$1,FALSE)='District Calculations'!$B$14,VLOOKUP($A84,EnrollData2324,'2324 Jun 24 Enroll'!G$1,FALSE),'District Calculations'!$B$14)*Apport_210A2324,3)</f>
        <v>22.395</v>
      </c>
      <c r="H84">
        <f>ROUND(IF(VLOOKUP($A84,EnrollData2324,'2324 Jun 24 Enroll'!H$1,FALSE)='District Calculations'!$B$15,VLOOKUP($A84,EnrollData2324,'2324 Jun 24 Enroll'!H$1,FALSE),'District Calculations'!$B$15)*Apport_213A2324,3)</f>
        <v>23.091999999999999</v>
      </c>
      <c r="I84">
        <f>ROUND(IF(VLOOKUP($A84,EnrollData2324,'2324 Jun 24 Enroll'!I$1,FALSE)+VLOOKUP($A84,EnrollData2324,'2324 Jun 24 Enroll'!M$1,FALSE)-VLOOKUP($A84,EnrollData2324,'2324 Jun 24 Enroll'!J$1,FALSE)='District Calculations'!$B$16+'District Calculations'!$B$25-'District Calculations'!$B$17,VLOOKUP($A84,EnrollData2324,'2324 Jun 24 Enroll'!I$1,FALSE)+VLOOKUP($A84,EnrollData2324,'2324 Jun 24 Enroll'!M$1,FALSE)-VLOOKUP($A84,EnrollData2324,'2324 Jun 24 Enroll'!J$1,FALSE),'District Calculations'!$B$16+'District Calculations'!$B$25-'District Calculations'!$B$17)*Apport_216A2324,3)</f>
        <v>58.183999999999997</v>
      </c>
      <c r="J84">
        <f>ROUND(SUM(D84:I84)/(IF(VLOOKUP($A84,EnrollData2324,'2324 Jun 24 Enroll'!M$1,FALSE)='District Calculations'!$B$25,VLOOKUP($A84,EnrollData2324,'2324 Jun 24 Enroll'!M$1,FALSE),'District Calculations'!$B$25)+IF(VLOOKUP($A84,EnrollData2324,'2324 Jun 24 Enroll'!D$1,FALSE)='District Calculations'!$B$11,VLOOKUP($A84,EnrollData2324,'2324 Jun 24 Enroll'!D$1,FALSE),'District Calculations'!$B$11)),5)</f>
        <v>5.5530000000000003E-2</v>
      </c>
      <c r="K84" s="11">
        <f t="shared" si="21"/>
        <v>4.365E-3</v>
      </c>
      <c r="L84">
        <f>ROUND(IF(VLOOKUP($A84,EnrollData2324,'2324 Jun 24 Enroll'!D$1,FALSE)='District Calculations'!$B$11,VLOOKUP($A84,EnrollData2324,'2324 Jun 24 Enroll'!D$1,FALSE),'District Calculations'!$B$11)*K84,3)</f>
        <v>0</v>
      </c>
      <c r="M84">
        <f>ROUND(IF(VLOOKUP($A84,EnrollData2324,'2324 Jun 24 Enroll'!E$1,FALSE)='District Calculations'!$B$12,VLOOKUP($A84,EnrollData2324,'2324 Jun 24 Enroll'!E$1,FALSE),'District Calculations'!$B$12)*K84,3)</f>
        <v>3.5379999999999998</v>
      </c>
      <c r="N84">
        <f>ROUND(IF(VLOOKUP($A84,EnrollData2324,'2324 Jun 24 Enroll'!F$1,FALSE)='District Calculations'!$B$13,VLOOKUP($A84,EnrollData2324,'2324 Jun 24 Enroll'!F$1,FALSE),'District Calculations'!$B$13)*Apport_223A2324,3)</f>
        <v>0.84199999999999997</v>
      </c>
      <c r="O84">
        <f>ROUND(IF(VLOOKUP($A84,EnrollData2324,'2324 Jun 24 Enroll'!G$1,FALSE)='District Calculations'!$B$14,VLOOKUP($A84,EnrollData2324,'2324 Jun 24 Enroll'!G$1,FALSE),'District Calculations'!$B$14)*Apport_211A2324,3)</f>
        <v>1.867</v>
      </c>
      <c r="P84">
        <f>ROUND(IF(VLOOKUP($A84,EnrollData2324,'2324 Jun 24 Enroll'!H$1,FALSE)='District Calculations'!$B$14,VLOOKUP($A84,EnrollData2324,'2324 Jun 24 Enroll'!H$1,FALSE),'District Calculations'!$B$14)*Apport_214A2324,3)</f>
        <v>1.8660000000000001</v>
      </c>
      <c r="Q84">
        <f>ROUND(IF(VLOOKUP($A84,EnrollData2324,'2324 Jun 24 Enroll'!I$1,FALSE)+VLOOKUP($A84,EnrollData2324,'2324 Jun 24 Enroll'!M$1,FALSE)-VLOOKUP($A84,EnrollData2324,'2324 Jun 24 Enroll'!J$1,FALSE)='District Calculations'!$B$16+'District Calculations'!$B$25-'District Calculations'!$B$17,VLOOKUP($A84,EnrollData2324,'2324 Jun 24 Enroll'!I$1,FALSE)+VLOOKUP($A84,EnrollData2324,'2324 Jun 24 Enroll'!M$1,FALSE)-VLOOKUP($A84,EnrollData2324,'2324 Jun 24 Enroll'!J$1,FALSE),'District Calculations'!$B$16+'District Calculations'!$B$25-'District Calculations'!$B$17)*Apport_217A2324,3)</f>
        <v>4.6980000000000004</v>
      </c>
      <c r="R84">
        <f>ROUND(SUM(L84:Q84)/IF(VLOOKUP($A84,EnrollData2324,'2324 Jun 24 Enroll'!M$1,FALSE)+VLOOKUP($A84,EnrollData2324,'2324 Jun 24 Enroll'!D$1,FALSE)='District Calculations'!$B$25+'District Calculations'!$B$11,VLOOKUP($A84,EnrollData2324,'2324 Jun 24 Enroll'!M$1,FALSE)+VLOOKUP($A84,EnrollData2324,'2324 Jun 24 Enroll'!D$1,FALSE),'District Calculations'!$B$25+'District Calculations'!$B$11),5)</f>
        <v>4.1000000000000003E-3</v>
      </c>
      <c r="S84" s="11">
        <f t="shared" si="22"/>
        <v>1.8294500000000002E-2</v>
      </c>
      <c r="T84">
        <f>ROUND(IF(VLOOKUP($A84,EnrollData2324,'2324 Jun 24 Enroll'!D$1,FALSE)='District Calculations'!$B$11,VLOOKUP($A84,EnrollData2324,'2324 Jun 24 Enroll'!D$1,FALSE),'District Calculations'!$B$11)*S84,3)</f>
        <v>0</v>
      </c>
      <c r="U84">
        <f>ROUND(IF(VLOOKUP($A84,EnrollData2324,'2324 Jun 24 Enroll'!E$1,FALSE)='District Calculations'!$B$12,VLOOKUP($A84,EnrollData2324,'2324 Jun 24 Enroll'!E$1,FALSE),'District Calculations'!$B$12)*S84,3)</f>
        <v>14.827999999999999</v>
      </c>
      <c r="V84">
        <f>ROUND(IF(VLOOKUP($A84,EnrollData2324,'2324 Jun 24 Enroll'!F$1,FALSE)='District Calculations'!$B$13,VLOOKUP($A84,EnrollData2324,'2324 Jun 24 Enroll'!F$1,FALSE),'District Calculations'!$B$13)*Apport_224A2324,3)</f>
        <v>3.6190000000000002</v>
      </c>
      <c r="W84">
        <f>ROUND(IF(VLOOKUP($A84,EnrollData2324,'2324 Jun 24 Enroll'!G$1,FALSE)='District Calculations'!$B$14,VLOOKUP($A84,EnrollData2324,'2324 Jun 24 Enroll'!G$1,FALSE),'District Calculations'!$B$14)*Apport_212A2324,3)</f>
        <v>8.0239999999999991</v>
      </c>
      <c r="X84">
        <f>ROUND(IF(VLOOKUP($A84,EnrollData2324,'2324 Jun 24 Enroll'!H$1,FALSE)='District Calculations'!$B$14,VLOOKUP($A84,EnrollData2324,'2324 Jun 24 Enroll'!H$1,FALSE),'District Calculations'!$B$14)*Apport_215A2324,3)</f>
        <v>7.9279999999999999</v>
      </c>
      <c r="Y84">
        <f>ROUND(IF(VLOOKUP($A84,EnrollData2324,'2324 Jun 24 Enroll'!I$1,FALSE)+VLOOKUP($A84,EnrollData2324,'2324 Jun 24 Enroll'!M$1,FALSE)-VLOOKUP($A84,EnrollData2324,'2324 Jun 24 Enroll'!J$1,FALSE)='District Calculations'!$B$16+'District Calculations'!$B$25-'District Calculations'!$B$17,VLOOKUP($A84,EnrollData2324,'2324 Jun 24 Enroll'!I$1,FALSE)+VLOOKUP($A84,EnrollData2324,'2324 Jun 24 Enroll'!M$1,FALSE)-VLOOKUP($A84,EnrollData2324,'2324 Jun 24 Enroll'!J$1,FALSE),'District Calculations'!$B$16+'District Calculations'!$B$25-'District Calculations'!$B$17)*Apport_218A2324,3)</f>
        <v>19.917999999999999</v>
      </c>
      <c r="Z84">
        <f>ROUND(SUM(T84:Y84)/IF(VLOOKUP($A84,EnrollData2324,'2324 Jun 24 Enroll'!M$1,FALSE)+VLOOKUP($A84,EnrollData2324,'2324 Jun 24 Enroll'!D$1,FALSE)='District Calculations'!$B$25+'District Calculations'!$B$11,VLOOKUP($A84,EnrollData2324,'2324 Jun 24 Enroll'!M$1,FALSE)+VLOOKUP($A84,EnrollData2324,'2324 Jun 24 Enroll'!D$1,FALSE),'District Calculations'!$B$25+'District Calculations'!$B$11),5)</f>
        <v>1.7399999999999999E-2</v>
      </c>
      <c r="AA84" s="6">
        <f>ROUND($J84*CIS_Base_Salary2324*VLOOKUP($A84,EnrollData2324,'2324 Jun 24 Enroll'!S$1,FALSE),2)</f>
        <v>4038.59</v>
      </c>
      <c r="AB84" s="6">
        <f>ROUND($J84*CIS_Inc_Salary2324*(VLOOKUP($A84,EnrollData2324,'2324 Jun 24 Enroll'!T$1,FALSE)+VLOOKUP($A84,EnrollData2324,'2324 Jun 24 Enroll'!U$1,FALSE)),2)-AA84</f>
        <v>149.43000000000029</v>
      </c>
      <c r="AC84" s="6">
        <f>ROUND($R84*CAS_Base_Salary2324*VLOOKUP($A84,EnrollData2324,'2324 Jun 24 Enroll'!S$1,FALSE),2)</f>
        <v>442.62</v>
      </c>
      <c r="AD84" s="6">
        <f>ROUND($R84*CAS_Inc_Salary2324*VLOOKUP($A84,EnrollData2324,'2324 Jun 24 Enroll'!T$1,FALSE),2)-AC84</f>
        <v>16.379999999999995</v>
      </c>
      <c r="AE84" s="6">
        <f>ROUND($Z84*CLS_Base_Salary2324*VLOOKUP($A84,EnrollData2324,'2324 Jun 24 Enroll'!S$1,FALSE),2)</f>
        <v>907.81</v>
      </c>
      <c r="AF84" s="6">
        <f>ROUND($Z84*CLS_Inc_Salary2324*VLOOKUP($A84,EnrollData2324,'2324 Jun 24 Enroll'!T$1,FALSE),2)-AE84</f>
        <v>33.580000000000041</v>
      </c>
      <c r="AG84">
        <f t="shared" si="35"/>
        <v>734.16</v>
      </c>
      <c r="AH84" s="69">
        <f t="shared" si="23"/>
        <v>68.700000000000045</v>
      </c>
      <c r="AI84">
        <f t="shared" si="36"/>
        <v>214.23</v>
      </c>
      <c r="AJ84">
        <f t="shared" si="24"/>
        <v>114.21000000000001</v>
      </c>
      <c r="AK84">
        <f t="shared" si="25"/>
        <v>805.27</v>
      </c>
      <c r="AL84">
        <f t="shared" si="26"/>
        <v>28.73</v>
      </c>
      <c r="AM84">
        <f t="shared" si="27"/>
        <v>200.26</v>
      </c>
      <c r="AN84">
        <f t="shared" si="28"/>
        <v>6.23</v>
      </c>
      <c r="AO84">
        <f>ROUND(($J84*CIS_Inc_Salary2324*(VLOOKUP($A84,EnrollData2324,'2324 Jun 24 Enroll'!T$1,FALSE)+VLOOKUP($A84,EnrollData2324,'2324 Jun 24 Enroll'!U$1,FALSE))/Apport_613Xpd)*Apport_614Xpd,2)</f>
        <v>69.8</v>
      </c>
      <c r="AP84">
        <f t="shared" si="29"/>
        <v>12.1</v>
      </c>
      <c r="AQ84">
        <f t="shared" si="32"/>
        <v>30.93</v>
      </c>
      <c r="AR84" s="6">
        <f>ROUND((VLOOKUP($A84,EnrollData2324,'2324 Jun 24 Enroll'!D$1,FALSE)*Apport_M802324+VLOOKUP($A84,EnrollData2324,'2324 Jun 24 Enroll'!M$1,FALSE)*Apport_M802324+(VLOOKUP($A84,EnrollData2324,'2324 Jun 24 Enroll'!P$1,FALSE)+VLOOKUP($A84,EnrollData2324,'2324 Jun 24 Enroll'!Q$1,FALSE)+VLOOKUP($A84,EnrollData2324,'2324 Jun 24 Enroll'!R$1,FALSE)+VLOOKUP($A84,EnrollData2324,'2324 Jun 24 Enroll'!I$1,FALSE)+VLOOKUP($A84,EnrollData2324,'2324 Jun 24 Enroll'!N$1,FALSE)+VLOOKUP($A84,EnrollData2324,'2324 Jun 24 Enroll'!O$1,FALSE)+VLOOKUP($A84,EnrollData2324,'2324 Jun 24 Enroll'!K$1,FALSE)+VLOOKUP($A84,EnrollData2324,'2324 Jun 24 Enroll'!L$1,FALSE))*Apport_M812324)/(VLOOKUP($A84,EnrollData2324,'2324 Jun 24 Enroll'!M$1,FALSE)+VLOOKUP($A84,EnrollData2324,'2324 Jun 24 Enroll'!D$1,FALSE)),2)</f>
        <v>1549.38</v>
      </c>
      <c r="AS84" s="7">
        <f t="shared" si="33"/>
        <v>9422.41</v>
      </c>
    </row>
    <row r="85" spans="1:45">
      <c r="A85" s="40" t="s">
        <v>789</v>
      </c>
      <c r="B85" s="40" t="s">
        <v>790</v>
      </c>
      <c r="C85" s="11">
        <f>ROUND((IFERROR((1/IF(VLOOKUP($A85,EnrollData2324,28,FALSE)='District Calculations'!$B$10,VLOOKUP($A85,EnrollData2324,28,FALSE),'District Calculations'!$B$10))*(1+Apport_Z315),0))+Apport_201A2324,6)</f>
        <v>7.3449E-2</v>
      </c>
      <c r="D85">
        <f>ROUND(IF(VLOOKUP($A85,EnrollData2324,'2324 Jun 24 Enroll'!D$1,FALSE)='District Calculations'!$B$11,VLOOKUP($A85,EnrollData2324,'2324 Jun 24 Enroll'!D$1,FALSE),'District Calculations'!$B$11)*C85,3)</f>
        <v>0</v>
      </c>
      <c r="E85">
        <f>ROUND(IF(VLOOKUP($A85,EnrollData2324,'2324 Jun 24 Enroll'!E$1,FALSE)='District Calculations'!$B$12,VLOOKUP($A85,EnrollData2324,'2324 Jun 24 Enroll'!E$1,FALSE),'District Calculations'!$B$12)*C85,3)</f>
        <v>59.53</v>
      </c>
      <c r="F85">
        <f>ROUND(IF(VLOOKUP($A85,EnrollData2324,'2324 Jun 24 Enroll'!F$1,FALSE)='District Calculations'!$B$13,VLOOKUP($A85,EnrollData2324,'2324 Jun 24 Enroll'!F$1,FALSE),'District Calculations'!$B$13)*Apport_222A2324,3)</f>
        <v>10.101000000000001</v>
      </c>
      <c r="G85">
        <f>ROUND(IF(VLOOKUP($A85,EnrollData2324,'2324 Jun 24 Enroll'!G$1,FALSE)='District Calculations'!$B$14,VLOOKUP($A85,EnrollData2324,'2324 Jun 24 Enroll'!G$1,FALSE),'District Calculations'!$B$14)*Apport_210A2324,3)</f>
        <v>22.395</v>
      </c>
      <c r="H85">
        <f>ROUND(IF(VLOOKUP($A85,EnrollData2324,'2324 Jun 24 Enroll'!H$1,FALSE)='District Calculations'!$B$15,VLOOKUP($A85,EnrollData2324,'2324 Jun 24 Enroll'!H$1,FALSE),'District Calculations'!$B$15)*Apport_213A2324,3)</f>
        <v>23.091999999999999</v>
      </c>
      <c r="I85">
        <f>ROUND(IF(VLOOKUP($A85,EnrollData2324,'2324 Jun 24 Enroll'!I$1,FALSE)+VLOOKUP($A85,EnrollData2324,'2324 Jun 24 Enroll'!M$1,FALSE)-VLOOKUP($A85,EnrollData2324,'2324 Jun 24 Enroll'!J$1,FALSE)='District Calculations'!$B$16+'District Calculations'!$B$25-'District Calculations'!$B$17,VLOOKUP($A85,EnrollData2324,'2324 Jun 24 Enroll'!I$1,FALSE)+VLOOKUP($A85,EnrollData2324,'2324 Jun 24 Enroll'!M$1,FALSE)-VLOOKUP($A85,EnrollData2324,'2324 Jun 24 Enroll'!J$1,FALSE),'District Calculations'!$B$16+'District Calculations'!$B$25-'District Calculations'!$B$17)*Apport_216A2324,3)</f>
        <v>58.183999999999997</v>
      </c>
      <c r="J85">
        <f>ROUND(SUM(D85:I85)/(IF(VLOOKUP($A85,EnrollData2324,'2324 Jun 24 Enroll'!M$1,FALSE)='District Calculations'!$B$25,VLOOKUP($A85,EnrollData2324,'2324 Jun 24 Enroll'!M$1,FALSE),'District Calculations'!$B$25)+IF(VLOOKUP($A85,EnrollData2324,'2324 Jun 24 Enroll'!D$1,FALSE)='District Calculations'!$B$11,VLOOKUP($A85,EnrollData2324,'2324 Jun 24 Enroll'!D$1,FALSE),'District Calculations'!$B$11)),5)</f>
        <v>5.5530000000000003E-2</v>
      </c>
      <c r="K85" s="11">
        <f t="shared" si="21"/>
        <v>4.365E-3</v>
      </c>
      <c r="L85">
        <f>ROUND(IF(VLOOKUP($A85,EnrollData2324,'2324 Jun 24 Enroll'!D$1,FALSE)='District Calculations'!$B$11,VLOOKUP($A85,EnrollData2324,'2324 Jun 24 Enroll'!D$1,FALSE),'District Calculations'!$B$11)*K85,3)</f>
        <v>0</v>
      </c>
      <c r="M85">
        <f>ROUND(IF(VLOOKUP($A85,EnrollData2324,'2324 Jun 24 Enroll'!E$1,FALSE)='District Calculations'!$B$12,VLOOKUP($A85,EnrollData2324,'2324 Jun 24 Enroll'!E$1,FALSE),'District Calculations'!$B$12)*K85,3)</f>
        <v>3.5379999999999998</v>
      </c>
      <c r="N85">
        <f>ROUND(IF(VLOOKUP($A85,EnrollData2324,'2324 Jun 24 Enroll'!F$1,FALSE)='District Calculations'!$B$13,VLOOKUP($A85,EnrollData2324,'2324 Jun 24 Enroll'!F$1,FALSE),'District Calculations'!$B$13)*Apport_223A2324,3)</f>
        <v>0.84199999999999997</v>
      </c>
      <c r="O85">
        <f>ROUND(IF(VLOOKUP($A85,EnrollData2324,'2324 Jun 24 Enroll'!G$1,FALSE)='District Calculations'!$B$14,VLOOKUP($A85,EnrollData2324,'2324 Jun 24 Enroll'!G$1,FALSE),'District Calculations'!$B$14)*Apport_211A2324,3)</f>
        <v>1.867</v>
      </c>
      <c r="P85">
        <f>ROUND(IF(VLOOKUP($A85,EnrollData2324,'2324 Jun 24 Enroll'!H$1,FALSE)='District Calculations'!$B$14,VLOOKUP($A85,EnrollData2324,'2324 Jun 24 Enroll'!H$1,FALSE),'District Calculations'!$B$14)*Apport_214A2324,3)</f>
        <v>1.8660000000000001</v>
      </c>
      <c r="Q85">
        <f>ROUND(IF(VLOOKUP($A85,EnrollData2324,'2324 Jun 24 Enroll'!I$1,FALSE)+VLOOKUP($A85,EnrollData2324,'2324 Jun 24 Enroll'!M$1,FALSE)-VLOOKUP($A85,EnrollData2324,'2324 Jun 24 Enroll'!J$1,FALSE)='District Calculations'!$B$16+'District Calculations'!$B$25-'District Calculations'!$B$17,VLOOKUP($A85,EnrollData2324,'2324 Jun 24 Enroll'!I$1,FALSE)+VLOOKUP($A85,EnrollData2324,'2324 Jun 24 Enroll'!M$1,FALSE)-VLOOKUP($A85,EnrollData2324,'2324 Jun 24 Enroll'!J$1,FALSE),'District Calculations'!$B$16+'District Calculations'!$B$25-'District Calculations'!$B$17)*Apport_217A2324,3)</f>
        <v>4.6980000000000004</v>
      </c>
      <c r="R85">
        <f>ROUND(SUM(L85:Q85)/IF(VLOOKUP($A85,EnrollData2324,'2324 Jun 24 Enroll'!M$1,FALSE)+VLOOKUP($A85,EnrollData2324,'2324 Jun 24 Enroll'!D$1,FALSE)='District Calculations'!$B$25+'District Calculations'!$B$11,VLOOKUP($A85,EnrollData2324,'2324 Jun 24 Enroll'!M$1,FALSE)+VLOOKUP($A85,EnrollData2324,'2324 Jun 24 Enroll'!D$1,FALSE),'District Calculations'!$B$25+'District Calculations'!$B$11),5)</f>
        <v>4.1000000000000003E-3</v>
      </c>
      <c r="S85" s="11">
        <f t="shared" si="22"/>
        <v>1.8294500000000002E-2</v>
      </c>
      <c r="T85">
        <f>ROUND(IF(VLOOKUP($A85,EnrollData2324,'2324 Jun 24 Enroll'!D$1,FALSE)='District Calculations'!$B$11,VLOOKUP($A85,EnrollData2324,'2324 Jun 24 Enroll'!D$1,FALSE),'District Calculations'!$B$11)*S85,3)</f>
        <v>0</v>
      </c>
      <c r="U85">
        <f>ROUND(IF(VLOOKUP($A85,EnrollData2324,'2324 Jun 24 Enroll'!E$1,FALSE)='District Calculations'!$B$12,VLOOKUP($A85,EnrollData2324,'2324 Jun 24 Enroll'!E$1,FALSE),'District Calculations'!$B$12)*S85,3)</f>
        <v>14.827999999999999</v>
      </c>
      <c r="V85">
        <f>ROUND(IF(VLOOKUP($A85,EnrollData2324,'2324 Jun 24 Enroll'!F$1,FALSE)='District Calculations'!$B$13,VLOOKUP($A85,EnrollData2324,'2324 Jun 24 Enroll'!F$1,FALSE),'District Calculations'!$B$13)*Apport_224A2324,3)</f>
        <v>3.6190000000000002</v>
      </c>
      <c r="W85">
        <f>ROUND(IF(VLOOKUP($A85,EnrollData2324,'2324 Jun 24 Enroll'!G$1,FALSE)='District Calculations'!$B$14,VLOOKUP($A85,EnrollData2324,'2324 Jun 24 Enroll'!G$1,FALSE),'District Calculations'!$B$14)*Apport_212A2324,3)</f>
        <v>8.0239999999999991</v>
      </c>
      <c r="X85">
        <f>ROUND(IF(VLOOKUP($A85,EnrollData2324,'2324 Jun 24 Enroll'!H$1,FALSE)='District Calculations'!$B$14,VLOOKUP($A85,EnrollData2324,'2324 Jun 24 Enroll'!H$1,FALSE),'District Calculations'!$B$14)*Apport_215A2324,3)</f>
        <v>7.9279999999999999</v>
      </c>
      <c r="Y85">
        <f>ROUND(IF(VLOOKUP($A85,EnrollData2324,'2324 Jun 24 Enroll'!I$1,FALSE)+VLOOKUP($A85,EnrollData2324,'2324 Jun 24 Enroll'!M$1,FALSE)-VLOOKUP($A85,EnrollData2324,'2324 Jun 24 Enroll'!J$1,FALSE)='District Calculations'!$B$16+'District Calculations'!$B$25-'District Calculations'!$B$17,VLOOKUP($A85,EnrollData2324,'2324 Jun 24 Enroll'!I$1,FALSE)+VLOOKUP($A85,EnrollData2324,'2324 Jun 24 Enroll'!M$1,FALSE)-VLOOKUP($A85,EnrollData2324,'2324 Jun 24 Enroll'!J$1,FALSE),'District Calculations'!$B$16+'District Calculations'!$B$25-'District Calculations'!$B$17)*Apport_218A2324,3)</f>
        <v>19.917999999999999</v>
      </c>
      <c r="Z85">
        <f>ROUND(SUM(T85:Y85)/IF(VLOOKUP($A85,EnrollData2324,'2324 Jun 24 Enroll'!M$1,FALSE)+VLOOKUP($A85,EnrollData2324,'2324 Jun 24 Enroll'!D$1,FALSE)='District Calculations'!$B$25+'District Calculations'!$B$11,VLOOKUP($A85,EnrollData2324,'2324 Jun 24 Enroll'!M$1,FALSE)+VLOOKUP($A85,EnrollData2324,'2324 Jun 24 Enroll'!D$1,FALSE),'District Calculations'!$B$25+'District Calculations'!$B$11),5)</f>
        <v>1.7399999999999999E-2</v>
      </c>
      <c r="AA85" s="6">
        <f>ROUND($J85*CIS_Base_Salary2324*VLOOKUP($A85,EnrollData2324,'2324 Jun 24 Enroll'!S$1,FALSE),2)</f>
        <v>4038.59</v>
      </c>
      <c r="AB85" s="6">
        <f>ROUND($J85*CIS_Inc_Salary2324*(VLOOKUP($A85,EnrollData2324,'2324 Jun 24 Enroll'!T$1,FALSE)+VLOOKUP($A85,EnrollData2324,'2324 Jun 24 Enroll'!U$1,FALSE)),2)-AA85</f>
        <v>149.43000000000029</v>
      </c>
      <c r="AC85" s="6">
        <f>ROUND($R85*CAS_Base_Salary2324*VLOOKUP($A85,EnrollData2324,'2324 Jun 24 Enroll'!S$1,FALSE),2)</f>
        <v>442.62</v>
      </c>
      <c r="AD85" s="6">
        <f>ROUND($R85*CAS_Inc_Salary2324*VLOOKUP($A85,EnrollData2324,'2324 Jun 24 Enroll'!T$1,FALSE),2)-AC85</f>
        <v>16.379999999999995</v>
      </c>
      <c r="AE85" s="6">
        <f>ROUND($Z85*CLS_Base_Salary2324*VLOOKUP($A85,EnrollData2324,'2324 Jun 24 Enroll'!S$1,FALSE),2)</f>
        <v>907.81</v>
      </c>
      <c r="AF85" s="6">
        <f>ROUND($Z85*CLS_Inc_Salary2324*VLOOKUP($A85,EnrollData2324,'2324 Jun 24 Enroll'!T$1,FALSE),2)-AE85</f>
        <v>33.580000000000041</v>
      </c>
      <c r="AG85">
        <f t="shared" si="35"/>
        <v>734.16</v>
      </c>
      <c r="AH85" s="69">
        <f t="shared" si="23"/>
        <v>68.700000000000045</v>
      </c>
      <c r="AI85">
        <f t="shared" si="36"/>
        <v>214.23</v>
      </c>
      <c r="AJ85">
        <f t="shared" si="24"/>
        <v>114.21000000000001</v>
      </c>
      <c r="AK85">
        <f t="shared" si="25"/>
        <v>805.27</v>
      </c>
      <c r="AL85">
        <f t="shared" si="26"/>
        <v>28.73</v>
      </c>
      <c r="AM85">
        <f t="shared" si="27"/>
        <v>200.26</v>
      </c>
      <c r="AN85">
        <f t="shared" si="28"/>
        <v>6.23</v>
      </c>
      <c r="AO85">
        <f>ROUND(($J85*CIS_Inc_Salary2324*(VLOOKUP($A85,EnrollData2324,'2324 Jun 24 Enroll'!T$1,FALSE)+VLOOKUP($A85,EnrollData2324,'2324 Jun 24 Enroll'!U$1,FALSE))/Apport_613Xpd)*Apport_614Xpd,2)</f>
        <v>69.8</v>
      </c>
      <c r="AP85">
        <f t="shared" si="29"/>
        <v>12.1</v>
      </c>
      <c r="AQ85">
        <f t="shared" si="32"/>
        <v>30.93</v>
      </c>
      <c r="AR85" s="6">
        <f>ROUND((VLOOKUP($A85,EnrollData2324,'2324 Jun 24 Enroll'!D$1,FALSE)*Apport_M802324+VLOOKUP($A85,EnrollData2324,'2324 Jun 24 Enroll'!M$1,FALSE)*Apport_M802324+(VLOOKUP($A85,EnrollData2324,'2324 Jun 24 Enroll'!P$1,FALSE)+VLOOKUP($A85,EnrollData2324,'2324 Jun 24 Enroll'!Q$1,FALSE)+VLOOKUP($A85,EnrollData2324,'2324 Jun 24 Enroll'!R$1,FALSE)+VLOOKUP($A85,EnrollData2324,'2324 Jun 24 Enroll'!I$1,FALSE)+VLOOKUP($A85,EnrollData2324,'2324 Jun 24 Enroll'!N$1,FALSE)+VLOOKUP($A85,EnrollData2324,'2324 Jun 24 Enroll'!O$1,FALSE)+VLOOKUP($A85,EnrollData2324,'2324 Jun 24 Enroll'!K$1,FALSE)+VLOOKUP($A85,EnrollData2324,'2324 Jun 24 Enroll'!L$1,FALSE))*Apport_M812324)/(VLOOKUP($A85,EnrollData2324,'2324 Jun 24 Enroll'!M$1,FALSE)+VLOOKUP($A85,EnrollData2324,'2324 Jun 24 Enroll'!D$1,FALSE)),2)</f>
        <v>1483.44</v>
      </c>
      <c r="AS85" s="7">
        <f t="shared" si="33"/>
        <v>9356.4699999999993</v>
      </c>
    </row>
    <row r="86" spans="1:45">
      <c r="A86" s="40" t="s">
        <v>693</v>
      </c>
      <c r="B86" s="40" t="s">
        <v>694</v>
      </c>
      <c r="C86" s="11">
        <f>ROUND((IFERROR((1/IF(VLOOKUP($A86,EnrollData2324,28,FALSE)='District Calculations'!$B$10,VLOOKUP($A86,EnrollData2324,28,FALSE),'District Calculations'!$B$10))*(1+Apport_Z315),0))+Apport_201A2324,6)</f>
        <v>7.3449E-2</v>
      </c>
      <c r="D86">
        <f>ROUND(IF(VLOOKUP($A86,EnrollData2324,'2324 Jun 24 Enroll'!D$1,FALSE)='District Calculations'!$B$11,VLOOKUP($A86,EnrollData2324,'2324 Jun 24 Enroll'!D$1,FALSE),'District Calculations'!$B$11)*C86,3)</f>
        <v>0</v>
      </c>
      <c r="E86">
        <f>ROUND(IF(VLOOKUP($A86,EnrollData2324,'2324 Jun 24 Enroll'!E$1,FALSE)='District Calculations'!$B$12,VLOOKUP($A86,EnrollData2324,'2324 Jun 24 Enroll'!E$1,FALSE),'District Calculations'!$B$12)*C86,3)</f>
        <v>59.53</v>
      </c>
      <c r="F86">
        <f>ROUND(IF(VLOOKUP($A86,EnrollData2324,'2324 Jun 24 Enroll'!F$1,FALSE)='District Calculations'!$B$13,VLOOKUP($A86,EnrollData2324,'2324 Jun 24 Enroll'!F$1,FALSE),'District Calculations'!$B$13)*Apport_222A2324,3)</f>
        <v>10.101000000000001</v>
      </c>
      <c r="G86">
        <f>ROUND(IF(VLOOKUP($A86,EnrollData2324,'2324 Jun 24 Enroll'!G$1,FALSE)='District Calculations'!$B$14,VLOOKUP($A86,EnrollData2324,'2324 Jun 24 Enroll'!G$1,FALSE),'District Calculations'!$B$14)*Apport_210A2324,3)</f>
        <v>22.395</v>
      </c>
      <c r="H86">
        <f>ROUND(IF(VLOOKUP($A86,EnrollData2324,'2324 Jun 24 Enroll'!H$1,FALSE)='District Calculations'!$B$15,VLOOKUP($A86,EnrollData2324,'2324 Jun 24 Enroll'!H$1,FALSE),'District Calculations'!$B$15)*Apport_213A2324,3)</f>
        <v>23.091999999999999</v>
      </c>
      <c r="I86">
        <f>ROUND(IF(VLOOKUP($A86,EnrollData2324,'2324 Jun 24 Enroll'!I$1,FALSE)+VLOOKUP($A86,EnrollData2324,'2324 Jun 24 Enroll'!M$1,FALSE)-VLOOKUP($A86,EnrollData2324,'2324 Jun 24 Enroll'!J$1,FALSE)='District Calculations'!$B$16+'District Calculations'!$B$25-'District Calculations'!$B$17,VLOOKUP($A86,EnrollData2324,'2324 Jun 24 Enroll'!I$1,FALSE)+VLOOKUP($A86,EnrollData2324,'2324 Jun 24 Enroll'!M$1,FALSE)-VLOOKUP($A86,EnrollData2324,'2324 Jun 24 Enroll'!J$1,FALSE),'District Calculations'!$B$16+'District Calculations'!$B$25-'District Calculations'!$B$17)*Apport_216A2324,3)</f>
        <v>58.183999999999997</v>
      </c>
      <c r="J86">
        <f>ROUND(SUM(D86:I86)/(IF(VLOOKUP($A86,EnrollData2324,'2324 Jun 24 Enroll'!M$1,FALSE)='District Calculations'!$B$25,VLOOKUP($A86,EnrollData2324,'2324 Jun 24 Enroll'!M$1,FALSE),'District Calculations'!$B$25)+IF(VLOOKUP($A86,EnrollData2324,'2324 Jun 24 Enroll'!D$1,FALSE)='District Calculations'!$B$11,VLOOKUP($A86,EnrollData2324,'2324 Jun 24 Enroll'!D$1,FALSE),'District Calculations'!$B$11)),5)</f>
        <v>5.5530000000000003E-2</v>
      </c>
      <c r="K86" s="11">
        <f t="shared" si="21"/>
        <v>4.365E-3</v>
      </c>
      <c r="L86">
        <f>ROUND(IF(VLOOKUP($A86,EnrollData2324,'2324 Jun 24 Enroll'!D$1,FALSE)='District Calculations'!$B$11,VLOOKUP($A86,EnrollData2324,'2324 Jun 24 Enroll'!D$1,FALSE),'District Calculations'!$B$11)*K86,3)</f>
        <v>0</v>
      </c>
      <c r="M86">
        <f>ROUND(IF(VLOOKUP($A86,EnrollData2324,'2324 Jun 24 Enroll'!E$1,FALSE)='District Calculations'!$B$12,VLOOKUP($A86,EnrollData2324,'2324 Jun 24 Enroll'!E$1,FALSE),'District Calculations'!$B$12)*K86,3)</f>
        <v>3.5379999999999998</v>
      </c>
      <c r="N86">
        <f>ROUND(IF(VLOOKUP($A86,EnrollData2324,'2324 Jun 24 Enroll'!F$1,FALSE)='District Calculations'!$B$13,VLOOKUP($A86,EnrollData2324,'2324 Jun 24 Enroll'!F$1,FALSE),'District Calculations'!$B$13)*Apport_223A2324,3)</f>
        <v>0.84199999999999997</v>
      </c>
      <c r="O86">
        <f>ROUND(IF(VLOOKUP($A86,EnrollData2324,'2324 Jun 24 Enroll'!G$1,FALSE)='District Calculations'!$B$14,VLOOKUP($A86,EnrollData2324,'2324 Jun 24 Enroll'!G$1,FALSE),'District Calculations'!$B$14)*Apport_211A2324,3)</f>
        <v>1.867</v>
      </c>
      <c r="P86">
        <f>ROUND(IF(VLOOKUP($A86,EnrollData2324,'2324 Jun 24 Enroll'!H$1,FALSE)='District Calculations'!$B$14,VLOOKUP($A86,EnrollData2324,'2324 Jun 24 Enroll'!H$1,FALSE),'District Calculations'!$B$14)*Apport_214A2324,3)</f>
        <v>1.8660000000000001</v>
      </c>
      <c r="Q86">
        <f>ROUND(IF(VLOOKUP($A86,EnrollData2324,'2324 Jun 24 Enroll'!I$1,FALSE)+VLOOKUP($A86,EnrollData2324,'2324 Jun 24 Enroll'!M$1,FALSE)-VLOOKUP($A86,EnrollData2324,'2324 Jun 24 Enroll'!J$1,FALSE)='District Calculations'!$B$16+'District Calculations'!$B$25-'District Calculations'!$B$17,VLOOKUP($A86,EnrollData2324,'2324 Jun 24 Enroll'!I$1,FALSE)+VLOOKUP($A86,EnrollData2324,'2324 Jun 24 Enroll'!M$1,FALSE)-VLOOKUP($A86,EnrollData2324,'2324 Jun 24 Enroll'!J$1,FALSE),'District Calculations'!$B$16+'District Calculations'!$B$25-'District Calculations'!$B$17)*Apport_217A2324,3)</f>
        <v>4.6980000000000004</v>
      </c>
      <c r="R86">
        <f>ROUND(SUM(L86:Q86)/IF(VLOOKUP($A86,EnrollData2324,'2324 Jun 24 Enroll'!M$1,FALSE)+VLOOKUP($A86,EnrollData2324,'2324 Jun 24 Enroll'!D$1,FALSE)='District Calculations'!$B$25+'District Calculations'!$B$11,VLOOKUP($A86,EnrollData2324,'2324 Jun 24 Enroll'!M$1,FALSE)+VLOOKUP($A86,EnrollData2324,'2324 Jun 24 Enroll'!D$1,FALSE),'District Calculations'!$B$25+'District Calculations'!$B$11),5)</f>
        <v>4.1000000000000003E-3</v>
      </c>
      <c r="S86" s="11">
        <f t="shared" si="22"/>
        <v>1.8294500000000002E-2</v>
      </c>
      <c r="T86">
        <f>ROUND(IF(VLOOKUP($A86,EnrollData2324,'2324 Jun 24 Enroll'!D$1,FALSE)='District Calculations'!$B$11,VLOOKUP($A86,EnrollData2324,'2324 Jun 24 Enroll'!D$1,FALSE),'District Calculations'!$B$11)*S86,3)</f>
        <v>0</v>
      </c>
      <c r="U86">
        <f>ROUND(IF(VLOOKUP($A86,EnrollData2324,'2324 Jun 24 Enroll'!E$1,FALSE)='District Calculations'!$B$12,VLOOKUP($A86,EnrollData2324,'2324 Jun 24 Enroll'!E$1,FALSE),'District Calculations'!$B$12)*S86,3)</f>
        <v>14.827999999999999</v>
      </c>
      <c r="V86">
        <f>ROUND(IF(VLOOKUP($A86,EnrollData2324,'2324 Jun 24 Enroll'!F$1,FALSE)='District Calculations'!$B$13,VLOOKUP($A86,EnrollData2324,'2324 Jun 24 Enroll'!F$1,FALSE),'District Calculations'!$B$13)*Apport_224A2324,3)</f>
        <v>3.6190000000000002</v>
      </c>
      <c r="W86">
        <f>ROUND(IF(VLOOKUP($A86,EnrollData2324,'2324 Jun 24 Enroll'!G$1,FALSE)='District Calculations'!$B$14,VLOOKUP($A86,EnrollData2324,'2324 Jun 24 Enroll'!G$1,FALSE),'District Calculations'!$B$14)*Apport_212A2324,3)</f>
        <v>8.0239999999999991</v>
      </c>
      <c r="X86">
        <f>ROUND(IF(VLOOKUP($A86,EnrollData2324,'2324 Jun 24 Enroll'!H$1,FALSE)='District Calculations'!$B$14,VLOOKUP($A86,EnrollData2324,'2324 Jun 24 Enroll'!H$1,FALSE),'District Calculations'!$B$14)*Apport_215A2324,3)</f>
        <v>7.9279999999999999</v>
      </c>
      <c r="Y86">
        <f>ROUND(IF(VLOOKUP($A86,EnrollData2324,'2324 Jun 24 Enroll'!I$1,FALSE)+VLOOKUP($A86,EnrollData2324,'2324 Jun 24 Enroll'!M$1,FALSE)-VLOOKUP($A86,EnrollData2324,'2324 Jun 24 Enroll'!J$1,FALSE)='District Calculations'!$B$16+'District Calculations'!$B$25-'District Calculations'!$B$17,VLOOKUP($A86,EnrollData2324,'2324 Jun 24 Enroll'!I$1,FALSE)+VLOOKUP($A86,EnrollData2324,'2324 Jun 24 Enroll'!M$1,FALSE)-VLOOKUP($A86,EnrollData2324,'2324 Jun 24 Enroll'!J$1,FALSE),'District Calculations'!$B$16+'District Calculations'!$B$25-'District Calculations'!$B$17)*Apport_218A2324,3)</f>
        <v>19.917999999999999</v>
      </c>
      <c r="Z86">
        <f>ROUND(SUM(T86:Y86)/IF(VLOOKUP($A86,EnrollData2324,'2324 Jun 24 Enroll'!M$1,FALSE)+VLOOKUP($A86,EnrollData2324,'2324 Jun 24 Enroll'!D$1,FALSE)='District Calculations'!$B$25+'District Calculations'!$B$11,VLOOKUP($A86,EnrollData2324,'2324 Jun 24 Enroll'!M$1,FALSE)+VLOOKUP($A86,EnrollData2324,'2324 Jun 24 Enroll'!D$1,FALSE),'District Calculations'!$B$25+'District Calculations'!$B$11),5)</f>
        <v>1.7399999999999999E-2</v>
      </c>
      <c r="AA86" s="6">
        <f>ROUND($J86*CIS_Base_Salary2324*VLOOKUP($A86,EnrollData2324,'2324 Jun 24 Enroll'!S$1,FALSE),2)</f>
        <v>4038.59</v>
      </c>
      <c r="AB86" s="6">
        <f>ROUND($J86*CIS_Inc_Salary2324*(VLOOKUP($A86,EnrollData2324,'2324 Jun 24 Enroll'!T$1,FALSE)+VLOOKUP($A86,EnrollData2324,'2324 Jun 24 Enroll'!U$1,FALSE)),2)-AA86</f>
        <v>233.1899999999996</v>
      </c>
      <c r="AC86" s="6">
        <f>ROUND($R86*CAS_Base_Salary2324*VLOOKUP($A86,EnrollData2324,'2324 Jun 24 Enroll'!S$1,FALSE),2)</f>
        <v>442.62</v>
      </c>
      <c r="AD86" s="6">
        <f>ROUND($R86*CAS_Inc_Salary2324*VLOOKUP($A86,EnrollData2324,'2324 Jun 24 Enroll'!T$1,FALSE),2)-AC86</f>
        <v>16.379999999999995</v>
      </c>
      <c r="AE86" s="6">
        <f>ROUND($Z86*CLS_Base_Salary2324*VLOOKUP($A86,EnrollData2324,'2324 Jun 24 Enroll'!S$1,FALSE),2)</f>
        <v>907.81</v>
      </c>
      <c r="AF86" s="6">
        <f>ROUND($Z86*CLS_Inc_Salary2324*VLOOKUP($A86,EnrollData2324,'2324 Jun 24 Enroll'!T$1,FALSE),2)-AE86</f>
        <v>33.580000000000041</v>
      </c>
      <c r="AG86">
        <f t="shared" si="35"/>
        <v>734.16</v>
      </c>
      <c r="AH86" s="69">
        <f t="shared" si="23"/>
        <v>68.700000000000045</v>
      </c>
      <c r="AI86">
        <f t="shared" si="36"/>
        <v>214.23</v>
      </c>
      <c r="AJ86">
        <f t="shared" si="24"/>
        <v>114.21000000000001</v>
      </c>
      <c r="AK86">
        <f t="shared" si="25"/>
        <v>805.27</v>
      </c>
      <c r="AL86">
        <f t="shared" si="26"/>
        <v>43.25</v>
      </c>
      <c r="AM86">
        <f t="shared" si="27"/>
        <v>200.26</v>
      </c>
      <c r="AN86">
        <f t="shared" si="28"/>
        <v>6.23</v>
      </c>
      <c r="AO86">
        <f>ROUND(($J86*CIS_Inc_Salary2324*(VLOOKUP($A86,EnrollData2324,'2324 Jun 24 Enroll'!T$1,FALSE)+VLOOKUP($A86,EnrollData2324,'2324 Jun 24 Enroll'!U$1,FALSE))/Apport_613Xpd)*Apport_614Xpd,2)</f>
        <v>71.2</v>
      </c>
      <c r="AP86">
        <f t="shared" si="29"/>
        <v>12.34</v>
      </c>
      <c r="AQ86">
        <f t="shared" si="32"/>
        <v>30.93</v>
      </c>
      <c r="AR86" s="6">
        <f>ROUND((VLOOKUP($A86,EnrollData2324,'2324 Jun 24 Enroll'!D$1,FALSE)*Apport_M802324+VLOOKUP($A86,EnrollData2324,'2324 Jun 24 Enroll'!M$1,FALSE)*Apport_M802324+(VLOOKUP($A86,EnrollData2324,'2324 Jun 24 Enroll'!P$1,FALSE)+VLOOKUP($A86,EnrollData2324,'2324 Jun 24 Enroll'!Q$1,FALSE)+VLOOKUP($A86,EnrollData2324,'2324 Jun 24 Enroll'!R$1,FALSE)+VLOOKUP($A86,EnrollData2324,'2324 Jun 24 Enroll'!I$1,FALSE)+VLOOKUP($A86,EnrollData2324,'2324 Jun 24 Enroll'!N$1,FALSE)+VLOOKUP($A86,EnrollData2324,'2324 Jun 24 Enroll'!O$1,FALSE)+VLOOKUP($A86,EnrollData2324,'2324 Jun 24 Enroll'!K$1,FALSE)+VLOOKUP($A86,EnrollData2324,'2324 Jun 24 Enroll'!L$1,FALSE))*Apport_M812324)/(VLOOKUP($A86,EnrollData2324,'2324 Jun 24 Enroll'!M$1,FALSE)+VLOOKUP($A86,EnrollData2324,'2324 Jun 24 Enroll'!D$1,FALSE)),2)</f>
        <v>1536.28</v>
      </c>
      <c r="AS86" s="7">
        <f t="shared" si="33"/>
        <v>9509.23</v>
      </c>
    </row>
    <row r="87" spans="1:45">
      <c r="A87" s="40" t="s">
        <v>847</v>
      </c>
      <c r="B87" s="40" t="s">
        <v>848</v>
      </c>
      <c r="C87" s="11">
        <f>ROUND((IFERROR((1/IF(VLOOKUP($A87,EnrollData2324,28,FALSE)='District Calculations'!$B$10,VLOOKUP($A87,EnrollData2324,28,FALSE),'District Calculations'!$B$10))*(1+Apport_Z315),0))+Apport_201A2324,6)</f>
        <v>7.3449E-2</v>
      </c>
      <c r="D87">
        <f>ROUND(IF(VLOOKUP($A87,EnrollData2324,'2324 Jun 24 Enroll'!D$1,FALSE)='District Calculations'!$B$11,VLOOKUP($A87,EnrollData2324,'2324 Jun 24 Enroll'!D$1,FALSE),'District Calculations'!$B$11)*C87,3)</f>
        <v>0</v>
      </c>
      <c r="E87">
        <f>ROUND(IF(VLOOKUP($A87,EnrollData2324,'2324 Jun 24 Enroll'!E$1,FALSE)='District Calculations'!$B$12,VLOOKUP($A87,EnrollData2324,'2324 Jun 24 Enroll'!E$1,FALSE),'District Calculations'!$B$12)*C87,3)</f>
        <v>59.53</v>
      </c>
      <c r="F87">
        <f>ROUND(IF(VLOOKUP($A87,EnrollData2324,'2324 Jun 24 Enroll'!F$1,FALSE)='District Calculations'!$B$13,VLOOKUP($A87,EnrollData2324,'2324 Jun 24 Enroll'!F$1,FALSE),'District Calculations'!$B$13)*Apport_222A2324,3)</f>
        <v>10.101000000000001</v>
      </c>
      <c r="G87">
        <f>ROUND(IF(VLOOKUP($A87,EnrollData2324,'2324 Jun 24 Enroll'!G$1,FALSE)='District Calculations'!$B$14,VLOOKUP($A87,EnrollData2324,'2324 Jun 24 Enroll'!G$1,FALSE),'District Calculations'!$B$14)*Apport_210A2324,3)</f>
        <v>22.395</v>
      </c>
      <c r="H87">
        <f>ROUND(IF(VLOOKUP($A87,EnrollData2324,'2324 Jun 24 Enroll'!H$1,FALSE)='District Calculations'!$B$15,VLOOKUP($A87,EnrollData2324,'2324 Jun 24 Enroll'!H$1,FALSE),'District Calculations'!$B$15)*Apport_213A2324,3)</f>
        <v>23.091999999999999</v>
      </c>
      <c r="I87">
        <f>ROUND(IF(VLOOKUP($A87,EnrollData2324,'2324 Jun 24 Enroll'!I$1,FALSE)+VLOOKUP($A87,EnrollData2324,'2324 Jun 24 Enroll'!M$1,FALSE)-VLOOKUP($A87,EnrollData2324,'2324 Jun 24 Enroll'!J$1,FALSE)='District Calculations'!$B$16+'District Calculations'!$B$25-'District Calculations'!$B$17,VLOOKUP($A87,EnrollData2324,'2324 Jun 24 Enroll'!I$1,FALSE)+VLOOKUP($A87,EnrollData2324,'2324 Jun 24 Enroll'!M$1,FALSE)-VLOOKUP($A87,EnrollData2324,'2324 Jun 24 Enroll'!J$1,FALSE),'District Calculations'!$B$16+'District Calculations'!$B$25-'District Calculations'!$B$17)*Apport_216A2324,3)</f>
        <v>58.183999999999997</v>
      </c>
      <c r="J87">
        <f>ROUND(SUM(D87:I87)/(IF(VLOOKUP($A87,EnrollData2324,'2324 Jun 24 Enroll'!M$1,FALSE)='District Calculations'!$B$25,VLOOKUP($A87,EnrollData2324,'2324 Jun 24 Enroll'!M$1,FALSE),'District Calculations'!$B$25)+IF(VLOOKUP($A87,EnrollData2324,'2324 Jun 24 Enroll'!D$1,FALSE)='District Calculations'!$B$11,VLOOKUP($A87,EnrollData2324,'2324 Jun 24 Enroll'!D$1,FALSE),'District Calculations'!$B$11)),5)</f>
        <v>5.5530000000000003E-2</v>
      </c>
      <c r="K87" s="11">
        <f t="shared" si="21"/>
        <v>4.365E-3</v>
      </c>
      <c r="L87">
        <f>ROUND(IF(VLOOKUP($A87,EnrollData2324,'2324 Jun 24 Enroll'!D$1,FALSE)='District Calculations'!$B$11,VLOOKUP($A87,EnrollData2324,'2324 Jun 24 Enroll'!D$1,FALSE),'District Calculations'!$B$11)*K87,3)</f>
        <v>0</v>
      </c>
      <c r="M87">
        <f>ROUND(IF(VLOOKUP($A87,EnrollData2324,'2324 Jun 24 Enroll'!E$1,FALSE)='District Calculations'!$B$12,VLOOKUP($A87,EnrollData2324,'2324 Jun 24 Enroll'!E$1,FALSE),'District Calculations'!$B$12)*K87,3)</f>
        <v>3.5379999999999998</v>
      </c>
      <c r="N87">
        <f>ROUND(IF(VLOOKUP($A87,EnrollData2324,'2324 Jun 24 Enroll'!F$1,FALSE)='District Calculations'!$B$13,VLOOKUP($A87,EnrollData2324,'2324 Jun 24 Enroll'!F$1,FALSE),'District Calculations'!$B$13)*Apport_223A2324,3)</f>
        <v>0.84199999999999997</v>
      </c>
      <c r="O87">
        <f>ROUND(IF(VLOOKUP($A87,EnrollData2324,'2324 Jun 24 Enroll'!G$1,FALSE)='District Calculations'!$B$14,VLOOKUP($A87,EnrollData2324,'2324 Jun 24 Enroll'!G$1,FALSE),'District Calculations'!$B$14)*Apport_211A2324,3)</f>
        <v>1.867</v>
      </c>
      <c r="P87">
        <f>ROUND(IF(VLOOKUP($A87,EnrollData2324,'2324 Jun 24 Enroll'!H$1,FALSE)='District Calculations'!$B$14,VLOOKUP($A87,EnrollData2324,'2324 Jun 24 Enroll'!H$1,FALSE),'District Calculations'!$B$14)*Apport_214A2324,3)</f>
        <v>1.8660000000000001</v>
      </c>
      <c r="Q87">
        <f>ROUND(IF(VLOOKUP($A87,EnrollData2324,'2324 Jun 24 Enroll'!I$1,FALSE)+VLOOKUP($A87,EnrollData2324,'2324 Jun 24 Enroll'!M$1,FALSE)-VLOOKUP($A87,EnrollData2324,'2324 Jun 24 Enroll'!J$1,FALSE)='District Calculations'!$B$16+'District Calculations'!$B$25-'District Calculations'!$B$17,VLOOKUP($A87,EnrollData2324,'2324 Jun 24 Enroll'!I$1,FALSE)+VLOOKUP($A87,EnrollData2324,'2324 Jun 24 Enroll'!M$1,FALSE)-VLOOKUP($A87,EnrollData2324,'2324 Jun 24 Enroll'!J$1,FALSE),'District Calculations'!$B$16+'District Calculations'!$B$25-'District Calculations'!$B$17)*Apport_217A2324,3)</f>
        <v>4.6980000000000004</v>
      </c>
      <c r="R87">
        <f>ROUND(SUM(L87:Q87)/IF(VLOOKUP($A87,EnrollData2324,'2324 Jun 24 Enroll'!M$1,FALSE)+VLOOKUP($A87,EnrollData2324,'2324 Jun 24 Enroll'!D$1,FALSE)='District Calculations'!$B$25+'District Calculations'!$B$11,VLOOKUP($A87,EnrollData2324,'2324 Jun 24 Enroll'!M$1,FALSE)+VLOOKUP($A87,EnrollData2324,'2324 Jun 24 Enroll'!D$1,FALSE),'District Calculations'!$B$25+'District Calculations'!$B$11),5)</f>
        <v>4.1000000000000003E-3</v>
      </c>
      <c r="S87" s="11">
        <f t="shared" si="22"/>
        <v>1.8294500000000002E-2</v>
      </c>
      <c r="T87">
        <f>ROUND(IF(VLOOKUP($A87,EnrollData2324,'2324 Jun 24 Enroll'!D$1,FALSE)='District Calculations'!$B$11,VLOOKUP($A87,EnrollData2324,'2324 Jun 24 Enroll'!D$1,FALSE),'District Calculations'!$B$11)*S87,3)</f>
        <v>0</v>
      </c>
      <c r="U87">
        <f>ROUND(IF(VLOOKUP($A87,EnrollData2324,'2324 Jun 24 Enroll'!E$1,FALSE)='District Calculations'!$B$12,VLOOKUP($A87,EnrollData2324,'2324 Jun 24 Enroll'!E$1,FALSE),'District Calculations'!$B$12)*S87,3)</f>
        <v>14.827999999999999</v>
      </c>
      <c r="V87">
        <f>ROUND(IF(VLOOKUP($A87,EnrollData2324,'2324 Jun 24 Enroll'!F$1,FALSE)='District Calculations'!$B$13,VLOOKUP($A87,EnrollData2324,'2324 Jun 24 Enroll'!F$1,FALSE),'District Calculations'!$B$13)*Apport_224A2324,3)</f>
        <v>3.6190000000000002</v>
      </c>
      <c r="W87">
        <f>ROUND(IF(VLOOKUP($A87,EnrollData2324,'2324 Jun 24 Enroll'!G$1,FALSE)='District Calculations'!$B$14,VLOOKUP($A87,EnrollData2324,'2324 Jun 24 Enroll'!G$1,FALSE),'District Calculations'!$B$14)*Apport_212A2324,3)</f>
        <v>8.0239999999999991</v>
      </c>
      <c r="X87">
        <f>ROUND(IF(VLOOKUP($A87,EnrollData2324,'2324 Jun 24 Enroll'!H$1,FALSE)='District Calculations'!$B$14,VLOOKUP($A87,EnrollData2324,'2324 Jun 24 Enroll'!H$1,FALSE),'District Calculations'!$B$14)*Apport_215A2324,3)</f>
        <v>7.9279999999999999</v>
      </c>
      <c r="Y87">
        <f>ROUND(IF(VLOOKUP($A87,EnrollData2324,'2324 Jun 24 Enroll'!I$1,FALSE)+VLOOKUP($A87,EnrollData2324,'2324 Jun 24 Enroll'!M$1,FALSE)-VLOOKUP($A87,EnrollData2324,'2324 Jun 24 Enroll'!J$1,FALSE)='District Calculations'!$B$16+'District Calculations'!$B$25-'District Calculations'!$B$17,VLOOKUP($A87,EnrollData2324,'2324 Jun 24 Enroll'!I$1,FALSE)+VLOOKUP($A87,EnrollData2324,'2324 Jun 24 Enroll'!M$1,FALSE)-VLOOKUP($A87,EnrollData2324,'2324 Jun 24 Enroll'!J$1,FALSE),'District Calculations'!$B$16+'District Calculations'!$B$25-'District Calculations'!$B$17)*Apport_218A2324,3)</f>
        <v>19.917999999999999</v>
      </c>
      <c r="Z87">
        <f>ROUND(SUM(T87:Y87)/IF(VLOOKUP($A87,EnrollData2324,'2324 Jun 24 Enroll'!M$1,FALSE)+VLOOKUP($A87,EnrollData2324,'2324 Jun 24 Enroll'!D$1,FALSE)='District Calculations'!$B$25+'District Calculations'!$B$11,VLOOKUP($A87,EnrollData2324,'2324 Jun 24 Enroll'!M$1,FALSE)+VLOOKUP($A87,EnrollData2324,'2324 Jun 24 Enroll'!D$1,FALSE),'District Calculations'!$B$25+'District Calculations'!$B$11),5)</f>
        <v>1.7399999999999999E-2</v>
      </c>
      <c r="AA87" s="6">
        <f>ROUND($J87*CIS_Base_Salary2324*VLOOKUP($A87,EnrollData2324,'2324 Jun 24 Enroll'!S$1,FALSE),2)</f>
        <v>4038.59</v>
      </c>
      <c r="AB87" s="6">
        <f>ROUND($J87*CIS_Inc_Salary2324*(VLOOKUP($A87,EnrollData2324,'2324 Jun 24 Enroll'!T$1,FALSE)+VLOOKUP($A87,EnrollData2324,'2324 Jun 24 Enroll'!U$1,FALSE)),2)-AA87</f>
        <v>149.43000000000029</v>
      </c>
      <c r="AC87" s="6">
        <f>ROUND($R87*CAS_Base_Salary2324*VLOOKUP($A87,EnrollData2324,'2324 Jun 24 Enroll'!S$1,FALSE),2)</f>
        <v>442.62</v>
      </c>
      <c r="AD87" s="6">
        <f>ROUND($R87*CAS_Inc_Salary2324*VLOOKUP($A87,EnrollData2324,'2324 Jun 24 Enroll'!T$1,FALSE),2)-AC87</f>
        <v>16.379999999999995</v>
      </c>
      <c r="AE87" s="6">
        <f>ROUND($Z87*CLS_Base_Salary2324*VLOOKUP($A87,EnrollData2324,'2324 Jun 24 Enroll'!S$1,FALSE),2)</f>
        <v>907.81</v>
      </c>
      <c r="AF87" s="6">
        <f>ROUND($Z87*CLS_Inc_Salary2324*VLOOKUP($A87,EnrollData2324,'2324 Jun 24 Enroll'!T$1,FALSE),2)-AE87</f>
        <v>33.580000000000041</v>
      </c>
      <c r="AG87">
        <f t="shared" si="35"/>
        <v>734.16</v>
      </c>
      <c r="AH87" s="69">
        <f t="shared" si="23"/>
        <v>68.700000000000045</v>
      </c>
      <c r="AI87">
        <f t="shared" si="36"/>
        <v>214.23</v>
      </c>
      <c r="AJ87">
        <f t="shared" si="24"/>
        <v>114.21000000000001</v>
      </c>
      <c r="AK87">
        <f t="shared" si="25"/>
        <v>805.27</v>
      </c>
      <c r="AL87">
        <f t="shared" si="26"/>
        <v>28.73</v>
      </c>
      <c r="AM87">
        <f t="shared" si="27"/>
        <v>200.26</v>
      </c>
      <c r="AN87">
        <f t="shared" si="28"/>
        <v>6.23</v>
      </c>
      <c r="AO87">
        <f>ROUND(($J87*CIS_Inc_Salary2324*(VLOOKUP($A87,EnrollData2324,'2324 Jun 24 Enroll'!T$1,FALSE)+VLOOKUP($A87,EnrollData2324,'2324 Jun 24 Enroll'!U$1,FALSE))/Apport_613Xpd)*Apport_614Xpd,2)</f>
        <v>69.8</v>
      </c>
      <c r="AP87">
        <f t="shared" si="29"/>
        <v>12.1</v>
      </c>
      <c r="AQ87">
        <f t="shared" si="32"/>
        <v>30.93</v>
      </c>
      <c r="AR87" s="6">
        <f>ROUND((VLOOKUP($A87,EnrollData2324,'2324 Jun 24 Enroll'!D$1,FALSE)*Apport_M802324+VLOOKUP($A87,EnrollData2324,'2324 Jun 24 Enroll'!M$1,FALSE)*Apport_M802324+(VLOOKUP($A87,EnrollData2324,'2324 Jun 24 Enroll'!P$1,FALSE)+VLOOKUP($A87,EnrollData2324,'2324 Jun 24 Enroll'!Q$1,FALSE)+VLOOKUP($A87,EnrollData2324,'2324 Jun 24 Enroll'!R$1,FALSE)+VLOOKUP($A87,EnrollData2324,'2324 Jun 24 Enroll'!I$1,FALSE)+VLOOKUP($A87,EnrollData2324,'2324 Jun 24 Enroll'!N$1,FALSE)+VLOOKUP($A87,EnrollData2324,'2324 Jun 24 Enroll'!O$1,FALSE)+VLOOKUP($A87,EnrollData2324,'2324 Jun 24 Enroll'!K$1,FALSE)+VLOOKUP($A87,EnrollData2324,'2324 Jun 24 Enroll'!L$1,FALSE))*Apport_M812324)/(VLOOKUP($A87,EnrollData2324,'2324 Jun 24 Enroll'!M$1,FALSE)+VLOOKUP($A87,EnrollData2324,'2324 Jun 24 Enroll'!D$1,FALSE)),2)</f>
        <v>1551.13</v>
      </c>
      <c r="AS87" s="7">
        <f t="shared" si="33"/>
        <v>9424.16</v>
      </c>
    </row>
    <row r="88" spans="1:45">
      <c r="A88" s="40" t="s">
        <v>713</v>
      </c>
      <c r="B88" s="40" t="s">
        <v>714</v>
      </c>
      <c r="C88" s="11">
        <f>ROUND((IFERROR((1/IF(VLOOKUP($A88,EnrollData2324,28,FALSE)='District Calculations'!$B$10,VLOOKUP($A88,EnrollData2324,28,FALSE),'District Calculations'!$B$10))*(1+Apport_Z315),0))+Apport_201A2324,6)</f>
        <v>7.3449E-2</v>
      </c>
      <c r="D88">
        <f>ROUND(IF(VLOOKUP($A88,EnrollData2324,'2324 Jun 24 Enroll'!D$1,FALSE)='District Calculations'!$B$11,VLOOKUP($A88,EnrollData2324,'2324 Jun 24 Enroll'!D$1,FALSE),'District Calculations'!$B$11)*C88,3)</f>
        <v>0</v>
      </c>
      <c r="E88">
        <f>ROUND(IF(VLOOKUP($A88,EnrollData2324,'2324 Jun 24 Enroll'!E$1,FALSE)='District Calculations'!$B$12,VLOOKUP($A88,EnrollData2324,'2324 Jun 24 Enroll'!E$1,FALSE),'District Calculations'!$B$12)*C88,3)</f>
        <v>59.53</v>
      </c>
      <c r="F88">
        <f>ROUND(IF(VLOOKUP($A88,EnrollData2324,'2324 Jun 24 Enroll'!F$1,FALSE)='District Calculations'!$B$13,VLOOKUP($A88,EnrollData2324,'2324 Jun 24 Enroll'!F$1,FALSE),'District Calculations'!$B$13)*Apport_222A2324,3)</f>
        <v>10.101000000000001</v>
      </c>
      <c r="G88">
        <f>ROUND(IF(VLOOKUP($A88,EnrollData2324,'2324 Jun 24 Enroll'!G$1,FALSE)='District Calculations'!$B$14,VLOOKUP($A88,EnrollData2324,'2324 Jun 24 Enroll'!G$1,FALSE),'District Calculations'!$B$14)*Apport_210A2324,3)</f>
        <v>22.395</v>
      </c>
      <c r="H88">
        <f>ROUND(IF(VLOOKUP($A88,EnrollData2324,'2324 Jun 24 Enroll'!H$1,FALSE)='District Calculations'!$B$15,VLOOKUP($A88,EnrollData2324,'2324 Jun 24 Enroll'!H$1,FALSE),'District Calculations'!$B$15)*Apport_213A2324,3)</f>
        <v>23.091999999999999</v>
      </c>
      <c r="I88">
        <f>ROUND(IF(VLOOKUP($A88,EnrollData2324,'2324 Jun 24 Enroll'!I$1,FALSE)+VLOOKUP($A88,EnrollData2324,'2324 Jun 24 Enroll'!M$1,FALSE)-VLOOKUP($A88,EnrollData2324,'2324 Jun 24 Enroll'!J$1,FALSE)='District Calculations'!$B$16+'District Calculations'!$B$25-'District Calculations'!$B$17,VLOOKUP($A88,EnrollData2324,'2324 Jun 24 Enroll'!I$1,FALSE)+VLOOKUP($A88,EnrollData2324,'2324 Jun 24 Enroll'!M$1,FALSE)-VLOOKUP($A88,EnrollData2324,'2324 Jun 24 Enroll'!J$1,FALSE),'District Calculations'!$B$16+'District Calculations'!$B$25-'District Calculations'!$B$17)*Apport_216A2324,3)</f>
        <v>58.183999999999997</v>
      </c>
      <c r="J88">
        <f>ROUND(SUM(D88:I88)/(IF(VLOOKUP($A88,EnrollData2324,'2324 Jun 24 Enroll'!M$1,FALSE)='District Calculations'!$B$25,VLOOKUP($A88,EnrollData2324,'2324 Jun 24 Enroll'!M$1,FALSE),'District Calculations'!$B$25)+IF(VLOOKUP($A88,EnrollData2324,'2324 Jun 24 Enroll'!D$1,FALSE)='District Calculations'!$B$11,VLOOKUP($A88,EnrollData2324,'2324 Jun 24 Enroll'!D$1,FALSE),'District Calculations'!$B$11)),5)</f>
        <v>5.5530000000000003E-2</v>
      </c>
      <c r="K88" s="11">
        <f t="shared" si="21"/>
        <v>4.365E-3</v>
      </c>
      <c r="L88">
        <f>ROUND(IF(VLOOKUP($A88,EnrollData2324,'2324 Jun 24 Enroll'!D$1,FALSE)='District Calculations'!$B$11,VLOOKUP($A88,EnrollData2324,'2324 Jun 24 Enroll'!D$1,FALSE),'District Calculations'!$B$11)*K88,3)</f>
        <v>0</v>
      </c>
      <c r="M88">
        <f>ROUND(IF(VLOOKUP($A88,EnrollData2324,'2324 Jun 24 Enroll'!E$1,FALSE)='District Calculations'!$B$12,VLOOKUP($A88,EnrollData2324,'2324 Jun 24 Enroll'!E$1,FALSE),'District Calculations'!$B$12)*K88,3)</f>
        <v>3.5379999999999998</v>
      </c>
      <c r="N88">
        <f>ROUND(IF(VLOOKUP($A88,EnrollData2324,'2324 Jun 24 Enroll'!F$1,FALSE)='District Calculations'!$B$13,VLOOKUP($A88,EnrollData2324,'2324 Jun 24 Enroll'!F$1,FALSE),'District Calculations'!$B$13)*Apport_223A2324,3)</f>
        <v>0.84199999999999997</v>
      </c>
      <c r="O88">
        <f>ROUND(IF(VLOOKUP($A88,EnrollData2324,'2324 Jun 24 Enroll'!G$1,FALSE)='District Calculations'!$B$14,VLOOKUP($A88,EnrollData2324,'2324 Jun 24 Enroll'!G$1,FALSE),'District Calculations'!$B$14)*Apport_211A2324,3)</f>
        <v>1.867</v>
      </c>
      <c r="P88">
        <f>ROUND(IF(VLOOKUP($A88,EnrollData2324,'2324 Jun 24 Enroll'!H$1,FALSE)='District Calculations'!$B$14,VLOOKUP($A88,EnrollData2324,'2324 Jun 24 Enroll'!H$1,FALSE),'District Calculations'!$B$14)*Apport_214A2324,3)</f>
        <v>1.8660000000000001</v>
      </c>
      <c r="Q88">
        <f>ROUND(IF(VLOOKUP($A88,EnrollData2324,'2324 Jun 24 Enroll'!I$1,FALSE)+VLOOKUP($A88,EnrollData2324,'2324 Jun 24 Enroll'!M$1,FALSE)-VLOOKUP($A88,EnrollData2324,'2324 Jun 24 Enroll'!J$1,FALSE)='District Calculations'!$B$16+'District Calculations'!$B$25-'District Calculations'!$B$17,VLOOKUP($A88,EnrollData2324,'2324 Jun 24 Enroll'!I$1,FALSE)+VLOOKUP($A88,EnrollData2324,'2324 Jun 24 Enroll'!M$1,FALSE)-VLOOKUP($A88,EnrollData2324,'2324 Jun 24 Enroll'!J$1,FALSE),'District Calculations'!$B$16+'District Calculations'!$B$25-'District Calculations'!$B$17)*Apport_217A2324,3)</f>
        <v>4.6980000000000004</v>
      </c>
      <c r="R88">
        <f>ROUND(SUM(L88:Q88)/IF(VLOOKUP($A88,EnrollData2324,'2324 Jun 24 Enroll'!M$1,FALSE)+VLOOKUP($A88,EnrollData2324,'2324 Jun 24 Enroll'!D$1,FALSE)='District Calculations'!$B$25+'District Calculations'!$B$11,VLOOKUP($A88,EnrollData2324,'2324 Jun 24 Enroll'!M$1,FALSE)+VLOOKUP($A88,EnrollData2324,'2324 Jun 24 Enroll'!D$1,FALSE),'District Calculations'!$B$25+'District Calculations'!$B$11),5)</f>
        <v>4.1000000000000003E-3</v>
      </c>
      <c r="S88" s="11">
        <f t="shared" si="22"/>
        <v>1.8294500000000002E-2</v>
      </c>
      <c r="T88">
        <f>ROUND(IF(VLOOKUP($A88,EnrollData2324,'2324 Jun 24 Enroll'!D$1,FALSE)='District Calculations'!$B$11,VLOOKUP($A88,EnrollData2324,'2324 Jun 24 Enroll'!D$1,FALSE),'District Calculations'!$B$11)*S88,3)</f>
        <v>0</v>
      </c>
      <c r="U88">
        <f>ROUND(IF(VLOOKUP($A88,EnrollData2324,'2324 Jun 24 Enroll'!E$1,FALSE)='District Calculations'!$B$12,VLOOKUP($A88,EnrollData2324,'2324 Jun 24 Enroll'!E$1,FALSE),'District Calculations'!$B$12)*S88,3)</f>
        <v>14.827999999999999</v>
      </c>
      <c r="V88">
        <f>ROUND(IF(VLOOKUP($A88,EnrollData2324,'2324 Jun 24 Enroll'!F$1,FALSE)='District Calculations'!$B$13,VLOOKUP($A88,EnrollData2324,'2324 Jun 24 Enroll'!F$1,FALSE),'District Calculations'!$B$13)*Apport_224A2324,3)</f>
        <v>3.6190000000000002</v>
      </c>
      <c r="W88">
        <f>ROUND(IF(VLOOKUP($A88,EnrollData2324,'2324 Jun 24 Enroll'!G$1,FALSE)='District Calculations'!$B$14,VLOOKUP($A88,EnrollData2324,'2324 Jun 24 Enroll'!G$1,FALSE),'District Calculations'!$B$14)*Apport_212A2324,3)</f>
        <v>8.0239999999999991</v>
      </c>
      <c r="X88">
        <f>ROUND(IF(VLOOKUP($A88,EnrollData2324,'2324 Jun 24 Enroll'!H$1,FALSE)='District Calculations'!$B$14,VLOOKUP($A88,EnrollData2324,'2324 Jun 24 Enroll'!H$1,FALSE),'District Calculations'!$B$14)*Apport_215A2324,3)</f>
        <v>7.9279999999999999</v>
      </c>
      <c r="Y88">
        <f>ROUND(IF(VLOOKUP($A88,EnrollData2324,'2324 Jun 24 Enroll'!I$1,FALSE)+VLOOKUP($A88,EnrollData2324,'2324 Jun 24 Enroll'!M$1,FALSE)-VLOOKUP($A88,EnrollData2324,'2324 Jun 24 Enroll'!J$1,FALSE)='District Calculations'!$B$16+'District Calculations'!$B$25-'District Calculations'!$B$17,VLOOKUP($A88,EnrollData2324,'2324 Jun 24 Enroll'!I$1,FALSE)+VLOOKUP($A88,EnrollData2324,'2324 Jun 24 Enroll'!M$1,FALSE)-VLOOKUP($A88,EnrollData2324,'2324 Jun 24 Enroll'!J$1,FALSE),'District Calculations'!$B$16+'District Calculations'!$B$25-'District Calculations'!$B$17)*Apport_218A2324,3)</f>
        <v>19.917999999999999</v>
      </c>
      <c r="Z88">
        <f>ROUND(SUM(T88:Y88)/IF(VLOOKUP($A88,EnrollData2324,'2324 Jun 24 Enroll'!M$1,FALSE)+VLOOKUP($A88,EnrollData2324,'2324 Jun 24 Enroll'!D$1,FALSE)='District Calculations'!$B$25+'District Calculations'!$B$11,VLOOKUP($A88,EnrollData2324,'2324 Jun 24 Enroll'!M$1,FALSE)+VLOOKUP($A88,EnrollData2324,'2324 Jun 24 Enroll'!D$1,FALSE),'District Calculations'!$B$25+'District Calculations'!$B$11),5)</f>
        <v>1.7399999999999999E-2</v>
      </c>
      <c r="AA88" s="6">
        <f>ROUND($J88*CIS_Base_Salary2324*VLOOKUP($A88,EnrollData2324,'2324 Jun 24 Enroll'!S$1,FALSE),2)</f>
        <v>4038.59</v>
      </c>
      <c r="AB88" s="6">
        <f>ROUND($J88*CIS_Inc_Salary2324*(VLOOKUP($A88,EnrollData2324,'2324 Jun 24 Enroll'!T$1,FALSE)+VLOOKUP($A88,EnrollData2324,'2324 Jun 24 Enroll'!U$1,FALSE)),2)-AA88</f>
        <v>149.43000000000029</v>
      </c>
      <c r="AC88" s="6">
        <f>ROUND($R88*CAS_Base_Salary2324*VLOOKUP($A88,EnrollData2324,'2324 Jun 24 Enroll'!S$1,FALSE),2)</f>
        <v>442.62</v>
      </c>
      <c r="AD88" s="6">
        <f>ROUND($R88*CAS_Inc_Salary2324*VLOOKUP($A88,EnrollData2324,'2324 Jun 24 Enroll'!T$1,FALSE),2)-AC88</f>
        <v>16.379999999999995</v>
      </c>
      <c r="AE88" s="6">
        <f>ROUND($Z88*CLS_Base_Salary2324*VLOOKUP($A88,EnrollData2324,'2324 Jun 24 Enroll'!S$1,FALSE),2)</f>
        <v>907.81</v>
      </c>
      <c r="AF88" s="6">
        <f>ROUND($Z88*CLS_Inc_Salary2324*VLOOKUP($A88,EnrollData2324,'2324 Jun 24 Enroll'!T$1,FALSE),2)-AE88</f>
        <v>33.580000000000041</v>
      </c>
      <c r="AG88">
        <f t="shared" si="35"/>
        <v>734.16</v>
      </c>
      <c r="AH88" s="69">
        <f t="shared" si="23"/>
        <v>68.700000000000045</v>
      </c>
      <c r="AI88">
        <f t="shared" si="36"/>
        <v>214.23</v>
      </c>
      <c r="AJ88">
        <f t="shared" si="24"/>
        <v>114.21000000000001</v>
      </c>
      <c r="AK88">
        <f t="shared" si="25"/>
        <v>805.27</v>
      </c>
      <c r="AL88">
        <f t="shared" si="26"/>
        <v>28.73</v>
      </c>
      <c r="AM88">
        <f t="shared" si="27"/>
        <v>200.26</v>
      </c>
      <c r="AN88">
        <f t="shared" si="28"/>
        <v>6.23</v>
      </c>
      <c r="AO88">
        <f>ROUND(($J88*CIS_Inc_Salary2324*(VLOOKUP($A88,EnrollData2324,'2324 Jun 24 Enroll'!T$1,FALSE)+VLOOKUP($A88,EnrollData2324,'2324 Jun 24 Enroll'!U$1,FALSE))/Apport_613Xpd)*Apport_614Xpd,2)</f>
        <v>69.8</v>
      </c>
      <c r="AP88">
        <f t="shared" si="29"/>
        <v>12.1</v>
      </c>
      <c r="AQ88">
        <f t="shared" si="32"/>
        <v>30.93</v>
      </c>
      <c r="AR88" s="6">
        <f>ROUND((VLOOKUP($A88,EnrollData2324,'2324 Jun 24 Enroll'!D$1,FALSE)*Apport_M802324+VLOOKUP($A88,EnrollData2324,'2324 Jun 24 Enroll'!M$1,FALSE)*Apport_M802324+(VLOOKUP($A88,EnrollData2324,'2324 Jun 24 Enroll'!P$1,FALSE)+VLOOKUP($A88,EnrollData2324,'2324 Jun 24 Enroll'!Q$1,FALSE)+VLOOKUP($A88,EnrollData2324,'2324 Jun 24 Enroll'!R$1,FALSE)+VLOOKUP($A88,EnrollData2324,'2324 Jun 24 Enroll'!I$1,FALSE)+VLOOKUP($A88,EnrollData2324,'2324 Jun 24 Enroll'!N$1,FALSE)+VLOOKUP($A88,EnrollData2324,'2324 Jun 24 Enroll'!O$1,FALSE)+VLOOKUP($A88,EnrollData2324,'2324 Jun 24 Enroll'!K$1,FALSE)+VLOOKUP($A88,EnrollData2324,'2324 Jun 24 Enroll'!L$1,FALSE))*Apport_M812324)/(VLOOKUP($A88,EnrollData2324,'2324 Jun 24 Enroll'!M$1,FALSE)+VLOOKUP($A88,EnrollData2324,'2324 Jun 24 Enroll'!D$1,FALSE)),2)</f>
        <v>1549.05</v>
      </c>
      <c r="AS88" s="7">
        <f t="shared" si="33"/>
        <v>9422.08</v>
      </c>
    </row>
    <row r="89" spans="1:45">
      <c r="A89" s="40" t="s">
        <v>855</v>
      </c>
      <c r="B89" s="40" t="s">
        <v>856</v>
      </c>
      <c r="C89" s="11">
        <f>ROUND((IFERROR((1/IF(VLOOKUP($A89,EnrollData2324,28,FALSE)='District Calculations'!$B$10,VLOOKUP($A89,EnrollData2324,28,FALSE),'District Calculations'!$B$10))*(1+Apport_Z315),0))+Apport_201A2324,6)</f>
        <v>7.3449E-2</v>
      </c>
      <c r="D89">
        <f>ROUND(IF(VLOOKUP($A89,EnrollData2324,'2324 Jun 24 Enroll'!D$1,FALSE)='District Calculations'!$B$11,VLOOKUP($A89,EnrollData2324,'2324 Jun 24 Enroll'!D$1,FALSE),'District Calculations'!$B$11)*C89,3)</f>
        <v>0</v>
      </c>
      <c r="E89">
        <f>ROUND(IF(VLOOKUP($A89,EnrollData2324,'2324 Jun 24 Enroll'!E$1,FALSE)='District Calculations'!$B$12,VLOOKUP($A89,EnrollData2324,'2324 Jun 24 Enroll'!E$1,FALSE),'District Calculations'!$B$12)*C89,3)</f>
        <v>59.53</v>
      </c>
      <c r="F89">
        <f>ROUND(IF(VLOOKUP($A89,EnrollData2324,'2324 Jun 24 Enroll'!F$1,FALSE)='District Calculations'!$B$13,VLOOKUP($A89,EnrollData2324,'2324 Jun 24 Enroll'!F$1,FALSE),'District Calculations'!$B$13)*Apport_222A2324,3)</f>
        <v>10.101000000000001</v>
      </c>
      <c r="G89">
        <f>ROUND(IF(VLOOKUP($A89,EnrollData2324,'2324 Jun 24 Enroll'!G$1,FALSE)='District Calculations'!$B$14,VLOOKUP($A89,EnrollData2324,'2324 Jun 24 Enroll'!G$1,FALSE),'District Calculations'!$B$14)*Apport_210A2324,3)</f>
        <v>22.395</v>
      </c>
      <c r="H89">
        <f>ROUND(IF(VLOOKUP($A89,EnrollData2324,'2324 Jun 24 Enroll'!H$1,FALSE)='District Calculations'!$B$15,VLOOKUP($A89,EnrollData2324,'2324 Jun 24 Enroll'!H$1,FALSE),'District Calculations'!$B$15)*Apport_213A2324,3)</f>
        <v>23.091999999999999</v>
      </c>
      <c r="I89">
        <f>ROUND(IF(VLOOKUP($A89,EnrollData2324,'2324 Jun 24 Enroll'!I$1,FALSE)+VLOOKUP($A89,EnrollData2324,'2324 Jun 24 Enroll'!M$1,FALSE)-VLOOKUP($A89,EnrollData2324,'2324 Jun 24 Enroll'!J$1,FALSE)='District Calculations'!$B$16+'District Calculations'!$B$25-'District Calculations'!$B$17,VLOOKUP($A89,EnrollData2324,'2324 Jun 24 Enroll'!I$1,FALSE)+VLOOKUP($A89,EnrollData2324,'2324 Jun 24 Enroll'!M$1,FALSE)-VLOOKUP($A89,EnrollData2324,'2324 Jun 24 Enroll'!J$1,FALSE),'District Calculations'!$B$16+'District Calculations'!$B$25-'District Calculations'!$B$17)*Apport_216A2324,3)</f>
        <v>58.183999999999997</v>
      </c>
      <c r="J89">
        <f>ROUND(SUM(D89:I89)/(IF(VLOOKUP($A89,EnrollData2324,'2324 Jun 24 Enroll'!M$1,FALSE)='District Calculations'!$B$25,VLOOKUP($A89,EnrollData2324,'2324 Jun 24 Enroll'!M$1,FALSE),'District Calculations'!$B$25)+IF(VLOOKUP($A89,EnrollData2324,'2324 Jun 24 Enroll'!D$1,FALSE)='District Calculations'!$B$11,VLOOKUP($A89,EnrollData2324,'2324 Jun 24 Enroll'!D$1,FALSE),'District Calculations'!$B$11)),5)</f>
        <v>5.5530000000000003E-2</v>
      </c>
      <c r="K89" s="11">
        <f t="shared" si="21"/>
        <v>4.365E-3</v>
      </c>
      <c r="L89">
        <f>ROUND(IF(VLOOKUP($A89,EnrollData2324,'2324 Jun 24 Enroll'!D$1,FALSE)='District Calculations'!$B$11,VLOOKUP($A89,EnrollData2324,'2324 Jun 24 Enroll'!D$1,FALSE),'District Calculations'!$B$11)*K89,3)</f>
        <v>0</v>
      </c>
      <c r="M89">
        <f>ROUND(IF(VLOOKUP($A89,EnrollData2324,'2324 Jun 24 Enroll'!E$1,FALSE)='District Calculations'!$B$12,VLOOKUP($A89,EnrollData2324,'2324 Jun 24 Enroll'!E$1,FALSE),'District Calculations'!$B$12)*K89,3)</f>
        <v>3.5379999999999998</v>
      </c>
      <c r="N89">
        <f>ROUND(IF(VLOOKUP($A89,EnrollData2324,'2324 Jun 24 Enroll'!F$1,FALSE)='District Calculations'!$B$13,VLOOKUP($A89,EnrollData2324,'2324 Jun 24 Enroll'!F$1,FALSE),'District Calculations'!$B$13)*Apport_223A2324,3)</f>
        <v>0.84199999999999997</v>
      </c>
      <c r="O89">
        <f>ROUND(IF(VLOOKUP($A89,EnrollData2324,'2324 Jun 24 Enroll'!G$1,FALSE)='District Calculations'!$B$14,VLOOKUP($A89,EnrollData2324,'2324 Jun 24 Enroll'!G$1,FALSE),'District Calculations'!$B$14)*Apport_211A2324,3)</f>
        <v>1.867</v>
      </c>
      <c r="P89">
        <f>ROUND(IF(VLOOKUP($A89,EnrollData2324,'2324 Jun 24 Enroll'!H$1,FALSE)='District Calculations'!$B$14,VLOOKUP($A89,EnrollData2324,'2324 Jun 24 Enroll'!H$1,FALSE),'District Calculations'!$B$14)*Apport_214A2324,3)</f>
        <v>1.8660000000000001</v>
      </c>
      <c r="Q89">
        <f>ROUND(IF(VLOOKUP($A89,EnrollData2324,'2324 Jun 24 Enroll'!I$1,FALSE)+VLOOKUP($A89,EnrollData2324,'2324 Jun 24 Enroll'!M$1,FALSE)-VLOOKUP($A89,EnrollData2324,'2324 Jun 24 Enroll'!J$1,FALSE)='District Calculations'!$B$16+'District Calculations'!$B$25-'District Calculations'!$B$17,VLOOKUP($A89,EnrollData2324,'2324 Jun 24 Enroll'!I$1,FALSE)+VLOOKUP($A89,EnrollData2324,'2324 Jun 24 Enroll'!M$1,FALSE)-VLOOKUP($A89,EnrollData2324,'2324 Jun 24 Enroll'!J$1,FALSE),'District Calculations'!$B$16+'District Calculations'!$B$25-'District Calculations'!$B$17)*Apport_217A2324,3)</f>
        <v>4.6980000000000004</v>
      </c>
      <c r="R89">
        <f>ROUND(SUM(L89:Q89)/IF(VLOOKUP($A89,EnrollData2324,'2324 Jun 24 Enroll'!M$1,FALSE)+VLOOKUP($A89,EnrollData2324,'2324 Jun 24 Enroll'!D$1,FALSE)='District Calculations'!$B$25+'District Calculations'!$B$11,VLOOKUP($A89,EnrollData2324,'2324 Jun 24 Enroll'!M$1,FALSE)+VLOOKUP($A89,EnrollData2324,'2324 Jun 24 Enroll'!D$1,FALSE),'District Calculations'!$B$25+'District Calculations'!$B$11),5)</f>
        <v>4.1000000000000003E-3</v>
      </c>
      <c r="S89" s="11">
        <f t="shared" si="22"/>
        <v>1.8294500000000002E-2</v>
      </c>
      <c r="T89">
        <f>ROUND(IF(VLOOKUP($A89,EnrollData2324,'2324 Jun 24 Enroll'!D$1,FALSE)='District Calculations'!$B$11,VLOOKUP($A89,EnrollData2324,'2324 Jun 24 Enroll'!D$1,FALSE),'District Calculations'!$B$11)*S89,3)</f>
        <v>0</v>
      </c>
      <c r="U89">
        <f>ROUND(IF(VLOOKUP($A89,EnrollData2324,'2324 Jun 24 Enroll'!E$1,FALSE)='District Calculations'!$B$12,VLOOKUP($A89,EnrollData2324,'2324 Jun 24 Enroll'!E$1,FALSE),'District Calculations'!$B$12)*S89,3)</f>
        <v>14.827999999999999</v>
      </c>
      <c r="V89">
        <f>ROUND(IF(VLOOKUP($A89,EnrollData2324,'2324 Jun 24 Enroll'!F$1,FALSE)='District Calculations'!$B$13,VLOOKUP($A89,EnrollData2324,'2324 Jun 24 Enroll'!F$1,FALSE),'District Calculations'!$B$13)*Apport_224A2324,3)</f>
        <v>3.6190000000000002</v>
      </c>
      <c r="W89">
        <f>ROUND(IF(VLOOKUP($A89,EnrollData2324,'2324 Jun 24 Enroll'!G$1,FALSE)='District Calculations'!$B$14,VLOOKUP($A89,EnrollData2324,'2324 Jun 24 Enroll'!G$1,FALSE),'District Calculations'!$B$14)*Apport_212A2324,3)</f>
        <v>8.0239999999999991</v>
      </c>
      <c r="X89">
        <f>ROUND(IF(VLOOKUP($A89,EnrollData2324,'2324 Jun 24 Enroll'!H$1,FALSE)='District Calculations'!$B$14,VLOOKUP($A89,EnrollData2324,'2324 Jun 24 Enroll'!H$1,FALSE),'District Calculations'!$B$14)*Apport_215A2324,3)</f>
        <v>7.9279999999999999</v>
      </c>
      <c r="Y89">
        <f>ROUND(IF(VLOOKUP($A89,EnrollData2324,'2324 Jun 24 Enroll'!I$1,FALSE)+VLOOKUP($A89,EnrollData2324,'2324 Jun 24 Enroll'!M$1,FALSE)-VLOOKUP($A89,EnrollData2324,'2324 Jun 24 Enroll'!J$1,FALSE)='District Calculations'!$B$16+'District Calculations'!$B$25-'District Calculations'!$B$17,VLOOKUP($A89,EnrollData2324,'2324 Jun 24 Enroll'!I$1,FALSE)+VLOOKUP($A89,EnrollData2324,'2324 Jun 24 Enroll'!M$1,FALSE)-VLOOKUP($A89,EnrollData2324,'2324 Jun 24 Enroll'!J$1,FALSE),'District Calculations'!$B$16+'District Calculations'!$B$25-'District Calculations'!$B$17)*Apport_218A2324,3)</f>
        <v>19.917999999999999</v>
      </c>
      <c r="Z89">
        <f>ROUND(SUM(T89:Y89)/IF(VLOOKUP($A89,EnrollData2324,'2324 Jun 24 Enroll'!M$1,FALSE)+VLOOKUP($A89,EnrollData2324,'2324 Jun 24 Enroll'!D$1,FALSE)='District Calculations'!$B$25+'District Calculations'!$B$11,VLOOKUP($A89,EnrollData2324,'2324 Jun 24 Enroll'!M$1,FALSE)+VLOOKUP($A89,EnrollData2324,'2324 Jun 24 Enroll'!D$1,FALSE),'District Calculations'!$B$25+'District Calculations'!$B$11),5)</f>
        <v>1.7399999999999999E-2</v>
      </c>
      <c r="AA89" s="6">
        <f>ROUND($J89*CIS_Base_Salary2324*VLOOKUP($A89,EnrollData2324,'2324 Jun 24 Enroll'!S$1,FALSE),2)</f>
        <v>4038.59</v>
      </c>
      <c r="AB89" s="6">
        <f>ROUND($J89*CIS_Inc_Salary2324*(VLOOKUP($A89,EnrollData2324,'2324 Jun 24 Enroll'!T$1,FALSE)+VLOOKUP($A89,EnrollData2324,'2324 Jun 24 Enroll'!U$1,FALSE)),2)-AA89</f>
        <v>149.43000000000029</v>
      </c>
      <c r="AC89" s="6">
        <f>ROUND($R89*CAS_Base_Salary2324*VLOOKUP($A89,EnrollData2324,'2324 Jun 24 Enroll'!S$1,FALSE),2)</f>
        <v>442.62</v>
      </c>
      <c r="AD89" s="6">
        <f>ROUND($R89*CAS_Inc_Salary2324*VLOOKUP($A89,EnrollData2324,'2324 Jun 24 Enroll'!T$1,FALSE),2)-AC89</f>
        <v>16.379999999999995</v>
      </c>
      <c r="AE89" s="6">
        <f>ROUND($Z89*CLS_Base_Salary2324*VLOOKUP($A89,EnrollData2324,'2324 Jun 24 Enroll'!S$1,FALSE),2)</f>
        <v>907.81</v>
      </c>
      <c r="AF89" s="6">
        <f>ROUND($Z89*CLS_Inc_Salary2324*VLOOKUP($A89,EnrollData2324,'2324 Jun 24 Enroll'!T$1,FALSE),2)-AE89</f>
        <v>33.580000000000041</v>
      </c>
      <c r="AG89">
        <f t="shared" si="35"/>
        <v>734.16</v>
      </c>
      <c r="AH89" s="69">
        <f t="shared" si="23"/>
        <v>68.700000000000045</v>
      </c>
      <c r="AI89">
        <f t="shared" si="36"/>
        <v>214.23</v>
      </c>
      <c r="AJ89">
        <f t="shared" si="24"/>
        <v>114.21000000000001</v>
      </c>
      <c r="AK89">
        <f t="shared" si="25"/>
        <v>805.27</v>
      </c>
      <c r="AL89">
        <f t="shared" si="26"/>
        <v>28.73</v>
      </c>
      <c r="AM89">
        <f t="shared" si="27"/>
        <v>200.26</v>
      </c>
      <c r="AN89">
        <f t="shared" si="28"/>
        <v>6.23</v>
      </c>
      <c r="AO89">
        <f>ROUND(($J89*CIS_Inc_Salary2324*(VLOOKUP($A89,EnrollData2324,'2324 Jun 24 Enroll'!T$1,FALSE)+VLOOKUP($A89,EnrollData2324,'2324 Jun 24 Enroll'!U$1,FALSE))/Apport_613Xpd)*Apport_614Xpd,2)</f>
        <v>69.8</v>
      </c>
      <c r="AP89">
        <f t="shared" si="29"/>
        <v>12.1</v>
      </c>
      <c r="AQ89">
        <f t="shared" si="32"/>
        <v>30.93</v>
      </c>
      <c r="AR89" s="6">
        <f>ROUND((VLOOKUP($A89,EnrollData2324,'2324 Jun 24 Enroll'!D$1,FALSE)*Apport_M802324+VLOOKUP($A89,EnrollData2324,'2324 Jun 24 Enroll'!M$1,FALSE)*Apport_M802324+(VLOOKUP($A89,EnrollData2324,'2324 Jun 24 Enroll'!P$1,FALSE)+VLOOKUP($A89,EnrollData2324,'2324 Jun 24 Enroll'!Q$1,FALSE)+VLOOKUP($A89,EnrollData2324,'2324 Jun 24 Enroll'!R$1,FALSE)+VLOOKUP($A89,EnrollData2324,'2324 Jun 24 Enroll'!I$1,FALSE)+VLOOKUP($A89,EnrollData2324,'2324 Jun 24 Enroll'!N$1,FALSE)+VLOOKUP($A89,EnrollData2324,'2324 Jun 24 Enroll'!O$1,FALSE)+VLOOKUP($A89,EnrollData2324,'2324 Jun 24 Enroll'!K$1,FALSE)+VLOOKUP($A89,EnrollData2324,'2324 Jun 24 Enroll'!L$1,FALSE))*Apport_M812324)/(VLOOKUP($A89,EnrollData2324,'2324 Jun 24 Enroll'!M$1,FALSE)+VLOOKUP($A89,EnrollData2324,'2324 Jun 24 Enroll'!D$1,FALSE)),2)</f>
        <v>1549.16</v>
      </c>
      <c r="AS89" s="7">
        <f t="shared" si="33"/>
        <v>9422.19</v>
      </c>
    </row>
    <row r="90" spans="1:45">
      <c r="A90" s="40" t="s">
        <v>408</v>
      </c>
      <c r="B90" s="40" t="s">
        <v>409</v>
      </c>
      <c r="C90" s="11">
        <f>ROUND((IFERROR((1/IF(VLOOKUP($A90,EnrollData2324,28,FALSE)='District Calculations'!$B$10,VLOOKUP($A90,EnrollData2324,28,FALSE),'District Calculations'!$B$10))*(1+Apport_Z315),0))+Apport_201A2324,6)</f>
        <v>7.3449E-2</v>
      </c>
      <c r="D90">
        <f>ROUND(IF(VLOOKUP($A90,EnrollData2324,'2324 Jun 24 Enroll'!D$1,FALSE)='District Calculations'!$B$11,VLOOKUP($A90,EnrollData2324,'2324 Jun 24 Enroll'!D$1,FALSE),'District Calculations'!$B$11)*C90,3)</f>
        <v>0</v>
      </c>
      <c r="E90">
        <f>ROUND(IF(VLOOKUP($A90,EnrollData2324,'2324 Jun 24 Enroll'!E$1,FALSE)='District Calculations'!$B$12,VLOOKUP($A90,EnrollData2324,'2324 Jun 24 Enroll'!E$1,FALSE),'District Calculations'!$B$12)*C90,3)</f>
        <v>59.53</v>
      </c>
      <c r="F90">
        <f>ROUND(IF(VLOOKUP($A90,EnrollData2324,'2324 Jun 24 Enroll'!F$1,FALSE)='District Calculations'!$B$13,VLOOKUP($A90,EnrollData2324,'2324 Jun 24 Enroll'!F$1,FALSE),'District Calculations'!$B$13)*Apport_222A2324,3)</f>
        <v>10.101000000000001</v>
      </c>
      <c r="G90">
        <f>ROUND(IF(VLOOKUP($A90,EnrollData2324,'2324 Jun 24 Enroll'!G$1,FALSE)='District Calculations'!$B$14,VLOOKUP($A90,EnrollData2324,'2324 Jun 24 Enroll'!G$1,FALSE),'District Calculations'!$B$14)*Apport_210A2324,3)</f>
        <v>22.395</v>
      </c>
      <c r="H90">
        <f>ROUND(IF(VLOOKUP($A90,EnrollData2324,'2324 Jun 24 Enroll'!H$1,FALSE)='District Calculations'!$B$15,VLOOKUP($A90,EnrollData2324,'2324 Jun 24 Enroll'!H$1,FALSE),'District Calculations'!$B$15)*Apport_213A2324,3)</f>
        <v>23.091999999999999</v>
      </c>
      <c r="I90">
        <f>ROUND(IF(VLOOKUP($A90,EnrollData2324,'2324 Jun 24 Enroll'!I$1,FALSE)+VLOOKUP($A90,EnrollData2324,'2324 Jun 24 Enroll'!M$1,FALSE)-VLOOKUP($A90,EnrollData2324,'2324 Jun 24 Enroll'!J$1,FALSE)='District Calculations'!$B$16+'District Calculations'!$B$25-'District Calculations'!$B$17,VLOOKUP($A90,EnrollData2324,'2324 Jun 24 Enroll'!I$1,FALSE)+VLOOKUP($A90,EnrollData2324,'2324 Jun 24 Enroll'!M$1,FALSE)-VLOOKUP($A90,EnrollData2324,'2324 Jun 24 Enroll'!J$1,FALSE),'District Calculations'!$B$16+'District Calculations'!$B$25-'District Calculations'!$B$17)*Apport_216A2324,3)</f>
        <v>58.183999999999997</v>
      </c>
      <c r="J90">
        <f>ROUND(SUM(D90:I90)/(IF(VLOOKUP($A90,EnrollData2324,'2324 Jun 24 Enroll'!M$1,FALSE)='District Calculations'!$B$25,VLOOKUP($A90,EnrollData2324,'2324 Jun 24 Enroll'!M$1,FALSE),'District Calculations'!$B$25)+IF(VLOOKUP($A90,EnrollData2324,'2324 Jun 24 Enroll'!D$1,FALSE)='District Calculations'!$B$11,VLOOKUP($A90,EnrollData2324,'2324 Jun 24 Enroll'!D$1,FALSE),'District Calculations'!$B$11)),5)</f>
        <v>5.5530000000000003E-2</v>
      </c>
      <c r="K90" s="11">
        <f t="shared" si="21"/>
        <v>4.365E-3</v>
      </c>
      <c r="L90">
        <f>ROUND(IF(VLOOKUP($A90,EnrollData2324,'2324 Jun 24 Enroll'!D$1,FALSE)='District Calculations'!$B$11,VLOOKUP($A90,EnrollData2324,'2324 Jun 24 Enroll'!D$1,FALSE),'District Calculations'!$B$11)*K90,3)</f>
        <v>0</v>
      </c>
      <c r="M90">
        <f>ROUND(IF(VLOOKUP($A90,EnrollData2324,'2324 Jun 24 Enroll'!E$1,FALSE)='District Calculations'!$B$12,VLOOKUP($A90,EnrollData2324,'2324 Jun 24 Enroll'!E$1,FALSE),'District Calculations'!$B$12)*K90,3)</f>
        <v>3.5379999999999998</v>
      </c>
      <c r="N90">
        <f>ROUND(IF(VLOOKUP($A90,EnrollData2324,'2324 Jun 24 Enroll'!F$1,FALSE)='District Calculations'!$B$13,VLOOKUP($A90,EnrollData2324,'2324 Jun 24 Enroll'!F$1,FALSE),'District Calculations'!$B$13)*Apport_223A2324,3)</f>
        <v>0.84199999999999997</v>
      </c>
      <c r="O90">
        <f>ROUND(IF(VLOOKUP($A90,EnrollData2324,'2324 Jun 24 Enroll'!G$1,FALSE)='District Calculations'!$B$14,VLOOKUP($A90,EnrollData2324,'2324 Jun 24 Enroll'!G$1,FALSE),'District Calculations'!$B$14)*Apport_211A2324,3)</f>
        <v>1.867</v>
      </c>
      <c r="P90">
        <f>ROUND(IF(VLOOKUP($A90,EnrollData2324,'2324 Jun 24 Enroll'!H$1,FALSE)='District Calculations'!$B$14,VLOOKUP($A90,EnrollData2324,'2324 Jun 24 Enroll'!H$1,FALSE),'District Calculations'!$B$14)*Apport_214A2324,3)</f>
        <v>1.8660000000000001</v>
      </c>
      <c r="Q90">
        <f>ROUND(IF(VLOOKUP($A90,EnrollData2324,'2324 Jun 24 Enroll'!I$1,FALSE)+VLOOKUP($A90,EnrollData2324,'2324 Jun 24 Enroll'!M$1,FALSE)-VLOOKUP($A90,EnrollData2324,'2324 Jun 24 Enroll'!J$1,FALSE)='District Calculations'!$B$16+'District Calculations'!$B$25-'District Calculations'!$B$17,VLOOKUP($A90,EnrollData2324,'2324 Jun 24 Enroll'!I$1,FALSE)+VLOOKUP($A90,EnrollData2324,'2324 Jun 24 Enroll'!M$1,FALSE)-VLOOKUP($A90,EnrollData2324,'2324 Jun 24 Enroll'!J$1,FALSE),'District Calculations'!$B$16+'District Calculations'!$B$25-'District Calculations'!$B$17)*Apport_217A2324,3)</f>
        <v>4.6980000000000004</v>
      </c>
      <c r="R90">
        <f>ROUND(SUM(L90:Q90)/IF(VLOOKUP($A90,EnrollData2324,'2324 Jun 24 Enroll'!M$1,FALSE)+VLOOKUP($A90,EnrollData2324,'2324 Jun 24 Enroll'!D$1,FALSE)='District Calculations'!$B$25+'District Calculations'!$B$11,VLOOKUP($A90,EnrollData2324,'2324 Jun 24 Enroll'!M$1,FALSE)+VLOOKUP($A90,EnrollData2324,'2324 Jun 24 Enroll'!D$1,FALSE),'District Calculations'!$B$25+'District Calculations'!$B$11),5)</f>
        <v>4.1000000000000003E-3</v>
      </c>
      <c r="S90" s="11">
        <f t="shared" si="22"/>
        <v>1.8294500000000002E-2</v>
      </c>
      <c r="T90">
        <f>ROUND(IF(VLOOKUP($A90,EnrollData2324,'2324 Jun 24 Enroll'!D$1,FALSE)='District Calculations'!$B$11,VLOOKUP($A90,EnrollData2324,'2324 Jun 24 Enroll'!D$1,FALSE),'District Calculations'!$B$11)*S90,3)</f>
        <v>0</v>
      </c>
      <c r="U90">
        <f>ROUND(IF(VLOOKUP($A90,EnrollData2324,'2324 Jun 24 Enroll'!E$1,FALSE)='District Calculations'!$B$12,VLOOKUP($A90,EnrollData2324,'2324 Jun 24 Enroll'!E$1,FALSE),'District Calculations'!$B$12)*S90,3)</f>
        <v>14.827999999999999</v>
      </c>
      <c r="V90">
        <f>ROUND(IF(VLOOKUP($A90,EnrollData2324,'2324 Jun 24 Enroll'!F$1,FALSE)='District Calculations'!$B$13,VLOOKUP($A90,EnrollData2324,'2324 Jun 24 Enroll'!F$1,FALSE),'District Calculations'!$B$13)*Apport_224A2324,3)</f>
        <v>3.6190000000000002</v>
      </c>
      <c r="W90">
        <f>ROUND(IF(VLOOKUP($A90,EnrollData2324,'2324 Jun 24 Enroll'!G$1,FALSE)='District Calculations'!$B$14,VLOOKUP($A90,EnrollData2324,'2324 Jun 24 Enroll'!G$1,FALSE),'District Calculations'!$B$14)*Apport_212A2324,3)</f>
        <v>8.0239999999999991</v>
      </c>
      <c r="X90">
        <f>ROUND(IF(VLOOKUP($A90,EnrollData2324,'2324 Jun 24 Enroll'!H$1,FALSE)='District Calculations'!$B$14,VLOOKUP($A90,EnrollData2324,'2324 Jun 24 Enroll'!H$1,FALSE),'District Calculations'!$B$14)*Apport_215A2324,3)</f>
        <v>7.9279999999999999</v>
      </c>
      <c r="Y90">
        <f>ROUND(IF(VLOOKUP($A90,EnrollData2324,'2324 Jun 24 Enroll'!I$1,FALSE)+VLOOKUP($A90,EnrollData2324,'2324 Jun 24 Enroll'!M$1,FALSE)-VLOOKUP($A90,EnrollData2324,'2324 Jun 24 Enroll'!J$1,FALSE)='District Calculations'!$B$16+'District Calculations'!$B$25-'District Calculations'!$B$17,VLOOKUP($A90,EnrollData2324,'2324 Jun 24 Enroll'!I$1,FALSE)+VLOOKUP($A90,EnrollData2324,'2324 Jun 24 Enroll'!M$1,FALSE)-VLOOKUP($A90,EnrollData2324,'2324 Jun 24 Enroll'!J$1,FALSE),'District Calculations'!$B$16+'District Calculations'!$B$25-'District Calculations'!$B$17)*Apport_218A2324,3)</f>
        <v>19.917999999999999</v>
      </c>
      <c r="Z90">
        <f>ROUND(SUM(T90:Y90)/IF(VLOOKUP($A90,EnrollData2324,'2324 Jun 24 Enroll'!M$1,FALSE)+VLOOKUP($A90,EnrollData2324,'2324 Jun 24 Enroll'!D$1,FALSE)='District Calculations'!$B$25+'District Calculations'!$B$11,VLOOKUP($A90,EnrollData2324,'2324 Jun 24 Enroll'!M$1,FALSE)+VLOOKUP($A90,EnrollData2324,'2324 Jun 24 Enroll'!D$1,FALSE),'District Calculations'!$B$25+'District Calculations'!$B$11),5)</f>
        <v>1.7399999999999999E-2</v>
      </c>
      <c r="AA90" s="6">
        <f>ROUND($J90*CIS_Base_Salary2324*VLOOKUP($A90,EnrollData2324,'2324 Jun 24 Enroll'!S$1,FALSE),2)</f>
        <v>4038.59</v>
      </c>
      <c r="AB90" s="6">
        <f>ROUND($J90*CIS_Inc_Salary2324*(VLOOKUP($A90,EnrollData2324,'2324 Jun 24 Enroll'!T$1,FALSE)+VLOOKUP($A90,EnrollData2324,'2324 Jun 24 Enroll'!U$1,FALSE)),2)-AA90</f>
        <v>149.43000000000029</v>
      </c>
      <c r="AC90" s="6">
        <f>ROUND($R90*CAS_Base_Salary2324*VLOOKUP($A90,EnrollData2324,'2324 Jun 24 Enroll'!S$1,FALSE),2)</f>
        <v>442.62</v>
      </c>
      <c r="AD90" s="6">
        <f>ROUND($R90*CAS_Inc_Salary2324*VLOOKUP($A90,EnrollData2324,'2324 Jun 24 Enroll'!T$1,FALSE),2)-AC90</f>
        <v>16.379999999999995</v>
      </c>
      <c r="AE90" s="6">
        <f>ROUND($Z90*CLS_Base_Salary2324*VLOOKUP($A90,EnrollData2324,'2324 Jun 24 Enroll'!S$1,FALSE),2)</f>
        <v>907.81</v>
      </c>
      <c r="AF90" s="6">
        <f>ROUND($Z90*CLS_Inc_Salary2324*VLOOKUP($A90,EnrollData2324,'2324 Jun 24 Enroll'!T$1,FALSE),2)-AE90</f>
        <v>33.580000000000041</v>
      </c>
      <c r="AG90">
        <f t="shared" si="35"/>
        <v>734.16</v>
      </c>
      <c r="AH90" s="69">
        <f t="shared" si="23"/>
        <v>68.700000000000045</v>
      </c>
      <c r="AI90">
        <f t="shared" si="36"/>
        <v>214.23</v>
      </c>
      <c r="AJ90">
        <f t="shared" si="24"/>
        <v>114.21000000000001</v>
      </c>
      <c r="AK90">
        <f t="shared" si="25"/>
        <v>805.27</v>
      </c>
      <c r="AL90">
        <f t="shared" si="26"/>
        <v>28.73</v>
      </c>
      <c r="AM90">
        <f t="shared" si="27"/>
        <v>200.26</v>
      </c>
      <c r="AN90">
        <f t="shared" si="28"/>
        <v>6.23</v>
      </c>
      <c r="AO90">
        <f>ROUND(($J90*CIS_Inc_Salary2324*(VLOOKUP($A90,EnrollData2324,'2324 Jun 24 Enroll'!T$1,FALSE)+VLOOKUP($A90,EnrollData2324,'2324 Jun 24 Enroll'!U$1,FALSE))/Apport_613Xpd)*Apport_614Xpd,2)</f>
        <v>69.8</v>
      </c>
      <c r="AP90">
        <f t="shared" si="29"/>
        <v>12.1</v>
      </c>
      <c r="AQ90">
        <f t="shared" si="32"/>
        <v>30.93</v>
      </c>
      <c r="AR90" s="6">
        <f>ROUND((VLOOKUP($A90,EnrollData2324,'2324 Jun 24 Enroll'!D$1,FALSE)*Apport_M802324+VLOOKUP($A90,EnrollData2324,'2324 Jun 24 Enroll'!M$1,FALSE)*Apport_M802324+(VLOOKUP($A90,EnrollData2324,'2324 Jun 24 Enroll'!P$1,FALSE)+VLOOKUP($A90,EnrollData2324,'2324 Jun 24 Enroll'!Q$1,FALSE)+VLOOKUP($A90,EnrollData2324,'2324 Jun 24 Enroll'!R$1,FALSE)+VLOOKUP($A90,EnrollData2324,'2324 Jun 24 Enroll'!I$1,FALSE)+VLOOKUP($A90,EnrollData2324,'2324 Jun 24 Enroll'!N$1,FALSE)+VLOOKUP($A90,EnrollData2324,'2324 Jun 24 Enroll'!O$1,FALSE)+VLOOKUP($A90,EnrollData2324,'2324 Jun 24 Enroll'!K$1,FALSE)+VLOOKUP($A90,EnrollData2324,'2324 Jun 24 Enroll'!L$1,FALSE))*Apport_M812324)/(VLOOKUP($A90,EnrollData2324,'2324 Jun 24 Enroll'!M$1,FALSE)+VLOOKUP($A90,EnrollData2324,'2324 Jun 24 Enroll'!D$1,FALSE)),2)</f>
        <v>1561.09</v>
      </c>
      <c r="AS90" s="7">
        <f t="shared" si="33"/>
        <v>9434.119999999999</v>
      </c>
    </row>
    <row r="91" spans="1:45">
      <c r="A91" s="40" t="s">
        <v>771</v>
      </c>
      <c r="B91" s="40" t="s">
        <v>772</v>
      </c>
      <c r="C91" s="11">
        <f>ROUND((IFERROR((1/IF(VLOOKUP($A91,EnrollData2324,28,FALSE)='District Calculations'!$B$10,VLOOKUP($A91,EnrollData2324,28,FALSE),'District Calculations'!$B$10))*(1+Apport_Z315),0))+Apport_201A2324,6)</f>
        <v>7.3449E-2</v>
      </c>
      <c r="D91">
        <f>ROUND(IF(VLOOKUP($A91,EnrollData2324,'2324 Jun 24 Enroll'!D$1,FALSE)='District Calculations'!$B$11,VLOOKUP($A91,EnrollData2324,'2324 Jun 24 Enroll'!D$1,FALSE),'District Calculations'!$B$11)*C91,3)</f>
        <v>0</v>
      </c>
      <c r="E91">
        <f>ROUND(IF(VLOOKUP($A91,EnrollData2324,'2324 Jun 24 Enroll'!E$1,FALSE)='District Calculations'!$B$12,VLOOKUP($A91,EnrollData2324,'2324 Jun 24 Enroll'!E$1,FALSE),'District Calculations'!$B$12)*C91,3)</f>
        <v>59.53</v>
      </c>
      <c r="F91">
        <f>ROUND(IF(VLOOKUP($A91,EnrollData2324,'2324 Jun 24 Enroll'!F$1,FALSE)='District Calculations'!$B$13,VLOOKUP($A91,EnrollData2324,'2324 Jun 24 Enroll'!F$1,FALSE),'District Calculations'!$B$13)*Apport_222A2324,3)</f>
        <v>10.101000000000001</v>
      </c>
      <c r="G91">
        <f>ROUND(IF(VLOOKUP($A91,EnrollData2324,'2324 Jun 24 Enroll'!G$1,FALSE)='District Calculations'!$B$14,VLOOKUP($A91,EnrollData2324,'2324 Jun 24 Enroll'!G$1,FALSE),'District Calculations'!$B$14)*Apport_210A2324,3)</f>
        <v>22.395</v>
      </c>
      <c r="H91">
        <f>ROUND(IF(VLOOKUP($A91,EnrollData2324,'2324 Jun 24 Enroll'!H$1,FALSE)='District Calculations'!$B$15,VLOOKUP($A91,EnrollData2324,'2324 Jun 24 Enroll'!H$1,FALSE),'District Calculations'!$B$15)*Apport_213A2324,3)</f>
        <v>23.091999999999999</v>
      </c>
      <c r="I91">
        <f>ROUND(IF(VLOOKUP($A91,EnrollData2324,'2324 Jun 24 Enroll'!I$1,FALSE)+VLOOKUP($A91,EnrollData2324,'2324 Jun 24 Enroll'!M$1,FALSE)-VLOOKUP($A91,EnrollData2324,'2324 Jun 24 Enroll'!J$1,FALSE)='District Calculations'!$B$16+'District Calculations'!$B$25-'District Calculations'!$B$17,VLOOKUP($A91,EnrollData2324,'2324 Jun 24 Enroll'!I$1,FALSE)+VLOOKUP($A91,EnrollData2324,'2324 Jun 24 Enroll'!M$1,FALSE)-VLOOKUP($A91,EnrollData2324,'2324 Jun 24 Enroll'!J$1,FALSE),'District Calculations'!$B$16+'District Calculations'!$B$25-'District Calculations'!$B$17)*Apport_216A2324,3)</f>
        <v>58.183999999999997</v>
      </c>
      <c r="J91">
        <f>ROUND(SUM(D91:I91)/(IF(VLOOKUP($A91,EnrollData2324,'2324 Jun 24 Enroll'!M$1,FALSE)='District Calculations'!$B$25,VLOOKUP($A91,EnrollData2324,'2324 Jun 24 Enroll'!M$1,FALSE),'District Calculations'!$B$25)+IF(VLOOKUP($A91,EnrollData2324,'2324 Jun 24 Enroll'!D$1,FALSE)='District Calculations'!$B$11,VLOOKUP($A91,EnrollData2324,'2324 Jun 24 Enroll'!D$1,FALSE),'District Calculations'!$B$11)),5)</f>
        <v>5.5530000000000003E-2</v>
      </c>
      <c r="K91" s="11">
        <f t="shared" si="21"/>
        <v>4.365E-3</v>
      </c>
      <c r="L91">
        <f>ROUND(IF(VLOOKUP($A91,EnrollData2324,'2324 Jun 24 Enroll'!D$1,FALSE)='District Calculations'!$B$11,VLOOKUP($A91,EnrollData2324,'2324 Jun 24 Enroll'!D$1,FALSE),'District Calculations'!$B$11)*K91,3)</f>
        <v>0</v>
      </c>
      <c r="M91">
        <f>ROUND(IF(VLOOKUP($A91,EnrollData2324,'2324 Jun 24 Enroll'!E$1,FALSE)='District Calculations'!$B$12,VLOOKUP($A91,EnrollData2324,'2324 Jun 24 Enroll'!E$1,FALSE),'District Calculations'!$B$12)*K91,3)</f>
        <v>3.5379999999999998</v>
      </c>
      <c r="N91">
        <f>ROUND(IF(VLOOKUP($A91,EnrollData2324,'2324 Jun 24 Enroll'!F$1,FALSE)='District Calculations'!$B$13,VLOOKUP($A91,EnrollData2324,'2324 Jun 24 Enroll'!F$1,FALSE),'District Calculations'!$B$13)*Apport_223A2324,3)</f>
        <v>0.84199999999999997</v>
      </c>
      <c r="O91">
        <f>ROUND(IF(VLOOKUP($A91,EnrollData2324,'2324 Jun 24 Enroll'!G$1,FALSE)='District Calculations'!$B$14,VLOOKUP($A91,EnrollData2324,'2324 Jun 24 Enroll'!G$1,FALSE),'District Calculations'!$B$14)*Apport_211A2324,3)</f>
        <v>1.867</v>
      </c>
      <c r="P91">
        <f>ROUND(IF(VLOOKUP($A91,EnrollData2324,'2324 Jun 24 Enroll'!H$1,FALSE)='District Calculations'!$B$14,VLOOKUP($A91,EnrollData2324,'2324 Jun 24 Enroll'!H$1,FALSE),'District Calculations'!$B$14)*Apport_214A2324,3)</f>
        <v>1.8660000000000001</v>
      </c>
      <c r="Q91">
        <f>ROUND(IF(VLOOKUP($A91,EnrollData2324,'2324 Jun 24 Enroll'!I$1,FALSE)+VLOOKUP($A91,EnrollData2324,'2324 Jun 24 Enroll'!M$1,FALSE)-VLOOKUP($A91,EnrollData2324,'2324 Jun 24 Enroll'!J$1,FALSE)='District Calculations'!$B$16+'District Calculations'!$B$25-'District Calculations'!$B$17,VLOOKUP($A91,EnrollData2324,'2324 Jun 24 Enroll'!I$1,FALSE)+VLOOKUP($A91,EnrollData2324,'2324 Jun 24 Enroll'!M$1,FALSE)-VLOOKUP($A91,EnrollData2324,'2324 Jun 24 Enroll'!J$1,FALSE),'District Calculations'!$B$16+'District Calculations'!$B$25-'District Calculations'!$B$17)*Apport_217A2324,3)</f>
        <v>4.6980000000000004</v>
      </c>
      <c r="R91">
        <f>ROUND(SUM(L91:Q91)/IF(VLOOKUP($A91,EnrollData2324,'2324 Jun 24 Enroll'!M$1,FALSE)+VLOOKUP($A91,EnrollData2324,'2324 Jun 24 Enroll'!D$1,FALSE)='District Calculations'!$B$25+'District Calculations'!$B$11,VLOOKUP($A91,EnrollData2324,'2324 Jun 24 Enroll'!M$1,FALSE)+VLOOKUP($A91,EnrollData2324,'2324 Jun 24 Enroll'!D$1,FALSE),'District Calculations'!$B$25+'District Calculations'!$B$11),5)</f>
        <v>4.1000000000000003E-3</v>
      </c>
      <c r="S91" s="11">
        <f t="shared" si="22"/>
        <v>1.8294500000000002E-2</v>
      </c>
      <c r="T91">
        <f>ROUND(IF(VLOOKUP($A91,EnrollData2324,'2324 Jun 24 Enroll'!D$1,FALSE)='District Calculations'!$B$11,VLOOKUP($A91,EnrollData2324,'2324 Jun 24 Enroll'!D$1,FALSE),'District Calculations'!$B$11)*S91,3)</f>
        <v>0</v>
      </c>
      <c r="U91">
        <f>ROUND(IF(VLOOKUP($A91,EnrollData2324,'2324 Jun 24 Enroll'!E$1,FALSE)='District Calculations'!$B$12,VLOOKUP($A91,EnrollData2324,'2324 Jun 24 Enroll'!E$1,FALSE),'District Calculations'!$B$12)*S91,3)</f>
        <v>14.827999999999999</v>
      </c>
      <c r="V91">
        <f>ROUND(IF(VLOOKUP($A91,EnrollData2324,'2324 Jun 24 Enroll'!F$1,FALSE)='District Calculations'!$B$13,VLOOKUP($A91,EnrollData2324,'2324 Jun 24 Enroll'!F$1,FALSE),'District Calculations'!$B$13)*Apport_224A2324,3)</f>
        <v>3.6190000000000002</v>
      </c>
      <c r="W91">
        <f>ROUND(IF(VLOOKUP($A91,EnrollData2324,'2324 Jun 24 Enroll'!G$1,FALSE)='District Calculations'!$B$14,VLOOKUP($A91,EnrollData2324,'2324 Jun 24 Enroll'!G$1,FALSE),'District Calculations'!$B$14)*Apport_212A2324,3)</f>
        <v>8.0239999999999991</v>
      </c>
      <c r="X91">
        <f>ROUND(IF(VLOOKUP($A91,EnrollData2324,'2324 Jun 24 Enroll'!H$1,FALSE)='District Calculations'!$B$14,VLOOKUP($A91,EnrollData2324,'2324 Jun 24 Enroll'!H$1,FALSE),'District Calculations'!$B$14)*Apport_215A2324,3)</f>
        <v>7.9279999999999999</v>
      </c>
      <c r="Y91">
        <f>ROUND(IF(VLOOKUP($A91,EnrollData2324,'2324 Jun 24 Enroll'!I$1,FALSE)+VLOOKUP($A91,EnrollData2324,'2324 Jun 24 Enroll'!M$1,FALSE)-VLOOKUP($A91,EnrollData2324,'2324 Jun 24 Enroll'!J$1,FALSE)='District Calculations'!$B$16+'District Calculations'!$B$25-'District Calculations'!$B$17,VLOOKUP($A91,EnrollData2324,'2324 Jun 24 Enroll'!I$1,FALSE)+VLOOKUP($A91,EnrollData2324,'2324 Jun 24 Enroll'!M$1,FALSE)-VLOOKUP($A91,EnrollData2324,'2324 Jun 24 Enroll'!J$1,FALSE),'District Calculations'!$B$16+'District Calculations'!$B$25-'District Calculations'!$B$17)*Apport_218A2324,3)</f>
        <v>19.917999999999999</v>
      </c>
      <c r="Z91">
        <f>ROUND(SUM(T91:Y91)/IF(VLOOKUP($A91,EnrollData2324,'2324 Jun 24 Enroll'!M$1,FALSE)+VLOOKUP($A91,EnrollData2324,'2324 Jun 24 Enroll'!D$1,FALSE)='District Calculations'!$B$25+'District Calculations'!$B$11,VLOOKUP($A91,EnrollData2324,'2324 Jun 24 Enroll'!M$1,FALSE)+VLOOKUP($A91,EnrollData2324,'2324 Jun 24 Enroll'!D$1,FALSE),'District Calculations'!$B$25+'District Calculations'!$B$11),5)</f>
        <v>1.7399999999999999E-2</v>
      </c>
      <c r="AA91" s="6">
        <f>ROUND($J91*CIS_Base_Salary2324*VLOOKUP($A91,EnrollData2324,'2324 Jun 24 Enroll'!S$1,FALSE),2)</f>
        <v>4038.59</v>
      </c>
      <c r="AB91" s="6">
        <f>ROUND($J91*CIS_Inc_Salary2324*(VLOOKUP($A91,EnrollData2324,'2324 Jun 24 Enroll'!T$1,FALSE)+VLOOKUP($A91,EnrollData2324,'2324 Jun 24 Enroll'!U$1,FALSE)),2)-AA91</f>
        <v>149.43000000000029</v>
      </c>
      <c r="AC91" s="6">
        <f>ROUND($R91*CAS_Base_Salary2324*VLOOKUP($A91,EnrollData2324,'2324 Jun 24 Enroll'!S$1,FALSE),2)</f>
        <v>442.62</v>
      </c>
      <c r="AD91" s="6">
        <f>ROUND($R91*CAS_Inc_Salary2324*VLOOKUP($A91,EnrollData2324,'2324 Jun 24 Enroll'!T$1,FALSE),2)-AC91</f>
        <v>16.379999999999995</v>
      </c>
      <c r="AE91" s="6">
        <f>ROUND($Z91*CLS_Base_Salary2324*VLOOKUP($A91,EnrollData2324,'2324 Jun 24 Enroll'!S$1,FALSE),2)</f>
        <v>907.81</v>
      </c>
      <c r="AF91" s="6">
        <f>ROUND($Z91*CLS_Inc_Salary2324*VLOOKUP($A91,EnrollData2324,'2324 Jun 24 Enroll'!T$1,FALSE),2)-AE91</f>
        <v>33.580000000000041</v>
      </c>
      <c r="AG91">
        <f t="shared" si="35"/>
        <v>734.16</v>
      </c>
      <c r="AH91" s="69">
        <f t="shared" si="23"/>
        <v>68.700000000000045</v>
      </c>
      <c r="AI91">
        <f t="shared" si="36"/>
        <v>214.23</v>
      </c>
      <c r="AJ91">
        <f t="shared" si="24"/>
        <v>114.21000000000001</v>
      </c>
      <c r="AK91">
        <f t="shared" si="25"/>
        <v>805.27</v>
      </c>
      <c r="AL91">
        <f t="shared" si="26"/>
        <v>28.73</v>
      </c>
      <c r="AM91">
        <f t="shared" si="27"/>
        <v>200.26</v>
      </c>
      <c r="AN91">
        <f t="shared" si="28"/>
        <v>6.23</v>
      </c>
      <c r="AO91">
        <f>ROUND(($J91*CIS_Inc_Salary2324*(VLOOKUP($A91,EnrollData2324,'2324 Jun 24 Enroll'!T$1,FALSE)+VLOOKUP($A91,EnrollData2324,'2324 Jun 24 Enroll'!U$1,FALSE))/Apport_613Xpd)*Apport_614Xpd,2)</f>
        <v>69.8</v>
      </c>
      <c r="AP91">
        <f t="shared" si="29"/>
        <v>12.1</v>
      </c>
      <c r="AQ91">
        <f t="shared" si="32"/>
        <v>30.93</v>
      </c>
      <c r="AR91" s="6">
        <f>ROUND((VLOOKUP($A91,EnrollData2324,'2324 Jun 24 Enroll'!D$1,FALSE)*Apport_M802324+VLOOKUP($A91,EnrollData2324,'2324 Jun 24 Enroll'!M$1,FALSE)*Apport_M802324+(VLOOKUP($A91,EnrollData2324,'2324 Jun 24 Enroll'!P$1,FALSE)+VLOOKUP($A91,EnrollData2324,'2324 Jun 24 Enroll'!Q$1,FALSE)+VLOOKUP($A91,EnrollData2324,'2324 Jun 24 Enroll'!R$1,FALSE)+VLOOKUP($A91,EnrollData2324,'2324 Jun 24 Enroll'!I$1,FALSE)+VLOOKUP($A91,EnrollData2324,'2324 Jun 24 Enroll'!N$1,FALSE)+VLOOKUP($A91,EnrollData2324,'2324 Jun 24 Enroll'!O$1,FALSE)+VLOOKUP($A91,EnrollData2324,'2324 Jun 24 Enroll'!K$1,FALSE)+VLOOKUP($A91,EnrollData2324,'2324 Jun 24 Enroll'!L$1,FALSE))*Apport_M812324)/(VLOOKUP($A91,EnrollData2324,'2324 Jun 24 Enroll'!M$1,FALSE)+VLOOKUP($A91,EnrollData2324,'2324 Jun 24 Enroll'!D$1,FALSE)),2)</f>
        <v>1536.21</v>
      </c>
      <c r="AS91" s="7">
        <f t="shared" si="33"/>
        <v>9409.24</v>
      </c>
    </row>
    <row r="92" spans="1:45">
      <c r="A92" s="40" t="s">
        <v>741</v>
      </c>
      <c r="B92" s="40" t="s">
        <v>742</v>
      </c>
      <c r="C92" s="11">
        <f>ROUND((IFERROR((1/IF(VLOOKUP($A92,EnrollData2324,28,FALSE)='District Calculations'!$B$10,VLOOKUP($A92,EnrollData2324,28,FALSE),'District Calculations'!$B$10))*(1+Apport_Z315),0))+Apport_201A2324,6)</f>
        <v>7.3449E-2</v>
      </c>
      <c r="D92">
        <f>ROUND(IF(VLOOKUP($A92,EnrollData2324,'2324 Jun 24 Enroll'!D$1,FALSE)='District Calculations'!$B$11,VLOOKUP($A92,EnrollData2324,'2324 Jun 24 Enroll'!D$1,FALSE),'District Calculations'!$B$11)*C92,3)</f>
        <v>0</v>
      </c>
      <c r="E92">
        <f>ROUND(IF(VLOOKUP($A92,EnrollData2324,'2324 Jun 24 Enroll'!E$1,FALSE)='District Calculations'!$B$12,VLOOKUP($A92,EnrollData2324,'2324 Jun 24 Enroll'!E$1,FALSE),'District Calculations'!$B$12)*C92,3)</f>
        <v>59.53</v>
      </c>
      <c r="F92">
        <f>ROUND(IF(VLOOKUP($A92,EnrollData2324,'2324 Jun 24 Enroll'!F$1,FALSE)='District Calculations'!$B$13,VLOOKUP($A92,EnrollData2324,'2324 Jun 24 Enroll'!F$1,FALSE),'District Calculations'!$B$13)*Apport_222A2324,3)</f>
        <v>10.101000000000001</v>
      </c>
      <c r="G92">
        <f>ROUND(IF(VLOOKUP($A92,EnrollData2324,'2324 Jun 24 Enroll'!G$1,FALSE)='District Calculations'!$B$14,VLOOKUP($A92,EnrollData2324,'2324 Jun 24 Enroll'!G$1,FALSE),'District Calculations'!$B$14)*Apport_210A2324,3)</f>
        <v>22.395</v>
      </c>
      <c r="H92">
        <f>ROUND(IF(VLOOKUP($A92,EnrollData2324,'2324 Jun 24 Enroll'!H$1,FALSE)='District Calculations'!$B$15,VLOOKUP($A92,EnrollData2324,'2324 Jun 24 Enroll'!H$1,FALSE),'District Calculations'!$B$15)*Apport_213A2324,3)</f>
        <v>23.091999999999999</v>
      </c>
      <c r="I92">
        <f>ROUND(IF(VLOOKUP($A92,EnrollData2324,'2324 Jun 24 Enroll'!I$1,FALSE)+VLOOKUP($A92,EnrollData2324,'2324 Jun 24 Enroll'!M$1,FALSE)-VLOOKUP($A92,EnrollData2324,'2324 Jun 24 Enroll'!J$1,FALSE)='District Calculations'!$B$16+'District Calculations'!$B$25-'District Calculations'!$B$17,VLOOKUP($A92,EnrollData2324,'2324 Jun 24 Enroll'!I$1,FALSE)+VLOOKUP($A92,EnrollData2324,'2324 Jun 24 Enroll'!M$1,FALSE)-VLOOKUP($A92,EnrollData2324,'2324 Jun 24 Enroll'!J$1,FALSE),'District Calculations'!$B$16+'District Calculations'!$B$25-'District Calculations'!$B$17)*Apport_216A2324,3)</f>
        <v>58.183999999999997</v>
      </c>
      <c r="J92">
        <f>ROUND(SUM(D92:I92)/(IF(VLOOKUP($A92,EnrollData2324,'2324 Jun 24 Enroll'!M$1,FALSE)='District Calculations'!$B$25,VLOOKUP($A92,EnrollData2324,'2324 Jun 24 Enroll'!M$1,FALSE),'District Calculations'!$B$25)+IF(VLOOKUP($A92,EnrollData2324,'2324 Jun 24 Enroll'!D$1,FALSE)='District Calculations'!$B$11,VLOOKUP($A92,EnrollData2324,'2324 Jun 24 Enroll'!D$1,FALSE),'District Calculations'!$B$11)),5)</f>
        <v>5.5530000000000003E-2</v>
      </c>
      <c r="K92" s="11">
        <f t="shared" si="21"/>
        <v>4.365E-3</v>
      </c>
      <c r="L92">
        <f>ROUND(IF(VLOOKUP($A92,EnrollData2324,'2324 Jun 24 Enroll'!D$1,FALSE)='District Calculations'!$B$11,VLOOKUP($A92,EnrollData2324,'2324 Jun 24 Enroll'!D$1,FALSE),'District Calculations'!$B$11)*K92,3)</f>
        <v>0</v>
      </c>
      <c r="M92">
        <f>ROUND(IF(VLOOKUP($A92,EnrollData2324,'2324 Jun 24 Enroll'!E$1,FALSE)='District Calculations'!$B$12,VLOOKUP($A92,EnrollData2324,'2324 Jun 24 Enroll'!E$1,FALSE),'District Calculations'!$B$12)*K92,3)</f>
        <v>3.5379999999999998</v>
      </c>
      <c r="N92">
        <f>ROUND(IF(VLOOKUP($A92,EnrollData2324,'2324 Jun 24 Enroll'!F$1,FALSE)='District Calculations'!$B$13,VLOOKUP($A92,EnrollData2324,'2324 Jun 24 Enroll'!F$1,FALSE),'District Calculations'!$B$13)*Apport_223A2324,3)</f>
        <v>0.84199999999999997</v>
      </c>
      <c r="O92">
        <f>ROUND(IF(VLOOKUP($A92,EnrollData2324,'2324 Jun 24 Enroll'!G$1,FALSE)='District Calculations'!$B$14,VLOOKUP($A92,EnrollData2324,'2324 Jun 24 Enroll'!G$1,FALSE),'District Calculations'!$B$14)*Apport_211A2324,3)</f>
        <v>1.867</v>
      </c>
      <c r="P92">
        <f>ROUND(IF(VLOOKUP($A92,EnrollData2324,'2324 Jun 24 Enroll'!H$1,FALSE)='District Calculations'!$B$14,VLOOKUP($A92,EnrollData2324,'2324 Jun 24 Enroll'!H$1,FALSE),'District Calculations'!$B$14)*Apport_214A2324,3)</f>
        <v>1.8660000000000001</v>
      </c>
      <c r="Q92">
        <f>ROUND(IF(VLOOKUP($A92,EnrollData2324,'2324 Jun 24 Enroll'!I$1,FALSE)+VLOOKUP($A92,EnrollData2324,'2324 Jun 24 Enroll'!M$1,FALSE)-VLOOKUP($A92,EnrollData2324,'2324 Jun 24 Enroll'!J$1,FALSE)='District Calculations'!$B$16+'District Calculations'!$B$25-'District Calculations'!$B$17,VLOOKUP($A92,EnrollData2324,'2324 Jun 24 Enroll'!I$1,FALSE)+VLOOKUP($A92,EnrollData2324,'2324 Jun 24 Enroll'!M$1,FALSE)-VLOOKUP($A92,EnrollData2324,'2324 Jun 24 Enroll'!J$1,FALSE),'District Calculations'!$B$16+'District Calculations'!$B$25-'District Calculations'!$B$17)*Apport_217A2324,3)</f>
        <v>4.6980000000000004</v>
      </c>
      <c r="R92">
        <f>ROUND(SUM(L92:Q92)/IF(VLOOKUP($A92,EnrollData2324,'2324 Jun 24 Enroll'!M$1,FALSE)+VLOOKUP($A92,EnrollData2324,'2324 Jun 24 Enroll'!D$1,FALSE)='District Calculations'!$B$25+'District Calculations'!$B$11,VLOOKUP($A92,EnrollData2324,'2324 Jun 24 Enroll'!M$1,FALSE)+VLOOKUP($A92,EnrollData2324,'2324 Jun 24 Enroll'!D$1,FALSE),'District Calculations'!$B$25+'District Calculations'!$B$11),5)</f>
        <v>4.1000000000000003E-3</v>
      </c>
      <c r="S92" s="11">
        <f t="shared" si="22"/>
        <v>1.8294500000000002E-2</v>
      </c>
      <c r="T92">
        <f>ROUND(IF(VLOOKUP($A92,EnrollData2324,'2324 Jun 24 Enroll'!D$1,FALSE)='District Calculations'!$B$11,VLOOKUP($A92,EnrollData2324,'2324 Jun 24 Enroll'!D$1,FALSE),'District Calculations'!$B$11)*S92,3)</f>
        <v>0</v>
      </c>
      <c r="U92">
        <f>ROUND(IF(VLOOKUP($A92,EnrollData2324,'2324 Jun 24 Enroll'!E$1,FALSE)='District Calculations'!$B$12,VLOOKUP($A92,EnrollData2324,'2324 Jun 24 Enroll'!E$1,FALSE),'District Calculations'!$B$12)*S92,3)</f>
        <v>14.827999999999999</v>
      </c>
      <c r="V92">
        <f>ROUND(IF(VLOOKUP($A92,EnrollData2324,'2324 Jun 24 Enroll'!F$1,FALSE)='District Calculations'!$B$13,VLOOKUP($A92,EnrollData2324,'2324 Jun 24 Enroll'!F$1,FALSE),'District Calculations'!$B$13)*Apport_224A2324,3)</f>
        <v>3.6190000000000002</v>
      </c>
      <c r="W92">
        <f>ROUND(IF(VLOOKUP($A92,EnrollData2324,'2324 Jun 24 Enroll'!G$1,FALSE)='District Calculations'!$B$14,VLOOKUP($A92,EnrollData2324,'2324 Jun 24 Enroll'!G$1,FALSE),'District Calculations'!$B$14)*Apport_212A2324,3)</f>
        <v>8.0239999999999991</v>
      </c>
      <c r="X92">
        <f>ROUND(IF(VLOOKUP($A92,EnrollData2324,'2324 Jun 24 Enroll'!H$1,FALSE)='District Calculations'!$B$14,VLOOKUP($A92,EnrollData2324,'2324 Jun 24 Enroll'!H$1,FALSE),'District Calculations'!$B$14)*Apport_215A2324,3)</f>
        <v>7.9279999999999999</v>
      </c>
      <c r="Y92">
        <f>ROUND(IF(VLOOKUP($A92,EnrollData2324,'2324 Jun 24 Enroll'!I$1,FALSE)+VLOOKUP($A92,EnrollData2324,'2324 Jun 24 Enroll'!M$1,FALSE)-VLOOKUP($A92,EnrollData2324,'2324 Jun 24 Enroll'!J$1,FALSE)='District Calculations'!$B$16+'District Calculations'!$B$25-'District Calculations'!$B$17,VLOOKUP($A92,EnrollData2324,'2324 Jun 24 Enroll'!I$1,FALSE)+VLOOKUP($A92,EnrollData2324,'2324 Jun 24 Enroll'!M$1,FALSE)-VLOOKUP($A92,EnrollData2324,'2324 Jun 24 Enroll'!J$1,FALSE),'District Calculations'!$B$16+'District Calculations'!$B$25-'District Calculations'!$B$17)*Apport_218A2324,3)</f>
        <v>19.917999999999999</v>
      </c>
      <c r="Z92">
        <f>ROUND(SUM(T92:Y92)/IF(VLOOKUP($A92,EnrollData2324,'2324 Jun 24 Enroll'!M$1,FALSE)+VLOOKUP($A92,EnrollData2324,'2324 Jun 24 Enroll'!D$1,FALSE)='District Calculations'!$B$25+'District Calculations'!$B$11,VLOOKUP($A92,EnrollData2324,'2324 Jun 24 Enroll'!M$1,FALSE)+VLOOKUP($A92,EnrollData2324,'2324 Jun 24 Enroll'!D$1,FALSE),'District Calculations'!$B$25+'District Calculations'!$B$11),5)</f>
        <v>1.7399999999999999E-2</v>
      </c>
      <c r="AA92" s="6">
        <f>ROUND($J92*CIS_Base_Salary2324*VLOOKUP($A92,EnrollData2324,'2324 Jun 24 Enroll'!S$1,FALSE),2)</f>
        <v>4038.59</v>
      </c>
      <c r="AB92" s="6">
        <f>ROUND($J92*CIS_Inc_Salary2324*(VLOOKUP($A92,EnrollData2324,'2324 Jun 24 Enroll'!T$1,FALSE)+VLOOKUP($A92,EnrollData2324,'2324 Jun 24 Enroll'!U$1,FALSE)),2)-AA92</f>
        <v>149.43000000000029</v>
      </c>
      <c r="AC92" s="6">
        <f>ROUND($R92*CAS_Base_Salary2324*VLOOKUP($A92,EnrollData2324,'2324 Jun 24 Enroll'!S$1,FALSE),2)</f>
        <v>442.62</v>
      </c>
      <c r="AD92" s="6">
        <f>ROUND($R92*CAS_Inc_Salary2324*VLOOKUP($A92,EnrollData2324,'2324 Jun 24 Enroll'!T$1,FALSE),2)-AC92</f>
        <v>16.379999999999995</v>
      </c>
      <c r="AE92" s="6">
        <f>ROUND($Z92*CLS_Base_Salary2324*VLOOKUP($A92,EnrollData2324,'2324 Jun 24 Enroll'!S$1,FALSE),2)</f>
        <v>907.81</v>
      </c>
      <c r="AF92" s="6">
        <f>ROUND($Z92*CLS_Inc_Salary2324*VLOOKUP($A92,EnrollData2324,'2324 Jun 24 Enroll'!T$1,FALSE),2)-AE92</f>
        <v>33.580000000000041</v>
      </c>
      <c r="AG92">
        <f t="shared" si="35"/>
        <v>734.16</v>
      </c>
      <c r="AH92" s="69">
        <f t="shared" si="23"/>
        <v>68.700000000000045</v>
      </c>
      <c r="AI92">
        <f t="shared" si="36"/>
        <v>214.23</v>
      </c>
      <c r="AJ92">
        <f t="shared" si="24"/>
        <v>114.21000000000001</v>
      </c>
      <c r="AK92">
        <f t="shared" si="25"/>
        <v>805.27</v>
      </c>
      <c r="AL92">
        <f t="shared" si="26"/>
        <v>28.73</v>
      </c>
      <c r="AM92">
        <f t="shared" si="27"/>
        <v>200.26</v>
      </c>
      <c r="AN92">
        <f t="shared" si="28"/>
        <v>6.23</v>
      </c>
      <c r="AO92">
        <f>ROUND(($J92*CIS_Inc_Salary2324*(VLOOKUP($A92,EnrollData2324,'2324 Jun 24 Enroll'!T$1,FALSE)+VLOOKUP($A92,EnrollData2324,'2324 Jun 24 Enroll'!U$1,FALSE))/Apport_613Xpd)*Apport_614Xpd,2)</f>
        <v>69.8</v>
      </c>
      <c r="AP92">
        <f t="shared" si="29"/>
        <v>12.1</v>
      </c>
      <c r="AQ92">
        <f t="shared" si="32"/>
        <v>30.93</v>
      </c>
      <c r="AR92" s="6">
        <f>ROUND((VLOOKUP($A92,EnrollData2324,'2324 Jun 24 Enroll'!D$1,FALSE)*Apport_M802324+VLOOKUP($A92,EnrollData2324,'2324 Jun 24 Enroll'!M$1,FALSE)*Apport_M802324+(VLOOKUP($A92,EnrollData2324,'2324 Jun 24 Enroll'!P$1,FALSE)+VLOOKUP($A92,EnrollData2324,'2324 Jun 24 Enroll'!Q$1,FALSE)+VLOOKUP($A92,EnrollData2324,'2324 Jun 24 Enroll'!R$1,FALSE)+VLOOKUP($A92,EnrollData2324,'2324 Jun 24 Enroll'!I$1,FALSE)+VLOOKUP($A92,EnrollData2324,'2324 Jun 24 Enroll'!N$1,FALSE)+VLOOKUP($A92,EnrollData2324,'2324 Jun 24 Enroll'!O$1,FALSE)+VLOOKUP($A92,EnrollData2324,'2324 Jun 24 Enroll'!K$1,FALSE)+VLOOKUP($A92,EnrollData2324,'2324 Jun 24 Enroll'!L$1,FALSE))*Apport_M812324)/(VLOOKUP($A92,EnrollData2324,'2324 Jun 24 Enroll'!M$1,FALSE)+VLOOKUP($A92,EnrollData2324,'2324 Jun 24 Enroll'!D$1,FALSE)),2)</f>
        <v>1548.64</v>
      </c>
      <c r="AS92" s="7">
        <f t="shared" si="33"/>
        <v>9421.67</v>
      </c>
    </row>
    <row r="93" spans="1:45">
      <c r="A93" s="40" t="s">
        <v>600</v>
      </c>
      <c r="B93" s="40" t="s">
        <v>601</v>
      </c>
      <c r="C93" s="11">
        <f>ROUND((IFERROR((1/IF(VLOOKUP($A93,EnrollData2324,28,FALSE)='District Calculations'!$B$10,VLOOKUP($A93,EnrollData2324,28,FALSE),'District Calculations'!$B$10))*(1+Apport_Z315),0))+Apport_201A2324,6)</f>
        <v>7.3449E-2</v>
      </c>
      <c r="D93">
        <f>ROUND(IF(VLOOKUP($A93,EnrollData2324,'2324 Jun 24 Enroll'!D$1,FALSE)='District Calculations'!$B$11,VLOOKUP($A93,EnrollData2324,'2324 Jun 24 Enroll'!D$1,FALSE),'District Calculations'!$B$11)*C93,3)</f>
        <v>0</v>
      </c>
      <c r="E93">
        <f>ROUND(IF(VLOOKUP($A93,EnrollData2324,'2324 Jun 24 Enroll'!E$1,FALSE)='District Calculations'!$B$12,VLOOKUP($A93,EnrollData2324,'2324 Jun 24 Enroll'!E$1,FALSE),'District Calculations'!$B$12)*C93,3)</f>
        <v>59.53</v>
      </c>
      <c r="F93">
        <f>ROUND(IF(VLOOKUP($A93,EnrollData2324,'2324 Jun 24 Enroll'!F$1,FALSE)='District Calculations'!$B$13,VLOOKUP($A93,EnrollData2324,'2324 Jun 24 Enroll'!F$1,FALSE),'District Calculations'!$B$13)*Apport_222A2324,3)</f>
        <v>10.101000000000001</v>
      </c>
      <c r="G93">
        <f>ROUND(IF(VLOOKUP($A93,EnrollData2324,'2324 Jun 24 Enroll'!G$1,FALSE)='District Calculations'!$B$14,VLOOKUP($A93,EnrollData2324,'2324 Jun 24 Enroll'!G$1,FALSE),'District Calculations'!$B$14)*Apport_210A2324,3)</f>
        <v>22.395</v>
      </c>
      <c r="H93">
        <f>ROUND(IF(VLOOKUP($A93,EnrollData2324,'2324 Jun 24 Enroll'!H$1,FALSE)='District Calculations'!$B$15,VLOOKUP($A93,EnrollData2324,'2324 Jun 24 Enroll'!H$1,FALSE),'District Calculations'!$B$15)*Apport_213A2324,3)</f>
        <v>23.091999999999999</v>
      </c>
      <c r="I93">
        <f>ROUND(IF(VLOOKUP($A93,EnrollData2324,'2324 Jun 24 Enroll'!I$1,FALSE)+VLOOKUP($A93,EnrollData2324,'2324 Jun 24 Enroll'!M$1,FALSE)-VLOOKUP($A93,EnrollData2324,'2324 Jun 24 Enroll'!J$1,FALSE)='District Calculations'!$B$16+'District Calculations'!$B$25-'District Calculations'!$B$17,VLOOKUP($A93,EnrollData2324,'2324 Jun 24 Enroll'!I$1,FALSE)+VLOOKUP($A93,EnrollData2324,'2324 Jun 24 Enroll'!M$1,FALSE)-VLOOKUP($A93,EnrollData2324,'2324 Jun 24 Enroll'!J$1,FALSE),'District Calculations'!$B$16+'District Calculations'!$B$25-'District Calculations'!$B$17)*Apport_216A2324,3)</f>
        <v>58.183999999999997</v>
      </c>
      <c r="J93">
        <f>ROUND(SUM(D93:I93)/(IF(VLOOKUP($A93,EnrollData2324,'2324 Jun 24 Enroll'!M$1,FALSE)='District Calculations'!$B$25,VLOOKUP($A93,EnrollData2324,'2324 Jun 24 Enroll'!M$1,FALSE),'District Calculations'!$B$25)+IF(VLOOKUP($A93,EnrollData2324,'2324 Jun 24 Enroll'!D$1,FALSE)='District Calculations'!$B$11,VLOOKUP($A93,EnrollData2324,'2324 Jun 24 Enroll'!D$1,FALSE),'District Calculations'!$B$11)),5)</f>
        <v>5.5530000000000003E-2</v>
      </c>
      <c r="K93" s="11">
        <f t="shared" si="21"/>
        <v>4.365E-3</v>
      </c>
      <c r="L93">
        <f>ROUND(IF(VLOOKUP($A93,EnrollData2324,'2324 Jun 24 Enroll'!D$1,FALSE)='District Calculations'!$B$11,VLOOKUP($A93,EnrollData2324,'2324 Jun 24 Enroll'!D$1,FALSE),'District Calculations'!$B$11)*K93,3)</f>
        <v>0</v>
      </c>
      <c r="M93">
        <f>ROUND(IF(VLOOKUP($A93,EnrollData2324,'2324 Jun 24 Enroll'!E$1,FALSE)='District Calculations'!$B$12,VLOOKUP($A93,EnrollData2324,'2324 Jun 24 Enroll'!E$1,FALSE),'District Calculations'!$B$12)*K93,3)</f>
        <v>3.5379999999999998</v>
      </c>
      <c r="N93">
        <f>ROUND(IF(VLOOKUP($A93,EnrollData2324,'2324 Jun 24 Enroll'!F$1,FALSE)='District Calculations'!$B$13,VLOOKUP($A93,EnrollData2324,'2324 Jun 24 Enroll'!F$1,FALSE),'District Calculations'!$B$13)*Apport_223A2324,3)</f>
        <v>0.84199999999999997</v>
      </c>
      <c r="O93">
        <f>ROUND(IF(VLOOKUP($A93,EnrollData2324,'2324 Jun 24 Enroll'!G$1,FALSE)='District Calculations'!$B$14,VLOOKUP($A93,EnrollData2324,'2324 Jun 24 Enroll'!G$1,FALSE),'District Calculations'!$B$14)*Apport_211A2324,3)</f>
        <v>1.867</v>
      </c>
      <c r="P93">
        <f>ROUND(IF(VLOOKUP($A93,EnrollData2324,'2324 Jun 24 Enroll'!H$1,FALSE)='District Calculations'!$B$14,VLOOKUP($A93,EnrollData2324,'2324 Jun 24 Enroll'!H$1,FALSE),'District Calculations'!$B$14)*Apport_214A2324,3)</f>
        <v>1.8660000000000001</v>
      </c>
      <c r="Q93">
        <f>ROUND(IF(VLOOKUP($A93,EnrollData2324,'2324 Jun 24 Enroll'!I$1,FALSE)+VLOOKUP($A93,EnrollData2324,'2324 Jun 24 Enroll'!M$1,FALSE)-VLOOKUP($A93,EnrollData2324,'2324 Jun 24 Enroll'!J$1,FALSE)='District Calculations'!$B$16+'District Calculations'!$B$25-'District Calculations'!$B$17,VLOOKUP($A93,EnrollData2324,'2324 Jun 24 Enroll'!I$1,FALSE)+VLOOKUP($A93,EnrollData2324,'2324 Jun 24 Enroll'!M$1,FALSE)-VLOOKUP($A93,EnrollData2324,'2324 Jun 24 Enroll'!J$1,FALSE),'District Calculations'!$B$16+'District Calculations'!$B$25-'District Calculations'!$B$17)*Apport_217A2324,3)</f>
        <v>4.6980000000000004</v>
      </c>
      <c r="R93">
        <f>ROUND(SUM(L93:Q93)/IF(VLOOKUP($A93,EnrollData2324,'2324 Jun 24 Enroll'!M$1,FALSE)+VLOOKUP($A93,EnrollData2324,'2324 Jun 24 Enroll'!D$1,FALSE)='District Calculations'!$B$25+'District Calculations'!$B$11,VLOOKUP($A93,EnrollData2324,'2324 Jun 24 Enroll'!M$1,FALSE)+VLOOKUP($A93,EnrollData2324,'2324 Jun 24 Enroll'!D$1,FALSE),'District Calculations'!$B$25+'District Calculations'!$B$11),5)</f>
        <v>4.1000000000000003E-3</v>
      </c>
      <c r="S93" s="11">
        <f t="shared" si="22"/>
        <v>1.8294500000000002E-2</v>
      </c>
      <c r="T93">
        <f>ROUND(IF(VLOOKUP($A93,EnrollData2324,'2324 Jun 24 Enroll'!D$1,FALSE)='District Calculations'!$B$11,VLOOKUP($A93,EnrollData2324,'2324 Jun 24 Enroll'!D$1,FALSE),'District Calculations'!$B$11)*S93,3)</f>
        <v>0</v>
      </c>
      <c r="U93">
        <f>ROUND(IF(VLOOKUP($A93,EnrollData2324,'2324 Jun 24 Enroll'!E$1,FALSE)='District Calculations'!$B$12,VLOOKUP($A93,EnrollData2324,'2324 Jun 24 Enroll'!E$1,FALSE),'District Calculations'!$B$12)*S93,3)</f>
        <v>14.827999999999999</v>
      </c>
      <c r="V93">
        <f>ROUND(IF(VLOOKUP($A93,EnrollData2324,'2324 Jun 24 Enroll'!F$1,FALSE)='District Calculations'!$B$13,VLOOKUP($A93,EnrollData2324,'2324 Jun 24 Enroll'!F$1,FALSE),'District Calculations'!$B$13)*Apport_224A2324,3)</f>
        <v>3.6190000000000002</v>
      </c>
      <c r="W93">
        <f>ROUND(IF(VLOOKUP($A93,EnrollData2324,'2324 Jun 24 Enroll'!G$1,FALSE)='District Calculations'!$B$14,VLOOKUP($A93,EnrollData2324,'2324 Jun 24 Enroll'!G$1,FALSE),'District Calculations'!$B$14)*Apport_212A2324,3)</f>
        <v>8.0239999999999991</v>
      </c>
      <c r="X93">
        <f>ROUND(IF(VLOOKUP($A93,EnrollData2324,'2324 Jun 24 Enroll'!H$1,FALSE)='District Calculations'!$B$14,VLOOKUP($A93,EnrollData2324,'2324 Jun 24 Enroll'!H$1,FALSE),'District Calculations'!$B$14)*Apport_215A2324,3)</f>
        <v>7.9279999999999999</v>
      </c>
      <c r="Y93">
        <f>ROUND(IF(VLOOKUP($A93,EnrollData2324,'2324 Jun 24 Enroll'!I$1,FALSE)+VLOOKUP($A93,EnrollData2324,'2324 Jun 24 Enroll'!M$1,FALSE)-VLOOKUP($A93,EnrollData2324,'2324 Jun 24 Enroll'!J$1,FALSE)='District Calculations'!$B$16+'District Calculations'!$B$25-'District Calculations'!$B$17,VLOOKUP($A93,EnrollData2324,'2324 Jun 24 Enroll'!I$1,FALSE)+VLOOKUP($A93,EnrollData2324,'2324 Jun 24 Enroll'!M$1,FALSE)-VLOOKUP($A93,EnrollData2324,'2324 Jun 24 Enroll'!J$1,FALSE),'District Calculations'!$B$16+'District Calculations'!$B$25-'District Calculations'!$B$17)*Apport_218A2324,3)</f>
        <v>19.917999999999999</v>
      </c>
      <c r="Z93">
        <f>ROUND(SUM(T93:Y93)/IF(VLOOKUP($A93,EnrollData2324,'2324 Jun 24 Enroll'!M$1,FALSE)+VLOOKUP($A93,EnrollData2324,'2324 Jun 24 Enroll'!D$1,FALSE)='District Calculations'!$B$25+'District Calculations'!$B$11,VLOOKUP($A93,EnrollData2324,'2324 Jun 24 Enroll'!M$1,FALSE)+VLOOKUP($A93,EnrollData2324,'2324 Jun 24 Enroll'!D$1,FALSE),'District Calculations'!$B$25+'District Calculations'!$B$11),5)</f>
        <v>1.7399999999999999E-2</v>
      </c>
      <c r="AA93" s="6">
        <f>ROUND($J93*CIS_Base_Salary2324*VLOOKUP($A93,EnrollData2324,'2324 Jun 24 Enroll'!S$1,FALSE),2)</f>
        <v>4099.16</v>
      </c>
      <c r="AB93" s="6">
        <f>ROUND($J93*CIS_Inc_Salary2324*(VLOOKUP($A93,EnrollData2324,'2324 Jun 24 Enroll'!T$1,FALSE)+VLOOKUP($A93,EnrollData2324,'2324 Jun 24 Enroll'!U$1,FALSE)),2)-AA93</f>
        <v>151.68000000000029</v>
      </c>
      <c r="AC93" s="6">
        <f>ROUND($R93*CAS_Base_Salary2324*VLOOKUP($A93,EnrollData2324,'2324 Jun 24 Enroll'!S$1,FALSE),2)</f>
        <v>449.25</v>
      </c>
      <c r="AD93" s="6">
        <f>ROUND($R93*CAS_Inc_Salary2324*VLOOKUP($A93,EnrollData2324,'2324 Jun 24 Enroll'!T$1,FALSE),2)-AC93</f>
        <v>16.629999999999995</v>
      </c>
      <c r="AE93" s="6">
        <f>ROUND($Z93*CLS_Base_Salary2324*VLOOKUP($A93,EnrollData2324,'2324 Jun 24 Enroll'!S$1,FALSE),2)</f>
        <v>921.43</v>
      </c>
      <c r="AF93" s="6">
        <f>ROUND($Z93*CLS_Inc_Salary2324*VLOOKUP($A93,EnrollData2324,'2324 Jun 24 Enroll'!T$1,FALSE),2)-AE93</f>
        <v>34.080000000000041</v>
      </c>
      <c r="AG93">
        <f t="shared" si="35"/>
        <v>734.16</v>
      </c>
      <c r="AH93" s="69">
        <f t="shared" si="23"/>
        <v>68.700000000000045</v>
      </c>
      <c r="AI93">
        <f t="shared" si="36"/>
        <v>214.23</v>
      </c>
      <c r="AJ93">
        <f t="shared" si="24"/>
        <v>114.21000000000001</v>
      </c>
      <c r="AK93">
        <f t="shared" si="25"/>
        <v>817.35</v>
      </c>
      <c r="AL93">
        <f t="shared" si="26"/>
        <v>29.17</v>
      </c>
      <c r="AM93">
        <f t="shared" si="27"/>
        <v>203.27</v>
      </c>
      <c r="AN93">
        <f t="shared" si="28"/>
        <v>6.33</v>
      </c>
      <c r="AO93">
        <f>ROUND(($J93*CIS_Inc_Salary2324*(VLOOKUP($A93,EnrollData2324,'2324 Jun 24 Enroll'!T$1,FALSE)+VLOOKUP($A93,EnrollData2324,'2324 Jun 24 Enroll'!U$1,FALSE))/Apport_613Xpd)*Apport_614Xpd,2)</f>
        <v>70.849999999999994</v>
      </c>
      <c r="AP93">
        <f t="shared" si="29"/>
        <v>12.28</v>
      </c>
      <c r="AQ93">
        <f t="shared" si="32"/>
        <v>30.93</v>
      </c>
      <c r="AR93" s="6">
        <f>ROUND((VLOOKUP($A93,EnrollData2324,'2324 Jun 24 Enroll'!D$1,FALSE)*Apport_M802324+VLOOKUP($A93,EnrollData2324,'2324 Jun 24 Enroll'!M$1,FALSE)*Apport_M802324+(VLOOKUP($A93,EnrollData2324,'2324 Jun 24 Enroll'!P$1,FALSE)+VLOOKUP($A93,EnrollData2324,'2324 Jun 24 Enroll'!Q$1,FALSE)+VLOOKUP($A93,EnrollData2324,'2324 Jun 24 Enroll'!R$1,FALSE)+VLOOKUP($A93,EnrollData2324,'2324 Jun 24 Enroll'!I$1,FALSE)+VLOOKUP($A93,EnrollData2324,'2324 Jun 24 Enroll'!N$1,FALSE)+VLOOKUP($A93,EnrollData2324,'2324 Jun 24 Enroll'!O$1,FALSE)+VLOOKUP($A93,EnrollData2324,'2324 Jun 24 Enroll'!K$1,FALSE)+VLOOKUP($A93,EnrollData2324,'2324 Jun 24 Enroll'!L$1,FALSE))*Apport_M812324)/(VLOOKUP($A93,EnrollData2324,'2324 Jun 24 Enroll'!M$1,FALSE)+VLOOKUP($A93,EnrollData2324,'2324 Jun 24 Enroll'!D$1,FALSE)),2)</f>
        <v>1550.37</v>
      </c>
      <c r="AS93" s="7">
        <f t="shared" si="33"/>
        <v>9524.0800000000017</v>
      </c>
    </row>
    <row r="94" spans="1:45">
      <c r="A94" s="40" t="s">
        <v>454</v>
      </c>
      <c r="B94" s="40" t="s">
        <v>455</v>
      </c>
      <c r="C94" s="11">
        <f>ROUND((IFERROR((1/IF(VLOOKUP($A94,EnrollData2324,28,FALSE)='District Calculations'!$B$10,VLOOKUP($A94,EnrollData2324,28,FALSE),'District Calculations'!$B$10))*(1+Apport_Z315),0))+Apport_201A2324,6)</f>
        <v>7.3449E-2</v>
      </c>
      <c r="D94">
        <f>ROUND(IF(VLOOKUP($A94,EnrollData2324,'2324 Jun 24 Enroll'!D$1,FALSE)='District Calculations'!$B$11,VLOOKUP($A94,EnrollData2324,'2324 Jun 24 Enroll'!D$1,FALSE),'District Calculations'!$B$11)*C94,3)</f>
        <v>0</v>
      </c>
      <c r="E94">
        <f>ROUND(IF(VLOOKUP($A94,EnrollData2324,'2324 Jun 24 Enroll'!E$1,FALSE)='District Calculations'!$B$12,VLOOKUP($A94,EnrollData2324,'2324 Jun 24 Enroll'!E$1,FALSE),'District Calculations'!$B$12)*C94,3)</f>
        <v>59.53</v>
      </c>
      <c r="F94">
        <f>ROUND(IF(VLOOKUP($A94,EnrollData2324,'2324 Jun 24 Enroll'!F$1,FALSE)='District Calculations'!$B$13,VLOOKUP($A94,EnrollData2324,'2324 Jun 24 Enroll'!F$1,FALSE),'District Calculations'!$B$13)*Apport_222A2324,3)</f>
        <v>10.101000000000001</v>
      </c>
      <c r="G94">
        <f>ROUND(IF(VLOOKUP($A94,EnrollData2324,'2324 Jun 24 Enroll'!G$1,FALSE)='District Calculations'!$B$14,VLOOKUP($A94,EnrollData2324,'2324 Jun 24 Enroll'!G$1,FALSE),'District Calculations'!$B$14)*Apport_210A2324,3)</f>
        <v>22.395</v>
      </c>
      <c r="H94">
        <f>ROUND(IF(VLOOKUP($A94,EnrollData2324,'2324 Jun 24 Enroll'!H$1,FALSE)='District Calculations'!$B$15,VLOOKUP($A94,EnrollData2324,'2324 Jun 24 Enroll'!H$1,FALSE),'District Calculations'!$B$15)*Apport_213A2324,3)</f>
        <v>23.091999999999999</v>
      </c>
      <c r="I94">
        <f>ROUND(IF(VLOOKUP($A94,EnrollData2324,'2324 Jun 24 Enroll'!I$1,FALSE)+VLOOKUP($A94,EnrollData2324,'2324 Jun 24 Enroll'!M$1,FALSE)-VLOOKUP($A94,EnrollData2324,'2324 Jun 24 Enroll'!J$1,FALSE)='District Calculations'!$B$16+'District Calculations'!$B$25-'District Calculations'!$B$17,VLOOKUP($A94,EnrollData2324,'2324 Jun 24 Enroll'!I$1,FALSE)+VLOOKUP($A94,EnrollData2324,'2324 Jun 24 Enroll'!M$1,FALSE)-VLOOKUP($A94,EnrollData2324,'2324 Jun 24 Enroll'!J$1,FALSE),'District Calculations'!$B$16+'District Calculations'!$B$25-'District Calculations'!$B$17)*Apport_216A2324,3)</f>
        <v>58.183999999999997</v>
      </c>
      <c r="J94">
        <f>ROUND(SUM(D94:I94)/(IF(VLOOKUP($A94,EnrollData2324,'2324 Jun 24 Enroll'!M$1,FALSE)='District Calculations'!$B$25,VLOOKUP($A94,EnrollData2324,'2324 Jun 24 Enroll'!M$1,FALSE),'District Calculations'!$B$25)+IF(VLOOKUP($A94,EnrollData2324,'2324 Jun 24 Enroll'!D$1,FALSE)='District Calculations'!$B$11,VLOOKUP($A94,EnrollData2324,'2324 Jun 24 Enroll'!D$1,FALSE),'District Calculations'!$B$11)),5)</f>
        <v>5.5530000000000003E-2</v>
      </c>
      <c r="K94" s="11">
        <f t="shared" si="21"/>
        <v>4.365E-3</v>
      </c>
      <c r="L94">
        <f>ROUND(IF(VLOOKUP($A94,EnrollData2324,'2324 Jun 24 Enroll'!D$1,FALSE)='District Calculations'!$B$11,VLOOKUP($A94,EnrollData2324,'2324 Jun 24 Enroll'!D$1,FALSE),'District Calculations'!$B$11)*K94,3)</f>
        <v>0</v>
      </c>
      <c r="M94">
        <f>ROUND(IF(VLOOKUP($A94,EnrollData2324,'2324 Jun 24 Enroll'!E$1,FALSE)='District Calculations'!$B$12,VLOOKUP($A94,EnrollData2324,'2324 Jun 24 Enroll'!E$1,FALSE),'District Calculations'!$B$12)*K94,3)</f>
        <v>3.5379999999999998</v>
      </c>
      <c r="N94">
        <f>ROUND(IF(VLOOKUP($A94,EnrollData2324,'2324 Jun 24 Enroll'!F$1,FALSE)='District Calculations'!$B$13,VLOOKUP($A94,EnrollData2324,'2324 Jun 24 Enroll'!F$1,FALSE),'District Calculations'!$B$13)*Apport_223A2324,3)</f>
        <v>0.84199999999999997</v>
      </c>
      <c r="O94">
        <f>ROUND(IF(VLOOKUP($A94,EnrollData2324,'2324 Jun 24 Enroll'!G$1,FALSE)='District Calculations'!$B$14,VLOOKUP($A94,EnrollData2324,'2324 Jun 24 Enroll'!G$1,FALSE),'District Calculations'!$B$14)*Apport_211A2324,3)</f>
        <v>1.867</v>
      </c>
      <c r="P94">
        <f>ROUND(IF(VLOOKUP($A94,EnrollData2324,'2324 Jun 24 Enroll'!H$1,FALSE)='District Calculations'!$B$14,VLOOKUP($A94,EnrollData2324,'2324 Jun 24 Enroll'!H$1,FALSE),'District Calculations'!$B$14)*Apport_214A2324,3)</f>
        <v>1.8660000000000001</v>
      </c>
      <c r="Q94">
        <f>ROUND(IF(VLOOKUP($A94,EnrollData2324,'2324 Jun 24 Enroll'!I$1,FALSE)+VLOOKUP($A94,EnrollData2324,'2324 Jun 24 Enroll'!M$1,FALSE)-VLOOKUP($A94,EnrollData2324,'2324 Jun 24 Enroll'!J$1,FALSE)='District Calculations'!$B$16+'District Calculations'!$B$25-'District Calculations'!$B$17,VLOOKUP($A94,EnrollData2324,'2324 Jun 24 Enroll'!I$1,FALSE)+VLOOKUP($A94,EnrollData2324,'2324 Jun 24 Enroll'!M$1,FALSE)-VLOOKUP($A94,EnrollData2324,'2324 Jun 24 Enroll'!J$1,FALSE),'District Calculations'!$B$16+'District Calculations'!$B$25-'District Calculations'!$B$17)*Apport_217A2324,3)</f>
        <v>4.6980000000000004</v>
      </c>
      <c r="R94">
        <f>ROUND(SUM(L94:Q94)/IF(VLOOKUP($A94,EnrollData2324,'2324 Jun 24 Enroll'!M$1,FALSE)+VLOOKUP($A94,EnrollData2324,'2324 Jun 24 Enroll'!D$1,FALSE)='District Calculations'!$B$25+'District Calculations'!$B$11,VLOOKUP($A94,EnrollData2324,'2324 Jun 24 Enroll'!M$1,FALSE)+VLOOKUP($A94,EnrollData2324,'2324 Jun 24 Enroll'!D$1,FALSE),'District Calculations'!$B$25+'District Calculations'!$B$11),5)</f>
        <v>4.1000000000000003E-3</v>
      </c>
      <c r="S94" s="11">
        <f t="shared" si="22"/>
        <v>1.8294500000000002E-2</v>
      </c>
      <c r="T94">
        <f>ROUND(IF(VLOOKUP($A94,EnrollData2324,'2324 Jun 24 Enroll'!D$1,FALSE)='District Calculations'!$B$11,VLOOKUP($A94,EnrollData2324,'2324 Jun 24 Enroll'!D$1,FALSE),'District Calculations'!$B$11)*S94,3)</f>
        <v>0</v>
      </c>
      <c r="U94">
        <f>ROUND(IF(VLOOKUP($A94,EnrollData2324,'2324 Jun 24 Enroll'!E$1,FALSE)='District Calculations'!$B$12,VLOOKUP($A94,EnrollData2324,'2324 Jun 24 Enroll'!E$1,FALSE),'District Calculations'!$B$12)*S94,3)</f>
        <v>14.827999999999999</v>
      </c>
      <c r="V94">
        <f>ROUND(IF(VLOOKUP($A94,EnrollData2324,'2324 Jun 24 Enroll'!F$1,FALSE)='District Calculations'!$B$13,VLOOKUP($A94,EnrollData2324,'2324 Jun 24 Enroll'!F$1,FALSE),'District Calculations'!$B$13)*Apport_224A2324,3)</f>
        <v>3.6190000000000002</v>
      </c>
      <c r="W94">
        <f>ROUND(IF(VLOOKUP($A94,EnrollData2324,'2324 Jun 24 Enroll'!G$1,FALSE)='District Calculations'!$B$14,VLOOKUP($A94,EnrollData2324,'2324 Jun 24 Enroll'!G$1,FALSE),'District Calculations'!$B$14)*Apport_212A2324,3)</f>
        <v>8.0239999999999991</v>
      </c>
      <c r="X94">
        <f>ROUND(IF(VLOOKUP($A94,EnrollData2324,'2324 Jun 24 Enroll'!H$1,FALSE)='District Calculations'!$B$14,VLOOKUP($A94,EnrollData2324,'2324 Jun 24 Enroll'!H$1,FALSE),'District Calculations'!$B$14)*Apport_215A2324,3)</f>
        <v>7.9279999999999999</v>
      </c>
      <c r="Y94">
        <f>ROUND(IF(VLOOKUP($A94,EnrollData2324,'2324 Jun 24 Enroll'!I$1,FALSE)+VLOOKUP($A94,EnrollData2324,'2324 Jun 24 Enroll'!M$1,FALSE)-VLOOKUP($A94,EnrollData2324,'2324 Jun 24 Enroll'!J$1,FALSE)='District Calculations'!$B$16+'District Calculations'!$B$25-'District Calculations'!$B$17,VLOOKUP($A94,EnrollData2324,'2324 Jun 24 Enroll'!I$1,FALSE)+VLOOKUP($A94,EnrollData2324,'2324 Jun 24 Enroll'!M$1,FALSE)-VLOOKUP($A94,EnrollData2324,'2324 Jun 24 Enroll'!J$1,FALSE),'District Calculations'!$B$16+'District Calculations'!$B$25-'District Calculations'!$B$17)*Apport_218A2324,3)</f>
        <v>19.917999999999999</v>
      </c>
      <c r="Z94">
        <f>ROUND(SUM(T94:Y94)/IF(VLOOKUP($A94,EnrollData2324,'2324 Jun 24 Enroll'!M$1,FALSE)+VLOOKUP($A94,EnrollData2324,'2324 Jun 24 Enroll'!D$1,FALSE)='District Calculations'!$B$25+'District Calculations'!$B$11,VLOOKUP($A94,EnrollData2324,'2324 Jun 24 Enroll'!M$1,FALSE)+VLOOKUP($A94,EnrollData2324,'2324 Jun 24 Enroll'!D$1,FALSE),'District Calculations'!$B$25+'District Calculations'!$B$11),5)</f>
        <v>1.7399999999999999E-2</v>
      </c>
      <c r="AA94" s="6">
        <f>ROUND($J94*CIS_Base_Salary2324*VLOOKUP($A94,EnrollData2324,'2324 Jun 24 Enroll'!S$1,FALSE),2)</f>
        <v>4038.59</v>
      </c>
      <c r="AB94" s="6">
        <f>ROUND($J94*CIS_Inc_Salary2324*(VLOOKUP($A94,EnrollData2324,'2324 Jun 24 Enroll'!T$1,FALSE)+VLOOKUP($A94,EnrollData2324,'2324 Jun 24 Enroll'!U$1,FALSE)),2)-AA94</f>
        <v>316.94999999999982</v>
      </c>
      <c r="AC94" s="6">
        <f>ROUND($R94*CAS_Base_Salary2324*VLOOKUP($A94,EnrollData2324,'2324 Jun 24 Enroll'!S$1,FALSE),2)</f>
        <v>442.62</v>
      </c>
      <c r="AD94" s="6">
        <f>ROUND($R94*CAS_Inc_Salary2324*VLOOKUP($A94,EnrollData2324,'2324 Jun 24 Enroll'!T$1,FALSE),2)-AC94</f>
        <v>16.379999999999995</v>
      </c>
      <c r="AE94" s="6">
        <f>ROUND($Z94*CLS_Base_Salary2324*VLOOKUP($A94,EnrollData2324,'2324 Jun 24 Enroll'!S$1,FALSE),2)</f>
        <v>907.81</v>
      </c>
      <c r="AF94" s="6">
        <f>ROUND($Z94*CLS_Inc_Salary2324*VLOOKUP($A94,EnrollData2324,'2324 Jun 24 Enroll'!T$1,FALSE),2)-AE94</f>
        <v>33.580000000000041</v>
      </c>
      <c r="AG94">
        <f t="shared" si="35"/>
        <v>734.16</v>
      </c>
      <c r="AH94" s="69">
        <f t="shared" si="23"/>
        <v>68.700000000000045</v>
      </c>
      <c r="AI94">
        <f t="shared" si="36"/>
        <v>214.23</v>
      </c>
      <c r="AJ94">
        <f t="shared" si="24"/>
        <v>114.21000000000001</v>
      </c>
      <c r="AK94">
        <f t="shared" si="25"/>
        <v>805.27</v>
      </c>
      <c r="AL94">
        <f t="shared" si="26"/>
        <v>57.77</v>
      </c>
      <c r="AM94">
        <f t="shared" si="27"/>
        <v>200.26</v>
      </c>
      <c r="AN94">
        <f t="shared" si="28"/>
        <v>6.23</v>
      </c>
      <c r="AO94">
        <f>ROUND(($J94*CIS_Inc_Salary2324*(VLOOKUP($A94,EnrollData2324,'2324 Jun 24 Enroll'!T$1,FALSE)+VLOOKUP($A94,EnrollData2324,'2324 Jun 24 Enroll'!U$1,FALSE))/Apport_613Xpd)*Apport_614Xpd,2)</f>
        <v>72.59</v>
      </c>
      <c r="AP94">
        <f t="shared" si="29"/>
        <v>12.58</v>
      </c>
      <c r="AQ94">
        <f t="shared" si="32"/>
        <v>30.93</v>
      </c>
      <c r="AR94" s="6">
        <f>ROUND((VLOOKUP($A94,EnrollData2324,'2324 Jun 24 Enroll'!D$1,FALSE)*Apport_M802324+VLOOKUP($A94,EnrollData2324,'2324 Jun 24 Enroll'!M$1,FALSE)*Apport_M802324+(VLOOKUP($A94,EnrollData2324,'2324 Jun 24 Enroll'!P$1,FALSE)+VLOOKUP($A94,EnrollData2324,'2324 Jun 24 Enroll'!Q$1,FALSE)+VLOOKUP($A94,EnrollData2324,'2324 Jun 24 Enroll'!R$1,FALSE)+VLOOKUP($A94,EnrollData2324,'2324 Jun 24 Enroll'!I$1,FALSE)+VLOOKUP($A94,EnrollData2324,'2324 Jun 24 Enroll'!N$1,FALSE)+VLOOKUP($A94,EnrollData2324,'2324 Jun 24 Enroll'!O$1,FALSE)+VLOOKUP($A94,EnrollData2324,'2324 Jun 24 Enroll'!K$1,FALSE)+VLOOKUP($A94,EnrollData2324,'2324 Jun 24 Enroll'!L$1,FALSE))*Apport_M812324)/(VLOOKUP($A94,EnrollData2324,'2324 Jun 24 Enroll'!M$1,FALSE)+VLOOKUP($A94,EnrollData2324,'2324 Jun 24 Enroll'!D$1,FALSE)),2)</f>
        <v>1550.94</v>
      </c>
      <c r="AS94" s="7">
        <f t="shared" si="33"/>
        <v>9623.8000000000011</v>
      </c>
    </row>
    <row r="95" spans="1:45">
      <c r="A95" s="40" t="s">
        <v>881</v>
      </c>
      <c r="B95" s="40" t="s">
        <v>882</v>
      </c>
      <c r="C95" s="11">
        <f>ROUND((IFERROR((1/IF(VLOOKUP($A95,EnrollData2324,28,FALSE)='District Calculations'!$B$10,VLOOKUP($A95,EnrollData2324,28,FALSE),'District Calculations'!$B$10))*(1+Apport_Z315),0))+Apport_201A2324,6)</f>
        <v>7.3449E-2</v>
      </c>
      <c r="D95">
        <f>ROUND(IF(VLOOKUP($A95,EnrollData2324,'2324 Jun 24 Enroll'!D$1,FALSE)='District Calculations'!$B$11,VLOOKUP($A95,EnrollData2324,'2324 Jun 24 Enroll'!D$1,FALSE),'District Calculations'!$B$11)*C95,3)</f>
        <v>0</v>
      </c>
      <c r="E95">
        <f>ROUND(IF(VLOOKUP($A95,EnrollData2324,'2324 Jun 24 Enroll'!E$1,FALSE)='District Calculations'!$B$12,VLOOKUP($A95,EnrollData2324,'2324 Jun 24 Enroll'!E$1,FALSE),'District Calculations'!$B$12)*C95,3)</f>
        <v>59.53</v>
      </c>
      <c r="F95">
        <f>ROUND(IF(VLOOKUP($A95,EnrollData2324,'2324 Jun 24 Enroll'!F$1,FALSE)='District Calculations'!$B$13,VLOOKUP($A95,EnrollData2324,'2324 Jun 24 Enroll'!F$1,FALSE),'District Calculations'!$B$13)*Apport_222A2324,3)</f>
        <v>10.101000000000001</v>
      </c>
      <c r="G95">
        <f>ROUND(IF(VLOOKUP($A95,EnrollData2324,'2324 Jun 24 Enroll'!G$1,FALSE)='District Calculations'!$B$14,VLOOKUP($A95,EnrollData2324,'2324 Jun 24 Enroll'!G$1,FALSE),'District Calculations'!$B$14)*Apport_210A2324,3)</f>
        <v>22.395</v>
      </c>
      <c r="H95">
        <f>ROUND(IF(VLOOKUP($A95,EnrollData2324,'2324 Jun 24 Enroll'!H$1,FALSE)='District Calculations'!$B$15,VLOOKUP($A95,EnrollData2324,'2324 Jun 24 Enroll'!H$1,FALSE),'District Calculations'!$B$15)*Apport_213A2324,3)</f>
        <v>23.091999999999999</v>
      </c>
      <c r="I95">
        <f>ROUND(IF(VLOOKUP($A95,EnrollData2324,'2324 Jun 24 Enroll'!I$1,FALSE)+VLOOKUP($A95,EnrollData2324,'2324 Jun 24 Enroll'!M$1,FALSE)-VLOOKUP($A95,EnrollData2324,'2324 Jun 24 Enroll'!J$1,FALSE)='District Calculations'!$B$16+'District Calculations'!$B$25-'District Calculations'!$B$17,VLOOKUP($A95,EnrollData2324,'2324 Jun 24 Enroll'!I$1,FALSE)+VLOOKUP($A95,EnrollData2324,'2324 Jun 24 Enroll'!M$1,FALSE)-VLOOKUP($A95,EnrollData2324,'2324 Jun 24 Enroll'!J$1,FALSE),'District Calculations'!$B$16+'District Calculations'!$B$25-'District Calculations'!$B$17)*Apport_216A2324,3)</f>
        <v>58.183999999999997</v>
      </c>
      <c r="J95">
        <f>ROUND(SUM(D95:I95)/(IF(VLOOKUP($A95,EnrollData2324,'2324 Jun 24 Enroll'!M$1,FALSE)='District Calculations'!$B$25,VLOOKUP($A95,EnrollData2324,'2324 Jun 24 Enroll'!M$1,FALSE),'District Calculations'!$B$25)+IF(VLOOKUP($A95,EnrollData2324,'2324 Jun 24 Enroll'!D$1,FALSE)='District Calculations'!$B$11,VLOOKUP($A95,EnrollData2324,'2324 Jun 24 Enroll'!D$1,FALSE),'District Calculations'!$B$11)),5)</f>
        <v>5.5530000000000003E-2</v>
      </c>
      <c r="K95" s="11">
        <f t="shared" si="21"/>
        <v>4.365E-3</v>
      </c>
      <c r="L95">
        <f>ROUND(IF(VLOOKUP($A95,EnrollData2324,'2324 Jun 24 Enroll'!D$1,FALSE)='District Calculations'!$B$11,VLOOKUP($A95,EnrollData2324,'2324 Jun 24 Enroll'!D$1,FALSE),'District Calculations'!$B$11)*K95,3)</f>
        <v>0</v>
      </c>
      <c r="M95">
        <f>ROUND(IF(VLOOKUP($A95,EnrollData2324,'2324 Jun 24 Enroll'!E$1,FALSE)='District Calculations'!$B$12,VLOOKUP($A95,EnrollData2324,'2324 Jun 24 Enroll'!E$1,FALSE),'District Calculations'!$B$12)*K95,3)</f>
        <v>3.5379999999999998</v>
      </c>
      <c r="N95">
        <f>ROUND(IF(VLOOKUP($A95,EnrollData2324,'2324 Jun 24 Enroll'!F$1,FALSE)='District Calculations'!$B$13,VLOOKUP($A95,EnrollData2324,'2324 Jun 24 Enroll'!F$1,FALSE),'District Calculations'!$B$13)*Apport_223A2324,3)</f>
        <v>0.84199999999999997</v>
      </c>
      <c r="O95">
        <f>ROUND(IF(VLOOKUP($A95,EnrollData2324,'2324 Jun 24 Enroll'!G$1,FALSE)='District Calculations'!$B$14,VLOOKUP($A95,EnrollData2324,'2324 Jun 24 Enroll'!G$1,FALSE),'District Calculations'!$B$14)*Apport_211A2324,3)</f>
        <v>1.867</v>
      </c>
      <c r="P95">
        <f>ROUND(IF(VLOOKUP($A95,EnrollData2324,'2324 Jun 24 Enroll'!H$1,FALSE)='District Calculations'!$B$14,VLOOKUP($A95,EnrollData2324,'2324 Jun 24 Enroll'!H$1,FALSE),'District Calculations'!$B$14)*Apport_214A2324,3)</f>
        <v>1.8660000000000001</v>
      </c>
      <c r="Q95">
        <f>ROUND(IF(VLOOKUP($A95,EnrollData2324,'2324 Jun 24 Enroll'!I$1,FALSE)+VLOOKUP($A95,EnrollData2324,'2324 Jun 24 Enroll'!M$1,FALSE)-VLOOKUP($A95,EnrollData2324,'2324 Jun 24 Enroll'!J$1,FALSE)='District Calculations'!$B$16+'District Calculations'!$B$25-'District Calculations'!$B$17,VLOOKUP($A95,EnrollData2324,'2324 Jun 24 Enroll'!I$1,FALSE)+VLOOKUP($A95,EnrollData2324,'2324 Jun 24 Enroll'!M$1,FALSE)-VLOOKUP($A95,EnrollData2324,'2324 Jun 24 Enroll'!J$1,FALSE),'District Calculations'!$B$16+'District Calculations'!$B$25-'District Calculations'!$B$17)*Apport_217A2324,3)</f>
        <v>4.6980000000000004</v>
      </c>
      <c r="R95">
        <f>ROUND(SUM(L95:Q95)/IF(VLOOKUP($A95,EnrollData2324,'2324 Jun 24 Enroll'!M$1,FALSE)+VLOOKUP($A95,EnrollData2324,'2324 Jun 24 Enroll'!D$1,FALSE)='District Calculations'!$B$25+'District Calculations'!$B$11,VLOOKUP($A95,EnrollData2324,'2324 Jun 24 Enroll'!M$1,FALSE)+VLOOKUP($A95,EnrollData2324,'2324 Jun 24 Enroll'!D$1,FALSE),'District Calculations'!$B$25+'District Calculations'!$B$11),5)</f>
        <v>4.1000000000000003E-3</v>
      </c>
      <c r="S95" s="11">
        <f t="shared" si="22"/>
        <v>1.8294500000000002E-2</v>
      </c>
      <c r="T95">
        <f>ROUND(IF(VLOOKUP($A95,EnrollData2324,'2324 Jun 24 Enroll'!D$1,FALSE)='District Calculations'!$B$11,VLOOKUP($A95,EnrollData2324,'2324 Jun 24 Enroll'!D$1,FALSE),'District Calculations'!$B$11)*S95,3)</f>
        <v>0</v>
      </c>
      <c r="U95">
        <f>ROUND(IF(VLOOKUP($A95,EnrollData2324,'2324 Jun 24 Enroll'!E$1,FALSE)='District Calculations'!$B$12,VLOOKUP($A95,EnrollData2324,'2324 Jun 24 Enroll'!E$1,FALSE),'District Calculations'!$B$12)*S95,3)</f>
        <v>14.827999999999999</v>
      </c>
      <c r="V95">
        <f>ROUND(IF(VLOOKUP($A95,EnrollData2324,'2324 Jun 24 Enroll'!F$1,FALSE)='District Calculations'!$B$13,VLOOKUP($A95,EnrollData2324,'2324 Jun 24 Enroll'!F$1,FALSE),'District Calculations'!$B$13)*Apport_224A2324,3)</f>
        <v>3.6190000000000002</v>
      </c>
      <c r="W95">
        <f>ROUND(IF(VLOOKUP($A95,EnrollData2324,'2324 Jun 24 Enroll'!G$1,FALSE)='District Calculations'!$B$14,VLOOKUP($A95,EnrollData2324,'2324 Jun 24 Enroll'!G$1,FALSE),'District Calculations'!$B$14)*Apport_212A2324,3)</f>
        <v>8.0239999999999991</v>
      </c>
      <c r="X95">
        <f>ROUND(IF(VLOOKUP($A95,EnrollData2324,'2324 Jun 24 Enroll'!H$1,FALSE)='District Calculations'!$B$14,VLOOKUP($A95,EnrollData2324,'2324 Jun 24 Enroll'!H$1,FALSE),'District Calculations'!$B$14)*Apport_215A2324,3)</f>
        <v>7.9279999999999999</v>
      </c>
      <c r="Y95">
        <f>ROUND(IF(VLOOKUP($A95,EnrollData2324,'2324 Jun 24 Enroll'!I$1,FALSE)+VLOOKUP($A95,EnrollData2324,'2324 Jun 24 Enroll'!M$1,FALSE)-VLOOKUP($A95,EnrollData2324,'2324 Jun 24 Enroll'!J$1,FALSE)='District Calculations'!$B$16+'District Calculations'!$B$25-'District Calculations'!$B$17,VLOOKUP($A95,EnrollData2324,'2324 Jun 24 Enroll'!I$1,FALSE)+VLOOKUP($A95,EnrollData2324,'2324 Jun 24 Enroll'!M$1,FALSE)-VLOOKUP($A95,EnrollData2324,'2324 Jun 24 Enroll'!J$1,FALSE),'District Calculations'!$B$16+'District Calculations'!$B$25-'District Calculations'!$B$17)*Apport_218A2324,3)</f>
        <v>19.917999999999999</v>
      </c>
      <c r="Z95">
        <f>ROUND(SUM(T95:Y95)/IF(VLOOKUP($A95,EnrollData2324,'2324 Jun 24 Enroll'!M$1,FALSE)+VLOOKUP($A95,EnrollData2324,'2324 Jun 24 Enroll'!D$1,FALSE)='District Calculations'!$B$25+'District Calculations'!$B$11,VLOOKUP($A95,EnrollData2324,'2324 Jun 24 Enroll'!M$1,FALSE)+VLOOKUP($A95,EnrollData2324,'2324 Jun 24 Enroll'!D$1,FALSE),'District Calculations'!$B$25+'District Calculations'!$B$11),5)</f>
        <v>1.7399999999999999E-2</v>
      </c>
      <c r="AA95" s="6">
        <f>ROUND($J95*CIS_Base_Salary2324*VLOOKUP($A95,EnrollData2324,'2324 Jun 24 Enroll'!S$1,FALSE),2)</f>
        <v>4038.59</v>
      </c>
      <c r="AB95" s="6">
        <f>ROUND($J95*CIS_Inc_Salary2324*(VLOOKUP($A95,EnrollData2324,'2324 Jun 24 Enroll'!T$1,FALSE)+VLOOKUP($A95,EnrollData2324,'2324 Jun 24 Enroll'!U$1,FALSE)),2)-AA95</f>
        <v>233.1899999999996</v>
      </c>
      <c r="AC95" s="6">
        <f>ROUND($R95*CAS_Base_Salary2324*VLOOKUP($A95,EnrollData2324,'2324 Jun 24 Enroll'!S$1,FALSE),2)</f>
        <v>442.62</v>
      </c>
      <c r="AD95" s="6">
        <f>ROUND($R95*CAS_Inc_Salary2324*VLOOKUP($A95,EnrollData2324,'2324 Jun 24 Enroll'!T$1,FALSE),2)-AC95</f>
        <v>16.379999999999995</v>
      </c>
      <c r="AE95" s="6">
        <f>ROUND($Z95*CLS_Base_Salary2324*VLOOKUP($A95,EnrollData2324,'2324 Jun 24 Enroll'!S$1,FALSE),2)</f>
        <v>907.81</v>
      </c>
      <c r="AF95" s="6">
        <f>ROUND($Z95*CLS_Inc_Salary2324*VLOOKUP($A95,EnrollData2324,'2324 Jun 24 Enroll'!T$1,FALSE),2)-AE95</f>
        <v>33.580000000000041</v>
      </c>
      <c r="AG95">
        <f t="shared" si="35"/>
        <v>734.16</v>
      </c>
      <c r="AH95" s="69">
        <f t="shared" si="23"/>
        <v>68.700000000000045</v>
      </c>
      <c r="AI95">
        <f t="shared" si="36"/>
        <v>214.23</v>
      </c>
      <c r="AJ95">
        <f t="shared" si="24"/>
        <v>114.21000000000001</v>
      </c>
      <c r="AK95">
        <f t="shared" si="25"/>
        <v>805.27</v>
      </c>
      <c r="AL95">
        <f t="shared" si="26"/>
        <v>43.25</v>
      </c>
      <c r="AM95">
        <f t="shared" si="27"/>
        <v>200.26</v>
      </c>
      <c r="AN95">
        <f t="shared" si="28"/>
        <v>6.23</v>
      </c>
      <c r="AO95">
        <f>ROUND(($J95*CIS_Inc_Salary2324*(VLOOKUP($A95,EnrollData2324,'2324 Jun 24 Enroll'!T$1,FALSE)+VLOOKUP($A95,EnrollData2324,'2324 Jun 24 Enroll'!U$1,FALSE))/Apport_613Xpd)*Apport_614Xpd,2)</f>
        <v>71.2</v>
      </c>
      <c r="AP95">
        <f t="shared" si="29"/>
        <v>12.34</v>
      </c>
      <c r="AQ95">
        <f t="shared" si="32"/>
        <v>30.93</v>
      </c>
      <c r="AR95" s="6">
        <f>ROUND((VLOOKUP($A95,EnrollData2324,'2324 Jun 24 Enroll'!D$1,FALSE)*Apport_M802324+VLOOKUP($A95,EnrollData2324,'2324 Jun 24 Enroll'!M$1,FALSE)*Apport_M802324+(VLOOKUP($A95,EnrollData2324,'2324 Jun 24 Enroll'!P$1,FALSE)+VLOOKUP($A95,EnrollData2324,'2324 Jun 24 Enroll'!Q$1,FALSE)+VLOOKUP($A95,EnrollData2324,'2324 Jun 24 Enroll'!R$1,FALSE)+VLOOKUP($A95,EnrollData2324,'2324 Jun 24 Enroll'!I$1,FALSE)+VLOOKUP($A95,EnrollData2324,'2324 Jun 24 Enroll'!N$1,FALSE)+VLOOKUP($A95,EnrollData2324,'2324 Jun 24 Enroll'!O$1,FALSE)+VLOOKUP($A95,EnrollData2324,'2324 Jun 24 Enroll'!K$1,FALSE)+VLOOKUP($A95,EnrollData2324,'2324 Jun 24 Enroll'!L$1,FALSE))*Apport_M812324)/(VLOOKUP($A95,EnrollData2324,'2324 Jun 24 Enroll'!M$1,FALSE)+VLOOKUP($A95,EnrollData2324,'2324 Jun 24 Enroll'!D$1,FALSE)),2)</f>
        <v>1555.44</v>
      </c>
      <c r="AS95" s="7">
        <f t="shared" si="33"/>
        <v>9528.39</v>
      </c>
    </row>
    <row r="96" spans="1:45">
      <c r="A96" s="40" t="s">
        <v>482</v>
      </c>
      <c r="B96" s="40" t="s">
        <v>483</v>
      </c>
      <c r="C96" s="11">
        <f>ROUND((IFERROR((1/IF(VLOOKUP($A96,EnrollData2324,28,FALSE)='District Calculations'!$B$10,VLOOKUP($A96,EnrollData2324,28,FALSE),'District Calculations'!$B$10))*(1+Apport_Z315),0))+Apport_201A2324,6)</f>
        <v>7.3449E-2</v>
      </c>
      <c r="D96">
        <f>ROUND(IF(VLOOKUP($A96,EnrollData2324,'2324 Jun 24 Enroll'!D$1,FALSE)='District Calculations'!$B$11,VLOOKUP($A96,EnrollData2324,'2324 Jun 24 Enroll'!D$1,FALSE),'District Calculations'!$B$11)*C96,3)</f>
        <v>0</v>
      </c>
      <c r="E96">
        <f>ROUND(IF(VLOOKUP($A96,EnrollData2324,'2324 Jun 24 Enroll'!E$1,FALSE)='District Calculations'!$B$12,VLOOKUP($A96,EnrollData2324,'2324 Jun 24 Enroll'!E$1,FALSE),'District Calculations'!$B$12)*C96,3)</f>
        <v>59.53</v>
      </c>
      <c r="F96">
        <f>ROUND(IF(VLOOKUP($A96,EnrollData2324,'2324 Jun 24 Enroll'!F$1,FALSE)='District Calculations'!$B$13,VLOOKUP($A96,EnrollData2324,'2324 Jun 24 Enroll'!F$1,FALSE),'District Calculations'!$B$13)*Apport_222A2324,3)</f>
        <v>10.101000000000001</v>
      </c>
      <c r="G96">
        <f>ROUND(IF(VLOOKUP($A96,EnrollData2324,'2324 Jun 24 Enroll'!G$1,FALSE)='District Calculations'!$B$14,VLOOKUP($A96,EnrollData2324,'2324 Jun 24 Enroll'!G$1,FALSE),'District Calculations'!$B$14)*Apport_210A2324,3)</f>
        <v>22.395</v>
      </c>
      <c r="H96">
        <f>ROUND(IF(VLOOKUP($A96,EnrollData2324,'2324 Jun 24 Enroll'!H$1,FALSE)='District Calculations'!$B$15,VLOOKUP($A96,EnrollData2324,'2324 Jun 24 Enroll'!H$1,FALSE),'District Calculations'!$B$15)*Apport_213A2324,3)</f>
        <v>23.091999999999999</v>
      </c>
      <c r="I96">
        <f>ROUND(IF(VLOOKUP($A96,EnrollData2324,'2324 Jun 24 Enroll'!I$1,FALSE)+VLOOKUP($A96,EnrollData2324,'2324 Jun 24 Enroll'!M$1,FALSE)-VLOOKUP($A96,EnrollData2324,'2324 Jun 24 Enroll'!J$1,FALSE)='District Calculations'!$B$16+'District Calculations'!$B$25-'District Calculations'!$B$17,VLOOKUP($A96,EnrollData2324,'2324 Jun 24 Enroll'!I$1,FALSE)+VLOOKUP($A96,EnrollData2324,'2324 Jun 24 Enroll'!M$1,FALSE)-VLOOKUP($A96,EnrollData2324,'2324 Jun 24 Enroll'!J$1,FALSE),'District Calculations'!$B$16+'District Calculations'!$B$25-'District Calculations'!$B$17)*Apport_216A2324,3)</f>
        <v>58.183999999999997</v>
      </c>
      <c r="J96">
        <f>ROUND(SUM(D96:I96)/(IF(VLOOKUP($A96,EnrollData2324,'2324 Jun 24 Enroll'!M$1,FALSE)='District Calculations'!$B$25,VLOOKUP($A96,EnrollData2324,'2324 Jun 24 Enroll'!M$1,FALSE),'District Calculations'!$B$25)+IF(VLOOKUP($A96,EnrollData2324,'2324 Jun 24 Enroll'!D$1,FALSE)='District Calculations'!$B$11,VLOOKUP($A96,EnrollData2324,'2324 Jun 24 Enroll'!D$1,FALSE),'District Calculations'!$B$11)),5)</f>
        <v>5.5530000000000003E-2</v>
      </c>
      <c r="K96" s="11">
        <f t="shared" si="21"/>
        <v>4.365E-3</v>
      </c>
      <c r="L96">
        <f>ROUND(IF(VLOOKUP($A96,EnrollData2324,'2324 Jun 24 Enroll'!D$1,FALSE)='District Calculations'!$B$11,VLOOKUP($A96,EnrollData2324,'2324 Jun 24 Enroll'!D$1,FALSE),'District Calculations'!$B$11)*K96,3)</f>
        <v>0</v>
      </c>
      <c r="M96">
        <f>ROUND(IF(VLOOKUP($A96,EnrollData2324,'2324 Jun 24 Enroll'!E$1,FALSE)='District Calculations'!$B$12,VLOOKUP($A96,EnrollData2324,'2324 Jun 24 Enroll'!E$1,FALSE),'District Calculations'!$B$12)*K96,3)</f>
        <v>3.5379999999999998</v>
      </c>
      <c r="N96">
        <f>ROUND(IF(VLOOKUP($A96,EnrollData2324,'2324 Jun 24 Enroll'!F$1,FALSE)='District Calculations'!$B$13,VLOOKUP($A96,EnrollData2324,'2324 Jun 24 Enroll'!F$1,FALSE),'District Calculations'!$B$13)*Apport_223A2324,3)</f>
        <v>0.84199999999999997</v>
      </c>
      <c r="O96">
        <f>ROUND(IF(VLOOKUP($A96,EnrollData2324,'2324 Jun 24 Enroll'!G$1,FALSE)='District Calculations'!$B$14,VLOOKUP($A96,EnrollData2324,'2324 Jun 24 Enroll'!G$1,FALSE),'District Calculations'!$B$14)*Apport_211A2324,3)</f>
        <v>1.867</v>
      </c>
      <c r="P96">
        <f>ROUND(IF(VLOOKUP($A96,EnrollData2324,'2324 Jun 24 Enroll'!H$1,FALSE)='District Calculations'!$B$14,VLOOKUP($A96,EnrollData2324,'2324 Jun 24 Enroll'!H$1,FALSE),'District Calculations'!$B$14)*Apport_214A2324,3)</f>
        <v>1.8660000000000001</v>
      </c>
      <c r="Q96">
        <f>ROUND(IF(VLOOKUP($A96,EnrollData2324,'2324 Jun 24 Enroll'!I$1,FALSE)+VLOOKUP($A96,EnrollData2324,'2324 Jun 24 Enroll'!M$1,FALSE)-VLOOKUP($A96,EnrollData2324,'2324 Jun 24 Enroll'!J$1,FALSE)='District Calculations'!$B$16+'District Calculations'!$B$25-'District Calculations'!$B$17,VLOOKUP($A96,EnrollData2324,'2324 Jun 24 Enroll'!I$1,FALSE)+VLOOKUP($A96,EnrollData2324,'2324 Jun 24 Enroll'!M$1,FALSE)-VLOOKUP($A96,EnrollData2324,'2324 Jun 24 Enroll'!J$1,FALSE),'District Calculations'!$B$16+'District Calculations'!$B$25-'District Calculations'!$B$17)*Apport_217A2324,3)</f>
        <v>4.6980000000000004</v>
      </c>
      <c r="R96">
        <f>ROUND(SUM(L96:Q96)/IF(VLOOKUP($A96,EnrollData2324,'2324 Jun 24 Enroll'!M$1,FALSE)+VLOOKUP($A96,EnrollData2324,'2324 Jun 24 Enroll'!D$1,FALSE)='District Calculations'!$B$25+'District Calculations'!$B$11,VLOOKUP($A96,EnrollData2324,'2324 Jun 24 Enroll'!M$1,FALSE)+VLOOKUP($A96,EnrollData2324,'2324 Jun 24 Enroll'!D$1,FALSE),'District Calculations'!$B$25+'District Calculations'!$B$11),5)</f>
        <v>4.1000000000000003E-3</v>
      </c>
      <c r="S96" s="11">
        <f t="shared" si="22"/>
        <v>1.8294500000000002E-2</v>
      </c>
      <c r="T96">
        <f>ROUND(IF(VLOOKUP($A96,EnrollData2324,'2324 Jun 24 Enroll'!D$1,FALSE)='District Calculations'!$B$11,VLOOKUP($A96,EnrollData2324,'2324 Jun 24 Enroll'!D$1,FALSE),'District Calculations'!$B$11)*S96,3)</f>
        <v>0</v>
      </c>
      <c r="U96">
        <f>ROUND(IF(VLOOKUP($A96,EnrollData2324,'2324 Jun 24 Enroll'!E$1,FALSE)='District Calculations'!$B$12,VLOOKUP($A96,EnrollData2324,'2324 Jun 24 Enroll'!E$1,FALSE),'District Calculations'!$B$12)*S96,3)</f>
        <v>14.827999999999999</v>
      </c>
      <c r="V96">
        <f>ROUND(IF(VLOOKUP($A96,EnrollData2324,'2324 Jun 24 Enroll'!F$1,FALSE)='District Calculations'!$B$13,VLOOKUP($A96,EnrollData2324,'2324 Jun 24 Enroll'!F$1,FALSE),'District Calculations'!$B$13)*Apport_224A2324,3)</f>
        <v>3.6190000000000002</v>
      </c>
      <c r="W96">
        <f>ROUND(IF(VLOOKUP($A96,EnrollData2324,'2324 Jun 24 Enroll'!G$1,FALSE)='District Calculations'!$B$14,VLOOKUP($A96,EnrollData2324,'2324 Jun 24 Enroll'!G$1,FALSE),'District Calculations'!$B$14)*Apport_212A2324,3)</f>
        <v>8.0239999999999991</v>
      </c>
      <c r="X96">
        <f>ROUND(IF(VLOOKUP($A96,EnrollData2324,'2324 Jun 24 Enroll'!H$1,FALSE)='District Calculations'!$B$14,VLOOKUP($A96,EnrollData2324,'2324 Jun 24 Enroll'!H$1,FALSE),'District Calculations'!$B$14)*Apport_215A2324,3)</f>
        <v>7.9279999999999999</v>
      </c>
      <c r="Y96">
        <f>ROUND(IF(VLOOKUP($A96,EnrollData2324,'2324 Jun 24 Enroll'!I$1,FALSE)+VLOOKUP($A96,EnrollData2324,'2324 Jun 24 Enroll'!M$1,FALSE)-VLOOKUP($A96,EnrollData2324,'2324 Jun 24 Enroll'!J$1,FALSE)='District Calculations'!$B$16+'District Calculations'!$B$25-'District Calculations'!$B$17,VLOOKUP($A96,EnrollData2324,'2324 Jun 24 Enroll'!I$1,FALSE)+VLOOKUP($A96,EnrollData2324,'2324 Jun 24 Enroll'!M$1,FALSE)-VLOOKUP($A96,EnrollData2324,'2324 Jun 24 Enroll'!J$1,FALSE),'District Calculations'!$B$16+'District Calculations'!$B$25-'District Calculations'!$B$17)*Apport_218A2324,3)</f>
        <v>19.917999999999999</v>
      </c>
      <c r="Z96">
        <f>ROUND(SUM(T96:Y96)/IF(VLOOKUP($A96,EnrollData2324,'2324 Jun 24 Enroll'!M$1,FALSE)+VLOOKUP($A96,EnrollData2324,'2324 Jun 24 Enroll'!D$1,FALSE)='District Calculations'!$B$25+'District Calculations'!$B$11,VLOOKUP($A96,EnrollData2324,'2324 Jun 24 Enroll'!M$1,FALSE)+VLOOKUP($A96,EnrollData2324,'2324 Jun 24 Enroll'!D$1,FALSE),'District Calculations'!$B$25+'District Calculations'!$B$11),5)</f>
        <v>1.7399999999999999E-2</v>
      </c>
      <c r="AA96" s="6">
        <f>ROUND($J96*CIS_Base_Salary2324*VLOOKUP($A96,EnrollData2324,'2324 Jun 24 Enroll'!S$1,FALSE),2)</f>
        <v>4038.59</v>
      </c>
      <c r="AB96" s="6">
        <f>ROUND($J96*CIS_Inc_Salary2324*(VLOOKUP($A96,EnrollData2324,'2324 Jun 24 Enroll'!T$1,FALSE)+VLOOKUP($A96,EnrollData2324,'2324 Jun 24 Enroll'!U$1,FALSE)),2)-AA96</f>
        <v>149.43000000000029</v>
      </c>
      <c r="AC96" s="6">
        <f>ROUND($R96*CAS_Base_Salary2324*VLOOKUP($A96,EnrollData2324,'2324 Jun 24 Enroll'!S$1,FALSE),2)</f>
        <v>442.62</v>
      </c>
      <c r="AD96" s="6">
        <f>ROUND($R96*CAS_Inc_Salary2324*VLOOKUP($A96,EnrollData2324,'2324 Jun 24 Enroll'!T$1,FALSE),2)-AC96</f>
        <v>16.379999999999995</v>
      </c>
      <c r="AE96" s="6">
        <f>ROUND($Z96*CLS_Base_Salary2324*VLOOKUP($A96,EnrollData2324,'2324 Jun 24 Enroll'!S$1,FALSE),2)</f>
        <v>907.81</v>
      </c>
      <c r="AF96" s="6">
        <f>ROUND($Z96*CLS_Inc_Salary2324*VLOOKUP($A96,EnrollData2324,'2324 Jun 24 Enroll'!T$1,FALSE),2)-AE96</f>
        <v>33.580000000000041</v>
      </c>
      <c r="AG96">
        <f t="shared" si="35"/>
        <v>734.16</v>
      </c>
      <c r="AH96" s="69">
        <f t="shared" si="23"/>
        <v>68.700000000000045</v>
      </c>
      <c r="AI96">
        <f t="shared" si="36"/>
        <v>214.23</v>
      </c>
      <c r="AJ96">
        <f t="shared" si="24"/>
        <v>114.21000000000001</v>
      </c>
      <c r="AK96">
        <f t="shared" si="25"/>
        <v>805.27</v>
      </c>
      <c r="AL96">
        <f t="shared" si="26"/>
        <v>28.73</v>
      </c>
      <c r="AM96">
        <f t="shared" si="27"/>
        <v>200.26</v>
      </c>
      <c r="AN96">
        <f t="shared" si="28"/>
        <v>6.23</v>
      </c>
      <c r="AO96">
        <f>ROUND(($J96*CIS_Inc_Salary2324*(VLOOKUP($A96,EnrollData2324,'2324 Jun 24 Enroll'!T$1,FALSE)+VLOOKUP($A96,EnrollData2324,'2324 Jun 24 Enroll'!U$1,FALSE))/Apport_613Xpd)*Apport_614Xpd,2)</f>
        <v>69.8</v>
      </c>
      <c r="AP96">
        <f t="shared" si="29"/>
        <v>12.1</v>
      </c>
      <c r="AQ96">
        <f t="shared" si="32"/>
        <v>30.93</v>
      </c>
      <c r="AR96" s="6">
        <f>ROUND((VLOOKUP($A96,EnrollData2324,'2324 Jun 24 Enroll'!D$1,FALSE)*Apport_M802324+VLOOKUP($A96,EnrollData2324,'2324 Jun 24 Enroll'!M$1,FALSE)*Apport_M802324+(VLOOKUP($A96,EnrollData2324,'2324 Jun 24 Enroll'!P$1,FALSE)+VLOOKUP($A96,EnrollData2324,'2324 Jun 24 Enroll'!Q$1,FALSE)+VLOOKUP($A96,EnrollData2324,'2324 Jun 24 Enroll'!R$1,FALSE)+VLOOKUP($A96,EnrollData2324,'2324 Jun 24 Enroll'!I$1,FALSE)+VLOOKUP($A96,EnrollData2324,'2324 Jun 24 Enroll'!N$1,FALSE)+VLOOKUP($A96,EnrollData2324,'2324 Jun 24 Enroll'!O$1,FALSE)+VLOOKUP($A96,EnrollData2324,'2324 Jun 24 Enroll'!K$1,FALSE)+VLOOKUP($A96,EnrollData2324,'2324 Jun 24 Enroll'!L$1,FALSE))*Apport_M812324)/(VLOOKUP($A96,EnrollData2324,'2324 Jun 24 Enroll'!M$1,FALSE)+VLOOKUP($A96,EnrollData2324,'2324 Jun 24 Enroll'!D$1,FALSE)),2)</f>
        <v>1560.78</v>
      </c>
      <c r="AS96" s="7">
        <f t="shared" si="33"/>
        <v>9433.81</v>
      </c>
    </row>
    <row r="97" spans="1:45">
      <c r="A97" s="40" t="s">
        <v>315</v>
      </c>
      <c r="B97" s="40" t="s">
        <v>316</v>
      </c>
      <c r="C97" s="11">
        <f>ROUND((IFERROR((1/IF(VLOOKUP($A97,EnrollData2324,28,FALSE)='District Calculations'!$B$10,VLOOKUP($A97,EnrollData2324,28,FALSE),'District Calculations'!$B$10))*(1+Apport_Z315),0))+Apport_201A2324,6)</f>
        <v>7.3449E-2</v>
      </c>
      <c r="D97">
        <f>ROUND(IF(VLOOKUP($A97,EnrollData2324,'2324 Jun 24 Enroll'!D$1,FALSE)='District Calculations'!$B$11,VLOOKUP($A97,EnrollData2324,'2324 Jun 24 Enroll'!D$1,FALSE),'District Calculations'!$B$11)*C97,3)</f>
        <v>0</v>
      </c>
      <c r="E97">
        <f>ROUND(IF(VLOOKUP($A97,EnrollData2324,'2324 Jun 24 Enroll'!E$1,FALSE)='District Calculations'!$B$12,VLOOKUP($A97,EnrollData2324,'2324 Jun 24 Enroll'!E$1,FALSE),'District Calculations'!$B$12)*C97,3)</f>
        <v>59.53</v>
      </c>
      <c r="F97">
        <f>ROUND(IF(VLOOKUP($A97,EnrollData2324,'2324 Jun 24 Enroll'!F$1,FALSE)='District Calculations'!$B$13,VLOOKUP($A97,EnrollData2324,'2324 Jun 24 Enroll'!F$1,FALSE),'District Calculations'!$B$13)*Apport_222A2324,3)</f>
        <v>10.101000000000001</v>
      </c>
      <c r="G97">
        <f>ROUND(IF(VLOOKUP($A97,EnrollData2324,'2324 Jun 24 Enroll'!G$1,FALSE)='District Calculations'!$B$14,VLOOKUP($A97,EnrollData2324,'2324 Jun 24 Enroll'!G$1,FALSE),'District Calculations'!$B$14)*Apport_210A2324,3)</f>
        <v>22.395</v>
      </c>
      <c r="H97">
        <f>ROUND(IF(VLOOKUP($A97,EnrollData2324,'2324 Jun 24 Enroll'!H$1,FALSE)='District Calculations'!$B$15,VLOOKUP($A97,EnrollData2324,'2324 Jun 24 Enroll'!H$1,FALSE),'District Calculations'!$B$15)*Apport_213A2324,3)</f>
        <v>23.091999999999999</v>
      </c>
      <c r="I97">
        <f>ROUND(IF(VLOOKUP($A97,EnrollData2324,'2324 Jun 24 Enroll'!I$1,FALSE)+VLOOKUP($A97,EnrollData2324,'2324 Jun 24 Enroll'!M$1,FALSE)-VLOOKUP($A97,EnrollData2324,'2324 Jun 24 Enroll'!J$1,FALSE)='District Calculations'!$B$16+'District Calculations'!$B$25-'District Calculations'!$B$17,VLOOKUP($A97,EnrollData2324,'2324 Jun 24 Enroll'!I$1,FALSE)+VLOOKUP($A97,EnrollData2324,'2324 Jun 24 Enroll'!M$1,FALSE)-VLOOKUP($A97,EnrollData2324,'2324 Jun 24 Enroll'!J$1,FALSE),'District Calculations'!$B$16+'District Calculations'!$B$25-'District Calculations'!$B$17)*Apport_216A2324,3)</f>
        <v>58.183999999999997</v>
      </c>
      <c r="J97">
        <f>ROUND(SUM(D97:I97)/(IF(VLOOKUP($A97,EnrollData2324,'2324 Jun 24 Enroll'!M$1,FALSE)='District Calculations'!$B$25,VLOOKUP($A97,EnrollData2324,'2324 Jun 24 Enroll'!M$1,FALSE),'District Calculations'!$B$25)+IF(VLOOKUP($A97,EnrollData2324,'2324 Jun 24 Enroll'!D$1,FALSE)='District Calculations'!$B$11,VLOOKUP($A97,EnrollData2324,'2324 Jun 24 Enroll'!D$1,FALSE),'District Calculations'!$B$11)),5)</f>
        <v>5.5530000000000003E-2</v>
      </c>
      <c r="K97" s="11">
        <f t="shared" si="21"/>
        <v>4.365E-3</v>
      </c>
      <c r="L97">
        <f>ROUND(IF(VLOOKUP($A97,EnrollData2324,'2324 Jun 24 Enroll'!D$1,FALSE)='District Calculations'!$B$11,VLOOKUP($A97,EnrollData2324,'2324 Jun 24 Enroll'!D$1,FALSE),'District Calculations'!$B$11)*K97,3)</f>
        <v>0</v>
      </c>
      <c r="M97">
        <f>ROUND(IF(VLOOKUP($A97,EnrollData2324,'2324 Jun 24 Enroll'!E$1,FALSE)='District Calculations'!$B$12,VLOOKUP($A97,EnrollData2324,'2324 Jun 24 Enroll'!E$1,FALSE),'District Calculations'!$B$12)*K97,3)</f>
        <v>3.5379999999999998</v>
      </c>
      <c r="N97">
        <f>ROUND(IF(VLOOKUP($A97,EnrollData2324,'2324 Jun 24 Enroll'!F$1,FALSE)='District Calculations'!$B$13,VLOOKUP($A97,EnrollData2324,'2324 Jun 24 Enroll'!F$1,FALSE),'District Calculations'!$B$13)*Apport_223A2324,3)</f>
        <v>0.84199999999999997</v>
      </c>
      <c r="O97">
        <f>ROUND(IF(VLOOKUP($A97,EnrollData2324,'2324 Jun 24 Enroll'!G$1,FALSE)='District Calculations'!$B$14,VLOOKUP($A97,EnrollData2324,'2324 Jun 24 Enroll'!G$1,FALSE),'District Calculations'!$B$14)*Apport_211A2324,3)</f>
        <v>1.867</v>
      </c>
      <c r="P97">
        <f>ROUND(IF(VLOOKUP($A97,EnrollData2324,'2324 Jun 24 Enroll'!H$1,FALSE)='District Calculations'!$B$14,VLOOKUP($A97,EnrollData2324,'2324 Jun 24 Enroll'!H$1,FALSE),'District Calculations'!$B$14)*Apport_214A2324,3)</f>
        <v>1.8660000000000001</v>
      </c>
      <c r="Q97">
        <f>ROUND(IF(VLOOKUP($A97,EnrollData2324,'2324 Jun 24 Enroll'!I$1,FALSE)+VLOOKUP($A97,EnrollData2324,'2324 Jun 24 Enroll'!M$1,FALSE)-VLOOKUP($A97,EnrollData2324,'2324 Jun 24 Enroll'!J$1,FALSE)='District Calculations'!$B$16+'District Calculations'!$B$25-'District Calculations'!$B$17,VLOOKUP($A97,EnrollData2324,'2324 Jun 24 Enroll'!I$1,FALSE)+VLOOKUP($A97,EnrollData2324,'2324 Jun 24 Enroll'!M$1,FALSE)-VLOOKUP($A97,EnrollData2324,'2324 Jun 24 Enroll'!J$1,FALSE),'District Calculations'!$B$16+'District Calculations'!$B$25-'District Calculations'!$B$17)*Apport_217A2324,3)</f>
        <v>4.6980000000000004</v>
      </c>
      <c r="R97">
        <f>ROUND(SUM(L97:Q97)/IF(VLOOKUP($A97,EnrollData2324,'2324 Jun 24 Enroll'!M$1,FALSE)+VLOOKUP($A97,EnrollData2324,'2324 Jun 24 Enroll'!D$1,FALSE)='District Calculations'!$B$25+'District Calculations'!$B$11,VLOOKUP($A97,EnrollData2324,'2324 Jun 24 Enroll'!M$1,FALSE)+VLOOKUP($A97,EnrollData2324,'2324 Jun 24 Enroll'!D$1,FALSE),'District Calculations'!$B$25+'District Calculations'!$B$11),5)</f>
        <v>4.1000000000000003E-3</v>
      </c>
      <c r="S97" s="11">
        <f t="shared" si="22"/>
        <v>1.8294500000000002E-2</v>
      </c>
      <c r="T97">
        <f>ROUND(IF(VLOOKUP($A97,EnrollData2324,'2324 Jun 24 Enroll'!D$1,FALSE)='District Calculations'!$B$11,VLOOKUP($A97,EnrollData2324,'2324 Jun 24 Enroll'!D$1,FALSE),'District Calculations'!$B$11)*S97,3)</f>
        <v>0</v>
      </c>
      <c r="U97">
        <f>ROUND(IF(VLOOKUP($A97,EnrollData2324,'2324 Jun 24 Enroll'!E$1,FALSE)='District Calculations'!$B$12,VLOOKUP($A97,EnrollData2324,'2324 Jun 24 Enroll'!E$1,FALSE),'District Calculations'!$B$12)*S97,3)</f>
        <v>14.827999999999999</v>
      </c>
      <c r="V97">
        <f>ROUND(IF(VLOOKUP($A97,EnrollData2324,'2324 Jun 24 Enroll'!F$1,FALSE)='District Calculations'!$B$13,VLOOKUP($A97,EnrollData2324,'2324 Jun 24 Enroll'!F$1,FALSE),'District Calculations'!$B$13)*Apport_224A2324,3)</f>
        <v>3.6190000000000002</v>
      </c>
      <c r="W97">
        <f>ROUND(IF(VLOOKUP($A97,EnrollData2324,'2324 Jun 24 Enroll'!G$1,FALSE)='District Calculations'!$B$14,VLOOKUP($A97,EnrollData2324,'2324 Jun 24 Enroll'!G$1,FALSE),'District Calculations'!$B$14)*Apport_212A2324,3)</f>
        <v>8.0239999999999991</v>
      </c>
      <c r="X97">
        <f>ROUND(IF(VLOOKUP($A97,EnrollData2324,'2324 Jun 24 Enroll'!H$1,FALSE)='District Calculations'!$B$14,VLOOKUP($A97,EnrollData2324,'2324 Jun 24 Enroll'!H$1,FALSE),'District Calculations'!$B$14)*Apport_215A2324,3)</f>
        <v>7.9279999999999999</v>
      </c>
      <c r="Y97">
        <f>ROUND(IF(VLOOKUP($A97,EnrollData2324,'2324 Jun 24 Enroll'!I$1,FALSE)+VLOOKUP($A97,EnrollData2324,'2324 Jun 24 Enroll'!M$1,FALSE)-VLOOKUP($A97,EnrollData2324,'2324 Jun 24 Enroll'!J$1,FALSE)='District Calculations'!$B$16+'District Calculations'!$B$25-'District Calculations'!$B$17,VLOOKUP($A97,EnrollData2324,'2324 Jun 24 Enroll'!I$1,FALSE)+VLOOKUP($A97,EnrollData2324,'2324 Jun 24 Enroll'!M$1,FALSE)-VLOOKUP($A97,EnrollData2324,'2324 Jun 24 Enroll'!J$1,FALSE),'District Calculations'!$B$16+'District Calculations'!$B$25-'District Calculations'!$B$17)*Apport_218A2324,3)</f>
        <v>19.917999999999999</v>
      </c>
      <c r="Z97">
        <f>ROUND(SUM(T97:Y97)/IF(VLOOKUP($A97,EnrollData2324,'2324 Jun 24 Enroll'!M$1,FALSE)+VLOOKUP($A97,EnrollData2324,'2324 Jun 24 Enroll'!D$1,FALSE)='District Calculations'!$B$25+'District Calculations'!$B$11,VLOOKUP($A97,EnrollData2324,'2324 Jun 24 Enroll'!M$1,FALSE)+VLOOKUP($A97,EnrollData2324,'2324 Jun 24 Enroll'!D$1,FALSE),'District Calculations'!$B$25+'District Calculations'!$B$11),5)</f>
        <v>1.7399999999999999E-2</v>
      </c>
      <c r="AA97" s="6">
        <f>ROUND($J97*CIS_Base_Salary2324*VLOOKUP($A97,EnrollData2324,'2324 Jun 24 Enroll'!S$1,FALSE),2)</f>
        <v>4038.59</v>
      </c>
      <c r="AB97" s="6">
        <f>ROUND($J97*CIS_Inc_Salary2324*(VLOOKUP($A97,EnrollData2324,'2324 Jun 24 Enroll'!T$1,FALSE)+VLOOKUP($A97,EnrollData2324,'2324 Jun 24 Enroll'!U$1,FALSE)),2)-AA97</f>
        <v>149.43000000000029</v>
      </c>
      <c r="AC97" s="6">
        <f>ROUND($R97*CAS_Base_Salary2324*VLOOKUP($A97,EnrollData2324,'2324 Jun 24 Enroll'!S$1,FALSE),2)</f>
        <v>442.62</v>
      </c>
      <c r="AD97" s="6">
        <f>ROUND($R97*CAS_Inc_Salary2324*VLOOKUP($A97,EnrollData2324,'2324 Jun 24 Enroll'!T$1,FALSE),2)-AC97</f>
        <v>16.379999999999995</v>
      </c>
      <c r="AE97" s="6">
        <f>ROUND($Z97*CLS_Base_Salary2324*VLOOKUP($A97,EnrollData2324,'2324 Jun 24 Enroll'!S$1,FALSE),2)</f>
        <v>907.81</v>
      </c>
      <c r="AF97" s="6">
        <f>ROUND($Z97*CLS_Inc_Salary2324*VLOOKUP($A97,EnrollData2324,'2324 Jun 24 Enroll'!T$1,FALSE),2)-AE97</f>
        <v>33.580000000000041</v>
      </c>
      <c r="AG97">
        <f t="shared" si="35"/>
        <v>734.16</v>
      </c>
      <c r="AH97" s="69">
        <f t="shared" si="23"/>
        <v>68.700000000000045</v>
      </c>
      <c r="AI97">
        <f t="shared" si="36"/>
        <v>214.23</v>
      </c>
      <c r="AJ97">
        <f t="shared" si="24"/>
        <v>114.21000000000001</v>
      </c>
      <c r="AK97">
        <f t="shared" si="25"/>
        <v>805.27</v>
      </c>
      <c r="AL97">
        <f t="shared" si="26"/>
        <v>28.73</v>
      </c>
      <c r="AM97">
        <f t="shared" si="27"/>
        <v>200.26</v>
      </c>
      <c r="AN97">
        <f t="shared" si="28"/>
        <v>6.23</v>
      </c>
      <c r="AO97">
        <f>ROUND(($J97*CIS_Inc_Salary2324*(VLOOKUP($A97,EnrollData2324,'2324 Jun 24 Enroll'!T$1,FALSE)+VLOOKUP($A97,EnrollData2324,'2324 Jun 24 Enroll'!U$1,FALSE))/Apport_613Xpd)*Apport_614Xpd,2)</f>
        <v>69.8</v>
      </c>
      <c r="AP97">
        <f t="shared" si="29"/>
        <v>12.1</v>
      </c>
      <c r="AQ97">
        <f t="shared" si="32"/>
        <v>30.93</v>
      </c>
      <c r="AR97" s="6">
        <f>ROUND((VLOOKUP($A97,EnrollData2324,'2324 Jun 24 Enroll'!D$1,FALSE)*Apport_M802324+VLOOKUP($A97,EnrollData2324,'2324 Jun 24 Enroll'!M$1,FALSE)*Apport_M802324+(VLOOKUP($A97,EnrollData2324,'2324 Jun 24 Enroll'!P$1,FALSE)+VLOOKUP($A97,EnrollData2324,'2324 Jun 24 Enroll'!Q$1,FALSE)+VLOOKUP($A97,EnrollData2324,'2324 Jun 24 Enroll'!R$1,FALSE)+VLOOKUP($A97,EnrollData2324,'2324 Jun 24 Enroll'!I$1,FALSE)+VLOOKUP($A97,EnrollData2324,'2324 Jun 24 Enroll'!N$1,FALSE)+VLOOKUP($A97,EnrollData2324,'2324 Jun 24 Enroll'!O$1,FALSE)+VLOOKUP($A97,EnrollData2324,'2324 Jun 24 Enroll'!K$1,FALSE)+VLOOKUP($A97,EnrollData2324,'2324 Jun 24 Enroll'!L$1,FALSE))*Apport_M812324)/(VLOOKUP($A97,EnrollData2324,'2324 Jun 24 Enroll'!M$1,FALSE)+VLOOKUP($A97,EnrollData2324,'2324 Jun 24 Enroll'!D$1,FALSE)),2)</f>
        <v>1557.91</v>
      </c>
      <c r="AS97" s="7">
        <f t="shared" si="33"/>
        <v>9430.94</v>
      </c>
    </row>
    <row r="98" spans="1:45">
      <c r="A98" s="40" t="s">
        <v>508</v>
      </c>
      <c r="B98" s="40" t="s">
        <v>509</v>
      </c>
      <c r="C98" s="11">
        <f>ROUND((IFERROR((1/IF(VLOOKUP($A98,EnrollData2324,28,FALSE)='District Calculations'!$B$10,VLOOKUP($A98,EnrollData2324,28,FALSE),'District Calculations'!$B$10))*(1+Apport_Z315),0))+Apport_201A2324,6)</f>
        <v>7.3449E-2</v>
      </c>
      <c r="D98">
        <f>ROUND(IF(VLOOKUP($A98,EnrollData2324,'2324 Jun 24 Enroll'!D$1,FALSE)='District Calculations'!$B$11,VLOOKUP($A98,EnrollData2324,'2324 Jun 24 Enroll'!D$1,FALSE),'District Calculations'!$B$11)*C98,3)</f>
        <v>0</v>
      </c>
      <c r="E98">
        <f>ROUND(IF(VLOOKUP($A98,EnrollData2324,'2324 Jun 24 Enroll'!E$1,FALSE)='District Calculations'!$B$12,VLOOKUP($A98,EnrollData2324,'2324 Jun 24 Enroll'!E$1,FALSE),'District Calculations'!$B$12)*C98,3)</f>
        <v>59.53</v>
      </c>
      <c r="F98">
        <f>ROUND(IF(VLOOKUP($A98,EnrollData2324,'2324 Jun 24 Enroll'!F$1,FALSE)='District Calculations'!$B$13,VLOOKUP($A98,EnrollData2324,'2324 Jun 24 Enroll'!F$1,FALSE),'District Calculations'!$B$13)*Apport_222A2324,3)</f>
        <v>10.101000000000001</v>
      </c>
      <c r="G98">
        <f>ROUND(IF(VLOOKUP($A98,EnrollData2324,'2324 Jun 24 Enroll'!G$1,FALSE)='District Calculations'!$B$14,VLOOKUP($A98,EnrollData2324,'2324 Jun 24 Enroll'!G$1,FALSE),'District Calculations'!$B$14)*Apport_210A2324,3)</f>
        <v>22.395</v>
      </c>
      <c r="H98">
        <f>ROUND(IF(VLOOKUP($A98,EnrollData2324,'2324 Jun 24 Enroll'!H$1,FALSE)='District Calculations'!$B$15,VLOOKUP($A98,EnrollData2324,'2324 Jun 24 Enroll'!H$1,FALSE),'District Calculations'!$B$15)*Apport_213A2324,3)</f>
        <v>23.091999999999999</v>
      </c>
      <c r="I98">
        <f>ROUND(IF(VLOOKUP($A98,EnrollData2324,'2324 Jun 24 Enroll'!I$1,FALSE)+VLOOKUP($A98,EnrollData2324,'2324 Jun 24 Enroll'!M$1,FALSE)-VLOOKUP($A98,EnrollData2324,'2324 Jun 24 Enroll'!J$1,FALSE)='District Calculations'!$B$16+'District Calculations'!$B$25-'District Calculations'!$B$17,VLOOKUP($A98,EnrollData2324,'2324 Jun 24 Enroll'!I$1,FALSE)+VLOOKUP($A98,EnrollData2324,'2324 Jun 24 Enroll'!M$1,FALSE)-VLOOKUP($A98,EnrollData2324,'2324 Jun 24 Enroll'!J$1,FALSE),'District Calculations'!$B$16+'District Calculations'!$B$25-'District Calculations'!$B$17)*Apport_216A2324,3)</f>
        <v>58.183999999999997</v>
      </c>
      <c r="J98">
        <f>ROUND(SUM(D98:I98)/(IF(VLOOKUP($A98,EnrollData2324,'2324 Jun 24 Enroll'!M$1,FALSE)='District Calculations'!$B$25,VLOOKUP($A98,EnrollData2324,'2324 Jun 24 Enroll'!M$1,FALSE),'District Calculations'!$B$25)+IF(VLOOKUP($A98,EnrollData2324,'2324 Jun 24 Enroll'!D$1,FALSE)='District Calculations'!$B$11,VLOOKUP($A98,EnrollData2324,'2324 Jun 24 Enroll'!D$1,FALSE),'District Calculations'!$B$11)),5)</f>
        <v>5.5530000000000003E-2</v>
      </c>
      <c r="K98" s="11">
        <f t="shared" si="21"/>
        <v>4.365E-3</v>
      </c>
      <c r="L98">
        <f>ROUND(IF(VLOOKUP($A98,EnrollData2324,'2324 Jun 24 Enroll'!D$1,FALSE)='District Calculations'!$B$11,VLOOKUP($A98,EnrollData2324,'2324 Jun 24 Enroll'!D$1,FALSE),'District Calculations'!$B$11)*K98,3)</f>
        <v>0</v>
      </c>
      <c r="M98">
        <f>ROUND(IF(VLOOKUP($A98,EnrollData2324,'2324 Jun 24 Enroll'!E$1,FALSE)='District Calculations'!$B$12,VLOOKUP($A98,EnrollData2324,'2324 Jun 24 Enroll'!E$1,FALSE),'District Calculations'!$B$12)*K98,3)</f>
        <v>3.5379999999999998</v>
      </c>
      <c r="N98">
        <f>ROUND(IF(VLOOKUP($A98,EnrollData2324,'2324 Jun 24 Enroll'!F$1,FALSE)='District Calculations'!$B$13,VLOOKUP($A98,EnrollData2324,'2324 Jun 24 Enroll'!F$1,FALSE),'District Calculations'!$B$13)*Apport_223A2324,3)</f>
        <v>0.84199999999999997</v>
      </c>
      <c r="O98">
        <f>ROUND(IF(VLOOKUP($A98,EnrollData2324,'2324 Jun 24 Enroll'!G$1,FALSE)='District Calculations'!$B$14,VLOOKUP($A98,EnrollData2324,'2324 Jun 24 Enroll'!G$1,FALSE),'District Calculations'!$B$14)*Apport_211A2324,3)</f>
        <v>1.867</v>
      </c>
      <c r="P98">
        <f>ROUND(IF(VLOOKUP($A98,EnrollData2324,'2324 Jun 24 Enroll'!H$1,FALSE)='District Calculations'!$B$14,VLOOKUP($A98,EnrollData2324,'2324 Jun 24 Enroll'!H$1,FALSE),'District Calculations'!$B$14)*Apport_214A2324,3)</f>
        <v>1.8660000000000001</v>
      </c>
      <c r="Q98">
        <f>ROUND(IF(VLOOKUP($A98,EnrollData2324,'2324 Jun 24 Enroll'!I$1,FALSE)+VLOOKUP($A98,EnrollData2324,'2324 Jun 24 Enroll'!M$1,FALSE)-VLOOKUP($A98,EnrollData2324,'2324 Jun 24 Enroll'!J$1,FALSE)='District Calculations'!$B$16+'District Calculations'!$B$25-'District Calculations'!$B$17,VLOOKUP($A98,EnrollData2324,'2324 Jun 24 Enroll'!I$1,FALSE)+VLOOKUP($A98,EnrollData2324,'2324 Jun 24 Enroll'!M$1,FALSE)-VLOOKUP($A98,EnrollData2324,'2324 Jun 24 Enroll'!J$1,FALSE),'District Calculations'!$B$16+'District Calculations'!$B$25-'District Calculations'!$B$17)*Apport_217A2324,3)</f>
        <v>4.6980000000000004</v>
      </c>
      <c r="R98">
        <f>ROUND(SUM(L98:Q98)/IF(VLOOKUP($A98,EnrollData2324,'2324 Jun 24 Enroll'!M$1,FALSE)+VLOOKUP($A98,EnrollData2324,'2324 Jun 24 Enroll'!D$1,FALSE)='District Calculations'!$B$25+'District Calculations'!$B$11,VLOOKUP($A98,EnrollData2324,'2324 Jun 24 Enroll'!M$1,FALSE)+VLOOKUP($A98,EnrollData2324,'2324 Jun 24 Enroll'!D$1,FALSE),'District Calculations'!$B$25+'District Calculations'!$B$11),5)</f>
        <v>4.1000000000000003E-3</v>
      </c>
      <c r="S98" s="11">
        <f t="shared" si="22"/>
        <v>1.8294500000000002E-2</v>
      </c>
      <c r="T98">
        <f>ROUND(IF(VLOOKUP($A98,EnrollData2324,'2324 Jun 24 Enroll'!D$1,FALSE)='District Calculations'!$B$11,VLOOKUP($A98,EnrollData2324,'2324 Jun 24 Enroll'!D$1,FALSE),'District Calculations'!$B$11)*S98,3)</f>
        <v>0</v>
      </c>
      <c r="U98">
        <f>ROUND(IF(VLOOKUP($A98,EnrollData2324,'2324 Jun 24 Enroll'!E$1,FALSE)='District Calculations'!$B$12,VLOOKUP($A98,EnrollData2324,'2324 Jun 24 Enroll'!E$1,FALSE),'District Calculations'!$B$12)*S98,3)</f>
        <v>14.827999999999999</v>
      </c>
      <c r="V98">
        <f>ROUND(IF(VLOOKUP($A98,EnrollData2324,'2324 Jun 24 Enroll'!F$1,FALSE)='District Calculations'!$B$13,VLOOKUP($A98,EnrollData2324,'2324 Jun 24 Enroll'!F$1,FALSE),'District Calculations'!$B$13)*Apport_224A2324,3)</f>
        <v>3.6190000000000002</v>
      </c>
      <c r="W98">
        <f>ROUND(IF(VLOOKUP($A98,EnrollData2324,'2324 Jun 24 Enroll'!G$1,FALSE)='District Calculations'!$B$14,VLOOKUP($A98,EnrollData2324,'2324 Jun 24 Enroll'!G$1,FALSE),'District Calculations'!$B$14)*Apport_212A2324,3)</f>
        <v>8.0239999999999991</v>
      </c>
      <c r="X98">
        <f>ROUND(IF(VLOOKUP($A98,EnrollData2324,'2324 Jun 24 Enroll'!H$1,FALSE)='District Calculations'!$B$14,VLOOKUP($A98,EnrollData2324,'2324 Jun 24 Enroll'!H$1,FALSE),'District Calculations'!$B$14)*Apport_215A2324,3)</f>
        <v>7.9279999999999999</v>
      </c>
      <c r="Y98">
        <f>ROUND(IF(VLOOKUP($A98,EnrollData2324,'2324 Jun 24 Enroll'!I$1,FALSE)+VLOOKUP($A98,EnrollData2324,'2324 Jun 24 Enroll'!M$1,FALSE)-VLOOKUP($A98,EnrollData2324,'2324 Jun 24 Enroll'!J$1,FALSE)='District Calculations'!$B$16+'District Calculations'!$B$25-'District Calculations'!$B$17,VLOOKUP($A98,EnrollData2324,'2324 Jun 24 Enroll'!I$1,FALSE)+VLOOKUP($A98,EnrollData2324,'2324 Jun 24 Enroll'!M$1,FALSE)-VLOOKUP($A98,EnrollData2324,'2324 Jun 24 Enroll'!J$1,FALSE),'District Calculations'!$B$16+'District Calculations'!$B$25-'District Calculations'!$B$17)*Apport_218A2324,3)</f>
        <v>19.917999999999999</v>
      </c>
      <c r="Z98">
        <f>ROUND(SUM(T98:Y98)/IF(VLOOKUP($A98,EnrollData2324,'2324 Jun 24 Enroll'!M$1,FALSE)+VLOOKUP($A98,EnrollData2324,'2324 Jun 24 Enroll'!D$1,FALSE)='District Calculations'!$B$25+'District Calculations'!$B$11,VLOOKUP($A98,EnrollData2324,'2324 Jun 24 Enroll'!M$1,FALSE)+VLOOKUP($A98,EnrollData2324,'2324 Jun 24 Enroll'!D$1,FALSE),'District Calculations'!$B$25+'District Calculations'!$B$11),5)</f>
        <v>1.7399999999999999E-2</v>
      </c>
      <c r="AA98" s="6">
        <f>ROUND($J98*CIS_Base_Salary2324*VLOOKUP($A98,EnrollData2324,'2324 Jun 24 Enroll'!S$1,FALSE),2)</f>
        <v>4038.59</v>
      </c>
      <c r="AB98" s="6">
        <f>ROUND($J98*CIS_Inc_Salary2324*(VLOOKUP($A98,EnrollData2324,'2324 Jun 24 Enroll'!T$1,FALSE)+VLOOKUP($A98,EnrollData2324,'2324 Jun 24 Enroll'!U$1,FALSE)),2)-AA98</f>
        <v>149.43000000000029</v>
      </c>
      <c r="AC98" s="6">
        <f>ROUND($R98*CAS_Base_Salary2324*VLOOKUP($A98,EnrollData2324,'2324 Jun 24 Enroll'!S$1,FALSE),2)</f>
        <v>442.62</v>
      </c>
      <c r="AD98" s="6">
        <f>ROUND($R98*CAS_Inc_Salary2324*VLOOKUP($A98,EnrollData2324,'2324 Jun 24 Enroll'!T$1,FALSE),2)-AC98</f>
        <v>16.379999999999995</v>
      </c>
      <c r="AE98" s="6">
        <f>ROUND($Z98*CLS_Base_Salary2324*VLOOKUP($A98,EnrollData2324,'2324 Jun 24 Enroll'!S$1,FALSE),2)</f>
        <v>907.81</v>
      </c>
      <c r="AF98" s="6">
        <f>ROUND($Z98*CLS_Inc_Salary2324*VLOOKUP($A98,EnrollData2324,'2324 Jun 24 Enroll'!T$1,FALSE),2)-AE98</f>
        <v>33.580000000000041</v>
      </c>
      <c r="AG98">
        <f t="shared" si="35"/>
        <v>734.16</v>
      </c>
      <c r="AH98" s="69">
        <f t="shared" si="23"/>
        <v>68.700000000000045</v>
      </c>
      <c r="AI98">
        <f t="shared" si="36"/>
        <v>214.23</v>
      </c>
      <c r="AJ98">
        <f t="shared" si="24"/>
        <v>114.21000000000001</v>
      </c>
      <c r="AK98">
        <f t="shared" si="25"/>
        <v>805.27</v>
      </c>
      <c r="AL98">
        <f t="shared" si="26"/>
        <v>28.73</v>
      </c>
      <c r="AM98">
        <f t="shared" si="27"/>
        <v>200.26</v>
      </c>
      <c r="AN98">
        <f t="shared" si="28"/>
        <v>6.23</v>
      </c>
      <c r="AO98">
        <f>ROUND(($J98*CIS_Inc_Salary2324*(VLOOKUP($A98,EnrollData2324,'2324 Jun 24 Enroll'!T$1,FALSE)+VLOOKUP($A98,EnrollData2324,'2324 Jun 24 Enroll'!U$1,FALSE))/Apport_613Xpd)*Apport_614Xpd,2)</f>
        <v>69.8</v>
      </c>
      <c r="AP98">
        <f t="shared" si="29"/>
        <v>12.1</v>
      </c>
      <c r="AQ98">
        <f t="shared" si="32"/>
        <v>30.93</v>
      </c>
      <c r="AR98" s="6">
        <f>ROUND((VLOOKUP($A98,EnrollData2324,'2324 Jun 24 Enroll'!D$1,FALSE)*Apport_M802324+VLOOKUP($A98,EnrollData2324,'2324 Jun 24 Enroll'!M$1,FALSE)*Apport_M802324+(VLOOKUP($A98,EnrollData2324,'2324 Jun 24 Enroll'!P$1,FALSE)+VLOOKUP($A98,EnrollData2324,'2324 Jun 24 Enroll'!Q$1,FALSE)+VLOOKUP($A98,EnrollData2324,'2324 Jun 24 Enroll'!R$1,FALSE)+VLOOKUP($A98,EnrollData2324,'2324 Jun 24 Enroll'!I$1,FALSE)+VLOOKUP($A98,EnrollData2324,'2324 Jun 24 Enroll'!N$1,FALSE)+VLOOKUP($A98,EnrollData2324,'2324 Jun 24 Enroll'!O$1,FALSE)+VLOOKUP($A98,EnrollData2324,'2324 Jun 24 Enroll'!K$1,FALSE)+VLOOKUP($A98,EnrollData2324,'2324 Jun 24 Enroll'!L$1,FALSE))*Apport_M812324)/(VLOOKUP($A98,EnrollData2324,'2324 Jun 24 Enroll'!M$1,FALSE)+VLOOKUP($A98,EnrollData2324,'2324 Jun 24 Enroll'!D$1,FALSE)),2)</f>
        <v>1553.5</v>
      </c>
      <c r="AS98" s="7">
        <f t="shared" si="33"/>
        <v>9426.5299999999988</v>
      </c>
    </row>
    <row r="99" spans="1:45">
      <c r="A99" s="40" t="s">
        <v>627</v>
      </c>
      <c r="B99" s="40" t="s">
        <v>628</v>
      </c>
      <c r="C99" s="11">
        <f>ROUND((IFERROR((1/IF(VLOOKUP($A99,EnrollData2324,28,FALSE)='District Calculations'!$B$10,VLOOKUP($A99,EnrollData2324,28,FALSE),'District Calculations'!$B$10))*(1+Apport_Z315),0))+Apport_201A2324,6)</f>
        <v>7.3449E-2</v>
      </c>
      <c r="D99">
        <f>ROUND(IF(VLOOKUP($A99,EnrollData2324,'2324 Jun 24 Enroll'!D$1,FALSE)='District Calculations'!$B$11,VLOOKUP($A99,EnrollData2324,'2324 Jun 24 Enroll'!D$1,FALSE),'District Calculations'!$B$11)*C99,3)</f>
        <v>0</v>
      </c>
      <c r="E99">
        <f>ROUND(IF(VLOOKUP($A99,EnrollData2324,'2324 Jun 24 Enroll'!E$1,FALSE)='District Calculations'!$B$12,VLOOKUP($A99,EnrollData2324,'2324 Jun 24 Enroll'!E$1,FALSE),'District Calculations'!$B$12)*C99,3)</f>
        <v>59.53</v>
      </c>
      <c r="F99">
        <f>ROUND(IF(VLOOKUP($A99,EnrollData2324,'2324 Jun 24 Enroll'!F$1,FALSE)='District Calculations'!$B$13,VLOOKUP($A99,EnrollData2324,'2324 Jun 24 Enroll'!F$1,FALSE),'District Calculations'!$B$13)*Apport_222A2324,3)</f>
        <v>10.101000000000001</v>
      </c>
      <c r="G99">
        <f>ROUND(IF(VLOOKUP($A99,EnrollData2324,'2324 Jun 24 Enroll'!G$1,FALSE)='District Calculations'!$B$14,VLOOKUP($A99,EnrollData2324,'2324 Jun 24 Enroll'!G$1,FALSE),'District Calculations'!$B$14)*Apport_210A2324,3)</f>
        <v>22.395</v>
      </c>
      <c r="H99">
        <f>ROUND(IF(VLOOKUP($A99,EnrollData2324,'2324 Jun 24 Enroll'!H$1,FALSE)='District Calculations'!$B$15,VLOOKUP($A99,EnrollData2324,'2324 Jun 24 Enroll'!H$1,FALSE),'District Calculations'!$B$15)*Apport_213A2324,3)</f>
        <v>23.091999999999999</v>
      </c>
      <c r="I99">
        <f>ROUND(IF(VLOOKUP($A99,EnrollData2324,'2324 Jun 24 Enroll'!I$1,FALSE)+VLOOKUP($A99,EnrollData2324,'2324 Jun 24 Enroll'!M$1,FALSE)-VLOOKUP($A99,EnrollData2324,'2324 Jun 24 Enroll'!J$1,FALSE)='District Calculations'!$B$16+'District Calculations'!$B$25-'District Calculations'!$B$17,VLOOKUP($A99,EnrollData2324,'2324 Jun 24 Enroll'!I$1,FALSE)+VLOOKUP($A99,EnrollData2324,'2324 Jun 24 Enroll'!M$1,FALSE)-VLOOKUP($A99,EnrollData2324,'2324 Jun 24 Enroll'!J$1,FALSE),'District Calculations'!$B$16+'District Calculations'!$B$25-'District Calculations'!$B$17)*Apport_216A2324,3)</f>
        <v>58.183999999999997</v>
      </c>
      <c r="J99">
        <f>ROUND(SUM(D99:I99)/(IF(VLOOKUP($A99,EnrollData2324,'2324 Jun 24 Enroll'!M$1,FALSE)='District Calculations'!$B$25,VLOOKUP($A99,EnrollData2324,'2324 Jun 24 Enroll'!M$1,FALSE),'District Calculations'!$B$25)+IF(VLOOKUP($A99,EnrollData2324,'2324 Jun 24 Enroll'!D$1,FALSE)='District Calculations'!$B$11,VLOOKUP($A99,EnrollData2324,'2324 Jun 24 Enroll'!D$1,FALSE),'District Calculations'!$B$11)),5)</f>
        <v>5.5530000000000003E-2</v>
      </c>
      <c r="K99" s="11">
        <f t="shared" ref="K99:K162" si="37">ROUND(((($C99+Apport_203A2324+Apport_202A2324)*Apport_557X)*Apport_558X)+Apport_202A2324,6)</f>
        <v>4.365E-3</v>
      </c>
      <c r="L99">
        <f>ROUND(IF(VLOOKUP($A99,EnrollData2324,'2324 Jun 24 Enroll'!D$1,FALSE)='District Calculations'!$B$11,VLOOKUP($A99,EnrollData2324,'2324 Jun 24 Enroll'!D$1,FALSE),'District Calculations'!$B$11)*K99,3)</f>
        <v>0</v>
      </c>
      <c r="M99">
        <f>ROUND(IF(VLOOKUP($A99,EnrollData2324,'2324 Jun 24 Enroll'!E$1,FALSE)='District Calculations'!$B$12,VLOOKUP($A99,EnrollData2324,'2324 Jun 24 Enroll'!E$1,FALSE),'District Calculations'!$B$12)*K99,3)</f>
        <v>3.5379999999999998</v>
      </c>
      <c r="N99">
        <f>ROUND(IF(VLOOKUP($A99,EnrollData2324,'2324 Jun 24 Enroll'!F$1,FALSE)='District Calculations'!$B$13,VLOOKUP($A99,EnrollData2324,'2324 Jun 24 Enroll'!F$1,FALSE),'District Calculations'!$B$13)*Apport_223A2324,3)</f>
        <v>0.84199999999999997</v>
      </c>
      <c r="O99">
        <f>ROUND(IF(VLOOKUP($A99,EnrollData2324,'2324 Jun 24 Enroll'!G$1,FALSE)='District Calculations'!$B$14,VLOOKUP($A99,EnrollData2324,'2324 Jun 24 Enroll'!G$1,FALSE),'District Calculations'!$B$14)*Apport_211A2324,3)</f>
        <v>1.867</v>
      </c>
      <c r="P99">
        <f>ROUND(IF(VLOOKUP($A99,EnrollData2324,'2324 Jun 24 Enroll'!H$1,FALSE)='District Calculations'!$B$14,VLOOKUP($A99,EnrollData2324,'2324 Jun 24 Enroll'!H$1,FALSE),'District Calculations'!$B$14)*Apport_214A2324,3)</f>
        <v>1.8660000000000001</v>
      </c>
      <c r="Q99">
        <f>ROUND(IF(VLOOKUP($A99,EnrollData2324,'2324 Jun 24 Enroll'!I$1,FALSE)+VLOOKUP($A99,EnrollData2324,'2324 Jun 24 Enroll'!M$1,FALSE)-VLOOKUP($A99,EnrollData2324,'2324 Jun 24 Enroll'!J$1,FALSE)='District Calculations'!$B$16+'District Calculations'!$B$25-'District Calculations'!$B$17,VLOOKUP($A99,EnrollData2324,'2324 Jun 24 Enroll'!I$1,FALSE)+VLOOKUP($A99,EnrollData2324,'2324 Jun 24 Enroll'!M$1,FALSE)-VLOOKUP($A99,EnrollData2324,'2324 Jun 24 Enroll'!J$1,FALSE),'District Calculations'!$B$16+'District Calculations'!$B$25-'District Calculations'!$B$17)*Apport_217A2324,3)</f>
        <v>4.6980000000000004</v>
      </c>
      <c r="R99">
        <f>ROUND(SUM(L99:Q99)/IF(VLOOKUP($A99,EnrollData2324,'2324 Jun 24 Enroll'!M$1,FALSE)+VLOOKUP($A99,EnrollData2324,'2324 Jun 24 Enroll'!D$1,FALSE)='District Calculations'!$B$25+'District Calculations'!$B$11,VLOOKUP($A99,EnrollData2324,'2324 Jun 24 Enroll'!M$1,FALSE)+VLOOKUP($A99,EnrollData2324,'2324 Jun 24 Enroll'!D$1,FALSE),'District Calculations'!$B$25+'District Calculations'!$B$11),5)</f>
        <v>4.1000000000000003E-3</v>
      </c>
      <c r="S99" s="11">
        <f t="shared" ref="S99:S162" si="38">ROUND(((($C99+Apport_203A2324+Apport_202A2324)*Apport_557X)*Apport_559X)+Apport_203A2324,7)</f>
        <v>1.8294500000000002E-2</v>
      </c>
      <c r="T99">
        <f>ROUND(IF(VLOOKUP($A99,EnrollData2324,'2324 Jun 24 Enroll'!D$1,FALSE)='District Calculations'!$B$11,VLOOKUP($A99,EnrollData2324,'2324 Jun 24 Enroll'!D$1,FALSE),'District Calculations'!$B$11)*S99,3)</f>
        <v>0</v>
      </c>
      <c r="U99">
        <f>ROUND(IF(VLOOKUP($A99,EnrollData2324,'2324 Jun 24 Enroll'!E$1,FALSE)='District Calculations'!$B$12,VLOOKUP($A99,EnrollData2324,'2324 Jun 24 Enroll'!E$1,FALSE),'District Calculations'!$B$12)*S99,3)</f>
        <v>14.827999999999999</v>
      </c>
      <c r="V99">
        <f>ROUND(IF(VLOOKUP($A99,EnrollData2324,'2324 Jun 24 Enroll'!F$1,FALSE)='District Calculations'!$B$13,VLOOKUP($A99,EnrollData2324,'2324 Jun 24 Enroll'!F$1,FALSE),'District Calculations'!$B$13)*Apport_224A2324,3)</f>
        <v>3.6190000000000002</v>
      </c>
      <c r="W99">
        <f>ROUND(IF(VLOOKUP($A99,EnrollData2324,'2324 Jun 24 Enroll'!G$1,FALSE)='District Calculations'!$B$14,VLOOKUP($A99,EnrollData2324,'2324 Jun 24 Enroll'!G$1,FALSE),'District Calculations'!$B$14)*Apport_212A2324,3)</f>
        <v>8.0239999999999991</v>
      </c>
      <c r="X99">
        <f>ROUND(IF(VLOOKUP($A99,EnrollData2324,'2324 Jun 24 Enroll'!H$1,FALSE)='District Calculations'!$B$14,VLOOKUP($A99,EnrollData2324,'2324 Jun 24 Enroll'!H$1,FALSE),'District Calculations'!$B$14)*Apport_215A2324,3)</f>
        <v>7.9279999999999999</v>
      </c>
      <c r="Y99">
        <f>ROUND(IF(VLOOKUP($A99,EnrollData2324,'2324 Jun 24 Enroll'!I$1,FALSE)+VLOOKUP($A99,EnrollData2324,'2324 Jun 24 Enroll'!M$1,FALSE)-VLOOKUP($A99,EnrollData2324,'2324 Jun 24 Enroll'!J$1,FALSE)='District Calculations'!$B$16+'District Calculations'!$B$25-'District Calculations'!$B$17,VLOOKUP($A99,EnrollData2324,'2324 Jun 24 Enroll'!I$1,FALSE)+VLOOKUP($A99,EnrollData2324,'2324 Jun 24 Enroll'!M$1,FALSE)-VLOOKUP($A99,EnrollData2324,'2324 Jun 24 Enroll'!J$1,FALSE),'District Calculations'!$B$16+'District Calculations'!$B$25-'District Calculations'!$B$17)*Apport_218A2324,3)</f>
        <v>19.917999999999999</v>
      </c>
      <c r="Z99">
        <f>ROUND(SUM(T99:Y99)/IF(VLOOKUP($A99,EnrollData2324,'2324 Jun 24 Enroll'!M$1,FALSE)+VLOOKUP($A99,EnrollData2324,'2324 Jun 24 Enroll'!D$1,FALSE)='District Calculations'!$B$25+'District Calculations'!$B$11,VLOOKUP($A99,EnrollData2324,'2324 Jun 24 Enroll'!M$1,FALSE)+VLOOKUP($A99,EnrollData2324,'2324 Jun 24 Enroll'!D$1,FALSE),'District Calculations'!$B$25+'District Calculations'!$B$11),5)</f>
        <v>1.7399999999999999E-2</v>
      </c>
      <c r="AA99" s="6">
        <f>ROUND($J99*CIS_Base_Salary2324*VLOOKUP($A99,EnrollData2324,'2324 Jun 24 Enroll'!S$1,FALSE),2)</f>
        <v>4038.59</v>
      </c>
      <c r="AB99" s="6">
        <f>ROUND($J99*CIS_Inc_Salary2324*(VLOOKUP($A99,EnrollData2324,'2324 Jun 24 Enroll'!T$1,FALSE)+VLOOKUP($A99,EnrollData2324,'2324 Jun 24 Enroll'!U$1,FALSE)),2)-AA99</f>
        <v>149.43000000000029</v>
      </c>
      <c r="AC99" s="6">
        <f>ROUND($R99*CAS_Base_Salary2324*VLOOKUP($A99,EnrollData2324,'2324 Jun 24 Enroll'!S$1,FALSE),2)</f>
        <v>442.62</v>
      </c>
      <c r="AD99" s="6">
        <f>ROUND($R99*CAS_Inc_Salary2324*VLOOKUP($A99,EnrollData2324,'2324 Jun 24 Enroll'!T$1,FALSE),2)-AC99</f>
        <v>16.379999999999995</v>
      </c>
      <c r="AE99" s="6">
        <f>ROUND($Z99*CLS_Base_Salary2324*VLOOKUP($A99,EnrollData2324,'2324 Jun 24 Enroll'!S$1,FALSE),2)</f>
        <v>907.81</v>
      </c>
      <c r="AF99" s="6">
        <f>ROUND($Z99*CLS_Inc_Salary2324*VLOOKUP($A99,EnrollData2324,'2324 Jun 24 Enroll'!T$1,FALSE),2)-AE99</f>
        <v>33.580000000000041</v>
      </c>
      <c r="AG99">
        <f t="shared" si="35"/>
        <v>734.16</v>
      </c>
      <c r="AH99" s="69">
        <f t="shared" ref="AH99:AH162" si="39">ROUND(($J99+$R99)*Apport_621X2324*Apport_125XC2324,2)-AG99</f>
        <v>68.700000000000045</v>
      </c>
      <c r="AI99">
        <f t="shared" si="36"/>
        <v>214.23</v>
      </c>
      <c r="AJ99">
        <f t="shared" ref="AJ99:AJ162" si="40">ROUND($Z99*Apport_621X2324*Apport_125X2324,2)-AI99</f>
        <v>114.21000000000001</v>
      </c>
      <c r="AK99">
        <f t="shared" ref="AK99:AK162" si="41">ROUND((AA99+AC99)*Apport_126X2324,2)</f>
        <v>805.27</v>
      </c>
      <c r="AL99">
        <f t="shared" ref="AL99:AL162" si="42">ROUND((AB99+AD99)*Apport_127X2324,2)</f>
        <v>28.73</v>
      </c>
      <c r="AM99">
        <f t="shared" ref="AM99:AM162" si="43">ROUND(AE99*Apport_128X2324,2)</f>
        <v>200.26</v>
      </c>
      <c r="AN99">
        <f t="shared" ref="AN99:AN162" si="44">ROUND(AF99*Apport_129X2324,2)</f>
        <v>6.23</v>
      </c>
      <c r="AO99">
        <f>ROUND(($J99*CIS_Inc_Salary2324*(VLOOKUP($A99,EnrollData2324,'2324 Jun 24 Enroll'!T$1,FALSE)+VLOOKUP($A99,EnrollData2324,'2324 Jun 24 Enroll'!U$1,FALSE))/Apport_613Xpd)*Apport_614Xpd,2)</f>
        <v>69.8</v>
      </c>
      <c r="AP99">
        <f t="shared" ref="AP99:AP162" si="45">ROUND(AO99*Apport_127X2324,2)</f>
        <v>12.1</v>
      </c>
      <c r="AQ99">
        <f t="shared" si="32"/>
        <v>30.93</v>
      </c>
      <c r="AR99" s="6">
        <f>ROUND((VLOOKUP($A99,EnrollData2324,'2324 Jun 24 Enroll'!D$1,FALSE)*Apport_M802324+VLOOKUP($A99,EnrollData2324,'2324 Jun 24 Enroll'!M$1,FALSE)*Apport_M802324+(VLOOKUP($A99,EnrollData2324,'2324 Jun 24 Enroll'!P$1,FALSE)+VLOOKUP($A99,EnrollData2324,'2324 Jun 24 Enroll'!Q$1,FALSE)+VLOOKUP($A99,EnrollData2324,'2324 Jun 24 Enroll'!R$1,FALSE)+VLOOKUP($A99,EnrollData2324,'2324 Jun 24 Enroll'!I$1,FALSE)+VLOOKUP($A99,EnrollData2324,'2324 Jun 24 Enroll'!N$1,FALSE)+VLOOKUP($A99,EnrollData2324,'2324 Jun 24 Enroll'!O$1,FALSE)+VLOOKUP($A99,EnrollData2324,'2324 Jun 24 Enroll'!K$1,FALSE)+VLOOKUP($A99,EnrollData2324,'2324 Jun 24 Enroll'!L$1,FALSE))*Apport_M812324)/(VLOOKUP($A99,EnrollData2324,'2324 Jun 24 Enroll'!M$1,FALSE)+VLOOKUP($A99,EnrollData2324,'2324 Jun 24 Enroll'!D$1,FALSE)),2)</f>
        <v>1545.33</v>
      </c>
      <c r="AS99" s="7">
        <f t="shared" si="33"/>
        <v>9418.36</v>
      </c>
    </row>
    <row r="100" spans="1:45">
      <c r="A100" s="40" t="s">
        <v>580</v>
      </c>
      <c r="B100" s="40" t="s">
        <v>581</v>
      </c>
      <c r="C100" s="11">
        <f>ROUND((IFERROR((1/IF(VLOOKUP($A100,EnrollData2324,28,FALSE)='District Calculations'!$B$10,VLOOKUP($A100,EnrollData2324,28,FALSE),'District Calculations'!$B$10))*(1+Apport_Z315),0))+Apport_201A2324,6)</f>
        <v>7.3449E-2</v>
      </c>
      <c r="D100">
        <f>ROUND(IF(VLOOKUP($A100,EnrollData2324,'2324 Jun 24 Enroll'!D$1,FALSE)='District Calculations'!$B$11,VLOOKUP($A100,EnrollData2324,'2324 Jun 24 Enroll'!D$1,FALSE),'District Calculations'!$B$11)*C100,3)</f>
        <v>0</v>
      </c>
      <c r="E100">
        <f>ROUND(IF(VLOOKUP($A100,EnrollData2324,'2324 Jun 24 Enroll'!E$1,FALSE)='District Calculations'!$B$12,VLOOKUP($A100,EnrollData2324,'2324 Jun 24 Enroll'!E$1,FALSE),'District Calculations'!$B$12)*C100,3)</f>
        <v>59.53</v>
      </c>
      <c r="F100">
        <f>ROUND(IF(VLOOKUP($A100,EnrollData2324,'2324 Jun 24 Enroll'!F$1,FALSE)='District Calculations'!$B$13,VLOOKUP($A100,EnrollData2324,'2324 Jun 24 Enroll'!F$1,FALSE),'District Calculations'!$B$13)*Apport_222A2324,3)</f>
        <v>10.101000000000001</v>
      </c>
      <c r="G100">
        <f>ROUND(IF(VLOOKUP($A100,EnrollData2324,'2324 Jun 24 Enroll'!G$1,FALSE)='District Calculations'!$B$14,VLOOKUP($A100,EnrollData2324,'2324 Jun 24 Enroll'!G$1,FALSE),'District Calculations'!$B$14)*Apport_210A2324,3)</f>
        <v>22.395</v>
      </c>
      <c r="H100">
        <f>ROUND(IF(VLOOKUP($A100,EnrollData2324,'2324 Jun 24 Enroll'!H$1,FALSE)='District Calculations'!$B$15,VLOOKUP($A100,EnrollData2324,'2324 Jun 24 Enroll'!H$1,FALSE),'District Calculations'!$B$15)*Apport_213A2324,3)</f>
        <v>23.091999999999999</v>
      </c>
      <c r="I100">
        <f>ROUND(IF(VLOOKUP($A100,EnrollData2324,'2324 Jun 24 Enroll'!I$1,FALSE)+VLOOKUP($A100,EnrollData2324,'2324 Jun 24 Enroll'!M$1,FALSE)-VLOOKUP($A100,EnrollData2324,'2324 Jun 24 Enroll'!J$1,FALSE)='District Calculations'!$B$16+'District Calculations'!$B$25-'District Calculations'!$B$17,VLOOKUP($A100,EnrollData2324,'2324 Jun 24 Enroll'!I$1,FALSE)+VLOOKUP($A100,EnrollData2324,'2324 Jun 24 Enroll'!M$1,FALSE)-VLOOKUP($A100,EnrollData2324,'2324 Jun 24 Enroll'!J$1,FALSE),'District Calculations'!$B$16+'District Calculations'!$B$25-'District Calculations'!$B$17)*Apport_216A2324,3)</f>
        <v>58.183999999999997</v>
      </c>
      <c r="J100">
        <f>ROUND(SUM(D100:I100)/(IF(VLOOKUP($A100,EnrollData2324,'2324 Jun 24 Enroll'!M$1,FALSE)='District Calculations'!$B$25,VLOOKUP($A100,EnrollData2324,'2324 Jun 24 Enroll'!M$1,FALSE),'District Calculations'!$B$25)+IF(VLOOKUP($A100,EnrollData2324,'2324 Jun 24 Enroll'!D$1,FALSE)='District Calculations'!$B$11,VLOOKUP($A100,EnrollData2324,'2324 Jun 24 Enroll'!D$1,FALSE),'District Calculations'!$B$11)),5)</f>
        <v>5.5530000000000003E-2</v>
      </c>
      <c r="K100" s="11">
        <f t="shared" si="37"/>
        <v>4.365E-3</v>
      </c>
      <c r="L100">
        <f>ROUND(IF(VLOOKUP($A100,EnrollData2324,'2324 Jun 24 Enroll'!D$1,FALSE)='District Calculations'!$B$11,VLOOKUP($A100,EnrollData2324,'2324 Jun 24 Enroll'!D$1,FALSE),'District Calculations'!$B$11)*K100,3)</f>
        <v>0</v>
      </c>
      <c r="M100">
        <f>ROUND(IF(VLOOKUP($A100,EnrollData2324,'2324 Jun 24 Enroll'!E$1,FALSE)='District Calculations'!$B$12,VLOOKUP($A100,EnrollData2324,'2324 Jun 24 Enroll'!E$1,FALSE),'District Calculations'!$B$12)*K100,3)</f>
        <v>3.5379999999999998</v>
      </c>
      <c r="N100">
        <f>ROUND(IF(VLOOKUP($A100,EnrollData2324,'2324 Jun 24 Enroll'!F$1,FALSE)='District Calculations'!$B$13,VLOOKUP($A100,EnrollData2324,'2324 Jun 24 Enroll'!F$1,FALSE),'District Calculations'!$B$13)*Apport_223A2324,3)</f>
        <v>0.84199999999999997</v>
      </c>
      <c r="O100">
        <f>ROUND(IF(VLOOKUP($A100,EnrollData2324,'2324 Jun 24 Enroll'!G$1,FALSE)='District Calculations'!$B$14,VLOOKUP($A100,EnrollData2324,'2324 Jun 24 Enroll'!G$1,FALSE),'District Calculations'!$B$14)*Apport_211A2324,3)</f>
        <v>1.867</v>
      </c>
      <c r="P100">
        <f>ROUND(IF(VLOOKUP($A100,EnrollData2324,'2324 Jun 24 Enroll'!H$1,FALSE)='District Calculations'!$B$14,VLOOKUP($A100,EnrollData2324,'2324 Jun 24 Enroll'!H$1,FALSE),'District Calculations'!$B$14)*Apport_214A2324,3)</f>
        <v>1.8660000000000001</v>
      </c>
      <c r="Q100">
        <f>ROUND(IF(VLOOKUP($A100,EnrollData2324,'2324 Jun 24 Enroll'!I$1,FALSE)+VLOOKUP($A100,EnrollData2324,'2324 Jun 24 Enroll'!M$1,FALSE)-VLOOKUP($A100,EnrollData2324,'2324 Jun 24 Enroll'!J$1,FALSE)='District Calculations'!$B$16+'District Calculations'!$B$25-'District Calculations'!$B$17,VLOOKUP($A100,EnrollData2324,'2324 Jun 24 Enroll'!I$1,FALSE)+VLOOKUP($A100,EnrollData2324,'2324 Jun 24 Enroll'!M$1,FALSE)-VLOOKUP($A100,EnrollData2324,'2324 Jun 24 Enroll'!J$1,FALSE),'District Calculations'!$B$16+'District Calculations'!$B$25-'District Calculations'!$B$17)*Apport_217A2324,3)</f>
        <v>4.6980000000000004</v>
      </c>
      <c r="R100">
        <f>ROUND(SUM(L100:Q100)/IF(VLOOKUP($A100,EnrollData2324,'2324 Jun 24 Enroll'!M$1,FALSE)+VLOOKUP($A100,EnrollData2324,'2324 Jun 24 Enroll'!D$1,FALSE)='District Calculations'!$B$25+'District Calculations'!$B$11,VLOOKUP($A100,EnrollData2324,'2324 Jun 24 Enroll'!M$1,FALSE)+VLOOKUP($A100,EnrollData2324,'2324 Jun 24 Enroll'!D$1,FALSE),'District Calculations'!$B$25+'District Calculations'!$B$11),5)</f>
        <v>4.1000000000000003E-3</v>
      </c>
      <c r="S100" s="11">
        <f t="shared" si="38"/>
        <v>1.8294500000000002E-2</v>
      </c>
      <c r="T100">
        <f>ROUND(IF(VLOOKUP($A100,EnrollData2324,'2324 Jun 24 Enroll'!D$1,FALSE)='District Calculations'!$B$11,VLOOKUP($A100,EnrollData2324,'2324 Jun 24 Enroll'!D$1,FALSE),'District Calculations'!$B$11)*S100,3)</f>
        <v>0</v>
      </c>
      <c r="U100">
        <f>ROUND(IF(VLOOKUP($A100,EnrollData2324,'2324 Jun 24 Enroll'!E$1,FALSE)='District Calculations'!$B$12,VLOOKUP($A100,EnrollData2324,'2324 Jun 24 Enroll'!E$1,FALSE),'District Calculations'!$B$12)*S100,3)</f>
        <v>14.827999999999999</v>
      </c>
      <c r="V100">
        <f>ROUND(IF(VLOOKUP($A100,EnrollData2324,'2324 Jun 24 Enroll'!F$1,FALSE)='District Calculations'!$B$13,VLOOKUP($A100,EnrollData2324,'2324 Jun 24 Enroll'!F$1,FALSE),'District Calculations'!$B$13)*Apport_224A2324,3)</f>
        <v>3.6190000000000002</v>
      </c>
      <c r="W100">
        <f>ROUND(IF(VLOOKUP($A100,EnrollData2324,'2324 Jun 24 Enroll'!G$1,FALSE)='District Calculations'!$B$14,VLOOKUP($A100,EnrollData2324,'2324 Jun 24 Enroll'!G$1,FALSE),'District Calculations'!$B$14)*Apport_212A2324,3)</f>
        <v>8.0239999999999991</v>
      </c>
      <c r="X100">
        <f>ROUND(IF(VLOOKUP($A100,EnrollData2324,'2324 Jun 24 Enroll'!H$1,FALSE)='District Calculations'!$B$14,VLOOKUP($A100,EnrollData2324,'2324 Jun 24 Enroll'!H$1,FALSE),'District Calculations'!$B$14)*Apport_215A2324,3)</f>
        <v>7.9279999999999999</v>
      </c>
      <c r="Y100">
        <f>ROUND(IF(VLOOKUP($A100,EnrollData2324,'2324 Jun 24 Enroll'!I$1,FALSE)+VLOOKUP($A100,EnrollData2324,'2324 Jun 24 Enroll'!M$1,FALSE)-VLOOKUP($A100,EnrollData2324,'2324 Jun 24 Enroll'!J$1,FALSE)='District Calculations'!$B$16+'District Calculations'!$B$25-'District Calculations'!$B$17,VLOOKUP($A100,EnrollData2324,'2324 Jun 24 Enroll'!I$1,FALSE)+VLOOKUP($A100,EnrollData2324,'2324 Jun 24 Enroll'!M$1,FALSE)-VLOOKUP($A100,EnrollData2324,'2324 Jun 24 Enroll'!J$1,FALSE),'District Calculations'!$B$16+'District Calculations'!$B$25-'District Calculations'!$B$17)*Apport_218A2324,3)</f>
        <v>19.917999999999999</v>
      </c>
      <c r="Z100">
        <f>ROUND(SUM(T100:Y100)/IF(VLOOKUP($A100,EnrollData2324,'2324 Jun 24 Enroll'!M$1,FALSE)+VLOOKUP($A100,EnrollData2324,'2324 Jun 24 Enroll'!D$1,FALSE)='District Calculations'!$B$25+'District Calculations'!$B$11,VLOOKUP($A100,EnrollData2324,'2324 Jun 24 Enroll'!M$1,FALSE)+VLOOKUP($A100,EnrollData2324,'2324 Jun 24 Enroll'!D$1,FALSE),'District Calculations'!$B$25+'District Calculations'!$B$11),5)</f>
        <v>1.7399999999999999E-2</v>
      </c>
      <c r="AA100" s="6">
        <f>ROUND($J100*CIS_Base_Salary2324*VLOOKUP($A100,EnrollData2324,'2324 Jun 24 Enroll'!S$1,FALSE),2)</f>
        <v>4038.59</v>
      </c>
      <c r="AB100" s="6">
        <f>ROUND($J100*CIS_Inc_Salary2324*(VLOOKUP($A100,EnrollData2324,'2324 Jun 24 Enroll'!T$1,FALSE)+VLOOKUP($A100,EnrollData2324,'2324 Jun 24 Enroll'!U$1,FALSE)),2)-AA100</f>
        <v>149.43000000000029</v>
      </c>
      <c r="AC100" s="6">
        <f>ROUND($R100*CAS_Base_Salary2324*VLOOKUP($A100,EnrollData2324,'2324 Jun 24 Enroll'!S$1,FALSE),2)</f>
        <v>442.62</v>
      </c>
      <c r="AD100" s="6">
        <f>ROUND($R100*CAS_Inc_Salary2324*VLOOKUP($A100,EnrollData2324,'2324 Jun 24 Enroll'!T$1,FALSE),2)-AC100</f>
        <v>16.379999999999995</v>
      </c>
      <c r="AE100" s="6">
        <f>ROUND($Z100*CLS_Base_Salary2324*VLOOKUP($A100,EnrollData2324,'2324 Jun 24 Enroll'!S$1,FALSE),2)</f>
        <v>907.81</v>
      </c>
      <c r="AF100" s="6">
        <f>ROUND($Z100*CLS_Inc_Salary2324*VLOOKUP($A100,EnrollData2324,'2324 Jun 24 Enroll'!T$1,FALSE),2)-AE100</f>
        <v>33.580000000000041</v>
      </c>
      <c r="AG100">
        <f t="shared" si="35"/>
        <v>734.16</v>
      </c>
      <c r="AH100" s="69">
        <f t="shared" si="39"/>
        <v>68.700000000000045</v>
      </c>
      <c r="AI100">
        <f t="shared" si="36"/>
        <v>214.23</v>
      </c>
      <c r="AJ100">
        <f t="shared" si="40"/>
        <v>114.21000000000001</v>
      </c>
      <c r="AK100">
        <f t="shared" si="41"/>
        <v>805.27</v>
      </c>
      <c r="AL100">
        <f t="shared" si="42"/>
        <v>28.73</v>
      </c>
      <c r="AM100">
        <f t="shared" si="43"/>
        <v>200.26</v>
      </c>
      <c r="AN100">
        <f t="shared" si="44"/>
        <v>6.23</v>
      </c>
      <c r="AO100">
        <f>ROUND(($J100*CIS_Inc_Salary2324*(VLOOKUP($A100,EnrollData2324,'2324 Jun 24 Enroll'!T$1,FALSE)+VLOOKUP($A100,EnrollData2324,'2324 Jun 24 Enroll'!U$1,FALSE))/Apport_613Xpd)*Apport_614Xpd,2)</f>
        <v>69.8</v>
      </c>
      <c r="AP100">
        <f t="shared" si="45"/>
        <v>12.1</v>
      </c>
      <c r="AQ100">
        <f t="shared" ref="AQ100:AQ163" si="46">ROUND((J100*Apport_581X)*(Apport_116X*Apport_132X),2)</f>
        <v>30.93</v>
      </c>
      <c r="AR100" s="6">
        <f>ROUND((VLOOKUP($A100,EnrollData2324,'2324 Jun 24 Enroll'!D$1,FALSE)*Apport_M802324+VLOOKUP($A100,EnrollData2324,'2324 Jun 24 Enroll'!M$1,FALSE)*Apport_M802324+(VLOOKUP($A100,EnrollData2324,'2324 Jun 24 Enroll'!P$1,FALSE)+VLOOKUP($A100,EnrollData2324,'2324 Jun 24 Enroll'!Q$1,FALSE)+VLOOKUP($A100,EnrollData2324,'2324 Jun 24 Enroll'!R$1,FALSE)+VLOOKUP($A100,EnrollData2324,'2324 Jun 24 Enroll'!I$1,FALSE)+VLOOKUP($A100,EnrollData2324,'2324 Jun 24 Enroll'!N$1,FALSE)+VLOOKUP($A100,EnrollData2324,'2324 Jun 24 Enroll'!O$1,FALSE)+VLOOKUP($A100,EnrollData2324,'2324 Jun 24 Enroll'!K$1,FALSE)+VLOOKUP($A100,EnrollData2324,'2324 Jun 24 Enroll'!L$1,FALSE))*Apport_M812324)/(VLOOKUP($A100,EnrollData2324,'2324 Jun 24 Enroll'!M$1,FALSE)+VLOOKUP($A100,EnrollData2324,'2324 Jun 24 Enroll'!D$1,FALSE)),2)</f>
        <v>1483.44</v>
      </c>
      <c r="AS100" s="7">
        <f t="shared" si="33"/>
        <v>9356.4699999999993</v>
      </c>
    </row>
    <row r="101" spans="1:45">
      <c r="A101" s="40" t="s">
        <v>596</v>
      </c>
      <c r="B101" s="40" t="s">
        <v>597</v>
      </c>
      <c r="C101" s="11">
        <f>ROUND((IFERROR((1/IF(VLOOKUP($A101,EnrollData2324,28,FALSE)='District Calculations'!$B$10,VLOOKUP($A101,EnrollData2324,28,FALSE),'District Calculations'!$B$10))*(1+Apport_Z315),0))+Apport_201A2324,6)</f>
        <v>7.3449E-2</v>
      </c>
      <c r="D101">
        <f>ROUND(IF(VLOOKUP($A101,EnrollData2324,'2324 Jun 24 Enroll'!D$1,FALSE)='District Calculations'!$B$11,VLOOKUP($A101,EnrollData2324,'2324 Jun 24 Enroll'!D$1,FALSE),'District Calculations'!$B$11)*C101,3)</f>
        <v>0</v>
      </c>
      <c r="E101">
        <f>ROUND(IF(VLOOKUP($A101,EnrollData2324,'2324 Jun 24 Enroll'!E$1,FALSE)='District Calculations'!$B$12,VLOOKUP($A101,EnrollData2324,'2324 Jun 24 Enroll'!E$1,FALSE),'District Calculations'!$B$12)*C101,3)</f>
        <v>59.53</v>
      </c>
      <c r="F101">
        <f>ROUND(IF(VLOOKUP($A101,EnrollData2324,'2324 Jun 24 Enroll'!F$1,FALSE)='District Calculations'!$B$13,VLOOKUP($A101,EnrollData2324,'2324 Jun 24 Enroll'!F$1,FALSE),'District Calculations'!$B$13)*Apport_222A2324,3)</f>
        <v>10.101000000000001</v>
      </c>
      <c r="G101">
        <f>ROUND(IF(VLOOKUP($A101,EnrollData2324,'2324 Jun 24 Enroll'!G$1,FALSE)='District Calculations'!$B$14,VLOOKUP($A101,EnrollData2324,'2324 Jun 24 Enroll'!G$1,FALSE),'District Calculations'!$B$14)*Apport_210A2324,3)</f>
        <v>22.395</v>
      </c>
      <c r="H101">
        <f>ROUND(IF(VLOOKUP($A101,EnrollData2324,'2324 Jun 24 Enroll'!H$1,FALSE)='District Calculations'!$B$15,VLOOKUP($A101,EnrollData2324,'2324 Jun 24 Enroll'!H$1,FALSE),'District Calculations'!$B$15)*Apport_213A2324,3)</f>
        <v>23.091999999999999</v>
      </c>
      <c r="I101">
        <f>ROUND(IF(VLOOKUP($A101,EnrollData2324,'2324 Jun 24 Enroll'!I$1,FALSE)+VLOOKUP($A101,EnrollData2324,'2324 Jun 24 Enroll'!M$1,FALSE)-VLOOKUP($A101,EnrollData2324,'2324 Jun 24 Enroll'!J$1,FALSE)='District Calculations'!$B$16+'District Calculations'!$B$25-'District Calculations'!$B$17,VLOOKUP($A101,EnrollData2324,'2324 Jun 24 Enroll'!I$1,FALSE)+VLOOKUP($A101,EnrollData2324,'2324 Jun 24 Enroll'!M$1,FALSE)-VLOOKUP($A101,EnrollData2324,'2324 Jun 24 Enroll'!J$1,FALSE),'District Calculations'!$B$16+'District Calculations'!$B$25-'District Calculations'!$B$17)*Apport_216A2324,3)</f>
        <v>58.183999999999997</v>
      </c>
      <c r="J101">
        <f>ROUND(SUM(D101:I101)/(IF(VLOOKUP($A101,EnrollData2324,'2324 Jun 24 Enroll'!M$1,FALSE)='District Calculations'!$B$25,VLOOKUP($A101,EnrollData2324,'2324 Jun 24 Enroll'!M$1,FALSE),'District Calculations'!$B$25)+IF(VLOOKUP($A101,EnrollData2324,'2324 Jun 24 Enroll'!D$1,FALSE)='District Calculations'!$B$11,VLOOKUP($A101,EnrollData2324,'2324 Jun 24 Enroll'!D$1,FALSE),'District Calculations'!$B$11)),5)</f>
        <v>5.5530000000000003E-2</v>
      </c>
      <c r="K101" s="11">
        <f t="shared" si="37"/>
        <v>4.365E-3</v>
      </c>
      <c r="L101">
        <f>ROUND(IF(VLOOKUP($A101,EnrollData2324,'2324 Jun 24 Enroll'!D$1,FALSE)='District Calculations'!$B$11,VLOOKUP($A101,EnrollData2324,'2324 Jun 24 Enroll'!D$1,FALSE),'District Calculations'!$B$11)*K101,3)</f>
        <v>0</v>
      </c>
      <c r="M101">
        <f>ROUND(IF(VLOOKUP($A101,EnrollData2324,'2324 Jun 24 Enroll'!E$1,FALSE)='District Calculations'!$B$12,VLOOKUP($A101,EnrollData2324,'2324 Jun 24 Enroll'!E$1,FALSE),'District Calculations'!$B$12)*K101,3)</f>
        <v>3.5379999999999998</v>
      </c>
      <c r="N101">
        <f>ROUND(IF(VLOOKUP($A101,EnrollData2324,'2324 Jun 24 Enroll'!F$1,FALSE)='District Calculations'!$B$13,VLOOKUP($A101,EnrollData2324,'2324 Jun 24 Enroll'!F$1,FALSE),'District Calculations'!$B$13)*Apport_223A2324,3)</f>
        <v>0.84199999999999997</v>
      </c>
      <c r="O101">
        <f>ROUND(IF(VLOOKUP($A101,EnrollData2324,'2324 Jun 24 Enroll'!G$1,FALSE)='District Calculations'!$B$14,VLOOKUP($A101,EnrollData2324,'2324 Jun 24 Enroll'!G$1,FALSE),'District Calculations'!$B$14)*Apport_211A2324,3)</f>
        <v>1.867</v>
      </c>
      <c r="P101">
        <f>ROUND(IF(VLOOKUP($A101,EnrollData2324,'2324 Jun 24 Enroll'!H$1,FALSE)='District Calculations'!$B$14,VLOOKUP($A101,EnrollData2324,'2324 Jun 24 Enroll'!H$1,FALSE),'District Calculations'!$B$14)*Apport_214A2324,3)</f>
        <v>1.8660000000000001</v>
      </c>
      <c r="Q101">
        <f>ROUND(IF(VLOOKUP($A101,EnrollData2324,'2324 Jun 24 Enroll'!I$1,FALSE)+VLOOKUP($A101,EnrollData2324,'2324 Jun 24 Enroll'!M$1,FALSE)-VLOOKUP($A101,EnrollData2324,'2324 Jun 24 Enroll'!J$1,FALSE)='District Calculations'!$B$16+'District Calculations'!$B$25-'District Calculations'!$B$17,VLOOKUP($A101,EnrollData2324,'2324 Jun 24 Enroll'!I$1,FALSE)+VLOOKUP($A101,EnrollData2324,'2324 Jun 24 Enroll'!M$1,FALSE)-VLOOKUP($A101,EnrollData2324,'2324 Jun 24 Enroll'!J$1,FALSE),'District Calculations'!$B$16+'District Calculations'!$B$25-'District Calculations'!$B$17)*Apport_217A2324,3)</f>
        <v>4.6980000000000004</v>
      </c>
      <c r="R101">
        <f>ROUND(SUM(L101:Q101)/IF(VLOOKUP($A101,EnrollData2324,'2324 Jun 24 Enroll'!M$1,FALSE)+VLOOKUP($A101,EnrollData2324,'2324 Jun 24 Enroll'!D$1,FALSE)='District Calculations'!$B$25+'District Calculations'!$B$11,VLOOKUP($A101,EnrollData2324,'2324 Jun 24 Enroll'!M$1,FALSE)+VLOOKUP($A101,EnrollData2324,'2324 Jun 24 Enroll'!D$1,FALSE),'District Calculations'!$B$25+'District Calculations'!$B$11),5)</f>
        <v>4.1000000000000003E-3</v>
      </c>
      <c r="S101" s="11">
        <f t="shared" si="38"/>
        <v>1.8294500000000002E-2</v>
      </c>
      <c r="T101">
        <f>ROUND(IF(VLOOKUP($A101,EnrollData2324,'2324 Jun 24 Enroll'!D$1,FALSE)='District Calculations'!$B$11,VLOOKUP($A101,EnrollData2324,'2324 Jun 24 Enroll'!D$1,FALSE),'District Calculations'!$B$11)*S101,3)</f>
        <v>0</v>
      </c>
      <c r="U101">
        <f>ROUND(IF(VLOOKUP($A101,EnrollData2324,'2324 Jun 24 Enroll'!E$1,FALSE)='District Calculations'!$B$12,VLOOKUP($A101,EnrollData2324,'2324 Jun 24 Enroll'!E$1,FALSE),'District Calculations'!$B$12)*S101,3)</f>
        <v>14.827999999999999</v>
      </c>
      <c r="V101">
        <f>ROUND(IF(VLOOKUP($A101,EnrollData2324,'2324 Jun 24 Enroll'!F$1,FALSE)='District Calculations'!$B$13,VLOOKUP($A101,EnrollData2324,'2324 Jun 24 Enroll'!F$1,FALSE),'District Calculations'!$B$13)*Apport_224A2324,3)</f>
        <v>3.6190000000000002</v>
      </c>
      <c r="W101">
        <f>ROUND(IF(VLOOKUP($A101,EnrollData2324,'2324 Jun 24 Enroll'!G$1,FALSE)='District Calculations'!$B$14,VLOOKUP($A101,EnrollData2324,'2324 Jun 24 Enroll'!G$1,FALSE),'District Calculations'!$B$14)*Apport_212A2324,3)</f>
        <v>8.0239999999999991</v>
      </c>
      <c r="X101">
        <f>ROUND(IF(VLOOKUP($A101,EnrollData2324,'2324 Jun 24 Enroll'!H$1,FALSE)='District Calculations'!$B$14,VLOOKUP($A101,EnrollData2324,'2324 Jun 24 Enroll'!H$1,FALSE),'District Calculations'!$B$14)*Apport_215A2324,3)</f>
        <v>7.9279999999999999</v>
      </c>
      <c r="Y101">
        <f>ROUND(IF(VLOOKUP($A101,EnrollData2324,'2324 Jun 24 Enroll'!I$1,FALSE)+VLOOKUP($A101,EnrollData2324,'2324 Jun 24 Enroll'!M$1,FALSE)-VLOOKUP($A101,EnrollData2324,'2324 Jun 24 Enroll'!J$1,FALSE)='District Calculations'!$B$16+'District Calculations'!$B$25-'District Calculations'!$B$17,VLOOKUP($A101,EnrollData2324,'2324 Jun 24 Enroll'!I$1,FALSE)+VLOOKUP($A101,EnrollData2324,'2324 Jun 24 Enroll'!M$1,FALSE)-VLOOKUP($A101,EnrollData2324,'2324 Jun 24 Enroll'!J$1,FALSE),'District Calculations'!$B$16+'District Calculations'!$B$25-'District Calculations'!$B$17)*Apport_218A2324,3)</f>
        <v>19.917999999999999</v>
      </c>
      <c r="Z101">
        <f>ROUND(SUM(T101:Y101)/IF(VLOOKUP($A101,EnrollData2324,'2324 Jun 24 Enroll'!M$1,FALSE)+VLOOKUP($A101,EnrollData2324,'2324 Jun 24 Enroll'!D$1,FALSE)='District Calculations'!$B$25+'District Calculations'!$B$11,VLOOKUP($A101,EnrollData2324,'2324 Jun 24 Enroll'!M$1,FALSE)+VLOOKUP($A101,EnrollData2324,'2324 Jun 24 Enroll'!D$1,FALSE),'District Calculations'!$B$25+'District Calculations'!$B$11),5)</f>
        <v>1.7399999999999999E-2</v>
      </c>
      <c r="AA101" s="6">
        <f>ROUND($J101*CIS_Base_Salary2324*VLOOKUP($A101,EnrollData2324,'2324 Jun 24 Enroll'!S$1,FALSE),2)</f>
        <v>4038.59</v>
      </c>
      <c r="AB101" s="6">
        <f>ROUND($J101*CIS_Inc_Salary2324*(VLOOKUP($A101,EnrollData2324,'2324 Jun 24 Enroll'!T$1,FALSE)+VLOOKUP($A101,EnrollData2324,'2324 Jun 24 Enroll'!U$1,FALSE)),2)-AA101</f>
        <v>316.94999999999982</v>
      </c>
      <c r="AC101" s="6">
        <f>ROUND($R101*CAS_Base_Salary2324*VLOOKUP($A101,EnrollData2324,'2324 Jun 24 Enroll'!S$1,FALSE),2)</f>
        <v>442.62</v>
      </c>
      <c r="AD101" s="6">
        <f>ROUND($R101*CAS_Inc_Salary2324*VLOOKUP($A101,EnrollData2324,'2324 Jun 24 Enroll'!T$1,FALSE),2)-AC101</f>
        <v>16.379999999999995</v>
      </c>
      <c r="AE101" s="6">
        <f>ROUND($Z101*CLS_Base_Salary2324*VLOOKUP($A101,EnrollData2324,'2324 Jun 24 Enroll'!S$1,FALSE),2)</f>
        <v>907.81</v>
      </c>
      <c r="AF101" s="6">
        <f>ROUND($Z101*CLS_Inc_Salary2324*VLOOKUP($A101,EnrollData2324,'2324 Jun 24 Enroll'!T$1,FALSE),2)-AE101</f>
        <v>33.580000000000041</v>
      </c>
      <c r="AG101">
        <f t="shared" si="35"/>
        <v>734.16</v>
      </c>
      <c r="AH101" s="69">
        <f t="shared" si="39"/>
        <v>68.700000000000045</v>
      </c>
      <c r="AI101">
        <f t="shared" si="36"/>
        <v>214.23</v>
      </c>
      <c r="AJ101">
        <f t="shared" si="40"/>
        <v>114.21000000000001</v>
      </c>
      <c r="AK101">
        <f t="shared" si="41"/>
        <v>805.27</v>
      </c>
      <c r="AL101">
        <f t="shared" si="42"/>
        <v>57.77</v>
      </c>
      <c r="AM101">
        <f t="shared" si="43"/>
        <v>200.26</v>
      </c>
      <c r="AN101">
        <f t="shared" si="44"/>
        <v>6.23</v>
      </c>
      <c r="AO101">
        <f>ROUND(($J101*CIS_Inc_Salary2324*(VLOOKUP($A101,EnrollData2324,'2324 Jun 24 Enroll'!T$1,FALSE)+VLOOKUP($A101,EnrollData2324,'2324 Jun 24 Enroll'!U$1,FALSE))/Apport_613Xpd)*Apport_614Xpd,2)</f>
        <v>72.59</v>
      </c>
      <c r="AP101">
        <f t="shared" si="45"/>
        <v>12.58</v>
      </c>
      <c r="AQ101">
        <f t="shared" si="46"/>
        <v>30.93</v>
      </c>
      <c r="AR101" s="6">
        <f>ROUND((VLOOKUP($A101,EnrollData2324,'2324 Jun 24 Enroll'!D$1,FALSE)*Apport_M802324+VLOOKUP($A101,EnrollData2324,'2324 Jun 24 Enroll'!M$1,FALSE)*Apport_M802324+(VLOOKUP($A101,EnrollData2324,'2324 Jun 24 Enroll'!P$1,FALSE)+VLOOKUP($A101,EnrollData2324,'2324 Jun 24 Enroll'!Q$1,FALSE)+VLOOKUP($A101,EnrollData2324,'2324 Jun 24 Enroll'!R$1,FALSE)+VLOOKUP($A101,EnrollData2324,'2324 Jun 24 Enroll'!I$1,FALSE)+VLOOKUP($A101,EnrollData2324,'2324 Jun 24 Enroll'!N$1,FALSE)+VLOOKUP($A101,EnrollData2324,'2324 Jun 24 Enroll'!O$1,FALSE)+VLOOKUP($A101,EnrollData2324,'2324 Jun 24 Enroll'!K$1,FALSE)+VLOOKUP($A101,EnrollData2324,'2324 Jun 24 Enroll'!L$1,FALSE))*Apport_M812324)/(VLOOKUP($A101,EnrollData2324,'2324 Jun 24 Enroll'!M$1,FALSE)+VLOOKUP($A101,EnrollData2324,'2324 Jun 24 Enroll'!D$1,FALSE)),2)</f>
        <v>1548.65</v>
      </c>
      <c r="AS101" s="7">
        <f t="shared" ref="AS101:AS165" si="47">SUM(AA101:AR101)</f>
        <v>9621.51</v>
      </c>
    </row>
    <row r="102" spans="1:45">
      <c r="A102" s="40" t="s">
        <v>446</v>
      </c>
      <c r="B102" s="40" t="s">
        <v>447</v>
      </c>
      <c r="C102" s="11">
        <f>ROUND((IFERROR((1/IF(VLOOKUP($A102,EnrollData2324,28,FALSE)='District Calculations'!$B$10,VLOOKUP($A102,EnrollData2324,28,FALSE),'District Calculations'!$B$10))*(1+Apport_Z315),0))+Apport_201A2324,6)</f>
        <v>7.3449E-2</v>
      </c>
      <c r="D102">
        <f>ROUND(IF(VLOOKUP($A102,EnrollData2324,'2324 Jun 24 Enroll'!D$1,FALSE)='District Calculations'!$B$11,VLOOKUP($A102,EnrollData2324,'2324 Jun 24 Enroll'!D$1,FALSE),'District Calculations'!$B$11)*C102,3)</f>
        <v>0</v>
      </c>
      <c r="E102">
        <f>ROUND(IF(VLOOKUP($A102,EnrollData2324,'2324 Jun 24 Enroll'!E$1,FALSE)='District Calculations'!$B$12,VLOOKUP($A102,EnrollData2324,'2324 Jun 24 Enroll'!E$1,FALSE),'District Calculations'!$B$12)*C102,3)</f>
        <v>59.53</v>
      </c>
      <c r="F102">
        <f>ROUND(IF(VLOOKUP($A102,EnrollData2324,'2324 Jun 24 Enroll'!F$1,FALSE)='District Calculations'!$B$13,VLOOKUP($A102,EnrollData2324,'2324 Jun 24 Enroll'!F$1,FALSE),'District Calculations'!$B$13)*Apport_222A2324,3)</f>
        <v>10.101000000000001</v>
      </c>
      <c r="G102">
        <f>ROUND(IF(VLOOKUP($A102,EnrollData2324,'2324 Jun 24 Enroll'!G$1,FALSE)='District Calculations'!$B$14,VLOOKUP($A102,EnrollData2324,'2324 Jun 24 Enroll'!G$1,FALSE),'District Calculations'!$B$14)*Apport_210A2324,3)</f>
        <v>22.395</v>
      </c>
      <c r="H102">
        <f>ROUND(IF(VLOOKUP($A102,EnrollData2324,'2324 Jun 24 Enroll'!H$1,FALSE)='District Calculations'!$B$15,VLOOKUP($A102,EnrollData2324,'2324 Jun 24 Enroll'!H$1,FALSE),'District Calculations'!$B$15)*Apport_213A2324,3)</f>
        <v>23.091999999999999</v>
      </c>
      <c r="I102">
        <f>ROUND(IF(VLOOKUP($A102,EnrollData2324,'2324 Jun 24 Enroll'!I$1,FALSE)+VLOOKUP($A102,EnrollData2324,'2324 Jun 24 Enroll'!M$1,FALSE)-VLOOKUP($A102,EnrollData2324,'2324 Jun 24 Enroll'!J$1,FALSE)='District Calculations'!$B$16+'District Calculations'!$B$25-'District Calculations'!$B$17,VLOOKUP($A102,EnrollData2324,'2324 Jun 24 Enroll'!I$1,FALSE)+VLOOKUP($A102,EnrollData2324,'2324 Jun 24 Enroll'!M$1,FALSE)-VLOOKUP($A102,EnrollData2324,'2324 Jun 24 Enroll'!J$1,FALSE),'District Calculations'!$B$16+'District Calculations'!$B$25-'District Calculations'!$B$17)*Apport_216A2324,3)</f>
        <v>58.183999999999997</v>
      </c>
      <c r="J102">
        <f>ROUND(SUM(D102:I102)/(IF(VLOOKUP($A102,EnrollData2324,'2324 Jun 24 Enroll'!M$1,FALSE)='District Calculations'!$B$25,VLOOKUP($A102,EnrollData2324,'2324 Jun 24 Enroll'!M$1,FALSE),'District Calculations'!$B$25)+IF(VLOOKUP($A102,EnrollData2324,'2324 Jun 24 Enroll'!D$1,FALSE)='District Calculations'!$B$11,VLOOKUP($A102,EnrollData2324,'2324 Jun 24 Enroll'!D$1,FALSE),'District Calculations'!$B$11)),5)</f>
        <v>5.5530000000000003E-2</v>
      </c>
      <c r="K102" s="11">
        <f t="shared" si="37"/>
        <v>4.365E-3</v>
      </c>
      <c r="L102">
        <f>ROUND(IF(VLOOKUP($A102,EnrollData2324,'2324 Jun 24 Enroll'!D$1,FALSE)='District Calculations'!$B$11,VLOOKUP($A102,EnrollData2324,'2324 Jun 24 Enroll'!D$1,FALSE),'District Calculations'!$B$11)*K102,3)</f>
        <v>0</v>
      </c>
      <c r="M102">
        <f>ROUND(IF(VLOOKUP($A102,EnrollData2324,'2324 Jun 24 Enroll'!E$1,FALSE)='District Calculations'!$B$12,VLOOKUP($A102,EnrollData2324,'2324 Jun 24 Enroll'!E$1,FALSE),'District Calculations'!$B$12)*K102,3)</f>
        <v>3.5379999999999998</v>
      </c>
      <c r="N102">
        <f>ROUND(IF(VLOOKUP($A102,EnrollData2324,'2324 Jun 24 Enroll'!F$1,FALSE)='District Calculations'!$B$13,VLOOKUP($A102,EnrollData2324,'2324 Jun 24 Enroll'!F$1,FALSE),'District Calculations'!$B$13)*Apport_223A2324,3)</f>
        <v>0.84199999999999997</v>
      </c>
      <c r="O102">
        <f>ROUND(IF(VLOOKUP($A102,EnrollData2324,'2324 Jun 24 Enroll'!G$1,FALSE)='District Calculations'!$B$14,VLOOKUP($A102,EnrollData2324,'2324 Jun 24 Enroll'!G$1,FALSE),'District Calculations'!$B$14)*Apport_211A2324,3)</f>
        <v>1.867</v>
      </c>
      <c r="P102">
        <f>ROUND(IF(VLOOKUP($A102,EnrollData2324,'2324 Jun 24 Enroll'!H$1,FALSE)='District Calculations'!$B$14,VLOOKUP($A102,EnrollData2324,'2324 Jun 24 Enroll'!H$1,FALSE),'District Calculations'!$B$14)*Apport_214A2324,3)</f>
        <v>1.8660000000000001</v>
      </c>
      <c r="Q102">
        <f>ROUND(IF(VLOOKUP($A102,EnrollData2324,'2324 Jun 24 Enroll'!I$1,FALSE)+VLOOKUP($A102,EnrollData2324,'2324 Jun 24 Enroll'!M$1,FALSE)-VLOOKUP($A102,EnrollData2324,'2324 Jun 24 Enroll'!J$1,FALSE)='District Calculations'!$B$16+'District Calculations'!$B$25-'District Calculations'!$B$17,VLOOKUP($A102,EnrollData2324,'2324 Jun 24 Enroll'!I$1,FALSE)+VLOOKUP($A102,EnrollData2324,'2324 Jun 24 Enroll'!M$1,FALSE)-VLOOKUP($A102,EnrollData2324,'2324 Jun 24 Enroll'!J$1,FALSE),'District Calculations'!$B$16+'District Calculations'!$B$25-'District Calculations'!$B$17)*Apport_217A2324,3)</f>
        <v>4.6980000000000004</v>
      </c>
      <c r="R102">
        <f>ROUND(SUM(L102:Q102)/IF(VLOOKUP($A102,EnrollData2324,'2324 Jun 24 Enroll'!M$1,FALSE)+VLOOKUP($A102,EnrollData2324,'2324 Jun 24 Enroll'!D$1,FALSE)='District Calculations'!$B$25+'District Calculations'!$B$11,VLOOKUP($A102,EnrollData2324,'2324 Jun 24 Enroll'!M$1,FALSE)+VLOOKUP($A102,EnrollData2324,'2324 Jun 24 Enroll'!D$1,FALSE),'District Calculations'!$B$25+'District Calculations'!$B$11),5)</f>
        <v>4.1000000000000003E-3</v>
      </c>
      <c r="S102" s="11">
        <f t="shared" si="38"/>
        <v>1.8294500000000002E-2</v>
      </c>
      <c r="T102">
        <f>ROUND(IF(VLOOKUP($A102,EnrollData2324,'2324 Jun 24 Enroll'!D$1,FALSE)='District Calculations'!$B$11,VLOOKUP($A102,EnrollData2324,'2324 Jun 24 Enroll'!D$1,FALSE),'District Calculations'!$B$11)*S102,3)</f>
        <v>0</v>
      </c>
      <c r="U102">
        <f>ROUND(IF(VLOOKUP($A102,EnrollData2324,'2324 Jun 24 Enroll'!E$1,FALSE)='District Calculations'!$B$12,VLOOKUP($A102,EnrollData2324,'2324 Jun 24 Enroll'!E$1,FALSE),'District Calculations'!$B$12)*S102,3)</f>
        <v>14.827999999999999</v>
      </c>
      <c r="V102">
        <f>ROUND(IF(VLOOKUP($A102,EnrollData2324,'2324 Jun 24 Enroll'!F$1,FALSE)='District Calculations'!$B$13,VLOOKUP($A102,EnrollData2324,'2324 Jun 24 Enroll'!F$1,FALSE),'District Calculations'!$B$13)*Apport_224A2324,3)</f>
        <v>3.6190000000000002</v>
      </c>
      <c r="W102">
        <f>ROUND(IF(VLOOKUP($A102,EnrollData2324,'2324 Jun 24 Enroll'!G$1,FALSE)='District Calculations'!$B$14,VLOOKUP($A102,EnrollData2324,'2324 Jun 24 Enroll'!G$1,FALSE),'District Calculations'!$B$14)*Apport_212A2324,3)</f>
        <v>8.0239999999999991</v>
      </c>
      <c r="X102">
        <f>ROUND(IF(VLOOKUP($A102,EnrollData2324,'2324 Jun 24 Enroll'!H$1,FALSE)='District Calculations'!$B$14,VLOOKUP($A102,EnrollData2324,'2324 Jun 24 Enroll'!H$1,FALSE),'District Calculations'!$B$14)*Apport_215A2324,3)</f>
        <v>7.9279999999999999</v>
      </c>
      <c r="Y102">
        <f>ROUND(IF(VLOOKUP($A102,EnrollData2324,'2324 Jun 24 Enroll'!I$1,FALSE)+VLOOKUP($A102,EnrollData2324,'2324 Jun 24 Enroll'!M$1,FALSE)-VLOOKUP($A102,EnrollData2324,'2324 Jun 24 Enroll'!J$1,FALSE)='District Calculations'!$B$16+'District Calculations'!$B$25-'District Calculations'!$B$17,VLOOKUP($A102,EnrollData2324,'2324 Jun 24 Enroll'!I$1,FALSE)+VLOOKUP($A102,EnrollData2324,'2324 Jun 24 Enroll'!M$1,FALSE)-VLOOKUP($A102,EnrollData2324,'2324 Jun 24 Enroll'!J$1,FALSE),'District Calculations'!$B$16+'District Calculations'!$B$25-'District Calculations'!$B$17)*Apport_218A2324,3)</f>
        <v>19.917999999999999</v>
      </c>
      <c r="Z102">
        <f>ROUND(SUM(T102:Y102)/IF(VLOOKUP($A102,EnrollData2324,'2324 Jun 24 Enroll'!M$1,FALSE)+VLOOKUP($A102,EnrollData2324,'2324 Jun 24 Enroll'!D$1,FALSE)='District Calculations'!$B$25+'District Calculations'!$B$11,VLOOKUP($A102,EnrollData2324,'2324 Jun 24 Enroll'!M$1,FALSE)+VLOOKUP($A102,EnrollData2324,'2324 Jun 24 Enroll'!D$1,FALSE),'District Calculations'!$B$25+'District Calculations'!$B$11),5)</f>
        <v>1.7399999999999999E-2</v>
      </c>
      <c r="AA102" s="6">
        <f>ROUND($J102*CIS_Base_Salary2324*VLOOKUP($A102,EnrollData2324,'2324 Jun 24 Enroll'!S$1,FALSE),2)</f>
        <v>4038.59</v>
      </c>
      <c r="AB102" s="6">
        <f>ROUND($J102*CIS_Inc_Salary2324*(VLOOKUP($A102,EnrollData2324,'2324 Jun 24 Enroll'!T$1,FALSE)+VLOOKUP($A102,EnrollData2324,'2324 Jun 24 Enroll'!U$1,FALSE)),2)-AA102</f>
        <v>233.1899999999996</v>
      </c>
      <c r="AC102" s="6">
        <f>ROUND($R102*CAS_Base_Salary2324*VLOOKUP($A102,EnrollData2324,'2324 Jun 24 Enroll'!S$1,FALSE),2)</f>
        <v>442.62</v>
      </c>
      <c r="AD102" s="6">
        <f>ROUND($R102*CAS_Inc_Salary2324*VLOOKUP($A102,EnrollData2324,'2324 Jun 24 Enroll'!T$1,FALSE),2)-AC102</f>
        <v>16.379999999999995</v>
      </c>
      <c r="AE102" s="6">
        <f>ROUND($Z102*CLS_Base_Salary2324*VLOOKUP($A102,EnrollData2324,'2324 Jun 24 Enroll'!S$1,FALSE),2)</f>
        <v>907.81</v>
      </c>
      <c r="AF102" s="6">
        <f>ROUND($Z102*CLS_Inc_Salary2324*VLOOKUP($A102,EnrollData2324,'2324 Jun 24 Enroll'!T$1,FALSE),2)-AE102</f>
        <v>33.580000000000041</v>
      </c>
      <c r="AG102">
        <f t="shared" si="35"/>
        <v>734.16</v>
      </c>
      <c r="AH102" s="69">
        <f t="shared" si="39"/>
        <v>68.700000000000045</v>
      </c>
      <c r="AI102">
        <f t="shared" si="36"/>
        <v>214.23</v>
      </c>
      <c r="AJ102">
        <f t="shared" si="40"/>
        <v>114.21000000000001</v>
      </c>
      <c r="AK102">
        <f t="shared" si="41"/>
        <v>805.27</v>
      </c>
      <c r="AL102">
        <f t="shared" si="42"/>
        <v>43.25</v>
      </c>
      <c r="AM102">
        <f t="shared" si="43"/>
        <v>200.26</v>
      </c>
      <c r="AN102">
        <f t="shared" si="44"/>
        <v>6.23</v>
      </c>
      <c r="AO102">
        <f>ROUND(($J102*CIS_Inc_Salary2324*(VLOOKUP($A102,EnrollData2324,'2324 Jun 24 Enroll'!T$1,FALSE)+VLOOKUP($A102,EnrollData2324,'2324 Jun 24 Enroll'!U$1,FALSE))/Apport_613Xpd)*Apport_614Xpd,2)</f>
        <v>71.2</v>
      </c>
      <c r="AP102">
        <f t="shared" si="45"/>
        <v>12.34</v>
      </c>
      <c r="AQ102">
        <f t="shared" si="46"/>
        <v>30.93</v>
      </c>
      <c r="AR102" s="6">
        <f>ROUND((VLOOKUP($A102,EnrollData2324,'2324 Jun 24 Enroll'!D$1,FALSE)*Apport_M802324+VLOOKUP($A102,EnrollData2324,'2324 Jun 24 Enroll'!M$1,FALSE)*Apport_M802324+(VLOOKUP($A102,EnrollData2324,'2324 Jun 24 Enroll'!P$1,FALSE)+VLOOKUP($A102,EnrollData2324,'2324 Jun 24 Enroll'!Q$1,FALSE)+VLOOKUP($A102,EnrollData2324,'2324 Jun 24 Enroll'!R$1,FALSE)+VLOOKUP($A102,EnrollData2324,'2324 Jun 24 Enroll'!I$1,FALSE)+VLOOKUP($A102,EnrollData2324,'2324 Jun 24 Enroll'!N$1,FALSE)+VLOOKUP($A102,EnrollData2324,'2324 Jun 24 Enroll'!O$1,FALSE)+VLOOKUP($A102,EnrollData2324,'2324 Jun 24 Enroll'!K$1,FALSE)+VLOOKUP($A102,EnrollData2324,'2324 Jun 24 Enroll'!L$1,FALSE))*Apport_M812324)/(VLOOKUP($A102,EnrollData2324,'2324 Jun 24 Enroll'!M$1,FALSE)+VLOOKUP($A102,EnrollData2324,'2324 Jun 24 Enroll'!D$1,FALSE)),2)</f>
        <v>1561.19</v>
      </c>
      <c r="AS102" s="7">
        <f t="shared" si="47"/>
        <v>9534.14</v>
      </c>
    </row>
    <row r="103" spans="1:45">
      <c r="A103" s="40" t="s">
        <v>811</v>
      </c>
      <c r="B103" s="40" t="s">
        <v>812</v>
      </c>
      <c r="C103" s="11">
        <f>ROUND((IFERROR((1/IF(VLOOKUP($A103,EnrollData2324,28,FALSE)='District Calculations'!$B$10,VLOOKUP($A103,EnrollData2324,28,FALSE),'District Calculations'!$B$10))*(1+Apport_Z315),0))+Apport_201A2324,6)</f>
        <v>7.3449E-2</v>
      </c>
      <c r="D103">
        <f>ROUND(IF(VLOOKUP($A103,EnrollData2324,'2324 Jun 24 Enroll'!D$1,FALSE)='District Calculations'!$B$11,VLOOKUP($A103,EnrollData2324,'2324 Jun 24 Enroll'!D$1,FALSE),'District Calculations'!$B$11)*C103,3)</f>
        <v>0</v>
      </c>
      <c r="E103">
        <f>ROUND(IF(VLOOKUP($A103,EnrollData2324,'2324 Jun 24 Enroll'!E$1,FALSE)='District Calculations'!$B$12,VLOOKUP($A103,EnrollData2324,'2324 Jun 24 Enroll'!E$1,FALSE),'District Calculations'!$B$12)*C103,3)</f>
        <v>59.53</v>
      </c>
      <c r="F103">
        <f>ROUND(IF(VLOOKUP($A103,EnrollData2324,'2324 Jun 24 Enroll'!F$1,FALSE)='District Calculations'!$B$13,VLOOKUP($A103,EnrollData2324,'2324 Jun 24 Enroll'!F$1,FALSE),'District Calculations'!$B$13)*Apport_222A2324,3)</f>
        <v>10.101000000000001</v>
      </c>
      <c r="G103">
        <f>ROUND(IF(VLOOKUP($A103,EnrollData2324,'2324 Jun 24 Enroll'!G$1,FALSE)='District Calculations'!$B$14,VLOOKUP($A103,EnrollData2324,'2324 Jun 24 Enroll'!G$1,FALSE),'District Calculations'!$B$14)*Apport_210A2324,3)</f>
        <v>22.395</v>
      </c>
      <c r="H103">
        <f>ROUND(IF(VLOOKUP($A103,EnrollData2324,'2324 Jun 24 Enroll'!H$1,FALSE)='District Calculations'!$B$15,VLOOKUP($A103,EnrollData2324,'2324 Jun 24 Enroll'!H$1,FALSE),'District Calculations'!$B$15)*Apport_213A2324,3)</f>
        <v>23.091999999999999</v>
      </c>
      <c r="I103">
        <f>ROUND(IF(VLOOKUP($A103,EnrollData2324,'2324 Jun 24 Enroll'!I$1,FALSE)+VLOOKUP($A103,EnrollData2324,'2324 Jun 24 Enroll'!M$1,FALSE)-VLOOKUP($A103,EnrollData2324,'2324 Jun 24 Enroll'!J$1,FALSE)='District Calculations'!$B$16+'District Calculations'!$B$25-'District Calculations'!$B$17,VLOOKUP($A103,EnrollData2324,'2324 Jun 24 Enroll'!I$1,FALSE)+VLOOKUP($A103,EnrollData2324,'2324 Jun 24 Enroll'!M$1,FALSE)-VLOOKUP($A103,EnrollData2324,'2324 Jun 24 Enroll'!J$1,FALSE),'District Calculations'!$B$16+'District Calculations'!$B$25-'District Calculations'!$B$17)*Apport_216A2324,3)</f>
        <v>58.183999999999997</v>
      </c>
      <c r="J103">
        <f>ROUND(SUM(D103:I103)/(IF(VLOOKUP($A103,EnrollData2324,'2324 Jun 24 Enroll'!M$1,FALSE)='District Calculations'!$B$25,VLOOKUP($A103,EnrollData2324,'2324 Jun 24 Enroll'!M$1,FALSE),'District Calculations'!$B$25)+IF(VLOOKUP($A103,EnrollData2324,'2324 Jun 24 Enroll'!D$1,FALSE)='District Calculations'!$B$11,VLOOKUP($A103,EnrollData2324,'2324 Jun 24 Enroll'!D$1,FALSE),'District Calculations'!$B$11)),5)</f>
        <v>5.5530000000000003E-2</v>
      </c>
      <c r="K103" s="11">
        <f t="shared" si="37"/>
        <v>4.365E-3</v>
      </c>
      <c r="L103">
        <f>ROUND(IF(VLOOKUP($A103,EnrollData2324,'2324 Jun 24 Enroll'!D$1,FALSE)='District Calculations'!$B$11,VLOOKUP($A103,EnrollData2324,'2324 Jun 24 Enroll'!D$1,FALSE),'District Calculations'!$B$11)*K103,3)</f>
        <v>0</v>
      </c>
      <c r="M103">
        <f>ROUND(IF(VLOOKUP($A103,EnrollData2324,'2324 Jun 24 Enroll'!E$1,FALSE)='District Calculations'!$B$12,VLOOKUP($A103,EnrollData2324,'2324 Jun 24 Enroll'!E$1,FALSE),'District Calculations'!$B$12)*K103,3)</f>
        <v>3.5379999999999998</v>
      </c>
      <c r="N103">
        <f>ROUND(IF(VLOOKUP($A103,EnrollData2324,'2324 Jun 24 Enroll'!F$1,FALSE)='District Calculations'!$B$13,VLOOKUP($A103,EnrollData2324,'2324 Jun 24 Enroll'!F$1,FALSE),'District Calculations'!$B$13)*Apport_223A2324,3)</f>
        <v>0.84199999999999997</v>
      </c>
      <c r="O103">
        <f>ROUND(IF(VLOOKUP($A103,EnrollData2324,'2324 Jun 24 Enroll'!G$1,FALSE)='District Calculations'!$B$14,VLOOKUP($A103,EnrollData2324,'2324 Jun 24 Enroll'!G$1,FALSE),'District Calculations'!$B$14)*Apport_211A2324,3)</f>
        <v>1.867</v>
      </c>
      <c r="P103">
        <f>ROUND(IF(VLOOKUP($A103,EnrollData2324,'2324 Jun 24 Enroll'!H$1,FALSE)='District Calculations'!$B$14,VLOOKUP($A103,EnrollData2324,'2324 Jun 24 Enroll'!H$1,FALSE),'District Calculations'!$B$14)*Apport_214A2324,3)</f>
        <v>1.8660000000000001</v>
      </c>
      <c r="Q103">
        <f>ROUND(IF(VLOOKUP($A103,EnrollData2324,'2324 Jun 24 Enroll'!I$1,FALSE)+VLOOKUP($A103,EnrollData2324,'2324 Jun 24 Enroll'!M$1,FALSE)-VLOOKUP($A103,EnrollData2324,'2324 Jun 24 Enroll'!J$1,FALSE)='District Calculations'!$B$16+'District Calculations'!$B$25-'District Calculations'!$B$17,VLOOKUP($A103,EnrollData2324,'2324 Jun 24 Enroll'!I$1,FALSE)+VLOOKUP($A103,EnrollData2324,'2324 Jun 24 Enroll'!M$1,FALSE)-VLOOKUP($A103,EnrollData2324,'2324 Jun 24 Enroll'!J$1,FALSE),'District Calculations'!$B$16+'District Calculations'!$B$25-'District Calculations'!$B$17)*Apport_217A2324,3)</f>
        <v>4.6980000000000004</v>
      </c>
      <c r="R103">
        <f>ROUND(SUM(L103:Q103)/IF(VLOOKUP($A103,EnrollData2324,'2324 Jun 24 Enroll'!M$1,FALSE)+VLOOKUP($A103,EnrollData2324,'2324 Jun 24 Enroll'!D$1,FALSE)='District Calculations'!$B$25+'District Calculations'!$B$11,VLOOKUP($A103,EnrollData2324,'2324 Jun 24 Enroll'!M$1,FALSE)+VLOOKUP($A103,EnrollData2324,'2324 Jun 24 Enroll'!D$1,FALSE),'District Calculations'!$B$25+'District Calculations'!$B$11),5)</f>
        <v>4.1000000000000003E-3</v>
      </c>
      <c r="S103" s="11">
        <f t="shared" si="38"/>
        <v>1.8294500000000002E-2</v>
      </c>
      <c r="T103">
        <f>ROUND(IF(VLOOKUP($A103,EnrollData2324,'2324 Jun 24 Enroll'!D$1,FALSE)='District Calculations'!$B$11,VLOOKUP($A103,EnrollData2324,'2324 Jun 24 Enroll'!D$1,FALSE),'District Calculations'!$B$11)*S103,3)</f>
        <v>0</v>
      </c>
      <c r="U103">
        <f>ROUND(IF(VLOOKUP($A103,EnrollData2324,'2324 Jun 24 Enroll'!E$1,FALSE)='District Calculations'!$B$12,VLOOKUP($A103,EnrollData2324,'2324 Jun 24 Enroll'!E$1,FALSE),'District Calculations'!$B$12)*S103,3)</f>
        <v>14.827999999999999</v>
      </c>
      <c r="V103">
        <f>ROUND(IF(VLOOKUP($A103,EnrollData2324,'2324 Jun 24 Enroll'!F$1,FALSE)='District Calculations'!$B$13,VLOOKUP($A103,EnrollData2324,'2324 Jun 24 Enroll'!F$1,FALSE),'District Calculations'!$B$13)*Apport_224A2324,3)</f>
        <v>3.6190000000000002</v>
      </c>
      <c r="W103">
        <f>ROUND(IF(VLOOKUP($A103,EnrollData2324,'2324 Jun 24 Enroll'!G$1,FALSE)='District Calculations'!$B$14,VLOOKUP($A103,EnrollData2324,'2324 Jun 24 Enroll'!G$1,FALSE),'District Calculations'!$B$14)*Apport_212A2324,3)</f>
        <v>8.0239999999999991</v>
      </c>
      <c r="X103">
        <f>ROUND(IF(VLOOKUP($A103,EnrollData2324,'2324 Jun 24 Enroll'!H$1,FALSE)='District Calculations'!$B$14,VLOOKUP($A103,EnrollData2324,'2324 Jun 24 Enroll'!H$1,FALSE),'District Calculations'!$B$14)*Apport_215A2324,3)</f>
        <v>7.9279999999999999</v>
      </c>
      <c r="Y103">
        <f>ROUND(IF(VLOOKUP($A103,EnrollData2324,'2324 Jun 24 Enroll'!I$1,FALSE)+VLOOKUP($A103,EnrollData2324,'2324 Jun 24 Enroll'!M$1,FALSE)-VLOOKUP($A103,EnrollData2324,'2324 Jun 24 Enroll'!J$1,FALSE)='District Calculations'!$B$16+'District Calculations'!$B$25-'District Calculations'!$B$17,VLOOKUP($A103,EnrollData2324,'2324 Jun 24 Enroll'!I$1,FALSE)+VLOOKUP($A103,EnrollData2324,'2324 Jun 24 Enroll'!M$1,FALSE)-VLOOKUP($A103,EnrollData2324,'2324 Jun 24 Enroll'!J$1,FALSE),'District Calculations'!$B$16+'District Calculations'!$B$25-'District Calculations'!$B$17)*Apport_218A2324,3)</f>
        <v>19.917999999999999</v>
      </c>
      <c r="Z103">
        <f>ROUND(SUM(T103:Y103)/IF(VLOOKUP($A103,EnrollData2324,'2324 Jun 24 Enroll'!M$1,FALSE)+VLOOKUP($A103,EnrollData2324,'2324 Jun 24 Enroll'!D$1,FALSE)='District Calculations'!$B$25+'District Calculations'!$B$11,VLOOKUP($A103,EnrollData2324,'2324 Jun 24 Enroll'!M$1,FALSE)+VLOOKUP($A103,EnrollData2324,'2324 Jun 24 Enroll'!D$1,FALSE),'District Calculations'!$B$25+'District Calculations'!$B$11),5)</f>
        <v>1.7399999999999999E-2</v>
      </c>
      <c r="AA103" s="6">
        <f>ROUND($J103*CIS_Base_Salary2324*VLOOKUP($A103,EnrollData2324,'2324 Jun 24 Enroll'!S$1,FALSE),2)</f>
        <v>4038.59</v>
      </c>
      <c r="AB103" s="6">
        <f>ROUND($J103*CIS_Inc_Salary2324*(VLOOKUP($A103,EnrollData2324,'2324 Jun 24 Enroll'!T$1,FALSE)+VLOOKUP($A103,EnrollData2324,'2324 Jun 24 Enroll'!U$1,FALSE)),2)-AA103</f>
        <v>149.43000000000029</v>
      </c>
      <c r="AC103" s="6">
        <f>ROUND($R103*CAS_Base_Salary2324*VLOOKUP($A103,EnrollData2324,'2324 Jun 24 Enroll'!S$1,FALSE),2)</f>
        <v>442.62</v>
      </c>
      <c r="AD103" s="6">
        <f>ROUND($R103*CAS_Inc_Salary2324*VLOOKUP($A103,EnrollData2324,'2324 Jun 24 Enroll'!T$1,FALSE),2)-AC103</f>
        <v>16.379999999999995</v>
      </c>
      <c r="AE103" s="6">
        <f>ROUND($Z103*CLS_Base_Salary2324*VLOOKUP($A103,EnrollData2324,'2324 Jun 24 Enroll'!S$1,FALSE),2)</f>
        <v>907.81</v>
      </c>
      <c r="AF103" s="6">
        <f>ROUND($Z103*CLS_Inc_Salary2324*VLOOKUP($A103,EnrollData2324,'2324 Jun 24 Enroll'!T$1,FALSE),2)-AE103</f>
        <v>33.580000000000041</v>
      </c>
      <c r="AG103">
        <f t="shared" si="35"/>
        <v>734.16</v>
      </c>
      <c r="AH103" s="69">
        <f t="shared" si="39"/>
        <v>68.700000000000045</v>
      </c>
      <c r="AI103">
        <f t="shared" si="36"/>
        <v>214.23</v>
      </c>
      <c r="AJ103">
        <f t="shared" si="40"/>
        <v>114.21000000000001</v>
      </c>
      <c r="AK103">
        <f t="shared" si="41"/>
        <v>805.27</v>
      </c>
      <c r="AL103">
        <f t="shared" si="42"/>
        <v>28.73</v>
      </c>
      <c r="AM103">
        <f t="shared" si="43"/>
        <v>200.26</v>
      </c>
      <c r="AN103">
        <f t="shared" si="44"/>
        <v>6.23</v>
      </c>
      <c r="AO103">
        <f>ROUND(($J103*CIS_Inc_Salary2324*(VLOOKUP($A103,EnrollData2324,'2324 Jun 24 Enroll'!T$1,FALSE)+VLOOKUP($A103,EnrollData2324,'2324 Jun 24 Enroll'!U$1,FALSE))/Apport_613Xpd)*Apport_614Xpd,2)</f>
        <v>69.8</v>
      </c>
      <c r="AP103">
        <f t="shared" si="45"/>
        <v>12.1</v>
      </c>
      <c r="AQ103">
        <f t="shared" si="46"/>
        <v>30.93</v>
      </c>
      <c r="AR103" s="6">
        <f>ROUND((VLOOKUP($A103,EnrollData2324,'2324 Jun 24 Enroll'!D$1,FALSE)*Apport_M802324+VLOOKUP($A103,EnrollData2324,'2324 Jun 24 Enroll'!M$1,FALSE)*Apport_M802324+(VLOOKUP($A103,EnrollData2324,'2324 Jun 24 Enroll'!P$1,FALSE)+VLOOKUP($A103,EnrollData2324,'2324 Jun 24 Enroll'!Q$1,FALSE)+VLOOKUP($A103,EnrollData2324,'2324 Jun 24 Enroll'!R$1,FALSE)+VLOOKUP($A103,EnrollData2324,'2324 Jun 24 Enroll'!I$1,FALSE)+VLOOKUP($A103,EnrollData2324,'2324 Jun 24 Enroll'!N$1,FALSE)+VLOOKUP($A103,EnrollData2324,'2324 Jun 24 Enroll'!O$1,FALSE)+VLOOKUP($A103,EnrollData2324,'2324 Jun 24 Enroll'!K$1,FALSE)+VLOOKUP($A103,EnrollData2324,'2324 Jun 24 Enroll'!L$1,FALSE))*Apport_M812324)/(VLOOKUP($A103,EnrollData2324,'2324 Jun 24 Enroll'!M$1,FALSE)+VLOOKUP($A103,EnrollData2324,'2324 Jun 24 Enroll'!D$1,FALSE)),2)</f>
        <v>1553.97</v>
      </c>
      <c r="AS103" s="7">
        <f t="shared" si="47"/>
        <v>9427</v>
      </c>
    </row>
    <row r="104" spans="1:45">
      <c r="A104" s="40" t="s">
        <v>406</v>
      </c>
      <c r="B104" s="40" t="s">
        <v>407</v>
      </c>
      <c r="C104" s="11">
        <f>ROUND((IFERROR((1/IF(VLOOKUP($A104,EnrollData2324,28,FALSE)='District Calculations'!$B$10,VLOOKUP($A104,EnrollData2324,28,FALSE),'District Calculations'!$B$10))*(1+Apport_Z315),0))+Apport_201A2324,6)</f>
        <v>7.3449E-2</v>
      </c>
      <c r="D104">
        <f>ROUND(IF(VLOOKUP($A104,EnrollData2324,'2324 Jun 24 Enroll'!D$1,FALSE)='District Calculations'!$B$11,VLOOKUP($A104,EnrollData2324,'2324 Jun 24 Enroll'!D$1,FALSE),'District Calculations'!$B$11)*C104,3)</f>
        <v>0</v>
      </c>
      <c r="E104">
        <f>ROUND(IF(VLOOKUP($A104,EnrollData2324,'2324 Jun 24 Enroll'!E$1,FALSE)='District Calculations'!$B$12,VLOOKUP($A104,EnrollData2324,'2324 Jun 24 Enroll'!E$1,FALSE),'District Calculations'!$B$12)*C104,3)</f>
        <v>59.53</v>
      </c>
      <c r="F104">
        <f>ROUND(IF(VLOOKUP($A104,EnrollData2324,'2324 Jun 24 Enroll'!F$1,FALSE)='District Calculations'!$B$13,VLOOKUP($A104,EnrollData2324,'2324 Jun 24 Enroll'!F$1,FALSE),'District Calculations'!$B$13)*Apport_222A2324,3)</f>
        <v>10.101000000000001</v>
      </c>
      <c r="G104">
        <f>ROUND(IF(VLOOKUP($A104,EnrollData2324,'2324 Jun 24 Enroll'!G$1,FALSE)='District Calculations'!$B$14,VLOOKUP($A104,EnrollData2324,'2324 Jun 24 Enroll'!G$1,FALSE),'District Calculations'!$B$14)*Apport_210A2324,3)</f>
        <v>22.395</v>
      </c>
      <c r="H104">
        <f>ROUND(IF(VLOOKUP($A104,EnrollData2324,'2324 Jun 24 Enroll'!H$1,FALSE)='District Calculations'!$B$15,VLOOKUP($A104,EnrollData2324,'2324 Jun 24 Enroll'!H$1,FALSE),'District Calculations'!$B$15)*Apport_213A2324,3)</f>
        <v>23.091999999999999</v>
      </c>
      <c r="I104">
        <f>ROUND(IF(VLOOKUP($A104,EnrollData2324,'2324 Jun 24 Enroll'!I$1,FALSE)+VLOOKUP($A104,EnrollData2324,'2324 Jun 24 Enroll'!M$1,FALSE)-VLOOKUP($A104,EnrollData2324,'2324 Jun 24 Enroll'!J$1,FALSE)='District Calculations'!$B$16+'District Calculations'!$B$25-'District Calculations'!$B$17,VLOOKUP($A104,EnrollData2324,'2324 Jun 24 Enroll'!I$1,FALSE)+VLOOKUP($A104,EnrollData2324,'2324 Jun 24 Enroll'!M$1,FALSE)-VLOOKUP($A104,EnrollData2324,'2324 Jun 24 Enroll'!J$1,FALSE),'District Calculations'!$B$16+'District Calculations'!$B$25-'District Calculations'!$B$17)*Apport_216A2324,3)</f>
        <v>58.183999999999997</v>
      </c>
      <c r="J104">
        <f>ROUND(SUM(D104:I104)/(IF(VLOOKUP($A104,EnrollData2324,'2324 Jun 24 Enroll'!M$1,FALSE)='District Calculations'!$B$25,VLOOKUP($A104,EnrollData2324,'2324 Jun 24 Enroll'!M$1,FALSE),'District Calculations'!$B$25)+IF(VLOOKUP($A104,EnrollData2324,'2324 Jun 24 Enroll'!D$1,FALSE)='District Calculations'!$B$11,VLOOKUP($A104,EnrollData2324,'2324 Jun 24 Enroll'!D$1,FALSE),'District Calculations'!$B$11)),5)</f>
        <v>5.5530000000000003E-2</v>
      </c>
      <c r="K104" s="11">
        <f t="shared" si="37"/>
        <v>4.365E-3</v>
      </c>
      <c r="L104">
        <f>ROUND(IF(VLOOKUP($A104,EnrollData2324,'2324 Jun 24 Enroll'!D$1,FALSE)='District Calculations'!$B$11,VLOOKUP($A104,EnrollData2324,'2324 Jun 24 Enroll'!D$1,FALSE),'District Calculations'!$B$11)*K104,3)</f>
        <v>0</v>
      </c>
      <c r="M104">
        <f>ROUND(IF(VLOOKUP($A104,EnrollData2324,'2324 Jun 24 Enroll'!E$1,FALSE)='District Calculations'!$B$12,VLOOKUP($A104,EnrollData2324,'2324 Jun 24 Enroll'!E$1,FALSE),'District Calculations'!$B$12)*K104,3)</f>
        <v>3.5379999999999998</v>
      </c>
      <c r="N104">
        <f>ROUND(IF(VLOOKUP($A104,EnrollData2324,'2324 Jun 24 Enroll'!F$1,FALSE)='District Calculations'!$B$13,VLOOKUP($A104,EnrollData2324,'2324 Jun 24 Enroll'!F$1,FALSE),'District Calculations'!$B$13)*Apport_223A2324,3)</f>
        <v>0.84199999999999997</v>
      </c>
      <c r="O104">
        <f>ROUND(IF(VLOOKUP($A104,EnrollData2324,'2324 Jun 24 Enroll'!G$1,FALSE)='District Calculations'!$B$14,VLOOKUP($A104,EnrollData2324,'2324 Jun 24 Enroll'!G$1,FALSE),'District Calculations'!$B$14)*Apport_211A2324,3)</f>
        <v>1.867</v>
      </c>
      <c r="P104">
        <f>ROUND(IF(VLOOKUP($A104,EnrollData2324,'2324 Jun 24 Enroll'!H$1,FALSE)='District Calculations'!$B$14,VLOOKUP($A104,EnrollData2324,'2324 Jun 24 Enroll'!H$1,FALSE),'District Calculations'!$B$14)*Apport_214A2324,3)</f>
        <v>1.8660000000000001</v>
      </c>
      <c r="Q104">
        <f>ROUND(IF(VLOOKUP($A104,EnrollData2324,'2324 Jun 24 Enroll'!I$1,FALSE)+VLOOKUP($A104,EnrollData2324,'2324 Jun 24 Enroll'!M$1,FALSE)-VLOOKUP($A104,EnrollData2324,'2324 Jun 24 Enroll'!J$1,FALSE)='District Calculations'!$B$16+'District Calculations'!$B$25-'District Calculations'!$B$17,VLOOKUP($A104,EnrollData2324,'2324 Jun 24 Enroll'!I$1,FALSE)+VLOOKUP($A104,EnrollData2324,'2324 Jun 24 Enroll'!M$1,FALSE)-VLOOKUP($A104,EnrollData2324,'2324 Jun 24 Enroll'!J$1,FALSE),'District Calculations'!$B$16+'District Calculations'!$B$25-'District Calculations'!$B$17)*Apport_217A2324,3)</f>
        <v>4.6980000000000004</v>
      </c>
      <c r="R104">
        <f>ROUND(SUM(L104:Q104)/IF(VLOOKUP($A104,EnrollData2324,'2324 Jun 24 Enroll'!M$1,FALSE)+VLOOKUP($A104,EnrollData2324,'2324 Jun 24 Enroll'!D$1,FALSE)='District Calculations'!$B$25+'District Calculations'!$B$11,VLOOKUP($A104,EnrollData2324,'2324 Jun 24 Enroll'!M$1,FALSE)+VLOOKUP($A104,EnrollData2324,'2324 Jun 24 Enroll'!D$1,FALSE),'District Calculations'!$B$25+'District Calculations'!$B$11),5)</f>
        <v>4.1000000000000003E-3</v>
      </c>
      <c r="S104" s="11">
        <f t="shared" si="38"/>
        <v>1.8294500000000002E-2</v>
      </c>
      <c r="T104">
        <f>ROUND(IF(VLOOKUP($A104,EnrollData2324,'2324 Jun 24 Enroll'!D$1,FALSE)='District Calculations'!$B$11,VLOOKUP($A104,EnrollData2324,'2324 Jun 24 Enroll'!D$1,FALSE),'District Calculations'!$B$11)*S104,3)</f>
        <v>0</v>
      </c>
      <c r="U104">
        <f>ROUND(IF(VLOOKUP($A104,EnrollData2324,'2324 Jun 24 Enroll'!E$1,FALSE)='District Calculations'!$B$12,VLOOKUP($A104,EnrollData2324,'2324 Jun 24 Enroll'!E$1,FALSE),'District Calculations'!$B$12)*S104,3)</f>
        <v>14.827999999999999</v>
      </c>
      <c r="V104">
        <f>ROUND(IF(VLOOKUP($A104,EnrollData2324,'2324 Jun 24 Enroll'!F$1,FALSE)='District Calculations'!$B$13,VLOOKUP($A104,EnrollData2324,'2324 Jun 24 Enroll'!F$1,FALSE),'District Calculations'!$B$13)*Apport_224A2324,3)</f>
        <v>3.6190000000000002</v>
      </c>
      <c r="W104">
        <f>ROUND(IF(VLOOKUP($A104,EnrollData2324,'2324 Jun 24 Enroll'!G$1,FALSE)='District Calculations'!$B$14,VLOOKUP($A104,EnrollData2324,'2324 Jun 24 Enroll'!G$1,FALSE),'District Calculations'!$B$14)*Apport_212A2324,3)</f>
        <v>8.0239999999999991</v>
      </c>
      <c r="X104">
        <f>ROUND(IF(VLOOKUP($A104,EnrollData2324,'2324 Jun 24 Enroll'!H$1,FALSE)='District Calculations'!$B$14,VLOOKUP($A104,EnrollData2324,'2324 Jun 24 Enroll'!H$1,FALSE),'District Calculations'!$B$14)*Apport_215A2324,3)</f>
        <v>7.9279999999999999</v>
      </c>
      <c r="Y104">
        <f>ROUND(IF(VLOOKUP($A104,EnrollData2324,'2324 Jun 24 Enroll'!I$1,FALSE)+VLOOKUP($A104,EnrollData2324,'2324 Jun 24 Enroll'!M$1,FALSE)-VLOOKUP($A104,EnrollData2324,'2324 Jun 24 Enroll'!J$1,FALSE)='District Calculations'!$B$16+'District Calculations'!$B$25-'District Calculations'!$B$17,VLOOKUP($A104,EnrollData2324,'2324 Jun 24 Enroll'!I$1,FALSE)+VLOOKUP($A104,EnrollData2324,'2324 Jun 24 Enroll'!M$1,FALSE)-VLOOKUP($A104,EnrollData2324,'2324 Jun 24 Enroll'!J$1,FALSE),'District Calculations'!$B$16+'District Calculations'!$B$25-'District Calculations'!$B$17)*Apport_218A2324,3)</f>
        <v>19.917999999999999</v>
      </c>
      <c r="Z104">
        <f>ROUND(SUM(T104:Y104)/IF(VLOOKUP($A104,EnrollData2324,'2324 Jun 24 Enroll'!M$1,FALSE)+VLOOKUP($A104,EnrollData2324,'2324 Jun 24 Enroll'!D$1,FALSE)='District Calculations'!$B$25+'District Calculations'!$B$11,VLOOKUP($A104,EnrollData2324,'2324 Jun 24 Enroll'!M$1,FALSE)+VLOOKUP($A104,EnrollData2324,'2324 Jun 24 Enroll'!D$1,FALSE),'District Calculations'!$B$25+'District Calculations'!$B$11),5)</f>
        <v>1.7399999999999999E-2</v>
      </c>
      <c r="AA104" s="6">
        <f>ROUND($J104*CIS_Base_Salary2324*VLOOKUP($A104,EnrollData2324,'2324 Jun 24 Enroll'!S$1,FALSE),2)</f>
        <v>4038.59</v>
      </c>
      <c r="AB104" s="6">
        <f>ROUND($J104*CIS_Inc_Salary2324*(VLOOKUP($A104,EnrollData2324,'2324 Jun 24 Enroll'!T$1,FALSE)+VLOOKUP($A104,EnrollData2324,'2324 Jun 24 Enroll'!U$1,FALSE)),2)-AA104</f>
        <v>149.43000000000029</v>
      </c>
      <c r="AC104" s="6">
        <f>ROUND($R104*CAS_Base_Salary2324*VLOOKUP($A104,EnrollData2324,'2324 Jun 24 Enroll'!S$1,FALSE),2)</f>
        <v>442.62</v>
      </c>
      <c r="AD104" s="6">
        <f>ROUND($R104*CAS_Inc_Salary2324*VLOOKUP($A104,EnrollData2324,'2324 Jun 24 Enroll'!T$1,FALSE),2)-AC104</f>
        <v>16.379999999999995</v>
      </c>
      <c r="AE104" s="6">
        <f>ROUND($Z104*CLS_Base_Salary2324*VLOOKUP($A104,EnrollData2324,'2324 Jun 24 Enroll'!S$1,FALSE),2)</f>
        <v>907.81</v>
      </c>
      <c r="AF104" s="6">
        <f>ROUND($Z104*CLS_Inc_Salary2324*VLOOKUP($A104,EnrollData2324,'2324 Jun 24 Enroll'!T$1,FALSE),2)-AE104</f>
        <v>33.580000000000041</v>
      </c>
      <c r="AG104">
        <f t="shared" si="35"/>
        <v>734.16</v>
      </c>
      <c r="AH104" s="69">
        <f t="shared" si="39"/>
        <v>68.700000000000045</v>
      </c>
      <c r="AI104">
        <f t="shared" si="36"/>
        <v>214.23</v>
      </c>
      <c r="AJ104">
        <f t="shared" si="40"/>
        <v>114.21000000000001</v>
      </c>
      <c r="AK104">
        <f t="shared" si="41"/>
        <v>805.27</v>
      </c>
      <c r="AL104">
        <f t="shared" si="42"/>
        <v>28.73</v>
      </c>
      <c r="AM104">
        <f t="shared" si="43"/>
        <v>200.26</v>
      </c>
      <c r="AN104">
        <f t="shared" si="44"/>
        <v>6.23</v>
      </c>
      <c r="AO104">
        <f>ROUND(($J104*CIS_Inc_Salary2324*(VLOOKUP($A104,EnrollData2324,'2324 Jun 24 Enroll'!T$1,FALSE)+VLOOKUP($A104,EnrollData2324,'2324 Jun 24 Enroll'!U$1,FALSE))/Apport_613Xpd)*Apport_614Xpd,2)</f>
        <v>69.8</v>
      </c>
      <c r="AP104">
        <f t="shared" si="45"/>
        <v>12.1</v>
      </c>
      <c r="AQ104">
        <f t="shared" si="46"/>
        <v>30.93</v>
      </c>
      <c r="AR104" s="6">
        <f>ROUND((VLOOKUP($A104,EnrollData2324,'2324 Jun 24 Enroll'!D$1,FALSE)*Apport_M802324+VLOOKUP($A104,EnrollData2324,'2324 Jun 24 Enroll'!M$1,FALSE)*Apport_M802324+(VLOOKUP($A104,EnrollData2324,'2324 Jun 24 Enroll'!P$1,FALSE)+VLOOKUP($A104,EnrollData2324,'2324 Jun 24 Enroll'!Q$1,FALSE)+VLOOKUP($A104,EnrollData2324,'2324 Jun 24 Enroll'!R$1,FALSE)+VLOOKUP($A104,EnrollData2324,'2324 Jun 24 Enroll'!I$1,FALSE)+VLOOKUP($A104,EnrollData2324,'2324 Jun 24 Enroll'!N$1,FALSE)+VLOOKUP($A104,EnrollData2324,'2324 Jun 24 Enroll'!O$1,FALSE)+VLOOKUP($A104,EnrollData2324,'2324 Jun 24 Enroll'!K$1,FALSE)+VLOOKUP($A104,EnrollData2324,'2324 Jun 24 Enroll'!L$1,FALSE))*Apport_M812324)/(VLOOKUP($A104,EnrollData2324,'2324 Jun 24 Enroll'!M$1,FALSE)+VLOOKUP($A104,EnrollData2324,'2324 Jun 24 Enroll'!D$1,FALSE)),2)</f>
        <v>1483.44</v>
      </c>
      <c r="AS104" s="7">
        <f t="shared" si="47"/>
        <v>9356.4699999999993</v>
      </c>
    </row>
    <row r="105" spans="1:45">
      <c r="A105" s="40" t="s">
        <v>745</v>
      </c>
      <c r="B105" s="40" t="s">
        <v>746</v>
      </c>
      <c r="C105" s="11">
        <f>ROUND((IFERROR((1/IF(VLOOKUP($A105,EnrollData2324,28,FALSE)='District Calculations'!$B$10,VLOOKUP($A105,EnrollData2324,28,FALSE),'District Calculations'!$B$10))*(1+Apport_Z315),0))+Apport_201A2324,6)</f>
        <v>7.3449E-2</v>
      </c>
      <c r="D105">
        <f>ROUND(IF(VLOOKUP($A105,EnrollData2324,'2324 Jun 24 Enroll'!D$1,FALSE)='District Calculations'!$B$11,VLOOKUP($A105,EnrollData2324,'2324 Jun 24 Enroll'!D$1,FALSE),'District Calculations'!$B$11)*C105,3)</f>
        <v>0</v>
      </c>
      <c r="E105">
        <f>ROUND(IF(VLOOKUP($A105,EnrollData2324,'2324 Jun 24 Enroll'!E$1,FALSE)='District Calculations'!$B$12,VLOOKUP($A105,EnrollData2324,'2324 Jun 24 Enroll'!E$1,FALSE),'District Calculations'!$B$12)*C105,3)</f>
        <v>59.53</v>
      </c>
      <c r="F105">
        <f>ROUND(IF(VLOOKUP($A105,EnrollData2324,'2324 Jun 24 Enroll'!F$1,FALSE)='District Calculations'!$B$13,VLOOKUP($A105,EnrollData2324,'2324 Jun 24 Enroll'!F$1,FALSE),'District Calculations'!$B$13)*Apport_222A2324,3)</f>
        <v>10.101000000000001</v>
      </c>
      <c r="G105">
        <f>ROUND(IF(VLOOKUP($A105,EnrollData2324,'2324 Jun 24 Enroll'!G$1,FALSE)='District Calculations'!$B$14,VLOOKUP($A105,EnrollData2324,'2324 Jun 24 Enroll'!G$1,FALSE),'District Calculations'!$B$14)*Apport_210A2324,3)</f>
        <v>22.395</v>
      </c>
      <c r="H105">
        <f>ROUND(IF(VLOOKUP($A105,EnrollData2324,'2324 Jun 24 Enroll'!H$1,FALSE)='District Calculations'!$B$15,VLOOKUP($A105,EnrollData2324,'2324 Jun 24 Enroll'!H$1,FALSE),'District Calculations'!$B$15)*Apport_213A2324,3)</f>
        <v>23.091999999999999</v>
      </c>
      <c r="I105">
        <f>ROUND(IF(VLOOKUP($A105,EnrollData2324,'2324 Jun 24 Enroll'!I$1,FALSE)+VLOOKUP($A105,EnrollData2324,'2324 Jun 24 Enroll'!M$1,FALSE)-VLOOKUP($A105,EnrollData2324,'2324 Jun 24 Enroll'!J$1,FALSE)='District Calculations'!$B$16+'District Calculations'!$B$25-'District Calculations'!$B$17,VLOOKUP($A105,EnrollData2324,'2324 Jun 24 Enroll'!I$1,FALSE)+VLOOKUP($A105,EnrollData2324,'2324 Jun 24 Enroll'!M$1,FALSE)-VLOOKUP($A105,EnrollData2324,'2324 Jun 24 Enroll'!J$1,FALSE),'District Calculations'!$B$16+'District Calculations'!$B$25-'District Calculations'!$B$17)*Apport_216A2324,3)</f>
        <v>58.183999999999997</v>
      </c>
      <c r="J105">
        <f>ROUND(SUM(D105:I105)/(IF(VLOOKUP($A105,EnrollData2324,'2324 Jun 24 Enroll'!M$1,FALSE)='District Calculations'!$B$25,VLOOKUP($A105,EnrollData2324,'2324 Jun 24 Enroll'!M$1,FALSE),'District Calculations'!$B$25)+IF(VLOOKUP($A105,EnrollData2324,'2324 Jun 24 Enroll'!D$1,FALSE)='District Calculations'!$B$11,VLOOKUP($A105,EnrollData2324,'2324 Jun 24 Enroll'!D$1,FALSE),'District Calculations'!$B$11)),5)</f>
        <v>5.5530000000000003E-2</v>
      </c>
      <c r="K105" s="11">
        <f t="shared" si="37"/>
        <v>4.365E-3</v>
      </c>
      <c r="L105">
        <f>ROUND(IF(VLOOKUP($A105,EnrollData2324,'2324 Jun 24 Enroll'!D$1,FALSE)='District Calculations'!$B$11,VLOOKUP($A105,EnrollData2324,'2324 Jun 24 Enroll'!D$1,FALSE),'District Calculations'!$B$11)*K105,3)</f>
        <v>0</v>
      </c>
      <c r="M105">
        <f>ROUND(IF(VLOOKUP($A105,EnrollData2324,'2324 Jun 24 Enroll'!E$1,FALSE)='District Calculations'!$B$12,VLOOKUP($A105,EnrollData2324,'2324 Jun 24 Enroll'!E$1,FALSE),'District Calculations'!$B$12)*K105,3)</f>
        <v>3.5379999999999998</v>
      </c>
      <c r="N105">
        <f>ROUND(IF(VLOOKUP($A105,EnrollData2324,'2324 Jun 24 Enroll'!F$1,FALSE)='District Calculations'!$B$13,VLOOKUP($A105,EnrollData2324,'2324 Jun 24 Enroll'!F$1,FALSE),'District Calculations'!$B$13)*Apport_223A2324,3)</f>
        <v>0.84199999999999997</v>
      </c>
      <c r="O105">
        <f>ROUND(IF(VLOOKUP($A105,EnrollData2324,'2324 Jun 24 Enroll'!G$1,FALSE)='District Calculations'!$B$14,VLOOKUP($A105,EnrollData2324,'2324 Jun 24 Enroll'!G$1,FALSE),'District Calculations'!$B$14)*Apport_211A2324,3)</f>
        <v>1.867</v>
      </c>
      <c r="P105">
        <f>ROUND(IF(VLOOKUP($A105,EnrollData2324,'2324 Jun 24 Enroll'!H$1,FALSE)='District Calculations'!$B$14,VLOOKUP($A105,EnrollData2324,'2324 Jun 24 Enroll'!H$1,FALSE),'District Calculations'!$B$14)*Apport_214A2324,3)</f>
        <v>1.8660000000000001</v>
      </c>
      <c r="Q105">
        <f>ROUND(IF(VLOOKUP($A105,EnrollData2324,'2324 Jun 24 Enroll'!I$1,FALSE)+VLOOKUP($A105,EnrollData2324,'2324 Jun 24 Enroll'!M$1,FALSE)-VLOOKUP($A105,EnrollData2324,'2324 Jun 24 Enroll'!J$1,FALSE)='District Calculations'!$B$16+'District Calculations'!$B$25-'District Calculations'!$B$17,VLOOKUP($A105,EnrollData2324,'2324 Jun 24 Enroll'!I$1,FALSE)+VLOOKUP($A105,EnrollData2324,'2324 Jun 24 Enroll'!M$1,FALSE)-VLOOKUP($A105,EnrollData2324,'2324 Jun 24 Enroll'!J$1,FALSE),'District Calculations'!$B$16+'District Calculations'!$B$25-'District Calculations'!$B$17)*Apport_217A2324,3)</f>
        <v>4.6980000000000004</v>
      </c>
      <c r="R105">
        <f>ROUND(SUM(L105:Q105)/IF(VLOOKUP($A105,EnrollData2324,'2324 Jun 24 Enroll'!M$1,FALSE)+VLOOKUP($A105,EnrollData2324,'2324 Jun 24 Enroll'!D$1,FALSE)='District Calculations'!$B$25+'District Calculations'!$B$11,VLOOKUP($A105,EnrollData2324,'2324 Jun 24 Enroll'!M$1,FALSE)+VLOOKUP($A105,EnrollData2324,'2324 Jun 24 Enroll'!D$1,FALSE),'District Calculations'!$B$25+'District Calculations'!$B$11),5)</f>
        <v>4.1000000000000003E-3</v>
      </c>
      <c r="S105" s="11">
        <f t="shared" si="38"/>
        <v>1.8294500000000002E-2</v>
      </c>
      <c r="T105">
        <f>ROUND(IF(VLOOKUP($A105,EnrollData2324,'2324 Jun 24 Enroll'!D$1,FALSE)='District Calculations'!$B$11,VLOOKUP($A105,EnrollData2324,'2324 Jun 24 Enroll'!D$1,FALSE),'District Calculations'!$B$11)*S105,3)</f>
        <v>0</v>
      </c>
      <c r="U105">
        <f>ROUND(IF(VLOOKUP($A105,EnrollData2324,'2324 Jun 24 Enroll'!E$1,FALSE)='District Calculations'!$B$12,VLOOKUP($A105,EnrollData2324,'2324 Jun 24 Enroll'!E$1,FALSE),'District Calculations'!$B$12)*S105,3)</f>
        <v>14.827999999999999</v>
      </c>
      <c r="V105">
        <f>ROUND(IF(VLOOKUP($A105,EnrollData2324,'2324 Jun 24 Enroll'!F$1,FALSE)='District Calculations'!$B$13,VLOOKUP($A105,EnrollData2324,'2324 Jun 24 Enroll'!F$1,FALSE),'District Calculations'!$B$13)*Apport_224A2324,3)</f>
        <v>3.6190000000000002</v>
      </c>
      <c r="W105">
        <f>ROUND(IF(VLOOKUP($A105,EnrollData2324,'2324 Jun 24 Enroll'!G$1,FALSE)='District Calculations'!$B$14,VLOOKUP($A105,EnrollData2324,'2324 Jun 24 Enroll'!G$1,FALSE),'District Calculations'!$B$14)*Apport_212A2324,3)</f>
        <v>8.0239999999999991</v>
      </c>
      <c r="X105">
        <f>ROUND(IF(VLOOKUP($A105,EnrollData2324,'2324 Jun 24 Enroll'!H$1,FALSE)='District Calculations'!$B$14,VLOOKUP($A105,EnrollData2324,'2324 Jun 24 Enroll'!H$1,FALSE),'District Calculations'!$B$14)*Apport_215A2324,3)</f>
        <v>7.9279999999999999</v>
      </c>
      <c r="Y105">
        <f>ROUND(IF(VLOOKUP($A105,EnrollData2324,'2324 Jun 24 Enroll'!I$1,FALSE)+VLOOKUP($A105,EnrollData2324,'2324 Jun 24 Enroll'!M$1,FALSE)-VLOOKUP($A105,EnrollData2324,'2324 Jun 24 Enroll'!J$1,FALSE)='District Calculations'!$B$16+'District Calculations'!$B$25-'District Calculations'!$B$17,VLOOKUP($A105,EnrollData2324,'2324 Jun 24 Enroll'!I$1,FALSE)+VLOOKUP($A105,EnrollData2324,'2324 Jun 24 Enroll'!M$1,FALSE)-VLOOKUP($A105,EnrollData2324,'2324 Jun 24 Enroll'!J$1,FALSE),'District Calculations'!$B$16+'District Calculations'!$B$25-'District Calculations'!$B$17)*Apport_218A2324,3)</f>
        <v>19.917999999999999</v>
      </c>
      <c r="Z105">
        <f>ROUND(SUM(T105:Y105)/IF(VLOOKUP($A105,EnrollData2324,'2324 Jun 24 Enroll'!M$1,FALSE)+VLOOKUP($A105,EnrollData2324,'2324 Jun 24 Enroll'!D$1,FALSE)='District Calculations'!$B$25+'District Calculations'!$B$11,VLOOKUP($A105,EnrollData2324,'2324 Jun 24 Enroll'!M$1,FALSE)+VLOOKUP($A105,EnrollData2324,'2324 Jun 24 Enroll'!D$1,FALSE),'District Calculations'!$B$25+'District Calculations'!$B$11),5)</f>
        <v>1.7399999999999999E-2</v>
      </c>
      <c r="AA105" s="6">
        <f>ROUND($J105*CIS_Base_Salary2324*VLOOKUP($A105,EnrollData2324,'2324 Jun 24 Enroll'!S$1,FALSE),2)</f>
        <v>4038.59</v>
      </c>
      <c r="AB105" s="6">
        <f>ROUND($J105*CIS_Inc_Salary2324*(VLOOKUP($A105,EnrollData2324,'2324 Jun 24 Enroll'!T$1,FALSE)+VLOOKUP($A105,EnrollData2324,'2324 Jun 24 Enroll'!U$1,FALSE)),2)-AA105</f>
        <v>149.43000000000029</v>
      </c>
      <c r="AC105" s="6">
        <f>ROUND($R105*CAS_Base_Salary2324*VLOOKUP($A105,EnrollData2324,'2324 Jun 24 Enroll'!S$1,FALSE),2)</f>
        <v>442.62</v>
      </c>
      <c r="AD105" s="6">
        <f>ROUND($R105*CAS_Inc_Salary2324*VLOOKUP($A105,EnrollData2324,'2324 Jun 24 Enroll'!T$1,FALSE),2)-AC105</f>
        <v>16.379999999999995</v>
      </c>
      <c r="AE105" s="6">
        <f>ROUND($Z105*CLS_Base_Salary2324*VLOOKUP($A105,EnrollData2324,'2324 Jun 24 Enroll'!S$1,FALSE),2)</f>
        <v>907.81</v>
      </c>
      <c r="AF105" s="6">
        <f>ROUND($Z105*CLS_Inc_Salary2324*VLOOKUP($A105,EnrollData2324,'2324 Jun 24 Enroll'!T$1,FALSE),2)-AE105</f>
        <v>33.580000000000041</v>
      </c>
      <c r="AG105">
        <f t="shared" si="35"/>
        <v>734.16</v>
      </c>
      <c r="AH105" s="69">
        <f t="shared" si="39"/>
        <v>68.700000000000045</v>
      </c>
      <c r="AI105">
        <f t="shared" si="36"/>
        <v>214.23</v>
      </c>
      <c r="AJ105">
        <f t="shared" si="40"/>
        <v>114.21000000000001</v>
      </c>
      <c r="AK105">
        <f t="shared" si="41"/>
        <v>805.27</v>
      </c>
      <c r="AL105">
        <f t="shared" si="42"/>
        <v>28.73</v>
      </c>
      <c r="AM105">
        <f t="shared" si="43"/>
        <v>200.26</v>
      </c>
      <c r="AN105">
        <f t="shared" si="44"/>
        <v>6.23</v>
      </c>
      <c r="AO105">
        <f>ROUND(($J105*CIS_Inc_Salary2324*(VLOOKUP($A105,EnrollData2324,'2324 Jun 24 Enroll'!T$1,FALSE)+VLOOKUP($A105,EnrollData2324,'2324 Jun 24 Enroll'!U$1,FALSE))/Apport_613Xpd)*Apport_614Xpd,2)</f>
        <v>69.8</v>
      </c>
      <c r="AP105">
        <f t="shared" si="45"/>
        <v>12.1</v>
      </c>
      <c r="AQ105">
        <f t="shared" si="46"/>
        <v>30.93</v>
      </c>
      <c r="AR105" s="6">
        <f>ROUND((VLOOKUP($A105,EnrollData2324,'2324 Jun 24 Enroll'!D$1,FALSE)*Apport_M802324+VLOOKUP($A105,EnrollData2324,'2324 Jun 24 Enroll'!M$1,FALSE)*Apport_M802324+(VLOOKUP($A105,EnrollData2324,'2324 Jun 24 Enroll'!P$1,FALSE)+VLOOKUP($A105,EnrollData2324,'2324 Jun 24 Enroll'!Q$1,FALSE)+VLOOKUP($A105,EnrollData2324,'2324 Jun 24 Enroll'!R$1,FALSE)+VLOOKUP($A105,EnrollData2324,'2324 Jun 24 Enroll'!I$1,FALSE)+VLOOKUP($A105,EnrollData2324,'2324 Jun 24 Enroll'!N$1,FALSE)+VLOOKUP($A105,EnrollData2324,'2324 Jun 24 Enroll'!O$1,FALSE)+VLOOKUP($A105,EnrollData2324,'2324 Jun 24 Enroll'!K$1,FALSE)+VLOOKUP($A105,EnrollData2324,'2324 Jun 24 Enroll'!L$1,FALSE))*Apport_M812324)/(VLOOKUP($A105,EnrollData2324,'2324 Jun 24 Enroll'!M$1,FALSE)+VLOOKUP($A105,EnrollData2324,'2324 Jun 24 Enroll'!D$1,FALSE)),2)</f>
        <v>1483.44</v>
      </c>
      <c r="AS105" s="7">
        <f t="shared" si="47"/>
        <v>9356.4699999999993</v>
      </c>
    </row>
    <row r="106" spans="1:45">
      <c r="A106" s="40" t="s">
        <v>885</v>
      </c>
      <c r="B106" s="40" t="s">
        <v>886</v>
      </c>
      <c r="C106" s="11">
        <f>ROUND((IFERROR((1/IF(VLOOKUP($A106,EnrollData2324,28,FALSE)='District Calculations'!$B$10,VLOOKUP($A106,EnrollData2324,28,FALSE),'District Calculations'!$B$10))*(1+Apport_Z315),0))+Apport_201A2324,6)</f>
        <v>7.3449E-2</v>
      </c>
      <c r="D106">
        <f>ROUND(IF(VLOOKUP($A106,EnrollData2324,'2324 Jun 24 Enroll'!D$1,FALSE)='District Calculations'!$B$11,VLOOKUP($A106,EnrollData2324,'2324 Jun 24 Enroll'!D$1,FALSE),'District Calculations'!$B$11)*C106,3)</f>
        <v>0</v>
      </c>
      <c r="E106">
        <f>ROUND(IF(VLOOKUP($A106,EnrollData2324,'2324 Jun 24 Enroll'!E$1,FALSE)='District Calculations'!$B$12,VLOOKUP($A106,EnrollData2324,'2324 Jun 24 Enroll'!E$1,FALSE),'District Calculations'!$B$12)*C106,3)</f>
        <v>59.53</v>
      </c>
      <c r="F106">
        <f>ROUND(IF(VLOOKUP($A106,EnrollData2324,'2324 Jun 24 Enroll'!F$1,FALSE)='District Calculations'!$B$13,VLOOKUP($A106,EnrollData2324,'2324 Jun 24 Enroll'!F$1,FALSE),'District Calculations'!$B$13)*Apport_222A2324,3)</f>
        <v>10.101000000000001</v>
      </c>
      <c r="G106">
        <f>ROUND(IF(VLOOKUP($A106,EnrollData2324,'2324 Jun 24 Enroll'!G$1,FALSE)='District Calculations'!$B$14,VLOOKUP($A106,EnrollData2324,'2324 Jun 24 Enroll'!G$1,FALSE),'District Calculations'!$B$14)*Apport_210A2324,3)</f>
        <v>22.395</v>
      </c>
      <c r="H106">
        <f>ROUND(IF(VLOOKUP($A106,EnrollData2324,'2324 Jun 24 Enroll'!H$1,FALSE)='District Calculations'!$B$15,VLOOKUP($A106,EnrollData2324,'2324 Jun 24 Enroll'!H$1,FALSE),'District Calculations'!$B$15)*Apport_213A2324,3)</f>
        <v>23.091999999999999</v>
      </c>
      <c r="I106">
        <f>ROUND(IF(VLOOKUP($A106,EnrollData2324,'2324 Jun 24 Enroll'!I$1,FALSE)+VLOOKUP($A106,EnrollData2324,'2324 Jun 24 Enroll'!M$1,FALSE)-VLOOKUP($A106,EnrollData2324,'2324 Jun 24 Enroll'!J$1,FALSE)='District Calculations'!$B$16+'District Calculations'!$B$25-'District Calculations'!$B$17,VLOOKUP($A106,EnrollData2324,'2324 Jun 24 Enroll'!I$1,FALSE)+VLOOKUP($A106,EnrollData2324,'2324 Jun 24 Enroll'!M$1,FALSE)-VLOOKUP($A106,EnrollData2324,'2324 Jun 24 Enroll'!J$1,FALSE),'District Calculations'!$B$16+'District Calculations'!$B$25-'District Calculations'!$B$17)*Apport_216A2324,3)</f>
        <v>58.183999999999997</v>
      </c>
      <c r="J106">
        <f>ROUND(SUM(D106:I106)/(IF(VLOOKUP($A106,EnrollData2324,'2324 Jun 24 Enroll'!M$1,FALSE)='District Calculations'!$B$25,VLOOKUP($A106,EnrollData2324,'2324 Jun 24 Enroll'!M$1,FALSE),'District Calculations'!$B$25)+IF(VLOOKUP($A106,EnrollData2324,'2324 Jun 24 Enroll'!D$1,FALSE)='District Calculations'!$B$11,VLOOKUP($A106,EnrollData2324,'2324 Jun 24 Enroll'!D$1,FALSE),'District Calculations'!$B$11)),5)</f>
        <v>5.5530000000000003E-2</v>
      </c>
      <c r="K106" s="11">
        <f t="shared" si="37"/>
        <v>4.365E-3</v>
      </c>
      <c r="L106">
        <f>ROUND(IF(VLOOKUP($A106,EnrollData2324,'2324 Jun 24 Enroll'!D$1,FALSE)='District Calculations'!$B$11,VLOOKUP($A106,EnrollData2324,'2324 Jun 24 Enroll'!D$1,FALSE),'District Calculations'!$B$11)*K106,3)</f>
        <v>0</v>
      </c>
      <c r="M106">
        <f>ROUND(IF(VLOOKUP($A106,EnrollData2324,'2324 Jun 24 Enroll'!E$1,FALSE)='District Calculations'!$B$12,VLOOKUP($A106,EnrollData2324,'2324 Jun 24 Enroll'!E$1,FALSE),'District Calculations'!$B$12)*K106,3)</f>
        <v>3.5379999999999998</v>
      </c>
      <c r="N106">
        <f>ROUND(IF(VLOOKUP($A106,EnrollData2324,'2324 Jun 24 Enroll'!F$1,FALSE)='District Calculations'!$B$13,VLOOKUP($A106,EnrollData2324,'2324 Jun 24 Enroll'!F$1,FALSE),'District Calculations'!$B$13)*Apport_223A2324,3)</f>
        <v>0.84199999999999997</v>
      </c>
      <c r="O106">
        <f>ROUND(IF(VLOOKUP($A106,EnrollData2324,'2324 Jun 24 Enroll'!G$1,FALSE)='District Calculations'!$B$14,VLOOKUP($A106,EnrollData2324,'2324 Jun 24 Enroll'!G$1,FALSE),'District Calculations'!$B$14)*Apport_211A2324,3)</f>
        <v>1.867</v>
      </c>
      <c r="P106">
        <f>ROUND(IF(VLOOKUP($A106,EnrollData2324,'2324 Jun 24 Enroll'!H$1,FALSE)='District Calculations'!$B$14,VLOOKUP($A106,EnrollData2324,'2324 Jun 24 Enroll'!H$1,FALSE),'District Calculations'!$B$14)*Apport_214A2324,3)</f>
        <v>1.8660000000000001</v>
      </c>
      <c r="Q106">
        <f>ROUND(IF(VLOOKUP($A106,EnrollData2324,'2324 Jun 24 Enroll'!I$1,FALSE)+VLOOKUP($A106,EnrollData2324,'2324 Jun 24 Enroll'!M$1,FALSE)-VLOOKUP($A106,EnrollData2324,'2324 Jun 24 Enroll'!J$1,FALSE)='District Calculations'!$B$16+'District Calculations'!$B$25-'District Calculations'!$B$17,VLOOKUP($A106,EnrollData2324,'2324 Jun 24 Enroll'!I$1,FALSE)+VLOOKUP($A106,EnrollData2324,'2324 Jun 24 Enroll'!M$1,FALSE)-VLOOKUP($A106,EnrollData2324,'2324 Jun 24 Enroll'!J$1,FALSE),'District Calculations'!$B$16+'District Calculations'!$B$25-'District Calculations'!$B$17)*Apport_217A2324,3)</f>
        <v>4.6980000000000004</v>
      </c>
      <c r="R106">
        <f>ROUND(SUM(L106:Q106)/IF(VLOOKUP($A106,EnrollData2324,'2324 Jun 24 Enroll'!M$1,FALSE)+VLOOKUP($A106,EnrollData2324,'2324 Jun 24 Enroll'!D$1,FALSE)='District Calculations'!$B$25+'District Calculations'!$B$11,VLOOKUP($A106,EnrollData2324,'2324 Jun 24 Enroll'!M$1,FALSE)+VLOOKUP($A106,EnrollData2324,'2324 Jun 24 Enroll'!D$1,FALSE),'District Calculations'!$B$25+'District Calculations'!$B$11),5)</f>
        <v>4.1000000000000003E-3</v>
      </c>
      <c r="S106" s="11">
        <f t="shared" si="38"/>
        <v>1.8294500000000002E-2</v>
      </c>
      <c r="T106">
        <f>ROUND(IF(VLOOKUP($A106,EnrollData2324,'2324 Jun 24 Enroll'!D$1,FALSE)='District Calculations'!$B$11,VLOOKUP($A106,EnrollData2324,'2324 Jun 24 Enroll'!D$1,FALSE),'District Calculations'!$B$11)*S106,3)</f>
        <v>0</v>
      </c>
      <c r="U106">
        <f>ROUND(IF(VLOOKUP($A106,EnrollData2324,'2324 Jun 24 Enroll'!E$1,FALSE)='District Calculations'!$B$12,VLOOKUP($A106,EnrollData2324,'2324 Jun 24 Enroll'!E$1,FALSE),'District Calculations'!$B$12)*S106,3)</f>
        <v>14.827999999999999</v>
      </c>
      <c r="V106">
        <f>ROUND(IF(VLOOKUP($A106,EnrollData2324,'2324 Jun 24 Enroll'!F$1,FALSE)='District Calculations'!$B$13,VLOOKUP($A106,EnrollData2324,'2324 Jun 24 Enroll'!F$1,FALSE),'District Calculations'!$B$13)*Apport_224A2324,3)</f>
        <v>3.6190000000000002</v>
      </c>
      <c r="W106">
        <f>ROUND(IF(VLOOKUP($A106,EnrollData2324,'2324 Jun 24 Enroll'!G$1,FALSE)='District Calculations'!$B$14,VLOOKUP($A106,EnrollData2324,'2324 Jun 24 Enroll'!G$1,FALSE),'District Calculations'!$B$14)*Apport_212A2324,3)</f>
        <v>8.0239999999999991</v>
      </c>
      <c r="X106">
        <f>ROUND(IF(VLOOKUP($A106,EnrollData2324,'2324 Jun 24 Enroll'!H$1,FALSE)='District Calculations'!$B$14,VLOOKUP($A106,EnrollData2324,'2324 Jun 24 Enroll'!H$1,FALSE),'District Calculations'!$B$14)*Apport_215A2324,3)</f>
        <v>7.9279999999999999</v>
      </c>
      <c r="Y106">
        <f>ROUND(IF(VLOOKUP($A106,EnrollData2324,'2324 Jun 24 Enroll'!I$1,FALSE)+VLOOKUP($A106,EnrollData2324,'2324 Jun 24 Enroll'!M$1,FALSE)-VLOOKUP($A106,EnrollData2324,'2324 Jun 24 Enroll'!J$1,FALSE)='District Calculations'!$B$16+'District Calculations'!$B$25-'District Calculations'!$B$17,VLOOKUP($A106,EnrollData2324,'2324 Jun 24 Enroll'!I$1,FALSE)+VLOOKUP($A106,EnrollData2324,'2324 Jun 24 Enroll'!M$1,FALSE)-VLOOKUP($A106,EnrollData2324,'2324 Jun 24 Enroll'!J$1,FALSE),'District Calculations'!$B$16+'District Calculations'!$B$25-'District Calculations'!$B$17)*Apport_218A2324,3)</f>
        <v>19.917999999999999</v>
      </c>
      <c r="Z106">
        <f>ROUND(SUM(T106:Y106)/IF(VLOOKUP($A106,EnrollData2324,'2324 Jun 24 Enroll'!M$1,FALSE)+VLOOKUP($A106,EnrollData2324,'2324 Jun 24 Enroll'!D$1,FALSE)='District Calculations'!$B$25+'District Calculations'!$B$11,VLOOKUP($A106,EnrollData2324,'2324 Jun 24 Enroll'!M$1,FALSE)+VLOOKUP($A106,EnrollData2324,'2324 Jun 24 Enroll'!D$1,FALSE),'District Calculations'!$B$25+'District Calculations'!$B$11),5)</f>
        <v>1.7399999999999999E-2</v>
      </c>
      <c r="AA106" s="6">
        <f>ROUND($J106*CIS_Base_Salary2324*VLOOKUP($A106,EnrollData2324,'2324 Jun 24 Enroll'!S$1,FALSE),2)</f>
        <v>4038.59</v>
      </c>
      <c r="AB106" s="6">
        <f>ROUND($J106*CIS_Inc_Salary2324*(VLOOKUP($A106,EnrollData2324,'2324 Jun 24 Enroll'!T$1,FALSE)+VLOOKUP($A106,EnrollData2324,'2324 Jun 24 Enroll'!U$1,FALSE)),2)-AA106</f>
        <v>149.43000000000029</v>
      </c>
      <c r="AC106" s="6">
        <f>ROUND($R106*CAS_Base_Salary2324*VLOOKUP($A106,EnrollData2324,'2324 Jun 24 Enroll'!S$1,FALSE),2)</f>
        <v>442.62</v>
      </c>
      <c r="AD106" s="6">
        <f>ROUND($R106*CAS_Inc_Salary2324*VLOOKUP($A106,EnrollData2324,'2324 Jun 24 Enroll'!T$1,FALSE),2)-AC106</f>
        <v>16.379999999999995</v>
      </c>
      <c r="AE106" s="6">
        <f>ROUND($Z106*CLS_Base_Salary2324*VLOOKUP($A106,EnrollData2324,'2324 Jun 24 Enroll'!S$1,FALSE),2)</f>
        <v>907.81</v>
      </c>
      <c r="AF106" s="6">
        <f>ROUND($Z106*CLS_Inc_Salary2324*VLOOKUP($A106,EnrollData2324,'2324 Jun 24 Enroll'!T$1,FALSE),2)-AE106</f>
        <v>33.580000000000041</v>
      </c>
      <c r="AG106">
        <f t="shared" si="35"/>
        <v>734.16</v>
      </c>
      <c r="AH106" s="69">
        <f t="shared" si="39"/>
        <v>68.700000000000045</v>
      </c>
      <c r="AI106">
        <f t="shared" si="36"/>
        <v>214.23</v>
      </c>
      <c r="AJ106">
        <f t="shared" si="40"/>
        <v>114.21000000000001</v>
      </c>
      <c r="AK106">
        <f t="shared" si="41"/>
        <v>805.27</v>
      </c>
      <c r="AL106">
        <f t="shared" si="42"/>
        <v>28.73</v>
      </c>
      <c r="AM106">
        <f t="shared" si="43"/>
        <v>200.26</v>
      </c>
      <c r="AN106">
        <f t="shared" si="44"/>
        <v>6.23</v>
      </c>
      <c r="AO106">
        <f>ROUND(($J106*CIS_Inc_Salary2324*(VLOOKUP($A106,EnrollData2324,'2324 Jun 24 Enroll'!T$1,FALSE)+VLOOKUP($A106,EnrollData2324,'2324 Jun 24 Enroll'!U$1,FALSE))/Apport_613Xpd)*Apport_614Xpd,2)</f>
        <v>69.8</v>
      </c>
      <c r="AP106">
        <f t="shared" si="45"/>
        <v>12.1</v>
      </c>
      <c r="AQ106">
        <f t="shared" si="46"/>
        <v>30.93</v>
      </c>
      <c r="AR106" s="6">
        <f>ROUND((VLOOKUP($A106,EnrollData2324,'2324 Jun 24 Enroll'!D$1,FALSE)*Apport_M802324+VLOOKUP($A106,EnrollData2324,'2324 Jun 24 Enroll'!M$1,FALSE)*Apport_M802324+(VLOOKUP($A106,EnrollData2324,'2324 Jun 24 Enroll'!P$1,FALSE)+VLOOKUP($A106,EnrollData2324,'2324 Jun 24 Enroll'!Q$1,FALSE)+VLOOKUP($A106,EnrollData2324,'2324 Jun 24 Enroll'!R$1,FALSE)+VLOOKUP($A106,EnrollData2324,'2324 Jun 24 Enroll'!I$1,FALSE)+VLOOKUP($A106,EnrollData2324,'2324 Jun 24 Enroll'!N$1,FALSE)+VLOOKUP($A106,EnrollData2324,'2324 Jun 24 Enroll'!O$1,FALSE)+VLOOKUP($A106,EnrollData2324,'2324 Jun 24 Enroll'!K$1,FALSE)+VLOOKUP($A106,EnrollData2324,'2324 Jun 24 Enroll'!L$1,FALSE))*Apport_M812324)/(VLOOKUP($A106,EnrollData2324,'2324 Jun 24 Enroll'!M$1,FALSE)+VLOOKUP($A106,EnrollData2324,'2324 Jun 24 Enroll'!D$1,FALSE)),2)</f>
        <v>1536.45</v>
      </c>
      <c r="AS106" s="7">
        <f t="shared" si="47"/>
        <v>9409.48</v>
      </c>
    </row>
    <row r="107" spans="1:45">
      <c r="A107" s="40" t="s">
        <v>651</v>
      </c>
      <c r="B107" s="40" t="s">
        <v>652</v>
      </c>
      <c r="C107" s="11">
        <f>ROUND((IFERROR((1/IF(VLOOKUP($A107,EnrollData2324,28,FALSE)='District Calculations'!$B$10,VLOOKUP($A107,EnrollData2324,28,FALSE),'District Calculations'!$B$10))*(1+Apport_Z315),0))+Apport_201A2324,6)</f>
        <v>7.3449E-2</v>
      </c>
      <c r="D107">
        <f>ROUND(IF(VLOOKUP($A107,EnrollData2324,'2324 Jun 24 Enroll'!D$1,FALSE)='District Calculations'!$B$11,VLOOKUP($A107,EnrollData2324,'2324 Jun 24 Enroll'!D$1,FALSE),'District Calculations'!$B$11)*C107,3)</f>
        <v>0</v>
      </c>
      <c r="E107">
        <f>ROUND(IF(VLOOKUP($A107,EnrollData2324,'2324 Jun 24 Enroll'!E$1,FALSE)='District Calculations'!$B$12,VLOOKUP($A107,EnrollData2324,'2324 Jun 24 Enroll'!E$1,FALSE),'District Calculations'!$B$12)*C107,3)</f>
        <v>59.53</v>
      </c>
      <c r="F107">
        <f>ROUND(IF(VLOOKUP($A107,EnrollData2324,'2324 Jun 24 Enroll'!F$1,FALSE)='District Calculations'!$B$13,VLOOKUP($A107,EnrollData2324,'2324 Jun 24 Enroll'!F$1,FALSE),'District Calculations'!$B$13)*Apport_222A2324,3)</f>
        <v>10.101000000000001</v>
      </c>
      <c r="G107">
        <f>ROUND(IF(VLOOKUP($A107,EnrollData2324,'2324 Jun 24 Enroll'!G$1,FALSE)='District Calculations'!$B$14,VLOOKUP($A107,EnrollData2324,'2324 Jun 24 Enroll'!G$1,FALSE),'District Calculations'!$B$14)*Apport_210A2324,3)</f>
        <v>22.395</v>
      </c>
      <c r="H107">
        <f>ROUND(IF(VLOOKUP($A107,EnrollData2324,'2324 Jun 24 Enroll'!H$1,FALSE)='District Calculations'!$B$15,VLOOKUP($A107,EnrollData2324,'2324 Jun 24 Enroll'!H$1,FALSE),'District Calculations'!$B$15)*Apport_213A2324,3)</f>
        <v>23.091999999999999</v>
      </c>
      <c r="I107">
        <f>ROUND(IF(VLOOKUP($A107,EnrollData2324,'2324 Jun 24 Enroll'!I$1,FALSE)+VLOOKUP($A107,EnrollData2324,'2324 Jun 24 Enroll'!M$1,FALSE)-VLOOKUP($A107,EnrollData2324,'2324 Jun 24 Enroll'!J$1,FALSE)='District Calculations'!$B$16+'District Calculations'!$B$25-'District Calculations'!$B$17,VLOOKUP($A107,EnrollData2324,'2324 Jun 24 Enroll'!I$1,FALSE)+VLOOKUP($A107,EnrollData2324,'2324 Jun 24 Enroll'!M$1,FALSE)-VLOOKUP($A107,EnrollData2324,'2324 Jun 24 Enroll'!J$1,FALSE),'District Calculations'!$B$16+'District Calculations'!$B$25-'District Calculations'!$B$17)*Apport_216A2324,3)</f>
        <v>58.183999999999997</v>
      </c>
      <c r="J107">
        <f>ROUND(SUM(D107:I107)/(IF(VLOOKUP($A107,EnrollData2324,'2324 Jun 24 Enroll'!M$1,FALSE)='District Calculations'!$B$25,VLOOKUP($A107,EnrollData2324,'2324 Jun 24 Enroll'!M$1,FALSE),'District Calculations'!$B$25)+IF(VLOOKUP($A107,EnrollData2324,'2324 Jun 24 Enroll'!D$1,FALSE)='District Calculations'!$B$11,VLOOKUP($A107,EnrollData2324,'2324 Jun 24 Enroll'!D$1,FALSE),'District Calculations'!$B$11)),5)</f>
        <v>5.5530000000000003E-2</v>
      </c>
      <c r="K107" s="11">
        <f t="shared" si="37"/>
        <v>4.365E-3</v>
      </c>
      <c r="L107">
        <f>ROUND(IF(VLOOKUP($A107,EnrollData2324,'2324 Jun 24 Enroll'!D$1,FALSE)='District Calculations'!$B$11,VLOOKUP($A107,EnrollData2324,'2324 Jun 24 Enroll'!D$1,FALSE),'District Calculations'!$B$11)*K107,3)</f>
        <v>0</v>
      </c>
      <c r="M107">
        <f>ROUND(IF(VLOOKUP($A107,EnrollData2324,'2324 Jun 24 Enroll'!E$1,FALSE)='District Calculations'!$B$12,VLOOKUP($A107,EnrollData2324,'2324 Jun 24 Enroll'!E$1,FALSE),'District Calculations'!$B$12)*K107,3)</f>
        <v>3.5379999999999998</v>
      </c>
      <c r="N107">
        <f>ROUND(IF(VLOOKUP($A107,EnrollData2324,'2324 Jun 24 Enroll'!F$1,FALSE)='District Calculations'!$B$13,VLOOKUP($A107,EnrollData2324,'2324 Jun 24 Enroll'!F$1,FALSE),'District Calculations'!$B$13)*Apport_223A2324,3)</f>
        <v>0.84199999999999997</v>
      </c>
      <c r="O107">
        <f>ROUND(IF(VLOOKUP($A107,EnrollData2324,'2324 Jun 24 Enroll'!G$1,FALSE)='District Calculations'!$B$14,VLOOKUP($A107,EnrollData2324,'2324 Jun 24 Enroll'!G$1,FALSE),'District Calculations'!$B$14)*Apport_211A2324,3)</f>
        <v>1.867</v>
      </c>
      <c r="P107">
        <f>ROUND(IF(VLOOKUP($A107,EnrollData2324,'2324 Jun 24 Enroll'!H$1,FALSE)='District Calculations'!$B$14,VLOOKUP($A107,EnrollData2324,'2324 Jun 24 Enroll'!H$1,FALSE),'District Calculations'!$B$14)*Apport_214A2324,3)</f>
        <v>1.8660000000000001</v>
      </c>
      <c r="Q107">
        <f>ROUND(IF(VLOOKUP($A107,EnrollData2324,'2324 Jun 24 Enroll'!I$1,FALSE)+VLOOKUP($A107,EnrollData2324,'2324 Jun 24 Enroll'!M$1,FALSE)-VLOOKUP($A107,EnrollData2324,'2324 Jun 24 Enroll'!J$1,FALSE)='District Calculations'!$B$16+'District Calculations'!$B$25-'District Calculations'!$B$17,VLOOKUP($A107,EnrollData2324,'2324 Jun 24 Enroll'!I$1,FALSE)+VLOOKUP($A107,EnrollData2324,'2324 Jun 24 Enroll'!M$1,FALSE)-VLOOKUP($A107,EnrollData2324,'2324 Jun 24 Enroll'!J$1,FALSE),'District Calculations'!$B$16+'District Calculations'!$B$25-'District Calculations'!$B$17)*Apport_217A2324,3)</f>
        <v>4.6980000000000004</v>
      </c>
      <c r="R107">
        <f>ROUND(SUM(L107:Q107)/IF(VLOOKUP($A107,EnrollData2324,'2324 Jun 24 Enroll'!M$1,FALSE)+VLOOKUP($A107,EnrollData2324,'2324 Jun 24 Enroll'!D$1,FALSE)='District Calculations'!$B$25+'District Calculations'!$B$11,VLOOKUP($A107,EnrollData2324,'2324 Jun 24 Enroll'!M$1,FALSE)+VLOOKUP($A107,EnrollData2324,'2324 Jun 24 Enroll'!D$1,FALSE),'District Calculations'!$B$25+'District Calculations'!$B$11),5)</f>
        <v>4.1000000000000003E-3</v>
      </c>
      <c r="S107" s="11">
        <f t="shared" si="38"/>
        <v>1.8294500000000002E-2</v>
      </c>
      <c r="T107">
        <f>ROUND(IF(VLOOKUP($A107,EnrollData2324,'2324 Jun 24 Enroll'!D$1,FALSE)='District Calculations'!$B$11,VLOOKUP($A107,EnrollData2324,'2324 Jun 24 Enroll'!D$1,FALSE),'District Calculations'!$B$11)*S107,3)</f>
        <v>0</v>
      </c>
      <c r="U107">
        <f>ROUND(IF(VLOOKUP($A107,EnrollData2324,'2324 Jun 24 Enroll'!E$1,FALSE)='District Calculations'!$B$12,VLOOKUP($A107,EnrollData2324,'2324 Jun 24 Enroll'!E$1,FALSE),'District Calculations'!$B$12)*S107,3)</f>
        <v>14.827999999999999</v>
      </c>
      <c r="V107">
        <f>ROUND(IF(VLOOKUP($A107,EnrollData2324,'2324 Jun 24 Enroll'!F$1,FALSE)='District Calculations'!$B$13,VLOOKUP($A107,EnrollData2324,'2324 Jun 24 Enroll'!F$1,FALSE),'District Calculations'!$B$13)*Apport_224A2324,3)</f>
        <v>3.6190000000000002</v>
      </c>
      <c r="W107">
        <f>ROUND(IF(VLOOKUP($A107,EnrollData2324,'2324 Jun 24 Enroll'!G$1,FALSE)='District Calculations'!$B$14,VLOOKUP($A107,EnrollData2324,'2324 Jun 24 Enroll'!G$1,FALSE),'District Calculations'!$B$14)*Apport_212A2324,3)</f>
        <v>8.0239999999999991</v>
      </c>
      <c r="X107">
        <f>ROUND(IF(VLOOKUP($A107,EnrollData2324,'2324 Jun 24 Enroll'!H$1,FALSE)='District Calculations'!$B$14,VLOOKUP($A107,EnrollData2324,'2324 Jun 24 Enroll'!H$1,FALSE),'District Calculations'!$B$14)*Apport_215A2324,3)</f>
        <v>7.9279999999999999</v>
      </c>
      <c r="Y107">
        <f>ROUND(IF(VLOOKUP($A107,EnrollData2324,'2324 Jun 24 Enroll'!I$1,FALSE)+VLOOKUP($A107,EnrollData2324,'2324 Jun 24 Enroll'!M$1,FALSE)-VLOOKUP($A107,EnrollData2324,'2324 Jun 24 Enroll'!J$1,FALSE)='District Calculations'!$B$16+'District Calculations'!$B$25-'District Calculations'!$B$17,VLOOKUP($A107,EnrollData2324,'2324 Jun 24 Enroll'!I$1,FALSE)+VLOOKUP($A107,EnrollData2324,'2324 Jun 24 Enroll'!M$1,FALSE)-VLOOKUP($A107,EnrollData2324,'2324 Jun 24 Enroll'!J$1,FALSE),'District Calculations'!$B$16+'District Calculations'!$B$25-'District Calculations'!$B$17)*Apport_218A2324,3)</f>
        <v>19.917999999999999</v>
      </c>
      <c r="Z107">
        <f>ROUND(SUM(T107:Y107)/IF(VLOOKUP($A107,EnrollData2324,'2324 Jun 24 Enroll'!M$1,FALSE)+VLOOKUP($A107,EnrollData2324,'2324 Jun 24 Enroll'!D$1,FALSE)='District Calculations'!$B$25+'District Calculations'!$B$11,VLOOKUP($A107,EnrollData2324,'2324 Jun 24 Enroll'!M$1,FALSE)+VLOOKUP($A107,EnrollData2324,'2324 Jun 24 Enroll'!D$1,FALSE),'District Calculations'!$B$25+'District Calculations'!$B$11),5)</f>
        <v>1.7399999999999999E-2</v>
      </c>
      <c r="AA107" s="6">
        <f>ROUND($J107*CIS_Base_Salary2324*VLOOKUP($A107,EnrollData2324,'2324 Jun 24 Enroll'!S$1,FALSE),2)</f>
        <v>4038.59</v>
      </c>
      <c r="AB107" s="6">
        <f>ROUND($J107*CIS_Inc_Salary2324*(VLOOKUP($A107,EnrollData2324,'2324 Jun 24 Enroll'!T$1,FALSE)+VLOOKUP($A107,EnrollData2324,'2324 Jun 24 Enroll'!U$1,FALSE)),2)-AA107</f>
        <v>149.43000000000029</v>
      </c>
      <c r="AC107" s="6">
        <f>ROUND($R107*CAS_Base_Salary2324*VLOOKUP($A107,EnrollData2324,'2324 Jun 24 Enroll'!S$1,FALSE),2)</f>
        <v>442.62</v>
      </c>
      <c r="AD107" s="6">
        <f>ROUND($R107*CAS_Inc_Salary2324*VLOOKUP($A107,EnrollData2324,'2324 Jun 24 Enroll'!T$1,FALSE),2)-AC107</f>
        <v>16.379999999999995</v>
      </c>
      <c r="AE107" s="6">
        <f>ROUND($Z107*CLS_Base_Salary2324*VLOOKUP($A107,EnrollData2324,'2324 Jun 24 Enroll'!S$1,FALSE),2)</f>
        <v>907.81</v>
      </c>
      <c r="AF107" s="6">
        <f>ROUND($Z107*CLS_Inc_Salary2324*VLOOKUP($A107,EnrollData2324,'2324 Jun 24 Enroll'!T$1,FALSE),2)-AE107</f>
        <v>33.580000000000041</v>
      </c>
      <c r="AG107">
        <f t="shared" si="35"/>
        <v>734.16</v>
      </c>
      <c r="AH107" s="69">
        <f t="shared" si="39"/>
        <v>68.700000000000045</v>
      </c>
      <c r="AI107">
        <f t="shared" si="36"/>
        <v>214.23</v>
      </c>
      <c r="AJ107">
        <f t="shared" si="40"/>
        <v>114.21000000000001</v>
      </c>
      <c r="AK107">
        <f t="shared" si="41"/>
        <v>805.27</v>
      </c>
      <c r="AL107">
        <f t="shared" si="42"/>
        <v>28.73</v>
      </c>
      <c r="AM107">
        <f t="shared" si="43"/>
        <v>200.26</v>
      </c>
      <c r="AN107">
        <f t="shared" si="44"/>
        <v>6.23</v>
      </c>
      <c r="AO107">
        <f>ROUND(($J107*CIS_Inc_Salary2324*(VLOOKUP($A107,EnrollData2324,'2324 Jun 24 Enroll'!T$1,FALSE)+VLOOKUP($A107,EnrollData2324,'2324 Jun 24 Enroll'!U$1,FALSE))/Apport_613Xpd)*Apport_614Xpd,2)</f>
        <v>69.8</v>
      </c>
      <c r="AP107">
        <f t="shared" si="45"/>
        <v>12.1</v>
      </c>
      <c r="AQ107">
        <f t="shared" si="46"/>
        <v>30.93</v>
      </c>
      <c r="AR107" s="6">
        <f>ROUND((VLOOKUP($A107,EnrollData2324,'2324 Jun 24 Enroll'!D$1,FALSE)*Apport_M802324+VLOOKUP($A107,EnrollData2324,'2324 Jun 24 Enroll'!M$1,FALSE)*Apport_M802324+(VLOOKUP($A107,EnrollData2324,'2324 Jun 24 Enroll'!P$1,FALSE)+VLOOKUP($A107,EnrollData2324,'2324 Jun 24 Enroll'!Q$1,FALSE)+VLOOKUP($A107,EnrollData2324,'2324 Jun 24 Enroll'!R$1,FALSE)+VLOOKUP($A107,EnrollData2324,'2324 Jun 24 Enroll'!I$1,FALSE)+VLOOKUP($A107,EnrollData2324,'2324 Jun 24 Enroll'!N$1,FALSE)+VLOOKUP($A107,EnrollData2324,'2324 Jun 24 Enroll'!O$1,FALSE)+VLOOKUP($A107,EnrollData2324,'2324 Jun 24 Enroll'!K$1,FALSE)+VLOOKUP($A107,EnrollData2324,'2324 Jun 24 Enroll'!L$1,FALSE))*Apport_M812324)/(VLOOKUP($A107,EnrollData2324,'2324 Jun 24 Enroll'!M$1,FALSE)+VLOOKUP($A107,EnrollData2324,'2324 Jun 24 Enroll'!D$1,FALSE)),2)</f>
        <v>1545.81</v>
      </c>
      <c r="AS107" s="7">
        <f t="shared" si="47"/>
        <v>9418.84</v>
      </c>
    </row>
    <row r="108" spans="1:45">
      <c r="A108" s="40" t="s">
        <v>647</v>
      </c>
      <c r="B108" s="40" t="s">
        <v>648</v>
      </c>
      <c r="C108" s="11">
        <f>ROUND((IFERROR((1/IF(VLOOKUP($A108,EnrollData2324,28,FALSE)='District Calculations'!$B$10,VLOOKUP($A108,EnrollData2324,28,FALSE),'District Calculations'!$B$10))*(1+Apport_Z315),0))+Apport_201A2324,6)</f>
        <v>7.3449E-2</v>
      </c>
      <c r="D108">
        <f>ROUND(IF(VLOOKUP($A108,EnrollData2324,'2324 Jun 24 Enroll'!D$1,FALSE)='District Calculations'!$B$11,VLOOKUP($A108,EnrollData2324,'2324 Jun 24 Enroll'!D$1,FALSE),'District Calculations'!$B$11)*C108,3)</f>
        <v>0</v>
      </c>
      <c r="E108">
        <f>ROUND(IF(VLOOKUP($A108,EnrollData2324,'2324 Jun 24 Enroll'!E$1,FALSE)='District Calculations'!$B$12,VLOOKUP($A108,EnrollData2324,'2324 Jun 24 Enroll'!E$1,FALSE),'District Calculations'!$B$12)*C108,3)</f>
        <v>59.53</v>
      </c>
      <c r="F108">
        <f>ROUND(IF(VLOOKUP($A108,EnrollData2324,'2324 Jun 24 Enroll'!F$1,FALSE)='District Calculations'!$B$13,VLOOKUP($A108,EnrollData2324,'2324 Jun 24 Enroll'!F$1,FALSE),'District Calculations'!$B$13)*Apport_222A2324,3)</f>
        <v>10.101000000000001</v>
      </c>
      <c r="G108">
        <f>ROUND(IF(VLOOKUP($A108,EnrollData2324,'2324 Jun 24 Enroll'!G$1,FALSE)='District Calculations'!$B$14,VLOOKUP($A108,EnrollData2324,'2324 Jun 24 Enroll'!G$1,FALSE),'District Calculations'!$B$14)*Apport_210A2324,3)</f>
        <v>22.395</v>
      </c>
      <c r="H108">
        <f>ROUND(IF(VLOOKUP($A108,EnrollData2324,'2324 Jun 24 Enroll'!H$1,FALSE)='District Calculations'!$B$15,VLOOKUP($A108,EnrollData2324,'2324 Jun 24 Enroll'!H$1,FALSE),'District Calculations'!$B$15)*Apport_213A2324,3)</f>
        <v>23.091999999999999</v>
      </c>
      <c r="I108">
        <f>ROUND(IF(VLOOKUP($A108,EnrollData2324,'2324 Jun 24 Enroll'!I$1,FALSE)+VLOOKUP($A108,EnrollData2324,'2324 Jun 24 Enroll'!M$1,FALSE)-VLOOKUP($A108,EnrollData2324,'2324 Jun 24 Enroll'!J$1,FALSE)='District Calculations'!$B$16+'District Calculations'!$B$25-'District Calculations'!$B$17,VLOOKUP($A108,EnrollData2324,'2324 Jun 24 Enroll'!I$1,FALSE)+VLOOKUP($A108,EnrollData2324,'2324 Jun 24 Enroll'!M$1,FALSE)-VLOOKUP($A108,EnrollData2324,'2324 Jun 24 Enroll'!J$1,FALSE),'District Calculations'!$B$16+'District Calculations'!$B$25-'District Calculations'!$B$17)*Apport_216A2324,3)</f>
        <v>58.183999999999997</v>
      </c>
      <c r="J108">
        <f>ROUND(SUM(D108:I108)/(IF(VLOOKUP($A108,EnrollData2324,'2324 Jun 24 Enroll'!M$1,FALSE)='District Calculations'!$B$25,VLOOKUP($A108,EnrollData2324,'2324 Jun 24 Enroll'!M$1,FALSE),'District Calculations'!$B$25)+IF(VLOOKUP($A108,EnrollData2324,'2324 Jun 24 Enroll'!D$1,FALSE)='District Calculations'!$B$11,VLOOKUP($A108,EnrollData2324,'2324 Jun 24 Enroll'!D$1,FALSE),'District Calculations'!$B$11)),5)</f>
        <v>5.5530000000000003E-2</v>
      </c>
      <c r="K108" s="11">
        <f t="shared" si="37"/>
        <v>4.365E-3</v>
      </c>
      <c r="L108">
        <f>ROUND(IF(VLOOKUP($A108,EnrollData2324,'2324 Jun 24 Enroll'!D$1,FALSE)='District Calculations'!$B$11,VLOOKUP($A108,EnrollData2324,'2324 Jun 24 Enroll'!D$1,FALSE),'District Calculations'!$B$11)*K108,3)</f>
        <v>0</v>
      </c>
      <c r="M108">
        <f>ROUND(IF(VLOOKUP($A108,EnrollData2324,'2324 Jun 24 Enroll'!E$1,FALSE)='District Calculations'!$B$12,VLOOKUP($A108,EnrollData2324,'2324 Jun 24 Enroll'!E$1,FALSE),'District Calculations'!$B$12)*K108,3)</f>
        <v>3.5379999999999998</v>
      </c>
      <c r="N108">
        <f>ROUND(IF(VLOOKUP($A108,EnrollData2324,'2324 Jun 24 Enroll'!F$1,FALSE)='District Calculations'!$B$13,VLOOKUP($A108,EnrollData2324,'2324 Jun 24 Enroll'!F$1,FALSE),'District Calculations'!$B$13)*Apport_223A2324,3)</f>
        <v>0.84199999999999997</v>
      </c>
      <c r="O108">
        <f>ROUND(IF(VLOOKUP($A108,EnrollData2324,'2324 Jun 24 Enroll'!G$1,FALSE)='District Calculations'!$B$14,VLOOKUP($A108,EnrollData2324,'2324 Jun 24 Enroll'!G$1,FALSE),'District Calculations'!$B$14)*Apport_211A2324,3)</f>
        <v>1.867</v>
      </c>
      <c r="P108">
        <f>ROUND(IF(VLOOKUP($A108,EnrollData2324,'2324 Jun 24 Enroll'!H$1,FALSE)='District Calculations'!$B$14,VLOOKUP($A108,EnrollData2324,'2324 Jun 24 Enroll'!H$1,FALSE),'District Calculations'!$B$14)*Apport_214A2324,3)</f>
        <v>1.8660000000000001</v>
      </c>
      <c r="Q108">
        <f>ROUND(IF(VLOOKUP($A108,EnrollData2324,'2324 Jun 24 Enroll'!I$1,FALSE)+VLOOKUP($A108,EnrollData2324,'2324 Jun 24 Enroll'!M$1,FALSE)-VLOOKUP($A108,EnrollData2324,'2324 Jun 24 Enroll'!J$1,FALSE)='District Calculations'!$B$16+'District Calculations'!$B$25-'District Calculations'!$B$17,VLOOKUP($A108,EnrollData2324,'2324 Jun 24 Enroll'!I$1,FALSE)+VLOOKUP($A108,EnrollData2324,'2324 Jun 24 Enroll'!M$1,FALSE)-VLOOKUP($A108,EnrollData2324,'2324 Jun 24 Enroll'!J$1,FALSE),'District Calculations'!$B$16+'District Calculations'!$B$25-'District Calculations'!$B$17)*Apport_217A2324,3)</f>
        <v>4.6980000000000004</v>
      </c>
      <c r="R108">
        <f>ROUND(SUM(L108:Q108)/IF(VLOOKUP($A108,EnrollData2324,'2324 Jun 24 Enroll'!M$1,FALSE)+VLOOKUP($A108,EnrollData2324,'2324 Jun 24 Enroll'!D$1,FALSE)='District Calculations'!$B$25+'District Calculations'!$B$11,VLOOKUP($A108,EnrollData2324,'2324 Jun 24 Enroll'!M$1,FALSE)+VLOOKUP($A108,EnrollData2324,'2324 Jun 24 Enroll'!D$1,FALSE),'District Calculations'!$B$25+'District Calculations'!$B$11),5)</f>
        <v>4.1000000000000003E-3</v>
      </c>
      <c r="S108" s="11">
        <f t="shared" si="38"/>
        <v>1.8294500000000002E-2</v>
      </c>
      <c r="T108">
        <f>ROUND(IF(VLOOKUP($A108,EnrollData2324,'2324 Jun 24 Enroll'!D$1,FALSE)='District Calculations'!$B$11,VLOOKUP($A108,EnrollData2324,'2324 Jun 24 Enroll'!D$1,FALSE),'District Calculations'!$B$11)*S108,3)</f>
        <v>0</v>
      </c>
      <c r="U108">
        <f>ROUND(IF(VLOOKUP($A108,EnrollData2324,'2324 Jun 24 Enroll'!E$1,FALSE)='District Calculations'!$B$12,VLOOKUP($A108,EnrollData2324,'2324 Jun 24 Enroll'!E$1,FALSE),'District Calculations'!$B$12)*S108,3)</f>
        <v>14.827999999999999</v>
      </c>
      <c r="V108">
        <f>ROUND(IF(VLOOKUP($A108,EnrollData2324,'2324 Jun 24 Enroll'!F$1,FALSE)='District Calculations'!$B$13,VLOOKUP($A108,EnrollData2324,'2324 Jun 24 Enroll'!F$1,FALSE),'District Calculations'!$B$13)*Apport_224A2324,3)</f>
        <v>3.6190000000000002</v>
      </c>
      <c r="W108">
        <f>ROUND(IF(VLOOKUP($A108,EnrollData2324,'2324 Jun 24 Enroll'!G$1,FALSE)='District Calculations'!$B$14,VLOOKUP($A108,EnrollData2324,'2324 Jun 24 Enroll'!G$1,FALSE),'District Calculations'!$B$14)*Apport_212A2324,3)</f>
        <v>8.0239999999999991</v>
      </c>
      <c r="X108">
        <f>ROUND(IF(VLOOKUP($A108,EnrollData2324,'2324 Jun 24 Enroll'!H$1,FALSE)='District Calculations'!$B$14,VLOOKUP($A108,EnrollData2324,'2324 Jun 24 Enroll'!H$1,FALSE),'District Calculations'!$B$14)*Apport_215A2324,3)</f>
        <v>7.9279999999999999</v>
      </c>
      <c r="Y108">
        <f>ROUND(IF(VLOOKUP($A108,EnrollData2324,'2324 Jun 24 Enroll'!I$1,FALSE)+VLOOKUP($A108,EnrollData2324,'2324 Jun 24 Enroll'!M$1,FALSE)-VLOOKUP($A108,EnrollData2324,'2324 Jun 24 Enroll'!J$1,FALSE)='District Calculations'!$B$16+'District Calculations'!$B$25-'District Calculations'!$B$17,VLOOKUP($A108,EnrollData2324,'2324 Jun 24 Enroll'!I$1,FALSE)+VLOOKUP($A108,EnrollData2324,'2324 Jun 24 Enroll'!M$1,FALSE)-VLOOKUP($A108,EnrollData2324,'2324 Jun 24 Enroll'!J$1,FALSE),'District Calculations'!$B$16+'District Calculations'!$B$25-'District Calculations'!$B$17)*Apport_218A2324,3)</f>
        <v>19.917999999999999</v>
      </c>
      <c r="Z108">
        <f>ROUND(SUM(T108:Y108)/IF(VLOOKUP($A108,EnrollData2324,'2324 Jun 24 Enroll'!M$1,FALSE)+VLOOKUP($A108,EnrollData2324,'2324 Jun 24 Enroll'!D$1,FALSE)='District Calculations'!$B$25+'District Calculations'!$B$11,VLOOKUP($A108,EnrollData2324,'2324 Jun 24 Enroll'!M$1,FALSE)+VLOOKUP($A108,EnrollData2324,'2324 Jun 24 Enroll'!D$1,FALSE),'District Calculations'!$B$25+'District Calculations'!$B$11),5)</f>
        <v>1.7399999999999999E-2</v>
      </c>
      <c r="AA108" s="6">
        <f>ROUND($J108*CIS_Base_Salary2324*VLOOKUP($A108,EnrollData2324,'2324 Jun 24 Enroll'!S$1,FALSE),2)</f>
        <v>4038.59</v>
      </c>
      <c r="AB108" s="6">
        <f>ROUND($J108*CIS_Inc_Salary2324*(VLOOKUP($A108,EnrollData2324,'2324 Jun 24 Enroll'!T$1,FALSE)+VLOOKUP($A108,EnrollData2324,'2324 Jun 24 Enroll'!U$1,FALSE)),2)-AA108</f>
        <v>149.43000000000029</v>
      </c>
      <c r="AC108" s="6">
        <f>ROUND($R108*CAS_Base_Salary2324*VLOOKUP($A108,EnrollData2324,'2324 Jun 24 Enroll'!S$1,FALSE),2)</f>
        <v>442.62</v>
      </c>
      <c r="AD108" s="6">
        <f>ROUND($R108*CAS_Inc_Salary2324*VLOOKUP($A108,EnrollData2324,'2324 Jun 24 Enroll'!T$1,FALSE),2)-AC108</f>
        <v>16.379999999999995</v>
      </c>
      <c r="AE108" s="6">
        <f>ROUND($Z108*CLS_Base_Salary2324*VLOOKUP($A108,EnrollData2324,'2324 Jun 24 Enroll'!S$1,FALSE),2)</f>
        <v>907.81</v>
      </c>
      <c r="AF108" s="6">
        <f>ROUND($Z108*CLS_Inc_Salary2324*VLOOKUP($A108,EnrollData2324,'2324 Jun 24 Enroll'!T$1,FALSE),2)-AE108</f>
        <v>33.580000000000041</v>
      </c>
      <c r="AG108">
        <f t="shared" si="35"/>
        <v>734.16</v>
      </c>
      <c r="AH108" s="69">
        <f t="shared" si="39"/>
        <v>68.700000000000045</v>
      </c>
      <c r="AI108">
        <f t="shared" si="36"/>
        <v>214.23</v>
      </c>
      <c r="AJ108">
        <f t="shared" si="40"/>
        <v>114.21000000000001</v>
      </c>
      <c r="AK108">
        <f t="shared" si="41"/>
        <v>805.27</v>
      </c>
      <c r="AL108">
        <f t="shared" si="42"/>
        <v>28.73</v>
      </c>
      <c r="AM108">
        <f t="shared" si="43"/>
        <v>200.26</v>
      </c>
      <c r="AN108">
        <f t="shared" si="44"/>
        <v>6.23</v>
      </c>
      <c r="AO108">
        <f>ROUND(($J108*CIS_Inc_Salary2324*(VLOOKUP($A108,EnrollData2324,'2324 Jun 24 Enroll'!T$1,FALSE)+VLOOKUP($A108,EnrollData2324,'2324 Jun 24 Enroll'!U$1,FALSE))/Apport_613Xpd)*Apport_614Xpd,2)</f>
        <v>69.8</v>
      </c>
      <c r="AP108">
        <f t="shared" si="45"/>
        <v>12.1</v>
      </c>
      <c r="AQ108">
        <f t="shared" si="46"/>
        <v>30.93</v>
      </c>
      <c r="AR108" s="6">
        <f>ROUND((VLOOKUP($A108,EnrollData2324,'2324 Jun 24 Enroll'!D$1,FALSE)*Apport_M802324+VLOOKUP($A108,EnrollData2324,'2324 Jun 24 Enroll'!M$1,FALSE)*Apport_M802324+(VLOOKUP($A108,EnrollData2324,'2324 Jun 24 Enroll'!P$1,FALSE)+VLOOKUP($A108,EnrollData2324,'2324 Jun 24 Enroll'!Q$1,FALSE)+VLOOKUP($A108,EnrollData2324,'2324 Jun 24 Enroll'!R$1,FALSE)+VLOOKUP($A108,EnrollData2324,'2324 Jun 24 Enroll'!I$1,FALSE)+VLOOKUP($A108,EnrollData2324,'2324 Jun 24 Enroll'!N$1,FALSE)+VLOOKUP($A108,EnrollData2324,'2324 Jun 24 Enroll'!O$1,FALSE)+VLOOKUP($A108,EnrollData2324,'2324 Jun 24 Enroll'!K$1,FALSE)+VLOOKUP($A108,EnrollData2324,'2324 Jun 24 Enroll'!L$1,FALSE))*Apport_M812324)/(VLOOKUP($A108,EnrollData2324,'2324 Jun 24 Enroll'!M$1,FALSE)+VLOOKUP($A108,EnrollData2324,'2324 Jun 24 Enroll'!D$1,FALSE)),2)</f>
        <v>1543.83</v>
      </c>
      <c r="AS108" s="7">
        <f t="shared" si="47"/>
        <v>9416.86</v>
      </c>
    </row>
    <row r="109" spans="1:45">
      <c r="A109" s="40" t="s">
        <v>643</v>
      </c>
      <c r="B109" s="40" t="s">
        <v>644</v>
      </c>
      <c r="C109" s="11">
        <f>ROUND((IFERROR((1/IF(VLOOKUP($A109,EnrollData2324,28,FALSE)='District Calculations'!$B$10,VLOOKUP($A109,EnrollData2324,28,FALSE),'District Calculations'!$B$10))*(1+Apport_Z315),0))+Apport_201A2324,6)</f>
        <v>7.3449E-2</v>
      </c>
      <c r="D109">
        <f>ROUND(IF(VLOOKUP($A109,EnrollData2324,'2324 Jun 24 Enroll'!D$1,FALSE)='District Calculations'!$B$11,VLOOKUP($A109,EnrollData2324,'2324 Jun 24 Enroll'!D$1,FALSE),'District Calculations'!$B$11)*C109,3)</f>
        <v>0</v>
      </c>
      <c r="E109">
        <f>ROUND(IF(VLOOKUP($A109,EnrollData2324,'2324 Jun 24 Enroll'!E$1,FALSE)='District Calculations'!$B$12,VLOOKUP($A109,EnrollData2324,'2324 Jun 24 Enroll'!E$1,FALSE),'District Calculations'!$B$12)*C109,3)</f>
        <v>59.53</v>
      </c>
      <c r="F109">
        <f>ROUND(IF(VLOOKUP($A109,EnrollData2324,'2324 Jun 24 Enroll'!F$1,FALSE)='District Calculations'!$B$13,VLOOKUP($A109,EnrollData2324,'2324 Jun 24 Enroll'!F$1,FALSE),'District Calculations'!$B$13)*Apport_222A2324,3)</f>
        <v>10.101000000000001</v>
      </c>
      <c r="G109">
        <f>ROUND(IF(VLOOKUP($A109,EnrollData2324,'2324 Jun 24 Enroll'!G$1,FALSE)='District Calculations'!$B$14,VLOOKUP($A109,EnrollData2324,'2324 Jun 24 Enroll'!G$1,FALSE),'District Calculations'!$B$14)*Apport_210A2324,3)</f>
        <v>22.395</v>
      </c>
      <c r="H109">
        <f>ROUND(IF(VLOOKUP($A109,EnrollData2324,'2324 Jun 24 Enroll'!H$1,FALSE)='District Calculations'!$B$15,VLOOKUP($A109,EnrollData2324,'2324 Jun 24 Enroll'!H$1,FALSE),'District Calculations'!$B$15)*Apport_213A2324,3)</f>
        <v>23.091999999999999</v>
      </c>
      <c r="I109">
        <f>ROUND(IF(VLOOKUP($A109,EnrollData2324,'2324 Jun 24 Enroll'!I$1,FALSE)+VLOOKUP($A109,EnrollData2324,'2324 Jun 24 Enroll'!M$1,FALSE)-VLOOKUP($A109,EnrollData2324,'2324 Jun 24 Enroll'!J$1,FALSE)='District Calculations'!$B$16+'District Calculations'!$B$25-'District Calculations'!$B$17,VLOOKUP($A109,EnrollData2324,'2324 Jun 24 Enroll'!I$1,FALSE)+VLOOKUP($A109,EnrollData2324,'2324 Jun 24 Enroll'!M$1,FALSE)-VLOOKUP($A109,EnrollData2324,'2324 Jun 24 Enroll'!J$1,FALSE),'District Calculations'!$B$16+'District Calculations'!$B$25-'District Calculations'!$B$17)*Apport_216A2324,3)</f>
        <v>58.183999999999997</v>
      </c>
      <c r="J109">
        <f>ROUND(SUM(D109:I109)/(IF(VLOOKUP($A109,EnrollData2324,'2324 Jun 24 Enroll'!M$1,FALSE)='District Calculations'!$B$25,VLOOKUP($A109,EnrollData2324,'2324 Jun 24 Enroll'!M$1,FALSE),'District Calculations'!$B$25)+IF(VLOOKUP($A109,EnrollData2324,'2324 Jun 24 Enroll'!D$1,FALSE)='District Calculations'!$B$11,VLOOKUP($A109,EnrollData2324,'2324 Jun 24 Enroll'!D$1,FALSE),'District Calculations'!$B$11)),5)</f>
        <v>5.5530000000000003E-2</v>
      </c>
      <c r="K109" s="11">
        <f t="shared" si="37"/>
        <v>4.365E-3</v>
      </c>
      <c r="L109">
        <f>ROUND(IF(VLOOKUP($A109,EnrollData2324,'2324 Jun 24 Enroll'!D$1,FALSE)='District Calculations'!$B$11,VLOOKUP($A109,EnrollData2324,'2324 Jun 24 Enroll'!D$1,FALSE),'District Calculations'!$B$11)*K109,3)</f>
        <v>0</v>
      </c>
      <c r="M109">
        <f>ROUND(IF(VLOOKUP($A109,EnrollData2324,'2324 Jun 24 Enroll'!E$1,FALSE)='District Calculations'!$B$12,VLOOKUP($A109,EnrollData2324,'2324 Jun 24 Enroll'!E$1,FALSE),'District Calculations'!$B$12)*K109,3)</f>
        <v>3.5379999999999998</v>
      </c>
      <c r="N109">
        <f>ROUND(IF(VLOOKUP($A109,EnrollData2324,'2324 Jun 24 Enroll'!F$1,FALSE)='District Calculations'!$B$13,VLOOKUP($A109,EnrollData2324,'2324 Jun 24 Enroll'!F$1,FALSE),'District Calculations'!$B$13)*Apport_223A2324,3)</f>
        <v>0.84199999999999997</v>
      </c>
      <c r="O109">
        <f>ROUND(IF(VLOOKUP($A109,EnrollData2324,'2324 Jun 24 Enroll'!G$1,FALSE)='District Calculations'!$B$14,VLOOKUP($A109,EnrollData2324,'2324 Jun 24 Enroll'!G$1,FALSE),'District Calculations'!$B$14)*Apport_211A2324,3)</f>
        <v>1.867</v>
      </c>
      <c r="P109">
        <f>ROUND(IF(VLOOKUP($A109,EnrollData2324,'2324 Jun 24 Enroll'!H$1,FALSE)='District Calculations'!$B$14,VLOOKUP($A109,EnrollData2324,'2324 Jun 24 Enroll'!H$1,FALSE),'District Calculations'!$B$14)*Apport_214A2324,3)</f>
        <v>1.8660000000000001</v>
      </c>
      <c r="Q109">
        <f>ROUND(IF(VLOOKUP($A109,EnrollData2324,'2324 Jun 24 Enroll'!I$1,FALSE)+VLOOKUP($A109,EnrollData2324,'2324 Jun 24 Enroll'!M$1,FALSE)-VLOOKUP($A109,EnrollData2324,'2324 Jun 24 Enroll'!J$1,FALSE)='District Calculations'!$B$16+'District Calculations'!$B$25-'District Calculations'!$B$17,VLOOKUP($A109,EnrollData2324,'2324 Jun 24 Enroll'!I$1,FALSE)+VLOOKUP($A109,EnrollData2324,'2324 Jun 24 Enroll'!M$1,FALSE)-VLOOKUP($A109,EnrollData2324,'2324 Jun 24 Enroll'!J$1,FALSE),'District Calculations'!$B$16+'District Calculations'!$B$25-'District Calculations'!$B$17)*Apport_217A2324,3)</f>
        <v>4.6980000000000004</v>
      </c>
      <c r="R109">
        <f>ROUND(SUM(L109:Q109)/IF(VLOOKUP($A109,EnrollData2324,'2324 Jun 24 Enroll'!M$1,FALSE)+VLOOKUP($A109,EnrollData2324,'2324 Jun 24 Enroll'!D$1,FALSE)='District Calculations'!$B$25+'District Calculations'!$B$11,VLOOKUP($A109,EnrollData2324,'2324 Jun 24 Enroll'!M$1,FALSE)+VLOOKUP($A109,EnrollData2324,'2324 Jun 24 Enroll'!D$1,FALSE),'District Calculations'!$B$25+'District Calculations'!$B$11),5)</f>
        <v>4.1000000000000003E-3</v>
      </c>
      <c r="S109" s="11">
        <f t="shared" si="38"/>
        <v>1.8294500000000002E-2</v>
      </c>
      <c r="T109">
        <f>ROUND(IF(VLOOKUP($A109,EnrollData2324,'2324 Jun 24 Enroll'!D$1,FALSE)='District Calculations'!$B$11,VLOOKUP($A109,EnrollData2324,'2324 Jun 24 Enroll'!D$1,FALSE),'District Calculations'!$B$11)*S109,3)</f>
        <v>0</v>
      </c>
      <c r="U109">
        <f>ROUND(IF(VLOOKUP($A109,EnrollData2324,'2324 Jun 24 Enroll'!E$1,FALSE)='District Calculations'!$B$12,VLOOKUP($A109,EnrollData2324,'2324 Jun 24 Enroll'!E$1,FALSE),'District Calculations'!$B$12)*S109,3)</f>
        <v>14.827999999999999</v>
      </c>
      <c r="V109">
        <f>ROUND(IF(VLOOKUP($A109,EnrollData2324,'2324 Jun 24 Enroll'!F$1,FALSE)='District Calculations'!$B$13,VLOOKUP($A109,EnrollData2324,'2324 Jun 24 Enroll'!F$1,FALSE),'District Calculations'!$B$13)*Apport_224A2324,3)</f>
        <v>3.6190000000000002</v>
      </c>
      <c r="W109">
        <f>ROUND(IF(VLOOKUP($A109,EnrollData2324,'2324 Jun 24 Enroll'!G$1,FALSE)='District Calculations'!$B$14,VLOOKUP($A109,EnrollData2324,'2324 Jun 24 Enroll'!G$1,FALSE),'District Calculations'!$B$14)*Apport_212A2324,3)</f>
        <v>8.0239999999999991</v>
      </c>
      <c r="X109">
        <f>ROUND(IF(VLOOKUP($A109,EnrollData2324,'2324 Jun 24 Enroll'!H$1,FALSE)='District Calculations'!$B$14,VLOOKUP($A109,EnrollData2324,'2324 Jun 24 Enroll'!H$1,FALSE),'District Calculations'!$B$14)*Apport_215A2324,3)</f>
        <v>7.9279999999999999</v>
      </c>
      <c r="Y109">
        <f>ROUND(IF(VLOOKUP($A109,EnrollData2324,'2324 Jun 24 Enroll'!I$1,FALSE)+VLOOKUP($A109,EnrollData2324,'2324 Jun 24 Enroll'!M$1,FALSE)-VLOOKUP($A109,EnrollData2324,'2324 Jun 24 Enroll'!J$1,FALSE)='District Calculations'!$B$16+'District Calculations'!$B$25-'District Calculations'!$B$17,VLOOKUP($A109,EnrollData2324,'2324 Jun 24 Enroll'!I$1,FALSE)+VLOOKUP($A109,EnrollData2324,'2324 Jun 24 Enroll'!M$1,FALSE)-VLOOKUP($A109,EnrollData2324,'2324 Jun 24 Enroll'!J$1,FALSE),'District Calculations'!$B$16+'District Calculations'!$B$25-'District Calculations'!$B$17)*Apport_218A2324,3)</f>
        <v>19.917999999999999</v>
      </c>
      <c r="Z109">
        <f>ROUND(SUM(T109:Y109)/IF(VLOOKUP($A109,EnrollData2324,'2324 Jun 24 Enroll'!M$1,FALSE)+VLOOKUP($A109,EnrollData2324,'2324 Jun 24 Enroll'!D$1,FALSE)='District Calculations'!$B$25+'District Calculations'!$B$11,VLOOKUP($A109,EnrollData2324,'2324 Jun 24 Enroll'!M$1,FALSE)+VLOOKUP($A109,EnrollData2324,'2324 Jun 24 Enroll'!D$1,FALSE),'District Calculations'!$B$25+'District Calculations'!$B$11),5)</f>
        <v>1.7399999999999999E-2</v>
      </c>
      <c r="AA109" s="6">
        <f>ROUND($J109*CIS_Base_Salary2324*VLOOKUP($A109,EnrollData2324,'2324 Jun 24 Enroll'!S$1,FALSE),2)</f>
        <v>4523.22</v>
      </c>
      <c r="AB109" s="6">
        <f>ROUND($J109*CIS_Inc_Salary2324*(VLOOKUP($A109,EnrollData2324,'2324 Jun 24 Enroll'!T$1,FALSE)+VLOOKUP($A109,EnrollData2324,'2324 Jun 24 Enroll'!U$1,FALSE)),2)-AA109</f>
        <v>167.35999999999967</v>
      </c>
      <c r="AC109" s="6">
        <f>ROUND($R109*CAS_Base_Salary2324*VLOOKUP($A109,EnrollData2324,'2324 Jun 24 Enroll'!S$1,FALSE),2)</f>
        <v>495.73</v>
      </c>
      <c r="AD109" s="6">
        <f>ROUND($R109*CAS_Inc_Salary2324*VLOOKUP($A109,EnrollData2324,'2324 Jun 24 Enroll'!T$1,FALSE),2)-AC109</f>
        <v>18.340000000000032</v>
      </c>
      <c r="AE109" s="6">
        <f>ROUND($Z109*CLS_Base_Salary2324*VLOOKUP($A109,EnrollData2324,'2324 Jun 24 Enroll'!S$1,FALSE),2)</f>
        <v>1016.75</v>
      </c>
      <c r="AF109" s="6">
        <f>ROUND($Z109*CLS_Inc_Salary2324*VLOOKUP($A109,EnrollData2324,'2324 Jun 24 Enroll'!T$1,FALSE),2)-AE109</f>
        <v>37.6099999999999</v>
      </c>
      <c r="AG109">
        <f t="shared" si="35"/>
        <v>734.16</v>
      </c>
      <c r="AH109" s="69">
        <f t="shared" si="39"/>
        <v>68.700000000000045</v>
      </c>
      <c r="AI109">
        <f t="shared" si="36"/>
        <v>214.23</v>
      </c>
      <c r="AJ109">
        <f t="shared" si="40"/>
        <v>114.21000000000001</v>
      </c>
      <c r="AK109">
        <f t="shared" si="41"/>
        <v>901.91</v>
      </c>
      <c r="AL109">
        <f t="shared" si="42"/>
        <v>32.18</v>
      </c>
      <c r="AM109">
        <f t="shared" si="43"/>
        <v>224.3</v>
      </c>
      <c r="AN109">
        <f t="shared" si="44"/>
        <v>6.98</v>
      </c>
      <c r="AO109">
        <f>ROUND(($J109*CIS_Inc_Salary2324*(VLOOKUP($A109,EnrollData2324,'2324 Jun 24 Enroll'!T$1,FALSE)+VLOOKUP($A109,EnrollData2324,'2324 Jun 24 Enroll'!U$1,FALSE))/Apport_613Xpd)*Apport_614Xpd,2)</f>
        <v>78.180000000000007</v>
      </c>
      <c r="AP109">
        <f t="shared" si="45"/>
        <v>13.55</v>
      </c>
      <c r="AQ109">
        <f t="shared" si="46"/>
        <v>30.93</v>
      </c>
      <c r="AR109" s="6">
        <f>ROUND((VLOOKUP($A109,EnrollData2324,'2324 Jun 24 Enroll'!D$1,FALSE)*Apport_M802324+VLOOKUP($A109,EnrollData2324,'2324 Jun 24 Enroll'!M$1,FALSE)*Apport_M802324+(VLOOKUP($A109,EnrollData2324,'2324 Jun 24 Enroll'!P$1,FALSE)+VLOOKUP($A109,EnrollData2324,'2324 Jun 24 Enroll'!Q$1,FALSE)+VLOOKUP($A109,EnrollData2324,'2324 Jun 24 Enroll'!R$1,FALSE)+VLOOKUP($A109,EnrollData2324,'2324 Jun 24 Enroll'!I$1,FALSE)+VLOOKUP($A109,EnrollData2324,'2324 Jun 24 Enroll'!N$1,FALSE)+VLOOKUP($A109,EnrollData2324,'2324 Jun 24 Enroll'!O$1,FALSE)+VLOOKUP($A109,EnrollData2324,'2324 Jun 24 Enroll'!K$1,FALSE)+VLOOKUP($A109,EnrollData2324,'2324 Jun 24 Enroll'!L$1,FALSE))*Apport_M812324)/(VLOOKUP($A109,EnrollData2324,'2324 Jun 24 Enroll'!M$1,FALSE)+VLOOKUP($A109,EnrollData2324,'2324 Jun 24 Enroll'!D$1,FALSE)),2)</f>
        <v>1553.11</v>
      </c>
      <c r="AS109" s="7">
        <f t="shared" si="47"/>
        <v>10231.449999999999</v>
      </c>
    </row>
    <row r="110" spans="1:45">
      <c r="A110" s="40" t="s">
        <v>410</v>
      </c>
      <c r="B110" s="40" t="s">
        <v>411</v>
      </c>
      <c r="C110" s="11">
        <f>ROUND((IFERROR((1/IF(VLOOKUP($A110,EnrollData2324,28,FALSE)='District Calculations'!$B$10,VLOOKUP($A110,EnrollData2324,28,FALSE),'District Calculations'!$B$10))*(1+Apport_Z315),0))+Apport_201A2324,6)</f>
        <v>7.3449E-2</v>
      </c>
      <c r="D110">
        <f>ROUND(IF(VLOOKUP($A110,EnrollData2324,'2324 Jun 24 Enroll'!D$1,FALSE)='District Calculations'!$B$11,VLOOKUP($A110,EnrollData2324,'2324 Jun 24 Enroll'!D$1,FALSE),'District Calculations'!$B$11)*C110,3)</f>
        <v>0</v>
      </c>
      <c r="E110">
        <f>ROUND(IF(VLOOKUP($A110,EnrollData2324,'2324 Jun 24 Enroll'!E$1,FALSE)='District Calculations'!$B$12,VLOOKUP($A110,EnrollData2324,'2324 Jun 24 Enroll'!E$1,FALSE),'District Calculations'!$B$12)*C110,3)</f>
        <v>59.53</v>
      </c>
      <c r="F110">
        <f>ROUND(IF(VLOOKUP($A110,EnrollData2324,'2324 Jun 24 Enroll'!F$1,FALSE)='District Calculations'!$B$13,VLOOKUP($A110,EnrollData2324,'2324 Jun 24 Enroll'!F$1,FALSE),'District Calculations'!$B$13)*Apport_222A2324,3)</f>
        <v>10.101000000000001</v>
      </c>
      <c r="G110">
        <f>ROUND(IF(VLOOKUP($A110,EnrollData2324,'2324 Jun 24 Enroll'!G$1,FALSE)='District Calculations'!$B$14,VLOOKUP($A110,EnrollData2324,'2324 Jun 24 Enroll'!G$1,FALSE),'District Calculations'!$B$14)*Apport_210A2324,3)</f>
        <v>22.395</v>
      </c>
      <c r="H110">
        <f>ROUND(IF(VLOOKUP($A110,EnrollData2324,'2324 Jun 24 Enroll'!H$1,FALSE)='District Calculations'!$B$15,VLOOKUP($A110,EnrollData2324,'2324 Jun 24 Enroll'!H$1,FALSE),'District Calculations'!$B$15)*Apport_213A2324,3)</f>
        <v>23.091999999999999</v>
      </c>
      <c r="I110">
        <f>ROUND(IF(VLOOKUP($A110,EnrollData2324,'2324 Jun 24 Enroll'!I$1,FALSE)+VLOOKUP($A110,EnrollData2324,'2324 Jun 24 Enroll'!M$1,FALSE)-VLOOKUP($A110,EnrollData2324,'2324 Jun 24 Enroll'!J$1,FALSE)='District Calculations'!$B$16+'District Calculations'!$B$25-'District Calculations'!$B$17,VLOOKUP($A110,EnrollData2324,'2324 Jun 24 Enroll'!I$1,FALSE)+VLOOKUP($A110,EnrollData2324,'2324 Jun 24 Enroll'!M$1,FALSE)-VLOOKUP($A110,EnrollData2324,'2324 Jun 24 Enroll'!J$1,FALSE),'District Calculations'!$B$16+'District Calculations'!$B$25-'District Calculations'!$B$17)*Apport_216A2324,3)</f>
        <v>58.183999999999997</v>
      </c>
      <c r="J110">
        <f>ROUND(SUM(D110:I110)/(IF(VLOOKUP($A110,EnrollData2324,'2324 Jun 24 Enroll'!M$1,FALSE)='District Calculations'!$B$25,VLOOKUP($A110,EnrollData2324,'2324 Jun 24 Enroll'!M$1,FALSE),'District Calculations'!$B$25)+IF(VLOOKUP($A110,EnrollData2324,'2324 Jun 24 Enroll'!D$1,FALSE)='District Calculations'!$B$11,VLOOKUP($A110,EnrollData2324,'2324 Jun 24 Enroll'!D$1,FALSE),'District Calculations'!$B$11)),5)</f>
        <v>5.5530000000000003E-2</v>
      </c>
      <c r="K110" s="11">
        <f t="shared" si="37"/>
        <v>4.365E-3</v>
      </c>
      <c r="L110">
        <f>ROUND(IF(VLOOKUP($A110,EnrollData2324,'2324 Jun 24 Enroll'!D$1,FALSE)='District Calculations'!$B$11,VLOOKUP($A110,EnrollData2324,'2324 Jun 24 Enroll'!D$1,FALSE),'District Calculations'!$B$11)*K110,3)</f>
        <v>0</v>
      </c>
      <c r="M110">
        <f>ROUND(IF(VLOOKUP($A110,EnrollData2324,'2324 Jun 24 Enroll'!E$1,FALSE)='District Calculations'!$B$12,VLOOKUP($A110,EnrollData2324,'2324 Jun 24 Enroll'!E$1,FALSE),'District Calculations'!$B$12)*K110,3)</f>
        <v>3.5379999999999998</v>
      </c>
      <c r="N110">
        <f>ROUND(IF(VLOOKUP($A110,EnrollData2324,'2324 Jun 24 Enroll'!F$1,FALSE)='District Calculations'!$B$13,VLOOKUP($A110,EnrollData2324,'2324 Jun 24 Enroll'!F$1,FALSE),'District Calculations'!$B$13)*Apport_223A2324,3)</f>
        <v>0.84199999999999997</v>
      </c>
      <c r="O110">
        <f>ROUND(IF(VLOOKUP($A110,EnrollData2324,'2324 Jun 24 Enroll'!G$1,FALSE)='District Calculations'!$B$14,VLOOKUP($A110,EnrollData2324,'2324 Jun 24 Enroll'!G$1,FALSE),'District Calculations'!$B$14)*Apport_211A2324,3)</f>
        <v>1.867</v>
      </c>
      <c r="P110">
        <f>ROUND(IF(VLOOKUP($A110,EnrollData2324,'2324 Jun 24 Enroll'!H$1,FALSE)='District Calculations'!$B$14,VLOOKUP($A110,EnrollData2324,'2324 Jun 24 Enroll'!H$1,FALSE),'District Calculations'!$B$14)*Apport_214A2324,3)</f>
        <v>1.8660000000000001</v>
      </c>
      <c r="Q110">
        <f>ROUND(IF(VLOOKUP($A110,EnrollData2324,'2324 Jun 24 Enroll'!I$1,FALSE)+VLOOKUP($A110,EnrollData2324,'2324 Jun 24 Enroll'!M$1,FALSE)-VLOOKUP($A110,EnrollData2324,'2324 Jun 24 Enroll'!J$1,FALSE)='District Calculations'!$B$16+'District Calculations'!$B$25-'District Calculations'!$B$17,VLOOKUP($A110,EnrollData2324,'2324 Jun 24 Enroll'!I$1,FALSE)+VLOOKUP($A110,EnrollData2324,'2324 Jun 24 Enroll'!M$1,FALSE)-VLOOKUP($A110,EnrollData2324,'2324 Jun 24 Enroll'!J$1,FALSE),'District Calculations'!$B$16+'District Calculations'!$B$25-'District Calculations'!$B$17)*Apport_217A2324,3)</f>
        <v>4.6980000000000004</v>
      </c>
      <c r="R110">
        <f>ROUND(SUM(L110:Q110)/IF(VLOOKUP($A110,EnrollData2324,'2324 Jun 24 Enroll'!M$1,FALSE)+VLOOKUP($A110,EnrollData2324,'2324 Jun 24 Enroll'!D$1,FALSE)='District Calculations'!$B$25+'District Calculations'!$B$11,VLOOKUP($A110,EnrollData2324,'2324 Jun 24 Enroll'!M$1,FALSE)+VLOOKUP($A110,EnrollData2324,'2324 Jun 24 Enroll'!D$1,FALSE),'District Calculations'!$B$25+'District Calculations'!$B$11),5)</f>
        <v>4.1000000000000003E-3</v>
      </c>
      <c r="S110" s="11">
        <f t="shared" si="38"/>
        <v>1.8294500000000002E-2</v>
      </c>
      <c r="T110">
        <f>ROUND(IF(VLOOKUP($A110,EnrollData2324,'2324 Jun 24 Enroll'!D$1,FALSE)='District Calculations'!$B$11,VLOOKUP($A110,EnrollData2324,'2324 Jun 24 Enroll'!D$1,FALSE),'District Calculations'!$B$11)*S110,3)</f>
        <v>0</v>
      </c>
      <c r="U110">
        <f>ROUND(IF(VLOOKUP($A110,EnrollData2324,'2324 Jun 24 Enroll'!E$1,FALSE)='District Calculations'!$B$12,VLOOKUP($A110,EnrollData2324,'2324 Jun 24 Enroll'!E$1,FALSE),'District Calculations'!$B$12)*S110,3)</f>
        <v>14.827999999999999</v>
      </c>
      <c r="V110">
        <f>ROUND(IF(VLOOKUP($A110,EnrollData2324,'2324 Jun 24 Enroll'!F$1,FALSE)='District Calculations'!$B$13,VLOOKUP($A110,EnrollData2324,'2324 Jun 24 Enroll'!F$1,FALSE),'District Calculations'!$B$13)*Apport_224A2324,3)</f>
        <v>3.6190000000000002</v>
      </c>
      <c r="W110">
        <f>ROUND(IF(VLOOKUP($A110,EnrollData2324,'2324 Jun 24 Enroll'!G$1,FALSE)='District Calculations'!$B$14,VLOOKUP($A110,EnrollData2324,'2324 Jun 24 Enroll'!G$1,FALSE),'District Calculations'!$B$14)*Apport_212A2324,3)</f>
        <v>8.0239999999999991</v>
      </c>
      <c r="X110">
        <f>ROUND(IF(VLOOKUP($A110,EnrollData2324,'2324 Jun 24 Enroll'!H$1,FALSE)='District Calculations'!$B$14,VLOOKUP($A110,EnrollData2324,'2324 Jun 24 Enroll'!H$1,FALSE),'District Calculations'!$B$14)*Apport_215A2324,3)</f>
        <v>7.9279999999999999</v>
      </c>
      <c r="Y110">
        <f>ROUND(IF(VLOOKUP($A110,EnrollData2324,'2324 Jun 24 Enroll'!I$1,FALSE)+VLOOKUP($A110,EnrollData2324,'2324 Jun 24 Enroll'!M$1,FALSE)-VLOOKUP($A110,EnrollData2324,'2324 Jun 24 Enroll'!J$1,FALSE)='District Calculations'!$B$16+'District Calculations'!$B$25-'District Calculations'!$B$17,VLOOKUP($A110,EnrollData2324,'2324 Jun 24 Enroll'!I$1,FALSE)+VLOOKUP($A110,EnrollData2324,'2324 Jun 24 Enroll'!M$1,FALSE)-VLOOKUP($A110,EnrollData2324,'2324 Jun 24 Enroll'!J$1,FALSE),'District Calculations'!$B$16+'District Calculations'!$B$25-'District Calculations'!$B$17)*Apport_218A2324,3)</f>
        <v>19.917999999999999</v>
      </c>
      <c r="Z110">
        <f>ROUND(SUM(T110:Y110)/IF(VLOOKUP($A110,EnrollData2324,'2324 Jun 24 Enroll'!M$1,FALSE)+VLOOKUP($A110,EnrollData2324,'2324 Jun 24 Enroll'!D$1,FALSE)='District Calculations'!$B$25+'District Calculations'!$B$11,VLOOKUP($A110,EnrollData2324,'2324 Jun 24 Enroll'!M$1,FALSE)+VLOOKUP($A110,EnrollData2324,'2324 Jun 24 Enroll'!D$1,FALSE),'District Calculations'!$B$25+'District Calculations'!$B$11),5)</f>
        <v>1.7399999999999999E-2</v>
      </c>
      <c r="AA110" s="6">
        <f>ROUND($J110*CIS_Base_Salary2324*VLOOKUP($A110,EnrollData2324,'2324 Jun 24 Enroll'!S$1,FALSE),2)</f>
        <v>4523.22</v>
      </c>
      <c r="AB110" s="6">
        <f>ROUND($J110*CIS_Inc_Salary2324*(VLOOKUP($A110,EnrollData2324,'2324 Jun 24 Enroll'!T$1,FALSE)+VLOOKUP($A110,EnrollData2324,'2324 Jun 24 Enroll'!U$1,FALSE)),2)-AA110</f>
        <v>251.11999999999989</v>
      </c>
      <c r="AC110" s="6">
        <f>ROUND($R110*CAS_Base_Salary2324*VLOOKUP($A110,EnrollData2324,'2324 Jun 24 Enroll'!S$1,FALSE),2)</f>
        <v>495.73</v>
      </c>
      <c r="AD110" s="6">
        <f>ROUND($R110*CAS_Inc_Salary2324*VLOOKUP($A110,EnrollData2324,'2324 Jun 24 Enroll'!T$1,FALSE),2)-AC110</f>
        <v>18.340000000000032</v>
      </c>
      <c r="AE110" s="6">
        <f>ROUND($Z110*CLS_Base_Salary2324*VLOOKUP($A110,EnrollData2324,'2324 Jun 24 Enroll'!S$1,FALSE),2)</f>
        <v>1016.75</v>
      </c>
      <c r="AF110" s="6">
        <f>ROUND($Z110*CLS_Inc_Salary2324*VLOOKUP($A110,EnrollData2324,'2324 Jun 24 Enroll'!T$1,FALSE),2)-AE110</f>
        <v>37.6099999999999</v>
      </c>
      <c r="AG110">
        <f t="shared" si="35"/>
        <v>734.16</v>
      </c>
      <c r="AH110" s="69">
        <f t="shared" si="39"/>
        <v>68.700000000000045</v>
      </c>
      <c r="AI110">
        <f t="shared" si="36"/>
        <v>214.23</v>
      </c>
      <c r="AJ110">
        <f t="shared" si="40"/>
        <v>114.21000000000001</v>
      </c>
      <c r="AK110">
        <f t="shared" si="41"/>
        <v>901.91</v>
      </c>
      <c r="AL110">
        <f t="shared" si="42"/>
        <v>46.7</v>
      </c>
      <c r="AM110">
        <f t="shared" si="43"/>
        <v>224.3</v>
      </c>
      <c r="AN110">
        <f t="shared" si="44"/>
        <v>6.98</v>
      </c>
      <c r="AO110">
        <f>ROUND(($J110*CIS_Inc_Salary2324*(VLOOKUP($A110,EnrollData2324,'2324 Jun 24 Enroll'!T$1,FALSE)+VLOOKUP($A110,EnrollData2324,'2324 Jun 24 Enroll'!U$1,FALSE))/Apport_613Xpd)*Apport_614Xpd,2)</f>
        <v>79.569999999999993</v>
      </c>
      <c r="AP110">
        <f t="shared" si="45"/>
        <v>13.79</v>
      </c>
      <c r="AQ110">
        <f t="shared" si="46"/>
        <v>30.93</v>
      </c>
      <c r="AR110" s="6">
        <f>ROUND((VLOOKUP($A110,EnrollData2324,'2324 Jun 24 Enroll'!D$1,FALSE)*Apport_M802324+VLOOKUP($A110,EnrollData2324,'2324 Jun 24 Enroll'!M$1,FALSE)*Apport_M802324+(VLOOKUP($A110,EnrollData2324,'2324 Jun 24 Enroll'!P$1,FALSE)+VLOOKUP($A110,EnrollData2324,'2324 Jun 24 Enroll'!Q$1,FALSE)+VLOOKUP($A110,EnrollData2324,'2324 Jun 24 Enroll'!R$1,FALSE)+VLOOKUP($A110,EnrollData2324,'2324 Jun 24 Enroll'!I$1,FALSE)+VLOOKUP($A110,EnrollData2324,'2324 Jun 24 Enroll'!N$1,FALSE)+VLOOKUP($A110,EnrollData2324,'2324 Jun 24 Enroll'!O$1,FALSE)+VLOOKUP($A110,EnrollData2324,'2324 Jun 24 Enroll'!K$1,FALSE)+VLOOKUP($A110,EnrollData2324,'2324 Jun 24 Enroll'!L$1,FALSE))*Apport_M812324)/(VLOOKUP($A110,EnrollData2324,'2324 Jun 24 Enroll'!M$1,FALSE)+VLOOKUP($A110,EnrollData2324,'2324 Jun 24 Enroll'!D$1,FALSE)),2)</f>
        <v>1545.27</v>
      </c>
      <c r="AS110" s="7">
        <f t="shared" si="47"/>
        <v>10323.52</v>
      </c>
    </row>
    <row r="111" spans="1:45">
      <c r="A111" s="40" t="s">
        <v>777</v>
      </c>
      <c r="B111" s="40" t="s">
        <v>778</v>
      </c>
      <c r="C111" s="11">
        <f>ROUND((IFERROR((1/IF(VLOOKUP($A111,EnrollData2324,28,FALSE)='District Calculations'!$B$10,VLOOKUP($A111,EnrollData2324,28,FALSE),'District Calculations'!$B$10))*(1+Apport_Z315),0))+Apport_201A2324,6)</f>
        <v>7.3449E-2</v>
      </c>
      <c r="D111">
        <f>ROUND(IF(VLOOKUP($A111,EnrollData2324,'2324 Jun 24 Enroll'!D$1,FALSE)='District Calculations'!$B$11,VLOOKUP($A111,EnrollData2324,'2324 Jun 24 Enroll'!D$1,FALSE),'District Calculations'!$B$11)*C111,3)</f>
        <v>0</v>
      </c>
      <c r="E111">
        <f>ROUND(IF(VLOOKUP($A111,EnrollData2324,'2324 Jun 24 Enroll'!E$1,FALSE)='District Calculations'!$B$12,VLOOKUP($A111,EnrollData2324,'2324 Jun 24 Enroll'!E$1,FALSE),'District Calculations'!$B$12)*C111,3)</f>
        <v>59.53</v>
      </c>
      <c r="F111">
        <f>ROUND(IF(VLOOKUP($A111,EnrollData2324,'2324 Jun 24 Enroll'!F$1,FALSE)='District Calculations'!$B$13,VLOOKUP($A111,EnrollData2324,'2324 Jun 24 Enroll'!F$1,FALSE),'District Calculations'!$B$13)*Apport_222A2324,3)</f>
        <v>10.101000000000001</v>
      </c>
      <c r="G111">
        <f>ROUND(IF(VLOOKUP($A111,EnrollData2324,'2324 Jun 24 Enroll'!G$1,FALSE)='District Calculations'!$B$14,VLOOKUP($A111,EnrollData2324,'2324 Jun 24 Enroll'!G$1,FALSE),'District Calculations'!$B$14)*Apport_210A2324,3)</f>
        <v>22.395</v>
      </c>
      <c r="H111">
        <f>ROUND(IF(VLOOKUP($A111,EnrollData2324,'2324 Jun 24 Enroll'!H$1,FALSE)='District Calculations'!$B$15,VLOOKUP($A111,EnrollData2324,'2324 Jun 24 Enroll'!H$1,FALSE),'District Calculations'!$B$15)*Apport_213A2324,3)</f>
        <v>23.091999999999999</v>
      </c>
      <c r="I111">
        <f>ROUND(IF(VLOOKUP($A111,EnrollData2324,'2324 Jun 24 Enroll'!I$1,FALSE)+VLOOKUP($A111,EnrollData2324,'2324 Jun 24 Enroll'!M$1,FALSE)-VLOOKUP($A111,EnrollData2324,'2324 Jun 24 Enroll'!J$1,FALSE)='District Calculations'!$B$16+'District Calculations'!$B$25-'District Calculations'!$B$17,VLOOKUP($A111,EnrollData2324,'2324 Jun 24 Enroll'!I$1,FALSE)+VLOOKUP($A111,EnrollData2324,'2324 Jun 24 Enroll'!M$1,FALSE)-VLOOKUP($A111,EnrollData2324,'2324 Jun 24 Enroll'!J$1,FALSE),'District Calculations'!$B$16+'District Calculations'!$B$25-'District Calculations'!$B$17)*Apport_216A2324,3)</f>
        <v>58.183999999999997</v>
      </c>
      <c r="J111">
        <f>ROUND(SUM(D111:I111)/(IF(VLOOKUP($A111,EnrollData2324,'2324 Jun 24 Enroll'!M$1,FALSE)='District Calculations'!$B$25,VLOOKUP($A111,EnrollData2324,'2324 Jun 24 Enroll'!M$1,FALSE),'District Calculations'!$B$25)+IF(VLOOKUP($A111,EnrollData2324,'2324 Jun 24 Enroll'!D$1,FALSE)='District Calculations'!$B$11,VLOOKUP($A111,EnrollData2324,'2324 Jun 24 Enroll'!D$1,FALSE),'District Calculations'!$B$11)),5)</f>
        <v>5.5530000000000003E-2</v>
      </c>
      <c r="K111" s="11">
        <f t="shared" si="37"/>
        <v>4.365E-3</v>
      </c>
      <c r="L111">
        <f>ROUND(IF(VLOOKUP($A111,EnrollData2324,'2324 Jun 24 Enroll'!D$1,FALSE)='District Calculations'!$B$11,VLOOKUP($A111,EnrollData2324,'2324 Jun 24 Enroll'!D$1,FALSE),'District Calculations'!$B$11)*K111,3)</f>
        <v>0</v>
      </c>
      <c r="M111">
        <f>ROUND(IF(VLOOKUP($A111,EnrollData2324,'2324 Jun 24 Enroll'!E$1,FALSE)='District Calculations'!$B$12,VLOOKUP($A111,EnrollData2324,'2324 Jun 24 Enroll'!E$1,FALSE),'District Calculations'!$B$12)*K111,3)</f>
        <v>3.5379999999999998</v>
      </c>
      <c r="N111">
        <f>ROUND(IF(VLOOKUP($A111,EnrollData2324,'2324 Jun 24 Enroll'!F$1,FALSE)='District Calculations'!$B$13,VLOOKUP($A111,EnrollData2324,'2324 Jun 24 Enroll'!F$1,FALSE),'District Calculations'!$B$13)*Apport_223A2324,3)</f>
        <v>0.84199999999999997</v>
      </c>
      <c r="O111">
        <f>ROUND(IF(VLOOKUP($A111,EnrollData2324,'2324 Jun 24 Enroll'!G$1,FALSE)='District Calculations'!$B$14,VLOOKUP($A111,EnrollData2324,'2324 Jun 24 Enroll'!G$1,FALSE),'District Calculations'!$B$14)*Apport_211A2324,3)</f>
        <v>1.867</v>
      </c>
      <c r="P111">
        <f>ROUND(IF(VLOOKUP($A111,EnrollData2324,'2324 Jun 24 Enroll'!H$1,FALSE)='District Calculations'!$B$14,VLOOKUP($A111,EnrollData2324,'2324 Jun 24 Enroll'!H$1,FALSE),'District Calculations'!$B$14)*Apport_214A2324,3)</f>
        <v>1.8660000000000001</v>
      </c>
      <c r="Q111">
        <f>ROUND(IF(VLOOKUP($A111,EnrollData2324,'2324 Jun 24 Enroll'!I$1,FALSE)+VLOOKUP($A111,EnrollData2324,'2324 Jun 24 Enroll'!M$1,FALSE)-VLOOKUP($A111,EnrollData2324,'2324 Jun 24 Enroll'!J$1,FALSE)='District Calculations'!$B$16+'District Calculations'!$B$25-'District Calculations'!$B$17,VLOOKUP($A111,EnrollData2324,'2324 Jun 24 Enroll'!I$1,FALSE)+VLOOKUP($A111,EnrollData2324,'2324 Jun 24 Enroll'!M$1,FALSE)-VLOOKUP($A111,EnrollData2324,'2324 Jun 24 Enroll'!J$1,FALSE),'District Calculations'!$B$16+'District Calculations'!$B$25-'District Calculations'!$B$17)*Apport_217A2324,3)</f>
        <v>4.6980000000000004</v>
      </c>
      <c r="R111">
        <f>ROUND(SUM(L111:Q111)/IF(VLOOKUP($A111,EnrollData2324,'2324 Jun 24 Enroll'!M$1,FALSE)+VLOOKUP($A111,EnrollData2324,'2324 Jun 24 Enroll'!D$1,FALSE)='District Calculations'!$B$25+'District Calculations'!$B$11,VLOOKUP($A111,EnrollData2324,'2324 Jun 24 Enroll'!M$1,FALSE)+VLOOKUP($A111,EnrollData2324,'2324 Jun 24 Enroll'!D$1,FALSE),'District Calculations'!$B$25+'District Calculations'!$B$11),5)</f>
        <v>4.1000000000000003E-3</v>
      </c>
      <c r="S111" s="11">
        <f t="shared" si="38"/>
        <v>1.8294500000000002E-2</v>
      </c>
      <c r="T111">
        <f>ROUND(IF(VLOOKUP($A111,EnrollData2324,'2324 Jun 24 Enroll'!D$1,FALSE)='District Calculations'!$B$11,VLOOKUP($A111,EnrollData2324,'2324 Jun 24 Enroll'!D$1,FALSE),'District Calculations'!$B$11)*S111,3)</f>
        <v>0</v>
      </c>
      <c r="U111">
        <f>ROUND(IF(VLOOKUP($A111,EnrollData2324,'2324 Jun 24 Enroll'!E$1,FALSE)='District Calculations'!$B$12,VLOOKUP($A111,EnrollData2324,'2324 Jun 24 Enroll'!E$1,FALSE),'District Calculations'!$B$12)*S111,3)</f>
        <v>14.827999999999999</v>
      </c>
      <c r="V111">
        <f>ROUND(IF(VLOOKUP($A111,EnrollData2324,'2324 Jun 24 Enroll'!F$1,FALSE)='District Calculations'!$B$13,VLOOKUP($A111,EnrollData2324,'2324 Jun 24 Enroll'!F$1,FALSE),'District Calculations'!$B$13)*Apport_224A2324,3)</f>
        <v>3.6190000000000002</v>
      </c>
      <c r="W111">
        <f>ROUND(IF(VLOOKUP($A111,EnrollData2324,'2324 Jun 24 Enroll'!G$1,FALSE)='District Calculations'!$B$14,VLOOKUP($A111,EnrollData2324,'2324 Jun 24 Enroll'!G$1,FALSE),'District Calculations'!$B$14)*Apport_212A2324,3)</f>
        <v>8.0239999999999991</v>
      </c>
      <c r="X111">
        <f>ROUND(IF(VLOOKUP($A111,EnrollData2324,'2324 Jun 24 Enroll'!H$1,FALSE)='District Calculations'!$B$14,VLOOKUP($A111,EnrollData2324,'2324 Jun 24 Enroll'!H$1,FALSE),'District Calculations'!$B$14)*Apport_215A2324,3)</f>
        <v>7.9279999999999999</v>
      </c>
      <c r="Y111">
        <f>ROUND(IF(VLOOKUP($A111,EnrollData2324,'2324 Jun 24 Enroll'!I$1,FALSE)+VLOOKUP($A111,EnrollData2324,'2324 Jun 24 Enroll'!M$1,FALSE)-VLOOKUP($A111,EnrollData2324,'2324 Jun 24 Enroll'!J$1,FALSE)='District Calculations'!$B$16+'District Calculations'!$B$25-'District Calculations'!$B$17,VLOOKUP($A111,EnrollData2324,'2324 Jun 24 Enroll'!I$1,FALSE)+VLOOKUP($A111,EnrollData2324,'2324 Jun 24 Enroll'!M$1,FALSE)-VLOOKUP($A111,EnrollData2324,'2324 Jun 24 Enroll'!J$1,FALSE),'District Calculations'!$B$16+'District Calculations'!$B$25-'District Calculations'!$B$17)*Apport_218A2324,3)</f>
        <v>19.917999999999999</v>
      </c>
      <c r="Z111">
        <f>ROUND(SUM(T111:Y111)/IF(VLOOKUP($A111,EnrollData2324,'2324 Jun 24 Enroll'!M$1,FALSE)+VLOOKUP($A111,EnrollData2324,'2324 Jun 24 Enroll'!D$1,FALSE)='District Calculations'!$B$25+'District Calculations'!$B$11,VLOOKUP($A111,EnrollData2324,'2324 Jun 24 Enroll'!M$1,FALSE)+VLOOKUP($A111,EnrollData2324,'2324 Jun 24 Enroll'!D$1,FALSE),'District Calculations'!$B$25+'District Calculations'!$B$11),5)</f>
        <v>1.7399999999999999E-2</v>
      </c>
      <c r="AA111" s="6">
        <f>ROUND($J111*CIS_Base_Salary2324*VLOOKUP($A111,EnrollData2324,'2324 Jun 24 Enroll'!S$1,FALSE),2)</f>
        <v>4765.53</v>
      </c>
      <c r="AB111" s="6">
        <f>ROUND($J111*CIS_Inc_Salary2324*(VLOOKUP($A111,EnrollData2324,'2324 Jun 24 Enroll'!T$1,FALSE)+VLOOKUP($A111,EnrollData2324,'2324 Jun 24 Enroll'!U$1,FALSE)),2)-AA111</f>
        <v>260.09000000000015</v>
      </c>
      <c r="AC111" s="6">
        <f>ROUND($R111*CAS_Base_Salary2324*VLOOKUP($A111,EnrollData2324,'2324 Jun 24 Enroll'!S$1,FALSE),2)</f>
        <v>522.29</v>
      </c>
      <c r="AD111" s="6">
        <f>ROUND($R111*CAS_Inc_Salary2324*VLOOKUP($A111,EnrollData2324,'2324 Jun 24 Enroll'!T$1,FALSE),2)-AC111</f>
        <v>19.32000000000005</v>
      </c>
      <c r="AE111" s="6">
        <f>ROUND($Z111*CLS_Base_Salary2324*VLOOKUP($A111,EnrollData2324,'2324 Jun 24 Enroll'!S$1,FALSE),2)</f>
        <v>1071.22</v>
      </c>
      <c r="AF111" s="6">
        <f>ROUND($Z111*CLS_Inc_Salary2324*VLOOKUP($A111,EnrollData2324,'2324 Jun 24 Enroll'!T$1,FALSE),2)-AE111</f>
        <v>39.619999999999891</v>
      </c>
      <c r="AG111">
        <f t="shared" si="35"/>
        <v>734.16</v>
      </c>
      <c r="AH111" s="69">
        <f t="shared" si="39"/>
        <v>68.700000000000045</v>
      </c>
      <c r="AI111">
        <f t="shared" si="36"/>
        <v>214.23</v>
      </c>
      <c r="AJ111">
        <f t="shared" si="40"/>
        <v>114.21000000000001</v>
      </c>
      <c r="AK111">
        <f t="shared" si="41"/>
        <v>950.22</v>
      </c>
      <c r="AL111">
        <f t="shared" si="42"/>
        <v>48.42</v>
      </c>
      <c r="AM111">
        <f t="shared" si="43"/>
        <v>236.31</v>
      </c>
      <c r="AN111">
        <f t="shared" si="44"/>
        <v>7.35</v>
      </c>
      <c r="AO111">
        <f>ROUND(($J111*CIS_Inc_Salary2324*(VLOOKUP($A111,EnrollData2324,'2324 Jun 24 Enroll'!T$1,FALSE)+VLOOKUP($A111,EnrollData2324,'2324 Jun 24 Enroll'!U$1,FALSE))/Apport_613Xpd)*Apport_614Xpd,2)</f>
        <v>83.76</v>
      </c>
      <c r="AP111">
        <f t="shared" si="45"/>
        <v>14.52</v>
      </c>
      <c r="AQ111">
        <f t="shared" si="46"/>
        <v>30.93</v>
      </c>
      <c r="AR111" s="6">
        <f>ROUND((VLOOKUP($A111,EnrollData2324,'2324 Jun 24 Enroll'!D$1,FALSE)*Apport_M802324+VLOOKUP($A111,EnrollData2324,'2324 Jun 24 Enroll'!M$1,FALSE)*Apport_M802324+(VLOOKUP($A111,EnrollData2324,'2324 Jun 24 Enroll'!P$1,FALSE)+VLOOKUP($A111,EnrollData2324,'2324 Jun 24 Enroll'!Q$1,FALSE)+VLOOKUP($A111,EnrollData2324,'2324 Jun 24 Enroll'!R$1,FALSE)+VLOOKUP($A111,EnrollData2324,'2324 Jun 24 Enroll'!I$1,FALSE)+VLOOKUP($A111,EnrollData2324,'2324 Jun 24 Enroll'!N$1,FALSE)+VLOOKUP($A111,EnrollData2324,'2324 Jun 24 Enroll'!O$1,FALSE)+VLOOKUP($A111,EnrollData2324,'2324 Jun 24 Enroll'!K$1,FALSE)+VLOOKUP($A111,EnrollData2324,'2324 Jun 24 Enroll'!L$1,FALSE))*Apport_M812324)/(VLOOKUP($A111,EnrollData2324,'2324 Jun 24 Enroll'!M$1,FALSE)+VLOOKUP($A111,EnrollData2324,'2324 Jun 24 Enroll'!D$1,FALSE)),2)</f>
        <v>1562.56</v>
      </c>
      <c r="AS111" s="7">
        <f t="shared" si="47"/>
        <v>10743.439999999999</v>
      </c>
    </row>
    <row r="112" spans="1:45">
      <c r="A112" s="40" t="s">
        <v>707</v>
      </c>
      <c r="B112" s="40" t="s">
        <v>708</v>
      </c>
      <c r="C112" s="11">
        <f>ROUND((IFERROR((1/IF(VLOOKUP($A112,EnrollData2324,28,FALSE)='District Calculations'!$B$10,VLOOKUP($A112,EnrollData2324,28,FALSE),'District Calculations'!$B$10))*(1+Apport_Z315),0))+Apport_201A2324,6)</f>
        <v>7.3449E-2</v>
      </c>
      <c r="D112">
        <f>ROUND(IF(VLOOKUP($A112,EnrollData2324,'2324 Jun 24 Enroll'!D$1,FALSE)='District Calculations'!$B$11,VLOOKUP($A112,EnrollData2324,'2324 Jun 24 Enroll'!D$1,FALSE),'District Calculations'!$B$11)*C112,3)</f>
        <v>0</v>
      </c>
      <c r="E112">
        <f>ROUND(IF(VLOOKUP($A112,EnrollData2324,'2324 Jun 24 Enroll'!E$1,FALSE)='District Calculations'!$B$12,VLOOKUP($A112,EnrollData2324,'2324 Jun 24 Enroll'!E$1,FALSE),'District Calculations'!$B$12)*C112,3)</f>
        <v>59.53</v>
      </c>
      <c r="F112">
        <f>ROUND(IF(VLOOKUP($A112,EnrollData2324,'2324 Jun 24 Enroll'!F$1,FALSE)='District Calculations'!$B$13,VLOOKUP($A112,EnrollData2324,'2324 Jun 24 Enroll'!F$1,FALSE),'District Calculations'!$B$13)*Apport_222A2324,3)</f>
        <v>10.101000000000001</v>
      </c>
      <c r="G112">
        <f>ROUND(IF(VLOOKUP($A112,EnrollData2324,'2324 Jun 24 Enroll'!G$1,FALSE)='District Calculations'!$B$14,VLOOKUP($A112,EnrollData2324,'2324 Jun 24 Enroll'!G$1,FALSE),'District Calculations'!$B$14)*Apport_210A2324,3)</f>
        <v>22.395</v>
      </c>
      <c r="H112">
        <f>ROUND(IF(VLOOKUP($A112,EnrollData2324,'2324 Jun 24 Enroll'!H$1,FALSE)='District Calculations'!$B$15,VLOOKUP($A112,EnrollData2324,'2324 Jun 24 Enroll'!H$1,FALSE),'District Calculations'!$B$15)*Apport_213A2324,3)</f>
        <v>23.091999999999999</v>
      </c>
      <c r="I112">
        <f>ROUND(IF(VLOOKUP($A112,EnrollData2324,'2324 Jun 24 Enroll'!I$1,FALSE)+VLOOKUP($A112,EnrollData2324,'2324 Jun 24 Enroll'!M$1,FALSE)-VLOOKUP($A112,EnrollData2324,'2324 Jun 24 Enroll'!J$1,FALSE)='District Calculations'!$B$16+'District Calculations'!$B$25-'District Calculations'!$B$17,VLOOKUP($A112,EnrollData2324,'2324 Jun 24 Enroll'!I$1,FALSE)+VLOOKUP($A112,EnrollData2324,'2324 Jun 24 Enroll'!M$1,FALSE)-VLOOKUP($A112,EnrollData2324,'2324 Jun 24 Enroll'!J$1,FALSE),'District Calculations'!$B$16+'District Calculations'!$B$25-'District Calculations'!$B$17)*Apport_216A2324,3)</f>
        <v>58.183999999999997</v>
      </c>
      <c r="J112">
        <f>ROUND(SUM(D112:I112)/(IF(VLOOKUP($A112,EnrollData2324,'2324 Jun 24 Enroll'!M$1,FALSE)='District Calculations'!$B$25,VLOOKUP($A112,EnrollData2324,'2324 Jun 24 Enroll'!M$1,FALSE),'District Calculations'!$B$25)+IF(VLOOKUP($A112,EnrollData2324,'2324 Jun 24 Enroll'!D$1,FALSE)='District Calculations'!$B$11,VLOOKUP($A112,EnrollData2324,'2324 Jun 24 Enroll'!D$1,FALSE),'District Calculations'!$B$11)),5)</f>
        <v>5.5530000000000003E-2</v>
      </c>
      <c r="K112" s="11">
        <f t="shared" si="37"/>
        <v>4.365E-3</v>
      </c>
      <c r="L112">
        <f>ROUND(IF(VLOOKUP($A112,EnrollData2324,'2324 Jun 24 Enroll'!D$1,FALSE)='District Calculations'!$B$11,VLOOKUP($A112,EnrollData2324,'2324 Jun 24 Enroll'!D$1,FALSE),'District Calculations'!$B$11)*K112,3)</f>
        <v>0</v>
      </c>
      <c r="M112">
        <f>ROUND(IF(VLOOKUP($A112,EnrollData2324,'2324 Jun 24 Enroll'!E$1,FALSE)='District Calculations'!$B$12,VLOOKUP($A112,EnrollData2324,'2324 Jun 24 Enroll'!E$1,FALSE),'District Calculations'!$B$12)*K112,3)</f>
        <v>3.5379999999999998</v>
      </c>
      <c r="N112">
        <f>ROUND(IF(VLOOKUP($A112,EnrollData2324,'2324 Jun 24 Enroll'!F$1,FALSE)='District Calculations'!$B$13,VLOOKUP($A112,EnrollData2324,'2324 Jun 24 Enroll'!F$1,FALSE),'District Calculations'!$B$13)*Apport_223A2324,3)</f>
        <v>0.84199999999999997</v>
      </c>
      <c r="O112">
        <f>ROUND(IF(VLOOKUP($A112,EnrollData2324,'2324 Jun 24 Enroll'!G$1,FALSE)='District Calculations'!$B$14,VLOOKUP($A112,EnrollData2324,'2324 Jun 24 Enroll'!G$1,FALSE),'District Calculations'!$B$14)*Apport_211A2324,3)</f>
        <v>1.867</v>
      </c>
      <c r="P112">
        <f>ROUND(IF(VLOOKUP($A112,EnrollData2324,'2324 Jun 24 Enroll'!H$1,FALSE)='District Calculations'!$B$14,VLOOKUP($A112,EnrollData2324,'2324 Jun 24 Enroll'!H$1,FALSE),'District Calculations'!$B$14)*Apport_214A2324,3)</f>
        <v>1.8660000000000001</v>
      </c>
      <c r="Q112">
        <f>ROUND(IF(VLOOKUP($A112,EnrollData2324,'2324 Jun 24 Enroll'!I$1,FALSE)+VLOOKUP($A112,EnrollData2324,'2324 Jun 24 Enroll'!M$1,FALSE)-VLOOKUP($A112,EnrollData2324,'2324 Jun 24 Enroll'!J$1,FALSE)='District Calculations'!$B$16+'District Calculations'!$B$25-'District Calculations'!$B$17,VLOOKUP($A112,EnrollData2324,'2324 Jun 24 Enroll'!I$1,FALSE)+VLOOKUP($A112,EnrollData2324,'2324 Jun 24 Enroll'!M$1,FALSE)-VLOOKUP($A112,EnrollData2324,'2324 Jun 24 Enroll'!J$1,FALSE),'District Calculations'!$B$16+'District Calculations'!$B$25-'District Calculations'!$B$17)*Apport_217A2324,3)</f>
        <v>4.6980000000000004</v>
      </c>
      <c r="R112">
        <f>ROUND(SUM(L112:Q112)/IF(VLOOKUP($A112,EnrollData2324,'2324 Jun 24 Enroll'!M$1,FALSE)+VLOOKUP($A112,EnrollData2324,'2324 Jun 24 Enroll'!D$1,FALSE)='District Calculations'!$B$25+'District Calculations'!$B$11,VLOOKUP($A112,EnrollData2324,'2324 Jun 24 Enroll'!M$1,FALSE)+VLOOKUP($A112,EnrollData2324,'2324 Jun 24 Enroll'!D$1,FALSE),'District Calculations'!$B$25+'District Calculations'!$B$11),5)</f>
        <v>4.1000000000000003E-3</v>
      </c>
      <c r="S112" s="11">
        <f t="shared" si="38"/>
        <v>1.8294500000000002E-2</v>
      </c>
      <c r="T112">
        <f>ROUND(IF(VLOOKUP($A112,EnrollData2324,'2324 Jun 24 Enroll'!D$1,FALSE)='District Calculations'!$B$11,VLOOKUP($A112,EnrollData2324,'2324 Jun 24 Enroll'!D$1,FALSE),'District Calculations'!$B$11)*S112,3)</f>
        <v>0</v>
      </c>
      <c r="U112">
        <f>ROUND(IF(VLOOKUP($A112,EnrollData2324,'2324 Jun 24 Enroll'!E$1,FALSE)='District Calculations'!$B$12,VLOOKUP($A112,EnrollData2324,'2324 Jun 24 Enroll'!E$1,FALSE),'District Calculations'!$B$12)*S112,3)</f>
        <v>14.827999999999999</v>
      </c>
      <c r="V112">
        <f>ROUND(IF(VLOOKUP($A112,EnrollData2324,'2324 Jun 24 Enroll'!F$1,FALSE)='District Calculations'!$B$13,VLOOKUP($A112,EnrollData2324,'2324 Jun 24 Enroll'!F$1,FALSE),'District Calculations'!$B$13)*Apport_224A2324,3)</f>
        <v>3.6190000000000002</v>
      </c>
      <c r="W112">
        <f>ROUND(IF(VLOOKUP($A112,EnrollData2324,'2324 Jun 24 Enroll'!G$1,FALSE)='District Calculations'!$B$14,VLOOKUP($A112,EnrollData2324,'2324 Jun 24 Enroll'!G$1,FALSE),'District Calculations'!$B$14)*Apport_212A2324,3)</f>
        <v>8.0239999999999991</v>
      </c>
      <c r="X112">
        <f>ROUND(IF(VLOOKUP($A112,EnrollData2324,'2324 Jun 24 Enroll'!H$1,FALSE)='District Calculations'!$B$14,VLOOKUP($A112,EnrollData2324,'2324 Jun 24 Enroll'!H$1,FALSE),'District Calculations'!$B$14)*Apport_215A2324,3)</f>
        <v>7.9279999999999999</v>
      </c>
      <c r="Y112">
        <f>ROUND(IF(VLOOKUP($A112,EnrollData2324,'2324 Jun 24 Enroll'!I$1,FALSE)+VLOOKUP($A112,EnrollData2324,'2324 Jun 24 Enroll'!M$1,FALSE)-VLOOKUP($A112,EnrollData2324,'2324 Jun 24 Enroll'!J$1,FALSE)='District Calculations'!$B$16+'District Calculations'!$B$25-'District Calculations'!$B$17,VLOOKUP($A112,EnrollData2324,'2324 Jun 24 Enroll'!I$1,FALSE)+VLOOKUP($A112,EnrollData2324,'2324 Jun 24 Enroll'!M$1,FALSE)-VLOOKUP($A112,EnrollData2324,'2324 Jun 24 Enroll'!J$1,FALSE),'District Calculations'!$B$16+'District Calculations'!$B$25-'District Calculations'!$B$17)*Apport_218A2324,3)</f>
        <v>19.917999999999999</v>
      </c>
      <c r="Z112">
        <f>ROUND(SUM(T112:Y112)/IF(VLOOKUP($A112,EnrollData2324,'2324 Jun 24 Enroll'!M$1,FALSE)+VLOOKUP($A112,EnrollData2324,'2324 Jun 24 Enroll'!D$1,FALSE)='District Calculations'!$B$25+'District Calculations'!$B$11,VLOOKUP($A112,EnrollData2324,'2324 Jun 24 Enroll'!M$1,FALSE)+VLOOKUP($A112,EnrollData2324,'2324 Jun 24 Enroll'!D$1,FALSE),'District Calculations'!$B$25+'District Calculations'!$B$11),5)</f>
        <v>1.7399999999999999E-2</v>
      </c>
      <c r="AA112" s="6">
        <f>ROUND($J112*CIS_Base_Salary2324*VLOOKUP($A112,EnrollData2324,'2324 Jun 24 Enroll'!S$1,FALSE),2)</f>
        <v>4038.59</v>
      </c>
      <c r="AB112" s="6">
        <f>ROUND($J112*CIS_Inc_Salary2324*(VLOOKUP($A112,EnrollData2324,'2324 Jun 24 Enroll'!T$1,FALSE)+VLOOKUP($A112,EnrollData2324,'2324 Jun 24 Enroll'!U$1,FALSE)),2)-AA112</f>
        <v>316.94999999999982</v>
      </c>
      <c r="AC112" s="6">
        <f>ROUND($R112*CAS_Base_Salary2324*VLOOKUP($A112,EnrollData2324,'2324 Jun 24 Enroll'!S$1,FALSE),2)</f>
        <v>442.62</v>
      </c>
      <c r="AD112" s="6">
        <f>ROUND($R112*CAS_Inc_Salary2324*VLOOKUP($A112,EnrollData2324,'2324 Jun 24 Enroll'!T$1,FALSE),2)-AC112</f>
        <v>16.379999999999995</v>
      </c>
      <c r="AE112" s="6">
        <f>ROUND($Z112*CLS_Base_Salary2324*VLOOKUP($A112,EnrollData2324,'2324 Jun 24 Enroll'!S$1,FALSE),2)</f>
        <v>907.81</v>
      </c>
      <c r="AF112" s="6">
        <f>ROUND($Z112*CLS_Inc_Salary2324*VLOOKUP($A112,EnrollData2324,'2324 Jun 24 Enroll'!T$1,FALSE),2)-AE112</f>
        <v>33.580000000000041</v>
      </c>
      <c r="AG112">
        <f t="shared" si="35"/>
        <v>734.16</v>
      </c>
      <c r="AH112" s="69">
        <f t="shared" si="39"/>
        <v>68.700000000000045</v>
      </c>
      <c r="AI112">
        <f t="shared" si="36"/>
        <v>214.23</v>
      </c>
      <c r="AJ112">
        <f t="shared" si="40"/>
        <v>114.21000000000001</v>
      </c>
      <c r="AK112">
        <f t="shared" si="41"/>
        <v>805.27</v>
      </c>
      <c r="AL112">
        <f t="shared" si="42"/>
        <v>57.77</v>
      </c>
      <c r="AM112">
        <f t="shared" si="43"/>
        <v>200.26</v>
      </c>
      <c r="AN112">
        <f t="shared" si="44"/>
        <v>6.23</v>
      </c>
      <c r="AO112">
        <f>ROUND(($J112*CIS_Inc_Salary2324*(VLOOKUP($A112,EnrollData2324,'2324 Jun 24 Enroll'!T$1,FALSE)+VLOOKUP($A112,EnrollData2324,'2324 Jun 24 Enroll'!U$1,FALSE))/Apport_613Xpd)*Apport_614Xpd,2)</f>
        <v>72.59</v>
      </c>
      <c r="AP112">
        <f t="shared" si="45"/>
        <v>12.58</v>
      </c>
      <c r="AQ112">
        <f t="shared" si="46"/>
        <v>30.93</v>
      </c>
      <c r="AR112" s="6">
        <f>ROUND((VLOOKUP($A112,EnrollData2324,'2324 Jun 24 Enroll'!D$1,FALSE)*Apport_M802324+VLOOKUP($A112,EnrollData2324,'2324 Jun 24 Enroll'!M$1,FALSE)*Apport_M802324+(VLOOKUP($A112,EnrollData2324,'2324 Jun 24 Enroll'!P$1,FALSE)+VLOOKUP($A112,EnrollData2324,'2324 Jun 24 Enroll'!Q$1,FALSE)+VLOOKUP($A112,EnrollData2324,'2324 Jun 24 Enroll'!R$1,FALSE)+VLOOKUP($A112,EnrollData2324,'2324 Jun 24 Enroll'!I$1,FALSE)+VLOOKUP($A112,EnrollData2324,'2324 Jun 24 Enroll'!N$1,FALSE)+VLOOKUP($A112,EnrollData2324,'2324 Jun 24 Enroll'!O$1,FALSE)+VLOOKUP($A112,EnrollData2324,'2324 Jun 24 Enroll'!K$1,FALSE)+VLOOKUP($A112,EnrollData2324,'2324 Jun 24 Enroll'!L$1,FALSE))*Apport_M812324)/(VLOOKUP($A112,EnrollData2324,'2324 Jun 24 Enroll'!M$1,FALSE)+VLOOKUP($A112,EnrollData2324,'2324 Jun 24 Enroll'!D$1,FALSE)),2)</f>
        <v>1483.44</v>
      </c>
      <c r="AS112" s="7">
        <f t="shared" si="47"/>
        <v>9556.3000000000011</v>
      </c>
    </row>
    <row r="113" spans="1:45">
      <c r="A113" s="40" t="s">
        <v>353</v>
      </c>
      <c r="B113" s="40" t="s">
        <v>354</v>
      </c>
      <c r="C113" s="11">
        <f>ROUND((IFERROR((1/IF(VLOOKUP($A113,EnrollData2324,28,FALSE)='District Calculations'!$B$10,VLOOKUP($A113,EnrollData2324,28,FALSE),'District Calculations'!$B$10))*(1+Apport_Z315),0))+Apport_201A2324,6)</f>
        <v>7.3449E-2</v>
      </c>
      <c r="D113">
        <f>ROUND(IF(VLOOKUP($A113,EnrollData2324,'2324 Jun 24 Enroll'!D$1,FALSE)='District Calculations'!$B$11,VLOOKUP($A113,EnrollData2324,'2324 Jun 24 Enroll'!D$1,FALSE),'District Calculations'!$B$11)*C113,3)</f>
        <v>0</v>
      </c>
      <c r="E113">
        <f>ROUND(IF(VLOOKUP($A113,EnrollData2324,'2324 Jun 24 Enroll'!E$1,FALSE)='District Calculations'!$B$12,VLOOKUP($A113,EnrollData2324,'2324 Jun 24 Enroll'!E$1,FALSE),'District Calculations'!$B$12)*C113,3)</f>
        <v>59.53</v>
      </c>
      <c r="F113">
        <f>ROUND(IF(VLOOKUP($A113,EnrollData2324,'2324 Jun 24 Enroll'!F$1,FALSE)='District Calculations'!$B$13,VLOOKUP($A113,EnrollData2324,'2324 Jun 24 Enroll'!F$1,FALSE),'District Calculations'!$B$13)*Apport_222A2324,3)</f>
        <v>10.101000000000001</v>
      </c>
      <c r="G113">
        <f>ROUND(IF(VLOOKUP($A113,EnrollData2324,'2324 Jun 24 Enroll'!G$1,FALSE)='District Calculations'!$B$14,VLOOKUP($A113,EnrollData2324,'2324 Jun 24 Enroll'!G$1,FALSE),'District Calculations'!$B$14)*Apport_210A2324,3)</f>
        <v>22.395</v>
      </c>
      <c r="H113">
        <f>ROUND(IF(VLOOKUP($A113,EnrollData2324,'2324 Jun 24 Enroll'!H$1,FALSE)='District Calculations'!$B$15,VLOOKUP($A113,EnrollData2324,'2324 Jun 24 Enroll'!H$1,FALSE),'District Calculations'!$B$15)*Apport_213A2324,3)</f>
        <v>23.091999999999999</v>
      </c>
      <c r="I113">
        <f>ROUND(IF(VLOOKUP($A113,EnrollData2324,'2324 Jun 24 Enroll'!I$1,FALSE)+VLOOKUP($A113,EnrollData2324,'2324 Jun 24 Enroll'!M$1,FALSE)-VLOOKUP($A113,EnrollData2324,'2324 Jun 24 Enroll'!J$1,FALSE)='District Calculations'!$B$16+'District Calculations'!$B$25-'District Calculations'!$B$17,VLOOKUP($A113,EnrollData2324,'2324 Jun 24 Enroll'!I$1,FALSE)+VLOOKUP($A113,EnrollData2324,'2324 Jun 24 Enroll'!M$1,FALSE)-VLOOKUP($A113,EnrollData2324,'2324 Jun 24 Enroll'!J$1,FALSE),'District Calculations'!$B$16+'District Calculations'!$B$25-'District Calculations'!$B$17)*Apport_216A2324,3)</f>
        <v>58.183999999999997</v>
      </c>
      <c r="J113">
        <f>ROUND(SUM(D113:I113)/(IF(VLOOKUP($A113,EnrollData2324,'2324 Jun 24 Enroll'!M$1,FALSE)='District Calculations'!$B$25,VLOOKUP($A113,EnrollData2324,'2324 Jun 24 Enroll'!M$1,FALSE),'District Calculations'!$B$25)+IF(VLOOKUP($A113,EnrollData2324,'2324 Jun 24 Enroll'!D$1,FALSE)='District Calculations'!$B$11,VLOOKUP($A113,EnrollData2324,'2324 Jun 24 Enroll'!D$1,FALSE),'District Calculations'!$B$11)),5)</f>
        <v>5.5530000000000003E-2</v>
      </c>
      <c r="K113" s="11">
        <f t="shared" si="37"/>
        <v>4.365E-3</v>
      </c>
      <c r="L113">
        <f>ROUND(IF(VLOOKUP($A113,EnrollData2324,'2324 Jun 24 Enroll'!D$1,FALSE)='District Calculations'!$B$11,VLOOKUP($A113,EnrollData2324,'2324 Jun 24 Enroll'!D$1,FALSE),'District Calculations'!$B$11)*K113,3)</f>
        <v>0</v>
      </c>
      <c r="M113">
        <f>ROUND(IF(VLOOKUP($A113,EnrollData2324,'2324 Jun 24 Enroll'!E$1,FALSE)='District Calculations'!$B$12,VLOOKUP($A113,EnrollData2324,'2324 Jun 24 Enroll'!E$1,FALSE),'District Calculations'!$B$12)*K113,3)</f>
        <v>3.5379999999999998</v>
      </c>
      <c r="N113">
        <f>ROUND(IF(VLOOKUP($A113,EnrollData2324,'2324 Jun 24 Enroll'!F$1,FALSE)='District Calculations'!$B$13,VLOOKUP($A113,EnrollData2324,'2324 Jun 24 Enroll'!F$1,FALSE),'District Calculations'!$B$13)*Apport_223A2324,3)</f>
        <v>0.84199999999999997</v>
      </c>
      <c r="O113">
        <f>ROUND(IF(VLOOKUP($A113,EnrollData2324,'2324 Jun 24 Enroll'!G$1,FALSE)='District Calculations'!$B$14,VLOOKUP($A113,EnrollData2324,'2324 Jun 24 Enroll'!G$1,FALSE),'District Calculations'!$B$14)*Apport_211A2324,3)</f>
        <v>1.867</v>
      </c>
      <c r="P113">
        <f>ROUND(IF(VLOOKUP($A113,EnrollData2324,'2324 Jun 24 Enroll'!H$1,FALSE)='District Calculations'!$B$14,VLOOKUP($A113,EnrollData2324,'2324 Jun 24 Enroll'!H$1,FALSE),'District Calculations'!$B$14)*Apport_214A2324,3)</f>
        <v>1.8660000000000001</v>
      </c>
      <c r="Q113">
        <f>ROUND(IF(VLOOKUP($A113,EnrollData2324,'2324 Jun 24 Enroll'!I$1,FALSE)+VLOOKUP($A113,EnrollData2324,'2324 Jun 24 Enroll'!M$1,FALSE)-VLOOKUP($A113,EnrollData2324,'2324 Jun 24 Enroll'!J$1,FALSE)='District Calculations'!$B$16+'District Calculations'!$B$25-'District Calculations'!$B$17,VLOOKUP($A113,EnrollData2324,'2324 Jun 24 Enroll'!I$1,FALSE)+VLOOKUP($A113,EnrollData2324,'2324 Jun 24 Enroll'!M$1,FALSE)-VLOOKUP($A113,EnrollData2324,'2324 Jun 24 Enroll'!J$1,FALSE),'District Calculations'!$B$16+'District Calculations'!$B$25-'District Calculations'!$B$17)*Apport_217A2324,3)</f>
        <v>4.6980000000000004</v>
      </c>
      <c r="R113">
        <f>ROUND(SUM(L113:Q113)/IF(VLOOKUP($A113,EnrollData2324,'2324 Jun 24 Enroll'!M$1,FALSE)+VLOOKUP($A113,EnrollData2324,'2324 Jun 24 Enroll'!D$1,FALSE)='District Calculations'!$B$25+'District Calculations'!$B$11,VLOOKUP($A113,EnrollData2324,'2324 Jun 24 Enroll'!M$1,FALSE)+VLOOKUP($A113,EnrollData2324,'2324 Jun 24 Enroll'!D$1,FALSE),'District Calculations'!$B$25+'District Calculations'!$B$11),5)</f>
        <v>4.1000000000000003E-3</v>
      </c>
      <c r="S113" s="11">
        <f t="shared" si="38"/>
        <v>1.8294500000000002E-2</v>
      </c>
      <c r="T113">
        <f>ROUND(IF(VLOOKUP($A113,EnrollData2324,'2324 Jun 24 Enroll'!D$1,FALSE)='District Calculations'!$B$11,VLOOKUP($A113,EnrollData2324,'2324 Jun 24 Enroll'!D$1,FALSE),'District Calculations'!$B$11)*S113,3)</f>
        <v>0</v>
      </c>
      <c r="U113">
        <f>ROUND(IF(VLOOKUP($A113,EnrollData2324,'2324 Jun 24 Enroll'!E$1,FALSE)='District Calculations'!$B$12,VLOOKUP($A113,EnrollData2324,'2324 Jun 24 Enroll'!E$1,FALSE),'District Calculations'!$B$12)*S113,3)</f>
        <v>14.827999999999999</v>
      </c>
      <c r="V113">
        <f>ROUND(IF(VLOOKUP($A113,EnrollData2324,'2324 Jun 24 Enroll'!F$1,FALSE)='District Calculations'!$B$13,VLOOKUP($A113,EnrollData2324,'2324 Jun 24 Enroll'!F$1,FALSE),'District Calculations'!$B$13)*Apport_224A2324,3)</f>
        <v>3.6190000000000002</v>
      </c>
      <c r="W113">
        <f>ROUND(IF(VLOOKUP($A113,EnrollData2324,'2324 Jun 24 Enroll'!G$1,FALSE)='District Calculations'!$B$14,VLOOKUP($A113,EnrollData2324,'2324 Jun 24 Enroll'!G$1,FALSE),'District Calculations'!$B$14)*Apport_212A2324,3)</f>
        <v>8.0239999999999991</v>
      </c>
      <c r="X113">
        <f>ROUND(IF(VLOOKUP($A113,EnrollData2324,'2324 Jun 24 Enroll'!H$1,FALSE)='District Calculations'!$B$14,VLOOKUP($A113,EnrollData2324,'2324 Jun 24 Enroll'!H$1,FALSE),'District Calculations'!$B$14)*Apport_215A2324,3)</f>
        <v>7.9279999999999999</v>
      </c>
      <c r="Y113">
        <f>ROUND(IF(VLOOKUP($A113,EnrollData2324,'2324 Jun 24 Enroll'!I$1,FALSE)+VLOOKUP($A113,EnrollData2324,'2324 Jun 24 Enroll'!M$1,FALSE)-VLOOKUP($A113,EnrollData2324,'2324 Jun 24 Enroll'!J$1,FALSE)='District Calculations'!$B$16+'District Calculations'!$B$25-'District Calculations'!$B$17,VLOOKUP($A113,EnrollData2324,'2324 Jun 24 Enroll'!I$1,FALSE)+VLOOKUP($A113,EnrollData2324,'2324 Jun 24 Enroll'!M$1,FALSE)-VLOOKUP($A113,EnrollData2324,'2324 Jun 24 Enroll'!J$1,FALSE),'District Calculations'!$B$16+'District Calculations'!$B$25-'District Calculations'!$B$17)*Apport_218A2324,3)</f>
        <v>19.917999999999999</v>
      </c>
      <c r="Z113">
        <f>ROUND(SUM(T113:Y113)/IF(VLOOKUP($A113,EnrollData2324,'2324 Jun 24 Enroll'!M$1,FALSE)+VLOOKUP($A113,EnrollData2324,'2324 Jun 24 Enroll'!D$1,FALSE)='District Calculations'!$B$25+'District Calculations'!$B$11,VLOOKUP($A113,EnrollData2324,'2324 Jun 24 Enroll'!M$1,FALSE)+VLOOKUP($A113,EnrollData2324,'2324 Jun 24 Enroll'!D$1,FALSE),'District Calculations'!$B$25+'District Calculations'!$B$11),5)</f>
        <v>1.7399999999999999E-2</v>
      </c>
      <c r="AA113" s="6">
        <f>ROUND($J113*CIS_Base_Salary2324*VLOOKUP($A113,EnrollData2324,'2324 Jun 24 Enroll'!S$1,FALSE),2)</f>
        <v>4038.59</v>
      </c>
      <c r="AB113" s="6">
        <f>ROUND($J113*CIS_Inc_Salary2324*(VLOOKUP($A113,EnrollData2324,'2324 Jun 24 Enroll'!T$1,FALSE)+VLOOKUP($A113,EnrollData2324,'2324 Jun 24 Enroll'!U$1,FALSE)),2)-AA113</f>
        <v>149.43000000000029</v>
      </c>
      <c r="AC113" s="6">
        <f>ROUND($R113*CAS_Base_Salary2324*VLOOKUP($A113,EnrollData2324,'2324 Jun 24 Enroll'!S$1,FALSE),2)</f>
        <v>442.62</v>
      </c>
      <c r="AD113" s="6">
        <f>ROUND($R113*CAS_Inc_Salary2324*VLOOKUP($A113,EnrollData2324,'2324 Jun 24 Enroll'!T$1,FALSE),2)-AC113</f>
        <v>16.379999999999995</v>
      </c>
      <c r="AE113" s="6">
        <f>ROUND($Z113*CLS_Base_Salary2324*VLOOKUP($A113,EnrollData2324,'2324 Jun 24 Enroll'!S$1,FALSE),2)</f>
        <v>907.81</v>
      </c>
      <c r="AF113" s="6">
        <f>ROUND($Z113*CLS_Inc_Salary2324*VLOOKUP($A113,EnrollData2324,'2324 Jun 24 Enroll'!T$1,FALSE),2)-AE113</f>
        <v>33.580000000000041</v>
      </c>
      <c r="AG113">
        <f t="shared" si="35"/>
        <v>734.16</v>
      </c>
      <c r="AH113" s="69">
        <f t="shared" si="39"/>
        <v>68.700000000000045</v>
      </c>
      <c r="AI113">
        <f t="shared" si="36"/>
        <v>214.23</v>
      </c>
      <c r="AJ113">
        <f t="shared" si="40"/>
        <v>114.21000000000001</v>
      </c>
      <c r="AK113">
        <f t="shared" si="41"/>
        <v>805.27</v>
      </c>
      <c r="AL113">
        <f t="shared" si="42"/>
        <v>28.73</v>
      </c>
      <c r="AM113">
        <f t="shared" si="43"/>
        <v>200.26</v>
      </c>
      <c r="AN113">
        <f t="shared" si="44"/>
        <v>6.23</v>
      </c>
      <c r="AO113">
        <f>ROUND(($J113*CIS_Inc_Salary2324*(VLOOKUP($A113,EnrollData2324,'2324 Jun 24 Enroll'!T$1,FALSE)+VLOOKUP($A113,EnrollData2324,'2324 Jun 24 Enroll'!U$1,FALSE))/Apport_613Xpd)*Apport_614Xpd,2)</f>
        <v>69.8</v>
      </c>
      <c r="AP113">
        <f t="shared" si="45"/>
        <v>12.1</v>
      </c>
      <c r="AQ113">
        <f t="shared" si="46"/>
        <v>30.93</v>
      </c>
      <c r="AR113" s="6">
        <f>ROUND((VLOOKUP($A113,EnrollData2324,'2324 Jun 24 Enroll'!D$1,FALSE)*Apport_M802324+VLOOKUP($A113,EnrollData2324,'2324 Jun 24 Enroll'!M$1,FALSE)*Apport_M802324+(VLOOKUP($A113,EnrollData2324,'2324 Jun 24 Enroll'!P$1,FALSE)+VLOOKUP($A113,EnrollData2324,'2324 Jun 24 Enroll'!Q$1,FALSE)+VLOOKUP($A113,EnrollData2324,'2324 Jun 24 Enroll'!R$1,FALSE)+VLOOKUP($A113,EnrollData2324,'2324 Jun 24 Enroll'!I$1,FALSE)+VLOOKUP($A113,EnrollData2324,'2324 Jun 24 Enroll'!N$1,FALSE)+VLOOKUP($A113,EnrollData2324,'2324 Jun 24 Enroll'!O$1,FALSE)+VLOOKUP($A113,EnrollData2324,'2324 Jun 24 Enroll'!K$1,FALSE)+VLOOKUP($A113,EnrollData2324,'2324 Jun 24 Enroll'!L$1,FALSE))*Apport_M812324)/(VLOOKUP($A113,EnrollData2324,'2324 Jun 24 Enroll'!M$1,FALSE)+VLOOKUP($A113,EnrollData2324,'2324 Jun 24 Enroll'!D$1,FALSE)),2)</f>
        <v>1485.89</v>
      </c>
      <c r="AS113" s="7">
        <f t="shared" si="47"/>
        <v>9358.92</v>
      </c>
    </row>
    <row r="114" spans="1:45">
      <c r="A114" s="40" t="s">
        <v>709</v>
      </c>
      <c r="B114" s="40" t="s">
        <v>710</v>
      </c>
      <c r="C114" s="11">
        <f>ROUND((IFERROR((1/IF(VLOOKUP($A114,EnrollData2324,28,FALSE)='District Calculations'!$B$10,VLOOKUP($A114,EnrollData2324,28,FALSE),'District Calculations'!$B$10))*(1+Apport_Z315),0))+Apport_201A2324,6)</f>
        <v>7.3449E-2</v>
      </c>
      <c r="D114">
        <f>ROUND(IF(VLOOKUP($A114,EnrollData2324,'2324 Jun 24 Enroll'!D$1,FALSE)='District Calculations'!$B$11,VLOOKUP($A114,EnrollData2324,'2324 Jun 24 Enroll'!D$1,FALSE),'District Calculations'!$B$11)*C114,3)</f>
        <v>0</v>
      </c>
      <c r="E114">
        <f>ROUND(IF(VLOOKUP($A114,EnrollData2324,'2324 Jun 24 Enroll'!E$1,FALSE)='District Calculations'!$B$12,VLOOKUP($A114,EnrollData2324,'2324 Jun 24 Enroll'!E$1,FALSE),'District Calculations'!$B$12)*C114,3)</f>
        <v>59.53</v>
      </c>
      <c r="F114">
        <f>ROUND(IF(VLOOKUP($A114,EnrollData2324,'2324 Jun 24 Enroll'!F$1,FALSE)='District Calculations'!$B$13,VLOOKUP($A114,EnrollData2324,'2324 Jun 24 Enroll'!F$1,FALSE),'District Calculations'!$B$13)*Apport_222A2324,3)</f>
        <v>10.101000000000001</v>
      </c>
      <c r="G114">
        <f>ROUND(IF(VLOOKUP($A114,EnrollData2324,'2324 Jun 24 Enroll'!G$1,FALSE)='District Calculations'!$B$14,VLOOKUP($A114,EnrollData2324,'2324 Jun 24 Enroll'!G$1,FALSE),'District Calculations'!$B$14)*Apport_210A2324,3)</f>
        <v>22.395</v>
      </c>
      <c r="H114">
        <f>ROUND(IF(VLOOKUP($A114,EnrollData2324,'2324 Jun 24 Enroll'!H$1,FALSE)='District Calculations'!$B$15,VLOOKUP($A114,EnrollData2324,'2324 Jun 24 Enroll'!H$1,FALSE),'District Calculations'!$B$15)*Apport_213A2324,3)</f>
        <v>23.091999999999999</v>
      </c>
      <c r="I114">
        <f>ROUND(IF(VLOOKUP($A114,EnrollData2324,'2324 Jun 24 Enroll'!I$1,FALSE)+VLOOKUP($A114,EnrollData2324,'2324 Jun 24 Enroll'!M$1,FALSE)-VLOOKUP($A114,EnrollData2324,'2324 Jun 24 Enroll'!J$1,FALSE)='District Calculations'!$B$16+'District Calculations'!$B$25-'District Calculations'!$B$17,VLOOKUP($A114,EnrollData2324,'2324 Jun 24 Enroll'!I$1,FALSE)+VLOOKUP($A114,EnrollData2324,'2324 Jun 24 Enroll'!M$1,FALSE)-VLOOKUP($A114,EnrollData2324,'2324 Jun 24 Enroll'!J$1,FALSE),'District Calculations'!$B$16+'District Calculations'!$B$25-'District Calculations'!$B$17)*Apport_216A2324,3)</f>
        <v>58.183999999999997</v>
      </c>
      <c r="J114">
        <f>ROUND(SUM(D114:I114)/(IF(VLOOKUP($A114,EnrollData2324,'2324 Jun 24 Enroll'!M$1,FALSE)='District Calculations'!$B$25,VLOOKUP($A114,EnrollData2324,'2324 Jun 24 Enroll'!M$1,FALSE),'District Calculations'!$B$25)+IF(VLOOKUP($A114,EnrollData2324,'2324 Jun 24 Enroll'!D$1,FALSE)='District Calculations'!$B$11,VLOOKUP($A114,EnrollData2324,'2324 Jun 24 Enroll'!D$1,FALSE),'District Calculations'!$B$11)),5)</f>
        <v>5.5530000000000003E-2</v>
      </c>
      <c r="K114" s="11">
        <f t="shared" si="37"/>
        <v>4.365E-3</v>
      </c>
      <c r="L114">
        <f>ROUND(IF(VLOOKUP($A114,EnrollData2324,'2324 Jun 24 Enroll'!D$1,FALSE)='District Calculations'!$B$11,VLOOKUP($A114,EnrollData2324,'2324 Jun 24 Enroll'!D$1,FALSE),'District Calculations'!$B$11)*K114,3)</f>
        <v>0</v>
      </c>
      <c r="M114">
        <f>ROUND(IF(VLOOKUP($A114,EnrollData2324,'2324 Jun 24 Enroll'!E$1,FALSE)='District Calculations'!$B$12,VLOOKUP($A114,EnrollData2324,'2324 Jun 24 Enroll'!E$1,FALSE),'District Calculations'!$B$12)*K114,3)</f>
        <v>3.5379999999999998</v>
      </c>
      <c r="N114">
        <f>ROUND(IF(VLOOKUP($A114,EnrollData2324,'2324 Jun 24 Enroll'!F$1,FALSE)='District Calculations'!$B$13,VLOOKUP($A114,EnrollData2324,'2324 Jun 24 Enroll'!F$1,FALSE),'District Calculations'!$B$13)*Apport_223A2324,3)</f>
        <v>0.84199999999999997</v>
      </c>
      <c r="O114">
        <f>ROUND(IF(VLOOKUP($A114,EnrollData2324,'2324 Jun 24 Enroll'!G$1,FALSE)='District Calculations'!$B$14,VLOOKUP($A114,EnrollData2324,'2324 Jun 24 Enroll'!G$1,FALSE),'District Calculations'!$B$14)*Apport_211A2324,3)</f>
        <v>1.867</v>
      </c>
      <c r="P114">
        <f>ROUND(IF(VLOOKUP($A114,EnrollData2324,'2324 Jun 24 Enroll'!H$1,FALSE)='District Calculations'!$B$14,VLOOKUP($A114,EnrollData2324,'2324 Jun 24 Enroll'!H$1,FALSE),'District Calculations'!$B$14)*Apport_214A2324,3)</f>
        <v>1.8660000000000001</v>
      </c>
      <c r="Q114">
        <f>ROUND(IF(VLOOKUP($A114,EnrollData2324,'2324 Jun 24 Enroll'!I$1,FALSE)+VLOOKUP($A114,EnrollData2324,'2324 Jun 24 Enroll'!M$1,FALSE)-VLOOKUP($A114,EnrollData2324,'2324 Jun 24 Enroll'!J$1,FALSE)='District Calculations'!$B$16+'District Calculations'!$B$25-'District Calculations'!$B$17,VLOOKUP($A114,EnrollData2324,'2324 Jun 24 Enroll'!I$1,FALSE)+VLOOKUP($A114,EnrollData2324,'2324 Jun 24 Enroll'!M$1,FALSE)-VLOOKUP($A114,EnrollData2324,'2324 Jun 24 Enroll'!J$1,FALSE),'District Calculations'!$B$16+'District Calculations'!$B$25-'District Calculations'!$B$17)*Apport_217A2324,3)</f>
        <v>4.6980000000000004</v>
      </c>
      <c r="R114">
        <f>ROUND(SUM(L114:Q114)/IF(VLOOKUP($A114,EnrollData2324,'2324 Jun 24 Enroll'!M$1,FALSE)+VLOOKUP($A114,EnrollData2324,'2324 Jun 24 Enroll'!D$1,FALSE)='District Calculations'!$B$25+'District Calculations'!$B$11,VLOOKUP($A114,EnrollData2324,'2324 Jun 24 Enroll'!M$1,FALSE)+VLOOKUP($A114,EnrollData2324,'2324 Jun 24 Enroll'!D$1,FALSE),'District Calculations'!$B$25+'District Calculations'!$B$11),5)</f>
        <v>4.1000000000000003E-3</v>
      </c>
      <c r="S114" s="11">
        <f t="shared" si="38"/>
        <v>1.8294500000000002E-2</v>
      </c>
      <c r="T114">
        <f>ROUND(IF(VLOOKUP($A114,EnrollData2324,'2324 Jun 24 Enroll'!D$1,FALSE)='District Calculations'!$B$11,VLOOKUP($A114,EnrollData2324,'2324 Jun 24 Enroll'!D$1,FALSE),'District Calculations'!$B$11)*S114,3)</f>
        <v>0</v>
      </c>
      <c r="U114">
        <f>ROUND(IF(VLOOKUP($A114,EnrollData2324,'2324 Jun 24 Enroll'!E$1,FALSE)='District Calculations'!$B$12,VLOOKUP($A114,EnrollData2324,'2324 Jun 24 Enroll'!E$1,FALSE),'District Calculations'!$B$12)*S114,3)</f>
        <v>14.827999999999999</v>
      </c>
      <c r="V114">
        <f>ROUND(IF(VLOOKUP($A114,EnrollData2324,'2324 Jun 24 Enroll'!F$1,FALSE)='District Calculations'!$B$13,VLOOKUP($A114,EnrollData2324,'2324 Jun 24 Enroll'!F$1,FALSE),'District Calculations'!$B$13)*Apport_224A2324,3)</f>
        <v>3.6190000000000002</v>
      </c>
      <c r="W114">
        <f>ROUND(IF(VLOOKUP($A114,EnrollData2324,'2324 Jun 24 Enroll'!G$1,FALSE)='District Calculations'!$B$14,VLOOKUP($A114,EnrollData2324,'2324 Jun 24 Enroll'!G$1,FALSE),'District Calculations'!$B$14)*Apport_212A2324,3)</f>
        <v>8.0239999999999991</v>
      </c>
      <c r="X114">
        <f>ROUND(IF(VLOOKUP($A114,EnrollData2324,'2324 Jun 24 Enroll'!H$1,FALSE)='District Calculations'!$B$14,VLOOKUP($A114,EnrollData2324,'2324 Jun 24 Enroll'!H$1,FALSE),'District Calculations'!$B$14)*Apport_215A2324,3)</f>
        <v>7.9279999999999999</v>
      </c>
      <c r="Y114">
        <f>ROUND(IF(VLOOKUP($A114,EnrollData2324,'2324 Jun 24 Enroll'!I$1,FALSE)+VLOOKUP($A114,EnrollData2324,'2324 Jun 24 Enroll'!M$1,FALSE)-VLOOKUP($A114,EnrollData2324,'2324 Jun 24 Enroll'!J$1,FALSE)='District Calculations'!$B$16+'District Calculations'!$B$25-'District Calculations'!$B$17,VLOOKUP($A114,EnrollData2324,'2324 Jun 24 Enroll'!I$1,FALSE)+VLOOKUP($A114,EnrollData2324,'2324 Jun 24 Enroll'!M$1,FALSE)-VLOOKUP($A114,EnrollData2324,'2324 Jun 24 Enroll'!J$1,FALSE),'District Calculations'!$B$16+'District Calculations'!$B$25-'District Calculations'!$B$17)*Apport_218A2324,3)</f>
        <v>19.917999999999999</v>
      </c>
      <c r="Z114">
        <f>ROUND(SUM(T114:Y114)/IF(VLOOKUP($A114,EnrollData2324,'2324 Jun 24 Enroll'!M$1,FALSE)+VLOOKUP($A114,EnrollData2324,'2324 Jun 24 Enroll'!D$1,FALSE)='District Calculations'!$B$25+'District Calculations'!$B$11,VLOOKUP($A114,EnrollData2324,'2324 Jun 24 Enroll'!M$1,FALSE)+VLOOKUP($A114,EnrollData2324,'2324 Jun 24 Enroll'!D$1,FALSE),'District Calculations'!$B$25+'District Calculations'!$B$11),5)</f>
        <v>1.7399999999999999E-2</v>
      </c>
      <c r="AA114" s="6">
        <f>ROUND($J114*CIS_Base_Salary2324*VLOOKUP($A114,EnrollData2324,'2324 Jun 24 Enroll'!S$1,FALSE),2)</f>
        <v>4280.8999999999996</v>
      </c>
      <c r="AB114" s="6">
        <f>ROUND($J114*CIS_Inc_Salary2324*(VLOOKUP($A114,EnrollData2324,'2324 Jun 24 Enroll'!T$1,FALSE)+VLOOKUP($A114,EnrollData2324,'2324 Jun 24 Enroll'!U$1,FALSE)),2)-AA114</f>
        <v>158.40000000000055</v>
      </c>
      <c r="AC114" s="6">
        <f>ROUND($R114*CAS_Base_Salary2324*VLOOKUP($A114,EnrollData2324,'2324 Jun 24 Enroll'!S$1,FALSE),2)</f>
        <v>469.17</v>
      </c>
      <c r="AD114" s="6">
        <f>ROUND($R114*CAS_Inc_Salary2324*VLOOKUP($A114,EnrollData2324,'2324 Jun 24 Enroll'!T$1,FALSE),2)-AC114</f>
        <v>17.359999999999957</v>
      </c>
      <c r="AE114" s="6">
        <f>ROUND($Z114*CLS_Base_Salary2324*VLOOKUP($A114,EnrollData2324,'2324 Jun 24 Enroll'!S$1,FALSE),2)</f>
        <v>962.28</v>
      </c>
      <c r="AF114" s="6">
        <f>ROUND($Z114*CLS_Inc_Salary2324*VLOOKUP($A114,EnrollData2324,'2324 Jun 24 Enroll'!T$1,FALSE),2)-AE114</f>
        <v>35.600000000000023</v>
      </c>
      <c r="AG114">
        <f t="shared" si="35"/>
        <v>734.16</v>
      </c>
      <c r="AH114" s="69">
        <f t="shared" si="39"/>
        <v>68.700000000000045</v>
      </c>
      <c r="AI114">
        <f t="shared" si="36"/>
        <v>214.23</v>
      </c>
      <c r="AJ114">
        <f t="shared" si="40"/>
        <v>114.21000000000001</v>
      </c>
      <c r="AK114">
        <f t="shared" si="41"/>
        <v>853.59</v>
      </c>
      <c r="AL114">
        <f t="shared" si="42"/>
        <v>30.46</v>
      </c>
      <c r="AM114">
        <f t="shared" si="43"/>
        <v>212.28</v>
      </c>
      <c r="AN114">
        <f t="shared" si="44"/>
        <v>6.61</v>
      </c>
      <c r="AO114">
        <f>ROUND(($J114*CIS_Inc_Salary2324*(VLOOKUP($A114,EnrollData2324,'2324 Jun 24 Enroll'!T$1,FALSE)+VLOOKUP($A114,EnrollData2324,'2324 Jun 24 Enroll'!U$1,FALSE))/Apport_613Xpd)*Apport_614Xpd,2)</f>
        <v>73.989999999999995</v>
      </c>
      <c r="AP114">
        <f t="shared" si="45"/>
        <v>12.82</v>
      </c>
      <c r="AQ114">
        <f t="shared" si="46"/>
        <v>30.93</v>
      </c>
      <c r="AR114" s="6">
        <f>ROUND((VLOOKUP($A114,EnrollData2324,'2324 Jun 24 Enroll'!D$1,FALSE)*Apport_M802324+VLOOKUP($A114,EnrollData2324,'2324 Jun 24 Enroll'!M$1,FALSE)*Apport_M802324+(VLOOKUP($A114,EnrollData2324,'2324 Jun 24 Enroll'!P$1,FALSE)+VLOOKUP($A114,EnrollData2324,'2324 Jun 24 Enroll'!Q$1,FALSE)+VLOOKUP($A114,EnrollData2324,'2324 Jun 24 Enroll'!R$1,FALSE)+VLOOKUP($A114,EnrollData2324,'2324 Jun 24 Enroll'!I$1,FALSE)+VLOOKUP($A114,EnrollData2324,'2324 Jun 24 Enroll'!N$1,FALSE)+VLOOKUP($A114,EnrollData2324,'2324 Jun 24 Enroll'!O$1,FALSE)+VLOOKUP($A114,EnrollData2324,'2324 Jun 24 Enroll'!K$1,FALSE)+VLOOKUP($A114,EnrollData2324,'2324 Jun 24 Enroll'!L$1,FALSE))*Apport_M812324)/(VLOOKUP($A114,EnrollData2324,'2324 Jun 24 Enroll'!M$1,FALSE)+VLOOKUP($A114,EnrollData2324,'2324 Jun 24 Enroll'!D$1,FALSE)),2)</f>
        <v>1650.16</v>
      </c>
      <c r="AS114" s="7">
        <f t="shared" si="47"/>
        <v>9925.8499999999985</v>
      </c>
    </row>
    <row r="115" spans="1:45">
      <c r="A115" s="40" t="s">
        <v>382</v>
      </c>
      <c r="B115" s="40" t="s">
        <v>383</v>
      </c>
      <c r="C115" s="11">
        <f>ROUND((IFERROR((1/IF(VLOOKUP($A115,EnrollData2324,28,FALSE)='District Calculations'!$B$10,VLOOKUP($A115,EnrollData2324,28,FALSE),'District Calculations'!$B$10))*(1+Apport_Z315),0))+Apport_201A2324,6)</f>
        <v>7.3449E-2</v>
      </c>
      <c r="D115">
        <f>ROUND(IF(VLOOKUP($A115,EnrollData2324,'2324 Jun 24 Enroll'!D$1,FALSE)='District Calculations'!$B$11,VLOOKUP($A115,EnrollData2324,'2324 Jun 24 Enroll'!D$1,FALSE),'District Calculations'!$B$11)*C115,3)</f>
        <v>0</v>
      </c>
      <c r="E115">
        <f>ROUND(IF(VLOOKUP($A115,EnrollData2324,'2324 Jun 24 Enroll'!E$1,FALSE)='District Calculations'!$B$12,VLOOKUP($A115,EnrollData2324,'2324 Jun 24 Enroll'!E$1,FALSE),'District Calculations'!$B$12)*C115,3)</f>
        <v>59.53</v>
      </c>
      <c r="F115">
        <f>ROUND(IF(VLOOKUP($A115,EnrollData2324,'2324 Jun 24 Enroll'!F$1,FALSE)='District Calculations'!$B$13,VLOOKUP($A115,EnrollData2324,'2324 Jun 24 Enroll'!F$1,FALSE),'District Calculations'!$B$13)*Apport_222A2324,3)</f>
        <v>10.101000000000001</v>
      </c>
      <c r="G115">
        <f>ROUND(IF(VLOOKUP($A115,EnrollData2324,'2324 Jun 24 Enroll'!G$1,FALSE)='District Calculations'!$B$14,VLOOKUP($A115,EnrollData2324,'2324 Jun 24 Enroll'!G$1,FALSE),'District Calculations'!$B$14)*Apport_210A2324,3)</f>
        <v>22.395</v>
      </c>
      <c r="H115">
        <f>ROUND(IF(VLOOKUP($A115,EnrollData2324,'2324 Jun 24 Enroll'!H$1,FALSE)='District Calculations'!$B$15,VLOOKUP($A115,EnrollData2324,'2324 Jun 24 Enroll'!H$1,FALSE),'District Calculations'!$B$15)*Apport_213A2324,3)</f>
        <v>23.091999999999999</v>
      </c>
      <c r="I115">
        <f>ROUND(IF(VLOOKUP($A115,EnrollData2324,'2324 Jun 24 Enroll'!I$1,FALSE)+VLOOKUP($A115,EnrollData2324,'2324 Jun 24 Enroll'!M$1,FALSE)-VLOOKUP($A115,EnrollData2324,'2324 Jun 24 Enroll'!J$1,FALSE)='District Calculations'!$B$16+'District Calculations'!$B$25-'District Calculations'!$B$17,VLOOKUP($A115,EnrollData2324,'2324 Jun 24 Enroll'!I$1,FALSE)+VLOOKUP($A115,EnrollData2324,'2324 Jun 24 Enroll'!M$1,FALSE)-VLOOKUP($A115,EnrollData2324,'2324 Jun 24 Enroll'!J$1,FALSE),'District Calculations'!$B$16+'District Calculations'!$B$25-'District Calculations'!$B$17)*Apport_216A2324,3)</f>
        <v>58.183999999999997</v>
      </c>
      <c r="J115">
        <f>ROUND(SUM(D115:I115)/(IF(VLOOKUP($A115,EnrollData2324,'2324 Jun 24 Enroll'!M$1,FALSE)='District Calculations'!$B$25,VLOOKUP($A115,EnrollData2324,'2324 Jun 24 Enroll'!M$1,FALSE),'District Calculations'!$B$25)+IF(VLOOKUP($A115,EnrollData2324,'2324 Jun 24 Enroll'!D$1,FALSE)='District Calculations'!$B$11,VLOOKUP($A115,EnrollData2324,'2324 Jun 24 Enroll'!D$1,FALSE),'District Calculations'!$B$11)),5)</f>
        <v>5.5530000000000003E-2</v>
      </c>
      <c r="K115" s="11">
        <f t="shared" si="37"/>
        <v>4.365E-3</v>
      </c>
      <c r="L115">
        <f>ROUND(IF(VLOOKUP($A115,EnrollData2324,'2324 Jun 24 Enroll'!D$1,FALSE)='District Calculations'!$B$11,VLOOKUP($A115,EnrollData2324,'2324 Jun 24 Enroll'!D$1,FALSE),'District Calculations'!$B$11)*K115,3)</f>
        <v>0</v>
      </c>
      <c r="M115">
        <f>ROUND(IF(VLOOKUP($A115,EnrollData2324,'2324 Jun 24 Enroll'!E$1,FALSE)='District Calculations'!$B$12,VLOOKUP($A115,EnrollData2324,'2324 Jun 24 Enroll'!E$1,FALSE),'District Calculations'!$B$12)*K115,3)</f>
        <v>3.5379999999999998</v>
      </c>
      <c r="N115">
        <f>ROUND(IF(VLOOKUP($A115,EnrollData2324,'2324 Jun 24 Enroll'!F$1,FALSE)='District Calculations'!$B$13,VLOOKUP($A115,EnrollData2324,'2324 Jun 24 Enroll'!F$1,FALSE),'District Calculations'!$B$13)*Apport_223A2324,3)</f>
        <v>0.84199999999999997</v>
      </c>
      <c r="O115">
        <f>ROUND(IF(VLOOKUP($A115,EnrollData2324,'2324 Jun 24 Enroll'!G$1,FALSE)='District Calculations'!$B$14,VLOOKUP($A115,EnrollData2324,'2324 Jun 24 Enroll'!G$1,FALSE),'District Calculations'!$B$14)*Apport_211A2324,3)</f>
        <v>1.867</v>
      </c>
      <c r="P115">
        <f>ROUND(IF(VLOOKUP($A115,EnrollData2324,'2324 Jun 24 Enroll'!H$1,FALSE)='District Calculations'!$B$14,VLOOKUP($A115,EnrollData2324,'2324 Jun 24 Enroll'!H$1,FALSE),'District Calculations'!$B$14)*Apport_214A2324,3)</f>
        <v>1.8660000000000001</v>
      </c>
      <c r="Q115">
        <f>ROUND(IF(VLOOKUP($A115,EnrollData2324,'2324 Jun 24 Enroll'!I$1,FALSE)+VLOOKUP($A115,EnrollData2324,'2324 Jun 24 Enroll'!M$1,FALSE)-VLOOKUP($A115,EnrollData2324,'2324 Jun 24 Enroll'!J$1,FALSE)='District Calculations'!$B$16+'District Calculations'!$B$25-'District Calculations'!$B$17,VLOOKUP($A115,EnrollData2324,'2324 Jun 24 Enroll'!I$1,FALSE)+VLOOKUP($A115,EnrollData2324,'2324 Jun 24 Enroll'!M$1,FALSE)-VLOOKUP($A115,EnrollData2324,'2324 Jun 24 Enroll'!J$1,FALSE),'District Calculations'!$B$16+'District Calculations'!$B$25-'District Calculations'!$B$17)*Apport_217A2324,3)</f>
        <v>4.6980000000000004</v>
      </c>
      <c r="R115">
        <f>ROUND(SUM(L115:Q115)/IF(VLOOKUP($A115,EnrollData2324,'2324 Jun 24 Enroll'!M$1,FALSE)+VLOOKUP($A115,EnrollData2324,'2324 Jun 24 Enroll'!D$1,FALSE)='District Calculations'!$B$25+'District Calculations'!$B$11,VLOOKUP($A115,EnrollData2324,'2324 Jun 24 Enroll'!M$1,FALSE)+VLOOKUP($A115,EnrollData2324,'2324 Jun 24 Enroll'!D$1,FALSE),'District Calculations'!$B$25+'District Calculations'!$B$11),5)</f>
        <v>4.1000000000000003E-3</v>
      </c>
      <c r="S115" s="11">
        <f t="shared" si="38"/>
        <v>1.8294500000000002E-2</v>
      </c>
      <c r="T115">
        <f>ROUND(IF(VLOOKUP($A115,EnrollData2324,'2324 Jun 24 Enroll'!D$1,FALSE)='District Calculations'!$B$11,VLOOKUP($A115,EnrollData2324,'2324 Jun 24 Enroll'!D$1,FALSE),'District Calculations'!$B$11)*S115,3)</f>
        <v>0</v>
      </c>
      <c r="U115">
        <f>ROUND(IF(VLOOKUP($A115,EnrollData2324,'2324 Jun 24 Enroll'!E$1,FALSE)='District Calculations'!$B$12,VLOOKUP($A115,EnrollData2324,'2324 Jun 24 Enroll'!E$1,FALSE),'District Calculations'!$B$12)*S115,3)</f>
        <v>14.827999999999999</v>
      </c>
      <c r="V115">
        <f>ROUND(IF(VLOOKUP($A115,EnrollData2324,'2324 Jun 24 Enroll'!F$1,FALSE)='District Calculations'!$B$13,VLOOKUP($A115,EnrollData2324,'2324 Jun 24 Enroll'!F$1,FALSE),'District Calculations'!$B$13)*Apport_224A2324,3)</f>
        <v>3.6190000000000002</v>
      </c>
      <c r="W115">
        <f>ROUND(IF(VLOOKUP($A115,EnrollData2324,'2324 Jun 24 Enroll'!G$1,FALSE)='District Calculations'!$B$14,VLOOKUP($A115,EnrollData2324,'2324 Jun 24 Enroll'!G$1,FALSE),'District Calculations'!$B$14)*Apport_212A2324,3)</f>
        <v>8.0239999999999991</v>
      </c>
      <c r="X115">
        <f>ROUND(IF(VLOOKUP($A115,EnrollData2324,'2324 Jun 24 Enroll'!H$1,FALSE)='District Calculations'!$B$14,VLOOKUP($A115,EnrollData2324,'2324 Jun 24 Enroll'!H$1,FALSE),'District Calculations'!$B$14)*Apport_215A2324,3)</f>
        <v>7.9279999999999999</v>
      </c>
      <c r="Y115">
        <f>ROUND(IF(VLOOKUP($A115,EnrollData2324,'2324 Jun 24 Enroll'!I$1,FALSE)+VLOOKUP($A115,EnrollData2324,'2324 Jun 24 Enroll'!M$1,FALSE)-VLOOKUP($A115,EnrollData2324,'2324 Jun 24 Enroll'!J$1,FALSE)='District Calculations'!$B$16+'District Calculations'!$B$25-'District Calculations'!$B$17,VLOOKUP($A115,EnrollData2324,'2324 Jun 24 Enroll'!I$1,FALSE)+VLOOKUP($A115,EnrollData2324,'2324 Jun 24 Enroll'!M$1,FALSE)-VLOOKUP($A115,EnrollData2324,'2324 Jun 24 Enroll'!J$1,FALSE),'District Calculations'!$B$16+'District Calculations'!$B$25-'District Calculations'!$B$17)*Apport_218A2324,3)</f>
        <v>19.917999999999999</v>
      </c>
      <c r="Z115">
        <f>ROUND(SUM(T115:Y115)/IF(VLOOKUP($A115,EnrollData2324,'2324 Jun 24 Enroll'!M$1,FALSE)+VLOOKUP($A115,EnrollData2324,'2324 Jun 24 Enroll'!D$1,FALSE)='District Calculations'!$B$25+'District Calculations'!$B$11,VLOOKUP($A115,EnrollData2324,'2324 Jun 24 Enroll'!M$1,FALSE)+VLOOKUP($A115,EnrollData2324,'2324 Jun 24 Enroll'!D$1,FALSE),'District Calculations'!$B$25+'District Calculations'!$B$11),5)</f>
        <v>1.7399999999999999E-2</v>
      </c>
      <c r="AA115" s="6">
        <f>ROUND($J115*CIS_Base_Salary2324*VLOOKUP($A115,EnrollData2324,'2324 Jun 24 Enroll'!S$1,FALSE),2)</f>
        <v>4523.22</v>
      </c>
      <c r="AB115" s="6">
        <f>ROUND($J115*CIS_Inc_Salary2324*(VLOOKUP($A115,EnrollData2324,'2324 Jun 24 Enroll'!T$1,FALSE)+VLOOKUP($A115,EnrollData2324,'2324 Jun 24 Enroll'!U$1,FALSE)),2)-AA115</f>
        <v>167.35999999999967</v>
      </c>
      <c r="AC115" s="6">
        <f>ROUND($R115*CAS_Base_Salary2324*VLOOKUP($A115,EnrollData2324,'2324 Jun 24 Enroll'!S$1,FALSE),2)</f>
        <v>495.73</v>
      </c>
      <c r="AD115" s="6">
        <f>ROUND($R115*CAS_Inc_Salary2324*VLOOKUP($A115,EnrollData2324,'2324 Jun 24 Enroll'!T$1,FALSE),2)-AC115</f>
        <v>18.340000000000032</v>
      </c>
      <c r="AE115" s="6">
        <f>ROUND($Z115*CLS_Base_Salary2324*VLOOKUP($A115,EnrollData2324,'2324 Jun 24 Enroll'!S$1,FALSE),2)</f>
        <v>1016.75</v>
      </c>
      <c r="AF115" s="6">
        <f>ROUND($Z115*CLS_Inc_Salary2324*VLOOKUP($A115,EnrollData2324,'2324 Jun 24 Enroll'!T$1,FALSE),2)-AE115</f>
        <v>37.6099999999999</v>
      </c>
      <c r="AG115">
        <f t="shared" si="35"/>
        <v>734.16</v>
      </c>
      <c r="AH115" s="69">
        <f t="shared" si="39"/>
        <v>68.700000000000045</v>
      </c>
      <c r="AI115">
        <f t="shared" si="36"/>
        <v>214.23</v>
      </c>
      <c r="AJ115">
        <f t="shared" si="40"/>
        <v>114.21000000000001</v>
      </c>
      <c r="AK115">
        <f t="shared" si="41"/>
        <v>901.91</v>
      </c>
      <c r="AL115">
        <f t="shared" si="42"/>
        <v>32.18</v>
      </c>
      <c r="AM115">
        <f t="shared" si="43"/>
        <v>224.3</v>
      </c>
      <c r="AN115">
        <f t="shared" si="44"/>
        <v>6.98</v>
      </c>
      <c r="AO115">
        <f>ROUND(($J115*CIS_Inc_Salary2324*(VLOOKUP($A115,EnrollData2324,'2324 Jun 24 Enroll'!T$1,FALSE)+VLOOKUP($A115,EnrollData2324,'2324 Jun 24 Enroll'!U$1,FALSE))/Apport_613Xpd)*Apport_614Xpd,2)</f>
        <v>78.180000000000007</v>
      </c>
      <c r="AP115">
        <f t="shared" si="45"/>
        <v>13.55</v>
      </c>
      <c r="AQ115">
        <f t="shared" si="46"/>
        <v>30.93</v>
      </c>
      <c r="AR115" s="6">
        <f>ROUND((VLOOKUP($A115,EnrollData2324,'2324 Jun 24 Enroll'!D$1,FALSE)*Apport_M802324+VLOOKUP($A115,EnrollData2324,'2324 Jun 24 Enroll'!M$1,FALSE)*Apport_M802324+(VLOOKUP($A115,EnrollData2324,'2324 Jun 24 Enroll'!P$1,FALSE)+VLOOKUP($A115,EnrollData2324,'2324 Jun 24 Enroll'!Q$1,FALSE)+VLOOKUP($A115,EnrollData2324,'2324 Jun 24 Enroll'!R$1,FALSE)+VLOOKUP($A115,EnrollData2324,'2324 Jun 24 Enroll'!I$1,FALSE)+VLOOKUP($A115,EnrollData2324,'2324 Jun 24 Enroll'!N$1,FALSE)+VLOOKUP($A115,EnrollData2324,'2324 Jun 24 Enroll'!O$1,FALSE)+VLOOKUP($A115,EnrollData2324,'2324 Jun 24 Enroll'!K$1,FALSE)+VLOOKUP($A115,EnrollData2324,'2324 Jun 24 Enroll'!L$1,FALSE))*Apport_M812324)/(VLOOKUP($A115,EnrollData2324,'2324 Jun 24 Enroll'!M$1,FALSE)+VLOOKUP($A115,EnrollData2324,'2324 Jun 24 Enroll'!D$1,FALSE)),2)</f>
        <v>1543.81</v>
      </c>
      <c r="AS115" s="7">
        <f t="shared" si="47"/>
        <v>10222.149999999998</v>
      </c>
    </row>
    <row r="116" spans="1:45">
      <c r="A116" s="40" t="s">
        <v>697</v>
      </c>
      <c r="B116" s="40" t="s">
        <v>698</v>
      </c>
      <c r="C116" s="11">
        <f>ROUND((IFERROR((1/IF(VLOOKUP($A116,EnrollData2324,28,FALSE)='District Calculations'!$B$10,VLOOKUP($A116,EnrollData2324,28,FALSE),'District Calculations'!$B$10))*(1+Apport_Z315),0))+Apport_201A2324,6)</f>
        <v>7.3449E-2</v>
      </c>
      <c r="D116">
        <f>ROUND(IF(VLOOKUP($A116,EnrollData2324,'2324 Jun 24 Enroll'!D$1,FALSE)='District Calculations'!$B$11,VLOOKUP($A116,EnrollData2324,'2324 Jun 24 Enroll'!D$1,FALSE),'District Calculations'!$B$11)*C116,3)</f>
        <v>0</v>
      </c>
      <c r="E116">
        <f>ROUND(IF(VLOOKUP($A116,EnrollData2324,'2324 Jun 24 Enroll'!E$1,FALSE)='District Calculations'!$B$12,VLOOKUP($A116,EnrollData2324,'2324 Jun 24 Enroll'!E$1,FALSE),'District Calculations'!$B$12)*C116,3)</f>
        <v>59.53</v>
      </c>
      <c r="F116">
        <f>ROUND(IF(VLOOKUP($A116,EnrollData2324,'2324 Jun 24 Enroll'!F$1,FALSE)='District Calculations'!$B$13,VLOOKUP($A116,EnrollData2324,'2324 Jun 24 Enroll'!F$1,FALSE),'District Calculations'!$B$13)*Apport_222A2324,3)</f>
        <v>10.101000000000001</v>
      </c>
      <c r="G116">
        <f>ROUND(IF(VLOOKUP($A116,EnrollData2324,'2324 Jun 24 Enroll'!G$1,FALSE)='District Calculations'!$B$14,VLOOKUP($A116,EnrollData2324,'2324 Jun 24 Enroll'!G$1,FALSE),'District Calculations'!$B$14)*Apport_210A2324,3)</f>
        <v>22.395</v>
      </c>
      <c r="H116">
        <f>ROUND(IF(VLOOKUP($A116,EnrollData2324,'2324 Jun 24 Enroll'!H$1,FALSE)='District Calculations'!$B$15,VLOOKUP($A116,EnrollData2324,'2324 Jun 24 Enroll'!H$1,FALSE),'District Calculations'!$B$15)*Apport_213A2324,3)</f>
        <v>23.091999999999999</v>
      </c>
      <c r="I116">
        <f>ROUND(IF(VLOOKUP($A116,EnrollData2324,'2324 Jun 24 Enroll'!I$1,FALSE)+VLOOKUP($A116,EnrollData2324,'2324 Jun 24 Enroll'!M$1,FALSE)-VLOOKUP($A116,EnrollData2324,'2324 Jun 24 Enroll'!J$1,FALSE)='District Calculations'!$B$16+'District Calculations'!$B$25-'District Calculations'!$B$17,VLOOKUP($A116,EnrollData2324,'2324 Jun 24 Enroll'!I$1,FALSE)+VLOOKUP($A116,EnrollData2324,'2324 Jun 24 Enroll'!M$1,FALSE)-VLOOKUP($A116,EnrollData2324,'2324 Jun 24 Enroll'!J$1,FALSE),'District Calculations'!$B$16+'District Calculations'!$B$25-'District Calculations'!$B$17)*Apport_216A2324,3)</f>
        <v>58.183999999999997</v>
      </c>
      <c r="J116">
        <f>ROUND(SUM(D116:I116)/(IF(VLOOKUP($A116,EnrollData2324,'2324 Jun 24 Enroll'!M$1,FALSE)='District Calculations'!$B$25,VLOOKUP($A116,EnrollData2324,'2324 Jun 24 Enroll'!M$1,FALSE),'District Calculations'!$B$25)+IF(VLOOKUP($A116,EnrollData2324,'2324 Jun 24 Enroll'!D$1,FALSE)='District Calculations'!$B$11,VLOOKUP($A116,EnrollData2324,'2324 Jun 24 Enroll'!D$1,FALSE),'District Calculations'!$B$11)),5)</f>
        <v>5.5530000000000003E-2</v>
      </c>
      <c r="K116" s="11">
        <f t="shared" si="37"/>
        <v>4.365E-3</v>
      </c>
      <c r="L116">
        <f>ROUND(IF(VLOOKUP($A116,EnrollData2324,'2324 Jun 24 Enroll'!D$1,FALSE)='District Calculations'!$B$11,VLOOKUP($A116,EnrollData2324,'2324 Jun 24 Enroll'!D$1,FALSE),'District Calculations'!$B$11)*K116,3)</f>
        <v>0</v>
      </c>
      <c r="M116">
        <f>ROUND(IF(VLOOKUP($A116,EnrollData2324,'2324 Jun 24 Enroll'!E$1,FALSE)='District Calculations'!$B$12,VLOOKUP($A116,EnrollData2324,'2324 Jun 24 Enroll'!E$1,FALSE),'District Calculations'!$B$12)*K116,3)</f>
        <v>3.5379999999999998</v>
      </c>
      <c r="N116">
        <f>ROUND(IF(VLOOKUP($A116,EnrollData2324,'2324 Jun 24 Enroll'!F$1,FALSE)='District Calculations'!$B$13,VLOOKUP($A116,EnrollData2324,'2324 Jun 24 Enroll'!F$1,FALSE),'District Calculations'!$B$13)*Apport_223A2324,3)</f>
        <v>0.84199999999999997</v>
      </c>
      <c r="O116">
        <f>ROUND(IF(VLOOKUP($A116,EnrollData2324,'2324 Jun 24 Enroll'!G$1,FALSE)='District Calculations'!$B$14,VLOOKUP($A116,EnrollData2324,'2324 Jun 24 Enroll'!G$1,FALSE),'District Calculations'!$B$14)*Apport_211A2324,3)</f>
        <v>1.867</v>
      </c>
      <c r="P116">
        <f>ROUND(IF(VLOOKUP($A116,EnrollData2324,'2324 Jun 24 Enroll'!H$1,FALSE)='District Calculations'!$B$14,VLOOKUP($A116,EnrollData2324,'2324 Jun 24 Enroll'!H$1,FALSE),'District Calculations'!$B$14)*Apport_214A2324,3)</f>
        <v>1.8660000000000001</v>
      </c>
      <c r="Q116">
        <f>ROUND(IF(VLOOKUP($A116,EnrollData2324,'2324 Jun 24 Enroll'!I$1,FALSE)+VLOOKUP($A116,EnrollData2324,'2324 Jun 24 Enroll'!M$1,FALSE)-VLOOKUP($A116,EnrollData2324,'2324 Jun 24 Enroll'!J$1,FALSE)='District Calculations'!$B$16+'District Calculations'!$B$25-'District Calculations'!$B$17,VLOOKUP($A116,EnrollData2324,'2324 Jun 24 Enroll'!I$1,FALSE)+VLOOKUP($A116,EnrollData2324,'2324 Jun 24 Enroll'!M$1,FALSE)-VLOOKUP($A116,EnrollData2324,'2324 Jun 24 Enroll'!J$1,FALSE),'District Calculations'!$B$16+'District Calculations'!$B$25-'District Calculations'!$B$17)*Apport_217A2324,3)</f>
        <v>4.6980000000000004</v>
      </c>
      <c r="R116">
        <f>ROUND(SUM(L116:Q116)/IF(VLOOKUP($A116,EnrollData2324,'2324 Jun 24 Enroll'!M$1,FALSE)+VLOOKUP($A116,EnrollData2324,'2324 Jun 24 Enroll'!D$1,FALSE)='District Calculations'!$B$25+'District Calculations'!$B$11,VLOOKUP($A116,EnrollData2324,'2324 Jun 24 Enroll'!M$1,FALSE)+VLOOKUP($A116,EnrollData2324,'2324 Jun 24 Enroll'!D$1,FALSE),'District Calculations'!$B$25+'District Calculations'!$B$11),5)</f>
        <v>4.1000000000000003E-3</v>
      </c>
      <c r="S116" s="11">
        <f t="shared" si="38"/>
        <v>1.8294500000000002E-2</v>
      </c>
      <c r="T116">
        <f>ROUND(IF(VLOOKUP($A116,EnrollData2324,'2324 Jun 24 Enroll'!D$1,FALSE)='District Calculations'!$B$11,VLOOKUP($A116,EnrollData2324,'2324 Jun 24 Enroll'!D$1,FALSE),'District Calculations'!$B$11)*S116,3)</f>
        <v>0</v>
      </c>
      <c r="U116">
        <f>ROUND(IF(VLOOKUP($A116,EnrollData2324,'2324 Jun 24 Enroll'!E$1,FALSE)='District Calculations'!$B$12,VLOOKUP($A116,EnrollData2324,'2324 Jun 24 Enroll'!E$1,FALSE),'District Calculations'!$B$12)*S116,3)</f>
        <v>14.827999999999999</v>
      </c>
      <c r="V116">
        <f>ROUND(IF(VLOOKUP($A116,EnrollData2324,'2324 Jun 24 Enroll'!F$1,FALSE)='District Calculations'!$B$13,VLOOKUP($A116,EnrollData2324,'2324 Jun 24 Enroll'!F$1,FALSE),'District Calculations'!$B$13)*Apport_224A2324,3)</f>
        <v>3.6190000000000002</v>
      </c>
      <c r="W116">
        <f>ROUND(IF(VLOOKUP($A116,EnrollData2324,'2324 Jun 24 Enroll'!G$1,FALSE)='District Calculations'!$B$14,VLOOKUP($A116,EnrollData2324,'2324 Jun 24 Enroll'!G$1,FALSE),'District Calculations'!$B$14)*Apport_212A2324,3)</f>
        <v>8.0239999999999991</v>
      </c>
      <c r="X116">
        <f>ROUND(IF(VLOOKUP($A116,EnrollData2324,'2324 Jun 24 Enroll'!H$1,FALSE)='District Calculations'!$B$14,VLOOKUP($A116,EnrollData2324,'2324 Jun 24 Enroll'!H$1,FALSE),'District Calculations'!$B$14)*Apport_215A2324,3)</f>
        <v>7.9279999999999999</v>
      </c>
      <c r="Y116">
        <f>ROUND(IF(VLOOKUP($A116,EnrollData2324,'2324 Jun 24 Enroll'!I$1,FALSE)+VLOOKUP($A116,EnrollData2324,'2324 Jun 24 Enroll'!M$1,FALSE)-VLOOKUP($A116,EnrollData2324,'2324 Jun 24 Enroll'!J$1,FALSE)='District Calculations'!$B$16+'District Calculations'!$B$25-'District Calculations'!$B$17,VLOOKUP($A116,EnrollData2324,'2324 Jun 24 Enroll'!I$1,FALSE)+VLOOKUP($A116,EnrollData2324,'2324 Jun 24 Enroll'!M$1,FALSE)-VLOOKUP($A116,EnrollData2324,'2324 Jun 24 Enroll'!J$1,FALSE),'District Calculations'!$B$16+'District Calculations'!$B$25-'District Calculations'!$B$17)*Apport_218A2324,3)</f>
        <v>19.917999999999999</v>
      </c>
      <c r="Z116">
        <f>ROUND(SUM(T116:Y116)/IF(VLOOKUP($A116,EnrollData2324,'2324 Jun 24 Enroll'!M$1,FALSE)+VLOOKUP($A116,EnrollData2324,'2324 Jun 24 Enroll'!D$1,FALSE)='District Calculations'!$B$25+'District Calculations'!$B$11,VLOOKUP($A116,EnrollData2324,'2324 Jun 24 Enroll'!M$1,FALSE)+VLOOKUP($A116,EnrollData2324,'2324 Jun 24 Enroll'!D$1,FALSE),'District Calculations'!$B$25+'District Calculations'!$B$11),5)</f>
        <v>1.7399999999999999E-2</v>
      </c>
      <c r="AA116" s="6">
        <f>ROUND($J116*CIS_Base_Salary2324*VLOOKUP($A116,EnrollData2324,'2324 Jun 24 Enroll'!S$1,FALSE),2)</f>
        <v>4523.22</v>
      </c>
      <c r="AB116" s="6">
        <f>ROUND($J116*CIS_Inc_Salary2324*(VLOOKUP($A116,EnrollData2324,'2324 Jun 24 Enroll'!T$1,FALSE)+VLOOKUP($A116,EnrollData2324,'2324 Jun 24 Enroll'!U$1,FALSE)),2)-AA116</f>
        <v>167.35999999999967</v>
      </c>
      <c r="AC116" s="6">
        <f>ROUND($R116*CAS_Base_Salary2324*VLOOKUP($A116,EnrollData2324,'2324 Jun 24 Enroll'!S$1,FALSE),2)</f>
        <v>495.73</v>
      </c>
      <c r="AD116" s="6">
        <f>ROUND($R116*CAS_Inc_Salary2324*VLOOKUP($A116,EnrollData2324,'2324 Jun 24 Enroll'!T$1,FALSE),2)-AC116</f>
        <v>18.340000000000032</v>
      </c>
      <c r="AE116" s="6">
        <f>ROUND($Z116*CLS_Base_Salary2324*VLOOKUP($A116,EnrollData2324,'2324 Jun 24 Enroll'!S$1,FALSE),2)</f>
        <v>1016.75</v>
      </c>
      <c r="AF116" s="6">
        <f>ROUND($Z116*CLS_Inc_Salary2324*VLOOKUP($A116,EnrollData2324,'2324 Jun 24 Enroll'!T$1,FALSE),2)-AE116</f>
        <v>37.6099999999999</v>
      </c>
      <c r="AG116">
        <f t="shared" si="35"/>
        <v>734.16</v>
      </c>
      <c r="AH116" s="69">
        <f t="shared" si="39"/>
        <v>68.700000000000045</v>
      </c>
      <c r="AI116">
        <f t="shared" si="36"/>
        <v>214.23</v>
      </c>
      <c r="AJ116">
        <f t="shared" si="40"/>
        <v>114.21000000000001</v>
      </c>
      <c r="AK116">
        <f t="shared" si="41"/>
        <v>901.91</v>
      </c>
      <c r="AL116">
        <f t="shared" si="42"/>
        <v>32.18</v>
      </c>
      <c r="AM116">
        <f t="shared" si="43"/>
        <v>224.3</v>
      </c>
      <c r="AN116">
        <f t="shared" si="44"/>
        <v>6.98</v>
      </c>
      <c r="AO116">
        <f>ROUND(($J116*CIS_Inc_Salary2324*(VLOOKUP($A116,EnrollData2324,'2324 Jun 24 Enroll'!T$1,FALSE)+VLOOKUP($A116,EnrollData2324,'2324 Jun 24 Enroll'!U$1,FALSE))/Apport_613Xpd)*Apport_614Xpd,2)</f>
        <v>78.180000000000007</v>
      </c>
      <c r="AP116">
        <f t="shared" si="45"/>
        <v>13.55</v>
      </c>
      <c r="AQ116">
        <f t="shared" si="46"/>
        <v>30.93</v>
      </c>
      <c r="AR116" s="6">
        <f>ROUND((VLOOKUP($A116,EnrollData2324,'2324 Jun 24 Enroll'!D$1,FALSE)*Apport_M802324+VLOOKUP($A116,EnrollData2324,'2324 Jun 24 Enroll'!M$1,FALSE)*Apport_M802324+(VLOOKUP($A116,EnrollData2324,'2324 Jun 24 Enroll'!P$1,FALSE)+VLOOKUP($A116,EnrollData2324,'2324 Jun 24 Enroll'!Q$1,FALSE)+VLOOKUP($A116,EnrollData2324,'2324 Jun 24 Enroll'!R$1,FALSE)+VLOOKUP($A116,EnrollData2324,'2324 Jun 24 Enroll'!I$1,FALSE)+VLOOKUP($A116,EnrollData2324,'2324 Jun 24 Enroll'!N$1,FALSE)+VLOOKUP($A116,EnrollData2324,'2324 Jun 24 Enroll'!O$1,FALSE)+VLOOKUP($A116,EnrollData2324,'2324 Jun 24 Enroll'!K$1,FALSE)+VLOOKUP($A116,EnrollData2324,'2324 Jun 24 Enroll'!L$1,FALSE))*Apport_M812324)/(VLOOKUP($A116,EnrollData2324,'2324 Jun 24 Enroll'!M$1,FALSE)+VLOOKUP($A116,EnrollData2324,'2324 Jun 24 Enroll'!D$1,FALSE)),2)</f>
        <v>1565.91</v>
      </c>
      <c r="AS116" s="7">
        <f t="shared" si="47"/>
        <v>10244.249999999998</v>
      </c>
    </row>
    <row r="117" spans="1:45">
      <c r="A117" s="40" t="s">
        <v>747</v>
      </c>
      <c r="B117" s="40" t="s">
        <v>748</v>
      </c>
      <c r="C117" s="11">
        <f>ROUND((IFERROR((1/IF(VLOOKUP($A117,EnrollData2324,28,FALSE)='District Calculations'!$B$10,VLOOKUP($A117,EnrollData2324,28,FALSE),'District Calculations'!$B$10))*(1+Apport_Z315),0))+Apport_201A2324,6)</f>
        <v>7.3449E-2</v>
      </c>
      <c r="D117">
        <f>ROUND(IF(VLOOKUP($A117,EnrollData2324,'2324 Jun 24 Enroll'!D$1,FALSE)='District Calculations'!$B$11,VLOOKUP($A117,EnrollData2324,'2324 Jun 24 Enroll'!D$1,FALSE),'District Calculations'!$B$11)*C117,3)</f>
        <v>0</v>
      </c>
      <c r="E117">
        <f>ROUND(IF(VLOOKUP($A117,EnrollData2324,'2324 Jun 24 Enroll'!E$1,FALSE)='District Calculations'!$B$12,VLOOKUP($A117,EnrollData2324,'2324 Jun 24 Enroll'!E$1,FALSE),'District Calculations'!$B$12)*C117,3)</f>
        <v>59.53</v>
      </c>
      <c r="F117">
        <f>ROUND(IF(VLOOKUP($A117,EnrollData2324,'2324 Jun 24 Enroll'!F$1,FALSE)='District Calculations'!$B$13,VLOOKUP($A117,EnrollData2324,'2324 Jun 24 Enroll'!F$1,FALSE),'District Calculations'!$B$13)*Apport_222A2324,3)</f>
        <v>10.101000000000001</v>
      </c>
      <c r="G117">
        <f>ROUND(IF(VLOOKUP($A117,EnrollData2324,'2324 Jun 24 Enroll'!G$1,FALSE)='District Calculations'!$B$14,VLOOKUP($A117,EnrollData2324,'2324 Jun 24 Enroll'!G$1,FALSE),'District Calculations'!$B$14)*Apport_210A2324,3)</f>
        <v>22.395</v>
      </c>
      <c r="H117">
        <f>ROUND(IF(VLOOKUP($A117,EnrollData2324,'2324 Jun 24 Enroll'!H$1,FALSE)='District Calculations'!$B$15,VLOOKUP($A117,EnrollData2324,'2324 Jun 24 Enroll'!H$1,FALSE),'District Calculations'!$B$15)*Apport_213A2324,3)</f>
        <v>23.091999999999999</v>
      </c>
      <c r="I117">
        <f>ROUND(IF(VLOOKUP($A117,EnrollData2324,'2324 Jun 24 Enroll'!I$1,FALSE)+VLOOKUP($A117,EnrollData2324,'2324 Jun 24 Enroll'!M$1,FALSE)-VLOOKUP($A117,EnrollData2324,'2324 Jun 24 Enroll'!J$1,FALSE)='District Calculations'!$B$16+'District Calculations'!$B$25-'District Calculations'!$B$17,VLOOKUP($A117,EnrollData2324,'2324 Jun 24 Enroll'!I$1,FALSE)+VLOOKUP($A117,EnrollData2324,'2324 Jun 24 Enroll'!M$1,FALSE)-VLOOKUP($A117,EnrollData2324,'2324 Jun 24 Enroll'!J$1,FALSE),'District Calculations'!$B$16+'District Calculations'!$B$25-'District Calculations'!$B$17)*Apport_216A2324,3)</f>
        <v>58.183999999999997</v>
      </c>
      <c r="J117">
        <f>ROUND(SUM(D117:I117)/(IF(VLOOKUP($A117,EnrollData2324,'2324 Jun 24 Enroll'!M$1,FALSE)='District Calculations'!$B$25,VLOOKUP($A117,EnrollData2324,'2324 Jun 24 Enroll'!M$1,FALSE),'District Calculations'!$B$25)+IF(VLOOKUP($A117,EnrollData2324,'2324 Jun 24 Enroll'!D$1,FALSE)='District Calculations'!$B$11,VLOOKUP($A117,EnrollData2324,'2324 Jun 24 Enroll'!D$1,FALSE),'District Calculations'!$B$11)),5)</f>
        <v>5.5530000000000003E-2</v>
      </c>
      <c r="K117" s="11">
        <f t="shared" si="37"/>
        <v>4.365E-3</v>
      </c>
      <c r="L117">
        <f>ROUND(IF(VLOOKUP($A117,EnrollData2324,'2324 Jun 24 Enroll'!D$1,FALSE)='District Calculations'!$B$11,VLOOKUP($A117,EnrollData2324,'2324 Jun 24 Enroll'!D$1,FALSE),'District Calculations'!$B$11)*K117,3)</f>
        <v>0</v>
      </c>
      <c r="M117">
        <f>ROUND(IF(VLOOKUP($A117,EnrollData2324,'2324 Jun 24 Enroll'!E$1,FALSE)='District Calculations'!$B$12,VLOOKUP($A117,EnrollData2324,'2324 Jun 24 Enroll'!E$1,FALSE),'District Calculations'!$B$12)*K117,3)</f>
        <v>3.5379999999999998</v>
      </c>
      <c r="N117">
        <f>ROUND(IF(VLOOKUP($A117,EnrollData2324,'2324 Jun 24 Enroll'!F$1,FALSE)='District Calculations'!$B$13,VLOOKUP($A117,EnrollData2324,'2324 Jun 24 Enroll'!F$1,FALSE),'District Calculations'!$B$13)*Apport_223A2324,3)</f>
        <v>0.84199999999999997</v>
      </c>
      <c r="O117">
        <f>ROUND(IF(VLOOKUP($A117,EnrollData2324,'2324 Jun 24 Enroll'!G$1,FALSE)='District Calculations'!$B$14,VLOOKUP($A117,EnrollData2324,'2324 Jun 24 Enroll'!G$1,FALSE),'District Calculations'!$B$14)*Apport_211A2324,3)</f>
        <v>1.867</v>
      </c>
      <c r="P117">
        <f>ROUND(IF(VLOOKUP($A117,EnrollData2324,'2324 Jun 24 Enroll'!H$1,FALSE)='District Calculations'!$B$14,VLOOKUP($A117,EnrollData2324,'2324 Jun 24 Enroll'!H$1,FALSE),'District Calculations'!$B$14)*Apport_214A2324,3)</f>
        <v>1.8660000000000001</v>
      </c>
      <c r="Q117">
        <f>ROUND(IF(VLOOKUP($A117,EnrollData2324,'2324 Jun 24 Enroll'!I$1,FALSE)+VLOOKUP($A117,EnrollData2324,'2324 Jun 24 Enroll'!M$1,FALSE)-VLOOKUP($A117,EnrollData2324,'2324 Jun 24 Enroll'!J$1,FALSE)='District Calculations'!$B$16+'District Calculations'!$B$25-'District Calculations'!$B$17,VLOOKUP($A117,EnrollData2324,'2324 Jun 24 Enroll'!I$1,FALSE)+VLOOKUP($A117,EnrollData2324,'2324 Jun 24 Enroll'!M$1,FALSE)-VLOOKUP($A117,EnrollData2324,'2324 Jun 24 Enroll'!J$1,FALSE),'District Calculations'!$B$16+'District Calculations'!$B$25-'District Calculations'!$B$17)*Apport_217A2324,3)</f>
        <v>4.6980000000000004</v>
      </c>
      <c r="R117">
        <f>ROUND(SUM(L117:Q117)/IF(VLOOKUP($A117,EnrollData2324,'2324 Jun 24 Enroll'!M$1,FALSE)+VLOOKUP($A117,EnrollData2324,'2324 Jun 24 Enroll'!D$1,FALSE)='District Calculations'!$B$25+'District Calculations'!$B$11,VLOOKUP($A117,EnrollData2324,'2324 Jun 24 Enroll'!M$1,FALSE)+VLOOKUP($A117,EnrollData2324,'2324 Jun 24 Enroll'!D$1,FALSE),'District Calculations'!$B$25+'District Calculations'!$B$11),5)</f>
        <v>4.1000000000000003E-3</v>
      </c>
      <c r="S117" s="11">
        <f t="shared" si="38"/>
        <v>1.8294500000000002E-2</v>
      </c>
      <c r="T117">
        <f>ROUND(IF(VLOOKUP($A117,EnrollData2324,'2324 Jun 24 Enroll'!D$1,FALSE)='District Calculations'!$B$11,VLOOKUP($A117,EnrollData2324,'2324 Jun 24 Enroll'!D$1,FALSE),'District Calculations'!$B$11)*S117,3)</f>
        <v>0</v>
      </c>
      <c r="U117">
        <f>ROUND(IF(VLOOKUP($A117,EnrollData2324,'2324 Jun 24 Enroll'!E$1,FALSE)='District Calculations'!$B$12,VLOOKUP($A117,EnrollData2324,'2324 Jun 24 Enroll'!E$1,FALSE),'District Calculations'!$B$12)*S117,3)</f>
        <v>14.827999999999999</v>
      </c>
      <c r="V117">
        <f>ROUND(IF(VLOOKUP($A117,EnrollData2324,'2324 Jun 24 Enroll'!F$1,FALSE)='District Calculations'!$B$13,VLOOKUP($A117,EnrollData2324,'2324 Jun 24 Enroll'!F$1,FALSE),'District Calculations'!$B$13)*Apport_224A2324,3)</f>
        <v>3.6190000000000002</v>
      </c>
      <c r="W117">
        <f>ROUND(IF(VLOOKUP($A117,EnrollData2324,'2324 Jun 24 Enroll'!G$1,FALSE)='District Calculations'!$B$14,VLOOKUP($A117,EnrollData2324,'2324 Jun 24 Enroll'!G$1,FALSE),'District Calculations'!$B$14)*Apport_212A2324,3)</f>
        <v>8.0239999999999991</v>
      </c>
      <c r="X117">
        <f>ROUND(IF(VLOOKUP($A117,EnrollData2324,'2324 Jun 24 Enroll'!H$1,FALSE)='District Calculations'!$B$14,VLOOKUP($A117,EnrollData2324,'2324 Jun 24 Enroll'!H$1,FALSE),'District Calculations'!$B$14)*Apport_215A2324,3)</f>
        <v>7.9279999999999999</v>
      </c>
      <c r="Y117">
        <f>ROUND(IF(VLOOKUP($A117,EnrollData2324,'2324 Jun 24 Enroll'!I$1,FALSE)+VLOOKUP($A117,EnrollData2324,'2324 Jun 24 Enroll'!M$1,FALSE)-VLOOKUP($A117,EnrollData2324,'2324 Jun 24 Enroll'!J$1,FALSE)='District Calculations'!$B$16+'District Calculations'!$B$25-'District Calculations'!$B$17,VLOOKUP($A117,EnrollData2324,'2324 Jun 24 Enroll'!I$1,FALSE)+VLOOKUP($A117,EnrollData2324,'2324 Jun 24 Enroll'!M$1,FALSE)-VLOOKUP($A117,EnrollData2324,'2324 Jun 24 Enroll'!J$1,FALSE),'District Calculations'!$B$16+'District Calculations'!$B$25-'District Calculations'!$B$17)*Apport_218A2324,3)</f>
        <v>19.917999999999999</v>
      </c>
      <c r="Z117">
        <f>ROUND(SUM(T117:Y117)/IF(VLOOKUP($A117,EnrollData2324,'2324 Jun 24 Enroll'!M$1,FALSE)+VLOOKUP($A117,EnrollData2324,'2324 Jun 24 Enroll'!D$1,FALSE)='District Calculations'!$B$25+'District Calculations'!$B$11,VLOOKUP($A117,EnrollData2324,'2324 Jun 24 Enroll'!M$1,FALSE)+VLOOKUP($A117,EnrollData2324,'2324 Jun 24 Enroll'!D$1,FALSE),'District Calculations'!$B$25+'District Calculations'!$B$11),5)</f>
        <v>1.7399999999999999E-2</v>
      </c>
      <c r="AA117" s="6">
        <f>ROUND($J117*CIS_Base_Salary2324*VLOOKUP($A117,EnrollData2324,'2324 Jun 24 Enroll'!S$1,FALSE),2)</f>
        <v>4765.53</v>
      </c>
      <c r="AB117" s="6">
        <f>ROUND($J117*CIS_Inc_Salary2324*(VLOOKUP($A117,EnrollData2324,'2324 Jun 24 Enroll'!T$1,FALSE)+VLOOKUP($A117,EnrollData2324,'2324 Jun 24 Enroll'!U$1,FALSE)),2)-AA117</f>
        <v>176.32999999999993</v>
      </c>
      <c r="AC117" s="6">
        <f>ROUND($R117*CAS_Base_Salary2324*VLOOKUP($A117,EnrollData2324,'2324 Jun 24 Enroll'!S$1,FALSE),2)</f>
        <v>522.29</v>
      </c>
      <c r="AD117" s="6">
        <f>ROUND($R117*CAS_Inc_Salary2324*VLOOKUP($A117,EnrollData2324,'2324 Jun 24 Enroll'!T$1,FALSE),2)-AC117</f>
        <v>19.32000000000005</v>
      </c>
      <c r="AE117" s="6">
        <f>ROUND($Z117*CLS_Base_Salary2324*VLOOKUP($A117,EnrollData2324,'2324 Jun 24 Enroll'!S$1,FALSE),2)</f>
        <v>1071.22</v>
      </c>
      <c r="AF117" s="6">
        <f>ROUND($Z117*CLS_Inc_Salary2324*VLOOKUP($A117,EnrollData2324,'2324 Jun 24 Enroll'!T$1,FALSE),2)-AE117</f>
        <v>39.619999999999891</v>
      </c>
      <c r="AG117">
        <f t="shared" si="35"/>
        <v>734.16</v>
      </c>
      <c r="AH117" s="69">
        <f t="shared" si="39"/>
        <v>68.700000000000045</v>
      </c>
      <c r="AI117">
        <f t="shared" si="36"/>
        <v>214.23</v>
      </c>
      <c r="AJ117">
        <f t="shared" si="40"/>
        <v>114.21000000000001</v>
      </c>
      <c r="AK117">
        <f t="shared" si="41"/>
        <v>950.22</v>
      </c>
      <c r="AL117">
        <f t="shared" si="42"/>
        <v>33.909999999999997</v>
      </c>
      <c r="AM117">
        <f t="shared" si="43"/>
        <v>236.31</v>
      </c>
      <c r="AN117">
        <f t="shared" si="44"/>
        <v>7.35</v>
      </c>
      <c r="AO117">
        <f>ROUND(($J117*CIS_Inc_Salary2324*(VLOOKUP($A117,EnrollData2324,'2324 Jun 24 Enroll'!T$1,FALSE)+VLOOKUP($A117,EnrollData2324,'2324 Jun 24 Enroll'!U$1,FALSE))/Apport_613Xpd)*Apport_614Xpd,2)</f>
        <v>82.36</v>
      </c>
      <c r="AP117">
        <f t="shared" si="45"/>
        <v>14.27</v>
      </c>
      <c r="AQ117">
        <f t="shared" si="46"/>
        <v>30.93</v>
      </c>
      <c r="AR117" s="6">
        <f>ROUND((VLOOKUP($A117,EnrollData2324,'2324 Jun 24 Enroll'!D$1,FALSE)*Apport_M802324+VLOOKUP($A117,EnrollData2324,'2324 Jun 24 Enroll'!M$1,FALSE)*Apport_M802324+(VLOOKUP($A117,EnrollData2324,'2324 Jun 24 Enroll'!P$1,FALSE)+VLOOKUP($A117,EnrollData2324,'2324 Jun 24 Enroll'!Q$1,FALSE)+VLOOKUP($A117,EnrollData2324,'2324 Jun 24 Enroll'!R$1,FALSE)+VLOOKUP($A117,EnrollData2324,'2324 Jun 24 Enroll'!I$1,FALSE)+VLOOKUP($A117,EnrollData2324,'2324 Jun 24 Enroll'!N$1,FALSE)+VLOOKUP($A117,EnrollData2324,'2324 Jun 24 Enroll'!O$1,FALSE)+VLOOKUP($A117,EnrollData2324,'2324 Jun 24 Enroll'!K$1,FALSE)+VLOOKUP($A117,EnrollData2324,'2324 Jun 24 Enroll'!L$1,FALSE))*Apport_M812324)/(VLOOKUP($A117,EnrollData2324,'2324 Jun 24 Enroll'!M$1,FALSE)+VLOOKUP($A117,EnrollData2324,'2324 Jun 24 Enroll'!D$1,FALSE)),2)</f>
        <v>1547.65</v>
      </c>
      <c r="AS117" s="7">
        <f t="shared" si="47"/>
        <v>10628.609999999999</v>
      </c>
    </row>
    <row r="118" spans="1:45">
      <c r="A118" s="40" t="s">
        <v>464</v>
      </c>
      <c r="B118" s="40" t="s">
        <v>465</v>
      </c>
      <c r="C118" s="11">
        <f>ROUND((IFERROR((1/IF(VLOOKUP($A118,EnrollData2324,28,FALSE)='District Calculations'!$B$10,VLOOKUP($A118,EnrollData2324,28,FALSE),'District Calculations'!$B$10))*(1+Apport_Z315),0))+Apport_201A2324,6)</f>
        <v>7.3449E-2</v>
      </c>
      <c r="D118">
        <f>ROUND(IF(VLOOKUP($A118,EnrollData2324,'2324 Jun 24 Enroll'!D$1,FALSE)='District Calculations'!$B$11,VLOOKUP($A118,EnrollData2324,'2324 Jun 24 Enroll'!D$1,FALSE),'District Calculations'!$B$11)*C118,3)</f>
        <v>0</v>
      </c>
      <c r="E118">
        <f>ROUND(IF(VLOOKUP($A118,EnrollData2324,'2324 Jun 24 Enroll'!E$1,FALSE)='District Calculations'!$B$12,VLOOKUP($A118,EnrollData2324,'2324 Jun 24 Enroll'!E$1,FALSE),'District Calculations'!$B$12)*C118,3)</f>
        <v>59.53</v>
      </c>
      <c r="F118">
        <f>ROUND(IF(VLOOKUP($A118,EnrollData2324,'2324 Jun 24 Enroll'!F$1,FALSE)='District Calculations'!$B$13,VLOOKUP($A118,EnrollData2324,'2324 Jun 24 Enroll'!F$1,FALSE),'District Calculations'!$B$13)*Apport_222A2324,3)</f>
        <v>10.101000000000001</v>
      </c>
      <c r="G118">
        <f>ROUND(IF(VLOOKUP($A118,EnrollData2324,'2324 Jun 24 Enroll'!G$1,FALSE)='District Calculations'!$B$14,VLOOKUP($A118,EnrollData2324,'2324 Jun 24 Enroll'!G$1,FALSE),'District Calculations'!$B$14)*Apport_210A2324,3)</f>
        <v>22.395</v>
      </c>
      <c r="H118">
        <f>ROUND(IF(VLOOKUP($A118,EnrollData2324,'2324 Jun 24 Enroll'!H$1,FALSE)='District Calculations'!$B$15,VLOOKUP($A118,EnrollData2324,'2324 Jun 24 Enroll'!H$1,FALSE),'District Calculations'!$B$15)*Apport_213A2324,3)</f>
        <v>23.091999999999999</v>
      </c>
      <c r="I118">
        <f>ROUND(IF(VLOOKUP($A118,EnrollData2324,'2324 Jun 24 Enroll'!I$1,FALSE)+VLOOKUP($A118,EnrollData2324,'2324 Jun 24 Enroll'!M$1,FALSE)-VLOOKUP($A118,EnrollData2324,'2324 Jun 24 Enroll'!J$1,FALSE)='District Calculations'!$B$16+'District Calculations'!$B$25-'District Calculations'!$B$17,VLOOKUP($A118,EnrollData2324,'2324 Jun 24 Enroll'!I$1,FALSE)+VLOOKUP($A118,EnrollData2324,'2324 Jun 24 Enroll'!M$1,FALSE)-VLOOKUP($A118,EnrollData2324,'2324 Jun 24 Enroll'!J$1,FALSE),'District Calculations'!$B$16+'District Calculations'!$B$25-'District Calculations'!$B$17)*Apport_216A2324,3)</f>
        <v>58.183999999999997</v>
      </c>
      <c r="J118">
        <f>ROUND(SUM(D118:I118)/(IF(VLOOKUP($A118,EnrollData2324,'2324 Jun 24 Enroll'!M$1,FALSE)='District Calculations'!$B$25,VLOOKUP($A118,EnrollData2324,'2324 Jun 24 Enroll'!M$1,FALSE),'District Calculations'!$B$25)+IF(VLOOKUP($A118,EnrollData2324,'2324 Jun 24 Enroll'!D$1,FALSE)='District Calculations'!$B$11,VLOOKUP($A118,EnrollData2324,'2324 Jun 24 Enroll'!D$1,FALSE),'District Calculations'!$B$11)),5)</f>
        <v>5.5530000000000003E-2</v>
      </c>
      <c r="K118" s="11">
        <f t="shared" si="37"/>
        <v>4.365E-3</v>
      </c>
      <c r="L118">
        <f>ROUND(IF(VLOOKUP($A118,EnrollData2324,'2324 Jun 24 Enroll'!D$1,FALSE)='District Calculations'!$B$11,VLOOKUP($A118,EnrollData2324,'2324 Jun 24 Enroll'!D$1,FALSE),'District Calculations'!$B$11)*K118,3)</f>
        <v>0</v>
      </c>
      <c r="M118">
        <f>ROUND(IF(VLOOKUP($A118,EnrollData2324,'2324 Jun 24 Enroll'!E$1,FALSE)='District Calculations'!$B$12,VLOOKUP($A118,EnrollData2324,'2324 Jun 24 Enroll'!E$1,FALSE),'District Calculations'!$B$12)*K118,3)</f>
        <v>3.5379999999999998</v>
      </c>
      <c r="N118">
        <f>ROUND(IF(VLOOKUP($A118,EnrollData2324,'2324 Jun 24 Enroll'!F$1,FALSE)='District Calculations'!$B$13,VLOOKUP($A118,EnrollData2324,'2324 Jun 24 Enroll'!F$1,FALSE),'District Calculations'!$B$13)*Apport_223A2324,3)</f>
        <v>0.84199999999999997</v>
      </c>
      <c r="O118">
        <f>ROUND(IF(VLOOKUP($A118,EnrollData2324,'2324 Jun 24 Enroll'!G$1,FALSE)='District Calculations'!$B$14,VLOOKUP($A118,EnrollData2324,'2324 Jun 24 Enroll'!G$1,FALSE),'District Calculations'!$B$14)*Apport_211A2324,3)</f>
        <v>1.867</v>
      </c>
      <c r="P118">
        <f>ROUND(IF(VLOOKUP($A118,EnrollData2324,'2324 Jun 24 Enroll'!H$1,FALSE)='District Calculations'!$B$14,VLOOKUP($A118,EnrollData2324,'2324 Jun 24 Enroll'!H$1,FALSE),'District Calculations'!$B$14)*Apport_214A2324,3)</f>
        <v>1.8660000000000001</v>
      </c>
      <c r="Q118">
        <f>ROUND(IF(VLOOKUP($A118,EnrollData2324,'2324 Jun 24 Enroll'!I$1,FALSE)+VLOOKUP($A118,EnrollData2324,'2324 Jun 24 Enroll'!M$1,FALSE)-VLOOKUP($A118,EnrollData2324,'2324 Jun 24 Enroll'!J$1,FALSE)='District Calculations'!$B$16+'District Calculations'!$B$25-'District Calculations'!$B$17,VLOOKUP($A118,EnrollData2324,'2324 Jun 24 Enroll'!I$1,FALSE)+VLOOKUP($A118,EnrollData2324,'2324 Jun 24 Enroll'!M$1,FALSE)-VLOOKUP($A118,EnrollData2324,'2324 Jun 24 Enroll'!J$1,FALSE),'District Calculations'!$B$16+'District Calculations'!$B$25-'District Calculations'!$B$17)*Apport_217A2324,3)</f>
        <v>4.6980000000000004</v>
      </c>
      <c r="R118">
        <f>ROUND(SUM(L118:Q118)/IF(VLOOKUP($A118,EnrollData2324,'2324 Jun 24 Enroll'!M$1,FALSE)+VLOOKUP($A118,EnrollData2324,'2324 Jun 24 Enroll'!D$1,FALSE)='District Calculations'!$B$25+'District Calculations'!$B$11,VLOOKUP($A118,EnrollData2324,'2324 Jun 24 Enroll'!M$1,FALSE)+VLOOKUP($A118,EnrollData2324,'2324 Jun 24 Enroll'!D$1,FALSE),'District Calculations'!$B$25+'District Calculations'!$B$11),5)</f>
        <v>4.1000000000000003E-3</v>
      </c>
      <c r="S118" s="11">
        <f t="shared" si="38"/>
        <v>1.8294500000000002E-2</v>
      </c>
      <c r="T118">
        <f>ROUND(IF(VLOOKUP($A118,EnrollData2324,'2324 Jun 24 Enroll'!D$1,FALSE)='District Calculations'!$B$11,VLOOKUP($A118,EnrollData2324,'2324 Jun 24 Enroll'!D$1,FALSE),'District Calculations'!$B$11)*S118,3)</f>
        <v>0</v>
      </c>
      <c r="U118">
        <f>ROUND(IF(VLOOKUP($A118,EnrollData2324,'2324 Jun 24 Enroll'!E$1,FALSE)='District Calculations'!$B$12,VLOOKUP($A118,EnrollData2324,'2324 Jun 24 Enroll'!E$1,FALSE),'District Calculations'!$B$12)*S118,3)</f>
        <v>14.827999999999999</v>
      </c>
      <c r="V118">
        <f>ROUND(IF(VLOOKUP($A118,EnrollData2324,'2324 Jun 24 Enroll'!F$1,FALSE)='District Calculations'!$B$13,VLOOKUP($A118,EnrollData2324,'2324 Jun 24 Enroll'!F$1,FALSE),'District Calculations'!$B$13)*Apport_224A2324,3)</f>
        <v>3.6190000000000002</v>
      </c>
      <c r="W118">
        <f>ROUND(IF(VLOOKUP($A118,EnrollData2324,'2324 Jun 24 Enroll'!G$1,FALSE)='District Calculations'!$B$14,VLOOKUP($A118,EnrollData2324,'2324 Jun 24 Enroll'!G$1,FALSE),'District Calculations'!$B$14)*Apport_212A2324,3)</f>
        <v>8.0239999999999991</v>
      </c>
      <c r="X118">
        <f>ROUND(IF(VLOOKUP($A118,EnrollData2324,'2324 Jun 24 Enroll'!H$1,FALSE)='District Calculations'!$B$14,VLOOKUP($A118,EnrollData2324,'2324 Jun 24 Enroll'!H$1,FALSE),'District Calculations'!$B$14)*Apport_215A2324,3)</f>
        <v>7.9279999999999999</v>
      </c>
      <c r="Y118">
        <f>ROUND(IF(VLOOKUP($A118,EnrollData2324,'2324 Jun 24 Enroll'!I$1,FALSE)+VLOOKUP($A118,EnrollData2324,'2324 Jun 24 Enroll'!M$1,FALSE)-VLOOKUP($A118,EnrollData2324,'2324 Jun 24 Enroll'!J$1,FALSE)='District Calculations'!$B$16+'District Calculations'!$B$25-'District Calculations'!$B$17,VLOOKUP($A118,EnrollData2324,'2324 Jun 24 Enroll'!I$1,FALSE)+VLOOKUP($A118,EnrollData2324,'2324 Jun 24 Enroll'!M$1,FALSE)-VLOOKUP($A118,EnrollData2324,'2324 Jun 24 Enroll'!J$1,FALSE),'District Calculations'!$B$16+'District Calculations'!$B$25-'District Calculations'!$B$17)*Apport_218A2324,3)</f>
        <v>19.917999999999999</v>
      </c>
      <c r="Z118">
        <f>ROUND(SUM(T118:Y118)/IF(VLOOKUP($A118,EnrollData2324,'2324 Jun 24 Enroll'!M$1,FALSE)+VLOOKUP($A118,EnrollData2324,'2324 Jun 24 Enroll'!D$1,FALSE)='District Calculations'!$B$25+'District Calculations'!$B$11,VLOOKUP($A118,EnrollData2324,'2324 Jun 24 Enroll'!M$1,FALSE)+VLOOKUP($A118,EnrollData2324,'2324 Jun 24 Enroll'!D$1,FALSE),'District Calculations'!$B$25+'District Calculations'!$B$11),5)</f>
        <v>1.7399999999999999E-2</v>
      </c>
      <c r="AA118" s="6">
        <f>ROUND($J118*CIS_Base_Salary2324*VLOOKUP($A118,EnrollData2324,'2324 Jun 24 Enroll'!S$1,FALSE),2)</f>
        <v>4523.22</v>
      </c>
      <c r="AB118" s="6">
        <f>ROUND($J118*CIS_Inc_Salary2324*(VLOOKUP($A118,EnrollData2324,'2324 Jun 24 Enroll'!T$1,FALSE)+VLOOKUP($A118,EnrollData2324,'2324 Jun 24 Enroll'!U$1,FALSE)),2)-AA118</f>
        <v>167.35999999999967</v>
      </c>
      <c r="AC118" s="6">
        <f>ROUND($R118*CAS_Base_Salary2324*VLOOKUP($A118,EnrollData2324,'2324 Jun 24 Enroll'!S$1,FALSE),2)</f>
        <v>495.73</v>
      </c>
      <c r="AD118" s="6">
        <f>ROUND($R118*CAS_Inc_Salary2324*VLOOKUP($A118,EnrollData2324,'2324 Jun 24 Enroll'!T$1,FALSE),2)-AC118</f>
        <v>18.340000000000032</v>
      </c>
      <c r="AE118" s="6">
        <f>ROUND($Z118*CLS_Base_Salary2324*VLOOKUP($A118,EnrollData2324,'2324 Jun 24 Enroll'!S$1,FALSE),2)</f>
        <v>1016.75</v>
      </c>
      <c r="AF118" s="6">
        <f>ROUND($Z118*CLS_Inc_Salary2324*VLOOKUP($A118,EnrollData2324,'2324 Jun 24 Enroll'!T$1,FALSE),2)-AE118</f>
        <v>37.6099999999999</v>
      </c>
      <c r="AG118">
        <f t="shared" si="35"/>
        <v>734.16</v>
      </c>
      <c r="AH118" s="69">
        <f t="shared" si="39"/>
        <v>68.700000000000045</v>
      </c>
      <c r="AI118">
        <f t="shared" si="36"/>
        <v>214.23</v>
      </c>
      <c r="AJ118">
        <f t="shared" si="40"/>
        <v>114.21000000000001</v>
      </c>
      <c r="AK118">
        <f t="shared" si="41"/>
        <v>901.91</v>
      </c>
      <c r="AL118">
        <f t="shared" si="42"/>
        <v>32.18</v>
      </c>
      <c r="AM118">
        <f t="shared" si="43"/>
        <v>224.3</v>
      </c>
      <c r="AN118">
        <f t="shared" si="44"/>
        <v>6.98</v>
      </c>
      <c r="AO118">
        <f>ROUND(($J118*CIS_Inc_Salary2324*(VLOOKUP($A118,EnrollData2324,'2324 Jun 24 Enroll'!T$1,FALSE)+VLOOKUP($A118,EnrollData2324,'2324 Jun 24 Enroll'!U$1,FALSE))/Apport_613Xpd)*Apport_614Xpd,2)</f>
        <v>78.180000000000007</v>
      </c>
      <c r="AP118">
        <f t="shared" si="45"/>
        <v>13.55</v>
      </c>
      <c r="AQ118">
        <f t="shared" si="46"/>
        <v>30.93</v>
      </c>
      <c r="AR118" s="6">
        <f>ROUND((VLOOKUP($A118,EnrollData2324,'2324 Jun 24 Enroll'!D$1,FALSE)*Apport_M802324+VLOOKUP($A118,EnrollData2324,'2324 Jun 24 Enroll'!M$1,FALSE)*Apport_M802324+(VLOOKUP($A118,EnrollData2324,'2324 Jun 24 Enroll'!P$1,FALSE)+VLOOKUP($A118,EnrollData2324,'2324 Jun 24 Enroll'!Q$1,FALSE)+VLOOKUP($A118,EnrollData2324,'2324 Jun 24 Enroll'!R$1,FALSE)+VLOOKUP($A118,EnrollData2324,'2324 Jun 24 Enroll'!I$1,FALSE)+VLOOKUP($A118,EnrollData2324,'2324 Jun 24 Enroll'!N$1,FALSE)+VLOOKUP($A118,EnrollData2324,'2324 Jun 24 Enroll'!O$1,FALSE)+VLOOKUP($A118,EnrollData2324,'2324 Jun 24 Enroll'!K$1,FALSE)+VLOOKUP($A118,EnrollData2324,'2324 Jun 24 Enroll'!L$1,FALSE))*Apport_M812324)/(VLOOKUP($A118,EnrollData2324,'2324 Jun 24 Enroll'!M$1,FALSE)+VLOOKUP($A118,EnrollData2324,'2324 Jun 24 Enroll'!D$1,FALSE)),2)</f>
        <v>1549.54</v>
      </c>
      <c r="AS118" s="7">
        <f t="shared" si="47"/>
        <v>10227.879999999997</v>
      </c>
    </row>
    <row r="119" spans="1:45">
      <c r="A119" s="40" t="s">
        <v>452</v>
      </c>
      <c r="B119" s="40" t="s">
        <v>453</v>
      </c>
      <c r="C119" s="11">
        <f>ROUND((IFERROR((1/IF(VLOOKUP($A119,EnrollData2324,28,FALSE)='District Calculations'!$B$10,VLOOKUP($A119,EnrollData2324,28,FALSE),'District Calculations'!$B$10))*(1+Apport_Z315),0))+Apport_201A2324,6)</f>
        <v>7.3449E-2</v>
      </c>
      <c r="D119">
        <f>ROUND(IF(VLOOKUP($A119,EnrollData2324,'2324 Jun 24 Enroll'!D$1,FALSE)='District Calculations'!$B$11,VLOOKUP($A119,EnrollData2324,'2324 Jun 24 Enroll'!D$1,FALSE),'District Calculations'!$B$11)*C119,3)</f>
        <v>0</v>
      </c>
      <c r="E119">
        <f>ROUND(IF(VLOOKUP($A119,EnrollData2324,'2324 Jun 24 Enroll'!E$1,FALSE)='District Calculations'!$B$12,VLOOKUP($A119,EnrollData2324,'2324 Jun 24 Enroll'!E$1,FALSE),'District Calculations'!$B$12)*C119,3)</f>
        <v>59.53</v>
      </c>
      <c r="F119">
        <f>ROUND(IF(VLOOKUP($A119,EnrollData2324,'2324 Jun 24 Enroll'!F$1,FALSE)='District Calculations'!$B$13,VLOOKUP($A119,EnrollData2324,'2324 Jun 24 Enroll'!F$1,FALSE),'District Calculations'!$B$13)*Apport_222A2324,3)</f>
        <v>10.101000000000001</v>
      </c>
      <c r="G119">
        <f>ROUND(IF(VLOOKUP($A119,EnrollData2324,'2324 Jun 24 Enroll'!G$1,FALSE)='District Calculations'!$B$14,VLOOKUP($A119,EnrollData2324,'2324 Jun 24 Enroll'!G$1,FALSE),'District Calculations'!$B$14)*Apport_210A2324,3)</f>
        <v>22.395</v>
      </c>
      <c r="H119">
        <f>ROUND(IF(VLOOKUP($A119,EnrollData2324,'2324 Jun 24 Enroll'!H$1,FALSE)='District Calculations'!$B$15,VLOOKUP($A119,EnrollData2324,'2324 Jun 24 Enroll'!H$1,FALSE),'District Calculations'!$B$15)*Apport_213A2324,3)</f>
        <v>23.091999999999999</v>
      </c>
      <c r="I119">
        <f>ROUND(IF(VLOOKUP($A119,EnrollData2324,'2324 Jun 24 Enroll'!I$1,FALSE)+VLOOKUP($A119,EnrollData2324,'2324 Jun 24 Enroll'!M$1,FALSE)-VLOOKUP($A119,EnrollData2324,'2324 Jun 24 Enroll'!J$1,FALSE)='District Calculations'!$B$16+'District Calculations'!$B$25-'District Calculations'!$B$17,VLOOKUP($A119,EnrollData2324,'2324 Jun 24 Enroll'!I$1,FALSE)+VLOOKUP($A119,EnrollData2324,'2324 Jun 24 Enroll'!M$1,FALSE)-VLOOKUP($A119,EnrollData2324,'2324 Jun 24 Enroll'!J$1,FALSE),'District Calculations'!$B$16+'District Calculations'!$B$25-'District Calculations'!$B$17)*Apport_216A2324,3)</f>
        <v>58.183999999999997</v>
      </c>
      <c r="J119">
        <f>ROUND(SUM(D119:I119)/(IF(VLOOKUP($A119,EnrollData2324,'2324 Jun 24 Enroll'!M$1,FALSE)='District Calculations'!$B$25,VLOOKUP($A119,EnrollData2324,'2324 Jun 24 Enroll'!M$1,FALSE),'District Calculations'!$B$25)+IF(VLOOKUP($A119,EnrollData2324,'2324 Jun 24 Enroll'!D$1,FALSE)='District Calculations'!$B$11,VLOOKUP($A119,EnrollData2324,'2324 Jun 24 Enroll'!D$1,FALSE),'District Calculations'!$B$11)),5)</f>
        <v>5.5530000000000003E-2</v>
      </c>
      <c r="K119" s="11">
        <f t="shared" si="37"/>
        <v>4.365E-3</v>
      </c>
      <c r="L119">
        <f>ROUND(IF(VLOOKUP($A119,EnrollData2324,'2324 Jun 24 Enroll'!D$1,FALSE)='District Calculations'!$B$11,VLOOKUP($A119,EnrollData2324,'2324 Jun 24 Enroll'!D$1,FALSE),'District Calculations'!$B$11)*K119,3)</f>
        <v>0</v>
      </c>
      <c r="M119">
        <f>ROUND(IF(VLOOKUP($A119,EnrollData2324,'2324 Jun 24 Enroll'!E$1,FALSE)='District Calculations'!$B$12,VLOOKUP($A119,EnrollData2324,'2324 Jun 24 Enroll'!E$1,FALSE),'District Calculations'!$B$12)*K119,3)</f>
        <v>3.5379999999999998</v>
      </c>
      <c r="N119">
        <f>ROUND(IF(VLOOKUP($A119,EnrollData2324,'2324 Jun 24 Enroll'!F$1,FALSE)='District Calculations'!$B$13,VLOOKUP($A119,EnrollData2324,'2324 Jun 24 Enroll'!F$1,FALSE),'District Calculations'!$B$13)*Apport_223A2324,3)</f>
        <v>0.84199999999999997</v>
      </c>
      <c r="O119">
        <f>ROUND(IF(VLOOKUP($A119,EnrollData2324,'2324 Jun 24 Enroll'!G$1,FALSE)='District Calculations'!$B$14,VLOOKUP($A119,EnrollData2324,'2324 Jun 24 Enroll'!G$1,FALSE),'District Calculations'!$B$14)*Apport_211A2324,3)</f>
        <v>1.867</v>
      </c>
      <c r="P119">
        <f>ROUND(IF(VLOOKUP($A119,EnrollData2324,'2324 Jun 24 Enroll'!H$1,FALSE)='District Calculations'!$B$14,VLOOKUP($A119,EnrollData2324,'2324 Jun 24 Enroll'!H$1,FALSE),'District Calculations'!$B$14)*Apport_214A2324,3)</f>
        <v>1.8660000000000001</v>
      </c>
      <c r="Q119">
        <f>ROUND(IF(VLOOKUP($A119,EnrollData2324,'2324 Jun 24 Enroll'!I$1,FALSE)+VLOOKUP($A119,EnrollData2324,'2324 Jun 24 Enroll'!M$1,FALSE)-VLOOKUP($A119,EnrollData2324,'2324 Jun 24 Enroll'!J$1,FALSE)='District Calculations'!$B$16+'District Calculations'!$B$25-'District Calculations'!$B$17,VLOOKUP($A119,EnrollData2324,'2324 Jun 24 Enroll'!I$1,FALSE)+VLOOKUP($A119,EnrollData2324,'2324 Jun 24 Enroll'!M$1,FALSE)-VLOOKUP($A119,EnrollData2324,'2324 Jun 24 Enroll'!J$1,FALSE),'District Calculations'!$B$16+'District Calculations'!$B$25-'District Calculations'!$B$17)*Apport_217A2324,3)</f>
        <v>4.6980000000000004</v>
      </c>
      <c r="R119">
        <f>ROUND(SUM(L119:Q119)/IF(VLOOKUP($A119,EnrollData2324,'2324 Jun 24 Enroll'!M$1,FALSE)+VLOOKUP($A119,EnrollData2324,'2324 Jun 24 Enroll'!D$1,FALSE)='District Calculations'!$B$25+'District Calculations'!$B$11,VLOOKUP($A119,EnrollData2324,'2324 Jun 24 Enroll'!M$1,FALSE)+VLOOKUP($A119,EnrollData2324,'2324 Jun 24 Enroll'!D$1,FALSE),'District Calculations'!$B$25+'District Calculations'!$B$11),5)</f>
        <v>4.1000000000000003E-3</v>
      </c>
      <c r="S119" s="11">
        <f t="shared" si="38"/>
        <v>1.8294500000000002E-2</v>
      </c>
      <c r="T119">
        <f>ROUND(IF(VLOOKUP($A119,EnrollData2324,'2324 Jun 24 Enroll'!D$1,FALSE)='District Calculations'!$B$11,VLOOKUP($A119,EnrollData2324,'2324 Jun 24 Enroll'!D$1,FALSE),'District Calculations'!$B$11)*S119,3)</f>
        <v>0</v>
      </c>
      <c r="U119">
        <f>ROUND(IF(VLOOKUP($A119,EnrollData2324,'2324 Jun 24 Enroll'!E$1,FALSE)='District Calculations'!$B$12,VLOOKUP($A119,EnrollData2324,'2324 Jun 24 Enroll'!E$1,FALSE),'District Calculations'!$B$12)*S119,3)</f>
        <v>14.827999999999999</v>
      </c>
      <c r="V119">
        <f>ROUND(IF(VLOOKUP($A119,EnrollData2324,'2324 Jun 24 Enroll'!F$1,FALSE)='District Calculations'!$B$13,VLOOKUP($A119,EnrollData2324,'2324 Jun 24 Enroll'!F$1,FALSE),'District Calculations'!$B$13)*Apport_224A2324,3)</f>
        <v>3.6190000000000002</v>
      </c>
      <c r="W119">
        <f>ROUND(IF(VLOOKUP($A119,EnrollData2324,'2324 Jun 24 Enroll'!G$1,FALSE)='District Calculations'!$B$14,VLOOKUP($A119,EnrollData2324,'2324 Jun 24 Enroll'!G$1,FALSE),'District Calculations'!$B$14)*Apport_212A2324,3)</f>
        <v>8.0239999999999991</v>
      </c>
      <c r="X119">
        <f>ROUND(IF(VLOOKUP($A119,EnrollData2324,'2324 Jun 24 Enroll'!H$1,FALSE)='District Calculations'!$B$14,VLOOKUP($A119,EnrollData2324,'2324 Jun 24 Enroll'!H$1,FALSE),'District Calculations'!$B$14)*Apport_215A2324,3)</f>
        <v>7.9279999999999999</v>
      </c>
      <c r="Y119">
        <f>ROUND(IF(VLOOKUP($A119,EnrollData2324,'2324 Jun 24 Enroll'!I$1,FALSE)+VLOOKUP($A119,EnrollData2324,'2324 Jun 24 Enroll'!M$1,FALSE)-VLOOKUP($A119,EnrollData2324,'2324 Jun 24 Enroll'!J$1,FALSE)='District Calculations'!$B$16+'District Calculations'!$B$25-'District Calculations'!$B$17,VLOOKUP($A119,EnrollData2324,'2324 Jun 24 Enroll'!I$1,FALSE)+VLOOKUP($A119,EnrollData2324,'2324 Jun 24 Enroll'!M$1,FALSE)-VLOOKUP($A119,EnrollData2324,'2324 Jun 24 Enroll'!J$1,FALSE),'District Calculations'!$B$16+'District Calculations'!$B$25-'District Calculations'!$B$17)*Apport_218A2324,3)</f>
        <v>19.917999999999999</v>
      </c>
      <c r="Z119">
        <f>ROUND(SUM(T119:Y119)/IF(VLOOKUP($A119,EnrollData2324,'2324 Jun 24 Enroll'!M$1,FALSE)+VLOOKUP($A119,EnrollData2324,'2324 Jun 24 Enroll'!D$1,FALSE)='District Calculations'!$B$25+'District Calculations'!$B$11,VLOOKUP($A119,EnrollData2324,'2324 Jun 24 Enroll'!M$1,FALSE)+VLOOKUP($A119,EnrollData2324,'2324 Jun 24 Enroll'!D$1,FALSE),'District Calculations'!$B$25+'District Calculations'!$B$11),5)</f>
        <v>1.7399999999999999E-2</v>
      </c>
      <c r="AA119" s="6">
        <f>ROUND($J119*CIS_Base_Salary2324*VLOOKUP($A119,EnrollData2324,'2324 Jun 24 Enroll'!S$1,FALSE),2)</f>
        <v>4523.22</v>
      </c>
      <c r="AB119" s="6">
        <f>ROUND($J119*CIS_Inc_Salary2324*(VLOOKUP($A119,EnrollData2324,'2324 Jun 24 Enroll'!T$1,FALSE)+VLOOKUP($A119,EnrollData2324,'2324 Jun 24 Enroll'!U$1,FALSE)),2)-AA119</f>
        <v>251.11999999999989</v>
      </c>
      <c r="AC119" s="6">
        <f>ROUND($R119*CAS_Base_Salary2324*VLOOKUP($A119,EnrollData2324,'2324 Jun 24 Enroll'!S$1,FALSE),2)</f>
        <v>495.73</v>
      </c>
      <c r="AD119" s="6">
        <f>ROUND($R119*CAS_Inc_Salary2324*VLOOKUP($A119,EnrollData2324,'2324 Jun 24 Enroll'!T$1,FALSE),2)-AC119</f>
        <v>18.340000000000032</v>
      </c>
      <c r="AE119" s="6">
        <f>ROUND($Z119*CLS_Base_Salary2324*VLOOKUP($A119,EnrollData2324,'2324 Jun 24 Enroll'!S$1,FALSE),2)</f>
        <v>1016.75</v>
      </c>
      <c r="AF119" s="6">
        <f>ROUND($Z119*CLS_Inc_Salary2324*VLOOKUP($A119,EnrollData2324,'2324 Jun 24 Enroll'!T$1,FALSE),2)-AE119</f>
        <v>37.6099999999999</v>
      </c>
      <c r="AG119">
        <f t="shared" si="35"/>
        <v>734.16</v>
      </c>
      <c r="AH119" s="69">
        <f t="shared" si="39"/>
        <v>68.700000000000045</v>
      </c>
      <c r="AI119">
        <f t="shared" si="36"/>
        <v>214.23</v>
      </c>
      <c r="AJ119">
        <f t="shared" si="40"/>
        <v>114.21000000000001</v>
      </c>
      <c r="AK119">
        <f t="shared" si="41"/>
        <v>901.91</v>
      </c>
      <c r="AL119">
        <f t="shared" si="42"/>
        <v>46.7</v>
      </c>
      <c r="AM119">
        <f t="shared" si="43"/>
        <v>224.3</v>
      </c>
      <c r="AN119">
        <f t="shared" si="44"/>
        <v>6.98</v>
      </c>
      <c r="AO119">
        <f>ROUND(($J119*CIS_Inc_Salary2324*(VLOOKUP($A119,EnrollData2324,'2324 Jun 24 Enroll'!T$1,FALSE)+VLOOKUP($A119,EnrollData2324,'2324 Jun 24 Enroll'!U$1,FALSE))/Apport_613Xpd)*Apport_614Xpd,2)</f>
        <v>79.569999999999993</v>
      </c>
      <c r="AP119">
        <f t="shared" si="45"/>
        <v>13.79</v>
      </c>
      <c r="AQ119">
        <f t="shared" si="46"/>
        <v>30.93</v>
      </c>
      <c r="AR119" s="6">
        <f>ROUND((VLOOKUP($A119,EnrollData2324,'2324 Jun 24 Enroll'!D$1,FALSE)*Apport_M802324+VLOOKUP($A119,EnrollData2324,'2324 Jun 24 Enroll'!M$1,FALSE)*Apport_M802324+(VLOOKUP($A119,EnrollData2324,'2324 Jun 24 Enroll'!P$1,FALSE)+VLOOKUP($A119,EnrollData2324,'2324 Jun 24 Enroll'!Q$1,FALSE)+VLOOKUP($A119,EnrollData2324,'2324 Jun 24 Enroll'!R$1,FALSE)+VLOOKUP($A119,EnrollData2324,'2324 Jun 24 Enroll'!I$1,FALSE)+VLOOKUP($A119,EnrollData2324,'2324 Jun 24 Enroll'!N$1,FALSE)+VLOOKUP($A119,EnrollData2324,'2324 Jun 24 Enroll'!O$1,FALSE)+VLOOKUP($A119,EnrollData2324,'2324 Jun 24 Enroll'!K$1,FALSE)+VLOOKUP($A119,EnrollData2324,'2324 Jun 24 Enroll'!L$1,FALSE))*Apport_M812324)/(VLOOKUP($A119,EnrollData2324,'2324 Jun 24 Enroll'!M$1,FALSE)+VLOOKUP($A119,EnrollData2324,'2324 Jun 24 Enroll'!D$1,FALSE)),2)</f>
        <v>1545.39</v>
      </c>
      <c r="AS119" s="7">
        <f t="shared" si="47"/>
        <v>10323.64</v>
      </c>
    </row>
    <row r="120" spans="1:45">
      <c r="A120" s="40" t="s">
        <v>586</v>
      </c>
      <c r="B120" s="40" t="s">
        <v>587</v>
      </c>
      <c r="C120" s="11">
        <f>ROUND((IFERROR((1/IF(VLOOKUP($A120,EnrollData2324,28,FALSE)='District Calculations'!$B$10,VLOOKUP($A120,EnrollData2324,28,FALSE),'District Calculations'!$B$10))*(1+Apport_Z315),0))+Apport_201A2324,6)</f>
        <v>7.3449E-2</v>
      </c>
      <c r="D120">
        <f>ROUND(IF(VLOOKUP($A120,EnrollData2324,'2324 Jun 24 Enroll'!D$1,FALSE)='District Calculations'!$B$11,VLOOKUP($A120,EnrollData2324,'2324 Jun 24 Enroll'!D$1,FALSE),'District Calculations'!$B$11)*C120,3)</f>
        <v>0</v>
      </c>
      <c r="E120">
        <f>ROUND(IF(VLOOKUP($A120,EnrollData2324,'2324 Jun 24 Enroll'!E$1,FALSE)='District Calculations'!$B$12,VLOOKUP($A120,EnrollData2324,'2324 Jun 24 Enroll'!E$1,FALSE),'District Calculations'!$B$12)*C120,3)</f>
        <v>59.53</v>
      </c>
      <c r="F120">
        <f>ROUND(IF(VLOOKUP($A120,EnrollData2324,'2324 Jun 24 Enroll'!F$1,FALSE)='District Calculations'!$B$13,VLOOKUP($A120,EnrollData2324,'2324 Jun 24 Enroll'!F$1,FALSE),'District Calculations'!$B$13)*Apport_222A2324,3)</f>
        <v>10.101000000000001</v>
      </c>
      <c r="G120">
        <f>ROUND(IF(VLOOKUP($A120,EnrollData2324,'2324 Jun 24 Enroll'!G$1,FALSE)='District Calculations'!$B$14,VLOOKUP($A120,EnrollData2324,'2324 Jun 24 Enroll'!G$1,FALSE),'District Calculations'!$B$14)*Apport_210A2324,3)</f>
        <v>22.395</v>
      </c>
      <c r="H120">
        <f>ROUND(IF(VLOOKUP($A120,EnrollData2324,'2324 Jun 24 Enroll'!H$1,FALSE)='District Calculations'!$B$15,VLOOKUP($A120,EnrollData2324,'2324 Jun 24 Enroll'!H$1,FALSE),'District Calculations'!$B$15)*Apport_213A2324,3)</f>
        <v>23.091999999999999</v>
      </c>
      <c r="I120">
        <f>ROUND(IF(VLOOKUP($A120,EnrollData2324,'2324 Jun 24 Enroll'!I$1,FALSE)+VLOOKUP($A120,EnrollData2324,'2324 Jun 24 Enroll'!M$1,FALSE)-VLOOKUP($A120,EnrollData2324,'2324 Jun 24 Enroll'!J$1,FALSE)='District Calculations'!$B$16+'District Calculations'!$B$25-'District Calculations'!$B$17,VLOOKUP($A120,EnrollData2324,'2324 Jun 24 Enroll'!I$1,FALSE)+VLOOKUP($A120,EnrollData2324,'2324 Jun 24 Enroll'!M$1,FALSE)-VLOOKUP($A120,EnrollData2324,'2324 Jun 24 Enroll'!J$1,FALSE),'District Calculations'!$B$16+'District Calculations'!$B$25-'District Calculations'!$B$17)*Apport_216A2324,3)</f>
        <v>58.183999999999997</v>
      </c>
      <c r="J120">
        <f>ROUND(SUM(D120:I120)/(IF(VLOOKUP($A120,EnrollData2324,'2324 Jun 24 Enroll'!M$1,FALSE)='District Calculations'!$B$25,VLOOKUP($A120,EnrollData2324,'2324 Jun 24 Enroll'!M$1,FALSE),'District Calculations'!$B$25)+IF(VLOOKUP($A120,EnrollData2324,'2324 Jun 24 Enroll'!D$1,FALSE)='District Calculations'!$B$11,VLOOKUP($A120,EnrollData2324,'2324 Jun 24 Enroll'!D$1,FALSE),'District Calculations'!$B$11)),5)</f>
        <v>5.5530000000000003E-2</v>
      </c>
      <c r="K120" s="11">
        <f t="shared" si="37"/>
        <v>4.365E-3</v>
      </c>
      <c r="L120">
        <f>ROUND(IF(VLOOKUP($A120,EnrollData2324,'2324 Jun 24 Enroll'!D$1,FALSE)='District Calculations'!$B$11,VLOOKUP($A120,EnrollData2324,'2324 Jun 24 Enroll'!D$1,FALSE),'District Calculations'!$B$11)*K120,3)</f>
        <v>0</v>
      </c>
      <c r="M120">
        <f>ROUND(IF(VLOOKUP($A120,EnrollData2324,'2324 Jun 24 Enroll'!E$1,FALSE)='District Calculations'!$B$12,VLOOKUP($A120,EnrollData2324,'2324 Jun 24 Enroll'!E$1,FALSE),'District Calculations'!$B$12)*K120,3)</f>
        <v>3.5379999999999998</v>
      </c>
      <c r="N120">
        <f>ROUND(IF(VLOOKUP($A120,EnrollData2324,'2324 Jun 24 Enroll'!F$1,FALSE)='District Calculations'!$B$13,VLOOKUP($A120,EnrollData2324,'2324 Jun 24 Enroll'!F$1,FALSE),'District Calculations'!$B$13)*Apport_223A2324,3)</f>
        <v>0.84199999999999997</v>
      </c>
      <c r="O120">
        <f>ROUND(IF(VLOOKUP($A120,EnrollData2324,'2324 Jun 24 Enroll'!G$1,FALSE)='District Calculations'!$B$14,VLOOKUP($A120,EnrollData2324,'2324 Jun 24 Enroll'!G$1,FALSE),'District Calculations'!$B$14)*Apport_211A2324,3)</f>
        <v>1.867</v>
      </c>
      <c r="P120">
        <f>ROUND(IF(VLOOKUP($A120,EnrollData2324,'2324 Jun 24 Enroll'!H$1,FALSE)='District Calculations'!$B$14,VLOOKUP($A120,EnrollData2324,'2324 Jun 24 Enroll'!H$1,FALSE),'District Calculations'!$B$14)*Apport_214A2324,3)</f>
        <v>1.8660000000000001</v>
      </c>
      <c r="Q120">
        <f>ROUND(IF(VLOOKUP($A120,EnrollData2324,'2324 Jun 24 Enroll'!I$1,FALSE)+VLOOKUP($A120,EnrollData2324,'2324 Jun 24 Enroll'!M$1,FALSE)-VLOOKUP($A120,EnrollData2324,'2324 Jun 24 Enroll'!J$1,FALSE)='District Calculations'!$B$16+'District Calculations'!$B$25-'District Calculations'!$B$17,VLOOKUP($A120,EnrollData2324,'2324 Jun 24 Enroll'!I$1,FALSE)+VLOOKUP($A120,EnrollData2324,'2324 Jun 24 Enroll'!M$1,FALSE)-VLOOKUP($A120,EnrollData2324,'2324 Jun 24 Enroll'!J$1,FALSE),'District Calculations'!$B$16+'District Calculations'!$B$25-'District Calculations'!$B$17)*Apport_217A2324,3)</f>
        <v>4.6980000000000004</v>
      </c>
      <c r="R120">
        <f>ROUND(SUM(L120:Q120)/IF(VLOOKUP($A120,EnrollData2324,'2324 Jun 24 Enroll'!M$1,FALSE)+VLOOKUP($A120,EnrollData2324,'2324 Jun 24 Enroll'!D$1,FALSE)='District Calculations'!$B$25+'District Calculations'!$B$11,VLOOKUP($A120,EnrollData2324,'2324 Jun 24 Enroll'!M$1,FALSE)+VLOOKUP($A120,EnrollData2324,'2324 Jun 24 Enroll'!D$1,FALSE),'District Calculations'!$B$25+'District Calculations'!$B$11),5)</f>
        <v>4.1000000000000003E-3</v>
      </c>
      <c r="S120" s="11">
        <f t="shared" si="38"/>
        <v>1.8294500000000002E-2</v>
      </c>
      <c r="T120">
        <f>ROUND(IF(VLOOKUP($A120,EnrollData2324,'2324 Jun 24 Enroll'!D$1,FALSE)='District Calculations'!$B$11,VLOOKUP($A120,EnrollData2324,'2324 Jun 24 Enroll'!D$1,FALSE),'District Calculations'!$B$11)*S120,3)</f>
        <v>0</v>
      </c>
      <c r="U120">
        <f>ROUND(IF(VLOOKUP($A120,EnrollData2324,'2324 Jun 24 Enroll'!E$1,FALSE)='District Calculations'!$B$12,VLOOKUP($A120,EnrollData2324,'2324 Jun 24 Enroll'!E$1,FALSE),'District Calculations'!$B$12)*S120,3)</f>
        <v>14.827999999999999</v>
      </c>
      <c r="V120">
        <f>ROUND(IF(VLOOKUP($A120,EnrollData2324,'2324 Jun 24 Enroll'!F$1,FALSE)='District Calculations'!$B$13,VLOOKUP($A120,EnrollData2324,'2324 Jun 24 Enroll'!F$1,FALSE),'District Calculations'!$B$13)*Apport_224A2324,3)</f>
        <v>3.6190000000000002</v>
      </c>
      <c r="W120">
        <f>ROUND(IF(VLOOKUP($A120,EnrollData2324,'2324 Jun 24 Enroll'!G$1,FALSE)='District Calculations'!$B$14,VLOOKUP($A120,EnrollData2324,'2324 Jun 24 Enroll'!G$1,FALSE),'District Calculations'!$B$14)*Apport_212A2324,3)</f>
        <v>8.0239999999999991</v>
      </c>
      <c r="X120">
        <f>ROUND(IF(VLOOKUP($A120,EnrollData2324,'2324 Jun 24 Enroll'!H$1,FALSE)='District Calculations'!$B$14,VLOOKUP($A120,EnrollData2324,'2324 Jun 24 Enroll'!H$1,FALSE),'District Calculations'!$B$14)*Apport_215A2324,3)</f>
        <v>7.9279999999999999</v>
      </c>
      <c r="Y120">
        <f>ROUND(IF(VLOOKUP($A120,EnrollData2324,'2324 Jun 24 Enroll'!I$1,FALSE)+VLOOKUP($A120,EnrollData2324,'2324 Jun 24 Enroll'!M$1,FALSE)-VLOOKUP($A120,EnrollData2324,'2324 Jun 24 Enroll'!J$1,FALSE)='District Calculations'!$B$16+'District Calculations'!$B$25-'District Calculations'!$B$17,VLOOKUP($A120,EnrollData2324,'2324 Jun 24 Enroll'!I$1,FALSE)+VLOOKUP($A120,EnrollData2324,'2324 Jun 24 Enroll'!M$1,FALSE)-VLOOKUP($A120,EnrollData2324,'2324 Jun 24 Enroll'!J$1,FALSE),'District Calculations'!$B$16+'District Calculations'!$B$25-'District Calculations'!$B$17)*Apport_218A2324,3)</f>
        <v>19.917999999999999</v>
      </c>
      <c r="Z120">
        <f>ROUND(SUM(T120:Y120)/IF(VLOOKUP($A120,EnrollData2324,'2324 Jun 24 Enroll'!M$1,FALSE)+VLOOKUP($A120,EnrollData2324,'2324 Jun 24 Enroll'!D$1,FALSE)='District Calculations'!$B$25+'District Calculations'!$B$11,VLOOKUP($A120,EnrollData2324,'2324 Jun 24 Enroll'!M$1,FALSE)+VLOOKUP($A120,EnrollData2324,'2324 Jun 24 Enroll'!D$1,FALSE),'District Calculations'!$B$25+'District Calculations'!$B$11),5)</f>
        <v>1.7399999999999999E-2</v>
      </c>
      <c r="AA120" s="6">
        <f>ROUND($J120*CIS_Base_Salary2324*VLOOKUP($A120,EnrollData2324,'2324 Jun 24 Enroll'!S$1,FALSE),2)</f>
        <v>4765.53</v>
      </c>
      <c r="AB120" s="6">
        <f>ROUND($J120*CIS_Inc_Salary2324*(VLOOKUP($A120,EnrollData2324,'2324 Jun 24 Enroll'!T$1,FALSE)+VLOOKUP($A120,EnrollData2324,'2324 Jun 24 Enroll'!U$1,FALSE)),2)-AA120</f>
        <v>176.32999999999993</v>
      </c>
      <c r="AC120" s="6">
        <f>ROUND($R120*CAS_Base_Salary2324*VLOOKUP($A120,EnrollData2324,'2324 Jun 24 Enroll'!S$1,FALSE),2)</f>
        <v>522.29</v>
      </c>
      <c r="AD120" s="6">
        <f>ROUND($R120*CAS_Inc_Salary2324*VLOOKUP($A120,EnrollData2324,'2324 Jun 24 Enroll'!T$1,FALSE),2)-AC120</f>
        <v>19.32000000000005</v>
      </c>
      <c r="AE120" s="6">
        <f>ROUND($Z120*CLS_Base_Salary2324*VLOOKUP($A120,EnrollData2324,'2324 Jun 24 Enroll'!S$1,FALSE),2)</f>
        <v>1071.22</v>
      </c>
      <c r="AF120" s="6">
        <f>ROUND($Z120*CLS_Inc_Salary2324*VLOOKUP($A120,EnrollData2324,'2324 Jun 24 Enroll'!T$1,FALSE),2)-AE120</f>
        <v>39.619999999999891</v>
      </c>
      <c r="AG120">
        <f t="shared" si="35"/>
        <v>734.16</v>
      </c>
      <c r="AH120" s="69">
        <f t="shared" si="39"/>
        <v>68.700000000000045</v>
      </c>
      <c r="AI120">
        <f t="shared" si="36"/>
        <v>214.23</v>
      </c>
      <c r="AJ120">
        <f t="shared" si="40"/>
        <v>114.21000000000001</v>
      </c>
      <c r="AK120">
        <f t="shared" si="41"/>
        <v>950.22</v>
      </c>
      <c r="AL120">
        <f t="shared" si="42"/>
        <v>33.909999999999997</v>
      </c>
      <c r="AM120">
        <f t="shared" si="43"/>
        <v>236.31</v>
      </c>
      <c r="AN120">
        <f t="shared" si="44"/>
        <v>7.35</v>
      </c>
      <c r="AO120">
        <f>ROUND(($J120*CIS_Inc_Salary2324*(VLOOKUP($A120,EnrollData2324,'2324 Jun 24 Enroll'!T$1,FALSE)+VLOOKUP($A120,EnrollData2324,'2324 Jun 24 Enroll'!U$1,FALSE))/Apport_613Xpd)*Apport_614Xpd,2)</f>
        <v>82.36</v>
      </c>
      <c r="AP120">
        <f t="shared" si="45"/>
        <v>14.27</v>
      </c>
      <c r="AQ120">
        <f t="shared" si="46"/>
        <v>30.93</v>
      </c>
      <c r="AR120" s="6">
        <f>ROUND((VLOOKUP($A120,EnrollData2324,'2324 Jun 24 Enroll'!D$1,FALSE)*Apport_M802324+VLOOKUP($A120,EnrollData2324,'2324 Jun 24 Enroll'!M$1,FALSE)*Apport_M802324+(VLOOKUP($A120,EnrollData2324,'2324 Jun 24 Enroll'!P$1,FALSE)+VLOOKUP($A120,EnrollData2324,'2324 Jun 24 Enroll'!Q$1,FALSE)+VLOOKUP($A120,EnrollData2324,'2324 Jun 24 Enroll'!R$1,FALSE)+VLOOKUP($A120,EnrollData2324,'2324 Jun 24 Enroll'!I$1,FALSE)+VLOOKUP($A120,EnrollData2324,'2324 Jun 24 Enroll'!N$1,FALSE)+VLOOKUP($A120,EnrollData2324,'2324 Jun 24 Enroll'!O$1,FALSE)+VLOOKUP($A120,EnrollData2324,'2324 Jun 24 Enroll'!K$1,FALSE)+VLOOKUP($A120,EnrollData2324,'2324 Jun 24 Enroll'!L$1,FALSE))*Apport_M812324)/(VLOOKUP($A120,EnrollData2324,'2324 Jun 24 Enroll'!M$1,FALSE)+VLOOKUP($A120,EnrollData2324,'2324 Jun 24 Enroll'!D$1,FALSE)),2)</f>
        <v>1556.82</v>
      </c>
      <c r="AS120" s="7">
        <f t="shared" si="47"/>
        <v>10637.779999999999</v>
      </c>
    </row>
    <row r="121" spans="1:45">
      <c r="A121" s="40" t="s">
        <v>502</v>
      </c>
      <c r="B121" s="40" t="s">
        <v>503</v>
      </c>
      <c r="C121" s="11">
        <f>ROUND((IFERROR((1/IF(VLOOKUP($A121,EnrollData2324,28,FALSE)='District Calculations'!$B$10,VLOOKUP($A121,EnrollData2324,28,FALSE),'District Calculations'!$B$10))*(1+Apport_Z315),0))+Apport_201A2324,6)</f>
        <v>7.3449E-2</v>
      </c>
      <c r="D121">
        <f>ROUND(IF(VLOOKUP($A121,EnrollData2324,'2324 Jun 24 Enroll'!D$1,FALSE)='District Calculations'!$B$11,VLOOKUP($A121,EnrollData2324,'2324 Jun 24 Enroll'!D$1,FALSE),'District Calculations'!$B$11)*C121,3)</f>
        <v>0</v>
      </c>
      <c r="E121">
        <f>ROUND(IF(VLOOKUP($A121,EnrollData2324,'2324 Jun 24 Enroll'!E$1,FALSE)='District Calculations'!$B$12,VLOOKUP($A121,EnrollData2324,'2324 Jun 24 Enroll'!E$1,FALSE),'District Calculations'!$B$12)*C121,3)</f>
        <v>59.53</v>
      </c>
      <c r="F121">
        <f>ROUND(IF(VLOOKUP($A121,EnrollData2324,'2324 Jun 24 Enroll'!F$1,FALSE)='District Calculations'!$B$13,VLOOKUP($A121,EnrollData2324,'2324 Jun 24 Enroll'!F$1,FALSE),'District Calculations'!$B$13)*Apport_222A2324,3)</f>
        <v>10.101000000000001</v>
      </c>
      <c r="G121">
        <f>ROUND(IF(VLOOKUP($A121,EnrollData2324,'2324 Jun 24 Enroll'!G$1,FALSE)='District Calculations'!$B$14,VLOOKUP($A121,EnrollData2324,'2324 Jun 24 Enroll'!G$1,FALSE),'District Calculations'!$B$14)*Apport_210A2324,3)</f>
        <v>22.395</v>
      </c>
      <c r="H121">
        <f>ROUND(IF(VLOOKUP($A121,EnrollData2324,'2324 Jun 24 Enroll'!H$1,FALSE)='District Calculations'!$B$15,VLOOKUP($A121,EnrollData2324,'2324 Jun 24 Enroll'!H$1,FALSE),'District Calculations'!$B$15)*Apport_213A2324,3)</f>
        <v>23.091999999999999</v>
      </c>
      <c r="I121">
        <f>ROUND(IF(VLOOKUP($A121,EnrollData2324,'2324 Jun 24 Enroll'!I$1,FALSE)+VLOOKUP($A121,EnrollData2324,'2324 Jun 24 Enroll'!M$1,FALSE)-VLOOKUP($A121,EnrollData2324,'2324 Jun 24 Enroll'!J$1,FALSE)='District Calculations'!$B$16+'District Calculations'!$B$25-'District Calculations'!$B$17,VLOOKUP($A121,EnrollData2324,'2324 Jun 24 Enroll'!I$1,FALSE)+VLOOKUP($A121,EnrollData2324,'2324 Jun 24 Enroll'!M$1,FALSE)-VLOOKUP($A121,EnrollData2324,'2324 Jun 24 Enroll'!J$1,FALSE),'District Calculations'!$B$16+'District Calculations'!$B$25-'District Calculations'!$B$17)*Apport_216A2324,3)</f>
        <v>58.183999999999997</v>
      </c>
      <c r="J121">
        <f>ROUND(SUM(D121:I121)/(IF(VLOOKUP($A121,EnrollData2324,'2324 Jun 24 Enroll'!M$1,FALSE)='District Calculations'!$B$25,VLOOKUP($A121,EnrollData2324,'2324 Jun 24 Enroll'!M$1,FALSE),'District Calculations'!$B$25)+IF(VLOOKUP($A121,EnrollData2324,'2324 Jun 24 Enroll'!D$1,FALSE)='District Calculations'!$B$11,VLOOKUP($A121,EnrollData2324,'2324 Jun 24 Enroll'!D$1,FALSE),'District Calculations'!$B$11)),5)</f>
        <v>5.5530000000000003E-2</v>
      </c>
      <c r="K121" s="11">
        <f t="shared" si="37"/>
        <v>4.365E-3</v>
      </c>
      <c r="L121">
        <f>ROUND(IF(VLOOKUP($A121,EnrollData2324,'2324 Jun 24 Enroll'!D$1,FALSE)='District Calculations'!$B$11,VLOOKUP($A121,EnrollData2324,'2324 Jun 24 Enroll'!D$1,FALSE),'District Calculations'!$B$11)*K121,3)</f>
        <v>0</v>
      </c>
      <c r="M121">
        <f>ROUND(IF(VLOOKUP($A121,EnrollData2324,'2324 Jun 24 Enroll'!E$1,FALSE)='District Calculations'!$B$12,VLOOKUP($A121,EnrollData2324,'2324 Jun 24 Enroll'!E$1,FALSE),'District Calculations'!$B$12)*K121,3)</f>
        <v>3.5379999999999998</v>
      </c>
      <c r="N121">
        <f>ROUND(IF(VLOOKUP($A121,EnrollData2324,'2324 Jun 24 Enroll'!F$1,FALSE)='District Calculations'!$B$13,VLOOKUP($A121,EnrollData2324,'2324 Jun 24 Enroll'!F$1,FALSE),'District Calculations'!$B$13)*Apport_223A2324,3)</f>
        <v>0.84199999999999997</v>
      </c>
      <c r="O121">
        <f>ROUND(IF(VLOOKUP($A121,EnrollData2324,'2324 Jun 24 Enroll'!G$1,FALSE)='District Calculations'!$B$14,VLOOKUP($A121,EnrollData2324,'2324 Jun 24 Enroll'!G$1,FALSE),'District Calculations'!$B$14)*Apport_211A2324,3)</f>
        <v>1.867</v>
      </c>
      <c r="P121">
        <f>ROUND(IF(VLOOKUP($A121,EnrollData2324,'2324 Jun 24 Enroll'!H$1,FALSE)='District Calculations'!$B$14,VLOOKUP($A121,EnrollData2324,'2324 Jun 24 Enroll'!H$1,FALSE),'District Calculations'!$B$14)*Apport_214A2324,3)</f>
        <v>1.8660000000000001</v>
      </c>
      <c r="Q121">
        <f>ROUND(IF(VLOOKUP($A121,EnrollData2324,'2324 Jun 24 Enroll'!I$1,FALSE)+VLOOKUP($A121,EnrollData2324,'2324 Jun 24 Enroll'!M$1,FALSE)-VLOOKUP($A121,EnrollData2324,'2324 Jun 24 Enroll'!J$1,FALSE)='District Calculations'!$B$16+'District Calculations'!$B$25-'District Calculations'!$B$17,VLOOKUP($A121,EnrollData2324,'2324 Jun 24 Enroll'!I$1,FALSE)+VLOOKUP($A121,EnrollData2324,'2324 Jun 24 Enroll'!M$1,FALSE)-VLOOKUP($A121,EnrollData2324,'2324 Jun 24 Enroll'!J$1,FALSE),'District Calculations'!$B$16+'District Calculations'!$B$25-'District Calculations'!$B$17)*Apport_217A2324,3)</f>
        <v>4.6980000000000004</v>
      </c>
      <c r="R121">
        <f>ROUND(SUM(L121:Q121)/IF(VLOOKUP($A121,EnrollData2324,'2324 Jun 24 Enroll'!M$1,FALSE)+VLOOKUP($A121,EnrollData2324,'2324 Jun 24 Enroll'!D$1,FALSE)='District Calculations'!$B$25+'District Calculations'!$B$11,VLOOKUP($A121,EnrollData2324,'2324 Jun 24 Enroll'!M$1,FALSE)+VLOOKUP($A121,EnrollData2324,'2324 Jun 24 Enroll'!D$1,FALSE),'District Calculations'!$B$25+'District Calculations'!$B$11),5)</f>
        <v>4.1000000000000003E-3</v>
      </c>
      <c r="S121" s="11">
        <f t="shared" si="38"/>
        <v>1.8294500000000002E-2</v>
      </c>
      <c r="T121">
        <f>ROUND(IF(VLOOKUP($A121,EnrollData2324,'2324 Jun 24 Enroll'!D$1,FALSE)='District Calculations'!$B$11,VLOOKUP($A121,EnrollData2324,'2324 Jun 24 Enroll'!D$1,FALSE),'District Calculations'!$B$11)*S121,3)</f>
        <v>0</v>
      </c>
      <c r="U121">
        <f>ROUND(IF(VLOOKUP($A121,EnrollData2324,'2324 Jun 24 Enroll'!E$1,FALSE)='District Calculations'!$B$12,VLOOKUP($A121,EnrollData2324,'2324 Jun 24 Enroll'!E$1,FALSE),'District Calculations'!$B$12)*S121,3)</f>
        <v>14.827999999999999</v>
      </c>
      <c r="V121">
        <f>ROUND(IF(VLOOKUP($A121,EnrollData2324,'2324 Jun 24 Enroll'!F$1,FALSE)='District Calculations'!$B$13,VLOOKUP($A121,EnrollData2324,'2324 Jun 24 Enroll'!F$1,FALSE),'District Calculations'!$B$13)*Apport_224A2324,3)</f>
        <v>3.6190000000000002</v>
      </c>
      <c r="W121">
        <f>ROUND(IF(VLOOKUP($A121,EnrollData2324,'2324 Jun 24 Enroll'!G$1,FALSE)='District Calculations'!$B$14,VLOOKUP($A121,EnrollData2324,'2324 Jun 24 Enroll'!G$1,FALSE),'District Calculations'!$B$14)*Apport_212A2324,3)</f>
        <v>8.0239999999999991</v>
      </c>
      <c r="X121">
        <f>ROUND(IF(VLOOKUP($A121,EnrollData2324,'2324 Jun 24 Enroll'!H$1,FALSE)='District Calculations'!$B$14,VLOOKUP($A121,EnrollData2324,'2324 Jun 24 Enroll'!H$1,FALSE),'District Calculations'!$B$14)*Apport_215A2324,3)</f>
        <v>7.9279999999999999</v>
      </c>
      <c r="Y121">
        <f>ROUND(IF(VLOOKUP($A121,EnrollData2324,'2324 Jun 24 Enroll'!I$1,FALSE)+VLOOKUP($A121,EnrollData2324,'2324 Jun 24 Enroll'!M$1,FALSE)-VLOOKUP($A121,EnrollData2324,'2324 Jun 24 Enroll'!J$1,FALSE)='District Calculations'!$B$16+'District Calculations'!$B$25-'District Calculations'!$B$17,VLOOKUP($A121,EnrollData2324,'2324 Jun 24 Enroll'!I$1,FALSE)+VLOOKUP($A121,EnrollData2324,'2324 Jun 24 Enroll'!M$1,FALSE)-VLOOKUP($A121,EnrollData2324,'2324 Jun 24 Enroll'!J$1,FALSE),'District Calculations'!$B$16+'District Calculations'!$B$25-'District Calculations'!$B$17)*Apport_218A2324,3)</f>
        <v>19.917999999999999</v>
      </c>
      <c r="Z121">
        <f>ROUND(SUM(T121:Y121)/IF(VLOOKUP($A121,EnrollData2324,'2324 Jun 24 Enroll'!M$1,FALSE)+VLOOKUP($A121,EnrollData2324,'2324 Jun 24 Enroll'!D$1,FALSE)='District Calculations'!$B$25+'District Calculations'!$B$11,VLOOKUP($A121,EnrollData2324,'2324 Jun 24 Enroll'!M$1,FALSE)+VLOOKUP($A121,EnrollData2324,'2324 Jun 24 Enroll'!D$1,FALSE),'District Calculations'!$B$25+'District Calculations'!$B$11),5)</f>
        <v>1.7399999999999999E-2</v>
      </c>
      <c r="AA121" s="6">
        <f>ROUND($J121*CIS_Base_Salary2324*VLOOKUP($A121,EnrollData2324,'2324 Jun 24 Enroll'!S$1,FALSE),2)</f>
        <v>4765.53</v>
      </c>
      <c r="AB121" s="6">
        <f>ROUND($J121*CIS_Inc_Salary2324*(VLOOKUP($A121,EnrollData2324,'2324 Jun 24 Enroll'!T$1,FALSE)+VLOOKUP($A121,EnrollData2324,'2324 Jun 24 Enroll'!U$1,FALSE)),2)-AA121</f>
        <v>176.32999999999993</v>
      </c>
      <c r="AC121" s="6">
        <f>ROUND($R121*CAS_Base_Salary2324*VLOOKUP($A121,EnrollData2324,'2324 Jun 24 Enroll'!S$1,FALSE),2)</f>
        <v>522.29</v>
      </c>
      <c r="AD121" s="6">
        <f>ROUND($R121*CAS_Inc_Salary2324*VLOOKUP($A121,EnrollData2324,'2324 Jun 24 Enroll'!T$1,FALSE),2)-AC121</f>
        <v>19.32000000000005</v>
      </c>
      <c r="AE121" s="6">
        <f>ROUND($Z121*CLS_Base_Salary2324*VLOOKUP($A121,EnrollData2324,'2324 Jun 24 Enroll'!S$1,FALSE),2)</f>
        <v>1071.22</v>
      </c>
      <c r="AF121" s="6">
        <f>ROUND($Z121*CLS_Inc_Salary2324*VLOOKUP($A121,EnrollData2324,'2324 Jun 24 Enroll'!T$1,FALSE),2)-AE121</f>
        <v>39.619999999999891</v>
      </c>
      <c r="AG121">
        <f t="shared" si="35"/>
        <v>734.16</v>
      </c>
      <c r="AH121" s="69">
        <f t="shared" si="39"/>
        <v>68.700000000000045</v>
      </c>
      <c r="AI121">
        <f t="shared" si="36"/>
        <v>214.23</v>
      </c>
      <c r="AJ121">
        <f t="shared" si="40"/>
        <v>114.21000000000001</v>
      </c>
      <c r="AK121">
        <f t="shared" si="41"/>
        <v>950.22</v>
      </c>
      <c r="AL121">
        <f t="shared" si="42"/>
        <v>33.909999999999997</v>
      </c>
      <c r="AM121">
        <f t="shared" si="43"/>
        <v>236.31</v>
      </c>
      <c r="AN121">
        <f t="shared" si="44"/>
        <v>7.35</v>
      </c>
      <c r="AO121">
        <f>ROUND(($J121*CIS_Inc_Salary2324*(VLOOKUP($A121,EnrollData2324,'2324 Jun 24 Enroll'!T$1,FALSE)+VLOOKUP($A121,EnrollData2324,'2324 Jun 24 Enroll'!U$1,FALSE))/Apport_613Xpd)*Apport_614Xpd,2)</f>
        <v>82.36</v>
      </c>
      <c r="AP121">
        <f t="shared" si="45"/>
        <v>14.27</v>
      </c>
      <c r="AQ121">
        <f t="shared" si="46"/>
        <v>30.93</v>
      </c>
      <c r="AR121" s="6">
        <f>ROUND((VLOOKUP($A121,EnrollData2324,'2324 Jun 24 Enroll'!D$1,FALSE)*Apport_M802324+VLOOKUP($A121,EnrollData2324,'2324 Jun 24 Enroll'!M$1,FALSE)*Apport_M802324+(VLOOKUP($A121,EnrollData2324,'2324 Jun 24 Enroll'!P$1,FALSE)+VLOOKUP($A121,EnrollData2324,'2324 Jun 24 Enroll'!Q$1,FALSE)+VLOOKUP($A121,EnrollData2324,'2324 Jun 24 Enroll'!R$1,FALSE)+VLOOKUP($A121,EnrollData2324,'2324 Jun 24 Enroll'!I$1,FALSE)+VLOOKUP($A121,EnrollData2324,'2324 Jun 24 Enroll'!N$1,FALSE)+VLOOKUP($A121,EnrollData2324,'2324 Jun 24 Enroll'!O$1,FALSE)+VLOOKUP($A121,EnrollData2324,'2324 Jun 24 Enroll'!K$1,FALSE)+VLOOKUP($A121,EnrollData2324,'2324 Jun 24 Enroll'!L$1,FALSE))*Apport_M812324)/(VLOOKUP($A121,EnrollData2324,'2324 Jun 24 Enroll'!M$1,FALSE)+VLOOKUP($A121,EnrollData2324,'2324 Jun 24 Enroll'!D$1,FALSE)),2)</f>
        <v>1556.57</v>
      </c>
      <c r="AS121" s="7">
        <f t="shared" si="47"/>
        <v>10637.529999999999</v>
      </c>
    </row>
    <row r="122" spans="1:45">
      <c r="A122" s="40" t="s">
        <v>843</v>
      </c>
      <c r="B122" s="40" t="s">
        <v>844</v>
      </c>
      <c r="C122" s="11">
        <f>ROUND((IFERROR((1/IF(VLOOKUP($A122,EnrollData2324,28,FALSE)='District Calculations'!$B$10,VLOOKUP($A122,EnrollData2324,28,FALSE),'District Calculations'!$B$10))*(1+Apport_Z315),0))+Apport_201A2324,6)</f>
        <v>7.3449E-2</v>
      </c>
      <c r="D122">
        <f>ROUND(IF(VLOOKUP($A122,EnrollData2324,'2324 Jun 24 Enroll'!D$1,FALSE)='District Calculations'!$B$11,VLOOKUP($A122,EnrollData2324,'2324 Jun 24 Enroll'!D$1,FALSE),'District Calculations'!$B$11)*C122,3)</f>
        <v>0</v>
      </c>
      <c r="E122">
        <f>ROUND(IF(VLOOKUP($A122,EnrollData2324,'2324 Jun 24 Enroll'!E$1,FALSE)='District Calculations'!$B$12,VLOOKUP($A122,EnrollData2324,'2324 Jun 24 Enroll'!E$1,FALSE),'District Calculations'!$B$12)*C122,3)</f>
        <v>59.53</v>
      </c>
      <c r="F122">
        <f>ROUND(IF(VLOOKUP($A122,EnrollData2324,'2324 Jun 24 Enroll'!F$1,FALSE)='District Calculations'!$B$13,VLOOKUP($A122,EnrollData2324,'2324 Jun 24 Enroll'!F$1,FALSE),'District Calculations'!$B$13)*Apport_222A2324,3)</f>
        <v>10.101000000000001</v>
      </c>
      <c r="G122">
        <f>ROUND(IF(VLOOKUP($A122,EnrollData2324,'2324 Jun 24 Enroll'!G$1,FALSE)='District Calculations'!$B$14,VLOOKUP($A122,EnrollData2324,'2324 Jun 24 Enroll'!G$1,FALSE),'District Calculations'!$B$14)*Apport_210A2324,3)</f>
        <v>22.395</v>
      </c>
      <c r="H122">
        <f>ROUND(IF(VLOOKUP($A122,EnrollData2324,'2324 Jun 24 Enroll'!H$1,FALSE)='District Calculations'!$B$15,VLOOKUP($A122,EnrollData2324,'2324 Jun 24 Enroll'!H$1,FALSE),'District Calculations'!$B$15)*Apport_213A2324,3)</f>
        <v>23.091999999999999</v>
      </c>
      <c r="I122">
        <f>ROUND(IF(VLOOKUP($A122,EnrollData2324,'2324 Jun 24 Enroll'!I$1,FALSE)+VLOOKUP($A122,EnrollData2324,'2324 Jun 24 Enroll'!M$1,FALSE)-VLOOKUP($A122,EnrollData2324,'2324 Jun 24 Enroll'!J$1,FALSE)='District Calculations'!$B$16+'District Calculations'!$B$25-'District Calculations'!$B$17,VLOOKUP($A122,EnrollData2324,'2324 Jun 24 Enroll'!I$1,FALSE)+VLOOKUP($A122,EnrollData2324,'2324 Jun 24 Enroll'!M$1,FALSE)-VLOOKUP($A122,EnrollData2324,'2324 Jun 24 Enroll'!J$1,FALSE),'District Calculations'!$B$16+'District Calculations'!$B$25-'District Calculations'!$B$17)*Apport_216A2324,3)</f>
        <v>58.183999999999997</v>
      </c>
      <c r="J122">
        <f>ROUND(SUM(D122:I122)/(IF(VLOOKUP($A122,EnrollData2324,'2324 Jun 24 Enroll'!M$1,FALSE)='District Calculations'!$B$25,VLOOKUP($A122,EnrollData2324,'2324 Jun 24 Enroll'!M$1,FALSE),'District Calculations'!$B$25)+IF(VLOOKUP($A122,EnrollData2324,'2324 Jun 24 Enroll'!D$1,FALSE)='District Calculations'!$B$11,VLOOKUP($A122,EnrollData2324,'2324 Jun 24 Enroll'!D$1,FALSE),'District Calculations'!$B$11)),5)</f>
        <v>5.5530000000000003E-2</v>
      </c>
      <c r="K122" s="11">
        <f t="shared" si="37"/>
        <v>4.365E-3</v>
      </c>
      <c r="L122">
        <f>ROUND(IF(VLOOKUP($A122,EnrollData2324,'2324 Jun 24 Enroll'!D$1,FALSE)='District Calculations'!$B$11,VLOOKUP($A122,EnrollData2324,'2324 Jun 24 Enroll'!D$1,FALSE),'District Calculations'!$B$11)*K122,3)</f>
        <v>0</v>
      </c>
      <c r="M122">
        <f>ROUND(IF(VLOOKUP($A122,EnrollData2324,'2324 Jun 24 Enroll'!E$1,FALSE)='District Calculations'!$B$12,VLOOKUP($A122,EnrollData2324,'2324 Jun 24 Enroll'!E$1,FALSE),'District Calculations'!$B$12)*K122,3)</f>
        <v>3.5379999999999998</v>
      </c>
      <c r="N122">
        <f>ROUND(IF(VLOOKUP($A122,EnrollData2324,'2324 Jun 24 Enroll'!F$1,FALSE)='District Calculations'!$B$13,VLOOKUP($A122,EnrollData2324,'2324 Jun 24 Enroll'!F$1,FALSE),'District Calculations'!$B$13)*Apport_223A2324,3)</f>
        <v>0.84199999999999997</v>
      </c>
      <c r="O122">
        <f>ROUND(IF(VLOOKUP($A122,EnrollData2324,'2324 Jun 24 Enroll'!G$1,FALSE)='District Calculations'!$B$14,VLOOKUP($A122,EnrollData2324,'2324 Jun 24 Enroll'!G$1,FALSE),'District Calculations'!$B$14)*Apport_211A2324,3)</f>
        <v>1.867</v>
      </c>
      <c r="P122">
        <f>ROUND(IF(VLOOKUP($A122,EnrollData2324,'2324 Jun 24 Enroll'!H$1,FALSE)='District Calculations'!$B$14,VLOOKUP($A122,EnrollData2324,'2324 Jun 24 Enroll'!H$1,FALSE),'District Calculations'!$B$14)*Apport_214A2324,3)</f>
        <v>1.8660000000000001</v>
      </c>
      <c r="Q122">
        <f>ROUND(IF(VLOOKUP($A122,EnrollData2324,'2324 Jun 24 Enroll'!I$1,FALSE)+VLOOKUP($A122,EnrollData2324,'2324 Jun 24 Enroll'!M$1,FALSE)-VLOOKUP($A122,EnrollData2324,'2324 Jun 24 Enroll'!J$1,FALSE)='District Calculations'!$B$16+'District Calculations'!$B$25-'District Calculations'!$B$17,VLOOKUP($A122,EnrollData2324,'2324 Jun 24 Enroll'!I$1,FALSE)+VLOOKUP($A122,EnrollData2324,'2324 Jun 24 Enroll'!M$1,FALSE)-VLOOKUP($A122,EnrollData2324,'2324 Jun 24 Enroll'!J$1,FALSE),'District Calculations'!$B$16+'District Calculations'!$B$25-'District Calculations'!$B$17)*Apport_217A2324,3)</f>
        <v>4.6980000000000004</v>
      </c>
      <c r="R122">
        <f>ROUND(SUM(L122:Q122)/IF(VLOOKUP($A122,EnrollData2324,'2324 Jun 24 Enroll'!M$1,FALSE)+VLOOKUP($A122,EnrollData2324,'2324 Jun 24 Enroll'!D$1,FALSE)='District Calculations'!$B$25+'District Calculations'!$B$11,VLOOKUP($A122,EnrollData2324,'2324 Jun 24 Enroll'!M$1,FALSE)+VLOOKUP($A122,EnrollData2324,'2324 Jun 24 Enroll'!D$1,FALSE),'District Calculations'!$B$25+'District Calculations'!$B$11),5)</f>
        <v>4.1000000000000003E-3</v>
      </c>
      <c r="S122" s="11">
        <f t="shared" si="38"/>
        <v>1.8294500000000002E-2</v>
      </c>
      <c r="T122">
        <f>ROUND(IF(VLOOKUP($A122,EnrollData2324,'2324 Jun 24 Enroll'!D$1,FALSE)='District Calculations'!$B$11,VLOOKUP($A122,EnrollData2324,'2324 Jun 24 Enroll'!D$1,FALSE),'District Calculations'!$B$11)*S122,3)</f>
        <v>0</v>
      </c>
      <c r="U122">
        <f>ROUND(IF(VLOOKUP($A122,EnrollData2324,'2324 Jun 24 Enroll'!E$1,FALSE)='District Calculations'!$B$12,VLOOKUP($A122,EnrollData2324,'2324 Jun 24 Enroll'!E$1,FALSE),'District Calculations'!$B$12)*S122,3)</f>
        <v>14.827999999999999</v>
      </c>
      <c r="V122">
        <f>ROUND(IF(VLOOKUP($A122,EnrollData2324,'2324 Jun 24 Enroll'!F$1,FALSE)='District Calculations'!$B$13,VLOOKUP($A122,EnrollData2324,'2324 Jun 24 Enroll'!F$1,FALSE),'District Calculations'!$B$13)*Apport_224A2324,3)</f>
        <v>3.6190000000000002</v>
      </c>
      <c r="W122">
        <f>ROUND(IF(VLOOKUP($A122,EnrollData2324,'2324 Jun 24 Enroll'!G$1,FALSE)='District Calculations'!$B$14,VLOOKUP($A122,EnrollData2324,'2324 Jun 24 Enroll'!G$1,FALSE),'District Calculations'!$B$14)*Apport_212A2324,3)</f>
        <v>8.0239999999999991</v>
      </c>
      <c r="X122">
        <f>ROUND(IF(VLOOKUP($A122,EnrollData2324,'2324 Jun 24 Enroll'!H$1,FALSE)='District Calculations'!$B$14,VLOOKUP($A122,EnrollData2324,'2324 Jun 24 Enroll'!H$1,FALSE),'District Calculations'!$B$14)*Apport_215A2324,3)</f>
        <v>7.9279999999999999</v>
      </c>
      <c r="Y122">
        <f>ROUND(IF(VLOOKUP($A122,EnrollData2324,'2324 Jun 24 Enroll'!I$1,FALSE)+VLOOKUP($A122,EnrollData2324,'2324 Jun 24 Enroll'!M$1,FALSE)-VLOOKUP($A122,EnrollData2324,'2324 Jun 24 Enroll'!J$1,FALSE)='District Calculations'!$B$16+'District Calculations'!$B$25-'District Calculations'!$B$17,VLOOKUP($A122,EnrollData2324,'2324 Jun 24 Enroll'!I$1,FALSE)+VLOOKUP($A122,EnrollData2324,'2324 Jun 24 Enroll'!M$1,FALSE)-VLOOKUP($A122,EnrollData2324,'2324 Jun 24 Enroll'!J$1,FALSE),'District Calculations'!$B$16+'District Calculations'!$B$25-'District Calculations'!$B$17)*Apport_218A2324,3)</f>
        <v>19.917999999999999</v>
      </c>
      <c r="Z122">
        <f>ROUND(SUM(T122:Y122)/IF(VLOOKUP($A122,EnrollData2324,'2324 Jun 24 Enroll'!M$1,FALSE)+VLOOKUP($A122,EnrollData2324,'2324 Jun 24 Enroll'!D$1,FALSE)='District Calculations'!$B$25+'District Calculations'!$B$11,VLOOKUP($A122,EnrollData2324,'2324 Jun 24 Enroll'!M$1,FALSE)+VLOOKUP($A122,EnrollData2324,'2324 Jun 24 Enroll'!D$1,FALSE),'District Calculations'!$B$25+'District Calculations'!$B$11),5)</f>
        <v>1.7399999999999999E-2</v>
      </c>
      <c r="AA122" s="6">
        <f>ROUND($J122*CIS_Base_Salary2324*VLOOKUP($A122,EnrollData2324,'2324 Jun 24 Enroll'!S$1,FALSE),2)</f>
        <v>4523.22</v>
      </c>
      <c r="AB122" s="6">
        <f>ROUND($J122*CIS_Inc_Salary2324*(VLOOKUP($A122,EnrollData2324,'2324 Jun 24 Enroll'!T$1,FALSE)+VLOOKUP($A122,EnrollData2324,'2324 Jun 24 Enroll'!U$1,FALSE)),2)-AA122</f>
        <v>334.88000000000011</v>
      </c>
      <c r="AC122" s="6">
        <f>ROUND($R122*CAS_Base_Salary2324*VLOOKUP($A122,EnrollData2324,'2324 Jun 24 Enroll'!S$1,FALSE),2)</f>
        <v>495.73</v>
      </c>
      <c r="AD122" s="6">
        <f>ROUND($R122*CAS_Inc_Salary2324*VLOOKUP($A122,EnrollData2324,'2324 Jun 24 Enroll'!T$1,FALSE),2)-AC122</f>
        <v>18.340000000000032</v>
      </c>
      <c r="AE122" s="6">
        <f>ROUND($Z122*CLS_Base_Salary2324*VLOOKUP($A122,EnrollData2324,'2324 Jun 24 Enroll'!S$1,FALSE),2)</f>
        <v>1016.75</v>
      </c>
      <c r="AF122" s="6">
        <f>ROUND($Z122*CLS_Inc_Salary2324*VLOOKUP($A122,EnrollData2324,'2324 Jun 24 Enroll'!T$1,FALSE),2)-AE122</f>
        <v>37.6099999999999</v>
      </c>
      <c r="AG122">
        <f t="shared" si="35"/>
        <v>734.16</v>
      </c>
      <c r="AH122" s="69">
        <f t="shared" si="39"/>
        <v>68.700000000000045</v>
      </c>
      <c r="AI122">
        <f t="shared" si="36"/>
        <v>214.23</v>
      </c>
      <c r="AJ122">
        <f t="shared" si="40"/>
        <v>114.21000000000001</v>
      </c>
      <c r="AK122">
        <f t="shared" si="41"/>
        <v>901.91</v>
      </c>
      <c r="AL122">
        <f t="shared" si="42"/>
        <v>61.21</v>
      </c>
      <c r="AM122">
        <f t="shared" si="43"/>
        <v>224.3</v>
      </c>
      <c r="AN122">
        <f t="shared" si="44"/>
        <v>6.98</v>
      </c>
      <c r="AO122">
        <f>ROUND(($J122*CIS_Inc_Salary2324*(VLOOKUP($A122,EnrollData2324,'2324 Jun 24 Enroll'!T$1,FALSE)+VLOOKUP($A122,EnrollData2324,'2324 Jun 24 Enroll'!U$1,FALSE))/Apport_613Xpd)*Apport_614Xpd,2)</f>
        <v>80.97</v>
      </c>
      <c r="AP122">
        <f t="shared" si="45"/>
        <v>14.03</v>
      </c>
      <c r="AQ122">
        <f t="shared" si="46"/>
        <v>30.93</v>
      </c>
      <c r="AR122" s="6">
        <f>ROUND((VLOOKUP($A122,EnrollData2324,'2324 Jun 24 Enroll'!D$1,FALSE)*Apport_M802324+VLOOKUP($A122,EnrollData2324,'2324 Jun 24 Enroll'!M$1,FALSE)*Apport_M802324+(VLOOKUP($A122,EnrollData2324,'2324 Jun 24 Enroll'!P$1,FALSE)+VLOOKUP($A122,EnrollData2324,'2324 Jun 24 Enroll'!Q$1,FALSE)+VLOOKUP($A122,EnrollData2324,'2324 Jun 24 Enroll'!R$1,FALSE)+VLOOKUP($A122,EnrollData2324,'2324 Jun 24 Enroll'!I$1,FALSE)+VLOOKUP($A122,EnrollData2324,'2324 Jun 24 Enroll'!N$1,FALSE)+VLOOKUP($A122,EnrollData2324,'2324 Jun 24 Enroll'!O$1,FALSE)+VLOOKUP($A122,EnrollData2324,'2324 Jun 24 Enroll'!K$1,FALSE)+VLOOKUP($A122,EnrollData2324,'2324 Jun 24 Enroll'!L$1,FALSE))*Apport_M812324)/(VLOOKUP($A122,EnrollData2324,'2324 Jun 24 Enroll'!M$1,FALSE)+VLOOKUP($A122,EnrollData2324,'2324 Jun 24 Enroll'!D$1,FALSE)),2)</f>
        <v>1571.35</v>
      </c>
      <c r="AS122" s="7">
        <f t="shared" si="47"/>
        <v>10449.509999999998</v>
      </c>
    </row>
    <row r="123" spans="1:45">
      <c r="A123" s="40" t="s">
        <v>721</v>
      </c>
      <c r="B123" s="40" t="s">
        <v>722</v>
      </c>
      <c r="C123" s="11">
        <f>ROUND((IFERROR((1/IF(VLOOKUP($A123,EnrollData2324,28,FALSE)='District Calculations'!$B$10,VLOOKUP($A123,EnrollData2324,28,FALSE),'District Calculations'!$B$10))*(1+Apport_Z315),0))+Apport_201A2324,6)</f>
        <v>7.3449E-2</v>
      </c>
      <c r="D123">
        <f>ROUND(IF(VLOOKUP($A123,EnrollData2324,'2324 Jun 24 Enroll'!D$1,FALSE)='District Calculations'!$B$11,VLOOKUP($A123,EnrollData2324,'2324 Jun 24 Enroll'!D$1,FALSE),'District Calculations'!$B$11)*C123,3)</f>
        <v>0</v>
      </c>
      <c r="E123">
        <f>ROUND(IF(VLOOKUP($A123,EnrollData2324,'2324 Jun 24 Enroll'!E$1,FALSE)='District Calculations'!$B$12,VLOOKUP($A123,EnrollData2324,'2324 Jun 24 Enroll'!E$1,FALSE),'District Calculations'!$B$12)*C123,3)</f>
        <v>59.53</v>
      </c>
      <c r="F123">
        <f>ROUND(IF(VLOOKUP($A123,EnrollData2324,'2324 Jun 24 Enroll'!F$1,FALSE)='District Calculations'!$B$13,VLOOKUP($A123,EnrollData2324,'2324 Jun 24 Enroll'!F$1,FALSE),'District Calculations'!$B$13)*Apport_222A2324,3)</f>
        <v>10.101000000000001</v>
      </c>
      <c r="G123">
        <f>ROUND(IF(VLOOKUP($A123,EnrollData2324,'2324 Jun 24 Enroll'!G$1,FALSE)='District Calculations'!$B$14,VLOOKUP($A123,EnrollData2324,'2324 Jun 24 Enroll'!G$1,FALSE),'District Calculations'!$B$14)*Apport_210A2324,3)</f>
        <v>22.395</v>
      </c>
      <c r="H123">
        <f>ROUND(IF(VLOOKUP($A123,EnrollData2324,'2324 Jun 24 Enroll'!H$1,FALSE)='District Calculations'!$B$15,VLOOKUP($A123,EnrollData2324,'2324 Jun 24 Enroll'!H$1,FALSE),'District Calculations'!$B$15)*Apport_213A2324,3)</f>
        <v>23.091999999999999</v>
      </c>
      <c r="I123">
        <f>ROUND(IF(VLOOKUP($A123,EnrollData2324,'2324 Jun 24 Enroll'!I$1,FALSE)+VLOOKUP($A123,EnrollData2324,'2324 Jun 24 Enroll'!M$1,FALSE)-VLOOKUP($A123,EnrollData2324,'2324 Jun 24 Enroll'!J$1,FALSE)='District Calculations'!$B$16+'District Calculations'!$B$25-'District Calculations'!$B$17,VLOOKUP($A123,EnrollData2324,'2324 Jun 24 Enroll'!I$1,FALSE)+VLOOKUP($A123,EnrollData2324,'2324 Jun 24 Enroll'!M$1,FALSE)-VLOOKUP($A123,EnrollData2324,'2324 Jun 24 Enroll'!J$1,FALSE),'District Calculations'!$B$16+'District Calculations'!$B$25-'District Calculations'!$B$17)*Apport_216A2324,3)</f>
        <v>58.183999999999997</v>
      </c>
      <c r="J123">
        <f>ROUND(SUM(D123:I123)/(IF(VLOOKUP($A123,EnrollData2324,'2324 Jun 24 Enroll'!M$1,FALSE)='District Calculations'!$B$25,VLOOKUP($A123,EnrollData2324,'2324 Jun 24 Enroll'!M$1,FALSE),'District Calculations'!$B$25)+IF(VLOOKUP($A123,EnrollData2324,'2324 Jun 24 Enroll'!D$1,FALSE)='District Calculations'!$B$11,VLOOKUP($A123,EnrollData2324,'2324 Jun 24 Enroll'!D$1,FALSE),'District Calculations'!$B$11)),5)</f>
        <v>5.5530000000000003E-2</v>
      </c>
      <c r="K123" s="11">
        <f t="shared" si="37"/>
        <v>4.365E-3</v>
      </c>
      <c r="L123">
        <f>ROUND(IF(VLOOKUP($A123,EnrollData2324,'2324 Jun 24 Enroll'!D$1,FALSE)='District Calculations'!$B$11,VLOOKUP($A123,EnrollData2324,'2324 Jun 24 Enroll'!D$1,FALSE),'District Calculations'!$B$11)*K123,3)</f>
        <v>0</v>
      </c>
      <c r="M123">
        <f>ROUND(IF(VLOOKUP($A123,EnrollData2324,'2324 Jun 24 Enroll'!E$1,FALSE)='District Calculations'!$B$12,VLOOKUP($A123,EnrollData2324,'2324 Jun 24 Enroll'!E$1,FALSE),'District Calculations'!$B$12)*K123,3)</f>
        <v>3.5379999999999998</v>
      </c>
      <c r="N123">
        <f>ROUND(IF(VLOOKUP($A123,EnrollData2324,'2324 Jun 24 Enroll'!F$1,FALSE)='District Calculations'!$B$13,VLOOKUP($A123,EnrollData2324,'2324 Jun 24 Enroll'!F$1,FALSE),'District Calculations'!$B$13)*Apport_223A2324,3)</f>
        <v>0.84199999999999997</v>
      </c>
      <c r="O123">
        <f>ROUND(IF(VLOOKUP($A123,EnrollData2324,'2324 Jun 24 Enroll'!G$1,FALSE)='District Calculations'!$B$14,VLOOKUP($A123,EnrollData2324,'2324 Jun 24 Enroll'!G$1,FALSE),'District Calculations'!$B$14)*Apport_211A2324,3)</f>
        <v>1.867</v>
      </c>
      <c r="P123">
        <f>ROUND(IF(VLOOKUP($A123,EnrollData2324,'2324 Jun 24 Enroll'!H$1,FALSE)='District Calculations'!$B$14,VLOOKUP($A123,EnrollData2324,'2324 Jun 24 Enroll'!H$1,FALSE),'District Calculations'!$B$14)*Apport_214A2324,3)</f>
        <v>1.8660000000000001</v>
      </c>
      <c r="Q123">
        <f>ROUND(IF(VLOOKUP($A123,EnrollData2324,'2324 Jun 24 Enroll'!I$1,FALSE)+VLOOKUP($A123,EnrollData2324,'2324 Jun 24 Enroll'!M$1,FALSE)-VLOOKUP($A123,EnrollData2324,'2324 Jun 24 Enroll'!J$1,FALSE)='District Calculations'!$B$16+'District Calculations'!$B$25-'District Calculations'!$B$17,VLOOKUP($A123,EnrollData2324,'2324 Jun 24 Enroll'!I$1,FALSE)+VLOOKUP($A123,EnrollData2324,'2324 Jun 24 Enroll'!M$1,FALSE)-VLOOKUP($A123,EnrollData2324,'2324 Jun 24 Enroll'!J$1,FALSE),'District Calculations'!$B$16+'District Calculations'!$B$25-'District Calculations'!$B$17)*Apport_217A2324,3)</f>
        <v>4.6980000000000004</v>
      </c>
      <c r="R123">
        <f>ROUND(SUM(L123:Q123)/IF(VLOOKUP($A123,EnrollData2324,'2324 Jun 24 Enroll'!M$1,FALSE)+VLOOKUP($A123,EnrollData2324,'2324 Jun 24 Enroll'!D$1,FALSE)='District Calculations'!$B$25+'District Calculations'!$B$11,VLOOKUP($A123,EnrollData2324,'2324 Jun 24 Enroll'!M$1,FALSE)+VLOOKUP($A123,EnrollData2324,'2324 Jun 24 Enroll'!D$1,FALSE),'District Calculations'!$B$25+'District Calculations'!$B$11),5)</f>
        <v>4.1000000000000003E-3</v>
      </c>
      <c r="S123" s="11">
        <f t="shared" si="38"/>
        <v>1.8294500000000002E-2</v>
      </c>
      <c r="T123">
        <f>ROUND(IF(VLOOKUP($A123,EnrollData2324,'2324 Jun 24 Enroll'!D$1,FALSE)='District Calculations'!$B$11,VLOOKUP($A123,EnrollData2324,'2324 Jun 24 Enroll'!D$1,FALSE),'District Calculations'!$B$11)*S123,3)</f>
        <v>0</v>
      </c>
      <c r="U123">
        <f>ROUND(IF(VLOOKUP($A123,EnrollData2324,'2324 Jun 24 Enroll'!E$1,FALSE)='District Calculations'!$B$12,VLOOKUP($A123,EnrollData2324,'2324 Jun 24 Enroll'!E$1,FALSE),'District Calculations'!$B$12)*S123,3)</f>
        <v>14.827999999999999</v>
      </c>
      <c r="V123">
        <f>ROUND(IF(VLOOKUP($A123,EnrollData2324,'2324 Jun 24 Enroll'!F$1,FALSE)='District Calculations'!$B$13,VLOOKUP($A123,EnrollData2324,'2324 Jun 24 Enroll'!F$1,FALSE),'District Calculations'!$B$13)*Apport_224A2324,3)</f>
        <v>3.6190000000000002</v>
      </c>
      <c r="W123">
        <f>ROUND(IF(VLOOKUP($A123,EnrollData2324,'2324 Jun 24 Enroll'!G$1,FALSE)='District Calculations'!$B$14,VLOOKUP($A123,EnrollData2324,'2324 Jun 24 Enroll'!G$1,FALSE),'District Calculations'!$B$14)*Apport_212A2324,3)</f>
        <v>8.0239999999999991</v>
      </c>
      <c r="X123">
        <f>ROUND(IF(VLOOKUP($A123,EnrollData2324,'2324 Jun 24 Enroll'!H$1,FALSE)='District Calculations'!$B$14,VLOOKUP($A123,EnrollData2324,'2324 Jun 24 Enroll'!H$1,FALSE),'District Calculations'!$B$14)*Apport_215A2324,3)</f>
        <v>7.9279999999999999</v>
      </c>
      <c r="Y123">
        <f>ROUND(IF(VLOOKUP($A123,EnrollData2324,'2324 Jun 24 Enroll'!I$1,FALSE)+VLOOKUP($A123,EnrollData2324,'2324 Jun 24 Enroll'!M$1,FALSE)-VLOOKUP($A123,EnrollData2324,'2324 Jun 24 Enroll'!J$1,FALSE)='District Calculations'!$B$16+'District Calculations'!$B$25-'District Calculations'!$B$17,VLOOKUP($A123,EnrollData2324,'2324 Jun 24 Enroll'!I$1,FALSE)+VLOOKUP($A123,EnrollData2324,'2324 Jun 24 Enroll'!M$1,FALSE)-VLOOKUP($A123,EnrollData2324,'2324 Jun 24 Enroll'!J$1,FALSE),'District Calculations'!$B$16+'District Calculations'!$B$25-'District Calculations'!$B$17)*Apport_218A2324,3)</f>
        <v>19.917999999999999</v>
      </c>
      <c r="Z123">
        <f>ROUND(SUM(T123:Y123)/IF(VLOOKUP($A123,EnrollData2324,'2324 Jun 24 Enroll'!M$1,FALSE)+VLOOKUP($A123,EnrollData2324,'2324 Jun 24 Enroll'!D$1,FALSE)='District Calculations'!$B$25+'District Calculations'!$B$11,VLOOKUP($A123,EnrollData2324,'2324 Jun 24 Enroll'!M$1,FALSE)+VLOOKUP($A123,EnrollData2324,'2324 Jun 24 Enroll'!D$1,FALSE),'District Calculations'!$B$25+'District Calculations'!$B$11),5)</f>
        <v>1.7399999999999999E-2</v>
      </c>
      <c r="AA123" s="6">
        <f>ROUND($J123*CIS_Base_Salary2324*VLOOKUP($A123,EnrollData2324,'2324 Jun 24 Enroll'!S$1,FALSE),2)</f>
        <v>4765.53</v>
      </c>
      <c r="AB123" s="6">
        <f>ROUND($J123*CIS_Inc_Salary2324*(VLOOKUP($A123,EnrollData2324,'2324 Jun 24 Enroll'!T$1,FALSE)+VLOOKUP($A123,EnrollData2324,'2324 Jun 24 Enroll'!U$1,FALSE)),2)-AA123</f>
        <v>176.32999999999993</v>
      </c>
      <c r="AC123" s="6">
        <f>ROUND($R123*CAS_Base_Salary2324*VLOOKUP($A123,EnrollData2324,'2324 Jun 24 Enroll'!S$1,FALSE),2)</f>
        <v>522.29</v>
      </c>
      <c r="AD123" s="6">
        <f>ROUND($R123*CAS_Inc_Salary2324*VLOOKUP($A123,EnrollData2324,'2324 Jun 24 Enroll'!T$1,FALSE),2)-AC123</f>
        <v>19.32000000000005</v>
      </c>
      <c r="AE123" s="6">
        <f>ROUND($Z123*CLS_Base_Salary2324*VLOOKUP($A123,EnrollData2324,'2324 Jun 24 Enroll'!S$1,FALSE),2)</f>
        <v>1071.22</v>
      </c>
      <c r="AF123" s="6">
        <f>ROUND($Z123*CLS_Inc_Salary2324*VLOOKUP($A123,EnrollData2324,'2324 Jun 24 Enroll'!T$1,FALSE),2)-AE123</f>
        <v>39.619999999999891</v>
      </c>
      <c r="AG123">
        <f t="shared" si="35"/>
        <v>734.16</v>
      </c>
      <c r="AH123" s="69">
        <f t="shared" si="39"/>
        <v>68.700000000000045</v>
      </c>
      <c r="AI123">
        <f t="shared" si="36"/>
        <v>214.23</v>
      </c>
      <c r="AJ123">
        <f t="shared" si="40"/>
        <v>114.21000000000001</v>
      </c>
      <c r="AK123">
        <f t="shared" si="41"/>
        <v>950.22</v>
      </c>
      <c r="AL123">
        <f t="shared" si="42"/>
        <v>33.909999999999997</v>
      </c>
      <c r="AM123">
        <f t="shared" si="43"/>
        <v>236.31</v>
      </c>
      <c r="AN123">
        <f t="shared" si="44"/>
        <v>7.35</v>
      </c>
      <c r="AO123">
        <f>ROUND(($J123*CIS_Inc_Salary2324*(VLOOKUP($A123,EnrollData2324,'2324 Jun 24 Enroll'!T$1,FALSE)+VLOOKUP($A123,EnrollData2324,'2324 Jun 24 Enroll'!U$1,FALSE))/Apport_613Xpd)*Apport_614Xpd,2)</f>
        <v>82.36</v>
      </c>
      <c r="AP123">
        <f t="shared" si="45"/>
        <v>14.27</v>
      </c>
      <c r="AQ123">
        <f t="shared" si="46"/>
        <v>30.93</v>
      </c>
      <c r="AR123" s="6">
        <f>ROUND((VLOOKUP($A123,EnrollData2324,'2324 Jun 24 Enroll'!D$1,FALSE)*Apport_M802324+VLOOKUP($A123,EnrollData2324,'2324 Jun 24 Enroll'!M$1,FALSE)*Apport_M802324+(VLOOKUP($A123,EnrollData2324,'2324 Jun 24 Enroll'!P$1,FALSE)+VLOOKUP($A123,EnrollData2324,'2324 Jun 24 Enroll'!Q$1,FALSE)+VLOOKUP($A123,EnrollData2324,'2324 Jun 24 Enroll'!R$1,FALSE)+VLOOKUP($A123,EnrollData2324,'2324 Jun 24 Enroll'!I$1,FALSE)+VLOOKUP($A123,EnrollData2324,'2324 Jun 24 Enroll'!N$1,FALSE)+VLOOKUP($A123,EnrollData2324,'2324 Jun 24 Enroll'!O$1,FALSE)+VLOOKUP($A123,EnrollData2324,'2324 Jun 24 Enroll'!K$1,FALSE)+VLOOKUP($A123,EnrollData2324,'2324 Jun 24 Enroll'!L$1,FALSE))*Apport_M812324)/(VLOOKUP($A123,EnrollData2324,'2324 Jun 24 Enroll'!M$1,FALSE)+VLOOKUP($A123,EnrollData2324,'2324 Jun 24 Enroll'!D$1,FALSE)),2)</f>
        <v>1548.28</v>
      </c>
      <c r="AS123" s="7">
        <f t="shared" si="47"/>
        <v>10629.24</v>
      </c>
    </row>
    <row r="124" spans="1:45">
      <c r="A124" s="40" t="s">
        <v>765</v>
      </c>
      <c r="B124" s="40" t="s">
        <v>766</v>
      </c>
      <c r="C124" s="11">
        <f>ROUND((IFERROR((1/IF(VLOOKUP($A124,EnrollData2324,28,FALSE)='District Calculations'!$B$10,VLOOKUP($A124,EnrollData2324,28,FALSE),'District Calculations'!$B$10))*(1+Apport_Z315),0))+Apport_201A2324,6)</f>
        <v>7.3449E-2</v>
      </c>
      <c r="D124">
        <f>ROUND(IF(VLOOKUP($A124,EnrollData2324,'2324 Jun 24 Enroll'!D$1,FALSE)='District Calculations'!$B$11,VLOOKUP($A124,EnrollData2324,'2324 Jun 24 Enroll'!D$1,FALSE),'District Calculations'!$B$11)*C124,3)</f>
        <v>0</v>
      </c>
      <c r="E124">
        <f>ROUND(IF(VLOOKUP($A124,EnrollData2324,'2324 Jun 24 Enroll'!E$1,FALSE)='District Calculations'!$B$12,VLOOKUP($A124,EnrollData2324,'2324 Jun 24 Enroll'!E$1,FALSE),'District Calculations'!$B$12)*C124,3)</f>
        <v>59.53</v>
      </c>
      <c r="F124">
        <f>ROUND(IF(VLOOKUP($A124,EnrollData2324,'2324 Jun 24 Enroll'!F$1,FALSE)='District Calculations'!$B$13,VLOOKUP($A124,EnrollData2324,'2324 Jun 24 Enroll'!F$1,FALSE),'District Calculations'!$B$13)*Apport_222A2324,3)</f>
        <v>10.101000000000001</v>
      </c>
      <c r="G124">
        <f>ROUND(IF(VLOOKUP($A124,EnrollData2324,'2324 Jun 24 Enroll'!G$1,FALSE)='District Calculations'!$B$14,VLOOKUP($A124,EnrollData2324,'2324 Jun 24 Enroll'!G$1,FALSE),'District Calculations'!$B$14)*Apport_210A2324,3)</f>
        <v>22.395</v>
      </c>
      <c r="H124">
        <f>ROUND(IF(VLOOKUP($A124,EnrollData2324,'2324 Jun 24 Enroll'!H$1,FALSE)='District Calculations'!$B$15,VLOOKUP($A124,EnrollData2324,'2324 Jun 24 Enroll'!H$1,FALSE),'District Calculations'!$B$15)*Apport_213A2324,3)</f>
        <v>23.091999999999999</v>
      </c>
      <c r="I124">
        <f>ROUND(IF(VLOOKUP($A124,EnrollData2324,'2324 Jun 24 Enroll'!I$1,FALSE)+VLOOKUP($A124,EnrollData2324,'2324 Jun 24 Enroll'!M$1,FALSE)-VLOOKUP($A124,EnrollData2324,'2324 Jun 24 Enroll'!J$1,FALSE)='District Calculations'!$B$16+'District Calculations'!$B$25-'District Calculations'!$B$17,VLOOKUP($A124,EnrollData2324,'2324 Jun 24 Enroll'!I$1,FALSE)+VLOOKUP($A124,EnrollData2324,'2324 Jun 24 Enroll'!M$1,FALSE)-VLOOKUP($A124,EnrollData2324,'2324 Jun 24 Enroll'!J$1,FALSE),'District Calculations'!$B$16+'District Calculations'!$B$25-'District Calculations'!$B$17)*Apport_216A2324,3)</f>
        <v>58.183999999999997</v>
      </c>
      <c r="J124">
        <f>ROUND(SUM(D124:I124)/(IF(VLOOKUP($A124,EnrollData2324,'2324 Jun 24 Enroll'!M$1,FALSE)='District Calculations'!$B$25,VLOOKUP($A124,EnrollData2324,'2324 Jun 24 Enroll'!M$1,FALSE),'District Calculations'!$B$25)+IF(VLOOKUP($A124,EnrollData2324,'2324 Jun 24 Enroll'!D$1,FALSE)='District Calculations'!$B$11,VLOOKUP($A124,EnrollData2324,'2324 Jun 24 Enroll'!D$1,FALSE),'District Calculations'!$B$11)),5)</f>
        <v>5.5530000000000003E-2</v>
      </c>
      <c r="K124" s="11">
        <f t="shared" si="37"/>
        <v>4.365E-3</v>
      </c>
      <c r="L124">
        <f>ROUND(IF(VLOOKUP($A124,EnrollData2324,'2324 Jun 24 Enroll'!D$1,FALSE)='District Calculations'!$B$11,VLOOKUP($A124,EnrollData2324,'2324 Jun 24 Enroll'!D$1,FALSE),'District Calculations'!$B$11)*K124,3)</f>
        <v>0</v>
      </c>
      <c r="M124">
        <f>ROUND(IF(VLOOKUP($A124,EnrollData2324,'2324 Jun 24 Enroll'!E$1,FALSE)='District Calculations'!$B$12,VLOOKUP($A124,EnrollData2324,'2324 Jun 24 Enroll'!E$1,FALSE),'District Calculations'!$B$12)*K124,3)</f>
        <v>3.5379999999999998</v>
      </c>
      <c r="N124">
        <f>ROUND(IF(VLOOKUP($A124,EnrollData2324,'2324 Jun 24 Enroll'!F$1,FALSE)='District Calculations'!$B$13,VLOOKUP($A124,EnrollData2324,'2324 Jun 24 Enroll'!F$1,FALSE),'District Calculations'!$B$13)*Apport_223A2324,3)</f>
        <v>0.84199999999999997</v>
      </c>
      <c r="O124">
        <f>ROUND(IF(VLOOKUP($A124,EnrollData2324,'2324 Jun 24 Enroll'!G$1,FALSE)='District Calculations'!$B$14,VLOOKUP($A124,EnrollData2324,'2324 Jun 24 Enroll'!G$1,FALSE),'District Calculations'!$B$14)*Apport_211A2324,3)</f>
        <v>1.867</v>
      </c>
      <c r="P124">
        <f>ROUND(IF(VLOOKUP($A124,EnrollData2324,'2324 Jun 24 Enroll'!H$1,FALSE)='District Calculations'!$B$14,VLOOKUP($A124,EnrollData2324,'2324 Jun 24 Enroll'!H$1,FALSE),'District Calculations'!$B$14)*Apport_214A2324,3)</f>
        <v>1.8660000000000001</v>
      </c>
      <c r="Q124">
        <f>ROUND(IF(VLOOKUP($A124,EnrollData2324,'2324 Jun 24 Enroll'!I$1,FALSE)+VLOOKUP($A124,EnrollData2324,'2324 Jun 24 Enroll'!M$1,FALSE)-VLOOKUP($A124,EnrollData2324,'2324 Jun 24 Enroll'!J$1,FALSE)='District Calculations'!$B$16+'District Calculations'!$B$25-'District Calculations'!$B$17,VLOOKUP($A124,EnrollData2324,'2324 Jun 24 Enroll'!I$1,FALSE)+VLOOKUP($A124,EnrollData2324,'2324 Jun 24 Enroll'!M$1,FALSE)-VLOOKUP($A124,EnrollData2324,'2324 Jun 24 Enroll'!J$1,FALSE),'District Calculations'!$B$16+'District Calculations'!$B$25-'District Calculations'!$B$17)*Apport_217A2324,3)</f>
        <v>4.6980000000000004</v>
      </c>
      <c r="R124">
        <f>ROUND(SUM(L124:Q124)/IF(VLOOKUP($A124,EnrollData2324,'2324 Jun 24 Enroll'!M$1,FALSE)+VLOOKUP($A124,EnrollData2324,'2324 Jun 24 Enroll'!D$1,FALSE)='District Calculations'!$B$25+'District Calculations'!$B$11,VLOOKUP($A124,EnrollData2324,'2324 Jun 24 Enroll'!M$1,FALSE)+VLOOKUP($A124,EnrollData2324,'2324 Jun 24 Enroll'!D$1,FALSE),'District Calculations'!$B$25+'District Calculations'!$B$11),5)</f>
        <v>4.1000000000000003E-3</v>
      </c>
      <c r="S124" s="11">
        <f t="shared" si="38"/>
        <v>1.8294500000000002E-2</v>
      </c>
      <c r="T124">
        <f>ROUND(IF(VLOOKUP($A124,EnrollData2324,'2324 Jun 24 Enroll'!D$1,FALSE)='District Calculations'!$B$11,VLOOKUP($A124,EnrollData2324,'2324 Jun 24 Enroll'!D$1,FALSE),'District Calculations'!$B$11)*S124,3)</f>
        <v>0</v>
      </c>
      <c r="U124">
        <f>ROUND(IF(VLOOKUP($A124,EnrollData2324,'2324 Jun 24 Enroll'!E$1,FALSE)='District Calculations'!$B$12,VLOOKUP($A124,EnrollData2324,'2324 Jun 24 Enroll'!E$1,FALSE),'District Calculations'!$B$12)*S124,3)</f>
        <v>14.827999999999999</v>
      </c>
      <c r="V124">
        <f>ROUND(IF(VLOOKUP($A124,EnrollData2324,'2324 Jun 24 Enroll'!F$1,FALSE)='District Calculations'!$B$13,VLOOKUP($A124,EnrollData2324,'2324 Jun 24 Enroll'!F$1,FALSE),'District Calculations'!$B$13)*Apport_224A2324,3)</f>
        <v>3.6190000000000002</v>
      </c>
      <c r="W124">
        <f>ROUND(IF(VLOOKUP($A124,EnrollData2324,'2324 Jun 24 Enroll'!G$1,FALSE)='District Calculations'!$B$14,VLOOKUP($A124,EnrollData2324,'2324 Jun 24 Enroll'!G$1,FALSE),'District Calculations'!$B$14)*Apport_212A2324,3)</f>
        <v>8.0239999999999991</v>
      </c>
      <c r="X124">
        <f>ROUND(IF(VLOOKUP($A124,EnrollData2324,'2324 Jun 24 Enroll'!H$1,FALSE)='District Calculations'!$B$14,VLOOKUP($A124,EnrollData2324,'2324 Jun 24 Enroll'!H$1,FALSE),'District Calculations'!$B$14)*Apport_215A2324,3)</f>
        <v>7.9279999999999999</v>
      </c>
      <c r="Y124">
        <f>ROUND(IF(VLOOKUP($A124,EnrollData2324,'2324 Jun 24 Enroll'!I$1,FALSE)+VLOOKUP($A124,EnrollData2324,'2324 Jun 24 Enroll'!M$1,FALSE)-VLOOKUP($A124,EnrollData2324,'2324 Jun 24 Enroll'!J$1,FALSE)='District Calculations'!$B$16+'District Calculations'!$B$25-'District Calculations'!$B$17,VLOOKUP($A124,EnrollData2324,'2324 Jun 24 Enroll'!I$1,FALSE)+VLOOKUP($A124,EnrollData2324,'2324 Jun 24 Enroll'!M$1,FALSE)-VLOOKUP($A124,EnrollData2324,'2324 Jun 24 Enroll'!J$1,FALSE),'District Calculations'!$B$16+'District Calculations'!$B$25-'District Calculations'!$B$17)*Apport_218A2324,3)</f>
        <v>19.917999999999999</v>
      </c>
      <c r="Z124">
        <f>ROUND(SUM(T124:Y124)/IF(VLOOKUP($A124,EnrollData2324,'2324 Jun 24 Enroll'!M$1,FALSE)+VLOOKUP($A124,EnrollData2324,'2324 Jun 24 Enroll'!D$1,FALSE)='District Calculations'!$B$25+'District Calculations'!$B$11,VLOOKUP($A124,EnrollData2324,'2324 Jun 24 Enroll'!M$1,FALSE)+VLOOKUP($A124,EnrollData2324,'2324 Jun 24 Enroll'!D$1,FALSE),'District Calculations'!$B$25+'District Calculations'!$B$11),5)</f>
        <v>1.7399999999999999E-2</v>
      </c>
      <c r="AA124" s="6">
        <f>ROUND($J124*CIS_Base_Salary2324*VLOOKUP($A124,EnrollData2324,'2324 Jun 24 Enroll'!S$1,FALSE),2)</f>
        <v>4765.53</v>
      </c>
      <c r="AB124" s="6">
        <f>ROUND($J124*CIS_Inc_Salary2324*(VLOOKUP($A124,EnrollData2324,'2324 Jun 24 Enroll'!T$1,FALSE)+VLOOKUP($A124,EnrollData2324,'2324 Jun 24 Enroll'!U$1,FALSE)),2)-AA124</f>
        <v>176.32999999999993</v>
      </c>
      <c r="AC124" s="6">
        <f>ROUND($R124*CAS_Base_Salary2324*VLOOKUP($A124,EnrollData2324,'2324 Jun 24 Enroll'!S$1,FALSE),2)</f>
        <v>522.29</v>
      </c>
      <c r="AD124" s="6">
        <f>ROUND($R124*CAS_Inc_Salary2324*VLOOKUP($A124,EnrollData2324,'2324 Jun 24 Enroll'!T$1,FALSE),2)-AC124</f>
        <v>19.32000000000005</v>
      </c>
      <c r="AE124" s="6">
        <f>ROUND($Z124*CLS_Base_Salary2324*VLOOKUP($A124,EnrollData2324,'2324 Jun 24 Enroll'!S$1,FALSE),2)</f>
        <v>1071.22</v>
      </c>
      <c r="AF124" s="6">
        <f>ROUND($Z124*CLS_Inc_Salary2324*VLOOKUP($A124,EnrollData2324,'2324 Jun 24 Enroll'!T$1,FALSE),2)-AE124</f>
        <v>39.619999999999891</v>
      </c>
      <c r="AG124">
        <f t="shared" si="35"/>
        <v>734.16</v>
      </c>
      <c r="AH124" s="69">
        <f t="shared" si="39"/>
        <v>68.700000000000045</v>
      </c>
      <c r="AI124">
        <f t="shared" si="36"/>
        <v>214.23</v>
      </c>
      <c r="AJ124">
        <f t="shared" si="40"/>
        <v>114.21000000000001</v>
      </c>
      <c r="AK124">
        <f t="shared" si="41"/>
        <v>950.22</v>
      </c>
      <c r="AL124">
        <f t="shared" si="42"/>
        <v>33.909999999999997</v>
      </c>
      <c r="AM124">
        <f t="shared" si="43"/>
        <v>236.31</v>
      </c>
      <c r="AN124">
        <f t="shared" si="44"/>
        <v>7.35</v>
      </c>
      <c r="AO124">
        <f>ROUND(($J124*CIS_Inc_Salary2324*(VLOOKUP($A124,EnrollData2324,'2324 Jun 24 Enroll'!T$1,FALSE)+VLOOKUP($A124,EnrollData2324,'2324 Jun 24 Enroll'!U$1,FALSE))/Apport_613Xpd)*Apport_614Xpd,2)</f>
        <v>82.36</v>
      </c>
      <c r="AP124">
        <f t="shared" si="45"/>
        <v>14.27</v>
      </c>
      <c r="AQ124">
        <f t="shared" si="46"/>
        <v>30.93</v>
      </c>
      <c r="AR124" s="6">
        <f>ROUND((VLOOKUP($A124,EnrollData2324,'2324 Jun 24 Enroll'!D$1,FALSE)*Apport_M802324+VLOOKUP($A124,EnrollData2324,'2324 Jun 24 Enroll'!M$1,FALSE)*Apport_M802324+(VLOOKUP($A124,EnrollData2324,'2324 Jun 24 Enroll'!P$1,FALSE)+VLOOKUP($A124,EnrollData2324,'2324 Jun 24 Enroll'!Q$1,FALSE)+VLOOKUP($A124,EnrollData2324,'2324 Jun 24 Enroll'!R$1,FALSE)+VLOOKUP($A124,EnrollData2324,'2324 Jun 24 Enroll'!I$1,FALSE)+VLOOKUP($A124,EnrollData2324,'2324 Jun 24 Enroll'!N$1,FALSE)+VLOOKUP($A124,EnrollData2324,'2324 Jun 24 Enroll'!O$1,FALSE)+VLOOKUP($A124,EnrollData2324,'2324 Jun 24 Enroll'!K$1,FALSE)+VLOOKUP($A124,EnrollData2324,'2324 Jun 24 Enroll'!L$1,FALSE))*Apport_M812324)/(VLOOKUP($A124,EnrollData2324,'2324 Jun 24 Enroll'!M$1,FALSE)+VLOOKUP($A124,EnrollData2324,'2324 Jun 24 Enroll'!D$1,FALSE)),2)</f>
        <v>1538.55</v>
      </c>
      <c r="AS124" s="7">
        <f t="shared" si="47"/>
        <v>10619.509999999998</v>
      </c>
    </row>
    <row r="125" spans="1:45">
      <c r="A125" s="40" t="s">
        <v>333</v>
      </c>
      <c r="B125" s="40" t="s">
        <v>334</v>
      </c>
      <c r="C125" s="11">
        <f>ROUND((IFERROR((1/IF(VLOOKUP($A125,EnrollData2324,28,FALSE)='District Calculations'!$B$10,VLOOKUP($A125,EnrollData2324,28,FALSE),'District Calculations'!$B$10))*(1+Apport_Z315),0))+Apport_201A2324,6)</f>
        <v>7.3449E-2</v>
      </c>
      <c r="D125">
        <f>ROUND(IF(VLOOKUP($A125,EnrollData2324,'2324 Jun 24 Enroll'!D$1,FALSE)='District Calculations'!$B$11,VLOOKUP($A125,EnrollData2324,'2324 Jun 24 Enroll'!D$1,FALSE),'District Calculations'!$B$11)*C125,3)</f>
        <v>0</v>
      </c>
      <c r="E125">
        <f>ROUND(IF(VLOOKUP($A125,EnrollData2324,'2324 Jun 24 Enroll'!E$1,FALSE)='District Calculations'!$B$12,VLOOKUP($A125,EnrollData2324,'2324 Jun 24 Enroll'!E$1,FALSE),'District Calculations'!$B$12)*C125,3)</f>
        <v>59.53</v>
      </c>
      <c r="F125">
        <f>ROUND(IF(VLOOKUP($A125,EnrollData2324,'2324 Jun 24 Enroll'!F$1,FALSE)='District Calculations'!$B$13,VLOOKUP($A125,EnrollData2324,'2324 Jun 24 Enroll'!F$1,FALSE),'District Calculations'!$B$13)*Apport_222A2324,3)</f>
        <v>10.101000000000001</v>
      </c>
      <c r="G125">
        <f>ROUND(IF(VLOOKUP($A125,EnrollData2324,'2324 Jun 24 Enroll'!G$1,FALSE)='District Calculations'!$B$14,VLOOKUP($A125,EnrollData2324,'2324 Jun 24 Enroll'!G$1,FALSE),'District Calculations'!$B$14)*Apport_210A2324,3)</f>
        <v>22.395</v>
      </c>
      <c r="H125">
        <f>ROUND(IF(VLOOKUP($A125,EnrollData2324,'2324 Jun 24 Enroll'!H$1,FALSE)='District Calculations'!$B$15,VLOOKUP($A125,EnrollData2324,'2324 Jun 24 Enroll'!H$1,FALSE),'District Calculations'!$B$15)*Apport_213A2324,3)</f>
        <v>23.091999999999999</v>
      </c>
      <c r="I125">
        <f>ROUND(IF(VLOOKUP($A125,EnrollData2324,'2324 Jun 24 Enroll'!I$1,FALSE)+VLOOKUP($A125,EnrollData2324,'2324 Jun 24 Enroll'!M$1,FALSE)-VLOOKUP($A125,EnrollData2324,'2324 Jun 24 Enroll'!J$1,FALSE)='District Calculations'!$B$16+'District Calculations'!$B$25-'District Calculations'!$B$17,VLOOKUP($A125,EnrollData2324,'2324 Jun 24 Enroll'!I$1,FALSE)+VLOOKUP($A125,EnrollData2324,'2324 Jun 24 Enroll'!M$1,FALSE)-VLOOKUP($A125,EnrollData2324,'2324 Jun 24 Enroll'!J$1,FALSE),'District Calculations'!$B$16+'District Calculations'!$B$25-'District Calculations'!$B$17)*Apport_216A2324,3)</f>
        <v>58.183999999999997</v>
      </c>
      <c r="J125">
        <f>ROUND(SUM(D125:I125)/(IF(VLOOKUP($A125,EnrollData2324,'2324 Jun 24 Enroll'!M$1,FALSE)='District Calculations'!$B$25,VLOOKUP($A125,EnrollData2324,'2324 Jun 24 Enroll'!M$1,FALSE),'District Calculations'!$B$25)+IF(VLOOKUP($A125,EnrollData2324,'2324 Jun 24 Enroll'!D$1,FALSE)='District Calculations'!$B$11,VLOOKUP($A125,EnrollData2324,'2324 Jun 24 Enroll'!D$1,FALSE),'District Calculations'!$B$11)),5)</f>
        <v>5.5530000000000003E-2</v>
      </c>
      <c r="K125" s="11">
        <f t="shared" si="37"/>
        <v>4.365E-3</v>
      </c>
      <c r="L125">
        <f>ROUND(IF(VLOOKUP($A125,EnrollData2324,'2324 Jun 24 Enroll'!D$1,FALSE)='District Calculations'!$B$11,VLOOKUP($A125,EnrollData2324,'2324 Jun 24 Enroll'!D$1,FALSE),'District Calculations'!$B$11)*K125,3)</f>
        <v>0</v>
      </c>
      <c r="M125">
        <f>ROUND(IF(VLOOKUP($A125,EnrollData2324,'2324 Jun 24 Enroll'!E$1,FALSE)='District Calculations'!$B$12,VLOOKUP($A125,EnrollData2324,'2324 Jun 24 Enroll'!E$1,FALSE),'District Calculations'!$B$12)*K125,3)</f>
        <v>3.5379999999999998</v>
      </c>
      <c r="N125">
        <f>ROUND(IF(VLOOKUP($A125,EnrollData2324,'2324 Jun 24 Enroll'!F$1,FALSE)='District Calculations'!$B$13,VLOOKUP($A125,EnrollData2324,'2324 Jun 24 Enroll'!F$1,FALSE),'District Calculations'!$B$13)*Apport_223A2324,3)</f>
        <v>0.84199999999999997</v>
      </c>
      <c r="O125">
        <f>ROUND(IF(VLOOKUP($A125,EnrollData2324,'2324 Jun 24 Enroll'!G$1,FALSE)='District Calculations'!$B$14,VLOOKUP($A125,EnrollData2324,'2324 Jun 24 Enroll'!G$1,FALSE),'District Calculations'!$B$14)*Apport_211A2324,3)</f>
        <v>1.867</v>
      </c>
      <c r="P125">
        <f>ROUND(IF(VLOOKUP($A125,EnrollData2324,'2324 Jun 24 Enroll'!H$1,FALSE)='District Calculations'!$B$14,VLOOKUP($A125,EnrollData2324,'2324 Jun 24 Enroll'!H$1,FALSE),'District Calculations'!$B$14)*Apport_214A2324,3)</f>
        <v>1.8660000000000001</v>
      </c>
      <c r="Q125">
        <f>ROUND(IF(VLOOKUP($A125,EnrollData2324,'2324 Jun 24 Enroll'!I$1,FALSE)+VLOOKUP($A125,EnrollData2324,'2324 Jun 24 Enroll'!M$1,FALSE)-VLOOKUP($A125,EnrollData2324,'2324 Jun 24 Enroll'!J$1,FALSE)='District Calculations'!$B$16+'District Calculations'!$B$25-'District Calculations'!$B$17,VLOOKUP($A125,EnrollData2324,'2324 Jun 24 Enroll'!I$1,FALSE)+VLOOKUP($A125,EnrollData2324,'2324 Jun 24 Enroll'!M$1,FALSE)-VLOOKUP($A125,EnrollData2324,'2324 Jun 24 Enroll'!J$1,FALSE),'District Calculations'!$B$16+'District Calculations'!$B$25-'District Calculations'!$B$17)*Apport_217A2324,3)</f>
        <v>4.6980000000000004</v>
      </c>
      <c r="R125">
        <f>ROUND(SUM(L125:Q125)/IF(VLOOKUP($A125,EnrollData2324,'2324 Jun 24 Enroll'!M$1,FALSE)+VLOOKUP($A125,EnrollData2324,'2324 Jun 24 Enroll'!D$1,FALSE)='District Calculations'!$B$25+'District Calculations'!$B$11,VLOOKUP($A125,EnrollData2324,'2324 Jun 24 Enroll'!M$1,FALSE)+VLOOKUP($A125,EnrollData2324,'2324 Jun 24 Enroll'!D$1,FALSE),'District Calculations'!$B$25+'District Calculations'!$B$11),5)</f>
        <v>4.1000000000000003E-3</v>
      </c>
      <c r="S125" s="11">
        <f t="shared" si="38"/>
        <v>1.8294500000000002E-2</v>
      </c>
      <c r="T125">
        <f>ROUND(IF(VLOOKUP($A125,EnrollData2324,'2324 Jun 24 Enroll'!D$1,FALSE)='District Calculations'!$B$11,VLOOKUP($A125,EnrollData2324,'2324 Jun 24 Enroll'!D$1,FALSE),'District Calculations'!$B$11)*S125,3)</f>
        <v>0</v>
      </c>
      <c r="U125">
        <f>ROUND(IF(VLOOKUP($A125,EnrollData2324,'2324 Jun 24 Enroll'!E$1,FALSE)='District Calculations'!$B$12,VLOOKUP($A125,EnrollData2324,'2324 Jun 24 Enroll'!E$1,FALSE),'District Calculations'!$B$12)*S125,3)</f>
        <v>14.827999999999999</v>
      </c>
      <c r="V125">
        <f>ROUND(IF(VLOOKUP($A125,EnrollData2324,'2324 Jun 24 Enroll'!F$1,FALSE)='District Calculations'!$B$13,VLOOKUP($A125,EnrollData2324,'2324 Jun 24 Enroll'!F$1,FALSE),'District Calculations'!$B$13)*Apport_224A2324,3)</f>
        <v>3.6190000000000002</v>
      </c>
      <c r="W125">
        <f>ROUND(IF(VLOOKUP($A125,EnrollData2324,'2324 Jun 24 Enroll'!G$1,FALSE)='District Calculations'!$B$14,VLOOKUP($A125,EnrollData2324,'2324 Jun 24 Enroll'!G$1,FALSE),'District Calculations'!$B$14)*Apport_212A2324,3)</f>
        <v>8.0239999999999991</v>
      </c>
      <c r="X125">
        <f>ROUND(IF(VLOOKUP($A125,EnrollData2324,'2324 Jun 24 Enroll'!H$1,FALSE)='District Calculations'!$B$14,VLOOKUP($A125,EnrollData2324,'2324 Jun 24 Enroll'!H$1,FALSE),'District Calculations'!$B$14)*Apport_215A2324,3)</f>
        <v>7.9279999999999999</v>
      </c>
      <c r="Y125">
        <f>ROUND(IF(VLOOKUP($A125,EnrollData2324,'2324 Jun 24 Enroll'!I$1,FALSE)+VLOOKUP($A125,EnrollData2324,'2324 Jun 24 Enroll'!M$1,FALSE)-VLOOKUP($A125,EnrollData2324,'2324 Jun 24 Enroll'!J$1,FALSE)='District Calculations'!$B$16+'District Calculations'!$B$25-'District Calculations'!$B$17,VLOOKUP($A125,EnrollData2324,'2324 Jun 24 Enroll'!I$1,FALSE)+VLOOKUP($A125,EnrollData2324,'2324 Jun 24 Enroll'!M$1,FALSE)-VLOOKUP($A125,EnrollData2324,'2324 Jun 24 Enroll'!J$1,FALSE),'District Calculations'!$B$16+'District Calculations'!$B$25-'District Calculations'!$B$17)*Apport_218A2324,3)</f>
        <v>19.917999999999999</v>
      </c>
      <c r="Z125">
        <f>ROUND(SUM(T125:Y125)/IF(VLOOKUP($A125,EnrollData2324,'2324 Jun 24 Enroll'!M$1,FALSE)+VLOOKUP($A125,EnrollData2324,'2324 Jun 24 Enroll'!D$1,FALSE)='District Calculations'!$B$25+'District Calculations'!$B$11,VLOOKUP($A125,EnrollData2324,'2324 Jun 24 Enroll'!M$1,FALSE)+VLOOKUP($A125,EnrollData2324,'2324 Jun 24 Enroll'!D$1,FALSE),'District Calculations'!$B$25+'District Calculations'!$B$11),5)</f>
        <v>1.7399999999999999E-2</v>
      </c>
      <c r="AA125" s="6">
        <f>ROUND($J125*CIS_Base_Salary2324*VLOOKUP($A125,EnrollData2324,'2324 Jun 24 Enroll'!S$1,FALSE),2)</f>
        <v>4765.53</v>
      </c>
      <c r="AB125" s="6">
        <f>ROUND($J125*CIS_Inc_Salary2324*(VLOOKUP($A125,EnrollData2324,'2324 Jun 24 Enroll'!T$1,FALSE)+VLOOKUP($A125,EnrollData2324,'2324 Jun 24 Enroll'!U$1,FALSE)),2)-AA125</f>
        <v>176.32999999999993</v>
      </c>
      <c r="AC125" s="6">
        <f>ROUND($R125*CAS_Base_Salary2324*VLOOKUP($A125,EnrollData2324,'2324 Jun 24 Enroll'!S$1,FALSE),2)</f>
        <v>522.29</v>
      </c>
      <c r="AD125" s="6">
        <f>ROUND($R125*CAS_Inc_Salary2324*VLOOKUP($A125,EnrollData2324,'2324 Jun 24 Enroll'!T$1,FALSE),2)-AC125</f>
        <v>19.32000000000005</v>
      </c>
      <c r="AE125" s="6">
        <f>ROUND($Z125*CLS_Base_Salary2324*VLOOKUP($A125,EnrollData2324,'2324 Jun 24 Enroll'!S$1,FALSE),2)</f>
        <v>1071.22</v>
      </c>
      <c r="AF125" s="6">
        <f>ROUND($Z125*CLS_Inc_Salary2324*VLOOKUP($A125,EnrollData2324,'2324 Jun 24 Enroll'!T$1,FALSE),2)-AE125</f>
        <v>39.619999999999891</v>
      </c>
      <c r="AG125">
        <f t="shared" si="35"/>
        <v>734.16</v>
      </c>
      <c r="AH125" s="69">
        <f t="shared" si="39"/>
        <v>68.700000000000045</v>
      </c>
      <c r="AI125">
        <f t="shared" si="36"/>
        <v>214.23</v>
      </c>
      <c r="AJ125">
        <f t="shared" si="40"/>
        <v>114.21000000000001</v>
      </c>
      <c r="AK125">
        <f t="shared" si="41"/>
        <v>950.22</v>
      </c>
      <c r="AL125">
        <f t="shared" si="42"/>
        <v>33.909999999999997</v>
      </c>
      <c r="AM125">
        <f t="shared" si="43"/>
        <v>236.31</v>
      </c>
      <c r="AN125">
        <f t="shared" si="44"/>
        <v>7.35</v>
      </c>
      <c r="AO125">
        <f>ROUND(($J125*CIS_Inc_Salary2324*(VLOOKUP($A125,EnrollData2324,'2324 Jun 24 Enroll'!T$1,FALSE)+VLOOKUP($A125,EnrollData2324,'2324 Jun 24 Enroll'!U$1,FALSE))/Apport_613Xpd)*Apport_614Xpd,2)</f>
        <v>82.36</v>
      </c>
      <c r="AP125">
        <f t="shared" si="45"/>
        <v>14.27</v>
      </c>
      <c r="AQ125">
        <f t="shared" si="46"/>
        <v>30.93</v>
      </c>
      <c r="AR125" s="6">
        <f>ROUND((VLOOKUP($A125,EnrollData2324,'2324 Jun 24 Enroll'!D$1,FALSE)*Apport_M802324+VLOOKUP($A125,EnrollData2324,'2324 Jun 24 Enroll'!M$1,FALSE)*Apport_M802324+(VLOOKUP($A125,EnrollData2324,'2324 Jun 24 Enroll'!P$1,FALSE)+VLOOKUP($A125,EnrollData2324,'2324 Jun 24 Enroll'!Q$1,FALSE)+VLOOKUP($A125,EnrollData2324,'2324 Jun 24 Enroll'!R$1,FALSE)+VLOOKUP($A125,EnrollData2324,'2324 Jun 24 Enroll'!I$1,FALSE)+VLOOKUP($A125,EnrollData2324,'2324 Jun 24 Enroll'!N$1,FALSE)+VLOOKUP($A125,EnrollData2324,'2324 Jun 24 Enroll'!O$1,FALSE)+VLOOKUP($A125,EnrollData2324,'2324 Jun 24 Enroll'!K$1,FALSE)+VLOOKUP($A125,EnrollData2324,'2324 Jun 24 Enroll'!L$1,FALSE))*Apport_M812324)/(VLOOKUP($A125,EnrollData2324,'2324 Jun 24 Enroll'!M$1,FALSE)+VLOOKUP($A125,EnrollData2324,'2324 Jun 24 Enroll'!D$1,FALSE)),2)</f>
        <v>1557.17</v>
      </c>
      <c r="AS125" s="7">
        <f t="shared" si="47"/>
        <v>10638.13</v>
      </c>
    </row>
    <row r="126" spans="1:45">
      <c r="A126" s="40" t="s">
        <v>833</v>
      </c>
      <c r="B126" s="40" t="s">
        <v>834</v>
      </c>
      <c r="C126" s="11">
        <f>ROUND((IFERROR((1/IF(VLOOKUP($A126,EnrollData2324,28,FALSE)='District Calculations'!$B$10,VLOOKUP($A126,EnrollData2324,28,FALSE),'District Calculations'!$B$10))*(1+Apport_Z315),0))+Apport_201A2324,6)</f>
        <v>7.3449E-2</v>
      </c>
      <c r="D126">
        <f>ROUND(IF(VLOOKUP($A126,EnrollData2324,'2324 Jun 24 Enroll'!D$1,FALSE)='District Calculations'!$B$11,VLOOKUP($A126,EnrollData2324,'2324 Jun 24 Enroll'!D$1,FALSE),'District Calculations'!$B$11)*C126,3)</f>
        <v>0</v>
      </c>
      <c r="E126">
        <f>ROUND(IF(VLOOKUP($A126,EnrollData2324,'2324 Jun 24 Enroll'!E$1,FALSE)='District Calculations'!$B$12,VLOOKUP($A126,EnrollData2324,'2324 Jun 24 Enroll'!E$1,FALSE),'District Calculations'!$B$12)*C126,3)</f>
        <v>59.53</v>
      </c>
      <c r="F126">
        <f>ROUND(IF(VLOOKUP($A126,EnrollData2324,'2324 Jun 24 Enroll'!F$1,FALSE)='District Calculations'!$B$13,VLOOKUP($A126,EnrollData2324,'2324 Jun 24 Enroll'!F$1,FALSE),'District Calculations'!$B$13)*Apport_222A2324,3)</f>
        <v>10.101000000000001</v>
      </c>
      <c r="G126">
        <f>ROUND(IF(VLOOKUP($A126,EnrollData2324,'2324 Jun 24 Enroll'!G$1,FALSE)='District Calculations'!$B$14,VLOOKUP($A126,EnrollData2324,'2324 Jun 24 Enroll'!G$1,FALSE),'District Calculations'!$B$14)*Apport_210A2324,3)</f>
        <v>22.395</v>
      </c>
      <c r="H126">
        <f>ROUND(IF(VLOOKUP($A126,EnrollData2324,'2324 Jun 24 Enroll'!H$1,FALSE)='District Calculations'!$B$15,VLOOKUP($A126,EnrollData2324,'2324 Jun 24 Enroll'!H$1,FALSE),'District Calculations'!$B$15)*Apport_213A2324,3)</f>
        <v>23.091999999999999</v>
      </c>
      <c r="I126">
        <f>ROUND(IF(VLOOKUP($A126,EnrollData2324,'2324 Jun 24 Enroll'!I$1,FALSE)+VLOOKUP($A126,EnrollData2324,'2324 Jun 24 Enroll'!M$1,FALSE)-VLOOKUP($A126,EnrollData2324,'2324 Jun 24 Enroll'!J$1,FALSE)='District Calculations'!$B$16+'District Calculations'!$B$25-'District Calculations'!$B$17,VLOOKUP($A126,EnrollData2324,'2324 Jun 24 Enroll'!I$1,FALSE)+VLOOKUP($A126,EnrollData2324,'2324 Jun 24 Enroll'!M$1,FALSE)-VLOOKUP($A126,EnrollData2324,'2324 Jun 24 Enroll'!J$1,FALSE),'District Calculations'!$B$16+'District Calculations'!$B$25-'District Calculations'!$B$17)*Apport_216A2324,3)</f>
        <v>58.183999999999997</v>
      </c>
      <c r="J126">
        <f>ROUND(SUM(D126:I126)/(IF(VLOOKUP($A126,EnrollData2324,'2324 Jun 24 Enroll'!M$1,FALSE)='District Calculations'!$B$25,VLOOKUP($A126,EnrollData2324,'2324 Jun 24 Enroll'!M$1,FALSE),'District Calculations'!$B$25)+IF(VLOOKUP($A126,EnrollData2324,'2324 Jun 24 Enroll'!D$1,FALSE)='District Calculations'!$B$11,VLOOKUP($A126,EnrollData2324,'2324 Jun 24 Enroll'!D$1,FALSE),'District Calculations'!$B$11)),5)</f>
        <v>5.5530000000000003E-2</v>
      </c>
      <c r="K126" s="11">
        <f t="shared" si="37"/>
        <v>4.365E-3</v>
      </c>
      <c r="L126">
        <f>ROUND(IF(VLOOKUP($A126,EnrollData2324,'2324 Jun 24 Enroll'!D$1,FALSE)='District Calculations'!$B$11,VLOOKUP($A126,EnrollData2324,'2324 Jun 24 Enroll'!D$1,FALSE),'District Calculations'!$B$11)*K126,3)</f>
        <v>0</v>
      </c>
      <c r="M126">
        <f>ROUND(IF(VLOOKUP($A126,EnrollData2324,'2324 Jun 24 Enroll'!E$1,FALSE)='District Calculations'!$B$12,VLOOKUP($A126,EnrollData2324,'2324 Jun 24 Enroll'!E$1,FALSE),'District Calculations'!$B$12)*K126,3)</f>
        <v>3.5379999999999998</v>
      </c>
      <c r="N126">
        <f>ROUND(IF(VLOOKUP($A126,EnrollData2324,'2324 Jun 24 Enroll'!F$1,FALSE)='District Calculations'!$B$13,VLOOKUP($A126,EnrollData2324,'2324 Jun 24 Enroll'!F$1,FALSE),'District Calculations'!$B$13)*Apport_223A2324,3)</f>
        <v>0.84199999999999997</v>
      </c>
      <c r="O126">
        <f>ROUND(IF(VLOOKUP($A126,EnrollData2324,'2324 Jun 24 Enroll'!G$1,FALSE)='District Calculations'!$B$14,VLOOKUP($A126,EnrollData2324,'2324 Jun 24 Enroll'!G$1,FALSE),'District Calculations'!$B$14)*Apport_211A2324,3)</f>
        <v>1.867</v>
      </c>
      <c r="P126">
        <f>ROUND(IF(VLOOKUP($A126,EnrollData2324,'2324 Jun 24 Enroll'!H$1,FALSE)='District Calculations'!$B$14,VLOOKUP($A126,EnrollData2324,'2324 Jun 24 Enroll'!H$1,FALSE),'District Calculations'!$B$14)*Apport_214A2324,3)</f>
        <v>1.8660000000000001</v>
      </c>
      <c r="Q126">
        <f>ROUND(IF(VLOOKUP($A126,EnrollData2324,'2324 Jun 24 Enroll'!I$1,FALSE)+VLOOKUP($A126,EnrollData2324,'2324 Jun 24 Enroll'!M$1,FALSE)-VLOOKUP($A126,EnrollData2324,'2324 Jun 24 Enroll'!J$1,FALSE)='District Calculations'!$B$16+'District Calculations'!$B$25-'District Calculations'!$B$17,VLOOKUP($A126,EnrollData2324,'2324 Jun 24 Enroll'!I$1,FALSE)+VLOOKUP($A126,EnrollData2324,'2324 Jun 24 Enroll'!M$1,FALSE)-VLOOKUP($A126,EnrollData2324,'2324 Jun 24 Enroll'!J$1,FALSE),'District Calculations'!$B$16+'District Calculations'!$B$25-'District Calculations'!$B$17)*Apport_217A2324,3)</f>
        <v>4.6980000000000004</v>
      </c>
      <c r="R126">
        <f>ROUND(SUM(L126:Q126)/IF(VLOOKUP($A126,EnrollData2324,'2324 Jun 24 Enroll'!M$1,FALSE)+VLOOKUP($A126,EnrollData2324,'2324 Jun 24 Enroll'!D$1,FALSE)='District Calculations'!$B$25+'District Calculations'!$B$11,VLOOKUP($A126,EnrollData2324,'2324 Jun 24 Enroll'!M$1,FALSE)+VLOOKUP($A126,EnrollData2324,'2324 Jun 24 Enroll'!D$1,FALSE),'District Calculations'!$B$25+'District Calculations'!$B$11),5)</f>
        <v>4.1000000000000003E-3</v>
      </c>
      <c r="S126" s="11">
        <f t="shared" si="38"/>
        <v>1.8294500000000002E-2</v>
      </c>
      <c r="T126">
        <f>ROUND(IF(VLOOKUP($A126,EnrollData2324,'2324 Jun 24 Enroll'!D$1,FALSE)='District Calculations'!$B$11,VLOOKUP($A126,EnrollData2324,'2324 Jun 24 Enroll'!D$1,FALSE),'District Calculations'!$B$11)*S126,3)</f>
        <v>0</v>
      </c>
      <c r="U126">
        <f>ROUND(IF(VLOOKUP($A126,EnrollData2324,'2324 Jun 24 Enroll'!E$1,FALSE)='District Calculations'!$B$12,VLOOKUP($A126,EnrollData2324,'2324 Jun 24 Enroll'!E$1,FALSE),'District Calculations'!$B$12)*S126,3)</f>
        <v>14.827999999999999</v>
      </c>
      <c r="V126">
        <f>ROUND(IF(VLOOKUP($A126,EnrollData2324,'2324 Jun 24 Enroll'!F$1,FALSE)='District Calculations'!$B$13,VLOOKUP($A126,EnrollData2324,'2324 Jun 24 Enroll'!F$1,FALSE),'District Calculations'!$B$13)*Apport_224A2324,3)</f>
        <v>3.6190000000000002</v>
      </c>
      <c r="W126">
        <f>ROUND(IF(VLOOKUP($A126,EnrollData2324,'2324 Jun 24 Enroll'!G$1,FALSE)='District Calculations'!$B$14,VLOOKUP($A126,EnrollData2324,'2324 Jun 24 Enroll'!G$1,FALSE),'District Calculations'!$B$14)*Apport_212A2324,3)</f>
        <v>8.0239999999999991</v>
      </c>
      <c r="X126">
        <f>ROUND(IF(VLOOKUP($A126,EnrollData2324,'2324 Jun 24 Enroll'!H$1,FALSE)='District Calculations'!$B$14,VLOOKUP($A126,EnrollData2324,'2324 Jun 24 Enroll'!H$1,FALSE),'District Calculations'!$B$14)*Apport_215A2324,3)</f>
        <v>7.9279999999999999</v>
      </c>
      <c r="Y126">
        <f>ROUND(IF(VLOOKUP($A126,EnrollData2324,'2324 Jun 24 Enroll'!I$1,FALSE)+VLOOKUP($A126,EnrollData2324,'2324 Jun 24 Enroll'!M$1,FALSE)-VLOOKUP($A126,EnrollData2324,'2324 Jun 24 Enroll'!J$1,FALSE)='District Calculations'!$B$16+'District Calculations'!$B$25-'District Calculations'!$B$17,VLOOKUP($A126,EnrollData2324,'2324 Jun 24 Enroll'!I$1,FALSE)+VLOOKUP($A126,EnrollData2324,'2324 Jun 24 Enroll'!M$1,FALSE)-VLOOKUP($A126,EnrollData2324,'2324 Jun 24 Enroll'!J$1,FALSE),'District Calculations'!$B$16+'District Calculations'!$B$25-'District Calculations'!$B$17)*Apport_218A2324,3)</f>
        <v>19.917999999999999</v>
      </c>
      <c r="Z126">
        <f>ROUND(SUM(T126:Y126)/IF(VLOOKUP($A126,EnrollData2324,'2324 Jun 24 Enroll'!M$1,FALSE)+VLOOKUP($A126,EnrollData2324,'2324 Jun 24 Enroll'!D$1,FALSE)='District Calculations'!$B$25+'District Calculations'!$B$11,VLOOKUP($A126,EnrollData2324,'2324 Jun 24 Enroll'!M$1,FALSE)+VLOOKUP($A126,EnrollData2324,'2324 Jun 24 Enroll'!D$1,FALSE),'District Calculations'!$B$25+'District Calculations'!$B$11),5)</f>
        <v>1.7399999999999999E-2</v>
      </c>
      <c r="AA126" s="6">
        <f>ROUND($J126*CIS_Base_Salary2324*VLOOKUP($A126,EnrollData2324,'2324 Jun 24 Enroll'!S$1,FALSE),2)</f>
        <v>4765.53</v>
      </c>
      <c r="AB126" s="6">
        <f>ROUND($J126*CIS_Inc_Salary2324*(VLOOKUP($A126,EnrollData2324,'2324 Jun 24 Enroll'!T$1,FALSE)+VLOOKUP($A126,EnrollData2324,'2324 Jun 24 Enroll'!U$1,FALSE)),2)-AA126</f>
        <v>176.32999999999993</v>
      </c>
      <c r="AC126" s="6">
        <f>ROUND($R126*CAS_Base_Salary2324*VLOOKUP($A126,EnrollData2324,'2324 Jun 24 Enroll'!S$1,FALSE),2)</f>
        <v>522.29</v>
      </c>
      <c r="AD126" s="6">
        <f>ROUND($R126*CAS_Inc_Salary2324*VLOOKUP($A126,EnrollData2324,'2324 Jun 24 Enroll'!T$1,FALSE),2)-AC126</f>
        <v>19.32000000000005</v>
      </c>
      <c r="AE126" s="6">
        <f>ROUND($Z126*CLS_Base_Salary2324*VLOOKUP($A126,EnrollData2324,'2324 Jun 24 Enroll'!S$1,FALSE),2)</f>
        <v>1071.22</v>
      </c>
      <c r="AF126" s="6">
        <f>ROUND($Z126*CLS_Inc_Salary2324*VLOOKUP($A126,EnrollData2324,'2324 Jun 24 Enroll'!T$1,FALSE),2)-AE126</f>
        <v>39.619999999999891</v>
      </c>
      <c r="AG126">
        <f t="shared" si="35"/>
        <v>734.16</v>
      </c>
      <c r="AH126" s="69">
        <f t="shared" si="39"/>
        <v>68.700000000000045</v>
      </c>
      <c r="AI126">
        <f t="shared" si="36"/>
        <v>214.23</v>
      </c>
      <c r="AJ126">
        <f t="shared" si="40"/>
        <v>114.21000000000001</v>
      </c>
      <c r="AK126">
        <f t="shared" si="41"/>
        <v>950.22</v>
      </c>
      <c r="AL126">
        <f t="shared" si="42"/>
        <v>33.909999999999997</v>
      </c>
      <c r="AM126">
        <f t="shared" si="43"/>
        <v>236.31</v>
      </c>
      <c r="AN126">
        <f t="shared" si="44"/>
        <v>7.35</v>
      </c>
      <c r="AO126">
        <f>ROUND(($J126*CIS_Inc_Salary2324*(VLOOKUP($A126,EnrollData2324,'2324 Jun 24 Enroll'!T$1,FALSE)+VLOOKUP($A126,EnrollData2324,'2324 Jun 24 Enroll'!U$1,FALSE))/Apport_613Xpd)*Apport_614Xpd,2)</f>
        <v>82.36</v>
      </c>
      <c r="AP126">
        <f t="shared" si="45"/>
        <v>14.27</v>
      </c>
      <c r="AQ126">
        <f t="shared" si="46"/>
        <v>30.93</v>
      </c>
      <c r="AR126" s="6">
        <f>ROUND((VLOOKUP($A126,EnrollData2324,'2324 Jun 24 Enroll'!D$1,FALSE)*Apport_M802324+VLOOKUP($A126,EnrollData2324,'2324 Jun 24 Enroll'!M$1,FALSE)*Apport_M802324+(VLOOKUP($A126,EnrollData2324,'2324 Jun 24 Enroll'!P$1,FALSE)+VLOOKUP($A126,EnrollData2324,'2324 Jun 24 Enroll'!Q$1,FALSE)+VLOOKUP($A126,EnrollData2324,'2324 Jun 24 Enroll'!R$1,FALSE)+VLOOKUP($A126,EnrollData2324,'2324 Jun 24 Enroll'!I$1,FALSE)+VLOOKUP($A126,EnrollData2324,'2324 Jun 24 Enroll'!N$1,FALSE)+VLOOKUP($A126,EnrollData2324,'2324 Jun 24 Enroll'!O$1,FALSE)+VLOOKUP($A126,EnrollData2324,'2324 Jun 24 Enroll'!K$1,FALSE)+VLOOKUP($A126,EnrollData2324,'2324 Jun 24 Enroll'!L$1,FALSE))*Apport_M812324)/(VLOOKUP($A126,EnrollData2324,'2324 Jun 24 Enroll'!M$1,FALSE)+VLOOKUP($A126,EnrollData2324,'2324 Jun 24 Enroll'!D$1,FALSE)),2)</f>
        <v>1547.92</v>
      </c>
      <c r="AS126" s="7">
        <f t="shared" si="47"/>
        <v>10628.88</v>
      </c>
    </row>
    <row r="127" spans="1:45">
      <c r="A127" s="40" t="s">
        <v>733</v>
      </c>
      <c r="B127" s="40" t="s">
        <v>734</v>
      </c>
      <c r="C127" s="11">
        <f>ROUND((IFERROR((1/IF(VLOOKUP($A127,EnrollData2324,28,FALSE)='District Calculations'!$B$10,VLOOKUP($A127,EnrollData2324,28,FALSE),'District Calculations'!$B$10))*(1+Apport_Z315),0))+Apport_201A2324,6)</f>
        <v>7.3449E-2</v>
      </c>
      <c r="D127">
        <f>ROUND(IF(VLOOKUP($A127,EnrollData2324,'2324 Jun 24 Enroll'!D$1,FALSE)='District Calculations'!$B$11,VLOOKUP($A127,EnrollData2324,'2324 Jun 24 Enroll'!D$1,FALSE),'District Calculations'!$B$11)*C127,3)</f>
        <v>0</v>
      </c>
      <c r="E127">
        <f>ROUND(IF(VLOOKUP($A127,EnrollData2324,'2324 Jun 24 Enroll'!E$1,FALSE)='District Calculations'!$B$12,VLOOKUP($A127,EnrollData2324,'2324 Jun 24 Enroll'!E$1,FALSE),'District Calculations'!$B$12)*C127,3)</f>
        <v>59.53</v>
      </c>
      <c r="F127">
        <f>ROUND(IF(VLOOKUP($A127,EnrollData2324,'2324 Jun 24 Enroll'!F$1,FALSE)='District Calculations'!$B$13,VLOOKUP($A127,EnrollData2324,'2324 Jun 24 Enroll'!F$1,FALSE),'District Calculations'!$B$13)*Apport_222A2324,3)</f>
        <v>10.101000000000001</v>
      </c>
      <c r="G127">
        <f>ROUND(IF(VLOOKUP($A127,EnrollData2324,'2324 Jun 24 Enroll'!G$1,FALSE)='District Calculations'!$B$14,VLOOKUP($A127,EnrollData2324,'2324 Jun 24 Enroll'!G$1,FALSE),'District Calculations'!$B$14)*Apport_210A2324,3)</f>
        <v>22.395</v>
      </c>
      <c r="H127">
        <f>ROUND(IF(VLOOKUP($A127,EnrollData2324,'2324 Jun 24 Enroll'!H$1,FALSE)='District Calculations'!$B$15,VLOOKUP($A127,EnrollData2324,'2324 Jun 24 Enroll'!H$1,FALSE),'District Calculations'!$B$15)*Apport_213A2324,3)</f>
        <v>23.091999999999999</v>
      </c>
      <c r="I127">
        <f>ROUND(IF(VLOOKUP($A127,EnrollData2324,'2324 Jun 24 Enroll'!I$1,FALSE)+VLOOKUP($A127,EnrollData2324,'2324 Jun 24 Enroll'!M$1,FALSE)-VLOOKUP($A127,EnrollData2324,'2324 Jun 24 Enroll'!J$1,FALSE)='District Calculations'!$B$16+'District Calculations'!$B$25-'District Calculations'!$B$17,VLOOKUP($A127,EnrollData2324,'2324 Jun 24 Enroll'!I$1,FALSE)+VLOOKUP($A127,EnrollData2324,'2324 Jun 24 Enroll'!M$1,FALSE)-VLOOKUP($A127,EnrollData2324,'2324 Jun 24 Enroll'!J$1,FALSE),'District Calculations'!$B$16+'District Calculations'!$B$25-'District Calculations'!$B$17)*Apport_216A2324,3)</f>
        <v>58.183999999999997</v>
      </c>
      <c r="J127">
        <f>ROUND(SUM(D127:I127)/(IF(VLOOKUP($A127,EnrollData2324,'2324 Jun 24 Enroll'!M$1,FALSE)='District Calculations'!$B$25,VLOOKUP($A127,EnrollData2324,'2324 Jun 24 Enroll'!M$1,FALSE),'District Calculations'!$B$25)+IF(VLOOKUP($A127,EnrollData2324,'2324 Jun 24 Enroll'!D$1,FALSE)='District Calculations'!$B$11,VLOOKUP($A127,EnrollData2324,'2324 Jun 24 Enroll'!D$1,FALSE),'District Calculations'!$B$11)),5)</f>
        <v>5.5530000000000003E-2</v>
      </c>
      <c r="K127" s="11">
        <f t="shared" si="37"/>
        <v>4.365E-3</v>
      </c>
      <c r="L127">
        <f>ROUND(IF(VLOOKUP($A127,EnrollData2324,'2324 Jun 24 Enroll'!D$1,FALSE)='District Calculations'!$B$11,VLOOKUP($A127,EnrollData2324,'2324 Jun 24 Enroll'!D$1,FALSE),'District Calculations'!$B$11)*K127,3)</f>
        <v>0</v>
      </c>
      <c r="M127">
        <f>ROUND(IF(VLOOKUP($A127,EnrollData2324,'2324 Jun 24 Enroll'!E$1,FALSE)='District Calculations'!$B$12,VLOOKUP($A127,EnrollData2324,'2324 Jun 24 Enroll'!E$1,FALSE),'District Calculations'!$B$12)*K127,3)</f>
        <v>3.5379999999999998</v>
      </c>
      <c r="N127">
        <f>ROUND(IF(VLOOKUP($A127,EnrollData2324,'2324 Jun 24 Enroll'!F$1,FALSE)='District Calculations'!$B$13,VLOOKUP($A127,EnrollData2324,'2324 Jun 24 Enroll'!F$1,FALSE),'District Calculations'!$B$13)*Apport_223A2324,3)</f>
        <v>0.84199999999999997</v>
      </c>
      <c r="O127">
        <f>ROUND(IF(VLOOKUP($A127,EnrollData2324,'2324 Jun 24 Enroll'!G$1,FALSE)='District Calculations'!$B$14,VLOOKUP($A127,EnrollData2324,'2324 Jun 24 Enroll'!G$1,FALSE),'District Calculations'!$B$14)*Apport_211A2324,3)</f>
        <v>1.867</v>
      </c>
      <c r="P127">
        <f>ROUND(IF(VLOOKUP($A127,EnrollData2324,'2324 Jun 24 Enroll'!H$1,FALSE)='District Calculations'!$B$14,VLOOKUP($A127,EnrollData2324,'2324 Jun 24 Enroll'!H$1,FALSE),'District Calculations'!$B$14)*Apport_214A2324,3)</f>
        <v>1.8660000000000001</v>
      </c>
      <c r="Q127">
        <f>ROUND(IF(VLOOKUP($A127,EnrollData2324,'2324 Jun 24 Enroll'!I$1,FALSE)+VLOOKUP($A127,EnrollData2324,'2324 Jun 24 Enroll'!M$1,FALSE)-VLOOKUP($A127,EnrollData2324,'2324 Jun 24 Enroll'!J$1,FALSE)='District Calculations'!$B$16+'District Calculations'!$B$25-'District Calculations'!$B$17,VLOOKUP($A127,EnrollData2324,'2324 Jun 24 Enroll'!I$1,FALSE)+VLOOKUP($A127,EnrollData2324,'2324 Jun 24 Enroll'!M$1,FALSE)-VLOOKUP($A127,EnrollData2324,'2324 Jun 24 Enroll'!J$1,FALSE),'District Calculations'!$B$16+'District Calculations'!$B$25-'District Calculations'!$B$17)*Apport_217A2324,3)</f>
        <v>4.6980000000000004</v>
      </c>
      <c r="R127">
        <f>ROUND(SUM(L127:Q127)/IF(VLOOKUP($A127,EnrollData2324,'2324 Jun 24 Enroll'!M$1,FALSE)+VLOOKUP($A127,EnrollData2324,'2324 Jun 24 Enroll'!D$1,FALSE)='District Calculations'!$B$25+'District Calculations'!$B$11,VLOOKUP($A127,EnrollData2324,'2324 Jun 24 Enroll'!M$1,FALSE)+VLOOKUP($A127,EnrollData2324,'2324 Jun 24 Enroll'!D$1,FALSE),'District Calculations'!$B$25+'District Calculations'!$B$11),5)</f>
        <v>4.1000000000000003E-3</v>
      </c>
      <c r="S127" s="11">
        <f t="shared" si="38"/>
        <v>1.8294500000000002E-2</v>
      </c>
      <c r="T127">
        <f>ROUND(IF(VLOOKUP($A127,EnrollData2324,'2324 Jun 24 Enroll'!D$1,FALSE)='District Calculations'!$B$11,VLOOKUP($A127,EnrollData2324,'2324 Jun 24 Enroll'!D$1,FALSE),'District Calculations'!$B$11)*S127,3)</f>
        <v>0</v>
      </c>
      <c r="U127">
        <f>ROUND(IF(VLOOKUP($A127,EnrollData2324,'2324 Jun 24 Enroll'!E$1,FALSE)='District Calculations'!$B$12,VLOOKUP($A127,EnrollData2324,'2324 Jun 24 Enroll'!E$1,FALSE),'District Calculations'!$B$12)*S127,3)</f>
        <v>14.827999999999999</v>
      </c>
      <c r="V127">
        <f>ROUND(IF(VLOOKUP($A127,EnrollData2324,'2324 Jun 24 Enroll'!F$1,FALSE)='District Calculations'!$B$13,VLOOKUP($A127,EnrollData2324,'2324 Jun 24 Enroll'!F$1,FALSE),'District Calculations'!$B$13)*Apport_224A2324,3)</f>
        <v>3.6190000000000002</v>
      </c>
      <c r="W127">
        <f>ROUND(IF(VLOOKUP($A127,EnrollData2324,'2324 Jun 24 Enroll'!G$1,FALSE)='District Calculations'!$B$14,VLOOKUP($A127,EnrollData2324,'2324 Jun 24 Enroll'!G$1,FALSE),'District Calculations'!$B$14)*Apport_212A2324,3)</f>
        <v>8.0239999999999991</v>
      </c>
      <c r="X127">
        <f>ROUND(IF(VLOOKUP($A127,EnrollData2324,'2324 Jun 24 Enroll'!H$1,FALSE)='District Calculations'!$B$14,VLOOKUP($A127,EnrollData2324,'2324 Jun 24 Enroll'!H$1,FALSE),'District Calculations'!$B$14)*Apport_215A2324,3)</f>
        <v>7.9279999999999999</v>
      </c>
      <c r="Y127">
        <f>ROUND(IF(VLOOKUP($A127,EnrollData2324,'2324 Jun 24 Enroll'!I$1,FALSE)+VLOOKUP($A127,EnrollData2324,'2324 Jun 24 Enroll'!M$1,FALSE)-VLOOKUP($A127,EnrollData2324,'2324 Jun 24 Enroll'!J$1,FALSE)='District Calculations'!$B$16+'District Calculations'!$B$25-'District Calculations'!$B$17,VLOOKUP($A127,EnrollData2324,'2324 Jun 24 Enroll'!I$1,FALSE)+VLOOKUP($A127,EnrollData2324,'2324 Jun 24 Enroll'!M$1,FALSE)-VLOOKUP($A127,EnrollData2324,'2324 Jun 24 Enroll'!J$1,FALSE),'District Calculations'!$B$16+'District Calculations'!$B$25-'District Calculations'!$B$17)*Apport_218A2324,3)</f>
        <v>19.917999999999999</v>
      </c>
      <c r="Z127">
        <f>ROUND(SUM(T127:Y127)/IF(VLOOKUP($A127,EnrollData2324,'2324 Jun 24 Enroll'!M$1,FALSE)+VLOOKUP($A127,EnrollData2324,'2324 Jun 24 Enroll'!D$1,FALSE)='District Calculations'!$B$25+'District Calculations'!$B$11,VLOOKUP($A127,EnrollData2324,'2324 Jun 24 Enroll'!M$1,FALSE)+VLOOKUP($A127,EnrollData2324,'2324 Jun 24 Enroll'!D$1,FALSE),'District Calculations'!$B$25+'District Calculations'!$B$11),5)</f>
        <v>1.7399999999999999E-2</v>
      </c>
      <c r="AA127" s="6">
        <f>ROUND($J127*CIS_Base_Salary2324*VLOOKUP($A127,EnrollData2324,'2324 Jun 24 Enroll'!S$1,FALSE),2)</f>
        <v>4765.53</v>
      </c>
      <c r="AB127" s="6">
        <f>ROUND($J127*CIS_Inc_Salary2324*(VLOOKUP($A127,EnrollData2324,'2324 Jun 24 Enroll'!T$1,FALSE)+VLOOKUP($A127,EnrollData2324,'2324 Jun 24 Enroll'!U$1,FALSE)),2)-AA127</f>
        <v>176.32999999999993</v>
      </c>
      <c r="AC127" s="6">
        <f>ROUND($R127*CAS_Base_Salary2324*VLOOKUP($A127,EnrollData2324,'2324 Jun 24 Enroll'!S$1,FALSE),2)</f>
        <v>522.29</v>
      </c>
      <c r="AD127" s="6">
        <f>ROUND($R127*CAS_Inc_Salary2324*VLOOKUP($A127,EnrollData2324,'2324 Jun 24 Enroll'!T$1,FALSE),2)-AC127</f>
        <v>19.32000000000005</v>
      </c>
      <c r="AE127" s="6">
        <f>ROUND($Z127*CLS_Base_Salary2324*VLOOKUP($A127,EnrollData2324,'2324 Jun 24 Enroll'!S$1,FALSE),2)</f>
        <v>1071.22</v>
      </c>
      <c r="AF127" s="6">
        <f>ROUND($Z127*CLS_Inc_Salary2324*VLOOKUP($A127,EnrollData2324,'2324 Jun 24 Enroll'!T$1,FALSE),2)-AE127</f>
        <v>39.619999999999891</v>
      </c>
      <c r="AG127">
        <f t="shared" si="35"/>
        <v>734.16</v>
      </c>
      <c r="AH127" s="69">
        <f t="shared" si="39"/>
        <v>68.700000000000045</v>
      </c>
      <c r="AI127">
        <f t="shared" si="36"/>
        <v>214.23</v>
      </c>
      <c r="AJ127">
        <f t="shared" si="40"/>
        <v>114.21000000000001</v>
      </c>
      <c r="AK127">
        <f t="shared" si="41"/>
        <v>950.22</v>
      </c>
      <c r="AL127">
        <f t="shared" si="42"/>
        <v>33.909999999999997</v>
      </c>
      <c r="AM127">
        <f t="shared" si="43"/>
        <v>236.31</v>
      </c>
      <c r="AN127">
        <f t="shared" si="44"/>
        <v>7.35</v>
      </c>
      <c r="AO127">
        <f>ROUND(($J127*CIS_Inc_Salary2324*(VLOOKUP($A127,EnrollData2324,'2324 Jun 24 Enroll'!T$1,FALSE)+VLOOKUP($A127,EnrollData2324,'2324 Jun 24 Enroll'!U$1,FALSE))/Apport_613Xpd)*Apport_614Xpd,2)</f>
        <v>82.36</v>
      </c>
      <c r="AP127">
        <f t="shared" si="45"/>
        <v>14.27</v>
      </c>
      <c r="AQ127">
        <f t="shared" si="46"/>
        <v>30.93</v>
      </c>
      <c r="AR127" s="6">
        <f>ROUND((VLOOKUP($A127,EnrollData2324,'2324 Jun 24 Enroll'!D$1,FALSE)*Apport_M802324+VLOOKUP($A127,EnrollData2324,'2324 Jun 24 Enroll'!M$1,FALSE)*Apport_M802324+(VLOOKUP($A127,EnrollData2324,'2324 Jun 24 Enroll'!P$1,FALSE)+VLOOKUP($A127,EnrollData2324,'2324 Jun 24 Enroll'!Q$1,FALSE)+VLOOKUP($A127,EnrollData2324,'2324 Jun 24 Enroll'!R$1,FALSE)+VLOOKUP($A127,EnrollData2324,'2324 Jun 24 Enroll'!I$1,FALSE)+VLOOKUP($A127,EnrollData2324,'2324 Jun 24 Enroll'!N$1,FALSE)+VLOOKUP($A127,EnrollData2324,'2324 Jun 24 Enroll'!O$1,FALSE)+VLOOKUP($A127,EnrollData2324,'2324 Jun 24 Enroll'!K$1,FALSE)+VLOOKUP($A127,EnrollData2324,'2324 Jun 24 Enroll'!L$1,FALSE))*Apport_M812324)/(VLOOKUP($A127,EnrollData2324,'2324 Jun 24 Enroll'!M$1,FALSE)+VLOOKUP($A127,EnrollData2324,'2324 Jun 24 Enroll'!D$1,FALSE)),2)</f>
        <v>1553.89</v>
      </c>
      <c r="AS127" s="7">
        <f t="shared" si="47"/>
        <v>10634.849999999999</v>
      </c>
    </row>
    <row r="128" spans="1:45">
      <c r="A128" s="40" t="s">
        <v>327</v>
      </c>
      <c r="B128" s="40" t="s">
        <v>328</v>
      </c>
      <c r="C128" s="11">
        <f>ROUND((IFERROR((1/IF(VLOOKUP($A128,EnrollData2324,28,FALSE)='District Calculations'!$B$10,VLOOKUP($A128,EnrollData2324,28,FALSE),'District Calculations'!$B$10))*(1+Apport_Z315),0))+Apport_201A2324,6)</f>
        <v>7.3449E-2</v>
      </c>
      <c r="D128">
        <f>ROUND(IF(VLOOKUP($A128,EnrollData2324,'2324 Jun 24 Enroll'!D$1,FALSE)='District Calculations'!$B$11,VLOOKUP($A128,EnrollData2324,'2324 Jun 24 Enroll'!D$1,FALSE),'District Calculations'!$B$11)*C128,3)</f>
        <v>0</v>
      </c>
      <c r="E128">
        <f>ROUND(IF(VLOOKUP($A128,EnrollData2324,'2324 Jun 24 Enroll'!E$1,FALSE)='District Calculations'!$B$12,VLOOKUP($A128,EnrollData2324,'2324 Jun 24 Enroll'!E$1,FALSE),'District Calculations'!$B$12)*C128,3)</f>
        <v>59.53</v>
      </c>
      <c r="F128">
        <f>ROUND(IF(VLOOKUP($A128,EnrollData2324,'2324 Jun 24 Enroll'!F$1,FALSE)='District Calculations'!$B$13,VLOOKUP($A128,EnrollData2324,'2324 Jun 24 Enroll'!F$1,FALSE),'District Calculations'!$B$13)*Apport_222A2324,3)</f>
        <v>10.101000000000001</v>
      </c>
      <c r="G128">
        <f>ROUND(IF(VLOOKUP($A128,EnrollData2324,'2324 Jun 24 Enroll'!G$1,FALSE)='District Calculations'!$B$14,VLOOKUP($A128,EnrollData2324,'2324 Jun 24 Enroll'!G$1,FALSE),'District Calculations'!$B$14)*Apport_210A2324,3)</f>
        <v>22.395</v>
      </c>
      <c r="H128">
        <f>ROUND(IF(VLOOKUP($A128,EnrollData2324,'2324 Jun 24 Enroll'!H$1,FALSE)='District Calculations'!$B$15,VLOOKUP($A128,EnrollData2324,'2324 Jun 24 Enroll'!H$1,FALSE),'District Calculations'!$B$15)*Apport_213A2324,3)</f>
        <v>23.091999999999999</v>
      </c>
      <c r="I128">
        <f>ROUND(IF(VLOOKUP($A128,EnrollData2324,'2324 Jun 24 Enroll'!I$1,FALSE)+VLOOKUP($A128,EnrollData2324,'2324 Jun 24 Enroll'!M$1,FALSE)-VLOOKUP($A128,EnrollData2324,'2324 Jun 24 Enroll'!J$1,FALSE)='District Calculations'!$B$16+'District Calculations'!$B$25-'District Calculations'!$B$17,VLOOKUP($A128,EnrollData2324,'2324 Jun 24 Enroll'!I$1,FALSE)+VLOOKUP($A128,EnrollData2324,'2324 Jun 24 Enroll'!M$1,FALSE)-VLOOKUP($A128,EnrollData2324,'2324 Jun 24 Enroll'!J$1,FALSE),'District Calculations'!$B$16+'District Calculations'!$B$25-'District Calculations'!$B$17)*Apport_216A2324,3)</f>
        <v>58.183999999999997</v>
      </c>
      <c r="J128">
        <f>ROUND(SUM(D128:I128)/(IF(VLOOKUP($A128,EnrollData2324,'2324 Jun 24 Enroll'!M$1,FALSE)='District Calculations'!$B$25,VLOOKUP($A128,EnrollData2324,'2324 Jun 24 Enroll'!M$1,FALSE),'District Calculations'!$B$25)+IF(VLOOKUP($A128,EnrollData2324,'2324 Jun 24 Enroll'!D$1,FALSE)='District Calculations'!$B$11,VLOOKUP($A128,EnrollData2324,'2324 Jun 24 Enroll'!D$1,FALSE),'District Calculations'!$B$11)),5)</f>
        <v>5.5530000000000003E-2</v>
      </c>
      <c r="K128" s="11">
        <f t="shared" si="37"/>
        <v>4.365E-3</v>
      </c>
      <c r="L128">
        <f>ROUND(IF(VLOOKUP($A128,EnrollData2324,'2324 Jun 24 Enroll'!D$1,FALSE)='District Calculations'!$B$11,VLOOKUP($A128,EnrollData2324,'2324 Jun 24 Enroll'!D$1,FALSE),'District Calculations'!$B$11)*K128,3)</f>
        <v>0</v>
      </c>
      <c r="M128">
        <f>ROUND(IF(VLOOKUP($A128,EnrollData2324,'2324 Jun 24 Enroll'!E$1,FALSE)='District Calculations'!$B$12,VLOOKUP($A128,EnrollData2324,'2324 Jun 24 Enroll'!E$1,FALSE),'District Calculations'!$B$12)*K128,3)</f>
        <v>3.5379999999999998</v>
      </c>
      <c r="N128">
        <f>ROUND(IF(VLOOKUP($A128,EnrollData2324,'2324 Jun 24 Enroll'!F$1,FALSE)='District Calculations'!$B$13,VLOOKUP($A128,EnrollData2324,'2324 Jun 24 Enroll'!F$1,FALSE),'District Calculations'!$B$13)*Apport_223A2324,3)</f>
        <v>0.84199999999999997</v>
      </c>
      <c r="O128">
        <f>ROUND(IF(VLOOKUP($A128,EnrollData2324,'2324 Jun 24 Enroll'!G$1,FALSE)='District Calculations'!$B$14,VLOOKUP($A128,EnrollData2324,'2324 Jun 24 Enroll'!G$1,FALSE),'District Calculations'!$B$14)*Apport_211A2324,3)</f>
        <v>1.867</v>
      </c>
      <c r="P128">
        <f>ROUND(IF(VLOOKUP($A128,EnrollData2324,'2324 Jun 24 Enroll'!H$1,FALSE)='District Calculations'!$B$14,VLOOKUP($A128,EnrollData2324,'2324 Jun 24 Enroll'!H$1,FALSE),'District Calculations'!$B$14)*Apport_214A2324,3)</f>
        <v>1.8660000000000001</v>
      </c>
      <c r="Q128">
        <f>ROUND(IF(VLOOKUP($A128,EnrollData2324,'2324 Jun 24 Enroll'!I$1,FALSE)+VLOOKUP($A128,EnrollData2324,'2324 Jun 24 Enroll'!M$1,FALSE)-VLOOKUP($A128,EnrollData2324,'2324 Jun 24 Enroll'!J$1,FALSE)='District Calculations'!$B$16+'District Calculations'!$B$25-'District Calculations'!$B$17,VLOOKUP($A128,EnrollData2324,'2324 Jun 24 Enroll'!I$1,FALSE)+VLOOKUP($A128,EnrollData2324,'2324 Jun 24 Enroll'!M$1,FALSE)-VLOOKUP($A128,EnrollData2324,'2324 Jun 24 Enroll'!J$1,FALSE),'District Calculations'!$B$16+'District Calculations'!$B$25-'District Calculations'!$B$17)*Apport_217A2324,3)</f>
        <v>4.6980000000000004</v>
      </c>
      <c r="R128">
        <f>ROUND(SUM(L128:Q128)/IF(VLOOKUP($A128,EnrollData2324,'2324 Jun 24 Enroll'!M$1,FALSE)+VLOOKUP($A128,EnrollData2324,'2324 Jun 24 Enroll'!D$1,FALSE)='District Calculations'!$B$25+'District Calculations'!$B$11,VLOOKUP($A128,EnrollData2324,'2324 Jun 24 Enroll'!M$1,FALSE)+VLOOKUP($A128,EnrollData2324,'2324 Jun 24 Enroll'!D$1,FALSE),'District Calculations'!$B$25+'District Calculations'!$B$11),5)</f>
        <v>4.1000000000000003E-3</v>
      </c>
      <c r="S128" s="11">
        <f t="shared" si="38"/>
        <v>1.8294500000000002E-2</v>
      </c>
      <c r="T128">
        <f>ROUND(IF(VLOOKUP($A128,EnrollData2324,'2324 Jun 24 Enroll'!D$1,FALSE)='District Calculations'!$B$11,VLOOKUP($A128,EnrollData2324,'2324 Jun 24 Enroll'!D$1,FALSE),'District Calculations'!$B$11)*S128,3)</f>
        <v>0</v>
      </c>
      <c r="U128">
        <f>ROUND(IF(VLOOKUP($A128,EnrollData2324,'2324 Jun 24 Enroll'!E$1,FALSE)='District Calculations'!$B$12,VLOOKUP($A128,EnrollData2324,'2324 Jun 24 Enroll'!E$1,FALSE),'District Calculations'!$B$12)*S128,3)</f>
        <v>14.827999999999999</v>
      </c>
      <c r="V128">
        <f>ROUND(IF(VLOOKUP($A128,EnrollData2324,'2324 Jun 24 Enroll'!F$1,FALSE)='District Calculations'!$B$13,VLOOKUP($A128,EnrollData2324,'2324 Jun 24 Enroll'!F$1,FALSE),'District Calculations'!$B$13)*Apport_224A2324,3)</f>
        <v>3.6190000000000002</v>
      </c>
      <c r="W128">
        <f>ROUND(IF(VLOOKUP($A128,EnrollData2324,'2324 Jun 24 Enroll'!G$1,FALSE)='District Calculations'!$B$14,VLOOKUP($A128,EnrollData2324,'2324 Jun 24 Enroll'!G$1,FALSE),'District Calculations'!$B$14)*Apport_212A2324,3)</f>
        <v>8.0239999999999991</v>
      </c>
      <c r="X128">
        <f>ROUND(IF(VLOOKUP($A128,EnrollData2324,'2324 Jun 24 Enroll'!H$1,FALSE)='District Calculations'!$B$14,VLOOKUP($A128,EnrollData2324,'2324 Jun 24 Enroll'!H$1,FALSE),'District Calculations'!$B$14)*Apport_215A2324,3)</f>
        <v>7.9279999999999999</v>
      </c>
      <c r="Y128">
        <f>ROUND(IF(VLOOKUP($A128,EnrollData2324,'2324 Jun 24 Enroll'!I$1,FALSE)+VLOOKUP($A128,EnrollData2324,'2324 Jun 24 Enroll'!M$1,FALSE)-VLOOKUP($A128,EnrollData2324,'2324 Jun 24 Enroll'!J$1,FALSE)='District Calculations'!$B$16+'District Calculations'!$B$25-'District Calculations'!$B$17,VLOOKUP($A128,EnrollData2324,'2324 Jun 24 Enroll'!I$1,FALSE)+VLOOKUP($A128,EnrollData2324,'2324 Jun 24 Enroll'!M$1,FALSE)-VLOOKUP($A128,EnrollData2324,'2324 Jun 24 Enroll'!J$1,FALSE),'District Calculations'!$B$16+'District Calculations'!$B$25-'District Calculations'!$B$17)*Apport_218A2324,3)</f>
        <v>19.917999999999999</v>
      </c>
      <c r="Z128">
        <f>ROUND(SUM(T128:Y128)/IF(VLOOKUP($A128,EnrollData2324,'2324 Jun 24 Enroll'!M$1,FALSE)+VLOOKUP($A128,EnrollData2324,'2324 Jun 24 Enroll'!D$1,FALSE)='District Calculations'!$B$25+'District Calculations'!$B$11,VLOOKUP($A128,EnrollData2324,'2324 Jun 24 Enroll'!M$1,FALSE)+VLOOKUP($A128,EnrollData2324,'2324 Jun 24 Enroll'!D$1,FALSE),'District Calculations'!$B$25+'District Calculations'!$B$11),5)</f>
        <v>1.7399999999999999E-2</v>
      </c>
      <c r="AA128" s="6">
        <f>ROUND($J128*CIS_Base_Salary2324*VLOOKUP($A128,EnrollData2324,'2324 Jun 24 Enroll'!S$1,FALSE),2)</f>
        <v>4583.79</v>
      </c>
      <c r="AB128" s="6">
        <f>ROUND($J128*CIS_Inc_Salary2324*(VLOOKUP($A128,EnrollData2324,'2324 Jun 24 Enroll'!T$1,FALSE)+VLOOKUP($A128,EnrollData2324,'2324 Jun 24 Enroll'!U$1,FALSE)),2)-AA128</f>
        <v>169.60999999999967</v>
      </c>
      <c r="AC128" s="6">
        <f>ROUND($R128*CAS_Base_Salary2324*VLOOKUP($A128,EnrollData2324,'2324 Jun 24 Enroll'!S$1,FALSE),2)</f>
        <v>502.37</v>
      </c>
      <c r="AD128" s="6">
        <f>ROUND($R128*CAS_Inc_Salary2324*VLOOKUP($A128,EnrollData2324,'2324 Jun 24 Enroll'!T$1,FALSE),2)-AC128</f>
        <v>18.590000000000032</v>
      </c>
      <c r="AE128" s="6">
        <f>ROUND($Z128*CLS_Base_Salary2324*VLOOKUP($A128,EnrollData2324,'2324 Jun 24 Enroll'!S$1,FALSE),2)</f>
        <v>1030.3599999999999</v>
      </c>
      <c r="AF128" s="6">
        <f>ROUND($Z128*CLS_Inc_Salary2324*VLOOKUP($A128,EnrollData2324,'2324 Jun 24 Enroll'!T$1,FALSE),2)-AE128</f>
        <v>38.120000000000118</v>
      </c>
      <c r="AG128">
        <f t="shared" si="35"/>
        <v>734.16</v>
      </c>
      <c r="AH128" s="69">
        <f t="shared" si="39"/>
        <v>68.700000000000045</v>
      </c>
      <c r="AI128">
        <f t="shared" si="36"/>
        <v>214.23</v>
      </c>
      <c r="AJ128">
        <f t="shared" si="40"/>
        <v>114.21000000000001</v>
      </c>
      <c r="AK128">
        <f t="shared" si="41"/>
        <v>913.98</v>
      </c>
      <c r="AL128">
        <f t="shared" si="42"/>
        <v>32.619999999999997</v>
      </c>
      <c r="AM128">
        <f t="shared" si="43"/>
        <v>227.3</v>
      </c>
      <c r="AN128">
        <f t="shared" si="44"/>
        <v>7.08</v>
      </c>
      <c r="AO128">
        <f>ROUND(($J128*CIS_Inc_Salary2324*(VLOOKUP($A128,EnrollData2324,'2324 Jun 24 Enroll'!T$1,FALSE)+VLOOKUP($A128,EnrollData2324,'2324 Jun 24 Enroll'!U$1,FALSE))/Apport_613Xpd)*Apport_614Xpd,2)</f>
        <v>79.22</v>
      </c>
      <c r="AP128">
        <f t="shared" si="45"/>
        <v>13.73</v>
      </c>
      <c r="AQ128">
        <f t="shared" si="46"/>
        <v>30.93</v>
      </c>
      <c r="AR128" s="6">
        <f>ROUND((VLOOKUP($A128,EnrollData2324,'2324 Jun 24 Enroll'!D$1,FALSE)*Apport_M802324+VLOOKUP($A128,EnrollData2324,'2324 Jun 24 Enroll'!M$1,FALSE)*Apport_M802324+(VLOOKUP($A128,EnrollData2324,'2324 Jun 24 Enroll'!P$1,FALSE)+VLOOKUP($A128,EnrollData2324,'2324 Jun 24 Enroll'!Q$1,FALSE)+VLOOKUP($A128,EnrollData2324,'2324 Jun 24 Enroll'!R$1,FALSE)+VLOOKUP($A128,EnrollData2324,'2324 Jun 24 Enroll'!I$1,FALSE)+VLOOKUP($A128,EnrollData2324,'2324 Jun 24 Enroll'!N$1,FALSE)+VLOOKUP($A128,EnrollData2324,'2324 Jun 24 Enroll'!O$1,FALSE)+VLOOKUP($A128,EnrollData2324,'2324 Jun 24 Enroll'!K$1,FALSE)+VLOOKUP($A128,EnrollData2324,'2324 Jun 24 Enroll'!L$1,FALSE))*Apport_M812324)/(VLOOKUP($A128,EnrollData2324,'2324 Jun 24 Enroll'!M$1,FALSE)+VLOOKUP($A128,EnrollData2324,'2324 Jun 24 Enroll'!D$1,FALSE)),2)</f>
        <v>1550.8</v>
      </c>
      <c r="AS128" s="7">
        <f t="shared" si="47"/>
        <v>10329.799999999997</v>
      </c>
    </row>
    <row r="129" spans="1:45">
      <c r="A129" s="40" t="s">
        <v>813</v>
      </c>
      <c r="B129" s="40" t="s">
        <v>814</v>
      </c>
      <c r="C129" s="11">
        <f>ROUND((IFERROR((1/IF(VLOOKUP($A129,EnrollData2324,28,FALSE)='District Calculations'!$B$10,VLOOKUP($A129,EnrollData2324,28,FALSE),'District Calculations'!$B$10))*(1+Apport_Z315),0))+Apport_201A2324,6)</f>
        <v>7.3449E-2</v>
      </c>
      <c r="D129">
        <f>ROUND(IF(VLOOKUP($A129,EnrollData2324,'2324 Jun 24 Enroll'!D$1,FALSE)='District Calculations'!$B$11,VLOOKUP($A129,EnrollData2324,'2324 Jun 24 Enroll'!D$1,FALSE),'District Calculations'!$B$11)*C129,3)</f>
        <v>0</v>
      </c>
      <c r="E129">
        <f>ROUND(IF(VLOOKUP($A129,EnrollData2324,'2324 Jun 24 Enroll'!E$1,FALSE)='District Calculations'!$B$12,VLOOKUP($A129,EnrollData2324,'2324 Jun 24 Enroll'!E$1,FALSE),'District Calculations'!$B$12)*C129,3)</f>
        <v>59.53</v>
      </c>
      <c r="F129">
        <f>ROUND(IF(VLOOKUP($A129,EnrollData2324,'2324 Jun 24 Enroll'!F$1,FALSE)='District Calculations'!$B$13,VLOOKUP($A129,EnrollData2324,'2324 Jun 24 Enroll'!F$1,FALSE),'District Calculations'!$B$13)*Apport_222A2324,3)</f>
        <v>10.101000000000001</v>
      </c>
      <c r="G129">
        <f>ROUND(IF(VLOOKUP($A129,EnrollData2324,'2324 Jun 24 Enroll'!G$1,FALSE)='District Calculations'!$B$14,VLOOKUP($A129,EnrollData2324,'2324 Jun 24 Enroll'!G$1,FALSE),'District Calculations'!$B$14)*Apport_210A2324,3)</f>
        <v>22.395</v>
      </c>
      <c r="H129">
        <f>ROUND(IF(VLOOKUP($A129,EnrollData2324,'2324 Jun 24 Enroll'!H$1,FALSE)='District Calculations'!$B$15,VLOOKUP($A129,EnrollData2324,'2324 Jun 24 Enroll'!H$1,FALSE),'District Calculations'!$B$15)*Apport_213A2324,3)</f>
        <v>23.091999999999999</v>
      </c>
      <c r="I129">
        <f>ROUND(IF(VLOOKUP($A129,EnrollData2324,'2324 Jun 24 Enroll'!I$1,FALSE)+VLOOKUP($A129,EnrollData2324,'2324 Jun 24 Enroll'!M$1,FALSE)-VLOOKUP($A129,EnrollData2324,'2324 Jun 24 Enroll'!J$1,FALSE)='District Calculations'!$B$16+'District Calculations'!$B$25-'District Calculations'!$B$17,VLOOKUP($A129,EnrollData2324,'2324 Jun 24 Enroll'!I$1,FALSE)+VLOOKUP($A129,EnrollData2324,'2324 Jun 24 Enroll'!M$1,FALSE)-VLOOKUP($A129,EnrollData2324,'2324 Jun 24 Enroll'!J$1,FALSE),'District Calculations'!$B$16+'District Calculations'!$B$25-'District Calculations'!$B$17)*Apport_216A2324,3)</f>
        <v>58.183999999999997</v>
      </c>
      <c r="J129">
        <f>ROUND(SUM(D129:I129)/(IF(VLOOKUP($A129,EnrollData2324,'2324 Jun 24 Enroll'!M$1,FALSE)='District Calculations'!$B$25,VLOOKUP($A129,EnrollData2324,'2324 Jun 24 Enroll'!M$1,FALSE),'District Calculations'!$B$25)+IF(VLOOKUP($A129,EnrollData2324,'2324 Jun 24 Enroll'!D$1,FALSE)='District Calculations'!$B$11,VLOOKUP($A129,EnrollData2324,'2324 Jun 24 Enroll'!D$1,FALSE),'District Calculations'!$B$11)),5)</f>
        <v>5.5530000000000003E-2</v>
      </c>
      <c r="K129" s="11">
        <f t="shared" si="37"/>
        <v>4.365E-3</v>
      </c>
      <c r="L129">
        <f>ROUND(IF(VLOOKUP($A129,EnrollData2324,'2324 Jun 24 Enroll'!D$1,FALSE)='District Calculations'!$B$11,VLOOKUP($A129,EnrollData2324,'2324 Jun 24 Enroll'!D$1,FALSE),'District Calculations'!$B$11)*K129,3)</f>
        <v>0</v>
      </c>
      <c r="M129">
        <f>ROUND(IF(VLOOKUP($A129,EnrollData2324,'2324 Jun 24 Enroll'!E$1,FALSE)='District Calculations'!$B$12,VLOOKUP($A129,EnrollData2324,'2324 Jun 24 Enroll'!E$1,FALSE),'District Calculations'!$B$12)*K129,3)</f>
        <v>3.5379999999999998</v>
      </c>
      <c r="N129">
        <f>ROUND(IF(VLOOKUP($A129,EnrollData2324,'2324 Jun 24 Enroll'!F$1,FALSE)='District Calculations'!$B$13,VLOOKUP($A129,EnrollData2324,'2324 Jun 24 Enroll'!F$1,FALSE),'District Calculations'!$B$13)*Apport_223A2324,3)</f>
        <v>0.84199999999999997</v>
      </c>
      <c r="O129">
        <f>ROUND(IF(VLOOKUP($A129,EnrollData2324,'2324 Jun 24 Enroll'!G$1,FALSE)='District Calculations'!$B$14,VLOOKUP($A129,EnrollData2324,'2324 Jun 24 Enroll'!G$1,FALSE),'District Calculations'!$B$14)*Apport_211A2324,3)</f>
        <v>1.867</v>
      </c>
      <c r="P129">
        <f>ROUND(IF(VLOOKUP($A129,EnrollData2324,'2324 Jun 24 Enroll'!H$1,FALSE)='District Calculations'!$B$14,VLOOKUP($A129,EnrollData2324,'2324 Jun 24 Enroll'!H$1,FALSE),'District Calculations'!$B$14)*Apport_214A2324,3)</f>
        <v>1.8660000000000001</v>
      </c>
      <c r="Q129">
        <f>ROUND(IF(VLOOKUP($A129,EnrollData2324,'2324 Jun 24 Enroll'!I$1,FALSE)+VLOOKUP($A129,EnrollData2324,'2324 Jun 24 Enroll'!M$1,FALSE)-VLOOKUP($A129,EnrollData2324,'2324 Jun 24 Enroll'!J$1,FALSE)='District Calculations'!$B$16+'District Calculations'!$B$25-'District Calculations'!$B$17,VLOOKUP($A129,EnrollData2324,'2324 Jun 24 Enroll'!I$1,FALSE)+VLOOKUP($A129,EnrollData2324,'2324 Jun 24 Enroll'!M$1,FALSE)-VLOOKUP($A129,EnrollData2324,'2324 Jun 24 Enroll'!J$1,FALSE),'District Calculations'!$B$16+'District Calculations'!$B$25-'District Calculations'!$B$17)*Apport_217A2324,3)</f>
        <v>4.6980000000000004</v>
      </c>
      <c r="R129">
        <f>ROUND(SUM(L129:Q129)/IF(VLOOKUP($A129,EnrollData2324,'2324 Jun 24 Enroll'!M$1,FALSE)+VLOOKUP($A129,EnrollData2324,'2324 Jun 24 Enroll'!D$1,FALSE)='District Calculations'!$B$25+'District Calculations'!$B$11,VLOOKUP($A129,EnrollData2324,'2324 Jun 24 Enroll'!M$1,FALSE)+VLOOKUP($A129,EnrollData2324,'2324 Jun 24 Enroll'!D$1,FALSE),'District Calculations'!$B$25+'District Calculations'!$B$11),5)</f>
        <v>4.1000000000000003E-3</v>
      </c>
      <c r="S129" s="11">
        <f t="shared" si="38"/>
        <v>1.8294500000000002E-2</v>
      </c>
      <c r="T129">
        <f>ROUND(IF(VLOOKUP($A129,EnrollData2324,'2324 Jun 24 Enroll'!D$1,FALSE)='District Calculations'!$B$11,VLOOKUP($A129,EnrollData2324,'2324 Jun 24 Enroll'!D$1,FALSE),'District Calculations'!$B$11)*S129,3)</f>
        <v>0</v>
      </c>
      <c r="U129">
        <f>ROUND(IF(VLOOKUP($A129,EnrollData2324,'2324 Jun 24 Enroll'!E$1,FALSE)='District Calculations'!$B$12,VLOOKUP($A129,EnrollData2324,'2324 Jun 24 Enroll'!E$1,FALSE),'District Calculations'!$B$12)*S129,3)</f>
        <v>14.827999999999999</v>
      </c>
      <c r="V129">
        <f>ROUND(IF(VLOOKUP($A129,EnrollData2324,'2324 Jun 24 Enroll'!F$1,FALSE)='District Calculations'!$B$13,VLOOKUP($A129,EnrollData2324,'2324 Jun 24 Enroll'!F$1,FALSE),'District Calculations'!$B$13)*Apport_224A2324,3)</f>
        <v>3.6190000000000002</v>
      </c>
      <c r="W129">
        <f>ROUND(IF(VLOOKUP($A129,EnrollData2324,'2324 Jun 24 Enroll'!G$1,FALSE)='District Calculations'!$B$14,VLOOKUP($A129,EnrollData2324,'2324 Jun 24 Enroll'!G$1,FALSE),'District Calculations'!$B$14)*Apport_212A2324,3)</f>
        <v>8.0239999999999991</v>
      </c>
      <c r="X129">
        <f>ROUND(IF(VLOOKUP($A129,EnrollData2324,'2324 Jun 24 Enroll'!H$1,FALSE)='District Calculations'!$B$14,VLOOKUP($A129,EnrollData2324,'2324 Jun 24 Enroll'!H$1,FALSE),'District Calculations'!$B$14)*Apport_215A2324,3)</f>
        <v>7.9279999999999999</v>
      </c>
      <c r="Y129">
        <f>ROUND(IF(VLOOKUP($A129,EnrollData2324,'2324 Jun 24 Enroll'!I$1,FALSE)+VLOOKUP($A129,EnrollData2324,'2324 Jun 24 Enroll'!M$1,FALSE)-VLOOKUP($A129,EnrollData2324,'2324 Jun 24 Enroll'!J$1,FALSE)='District Calculations'!$B$16+'District Calculations'!$B$25-'District Calculations'!$B$17,VLOOKUP($A129,EnrollData2324,'2324 Jun 24 Enroll'!I$1,FALSE)+VLOOKUP($A129,EnrollData2324,'2324 Jun 24 Enroll'!M$1,FALSE)-VLOOKUP($A129,EnrollData2324,'2324 Jun 24 Enroll'!J$1,FALSE),'District Calculations'!$B$16+'District Calculations'!$B$25-'District Calculations'!$B$17)*Apport_218A2324,3)</f>
        <v>19.917999999999999</v>
      </c>
      <c r="Z129">
        <f>ROUND(SUM(T129:Y129)/IF(VLOOKUP($A129,EnrollData2324,'2324 Jun 24 Enroll'!M$1,FALSE)+VLOOKUP($A129,EnrollData2324,'2324 Jun 24 Enroll'!D$1,FALSE)='District Calculations'!$B$25+'District Calculations'!$B$11,VLOOKUP($A129,EnrollData2324,'2324 Jun 24 Enroll'!M$1,FALSE)+VLOOKUP($A129,EnrollData2324,'2324 Jun 24 Enroll'!D$1,FALSE),'District Calculations'!$B$25+'District Calculations'!$B$11),5)</f>
        <v>1.7399999999999999E-2</v>
      </c>
      <c r="AA129" s="6">
        <f>ROUND($J129*CIS_Base_Salary2324*VLOOKUP($A129,EnrollData2324,'2324 Jun 24 Enroll'!S$1,FALSE),2)</f>
        <v>4765.53</v>
      </c>
      <c r="AB129" s="6">
        <f>ROUND($J129*CIS_Inc_Salary2324*(VLOOKUP($A129,EnrollData2324,'2324 Jun 24 Enroll'!T$1,FALSE)+VLOOKUP($A129,EnrollData2324,'2324 Jun 24 Enroll'!U$1,FALSE)),2)-AA129</f>
        <v>343.85000000000036</v>
      </c>
      <c r="AC129" s="6">
        <f>ROUND($R129*CAS_Base_Salary2324*VLOOKUP($A129,EnrollData2324,'2324 Jun 24 Enroll'!S$1,FALSE),2)</f>
        <v>522.29</v>
      </c>
      <c r="AD129" s="6">
        <f>ROUND($R129*CAS_Inc_Salary2324*VLOOKUP($A129,EnrollData2324,'2324 Jun 24 Enroll'!T$1,FALSE),2)-AC129</f>
        <v>19.32000000000005</v>
      </c>
      <c r="AE129" s="6">
        <f>ROUND($Z129*CLS_Base_Salary2324*VLOOKUP($A129,EnrollData2324,'2324 Jun 24 Enroll'!S$1,FALSE),2)</f>
        <v>1071.22</v>
      </c>
      <c r="AF129" s="6">
        <f>ROUND($Z129*CLS_Inc_Salary2324*VLOOKUP($A129,EnrollData2324,'2324 Jun 24 Enroll'!T$1,FALSE),2)-AE129</f>
        <v>39.619999999999891</v>
      </c>
      <c r="AG129">
        <f t="shared" si="35"/>
        <v>734.16</v>
      </c>
      <c r="AH129" s="69">
        <f t="shared" si="39"/>
        <v>68.700000000000045</v>
      </c>
      <c r="AI129">
        <f t="shared" si="36"/>
        <v>214.23</v>
      </c>
      <c r="AJ129">
        <f t="shared" si="40"/>
        <v>114.21000000000001</v>
      </c>
      <c r="AK129">
        <f t="shared" si="41"/>
        <v>950.22</v>
      </c>
      <c r="AL129">
        <f t="shared" si="42"/>
        <v>62.94</v>
      </c>
      <c r="AM129">
        <f t="shared" si="43"/>
        <v>236.31</v>
      </c>
      <c r="AN129">
        <f t="shared" si="44"/>
        <v>7.35</v>
      </c>
      <c r="AO129">
        <f>ROUND(($J129*CIS_Inc_Salary2324*(VLOOKUP($A129,EnrollData2324,'2324 Jun 24 Enroll'!T$1,FALSE)+VLOOKUP($A129,EnrollData2324,'2324 Jun 24 Enroll'!U$1,FALSE))/Apport_613Xpd)*Apport_614Xpd,2)</f>
        <v>85.16</v>
      </c>
      <c r="AP129">
        <f t="shared" si="45"/>
        <v>14.76</v>
      </c>
      <c r="AQ129">
        <f t="shared" si="46"/>
        <v>30.93</v>
      </c>
      <c r="AR129" s="6">
        <f>ROUND((VLOOKUP($A129,EnrollData2324,'2324 Jun 24 Enroll'!D$1,FALSE)*Apport_M802324+VLOOKUP($A129,EnrollData2324,'2324 Jun 24 Enroll'!M$1,FALSE)*Apport_M802324+(VLOOKUP($A129,EnrollData2324,'2324 Jun 24 Enroll'!P$1,FALSE)+VLOOKUP($A129,EnrollData2324,'2324 Jun 24 Enroll'!Q$1,FALSE)+VLOOKUP($A129,EnrollData2324,'2324 Jun 24 Enroll'!R$1,FALSE)+VLOOKUP($A129,EnrollData2324,'2324 Jun 24 Enroll'!I$1,FALSE)+VLOOKUP($A129,EnrollData2324,'2324 Jun 24 Enroll'!N$1,FALSE)+VLOOKUP($A129,EnrollData2324,'2324 Jun 24 Enroll'!O$1,FALSE)+VLOOKUP($A129,EnrollData2324,'2324 Jun 24 Enroll'!K$1,FALSE)+VLOOKUP($A129,EnrollData2324,'2324 Jun 24 Enroll'!L$1,FALSE))*Apport_M812324)/(VLOOKUP($A129,EnrollData2324,'2324 Jun 24 Enroll'!M$1,FALSE)+VLOOKUP($A129,EnrollData2324,'2324 Jun 24 Enroll'!D$1,FALSE)),2)</f>
        <v>1546.85</v>
      </c>
      <c r="AS129" s="7">
        <f t="shared" si="47"/>
        <v>10827.65</v>
      </c>
    </row>
    <row r="130" spans="1:45">
      <c r="A130" s="40" t="s">
        <v>769</v>
      </c>
      <c r="B130" s="40" t="s">
        <v>770</v>
      </c>
      <c r="C130" s="11">
        <f>ROUND((IFERROR((1/IF(VLOOKUP($A130,EnrollData2324,28,FALSE)='District Calculations'!$B$10,VLOOKUP($A130,EnrollData2324,28,FALSE),'District Calculations'!$B$10))*(1+Apport_Z315),0))+Apport_201A2324,6)</f>
        <v>7.3449E-2</v>
      </c>
      <c r="D130">
        <f>ROUND(IF(VLOOKUP($A130,EnrollData2324,'2324 Jun 24 Enroll'!D$1,FALSE)='District Calculations'!$B$11,VLOOKUP($A130,EnrollData2324,'2324 Jun 24 Enroll'!D$1,FALSE),'District Calculations'!$B$11)*C130,3)</f>
        <v>0</v>
      </c>
      <c r="E130">
        <f>ROUND(IF(VLOOKUP($A130,EnrollData2324,'2324 Jun 24 Enroll'!E$1,FALSE)='District Calculations'!$B$12,VLOOKUP($A130,EnrollData2324,'2324 Jun 24 Enroll'!E$1,FALSE),'District Calculations'!$B$12)*C130,3)</f>
        <v>59.53</v>
      </c>
      <c r="F130">
        <f>ROUND(IF(VLOOKUP($A130,EnrollData2324,'2324 Jun 24 Enroll'!F$1,FALSE)='District Calculations'!$B$13,VLOOKUP($A130,EnrollData2324,'2324 Jun 24 Enroll'!F$1,FALSE),'District Calculations'!$B$13)*Apport_222A2324,3)</f>
        <v>10.101000000000001</v>
      </c>
      <c r="G130">
        <f>ROUND(IF(VLOOKUP($A130,EnrollData2324,'2324 Jun 24 Enroll'!G$1,FALSE)='District Calculations'!$B$14,VLOOKUP($A130,EnrollData2324,'2324 Jun 24 Enroll'!G$1,FALSE),'District Calculations'!$B$14)*Apport_210A2324,3)</f>
        <v>22.395</v>
      </c>
      <c r="H130">
        <f>ROUND(IF(VLOOKUP($A130,EnrollData2324,'2324 Jun 24 Enroll'!H$1,FALSE)='District Calculations'!$B$15,VLOOKUP($A130,EnrollData2324,'2324 Jun 24 Enroll'!H$1,FALSE),'District Calculations'!$B$15)*Apport_213A2324,3)</f>
        <v>23.091999999999999</v>
      </c>
      <c r="I130">
        <f>ROUND(IF(VLOOKUP($A130,EnrollData2324,'2324 Jun 24 Enroll'!I$1,FALSE)+VLOOKUP($A130,EnrollData2324,'2324 Jun 24 Enroll'!M$1,FALSE)-VLOOKUP($A130,EnrollData2324,'2324 Jun 24 Enroll'!J$1,FALSE)='District Calculations'!$B$16+'District Calculations'!$B$25-'District Calculations'!$B$17,VLOOKUP($A130,EnrollData2324,'2324 Jun 24 Enroll'!I$1,FALSE)+VLOOKUP($A130,EnrollData2324,'2324 Jun 24 Enroll'!M$1,FALSE)-VLOOKUP($A130,EnrollData2324,'2324 Jun 24 Enroll'!J$1,FALSE),'District Calculations'!$B$16+'District Calculations'!$B$25-'District Calculations'!$B$17)*Apport_216A2324,3)</f>
        <v>58.183999999999997</v>
      </c>
      <c r="J130">
        <f>ROUND(SUM(D130:I130)/(IF(VLOOKUP($A130,EnrollData2324,'2324 Jun 24 Enroll'!M$1,FALSE)='District Calculations'!$B$25,VLOOKUP($A130,EnrollData2324,'2324 Jun 24 Enroll'!M$1,FALSE),'District Calculations'!$B$25)+IF(VLOOKUP($A130,EnrollData2324,'2324 Jun 24 Enroll'!D$1,FALSE)='District Calculations'!$B$11,VLOOKUP($A130,EnrollData2324,'2324 Jun 24 Enroll'!D$1,FALSE),'District Calculations'!$B$11)),5)</f>
        <v>5.5530000000000003E-2</v>
      </c>
      <c r="K130" s="11">
        <f t="shared" si="37"/>
        <v>4.365E-3</v>
      </c>
      <c r="L130">
        <f>ROUND(IF(VLOOKUP($A130,EnrollData2324,'2324 Jun 24 Enroll'!D$1,FALSE)='District Calculations'!$B$11,VLOOKUP($A130,EnrollData2324,'2324 Jun 24 Enroll'!D$1,FALSE),'District Calculations'!$B$11)*K130,3)</f>
        <v>0</v>
      </c>
      <c r="M130">
        <f>ROUND(IF(VLOOKUP($A130,EnrollData2324,'2324 Jun 24 Enroll'!E$1,FALSE)='District Calculations'!$B$12,VLOOKUP($A130,EnrollData2324,'2324 Jun 24 Enroll'!E$1,FALSE),'District Calculations'!$B$12)*K130,3)</f>
        <v>3.5379999999999998</v>
      </c>
      <c r="N130">
        <f>ROUND(IF(VLOOKUP($A130,EnrollData2324,'2324 Jun 24 Enroll'!F$1,FALSE)='District Calculations'!$B$13,VLOOKUP($A130,EnrollData2324,'2324 Jun 24 Enroll'!F$1,FALSE),'District Calculations'!$B$13)*Apport_223A2324,3)</f>
        <v>0.84199999999999997</v>
      </c>
      <c r="O130">
        <f>ROUND(IF(VLOOKUP($A130,EnrollData2324,'2324 Jun 24 Enroll'!G$1,FALSE)='District Calculations'!$B$14,VLOOKUP($A130,EnrollData2324,'2324 Jun 24 Enroll'!G$1,FALSE),'District Calculations'!$B$14)*Apport_211A2324,3)</f>
        <v>1.867</v>
      </c>
      <c r="P130">
        <f>ROUND(IF(VLOOKUP($A130,EnrollData2324,'2324 Jun 24 Enroll'!H$1,FALSE)='District Calculations'!$B$14,VLOOKUP($A130,EnrollData2324,'2324 Jun 24 Enroll'!H$1,FALSE),'District Calculations'!$B$14)*Apport_214A2324,3)</f>
        <v>1.8660000000000001</v>
      </c>
      <c r="Q130">
        <f>ROUND(IF(VLOOKUP($A130,EnrollData2324,'2324 Jun 24 Enroll'!I$1,FALSE)+VLOOKUP($A130,EnrollData2324,'2324 Jun 24 Enroll'!M$1,FALSE)-VLOOKUP($A130,EnrollData2324,'2324 Jun 24 Enroll'!J$1,FALSE)='District Calculations'!$B$16+'District Calculations'!$B$25-'District Calculations'!$B$17,VLOOKUP($A130,EnrollData2324,'2324 Jun 24 Enroll'!I$1,FALSE)+VLOOKUP($A130,EnrollData2324,'2324 Jun 24 Enroll'!M$1,FALSE)-VLOOKUP($A130,EnrollData2324,'2324 Jun 24 Enroll'!J$1,FALSE),'District Calculations'!$B$16+'District Calculations'!$B$25-'District Calculations'!$B$17)*Apport_217A2324,3)</f>
        <v>4.6980000000000004</v>
      </c>
      <c r="R130">
        <f>ROUND(SUM(L130:Q130)/IF(VLOOKUP($A130,EnrollData2324,'2324 Jun 24 Enroll'!M$1,FALSE)+VLOOKUP($A130,EnrollData2324,'2324 Jun 24 Enroll'!D$1,FALSE)='District Calculations'!$B$25+'District Calculations'!$B$11,VLOOKUP($A130,EnrollData2324,'2324 Jun 24 Enroll'!M$1,FALSE)+VLOOKUP($A130,EnrollData2324,'2324 Jun 24 Enroll'!D$1,FALSE),'District Calculations'!$B$25+'District Calculations'!$B$11),5)</f>
        <v>4.1000000000000003E-3</v>
      </c>
      <c r="S130" s="11">
        <f t="shared" si="38"/>
        <v>1.8294500000000002E-2</v>
      </c>
      <c r="T130">
        <f>ROUND(IF(VLOOKUP($A130,EnrollData2324,'2324 Jun 24 Enroll'!D$1,FALSE)='District Calculations'!$B$11,VLOOKUP($A130,EnrollData2324,'2324 Jun 24 Enroll'!D$1,FALSE),'District Calculations'!$B$11)*S130,3)</f>
        <v>0</v>
      </c>
      <c r="U130">
        <f>ROUND(IF(VLOOKUP($A130,EnrollData2324,'2324 Jun 24 Enroll'!E$1,FALSE)='District Calculations'!$B$12,VLOOKUP($A130,EnrollData2324,'2324 Jun 24 Enroll'!E$1,FALSE),'District Calculations'!$B$12)*S130,3)</f>
        <v>14.827999999999999</v>
      </c>
      <c r="V130">
        <f>ROUND(IF(VLOOKUP($A130,EnrollData2324,'2324 Jun 24 Enroll'!F$1,FALSE)='District Calculations'!$B$13,VLOOKUP($A130,EnrollData2324,'2324 Jun 24 Enroll'!F$1,FALSE),'District Calculations'!$B$13)*Apport_224A2324,3)</f>
        <v>3.6190000000000002</v>
      </c>
      <c r="W130">
        <f>ROUND(IF(VLOOKUP($A130,EnrollData2324,'2324 Jun 24 Enroll'!G$1,FALSE)='District Calculations'!$B$14,VLOOKUP($A130,EnrollData2324,'2324 Jun 24 Enroll'!G$1,FALSE),'District Calculations'!$B$14)*Apport_212A2324,3)</f>
        <v>8.0239999999999991</v>
      </c>
      <c r="X130">
        <f>ROUND(IF(VLOOKUP($A130,EnrollData2324,'2324 Jun 24 Enroll'!H$1,FALSE)='District Calculations'!$B$14,VLOOKUP($A130,EnrollData2324,'2324 Jun 24 Enroll'!H$1,FALSE),'District Calculations'!$B$14)*Apport_215A2324,3)</f>
        <v>7.9279999999999999</v>
      </c>
      <c r="Y130">
        <f>ROUND(IF(VLOOKUP($A130,EnrollData2324,'2324 Jun 24 Enroll'!I$1,FALSE)+VLOOKUP($A130,EnrollData2324,'2324 Jun 24 Enroll'!M$1,FALSE)-VLOOKUP($A130,EnrollData2324,'2324 Jun 24 Enroll'!J$1,FALSE)='District Calculations'!$B$16+'District Calculations'!$B$25-'District Calculations'!$B$17,VLOOKUP($A130,EnrollData2324,'2324 Jun 24 Enroll'!I$1,FALSE)+VLOOKUP($A130,EnrollData2324,'2324 Jun 24 Enroll'!M$1,FALSE)-VLOOKUP($A130,EnrollData2324,'2324 Jun 24 Enroll'!J$1,FALSE),'District Calculations'!$B$16+'District Calculations'!$B$25-'District Calculations'!$B$17)*Apport_218A2324,3)</f>
        <v>19.917999999999999</v>
      </c>
      <c r="Z130">
        <f>ROUND(SUM(T130:Y130)/IF(VLOOKUP($A130,EnrollData2324,'2324 Jun 24 Enroll'!M$1,FALSE)+VLOOKUP($A130,EnrollData2324,'2324 Jun 24 Enroll'!D$1,FALSE)='District Calculations'!$B$25+'District Calculations'!$B$11,VLOOKUP($A130,EnrollData2324,'2324 Jun 24 Enroll'!M$1,FALSE)+VLOOKUP($A130,EnrollData2324,'2324 Jun 24 Enroll'!D$1,FALSE),'District Calculations'!$B$25+'District Calculations'!$B$11),5)</f>
        <v>1.7399999999999999E-2</v>
      </c>
      <c r="AA130" s="6">
        <f>ROUND($J130*CIS_Base_Salary2324*VLOOKUP($A130,EnrollData2324,'2324 Jun 24 Enroll'!S$1,FALSE),2)</f>
        <v>4765.53</v>
      </c>
      <c r="AB130" s="6">
        <f>ROUND($J130*CIS_Inc_Salary2324*(VLOOKUP($A130,EnrollData2324,'2324 Jun 24 Enroll'!T$1,FALSE)+VLOOKUP($A130,EnrollData2324,'2324 Jun 24 Enroll'!U$1,FALSE)),2)-AA130</f>
        <v>176.32999999999993</v>
      </c>
      <c r="AC130" s="6">
        <f>ROUND($R130*CAS_Base_Salary2324*VLOOKUP($A130,EnrollData2324,'2324 Jun 24 Enroll'!S$1,FALSE),2)</f>
        <v>522.29</v>
      </c>
      <c r="AD130" s="6">
        <f>ROUND($R130*CAS_Inc_Salary2324*VLOOKUP($A130,EnrollData2324,'2324 Jun 24 Enroll'!T$1,FALSE),2)-AC130</f>
        <v>19.32000000000005</v>
      </c>
      <c r="AE130" s="6">
        <f>ROUND($Z130*CLS_Base_Salary2324*VLOOKUP($A130,EnrollData2324,'2324 Jun 24 Enroll'!S$1,FALSE),2)</f>
        <v>1071.22</v>
      </c>
      <c r="AF130" s="6">
        <f>ROUND($Z130*CLS_Inc_Salary2324*VLOOKUP($A130,EnrollData2324,'2324 Jun 24 Enroll'!T$1,FALSE),2)-AE130</f>
        <v>39.619999999999891</v>
      </c>
      <c r="AG130">
        <f t="shared" si="35"/>
        <v>734.16</v>
      </c>
      <c r="AH130" s="69">
        <f t="shared" si="39"/>
        <v>68.700000000000045</v>
      </c>
      <c r="AI130">
        <f t="shared" si="36"/>
        <v>214.23</v>
      </c>
      <c r="AJ130">
        <f t="shared" si="40"/>
        <v>114.21000000000001</v>
      </c>
      <c r="AK130">
        <f t="shared" si="41"/>
        <v>950.22</v>
      </c>
      <c r="AL130">
        <f t="shared" si="42"/>
        <v>33.909999999999997</v>
      </c>
      <c r="AM130">
        <f t="shared" si="43"/>
        <v>236.31</v>
      </c>
      <c r="AN130">
        <f t="shared" si="44"/>
        <v>7.35</v>
      </c>
      <c r="AO130">
        <f>ROUND(($J130*CIS_Inc_Salary2324*(VLOOKUP($A130,EnrollData2324,'2324 Jun 24 Enroll'!T$1,FALSE)+VLOOKUP($A130,EnrollData2324,'2324 Jun 24 Enroll'!U$1,FALSE))/Apport_613Xpd)*Apport_614Xpd,2)</f>
        <v>82.36</v>
      </c>
      <c r="AP130">
        <f t="shared" si="45"/>
        <v>14.27</v>
      </c>
      <c r="AQ130">
        <f t="shared" si="46"/>
        <v>30.93</v>
      </c>
      <c r="AR130" s="6">
        <f>ROUND((VLOOKUP($A130,EnrollData2324,'2324 Jun 24 Enroll'!D$1,FALSE)*Apport_M802324+VLOOKUP($A130,EnrollData2324,'2324 Jun 24 Enroll'!M$1,FALSE)*Apport_M802324+(VLOOKUP($A130,EnrollData2324,'2324 Jun 24 Enroll'!P$1,FALSE)+VLOOKUP($A130,EnrollData2324,'2324 Jun 24 Enroll'!Q$1,FALSE)+VLOOKUP($A130,EnrollData2324,'2324 Jun 24 Enroll'!R$1,FALSE)+VLOOKUP($A130,EnrollData2324,'2324 Jun 24 Enroll'!I$1,FALSE)+VLOOKUP($A130,EnrollData2324,'2324 Jun 24 Enroll'!N$1,FALSE)+VLOOKUP($A130,EnrollData2324,'2324 Jun 24 Enroll'!O$1,FALSE)+VLOOKUP($A130,EnrollData2324,'2324 Jun 24 Enroll'!K$1,FALSE)+VLOOKUP($A130,EnrollData2324,'2324 Jun 24 Enroll'!L$1,FALSE))*Apport_M812324)/(VLOOKUP($A130,EnrollData2324,'2324 Jun 24 Enroll'!M$1,FALSE)+VLOOKUP($A130,EnrollData2324,'2324 Jun 24 Enroll'!D$1,FALSE)),2)</f>
        <v>1552.05</v>
      </c>
      <c r="AS130" s="7">
        <f t="shared" si="47"/>
        <v>10633.009999999998</v>
      </c>
    </row>
    <row r="131" spans="1:45">
      <c r="A131" s="40" t="s">
        <v>514</v>
      </c>
      <c r="B131" s="40" t="s">
        <v>515</v>
      </c>
      <c r="C131" s="11">
        <f>ROUND((IFERROR((1/IF(VLOOKUP($A131,EnrollData2324,28,FALSE)='District Calculations'!$B$10,VLOOKUP($A131,EnrollData2324,28,FALSE),'District Calculations'!$B$10))*(1+Apport_Z315),0))+Apport_201A2324,6)</f>
        <v>7.3449E-2</v>
      </c>
      <c r="D131">
        <f>ROUND(IF(VLOOKUP($A131,EnrollData2324,'2324 Jun 24 Enroll'!D$1,FALSE)='District Calculations'!$B$11,VLOOKUP($A131,EnrollData2324,'2324 Jun 24 Enroll'!D$1,FALSE),'District Calculations'!$B$11)*C131,3)</f>
        <v>0</v>
      </c>
      <c r="E131">
        <f>ROUND(IF(VLOOKUP($A131,EnrollData2324,'2324 Jun 24 Enroll'!E$1,FALSE)='District Calculations'!$B$12,VLOOKUP($A131,EnrollData2324,'2324 Jun 24 Enroll'!E$1,FALSE),'District Calculations'!$B$12)*C131,3)</f>
        <v>59.53</v>
      </c>
      <c r="F131">
        <f>ROUND(IF(VLOOKUP($A131,EnrollData2324,'2324 Jun 24 Enroll'!F$1,FALSE)='District Calculations'!$B$13,VLOOKUP($A131,EnrollData2324,'2324 Jun 24 Enroll'!F$1,FALSE),'District Calculations'!$B$13)*Apport_222A2324,3)</f>
        <v>10.101000000000001</v>
      </c>
      <c r="G131">
        <f>ROUND(IF(VLOOKUP($A131,EnrollData2324,'2324 Jun 24 Enroll'!G$1,FALSE)='District Calculations'!$B$14,VLOOKUP($A131,EnrollData2324,'2324 Jun 24 Enroll'!G$1,FALSE),'District Calculations'!$B$14)*Apport_210A2324,3)</f>
        <v>22.395</v>
      </c>
      <c r="H131">
        <f>ROUND(IF(VLOOKUP($A131,EnrollData2324,'2324 Jun 24 Enroll'!H$1,FALSE)='District Calculations'!$B$15,VLOOKUP($A131,EnrollData2324,'2324 Jun 24 Enroll'!H$1,FALSE),'District Calculations'!$B$15)*Apport_213A2324,3)</f>
        <v>23.091999999999999</v>
      </c>
      <c r="I131">
        <f>ROUND(IF(VLOOKUP($A131,EnrollData2324,'2324 Jun 24 Enroll'!I$1,FALSE)+VLOOKUP($A131,EnrollData2324,'2324 Jun 24 Enroll'!M$1,FALSE)-VLOOKUP($A131,EnrollData2324,'2324 Jun 24 Enroll'!J$1,FALSE)='District Calculations'!$B$16+'District Calculations'!$B$25-'District Calculations'!$B$17,VLOOKUP($A131,EnrollData2324,'2324 Jun 24 Enroll'!I$1,FALSE)+VLOOKUP($A131,EnrollData2324,'2324 Jun 24 Enroll'!M$1,FALSE)-VLOOKUP($A131,EnrollData2324,'2324 Jun 24 Enroll'!J$1,FALSE),'District Calculations'!$B$16+'District Calculations'!$B$25-'District Calculations'!$B$17)*Apport_216A2324,3)</f>
        <v>58.183999999999997</v>
      </c>
      <c r="J131">
        <f>ROUND(SUM(D131:I131)/(IF(VLOOKUP($A131,EnrollData2324,'2324 Jun 24 Enroll'!M$1,FALSE)='District Calculations'!$B$25,VLOOKUP($A131,EnrollData2324,'2324 Jun 24 Enroll'!M$1,FALSE),'District Calculations'!$B$25)+IF(VLOOKUP($A131,EnrollData2324,'2324 Jun 24 Enroll'!D$1,FALSE)='District Calculations'!$B$11,VLOOKUP($A131,EnrollData2324,'2324 Jun 24 Enroll'!D$1,FALSE),'District Calculations'!$B$11)),5)</f>
        <v>5.5530000000000003E-2</v>
      </c>
      <c r="K131" s="11">
        <f t="shared" si="37"/>
        <v>4.365E-3</v>
      </c>
      <c r="L131">
        <f>ROUND(IF(VLOOKUP($A131,EnrollData2324,'2324 Jun 24 Enroll'!D$1,FALSE)='District Calculations'!$B$11,VLOOKUP($A131,EnrollData2324,'2324 Jun 24 Enroll'!D$1,FALSE),'District Calculations'!$B$11)*K131,3)</f>
        <v>0</v>
      </c>
      <c r="M131">
        <f>ROUND(IF(VLOOKUP($A131,EnrollData2324,'2324 Jun 24 Enroll'!E$1,FALSE)='District Calculations'!$B$12,VLOOKUP($A131,EnrollData2324,'2324 Jun 24 Enroll'!E$1,FALSE),'District Calculations'!$B$12)*K131,3)</f>
        <v>3.5379999999999998</v>
      </c>
      <c r="N131">
        <f>ROUND(IF(VLOOKUP($A131,EnrollData2324,'2324 Jun 24 Enroll'!F$1,FALSE)='District Calculations'!$B$13,VLOOKUP($A131,EnrollData2324,'2324 Jun 24 Enroll'!F$1,FALSE),'District Calculations'!$B$13)*Apport_223A2324,3)</f>
        <v>0.84199999999999997</v>
      </c>
      <c r="O131">
        <f>ROUND(IF(VLOOKUP($A131,EnrollData2324,'2324 Jun 24 Enroll'!G$1,FALSE)='District Calculations'!$B$14,VLOOKUP($A131,EnrollData2324,'2324 Jun 24 Enroll'!G$1,FALSE),'District Calculations'!$B$14)*Apport_211A2324,3)</f>
        <v>1.867</v>
      </c>
      <c r="P131">
        <f>ROUND(IF(VLOOKUP($A131,EnrollData2324,'2324 Jun 24 Enroll'!H$1,FALSE)='District Calculations'!$B$14,VLOOKUP($A131,EnrollData2324,'2324 Jun 24 Enroll'!H$1,FALSE),'District Calculations'!$B$14)*Apport_214A2324,3)</f>
        <v>1.8660000000000001</v>
      </c>
      <c r="Q131">
        <f>ROUND(IF(VLOOKUP($A131,EnrollData2324,'2324 Jun 24 Enroll'!I$1,FALSE)+VLOOKUP($A131,EnrollData2324,'2324 Jun 24 Enroll'!M$1,FALSE)-VLOOKUP($A131,EnrollData2324,'2324 Jun 24 Enroll'!J$1,FALSE)='District Calculations'!$B$16+'District Calculations'!$B$25-'District Calculations'!$B$17,VLOOKUP($A131,EnrollData2324,'2324 Jun 24 Enroll'!I$1,FALSE)+VLOOKUP($A131,EnrollData2324,'2324 Jun 24 Enroll'!M$1,FALSE)-VLOOKUP($A131,EnrollData2324,'2324 Jun 24 Enroll'!J$1,FALSE),'District Calculations'!$B$16+'District Calculations'!$B$25-'District Calculations'!$B$17)*Apport_217A2324,3)</f>
        <v>4.6980000000000004</v>
      </c>
      <c r="R131">
        <f>ROUND(SUM(L131:Q131)/IF(VLOOKUP($A131,EnrollData2324,'2324 Jun 24 Enroll'!M$1,FALSE)+VLOOKUP($A131,EnrollData2324,'2324 Jun 24 Enroll'!D$1,FALSE)='District Calculations'!$B$25+'District Calculations'!$B$11,VLOOKUP($A131,EnrollData2324,'2324 Jun 24 Enroll'!M$1,FALSE)+VLOOKUP($A131,EnrollData2324,'2324 Jun 24 Enroll'!D$1,FALSE),'District Calculations'!$B$25+'District Calculations'!$B$11),5)</f>
        <v>4.1000000000000003E-3</v>
      </c>
      <c r="S131" s="11">
        <f t="shared" si="38"/>
        <v>1.8294500000000002E-2</v>
      </c>
      <c r="T131">
        <f>ROUND(IF(VLOOKUP($A131,EnrollData2324,'2324 Jun 24 Enroll'!D$1,FALSE)='District Calculations'!$B$11,VLOOKUP($A131,EnrollData2324,'2324 Jun 24 Enroll'!D$1,FALSE),'District Calculations'!$B$11)*S131,3)</f>
        <v>0</v>
      </c>
      <c r="U131">
        <f>ROUND(IF(VLOOKUP($A131,EnrollData2324,'2324 Jun 24 Enroll'!E$1,FALSE)='District Calculations'!$B$12,VLOOKUP($A131,EnrollData2324,'2324 Jun 24 Enroll'!E$1,FALSE),'District Calculations'!$B$12)*S131,3)</f>
        <v>14.827999999999999</v>
      </c>
      <c r="V131">
        <f>ROUND(IF(VLOOKUP($A131,EnrollData2324,'2324 Jun 24 Enroll'!F$1,FALSE)='District Calculations'!$B$13,VLOOKUP($A131,EnrollData2324,'2324 Jun 24 Enroll'!F$1,FALSE),'District Calculations'!$B$13)*Apport_224A2324,3)</f>
        <v>3.6190000000000002</v>
      </c>
      <c r="W131">
        <f>ROUND(IF(VLOOKUP($A131,EnrollData2324,'2324 Jun 24 Enroll'!G$1,FALSE)='District Calculations'!$B$14,VLOOKUP($A131,EnrollData2324,'2324 Jun 24 Enroll'!G$1,FALSE),'District Calculations'!$B$14)*Apport_212A2324,3)</f>
        <v>8.0239999999999991</v>
      </c>
      <c r="X131">
        <f>ROUND(IF(VLOOKUP($A131,EnrollData2324,'2324 Jun 24 Enroll'!H$1,FALSE)='District Calculations'!$B$14,VLOOKUP($A131,EnrollData2324,'2324 Jun 24 Enroll'!H$1,FALSE),'District Calculations'!$B$14)*Apport_215A2324,3)</f>
        <v>7.9279999999999999</v>
      </c>
      <c r="Y131">
        <f>ROUND(IF(VLOOKUP($A131,EnrollData2324,'2324 Jun 24 Enroll'!I$1,FALSE)+VLOOKUP($A131,EnrollData2324,'2324 Jun 24 Enroll'!M$1,FALSE)-VLOOKUP($A131,EnrollData2324,'2324 Jun 24 Enroll'!J$1,FALSE)='District Calculations'!$B$16+'District Calculations'!$B$25-'District Calculations'!$B$17,VLOOKUP($A131,EnrollData2324,'2324 Jun 24 Enroll'!I$1,FALSE)+VLOOKUP($A131,EnrollData2324,'2324 Jun 24 Enroll'!M$1,FALSE)-VLOOKUP($A131,EnrollData2324,'2324 Jun 24 Enroll'!J$1,FALSE),'District Calculations'!$B$16+'District Calculations'!$B$25-'District Calculations'!$B$17)*Apport_218A2324,3)</f>
        <v>19.917999999999999</v>
      </c>
      <c r="Z131">
        <f>ROUND(SUM(T131:Y131)/IF(VLOOKUP($A131,EnrollData2324,'2324 Jun 24 Enroll'!M$1,FALSE)+VLOOKUP($A131,EnrollData2324,'2324 Jun 24 Enroll'!D$1,FALSE)='District Calculations'!$B$25+'District Calculations'!$B$11,VLOOKUP($A131,EnrollData2324,'2324 Jun 24 Enroll'!M$1,FALSE)+VLOOKUP($A131,EnrollData2324,'2324 Jun 24 Enroll'!D$1,FALSE),'District Calculations'!$B$25+'District Calculations'!$B$11),5)</f>
        <v>1.7399999999999999E-2</v>
      </c>
      <c r="AA131" s="6">
        <f>ROUND($J131*CIS_Base_Salary2324*VLOOKUP($A131,EnrollData2324,'2324 Jun 24 Enroll'!S$1,FALSE),2)</f>
        <v>4765.53</v>
      </c>
      <c r="AB131" s="6">
        <f>ROUND($J131*CIS_Inc_Salary2324*(VLOOKUP($A131,EnrollData2324,'2324 Jun 24 Enroll'!T$1,FALSE)+VLOOKUP($A131,EnrollData2324,'2324 Jun 24 Enroll'!U$1,FALSE)),2)-AA131</f>
        <v>176.32999999999993</v>
      </c>
      <c r="AC131" s="6">
        <f>ROUND($R131*CAS_Base_Salary2324*VLOOKUP($A131,EnrollData2324,'2324 Jun 24 Enroll'!S$1,FALSE),2)</f>
        <v>522.29</v>
      </c>
      <c r="AD131" s="6">
        <f>ROUND($R131*CAS_Inc_Salary2324*VLOOKUP($A131,EnrollData2324,'2324 Jun 24 Enroll'!T$1,FALSE),2)-AC131</f>
        <v>19.32000000000005</v>
      </c>
      <c r="AE131" s="6">
        <f>ROUND($Z131*CLS_Base_Salary2324*VLOOKUP($A131,EnrollData2324,'2324 Jun 24 Enroll'!S$1,FALSE),2)</f>
        <v>1071.22</v>
      </c>
      <c r="AF131" s="6">
        <f>ROUND($Z131*CLS_Inc_Salary2324*VLOOKUP($A131,EnrollData2324,'2324 Jun 24 Enroll'!T$1,FALSE),2)-AE131</f>
        <v>39.619999999999891</v>
      </c>
      <c r="AG131">
        <f t="shared" si="35"/>
        <v>734.16</v>
      </c>
      <c r="AH131" s="69">
        <f t="shared" si="39"/>
        <v>68.700000000000045</v>
      </c>
      <c r="AI131">
        <f t="shared" si="36"/>
        <v>214.23</v>
      </c>
      <c r="AJ131">
        <f t="shared" si="40"/>
        <v>114.21000000000001</v>
      </c>
      <c r="AK131">
        <f t="shared" si="41"/>
        <v>950.22</v>
      </c>
      <c r="AL131">
        <f t="shared" si="42"/>
        <v>33.909999999999997</v>
      </c>
      <c r="AM131">
        <f t="shared" si="43"/>
        <v>236.31</v>
      </c>
      <c r="AN131">
        <f t="shared" si="44"/>
        <v>7.35</v>
      </c>
      <c r="AO131">
        <f>ROUND(($J131*CIS_Inc_Salary2324*(VLOOKUP($A131,EnrollData2324,'2324 Jun 24 Enroll'!T$1,FALSE)+VLOOKUP($A131,EnrollData2324,'2324 Jun 24 Enroll'!U$1,FALSE))/Apport_613Xpd)*Apport_614Xpd,2)</f>
        <v>82.36</v>
      </c>
      <c r="AP131">
        <f t="shared" si="45"/>
        <v>14.27</v>
      </c>
      <c r="AQ131">
        <f t="shared" si="46"/>
        <v>30.93</v>
      </c>
      <c r="AR131" s="6">
        <f>ROUND((VLOOKUP($A131,EnrollData2324,'2324 Jun 24 Enroll'!D$1,FALSE)*Apport_M802324+VLOOKUP($A131,EnrollData2324,'2324 Jun 24 Enroll'!M$1,FALSE)*Apport_M802324+(VLOOKUP($A131,EnrollData2324,'2324 Jun 24 Enroll'!P$1,FALSE)+VLOOKUP($A131,EnrollData2324,'2324 Jun 24 Enroll'!Q$1,FALSE)+VLOOKUP($A131,EnrollData2324,'2324 Jun 24 Enroll'!R$1,FALSE)+VLOOKUP($A131,EnrollData2324,'2324 Jun 24 Enroll'!I$1,FALSE)+VLOOKUP($A131,EnrollData2324,'2324 Jun 24 Enroll'!N$1,FALSE)+VLOOKUP($A131,EnrollData2324,'2324 Jun 24 Enroll'!O$1,FALSE)+VLOOKUP($A131,EnrollData2324,'2324 Jun 24 Enroll'!K$1,FALSE)+VLOOKUP($A131,EnrollData2324,'2324 Jun 24 Enroll'!L$1,FALSE))*Apport_M812324)/(VLOOKUP($A131,EnrollData2324,'2324 Jun 24 Enroll'!M$1,FALSE)+VLOOKUP($A131,EnrollData2324,'2324 Jun 24 Enroll'!D$1,FALSE)),2)</f>
        <v>1550.07</v>
      </c>
      <c r="AS131" s="7">
        <f t="shared" si="47"/>
        <v>10631.029999999999</v>
      </c>
    </row>
    <row r="132" spans="1:45">
      <c r="A132" s="40" t="s">
        <v>761</v>
      </c>
      <c r="B132" s="40" t="s">
        <v>762</v>
      </c>
      <c r="C132" s="11">
        <f>ROUND((IFERROR((1/IF(VLOOKUP($A132,EnrollData2324,28,FALSE)='District Calculations'!$B$10,VLOOKUP($A132,EnrollData2324,28,FALSE),'District Calculations'!$B$10))*(1+Apport_Z315),0))+Apport_201A2324,6)</f>
        <v>7.3449E-2</v>
      </c>
      <c r="D132">
        <f>ROUND(IF(VLOOKUP($A132,EnrollData2324,'2324 Jun 24 Enroll'!D$1,FALSE)='District Calculations'!$B$11,VLOOKUP($A132,EnrollData2324,'2324 Jun 24 Enroll'!D$1,FALSE),'District Calculations'!$B$11)*C132,3)</f>
        <v>0</v>
      </c>
      <c r="E132">
        <f>ROUND(IF(VLOOKUP($A132,EnrollData2324,'2324 Jun 24 Enroll'!E$1,FALSE)='District Calculations'!$B$12,VLOOKUP($A132,EnrollData2324,'2324 Jun 24 Enroll'!E$1,FALSE),'District Calculations'!$B$12)*C132,3)</f>
        <v>59.53</v>
      </c>
      <c r="F132">
        <f>ROUND(IF(VLOOKUP($A132,EnrollData2324,'2324 Jun 24 Enroll'!F$1,FALSE)='District Calculations'!$B$13,VLOOKUP($A132,EnrollData2324,'2324 Jun 24 Enroll'!F$1,FALSE),'District Calculations'!$B$13)*Apport_222A2324,3)</f>
        <v>10.101000000000001</v>
      </c>
      <c r="G132">
        <f>ROUND(IF(VLOOKUP($A132,EnrollData2324,'2324 Jun 24 Enroll'!G$1,FALSE)='District Calculations'!$B$14,VLOOKUP($A132,EnrollData2324,'2324 Jun 24 Enroll'!G$1,FALSE),'District Calculations'!$B$14)*Apport_210A2324,3)</f>
        <v>22.395</v>
      </c>
      <c r="H132">
        <f>ROUND(IF(VLOOKUP($A132,EnrollData2324,'2324 Jun 24 Enroll'!H$1,FALSE)='District Calculations'!$B$15,VLOOKUP($A132,EnrollData2324,'2324 Jun 24 Enroll'!H$1,FALSE),'District Calculations'!$B$15)*Apport_213A2324,3)</f>
        <v>23.091999999999999</v>
      </c>
      <c r="I132">
        <f>ROUND(IF(VLOOKUP($A132,EnrollData2324,'2324 Jun 24 Enroll'!I$1,FALSE)+VLOOKUP($A132,EnrollData2324,'2324 Jun 24 Enroll'!M$1,FALSE)-VLOOKUP($A132,EnrollData2324,'2324 Jun 24 Enroll'!J$1,FALSE)='District Calculations'!$B$16+'District Calculations'!$B$25-'District Calculations'!$B$17,VLOOKUP($A132,EnrollData2324,'2324 Jun 24 Enroll'!I$1,FALSE)+VLOOKUP($A132,EnrollData2324,'2324 Jun 24 Enroll'!M$1,FALSE)-VLOOKUP($A132,EnrollData2324,'2324 Jun 24 Enroll'!J$1,FALSE),'District Calculations'!$B$16+'District Calculations'!$B$25-'District Calculations'!$B$17)*Apport_216A2324,3)</f>
        <v>58.183999999999997</v>
      </c>
      <c r="J132">
        <f>ROUND(SUM(D132:I132)/(IF(VLOOKUP($A132,EnrollData2324,'2324 Jun 24 Enroll'!M$1,FALSE)='District Calculations'!$B$25,VLOOKUP($A132,EnrollData2324,'2324 Jun 24 Enroll'!M$1,FALSE),'District Calculations'!$B$25)+IF(VLOOKUP($A132,EnrollData2324,'2324 Jun 24 Enroll'!D$1,FALSE)='District Calculations'!$B$11,VLOOKUP($A132,EnrollData2324,'2324 Jun 24 Enroll'!D$1,FALSE),'District Calculations'!$B$11)),5)</f>
        <v>5.5530000000000003E-2</v>
      </c>
      <c r="K132" s="11">
        <f t="shared" si="37"/>
        <v>4.365E-3</v>
      </c>
      <c r="L132">
        <f>ROUND(IF(VLOOKUP($A132,EnrollData2324,'2324 Jun 24 Enroll'!D$1,FALSE)='District Calculations'!$B$11,VLOOKUP($A132,EnrollData2324,'2324 Jun 24 Enroll'!D$1,FALSE),'District Calculations'!$B$11)*K132,3)</f>
        <v>0</v>
      </c>
      <c r="M132">
        <f>ROUND(IF(VLOOKUP($A132,EnrollData2324,'2324 Jun 24 Enroll'!E$1,FALSE)='District Calculations'!$B$12,VLOOKUP($A132,EnrollData2324,'2324 Jun 24 Enroll'!E$1,FALSE),'District Calculations'!$B$12)*K132,3)</f>
        <v>3.5379999999999998</v>
      </c>
      <c r="N132">
        <f>ROUND(IF(VLOOKUP($A132,EnrollData2324,'2324 Jun 24 Enroll'!F$1,FALSE)='District Calculations'!$B$13,VLOOKUP($A132,EnrollData2324,'2324 Jun 24 Enroll'!F$1,FALSE),'District Calculations'!$B$13)*Apport_223A2324,3)</f>
        <v>0.84199999999999997</v>
      </c>
      <c r="O132">
        <f>ROUND(IF(VLOOKUP($A132,EnrollData2324,'2324 Jun 24 Enroll'!G$1,FALSE)='District Calculations'!$B$14,VLOOKUP($A132,EnrollData2324,'2324 Jun 24 Enroll'!G$1,FALSE),'District Calculations'!$B$14)*Apport_211A2324,3)</f>
        <v>1.867</v>
      </c>
      <c r="P132">
        <f>ROUND(IF(VLOOKUP($A132,EnrollData2324,'2324 Jun 24 Enroll'!H$1,FALSE)='District Calculations'!$B$14,VLOOKUP($A132,EnrollData2324,'2324 Jun 24 Enroll'!H$1,FALSE),'District Calculations'!$B$14)*Apport_214A2324,3)</f>
        <v>1.8660000000000001</v>
      </c>
      <c r="Q132">
        <f>ROUND(IF(VLOOKUP($A132,EnrollData2324,'2324 Jun 24 Enroll'!I$1,FALSE)+VLOOKUP($A132,EnrollData2324,'2324 Jun 24 Enroll'!M$1,FALSE)-VLOOKUP($A132,EnrollData2324,'2324 Jun 24 Enroll'!J$1,FALSE)='District Calculations'!$B$16+'District Calculations'!$B$25-'District Calculations'!$B$17,VLOOKUP($A132,EnrollData2324,'2324 Jun 24 Enroll'!I$1,FALSE)+VLOOKUP($A132,EnrollData2324,'2324 Jun 24 Enroll'!M$1,FALSE)-VLOOKUP($A132,EnrollData2324,'2324 Jun 24 Enroll'!J$1,FALSE),'District Calculations'!$B$16+'District Calculations'!$B$25-'District Calculations'!$B$17)*Apport_217A2324,3)</f>
        <v>4.6980000000000004</v>
      </c>
      <c r="R132">
        <f>ROUND(SUM(L132:Q132)/IF(VLOOKUP($A132,EnrollData2324,'2324 Jun 24 Enroll'!M$1,FALSE)+VLOOKUP($A132,EnrollData2324,'2324 Jun 24 Enroll'!D$1,FALSE)='District Calculations'!$B$25+'District Calculations'!$B$11,VLOOKUP($A132,EnrollData2324,'2324 Jun 24 Enroll'!M$1,FALSE)+VLOOKUP($A132,EnrollData2324,'2324 Jun 24 Enroll'!D$1,FALSE),'District Calculations'!$B$25+'District Calculations'!$B$11),5)</f>
        <v>4.1000000000000003E-3</v>
      </c>
      <c r="S132" s="11">
        <f t="shared" si="38"/>
        <v>1.8294500000000002E-2</v>
      </c>
      <c r="T132">
        <f>ROUND(IF(VLOOKUP($A132,EnrollData2324,'2324 Jun 24 Enroll'!D$1,FALSE)='District Calculations'!$B$11,VLOOKUP($A132,EnrollData2324,'2324 Jun 24 Enroll'!D$1,FALSE),'District Calculations'!$B$11)*S132,3)</f>
        <v>0</v>
      </c>
      <c r="U132">
        <f>ROUND(IF(VLOOKUP($A132,EnrollData2324,'2324 Jun 24 Enroll'!E$1,FALSE)='District Calculations'!$B$12,VLOOKUP($A132,EnrollData2324,'2324 Jun 24 Enroll'!E$1,FALSE),'District Calculations'!$B$12)*S132,3)</f>
        <v>14.827999999999999</v>
      </c>
      <c r="V132">
        <f>ROUND(IF(VLOOKUP($A132,EnrollData2324,'2324 Jun 24 Enroll'!F$1,FALSE)='District Calculations'!$B$13,VLOOKUP($A132,EnrollData2324,'2324 Jun 24 Enroll'!F$1,FALSE),'District Calculations'!$B$13)*Apport_224A2324,3)</f>
        <v>3.6190000000000002</v>
      </c>
      <c r="W132">
        <f>ROUND(IF(VLOOKUP($A132,EnrollData2324,'2324 Jun 24 Enroll'!G$1,FALSE)='District Calculations'!$B$14,VLOOKUP($A132,EnrollData2324,'2324 Jun 24 Enroll'!G$1,FALSE),'District Calculations'!$B$14)*Apport_212A2324,3)</f>
        <v>8.0239999999999991</v>
      </c>
      <c r="X132">
        <f>ROUND(IF(VLOOKUP($A132,EnrollData2324,'2324 Jun 24 Enroll'!H$1,FALSE)='District Calculations'!$B$14,VLOOKUP($A132,EnrollData2324,'2324 Jun 24 Enroll'!H$1,FALSE),'District Calculations'!$B$14)*Apport_215A2324,3)</f>
        <v>7.9279999999999999</v>
      </c>
      <c r="Y132">
        <f>ROUND(IF(VLOOKUP($A132,EnrollData2324,'2324 Jun 24 Enroll'!I$1,FALSE)+VLOOKUP($A132,EnrollData2324,'2324 Jun 24 Enroll'!M$1,FALSE)-VLOOKUP($A132,EnrollData2324,'2324 Jun 24 Enroll'!J$1,FALSE)='District Calculations'!$B$16+'District Calculations'!$B$25-'District Calculations'!$B$17,VLOOKUP($A132,EnrollData2324,'2324 Jun 24 Enroll'!I$1,FALSE)+VLOOKUP($A132,EnrollData2324,'2324 Jun 24 Enroll'!M$1,FALSE)-VLOOKUP($A132,EnrollData2324,'2324 Jun 24 Enroll'!J$1,FALSE),'District Calculations'!$B$16+'District Calculations'!$B$25-'District Calculations'!$B$17)*Apport_218A2324,3)</f>
        <v>19.917999999999999</v>
      </c>
      <c r="Z132">
        <f>ROUND(SUM(T132:Y132)/IF(VLOOKUP($A132,EnrollData2324,'2324 Jun 24 Enroll'!M$1,FALSE)+VLOOKUP($A132,EnrollData2324,'2324 Jun 24 Enroll'!D$1,FALSE)='District Calculations'!$B$25+'District Calculations'!$B$11,VLOOKUP($A132,EnrollData2324,'2324 Jun 24 Enroll'!M$1,FALSE)+VLOOKUP($A132,EnrollData2324,'2324 Jun 24 Enroll'!D$1,FALSE),'District Calculations'!$B$25+'District Calculations'!$B$11),5)</f>
        <v>1.7399999999999999E-2</v>
      </c>
      <c r="AA132" s="6">
        <f>ROUND($J132*CIS_Base_Salary2324*VLOOKUP($A132,EnrollData2324,'2324 Jun 24 Enroll'!S$1,FALSE),2)</f>
        <v>4765.53</v>
      </c>
      <c r="AB132" s="6">
        <f>ROUND($J132*CIS_Inc_Salary2324*(VLOOKUP($A132,EnrollData2324,'2324 Jun 24 Enroll'!T$1,FALSE)+VLOOKUP($A132,EnrollData2324,'2324 Jun 24 Enroll'!U$1,FALSE)),2)-AA132</f>
        <v>176.32999999999993</v>
      </c>
      <c r="AC132" s="6">
        <f>ROUND($R132*CAS_Base_Salary2324*VLOOKUP($A132,EnrollData2324,'2324 Jun 24 Enroll'!S$1,FALSE),2)</f>
        <v>522.29</v>
      </c>
      <c r="AD132" s="6">
        <f>ROUND($R132*CAS_Inc_Salary2324*VLOOKUP($A132,EnrollData2324,'2324 Jun 24 Enroll'!T$1,FALSE),2)-AC132</f>
        <v>19.32000000000005</v>
      </c>
      <c r="AE132" s="6">
        <f>ROUND($Z132*CLS_Base_Salary2324*VLOOKUP($A132,EnrollData2324,'2324 Jun 24 Enroll'!S$1,FALSE),2)</f>
        <v>1071.22</v>
      </c>
      <c r="AF132" s="6">
        <f>ROUND($Z132*CLS_Inc_Salary2324*VLOOKUP($A132,EnrollData2324,'2324 Jun 24 Enroll'!T$1,FALSE),2)-AE132</f>
        <v>39.619999999999891</v>
      </c>
      <c r="AG132">
        <f t="shared" si="35"/>
        <v>734.16</v>
      </c>
      <c r="AH132" s="69">
        <f t="shared" si="39"/>
        <v>68.700000000000045</v>
      </c>
      <c r="AI132">
        <f t="shared" si="36"/>
        <v>214.23</v>
      </c>
      <c r="AJ132">
        <f t="shared" si="40"/>
        <v>114.21000000000001</v>
      </c>
      <c r="AK132">
        <f t="shared" si="41"/>
        <v>950.22</v>
      </c>
      <c r="AL132">
        <f t="shared" si="42"/>
        <v>33.909999999999997</v>
      </c>
      <c r="AM132">
        <f t="shared" si="43"/>
        <v>236.31</v>
      </c>
      <c r="AN132">
        <f t="shared" si="44"/>
        <v>7.35</v>
      </c>
      <c r="AO132">
        <f>ROUND(($J132*CIS_Inc_Salary2324*(VLOOKUP($A132,EnrollData2324,'2324 Jun 24 Enroll'!T$1,FALSE)+VLOOKUP($A132,EnrollData2324,'2324 Jun 24 Enroll'!U$1,FALSE))/Apport_613Xpd)*Apport_614Xpd,2)</f>
        <v>82.36</v>
      </c>
      <c r="AP132">
        <f t="shared" si="45"/>
        <v>14.27</v>
      </c>
      <c r="AQ132">
        <f t="shared" si="46"/>
        <v>30.93</v>
      </c>
      <c r="AR132" s="6">
        <f>ROUND((VLOOKUP($A132,EnrollData2324,'2324 Jun 24 Enroll'!D$1,FALSE)*Apport_M802324+VLOOKUP($A132,EnrollData2324,'2324 Jun 24 Enroll'!M$1,FALSE)*Apport_M802324+(VLOOKUP($A132,EnrollData2324,'2324 Jun 24 Enroll'!P$1,FALSE)+VLOOKUP($A132,EnrollData2324,'2324 Jun 24 Enroll'!Q$1,FALSE)+VLOOKUP($A132,EnrollData2324,'2324 Jun 24 Enroll'!R$1,FALSE)+VLOOKUP($A132,EnrollData2324,'2324 Jun 24 Enroll'!I$1,FALSE)+VLOOKUP($A132,EnrollData2324,'2324 Jun 24 Enroll'!N$1,FALSE)+VLOOKUP($A132,EnrollData2324,'2324 Jun 24 Enroll'!O$1,FALSE)+VLOOKUP($A132,EnrollData2324,'2324 Jun 24 Enroll'!K$1,FALSE)+VLOOKUP($A132,EnrollData2324,'2324 Jun 24 Enroll'!L$1,FALSE))*Apport_M812324)/(VLOOKUP($A132,EnrollData2324,'2324 Jun 24 Enroll'!M$1,FALSE)+VLOOKUP($A132,EnrollData2324,'2324 Jun 24 Enroll'!D$1,FALSE)),2)</f>
        <v>1552.64</v>
      </c>
      <c r="AS132" s="7">
        <f t="shared" si="47"/>
        <v>10633.599999999999</v>
      </c>
    </row>
    <row r="133" spans="1:45">
      <c r="A133" s="40" t="s">
        <v>548</v>
      </c>
      <c r="B133" s="40" t="s">
        <v>549</v>
      </c>
      <c r="C133" s="11">
        <f>ROUND((IFERROR((1/IF(VLOOKUP($A133,EnrollData2324,28,FALSE)='District Calculations'!$B$10,VLOOKUP($A133,EnrollData2324,28,FALSE),'District Calculations'!$B$10))*(1+Apport_Z315),0))+Apport_201A2324,6)</f>
        <v>7.3449E-2</v>
      </c>
      <c r="D133">
        <f>ROUND(IF(VLOOKUP($A133,EnrollData2324,'2324 Jun 24 Enroll'!D$1,FALSE)='District Calculations'!$B$11,VLOOKUP($A133,EnrollData2324,'2324 Jun 24 Enroll'!D$1,FALSE),'District Calculations'!$B$11)*C133,3)</f>
        <v>0</v>
      </c>
      <c r="E133">
        <f>ROUND(IF(VLOOKUP($A133,EnrollData2324,'2324 Jun 24 Enroll'!E$1,FALSE)='District Calculations'!$B$12,VLOOKUP($A133,EnrollData2324,'2324 Jun 24 Enroll'!E$1,FALSE),'District Calculations'!$B$12)*C133,3)</f>
        <v>59.53</v>
      </c>
      <c r="F133">
        <f>ROUND(IF(VLOOKUP($A133,EnrollData2324,'2324 Jun 24 Enroll'!F$1,FALSE)='District Calculations'!$B$13,VLOOKUP($A133,EnrollData2324,'2324 Jun 24 Enroll'!F$1,FALSE),'District Calculations'!$B$13)*Apport_222A2324,3)</f>
        <v>10.101000000000001</v>
      </c>
      <c r="G133">
        <f>ROUND(IF(VLOOKUP($A133,EnrollData2324,'2324 Jun 24 Enroll'!G$1,FALSE)='District Calculations'!$B$14,VLOOKUP($A133,EnrollData2324,'2324 Jun 24 Enroll'!G$1,FALSE),'District Calculations'!$B$14)*Apport_210A2324,3)</f>
        <v>22.395</v>
      </c>
      <c r="H133">
        <f>ROUND(IF(VLOOKUP($A133,EnrollData2324,'2324 Jun 24 Enroll'!H$1,FALSE)='District Calculations'!$B$15,VLOOKUP($A133,EnrollData2324,'2324 Jun 24 Enroll'!H$1,FALSE),'District Calculations'!$B$15)*Apport_213A2324,3)</f>
        <v>23.091999999999999</v>
      </c>
      <c r="I133">
        <f>ROUND(IF(VLOOKUP($A133,EnrollData2324,'2324 Jun 24 Enroll'!I$1,FALSE)+VLOOKUP($A133,EnrollData2324,'2324 Jun 24 Enroll'!M$1,FALSE)-VLOOKUP($A133,EnrollData2324,'2324 Jun 24 Enroll'!J$1,FALSE)='District Calculations'!$B$16+'District Calculations'!$B$25-'District Calculations'!$B$17,VLOOKUP($A133,EnrollData2324,'2324 Jun 24 Enroll'!I$1,FALSE)+VLOOKUP($A133,EnrollData2324,'2324 Jun 24 Enroll'!M$1,FALSE)-VLOOKUP($A133,EnrollData2324,'2324 Jun 24 Enroll'!J$1,FALSE),'District Calculations'!$B$16+'District Calculations'!$B$25-'District Calculations'!$B$17)*Apport_216A2324,3)</f>
        <v>58.183999999999997</v>
      </c>
      <c r="J133">
        <f>ROUND(SUM(D133:I133)/(IF(VLOOKUP($A133,EnrollData2324,'2324 Jun 24 Enroll'!M$1,FALSE)='District Calculations'!$B$25,VLOOKUP($A133,EnrollData2324,'2324 Jun 24 Enroll'!M$1,FALSE),'District Calculations'!$B$25)+IF(VLOOKUP($A133,EnrollData2324,'2324 Jun 24 Enroll'!D$1,FALSE)='District Calculations'!$B$11,VLOOKUP($A133,EnrollData2324,'2324 Jun 24 Enroll'!D$1,FALSE),'District Calculations'!$B$11)),5)</f>
        <v>5.5530000000000003E-2</v>
      </c>
      <c r="K133" s="11">
        <f t="shared" si="37"/>
        <v>4.365E-3</v>
      </c>
      <c r="L133">
        <f>ROUND(IF(VLOOKUP($A133,EnrollData2324,'2324 Jun 24 Enroll'!D$1,FALSE)='District Calculations'!$B$11,VLOOKUP($A133,EnrollData2324,'2324 Jun 24 Enroll'!D$1,FALSE),'District Calculations'!$B$11)*K133,3)</f>
        <v>0</v>
      </c>
      <c r="M133">
        <f>ROUND(IF(VLOOKUP($A133,EnrollData2324,'2324 Jun 24 Enroll'!E$1,FALSE)='District Calculations'!$B$12,VLOOKUP($A133,EnrollData2324,'2324 Jun 24 Enroll'!E$1,FALSE),'District Calculations'!$B$12)*K133,3)</f>
        <v>3.5379999999999998</v>
      </c>
      <c r="N133">
        <f>ROUND(IF(VLOOKUP($A133,EnrollData2324,'2324 Jun 24 Enroll'!F$1,FALSE)='District Calculations'!$B$13,VLOOKUP($A133,EnrollData2324,'2324 Jun 24 Enroll'!F$1,FALSE),'District Calculations'!$B$13)*Apport_223A2324,3)</f>
        <v>0.84199999999999997</v>
      </c>
      <c r="O133">
        <f>ROUND(IF(VLOOKUP($A133,EnrollData2324,'2324 Jun 24 Enroll'!G$1,FALSE)='District Calculations'!$B$14,VLOOKUP($A133,EnrollData2324,'2324 Jun 24 Enroll'!G$1,FALSE),'District Calculations'!$B$14)*Apport_211A2324,3)</f>
        <v>1.867</v>
      </c>
      <c r="P133">
        <f>ROUND(IF(VLOOKUP($A133,EnrollData2324,'2324 Jun 24 Enroll'!H$1,FALSE)='District Calculations'!$B$14,VLOOKUP($A133,EnrollData2324,'2324 Jun 24 Enroll'!H$1,FALSE),'District Calculations'!$B$14)*Apport_214A2324,3)</f>
        <v>1.8660000000000001</v>
      </c>
      <c r="Q133">
        <f>ROUND(IF(VLOOKUP($A133,EnrollData2324,'2324 Jun 24 Enroll'!I$1,FALSE)+VLOOKUP($A133,EnrollData2324,'2324 Jun 24 Enroll'!M$1,FALSE)-VLOOKUP($A133,EnrollData2324,'2324 Jun 24 Enroll'!J$1,FALSE)='District Calculations'!$B$16+'District Calculations'!$B$25-'District Calculations'!$B$17,VLOOKUP($A133,EnrollData2324,'2324 Jun 24 Enroll'!I$1,FALSE)+VLOOKUP($A133,EnrollData2324,'2324 Jun 24 Enroll'!M$1,FALSE)-VLOOKUP($A133,EnrollData2324,'2324 Jun 24 Enroll'!J$1,FALSE),'District Calculations'!$B$16+'District Calculations'!$B$25-'District Calculations'!$B$17)*Apport_217A2324,3)</f>
        <v>4.6980000000000004</v>
      </c>
      <c r="R133">
        <f>ROUND(SUM(L133:Q133)/IF(VLOOKUP($A133,EnrollData2324,'2324 Jun 24 Enroll'!M$1,FALSE)+VLOOKUP($A133,EnrollData2324,'2324 Jun 24 Enroll'!D$1,FALSE)='District Calculations'!$B$25+'District Calculations'!$B$11,VLOOKUP($A133,EnrollData2324,'2324 Jun 24 Enroll'!M$1,FALSE)+VLOOKUP($A133,EnrollData2324,'2324 Jun 24 Enroll'!D$1,FALSE),'District Calculations'!$B$25+'District Calculations'!$B$11),5)</f>
        <v>4.1000000000000003E-3</v>
      </c>
      <c r="S133" s="11">
        <f t="shared" si="38"/>
        <v>1.8294500000000002E-2</v>
      </c>
      <c r="T133">
        <f>ROUND(IF(VLOOKUP($A133,EnrollData2324,'2324 Jun 24 Enroll'!D$1,FALSE)='District Calculations'!$B$11,VLOOKUP($A133,EnrollData2324,'2324 Jun 24 Enroll'!D$1,FALSE),'District Calculations'!$B$11)*S133,3)</f>
        <v>0</v>
      </c>
      <c r="U133">
        <f>ROUND(IF(VLOOKUP($A133,EnrollData2324,'2324 Jun 24 Enroll'!E$1,FALSE)='District Calculations'!$B$12,VLOOKUP($A133,EnrollData2324,'2324 Jun 24 Enroll'!E$1,FALSE),'District Calculations'!$B$12)*S133,3)</f>
        <v>14.827999999999999</v>
      </c>
      <c r="V133">
        <f>ROUND(IF(VLOOKUP($A133,EnrollData2324,'2324 Jun 24 Enroll'!F$1,FALSE)='District Calculations'!$B$13,VLOOKUP($A133,EnrollData2324,'2324 Jun 24 Enroll'!F$1,FALSE),'District Calculations'!$B$13)*Apport_224A2324,3)</f>
        <v>3.6190000000000002</v>
      </c>
      <c r="W133">
        <f>ROUND(IF(VLOOKUP($A133,EnrollData2324,'2324 Jun 24 Enroll'!G$1,FALSE)='District Calculations'!$B$14,VLOOKUP($A133,EnrollData2324,'2324 Jun 24 Enroll'!G$1,FALSE),'District Calculations'!$B$14)*Apport_212A2324,3)</f>
        <v>8.0239999999999991</v>
      </c>
      <c r="X133">
        <f>ROUND(IF(VLOOKUP($A133,EnrollData2324,'2324 Jun 24 Enroll'!H$1,FALSE)='District Calculations'!$B$14,VLOOKUP($A133,EnrollData2324,'2324 Jun 24 Enroll'!H$1,FALSE),'District Calculations'!$B$14)*Apport_215A2324,3)</f>
        <v>7.9279999999999999</v>
      </c>
      <c r="Y133">
        <f>ROUND(IF(VLOOKUP($A133,EnrollData2324,'2324 Jun 24 Enroll'!I$1,FALSE)+VLOOKUP($A133,EnrollData2324,'2324 Jun 24 Enroll'!M$1,FALSE)-VLOOKUP($A133,EnrollData2324,'2324 Jun 24 Enroll'!J$1,FALSE)='District Calculations'!$B$16+'District Calculations'!$B$25-'District Calculations'!$B$17,VLOOKUP($A133,EnrollData2324,'2324 Jun 24 Enroll'!I$1,FALSE)+VLOOKUP($A133,EnrollData2324,'2324 Jun 24 Enroll'!M$1,FALSE)-VLOOKUP($A133,EnrollData2324,'2324 Jun 24 Enroll'!J$1,FALSE),'District Calculations'!$B$16+'District Calculations'!$B$25-'District Calculations'!$B$17)*Apport_218A2324,3)</f>
        <v>19.917999999999999</v>
      </c>
      <c r="Z133">
        <f>ROUND(SUM(T133:Y133)/IF(VLOOKUP($A133,EnrollData2324,'2324 Jun 24 Enroll'!M$1,FALSE)+VLOOKUP($A133,EnrollData2324,'2324 Jun 24 Enroll'!D$1,FALSE)='District Calculations'!$B$25+'District Calculations'!$B$11,VLOOKUP($A133,EnrollData2324,'2324 Jun 24 Enroll'!M$1,FALSE)+VLOOKUP($A133,EnrollData2324,'2324 Jun 24 Enroll'!D$1,FALSE),'District Calculations'!$B$25+'District Calculations'!$B$11),5)</f>
        <v>1.7399999999999999E-2</v>
      </c>
      <c r="AA133" s="6">
        <f>ROUND($J133*CIS_Base_Salary2324*VLOOKUP($A133,EnrollData2324,'2324 Jun 24 Enroll'!S$1,FALSE),2)</f>
        <v>4765.53</v>
      </c>
      <c r="AB133" s="6">
        <f>ROUND($J133*CIS_Inc_Salary2324*(VLOOKUP($A133,EnrollData2324,'2324 Jun 24 Enroll'!T$1,FALSE)+VLOOKUP($A133,EnrollData2324,'2324 Jun 24 Enroll'!U$1,FALSE)),2)-AA133</f>
        <v>176.32999999999993</v>
      </c>
      <c r="AC133" s="6">
        <f>ROUND($R133*CAS_Base_Salary2324*VLOOKUP($A133,EnrollData2324,'2324 Jun 24 Enroll'!S$1,FALSE),2)</f>
        <v>522.29</v>
      </c>
      <c r="AD133" s="6">
        <f>ROUND($R133*CAS_Inc_Salary2324*VLOOKUP($A133,EnrollData2324,'2324 Jun 24 Enroll'!T$1,FALSE),2)-AC133</f>
        <v>19.32000000000005</v>
      </c>
      <c r="AE133" s="6">
        <f>ROUND($Z133*CLS_Base_Salary2324*VLOOKUP($A133,EnrollData2324,'2324 Jun 24 Enroll'!S$1,FALSE),2)</f>
        <v>1071.22</v>
      </c>
      <c r="AF133" s="6">
        <f>ROUND($Z133*CLS_Inc_Salary2324*VLOOKUP($A133,EnrollData2324,'2324 Jun 24 Enroll'!T$1,FALSE),2)-AE133</f>
        <v>39.619999999999891</v>
      </c>
      <c r="AG133">
        <f t="shared" si="35"/>
        <v>734.16</v>
      </c>
      <c r="AH133" s="69">
        <f t="shared" si="39"/>
        <v>68.700000000000045</v>
      </c>
      <c r="AI133">
        <f t="shared" si="36"/>
        <v>214.23</v>
      </c>
      <c r="AJ133">
        <f t="shared" si="40"/>
        <v>114.21000000000001</v>
      </c>
      <c r="AK133">
        <f t="shared" si="41"/>
        <v>950.22</v>
      </c>
      <c r="AL133">
        <f t="shared" si="42"/>
        <v>33.909999999999997</v>
      </c>
      <c r="AM133">
        <f t="shared" si="43"/>
        <v>236.31</v>
      </c>
      <c r="AN133">
        <f t="shared" si="44"/>
        <v>7.35</v>
      </c>
      <c r="AO133">
        <f>ROUND(($J133*CIS_Inc_Salary2324*(VLOOKUP($A133,EnrollData2324,'2324 Jun 24 Enroll'!T$1,FALSE)+VLOOKUP($A133,EnrollData2324,'2324 Jun 24 Enroll'!U$1,FALSE))/Apport_613Xpd)*Apport_614Xpd,2)</f>
        <v>82.36</v>
      </c>
      <c r="AP133">
        <f t="shared" si="45"/>
        <v>14.27</v>
      </c>
      <c r="AQ133">
        <f t="shared" si="46"/>
        <v>30.93</v>
      </c>
      <c r="AR133" s="6">
        <f>ROUND((VLOOKUP($A133,EnrollData2324,'2324 Jun 24 Enroll'!D$1,FALSE)*Apport_M802324+VLOOKUP($A133,EnrollData2324,'2324 Jun 24 Enroll'!M$1,FALSE)*Apport_M802324+(VLOOKUP($A133,EnrollData2324,'2324 Jun 24 Enroll'!P$1,FALSE)+VLOOKUP($A133,EnrollData2324,'2324 Jun 24 Enroll'!Q$1,FALSE)+VLOOKUP($A133,EnrollData2324,'2324 Jun 24 Enroll'!R$1,FALSE)+VLOOKUP($A133,EnrollData2324,'2324 Jun 24 Enroll'!I$1,FALSE)+VLOOKUP($A133,EnrollData2324,'2324 Jun 24 Enroll'!N$1,FALSE)+VLOOKUP($A133,EnrollData2324,'2324 Jun 24 Enroll'!O$1,FALSE)+VLOOKUP($A133,EnrollData2324,'2324 Jun 24 Enroll'!K$1,FALSE)+VLOOKUP($A133,EnrollData2324,'2324 Jun 24 Enroll'!L$1,FALSE))*Apport_M812324)/(VLOOKUP($A133,EnrollData2324,'2324 Jun 24 Enroll'!M$1,FALSE)+VLOOKUP($A133,EnrollData2324,'2324 Jun 24 Enroll'!D$1,FALSE)),2)</f>
        <v>1545.62</v>
      </c>
      <c r="AS133" s="7">
        <f t="shared" si="47"/>
        <v>10626.579999999998</v>
      </c>
    </row>
    <row r="134" spans="1:45">
      <c r="A134" s="40" t="s">
        <v>526</v>
      </c>
      <c r="B134" s="40" t="s">
        <v>527</v>
      </c>
      <c r="C134" s="11">
        <f>ROUND((IFERROR((1/IF(VLOOKUP($A134,EnrollData2324,28,FALSE)='District Calculations'!$B$10,VLOOKUP($A134,EnrollData2324,28,FALSE),'District Calculations'!$B$10))*(1+Apport_Z315),0))+Apport_201A2324,6)</f>
        <v>7.3449E-2</v>
      </c>
      <c r="D134">
        <f>ROUND(IF(VLOOKUP($A134,EnrollData2324,'2324 Jun 24 Enroll'!D$1,FALSE)='District Calculations'!$B$11,VLOOKUP($A134,EnrollData2324,'2324 Jun 24 Enroll'!D$1,FALSE),'District Calculations'!$B$11)*C134,3)</f>
        <v>0</v>
      </c>
      <c r="E134">
        <f>ROUND(IF(VLOOKUP($A134,EnrollData2324,'2324 Jun 24 Enroll'!E$1,FALSE)='District Calculations'!$B$12,VLOOKUP($A134,EnrollData2324,'2324 Jun 24 Enroll'!E$1,FALSE),'District Calculations'!$B$12)*C134,3)</f>
        <v>59.53</v>
      </c>
      <c r="F134">
        <f>ROUND(IF(VLOOKUP($A134,EnrollData2324,'2324 Jun 24 Enroll'!F$1,FALSE)='District Calculations'!$B$13,VLOOKUP($A134,EnrollData2324,'2324 Jun 24 Enroll'!F$1,FALSE),'District Calculations'!$B$13)*Apport_222A2324,3)</f>
        <v>10.101000000000001</v>
      </c>
      <c r="G134">
        <f>ROUND(IF(VLOOKUP($A134,EnrollData2324,'2324 Jun 24 Enroll'!G$1,FALSE)='District Calculations'!$B$14,VLOOKUP($A134,EnrollData2324,'2324 Jun 24 Enroll'!G$1,FALSE),'District Calculations'!$B$14)*Apport_210A2324,3)</f>
        <v>22.395</v>
      </c>
      <c r="H134">
        <f>ROUND(IF(VLOOKUP($A134,EnrollData2324,'2324 Jun 24 Enroll'!H$1,FALSE)='District Calculations'!$B$15,VLOOKUP($A134,EnrollData2324,'2324 Jun 24 Enroll'!H$1,FALSE),'District Calculations'!$B$15)*Apport_213A2324,3)</f>
        <v>23.091999999999999</v>
      </c>
      <c r="I134">
        <f>ROUND(IF(VLOOKUP($A134,EnrollData2324,'2324 Jun 24 Enroll'!I$1,FALSE)+VLOOKUP($A134,EnrollData2324,'2324 Jun 24 Enroll'!M$1,FALSE)-VLOOKUP($A134,EnrollData2324,'2324 Jun 24 Enroll'!J$1,FALSE)='District Calculations'!$B$16+'District Calculations'!$B$25-'District Calculations'!$B$17,VLOOKUP($A134,EnrollData2324,'2324 Jun 24 Enroll'!I$1,FALSE)+VLOOKUP($A134,EnrollData2324,'2324 Jun 24 Enroll'!M$1,FALSE)-VLOOKUP($A134,EnrollData2324,'2324 Jun 24 Enroll'!J$1,FALSE),'District Calculations'!$B$16+'District Calculations'!$B$25-'District Calculations'!$B$17)*Apport_216A2324,3)</f>
        <v>58.183999999999997</v>
      </c>
      <c r="J134">
        <f>ROUND(SUM(D134:I134)/(IF(VLOOKUP($A134,EnrollData2324,'2324 Jun 24 Enroll'!M$1,FALSE)='District Calculations'!$B$25,VLOOKUP($A134,EnrollData2324,'2324 Jun 24 Enroll'!M$1,FALSE),'District Calculations'!$B$25)+IF(VLOOKUP($A134,EnrollData2324,'2324 Jun 24 Enroll'!D$1,FALSE)='District Calculations'!$B$11,VLOOKUP($A134,EnrollData2324,'2324 Jun 24 Enroll'!D$1,FALSE),'District Calculations'!$B$11)),5)</f>
        <v>5.5530000000000003E-2</v>
      </c>
      <c r="K134" s="11">
        <f t="shared" si="37"/>
        <v>4.365E-3</v>
      </c>
      <c r="L134">
        <f>ROUND(IF(VLOOKUP($A134,EnrollData2324,'2324 Jun 24 Enroll'!D$1,FALSE)='District Calculations'!$B$11,VLOOKUP($A134,EnrollData2324,'2324 Jun 24 Enroll'!D$1,FALSE),'District Calculations'!$B$11)*K134,3)</f>
        <v>0</v>
      </c>
      <c r="M134">
        <f>ROUND(IF(VLOOKUP($A134,EnrollData2324,'2324 Jun 24 Enroll'!E$1,FALSE)='District Calculations'!$B$12,VLOOKUP($A134,EnrollData2324,'2324 Jun 24 Enroll'!E$1,FALSE),'District Calculations'!$B$12)*K134,3)</f>
        <v>3.5379999999999998</v>
      </c>
      <c r="N134">
        <f>ROUND(IF(VLOOKUP($A134,EnrollData2324,'2324 Jun 24 Enroll'!F$1,FALSE)='District Calculations'!$B$13,VLOOKUP($A134,EnrollData2324,'2324 Jun 24 Enroll'!F$1,FALSE),'District Calculations'!$B$13)*Apport_223A2324,3)</f>
        <v>0.84199999999999997</v>
      </c>
      <c r="O134">
        <f>ROUND(IF(VLOOKUP($A134,EnrollData2324,'2324 Jun 24 Enroll'!G$1,FALSE)='District Calculations'!$B$14,VLOOKUP($A134,EnrollData2324,'2324 Jun 24 Enroll'!G$1,FALSE),'District Calculations'!$B$14)*Apport_211A2324,3)</f>
        <v>1.867</v>
      </c>
      <c r="P134">
        <f>ROUND(IF(VLOOKUP($A134,EnrollData2324,'2324 Jun 24 Enroll'!H$1,FALSE)='District Calculations'!$B$14,VLOOKUP($A134,EnrollData2324,'2324 Jun 24 Enroll'!H$1,FALSE),'District Calculations'!$B$14)*Apport_214A2324,3)</f>
        <v>1.8660000000000001</v>
      </c>
      <c r="Q134">
        <f>ROUND(IF(VLOOKUP($A134,EnrollData2324,'2324 Jun 24 Enroll'!I$1,FALSE)+VLOOKUP($A134,EnrollData2324,'2324 Jun 24 Enroll'!M$1,FALSE)-VLOOKUP($A134,EnrollData2324,'2324 Jun 24 Enroll'!J$1,FALSE)='District Calculations'!$B$16+'District Calculations'!$B$25-'District Calculations'!$B$17,VLOOKUP($A134,EnrollData2324,'2324 Jun 24 Enroll'!I$1,FALSE)+VLOOKUP($A134,EnrollData2324,'2324 Jun 24 Enroll'!M$1,FALSE)-VLOOKUP($A134,EnrollData2324,'2324 Jun 24 Enroll'!J$1,FALSE),'District Calculations'!$B$16+'District Calculations'!$B$25-'District Calculations'!$B$17)*Apport_217A2324,3)</f>
        <v>4.6980000000000004</v>
      </c>
      <c r="R134">
        <f>ROUND(SUM(L134:Q134)/IF(VLOOKUP($A134,EnrollData2324,'2324 Jun 24 Enroll'!M$1,FALSE)+VLOOKUP($A134,EnrollData2324,'2324 Jun 24 Enroll'!D$1,FALSE)='District Calculations'!$B$25+'District Calculations'!$B$11,VLOOKUP($A134,EnrollData2324,'2324 Jun 24 Enroll'!M$1,FALSE)+VLOOKUP($A134,EnrollData2324,'2324 Jun 24 Enroll'!D$1,FALSE),'District Calculations'!$B$25+'District Calculations'!$B$11),5)</f>
        <v>4.1000000000000003E-3</v>
      </c>
      <c r="S134" s="11">
        <f t="shared" si="38"/>
        <v>1.8294500000000002E-2</v>
      </c>
      <c r="T134">
        <f>ROUND(IF(VLOOKUP($A134,EnrollData2324,'2324 Jun 24 Enroll'!D$1,FALSE)='District Calculations'!$B$11,VLOOKUP($A134,EnrollData2324,'2324 Jun 24 Enroll'!D$1,FALSE),'District Calculations'!$B$11)*S134,3)</f>
        <v>0</v>
      </c>
      <c r="U134">
        <f>ROUND(IF(VLOOKUP($A134,EnrollData2324,'2324 Jun 24 Enroll'!E$1,FALSE)='District Calculations'!$B$12,VLOOKUP($A134,EnrollData2324,'2324 Jun 24 Enroll'!E$1,FALSE),'District Calculations'!$B$12)*S134,3)</f>
        <v>14.827999999999999</v>
      </c>
      <c r="V134">
        <f>ROUND(IF(VLOOKUP($A134,EnrollData2324,'2324 Jun 24 Enroll'!F$1,FALSE)='District Calculations'!$B$13,VLOOKUP($A134,EnrollData2324,'2324 Jun 24 Enroll'!F$1,FALSE),'District Calculations'!$B$13)*Apport_224A2324,3)</f>
        <v>3.6190000000000002</v>
      </c>
      <c r="W134">
        <f>ROUND(IF(VLOOKUP($A134,EnrollData2324,'2324 Jun 24 Enroll'!G$1,FALSE)='District Calculations'!$B$14,VLOOKUP($A134,EnrollData2324,'2324 Jun 24 Enroll'!G$1,FALSE),'District Calculations'!$B$14)*Apport_212A2324,3)</f>
        <v>8.0239999999999991</v>
      </c>
      <c r="X134">
        <f>ROUND(IF(VLOOKUP($A134,EnrollData2324,'2324 Jun 24 Enroll'!H$1,FALSE)='District Calculations'!$B$14,VLOOKUP($A134,EnrollData2324,'2324 Jun 24 Enroll'!H$1,FALSE),'District Calculations'!$B$14)*Apport_215A2324,3)</f>
        <v>7.9279999999999999</v>
      </c>
      <c r="Y134">
        <f>ROUND(IF(VLOOKUP($A134,EnrollData2324,'2324 Jun 24 Enroll'!I$1,FALSE)+VLOOKUP($A134,EnrollData2324,'2324 Jun 24 Enroll'!M$1,FALSE)-VLOOKUP($A134,EnrollData2324,'2324 Jun 24 Enroll'!J$1,FALSE)='District Calculations'!$B$16+'District Calculations'!$B$25-'District Calculations'!$B$17,VLOOKUP($A134,EnrollData2324,'2324 Jun 24 Enroll'!I$1,FALSE)+VLOOKUP($A134,EnrollData2324,'2324 Jun 24 Enroll'!M$1,FALSE)-VLOOKUP($A134,EnrollData2324,'2324 Jun 24 Enroll'!J$1,FALSE),'District Calculations'!$B$16+'District Calculations'!$B$25-'District Calculations'!$B$17)*Apport_218A2324,3)</f>
        <v>19.917999999999999</v>
      </c>
      <c r="Z134">
        <f>ROUND(SUM(T134:Y134)/IF(VLOOKUP($A134,EnrollData2324,'2324 Jun 24 Enroll'!M$1,FALSE)+VLOOKUP($A134,EnrollData2324,'2324 Jun 24 Enroll'!D$1,FALSE)='District Calculations'!$B$25+'District Calculations'!$B$11,VLOOKUP($A134,EnrollData2324,'2324 Jun 24 Enroll'!M$1,FALSE)+VLOOKUP($A134,EnrollData2324,'2324 Jun 24 Enroll'!D$1,FALSE),'District Calculations'!$B$25+'District Calculations'!$B$11),5)</f>
        <v>1.7399999999999999E-2</v>
      </c>
      <c r="AA134" s="6">
        <f>ROUND($J134*CIS_Base_Salary2324*VLOOKUP($A134,EnrollData2324,'2324 Jun 24 Enroll'!S$1,FALSE),2)</f>
        <v>4765.53</v>
      </c>
      <c r="AB134" s="6">
        <f>ROUND($J134*CIS_Inc_Salary2324*(VLOOKUP($A134,EnrollData2324,'2324 Jun 24 Enroll'!T$1,FALSE)+VLOOKUP($A134,EnrollData2324,'2324 Jun 24 Enroll'!U$1,FALSE)),2)-AA134</f>
        <v>176.32999999999993</v>
      </c>
      <c r="AC134" s="6">
        <f>ROUND($R134*CAS_Base_Salary2324*VLOOKUP($A134,EnrollData2324,'2324 Jun 24 Enroll'!S$1,FALSE),2)</f>
        <v>522.29</v>
      </c>
      <c r="AD134" s="6">
        <f>ROUND($R134*CAS_Inc_Salary2324*VLOOKUP($A134,EnrollData2324,'2324 Jun 24 Enroll'!T$1,FALSE),2)-AC134</f>
        <v>19.32000000000005</v>
      </c>
      <c r="AE134" s="6">
        <f>ROUND($Z134*CLS_Base_Salary2324*VLOOKUP($A134,EnrollData2324,'2324 Jun 24 Enroll'!S$1,FALSE),2)</f>
        <v>1071.22</v>
      </c>
      <c r="AF134" s="6">
        <f>ROUND($Z134*CLS_Inc_Salary2324*VLOOKUP($A134,EnrollData2324,'2324 Jun 24 Enroll'!T$1,FALSE),2)-AE134</f>
        <v>39.619999999999891</v>
      </c>
      <c r="AG134">
        <f t="shared" si="35"/>
        <v>734.16</v>
      </c>
      <c r="AH134" s="69">
        <f t="shared" si="39"/>
        <v>68.700000000000045</v>
      </c>
      <c r="AI134">
        <f t="shared" si="36"/>
        <v>214.23</v>
      </c>
      <c r="AJ134">
        <f t="shared" si="40"/>
        <v>114.21000000000001</v>
      </c>
      <c r="AK134">
        <f t="shared" si="41"/>
        <v>950.22</v>
      </c>
      <c r="AL134">
        <f t="shared" si="42"/>
        <v>33.909999999999997</v>
      </c>
      <c r="AM134">
        <f t="shared" si="43"/>
        <v>236.31</v>
      </c>
      <c r="AN134">
        <f t="shared" si="44"/>
        <v>7.35</v>
      </c>
      <c r="AO134">
        <f>ROUND(($J134*CIS_Inc_Salary2324*(VLOOKUP($A134,EnrollData2324,'2324 Jun 24 Enroll'!T$1,FALSE)+VLOOKUP($A134,EnrollData2324,'2324 Jun 24 Enroll'!U$1,FALSE))/Apport_613Xpd)*Apport_614Xpd,2)</f>
        <v>82.36</v>
      </c>
      <c r="AP134">
        <f t="shared" si="45"/>
        <v>14.27</v>
      </c>
      <c r="AQ134">
        <f t="shared" si="46"/>
        <v>30.93</v>
      </c>
      <c r="AR134" s="6">
        <f>ROUND((VLOOKUP($A134,EnrollData2324,'2324 Jun 24 Enroll'!D$1,FALSE)*Apport_M802324+VLOOKUP($A134,EnrollData2324,'2324 Jun 24 Enroll'!M$1,FALSE)*Apport_M802324+(VLOOKUP($A134,EnrollData2324,'2324 Jun 24 Enroll'!P$1,FALSE)+VLOOKUP($A134,EnrollData2324,'2324 Jun 24 Enroll'!Q$1,FALSE)+VLOOKUP($A134,EnrollData2324,'2324 Jun 24 Enroll'!R$1,FALSE)+VLOOKUP($A134,EnrollData2324,'2324 Jun 24 Enroll'!I$1,FALSE)+VLOOKUP($A134,EnrollData2324,'2324 Jun 24 Enroll'!N$1,FALSE)+VLOOKUP($A134,EnrollData2324,'2324 Jun 24 Enroll'!O$1,FALSE)+VLOOKUP($A134,EnrollData2324,'2324 Jun 24 Enroll'!K$1,FALSE)+VLOOKUP($A134,EnrollData2324,'2324 Jun 24 Enroll'!L$1,FALSE))*Apport_M812324)/(VLOOKUP($A134,EnrollData2324,'2324 Jun 24 Enroll'!M$1,FALSE)+VLOOKUP($A134,EnrollData2324,'2324 Jun 24 Enroll'!D$1,FALSE)),2)</f>
        <v>1547.42</v>
      </c>
      <c r="AS134" s="7">
        <f t="shared" si="47"/>
        <v>10628.38</v>
      </c>
    </row>
    <row r="135" spans="1:45">
      <c r="A135" s="40" t="s">
        <v>641</v>
      </c>
      <c r="B135" s="40" t="s">
        <v>642</v>
      </c>
      <c r="C135" s="11">
        <f>ROUND((IFERROR((1/IF(VLOOKUP($A135,EnrollData2324,28,FALSE)='District Calculations'!$B$10,VLOOKUP($A135,EnrollData2324,28,FALSE),'District Calculations'!$B$10))*(1+Apport_Z315),0))+Apport_201A2324,6)</f>
        <v>7.3449E-2</v>
      </c>
      <c r="D135">
        <f>ROUND(IF(VLOOKUP($A135,EnrollData2324,'2324 Jun 24 Enroll'!D$1,FALSE)='District Calculations'!$B$11,VLOOKUP($A135,EnrollData2324,'2324 Jun 24 Enroll'!D$1,FALSE),'District Calculations'!$B$11)*C135,3)</f>
        <v>0</v>
      </c>
      <c r="E135">
        <f>ROUND(IF(VLOOKUP($A135,EnrollData2324,'2324 Jun 24 Enroll'!E$1,FALSE)='District Calculations'!$B$12,VLOOKUP($A135,EnrollData2324,'2324 Jun 24 Enroll'!E$1,FALSE),'District Calculations'!$B$12)*C135,3)</f>
        <v>59.53</v>
      </c>
      <c r="F135">
        <f>ROUND(IF(VLOOKUP($A135,EnrollData2324,'2324 Jun 24 Enroll'!F$1,FALSE)='District Calculations'!$B$13,VLOOKUP($A135,EnrollData2324,'2324 Jun 24 Enroll'!F$1,FALSE),'District Calculations'!$B$13)*Apport_222A2324,3)</f>
        <v>10.101000000000001</v>
      </c>
      <c r="G135">
        <f>ROUND(IF(VLOOKUP($A135,EnrollData2324,'2324 Jun 24 Enroll'!G$1,FALSE)='District Calculations'!$B$14,VLOOKUP($A135,EnrollData2324,'2324 Jun 24 Enroll'!G$1,FALSE),'District Calculations'!$B$14)*Apport_210A2324,3)</f>
        <v>22.395</v>
      </c>
      <c r="H135">
        <f>ROUND(IF(VLOOKUP($A135,EnrollData2324,'2324 Jun 24 Enroll'!H$1,FALSE)='District Calculations'!$B$15,VLOOKUP($A135,EnrollData2324,'2324 Jun 24 Enroll'!H$1,FALSE),'District Calculations'!$B$15)*Apport_213A2324,3)</f>
        <v>23.091999999999999</v>
      </c>
      <c r="I135">
        <f>ROUND(IF(VLOOKUP($A135,EnrollData2324,'2324 Jun 24 Enroll'!I$1,FALSE)+VLOOKUP($A135,EnrollData2324,'2324 Jun 24 Enroll'!M$1,FALSE)-VLOOKUP($A135,EnrollData2324,'2324 Jun 24 Enroll'!J$1,FALSE)='District Calculations'!$B$16+'District Calculations'!$B$25-'District Calculations'!$B$17,VLOOKUP($A135,EnrollData2324,'2324 Jun 24 Enroll'!I$1,FALSE)+VLOOKUP($A135,EnrollData2324,'2324 Jun 24 Enroll'!M$1,FALSE)-VLOOKUP($A135,EnrollData2324,'2324 Jun 24 Enroll'!J$1,FALSE),'District Calculations'!$B$16+'District Calculations'!$B$25-'District Calculations'!$B$17)*Apport_216A2324,3)</f>
        <v>58.183999999999997</v>
      </c>
      <c r="J135">
        <f>ROUND(SUM(D135:I135)/(IF(VLOOKUP($A135,EnrollData2324,'2324 Jun 24 Enroll'!M$1,FALSE)='District Calculations'!$B$25,VLOOKUP($A135,EnrollData2324,'2324 Jun 24 Enroll'!M$1,FALSE),'District Calculations'!$B$25)+IF(VLOOKUP($A135,EnrollData2324,'2324 Jun 24 Enroll'!D$1,FALSE)='District Calculations'!$B$11,VLOOKUP($A135,EnrollData2324,'2324 Jun 24 Enroll'!D$1,FALSE),'District Calculations'!$B$11)),5)</f>
        <v>5.5530000000000003E-2</v>
      </c>
      <c r="K135" s="11">
        <f t="shared" si="37"/>
        <v>4.365E-3</v>
      </c>
      <c r="L135">
        <f>ROUND(IF(VLOOKUP($A135,EnrollData2324,'2324 Jun 24 Enroll'!D$1,FALSE)='District Calculations'!$B$11,VLOOKUP($A135,EnrollData2324,'2324 Jun 24 Enroll'!D$1,FALSE),'District Calculations'!$B$11)*K135,3)</f>
        <v>0</v>
      </c>
      <c r="M135">
        <f>ROUND(IF(VLOOKUP($A135,EnrollData2324,'2324 Jun 24 Enroll'!E$1,FALSE)='District Calculations'!$B$12,VLOOKUP($A135,EnrollData2324,'2324 Jun 24 Enroll'!E$1,FALSE),'District Calculations'!$B$12)*K135,3)</f>
        <v>3.5379999999999998</v>
      </c>
      <c r="N135">
        <f>ROUND(IF(VLOOKUP($A135,EnrollData2324,'2324 Jun 24 Enroll'!F$1,FALSE)='District Calculations'!$B$13,VLOOKUP($A135,EnrollData2324,'2324 Jun 24 Enroll'!F$1,FALSE),'District Calculations'!$B$13)*Apport_223A2324,3)</f>
        <v>0.84199999999999997</v>
      </c>
      <c r="O135">
        <f>ROUND(IF(VLOOKUP($A135,EnrollData2324,'2324 Jun 24 Enroll'!G$1,FALSE)='District Calculations'!$B$14,VLOOKUP($A135,EnrollData2324,'2324 Jun 24 Enroll'!G$1,FALSE),'District Calculations'!$B$14)*Apport_211A2324,3)</f>
        <v>1.867</v>
      </c>
      <c r="P135">
        <f>ROUND(IF(VLOOKUP($A135,EnrollData2324,'2324 Jun 24 Enroll'!H$1,FALSE)='District Calculations'!$B$14,VLOOKUP($A135,EnrollData2324,'2324 Jun 24 Enroll'!H$1,FALSE),'District Calculations'!$B$14)*Apport_214A2324,3)</f>
        <v>1.8660000000000001</v>
      </c>
      <c r="Q135">
        <f>ROUND(IF(VLOOKUP($A135,EnrollData2324,'2324 Jun 24 Enroll'!I$1,FALSE)+VLOOKUP($A135,EnrollData2324,'2324 Jun 24 Enroll'!M$1,FALSE)-VLOOKUP($A135,EnrollData2324,'2324 Jun 24 Enroll'!J$1,FALSE)='District Calculations'!$B$16+'District Calculations'!$B$25-'District Calculations'!$B$17,VLOOKUP($A135,EnrollData2324,'2324 Jun 24 Enroll'!I$1,FALSE)+VLOOKUP($A135,EnrollData2324,'2324 Jun 24 Enroll'!M$1,FALSE)-VLOOKUP($A135,EnrollData2324,'2324 Jun 24 Enroll'!J$1,FALSE),'District Calculations'!$B$16+'District Calculations'!$B$25-'District Calculations'!$B$17)*Apport_217A2324,3)</f>
        <v>4.6980000000000004</v>
      </c>
      <c r="R135">
        <f>ROUND(SUM(L135:Q135)/IF(VLOOKUP($A135,EnrollData2324,'2324 Jun 24 Enroll'!M$1,FALSE)+VLOOKUP($A135,EnrollData2324,'2324 Jun 24 Enroll'!D$1,FALSE)='District Calculations'!$B$25+'District Calculations'!$B$11,VLOOKUP($A135,EnrollData2324,'2324 Jun 24 Enroll'!M$1,FALSE)+VLOOKUP($A135,EnrollData2324,'2324 Jun 24 Enroll'!D$1,FALSE),'District Calculations'!$B$25+'District Calculations'!$B$11),5)</f>
        <v>4.1000000000000003E-3</v>
      </c>
      <c r="S135" s="11">
        <f t="shared" si="38"/>
        <v>1.8294500000000002E-2</v>
      </c>
      <c r="T135">
        <f>ROUND(IF(VLOOKUP($A135,EnrollData2324,'2324 Jun 24 Enroll'!D$1,FALSE)='District Calculations'!$B$11,VLOOKUP($A135,EnrollData2324,'2324 Jun 24 Enroll'!D$1,FALSE),'District Calculations'!$B$11)*S135,3)</f>
        <v>0</v>
      </c>
      <c r="U135">
        <f>ROUND(IF(VLOOKUP($A135,EnrollData2324,'2324 Jun 24 Enroll'!E$1,FALSE)='District Calculations'!$B$12,VLOOKUP($A135,EnrollData2324,'2324 Jun 24 Enroll'!E$1,FALSE),'District Calculations'!$B$12)*S135,3)</f>
        <v>14.827999999999999</v>
      </c>
      <c r="V135">
        <f>ROUND(IF(VLOOKUP($A135,EnrollData2324,'2324 Jun 24 Enroll'!F$1,FALSE)='District Calculations'!$B$13,VLOOKUP($A135,EnrollData2324,'2324 Jun 24 Enroll'!F$1,FALSE),'District Calculations'!$B$13)*Apport_224A2324,3)</f>
        <v>3.6190000000000002</v>
      </c>
      <c r="W135">
        <f>ROUND(IF(VLOOKUP($A135,EnrollData2324,'2324 Jun 24 Enroll'!G$1,FALSE)='District Calculations'!$B$14,VLOOKUP($A135,EnrollData2324,'2324 Jun 24 Enroll'!G$1,FALSE),'District Calculations'!$B$14)*Apport_212A2324,3)</f>
        <v>8.0239999999999991</v>
      </c>
      <c r="X135">
        <f>ROUND(IF(VLOOKUP($A135,EnrollData2324,'2324 Jun 24 Enroll'!H$1,FALSE)='District Calculations'!$B$14,VLOOKUP($A135,EnrollData2324,'2324 Jun 24 Enroll'!H$1,FALSE),'District Calculations'!$B$14)*Apport_215A2324,3)</f>
        <v>7.9279999999999999</v>
      </c>
      <c r="Y135">
        <f>ROUND(IF(VLOOKUP($A135,EnrollData2324,'2324 Jun 24 Enroll'!I$1,FALSE)+VLOOKUP($A135,EnrollData2324,'2324 Jun 24 Enroll'!M$1,FALSE)-VLOOKUP($A135,EnrollData2324,'2324 Jun 24 Enroll'!J$1,FALSE)='District Calculations'!$B$16+'District Calculations'!$B$25-'District Calculations'!$B$17,VLOOKUP($A135,EnrollData2324,'2324 Jun 24 Enroll'!I$1,FALSE)+VLOOKUP($A135,EnrollData2324,'2324 Jun 24 Enroll'!M$1,FALSE)-VLOOKUP($A135,EnrollData2324,'2324 Jun 24 Enroll'!J$1,FALSE),'District Calculations'!$B$16+'District Calculations'!$B$25-'District Calculations'!$B$17)*Apport_218A2324,3)</f>
        <v>19.917999999999999</v>
      </c>
      <c r="Z135">
        <f>ROUND(SUM(T135:Y135)/IF(VLOOKUP($A135,EnrollData2324,'2324 Jun 24 Enroll'!M$1,FALSE)+VLOOKUP($A135,EnrollData2324,'2324 Jun 24 Enroll'!D$1,FALSE)='District Calculations'!$B$25+'District Calculations'!$B$11,VLOOKUP($A135,EnrollData2324,'2324 Jun 24 Enroll'!M$1,FALSE)+VLOOKUP($A135,EnrollData2324,'2324 Jun 24 Enroll'!D$1,FALSE),'District Calculations'!$B$25+'District Calculations'!$B$11),5)</f>
        <v>1.7399999999999999E-2</v>
      </c>
      <c r="AA135" s="6">
        <f>ROUND($J135*CIS_Base_Salary2324*VLOOKUP($A135,EnrollData2324,'2324 Jun 24 Enroll'!S$1,FALSE),2)</f>
        <v>4765.53</v>
      </c>
      <c r="AB135" s="6">
        <f>ROUND($J135*CIS_Inc_Salary2324*(VLOOKUP($A135,EnrollData2324,'2324 Jun 24 Enroll'!T$1,FALSE)+VLOOKUP($A135,EnrollData2324,'2324 Jun 24 Enroll'!U$1,FALSE)),2)-AA135</f>
        <v>176.32999999999993</v>
      </c>
      <c r="AC135" s="6">
        <f>ROUND($R135*CAS_Base_Salary2324*VLOOKUP($A135,EnrollData2324,'2324 Jun 24 Enroll'!S$1,FALSE),2)</f>
        <v>522.29</v>
      </c>
      <c r="AD135" s="6">
        <f>ROUND($R135*CAS_Inc_Salary2324*VLOOKUP($A135,EnrollData2324,'2324 Jun 24 Enroll'!T$1,FALSE),2)-AC135</f>
        <v>19.32000000000005</v>
      </c>
      <c r="AE135" s="6">
        <f>ROUND($Z135*CLS_Base_Salary2324*VLOOKUP($A135,EnrollData2324,'2324 Jun 24 Enroll'!S$1,FALSE),2)</f>
        <v>1071.22</v>
      </c>
      <c r="AF135" s="6">
        <f>ROUND($Z135*CLS_Inc_Salary2324*VLOOKUP($A135,EnrollData2324,'2324 Jun 24 Enroll'!T$1,FALSE),2)-AE135</f>
        <v>39.619999999999891</v>
      </c>
      <c r="AG135">
        <f t="shared" ref="AG135:AG198" si="48">ROUND(($J135+$R135)*Apport_124X2324,2)</f>
        <v>734.16</v>
      </c>
      <c r="AH135" s="69">
        <f t="shared" si="39"/>
        <v>68.700000000000045</v>
      </c>
      <c r="AI135">
        <f t="shared" ref="AI135:AI198" si="49">ROUND($Z135*Apport_124X2324,2)</f>
        <v>214.23</v>
      </c>
      <c r="AJ135">
        <f t="shared" si="40"/>
        <v>114.21000000000001</v>
      </c>
      <c r="AK135">
        <f t="shared" si="41"/>
        <v>950.22</v>
      </c>
      <c r="AL135">
        <f t="shared" si="42"/>
        <v>33.909999999999997</v>
      </c>
      <c r="AM135">
        <f t="shared" si="43"/>
        <v>236.31</v>
      </c>
      <c r="AN135">
        <f t="shared" si="44"/>
        <v>7.35</v>
      </c>
      <c r="AO135">
        <f>ROUND(($J135*CIS_Inc_Salary2324*(VLOOKUP($A135,EnrollData2324,'2324 Jun 24 Enroll'!T$1,FALSE)+VLOOKUP($A135,EnrollData2324,'2324 Jun 24 Enroll'!U$1,FALSE))/Apport_613Xpd)*Apport_614Xpd,2)</f>
        <v>82.36</v>
      </c>
      <c r="AP135">
        <f t="shared" si="45"/>
        <v>14.27</v>
      </c>
      <c r="AQ135">
        <f t="shared" si="46"/>
        <v>30.93</v>
      </c>
      <c r="AR135" s="6">
        <f>ROUND((VLOOKUP($A135,EnrollData2324,'2324 Jun 24 Enroll'!D$1,FALSE)*Apport_M802324+VLOOKUP($A135,EnrollData2324,'2324 Jun 24 Enroll'!M$1,FALSE)*Apport_M802324+(VLOOKUP($A135,EnrollData2324,'2324 Jun 24 Enroll'!P$1,FALSE)+VLOOKUP($A135,EnrollData2324,'2324 Jun 24 Enroll'!Q$1,FALSE)+VLOOKUP($A135,EnrollData2324,'2324 Jun 24 Enroll'!R$1,FALSE)+VLOOKUP($A135,EnrollData2324,'2324 Jun 24 Enroll'!I$1,FALSE)+VLOOKUP($A135,EnrollData2324,'2324 Jun 24 Enroll'!N$1,FALSE)+VLOOKUP($A135,EnrollData2324,'2324 Jun 24 Enroll'!O$1,FALSE)+VLOOKUP($A135,EnrollData2324,'2324 Jun 24 Enroll'!K$1,FALSE)+VLOOKUP($A135,EnrollData2324,'2324 Jun 24 Enroll'!L$1,FALSE))*Apport_M812324)/(VLOOKUP($A135,EnrollData2324,'2324 Jun 24 Enroll'!M$1,FALSE)+VLOOKUP($A135,EnrollData2324,'2324 Jun 24 Enroll'!D$1,FALSE)),2)</f>
        <v>1549.71</v>
      </c>
      <c r="AS135" s="7">
        <f t="shared" si="47"/>
        <v>10630.669999999998</v>
      </c>
    </row>
    <row r="136" spans="1:45">
      <c r="A136" s="40" t="s">
        <v>911</v>
      </c>
      <c r="B136" s="40" t="s">
        <v>906</v>
      </c>
      <c r="C136" s="11">
        <f>ROUND((IFERROR((1/IF(VLOOKUP($A136,EnrollData2324,28,FALSE)='District Calculations'!$B$10,VLOOKUP($A136,EnrollData2324,28,FALSE),'District Calculations'!$B$10))*(1+Apport_Z315),0))+Apport_201A2324,6)</f>
        <v>7.3449E-2</v>
      </c>
      <c r="D136">
        <f>ROUND(IF(VLOOKUP($A136,EnrollData2324,'2324 Jun 24 Enroll'!D$1,FALSE)='District Calculations'!$B$11,VLOOKUP($A136,EnrollData2324,'2324 Jun 24 Enroll'!D$1,FALSE),'District Calculations'!$B$11)*C136,3)</f>
        <v>0</v>
      </c>
      <c r="E136">
        <f>ROUND(IF(VLOOKUP($A136,EnrollData2324,'2324 Jun 24 Enroll'!E$1,FALSE)='District Calculations'!$B$12,VLOOKUP($A136,EnrollData2324,'2324 Jun 24 Enroll'!E$1,FALSE),'District Calculations'!$B$12)*C136,3)</f>
        <v>59.53</v>
      </c>
      <c r="F136">
        <f>ROUND(IF(VLOOKUP($A136,EnrollData2324,'2324 Jun 24 Enroll'!F$1,FALSE)='District Calculations'!$B$13,VLOOKUP($A136,EnrollData2324,'2324 Jun 24 Enroll'!F$1,FALSE),'District Calculations'!$B$13)*Apport_222A2324,3)</f>
        <v>10.101000000000001</v>
      </c>
      <c r="G136">
        <f>ROUND(IF(VLOOKUP($A136,EnrollData2324,'2324 Jun 24 Enroll'!G$1,FALSE)='District Calculations'!$B$14,VLOOKUP($A136,EnrollData2324,'2324 Jun 24 Enroll'!G$1,FALSE),'District Calculations'!$B$14)*Apport_210A2324,3)</f>
        <v>22.395</v>
      </c>
      <c r="H136">
        <f>ROUND(IF(VLOOKUP($A136,EnrollData2324,'2324 Jun 24 Enroll'!H$1,FALSE)='District Calculations'!$B$15,VLOOKUP($A136,EnrollData2324,'2324 Jun 24 Enroll'!H$1,FALSE),'District Calculations'!$B$15)*Apport_213A2324,3)</f>
        <v>23.091999999999999</v>
      </c>
      <c r="I136">
        <f>ROUND(IF(VLOOKUP($A136,EnrollData2324,'2324 Jun 24 Enroll'!I$1,FALSE)+VLOOKUP($A136,EnrollData2324,'2324 Jun 24 Enroll'!M$1,FALSE)-VLOOKUP($A136,EnrollData2324,'2324 Jun 24 Enroll'!J$1,FALSE)='District Calculations'!$B$16+'District Calculations'!$B$25-'District Calculations'!$B$17,VLOOKUP($A136,EnrollData2324,'2324 Jun 24 Enroll'!I$1,FALSE)+VLOOKUP($A136,EnrollData2324,'2324 Jun 24 Enroll'!M$1,FALSE)-VLOOKUP($A136,EnrollData2324,'2324 Jun 24 Enroll'!J$1,FALSE),'District Calculations'!$B$16+'District Calculations'!$B$25-'District Calculations'!$B$17)*Apport_216A2324,3)</f>
        <v>58.183999999999997</v>
      </c>
      <c r="J136">
        <f>ROUND(SUM(D136:I136)/(IF(VLOOKUP($A136,EnrollData2324,'2324 Jun 24 Enroll'!M$1,FALSE)='District Calculations'!$B$25,VLOOKUP($A136,EnrollData2324,'2324 Jun 24 Enroll'!M$1,FALSE),'District Calculations'!$B$25)+IF(VLOOKUP($A136,EnrollData2324,'2324 Jun 24 Enroll'!D$1,FALSE)='District Calculations'!$B$11,VLOOKUP($A136,EnrollData2324,'2324 Jun 24 Enroll'!D$1,FALSE),'District Calculations'!$B$11)),5)</f>
        <v>5.5530000000000003E-2</v>
      </c>
      <c r="K136" s="11">
        <f t="shared" si="37"/>
        <v>4.365E-3</v>
      </c>
      <c r="L136">
        <f>ROUND(IF(VLOOKUP($A136,EnrollData2324,'2324 Jun 24 Enroll'!D$1,FALSE)='District Calculations'!$B$11,VLOOKUP($A136,EnrollData2324,'2324 Jun 24 Enroll'!D$1,FALSE),'District Calculations'!$B$11)*K136,3)</f>
        <v>0</v>
      </c>
      <c r="M136">
        <f>ROUND(IF(VLOOKUP($A136,EnrollData2324,'2324 Jun 24 Enroll'!E$1,FALSE)='District Calculations'!$B$12,VLOOKUP($A136,EnrollData2324,'2324 Jun 24 Enroll'!E$1,FALSE),'District Calculations'!$B$12)*K136,3)</f>
        <v>3.5379999999999998</v>
      </c>
      <c r="N136">
        <f>ROUND(IF(VLOOKUP($A136,EnrollData2324,'2324 Jun 24 Enroll'!F$1,FALSE)='District Calculations'!$B$13,VLOOKUP($A136,EnrollData2324,'2324 Jun 24 Enroll'!F$1,FALSE),'District Calculations'!$B$13)*Apport_223A2324,3)</f>
        <v>0.84199999999999997</v>
      </c>
      <c r="O136">
        <f>ROUND(IF(VLOOKUP($A136,EnrollData2324,'2324 Jun 24 Enroll'!G$1,FALSE)='District Calculations'!$B$14,VLOOKUP($A136,EnrollData2324,'2324 Jun 24 Enroll'!G$1,FALSE),'District Calculations'!$B$14)*Apport_211A2324,3)</f>
        <v>1.867</v>
      </c>
      <c r="P136">
        <f>ROUND(IF(VLOOKUP($A136,EnrollData2324,'2324 Jun 24 Enroll'!H$1,FALSE)='District Calculations'!$B$14,VLOOKUP($A136,EnrollData2324,'2324 Jun 24 Enroll'!H$1,FALSE),'District Calculations'!$B$14)*Apport_214A2324,3)</f>
        <v>1.8660000000000001</v>
      </c>
      <c r="Q136">
        <f>ROUND(IF(VLOOKUP($A136,EnrollData2324,'2324 Jun 24 Enroll'!I$1,FALSE)+VLOOKUP($A136,EnrollData2324,'2324 Jun 24 Enroll'!M$1,FALSE)-VLOOKUP($A136,EnrollData2324,'2324 Jun 24 Enroll'!J$1,FALSE)='District Calculations'!$B$16+'District Calculations'!$B$25-'District Calculations'!$B$17,VLOOKUP($A136,EnrollData2324,'2324 Jun 24 Enroll'!I$1,FALSE)+VLOOKUP($A136,EnrollData2324,'2324 Jun 24 Enroll'!M$1,FALSE)-VLOOKUP($A136,EnrollData2324,'2324 Jun 24 Enroll'!J$1,FALSE),'District Calculations'!$B$16+'District Calculations'!$B$25-'District Calculations'!$B$17)*Apport_217A2324,3)</f>
        <v>4.6980000000000004</v>
      </c>
      <c r="R136">
        <f>ROUND(SUM(L136:Q136)/IF(VLOOKUP($A136,EnrollData2324,'2324 Jun 24 Enroll'!M$1,FALSE)+VLOOKUP($A136,EnrollData2324,'2324 Jun 24 Enroll'!D$1,FALSE)='District Calculations'!$B$25+'District Calculations'!$B$11,VLOOKUP($A136,EnrollData2324,'2324 Jun 24 Enroll'!M$1,FALSE)+VLOOKUP($A136,EnrollData2324,'2324 Jun 24 Enroll'!D$1,FALSE),'District Calculations'!$B$25+'District Calculations'!$B$11),5)</f>
        <v>4.1000000000000003E-3</v>
      </c>
      <c r="S136" s="11">
        <f t="shared" si="38"/>
        <v>1.8294500000000002E-2</v>
      </c>
      <c r="T136">
        <f>ROUND(IF(VLOOKUP($A136,EnrollData2324,'2324 Jun 24 Enroll'!D$1,FALSE)='District Calculations'!$B$11,VLOOKUP($A136,EnrollData2324,'2324 Jun 24 Enroll'!D$1,FALSE),'District Calculations'!$B$11)*S136,3)</f>
        <v>0</v>
      </c>
      <c r="U136">
        <f>ROUND(IF(VLOOKUP($A136,EnrollData2324,'2324 Jun 24 Enroll'!E$1,FALSE)='District Calculations'!$B$12,VLOOKUP($A136,EnrollData2324,'2324 Jun 24 Enroll'!E$1,FALSE),'District Calculations'!$B$12)*S136,3)</f>
        <v>14.827999999999999</v>
      </c>
      <c r="V136">
        <f>ROUND(IF(VLOOKUP($A136,EnrollData2324,'2324 Jun 24 Enroll'!F$1,FALSE)='District Calculations'!$B$13,VLOOKUP($A136,EnrollData2324,'2324 Jun 24 Enroll'!F$1,FALSE),'District Calculations'!$B$13)*Apport_224A2324,3)</f>
        <v>3.6190000000000002</v>
      </c>
      <c r="W136">
        <f>ROUND(IF(VLOOKUP($A136,EnrollData2324,'2324 Jun 24 Enroll'!G$1,FALSE)='District Calculations'!$B$14,VLOOKUP($A136,EnrollData2324,'2324 Jun 24 Enroll'!G$1,FALSE),'District Calculations'!$B$14)*Apport_212A2324,3)</f>
        <v>8.0239999999999991</v>
      </c>
      <c r="X136">
        <f>ROUND(IF(VLOOKUP($A136,EnrollData2324,'2324 Jun 24 Enroll'!H$1,FALSE)='District Calculations'!$B$14,VLOOKUP($A136,EnrollData2324,'2324 Jun 24 Enroll'!H$1,FALSE),'District Calculations'!$B$14)*Apport_215A2324,3)</f>
        <v>7.9279999999999999</v>
      </c>
      <c r="Y136">
        <f>ROUND(IF(VLOOKUP($A136,EnrollData2324,'2324 Jun 24 Enroll'!I$1,FALSE)+VLOOKUP($A136,EnrollData2324,'2324 Jun 24 Enroll'!M$1,FALSE)-VLOOKUP($A136,EnrollData2324,'2324 Jun 24 Enroll'!J$1,FALSE)='District Calculations'!$B$16+'District Calculations'!$B$25-'District Calculations'!$B$17,VLOOKUP($A136,EnrollData2324,'2324 Jun 24 Enroll'!I$1,FALSE)+VLOOKUP($A136,EnrollData2324,'2324 Jun 24 Enroll'!M$1,FALSE)-VLOOKUP($A136,EnrollData2324,'2324 Jun 24 Enroll'!J$1,FALSE),'District Calculations'!$B$16+'District Calculations'!$B$25-'District Calculations'!$B$17)*Apport_218A2324,3)</f>
        <v>19.917999999999999</v>
      </c>
      <c r="Z136">
        <f>ROUND(SUM(T136:Y136)/IF(VLOOKUP($A136,EnrollData2324,'2324 Jun 24 Enroll'!M$1,FALSE)+VLOOKUP($A136,EnrollData2324,'2324 Jun 24 Enroll'!D$1,FALSE)='District Calculations'!$B$25+'District Calculations'!$B$11,VLOOKUP($A136,EnrollData2324,'2324 Jun 24 Enroll'!M$1,FALSE)+VLOOKUP($A136,EnrollData2324,'2324 Jun 24 Enroll'!D$1,FALSE),'District Calculations'!$B$25+'District Calculations'!$B$11),5)</f>
        <v>1.7399999999999999E-2</v>
      </c>
      <c r="AA136" s="6">
        <f>ROUND($J136*CIS_Base_Salary2324*VLOOKUP($A136,EnrollData2324,'2324 Jun 24 Enroll'!S$1,FALSE),2)</f>
        <v>4765.53</v>
      </c>
      <c r="AB136" s="6">
        <f>ROUND($J136*CIS_Inc_Salary2324*(VLOOKUP($A136,EnrollData2324,'2324 Jun 24 Enroll'!T$1,FALSE)+VLOOKUP($A136,EnrollData2324,'2324 Jun 24 Enroll'!U$1,FALSE)),2)-AA136</f>
        <v>176.32999999999993</v>
      </c>
      <c r="AC136" s="6">
        <f>ROUND($R136*CAS_Base_Salary2324*VLOOKUP($A136,EnrollData2324,'2324 Jun 24 Enroll'!S$1,FALSE),2)</f>
        <v>522.29</v>
      </c>
      <c r="AD136" s="6">
        <f>ROUND($R136*CAS_Inc_Salary2324*VLOOKUP($A136,EnrollData2324,'2324 Jun 24 Enroll'!T$1,FALSE),2)-AC136</f>
        <v>19.32000000000005</v>
      </c>
      <c r="AE136" s="6">
        <f>ROUND($Z136*CLS_Base_Salary2324*VLOOKUP($A136,EnrollData2324,'2324 Jun 24 Enroll'!S$1,FALSE),2)</f>
        <v>1071.22</v>
      </c>
      <c r="AF136" s="6">
        <f>ROUND($Z136*CLS_Inc_Salary2324*VLOOKUP($A136,EnrollData2324,'2324 Jun 24 Enroll'!T$1,FALSE),2)-AE136</f>
        <v>39.619999999999891</v>
      </c>
      <c r="AG136">
        <f t="shared" si="48"/>
        <v>734.16</v>
      </c>
      <c r="AH136" s="69">
        <f t="shared" si="39"/>
        <v>68.700000000000045</v>
      </c>
      <c r="AI136">
        <f t="shared" si="49"/>
        <v>214.23</v>
      </c>
      <c r="AJ136">
        <f t="shared" si="40"/>
        <v>114.21000000000001</v>
      </c>
      <c r="AK136">
        <f t="shared" si="41"/>
        <v>950.22</v>
      </c>
      <c r="AL136">
        <f t="shared" si="42"/>
        <v>33.909999999999997</v>
      </c>
      <c r="AM136">
        <f t="shared" si="43"/>
        <v>236.31</v>
      </c>
      <c r="AN136">
        <f t="shared" si="44"/>
        <v>7.35</v>
      </c>
      <c r="AO136">
        <f>ROUND(($J136*CIS_Inc_Salary2324*(VLOOKUP($A136,EnrollData2324,'2324 Jun 24 Enroll'!T$1,FALSE)+VLOOKUP($A136,EnrollData2324,'2324 Jun 24 Enroll'!U$1,FALSE))/Apport_613Xpd)*Apport_614Xpd,2)</f>
        <v>82.36</v>
      </c>
      <c r="AP136">
        <f t="shared" si="45"/>
        <v>14.27</v>
      </c>
      <c r="AQ136">
        <f t="shared" si="46"/>
        <v>30.93</v>
      </c>
      <c r="AR136" s="6">
        <f>ROUND((VLOOKUP($A136,EnrollData2324,'2324 Jun 24 Enroll'!D$1,FALSE)*Apport_M802324+VLOOKUP($A136,EnrollData2324,'2324 Jun 24 Enroll'!M$1,FALSE)*Apport_M802324+(VLOOKUP($A136,EnrollData2324,'2324 Jun 24 Enroll'!P$1,FALSE)+VLOOKUP($A136,EnrollData2324,'2324 Jun 24 Enroll'!Q$1,FALSE)+VLOOKUP($A136,EnrollData2324,'2324 Jun 24 Enroll'!R$1,FALSE)+VLOOKUP($A136,EnrollData2324,'2324 Jun 24 Enroll'!I$1,FALSE)+VLOOKUP($A136,EnrollData2324,'2324 Jun 24 Enroll'!N$1,FALSE)+VLOOKUP($A136,EnrollData2324,'2324 Jun 24 Enroll'!O$1,FALSE)+VLOOKUP($A136,EnrollData2324,'2324 Jun 24 Enroll'!K$1,FALSE)+VLOOKUP($A136,EnrollData2324,'2324 Jun 24 Enroll'!L$1,FALSE))*Apport_M812324)/(VLOOKUP($A136,EnrollData2324,'2324 Jun 24 Enroll'!M$1,FALSE)+VLOOKUP($A136,EnrollData2324,'2324 Jun 24 Enroll'!D$1,FALSE)),2)</f>
        <v>1683.67</v>
      </c>
      <c r="AS136" s="7">
        <f t="shared" si="47"/>
        <v>10764.63</v>
      </c>
    </row>
    <row r="137" spans="1:45">
      <c r="A137" s="40" t="s">
        <v>899</v>
      </c>
      <c r="B137" s="40" t="s">
        <v>900</v>
      </c>
      <c r="C137" s="11">
        <f>ROUND((IFERROR((1/IF(VLOOKUP($A137,EnrollData2324,28,FALSE)='District Calculations'!$B$10,VLOOKUP($A137,EnrollData2324,28,FALSE),'District Calculations'!$B$10))*(1+Apport_Z315),0))+Apport_201A2324,6)</f>
        <v>7.3449E-2</v>
      </c>
      <c r="D137">
        <f>ROUND(IF(VLOOKUP($A137,EnrollData2324,'2324 Jun 24 Enroll'!D$1,FALSE)='District Calculations'!$B$11,VLOOKUP($A137,EnrollData2324,'2324 Jun 24 Enroll'!D$1,FALSE),'District Calculations'!$B$11)*C137,3)</f>
        <v>0</v>
      </c>
      <c r="E137">
        <f>ROUND(IF(VLOOKUP($A137,EnrollData2324,'2324 Jun 24 Enroll'!E$1,FALSE)='District Calculations'!$B$12,VLOOKUP($A137,EnrollData2324,'2324 Jun 24 Enroll'!E$1,FALSE),'District Calculations'!$B$12)*C137,3)</f>
        <v>59.53</v>
      </c>
      <c r="F137">
        <f>ROUND(IF(VLOOKUP($A137,EnrollData2324,'2324 Jun 24 Enroll'!F$1,FALSE)='District Calculations'!$B$13,VLOOKUP($A137,EnrollData2324,'2324 Jun 24 Enroll'!F$1,FALSE),'District Calculations'!$B$13)*Apport_222A2324,3)</f>
        <v>10.101000000000001</v>
      </c>
      <c r="G137">
        <f>ROUND(IF(VLOOKUP($A137,EnrollData2324,'2324 Jun 24 Enroll'!G$1,FALSE)='District Calculations'!$B$14,VLOOKUP($A137,EnrollData2324,'2324 Jun 24 Enroll'!G$1,FALSE),'District Calculations'!$B$14)*Apport_210A2324,3)</f>
        <v>22.395</v>
      </c>
      <c r="H137">
        <f>ROUND(IF(VLOOKUP($A137,EnrollData2324,'2324 Jun 24 Enroll'!H$1,FALSE)='District Calculations'!$B$15,VLOOKUP($A137,EnrollData2324,'2324 Jun 24 Enroll'!H$1,FALSE),'District Calculations'!$B$15)*Apport_213A2324,3)</f>
        <v>23.091999999999999</v>
      </c>
      <c r="I137">
        <f>ROUND(IF(VLOOKUP($A137,EnrollData2324,'2324 Jun 24 Enroll'!I$1,FALSE)+VLOOKUP($A137,EnrollData2324,'2324 Jun 24 Enroll'!M$1,FALSE)-VLOOKUP($A137,EnrollData2324,'2324 Jun 24 Enroll'!J$1,FALSE)='District Calculations'!$B$16+'District Calculations'!$B$25-'District Calculations'!$B$17,VLOOKUP($A137,EnrollData2324,'2324 Jun 24 Enroll'!I$1,FALSE)+VLOOKUP($A137,EnrollData2324,'2324 Jun 24 Enroll'!M$1,FALSE)-VLOOKUP($A137,EnrollData2324,'2324 Jun 24 Enroll'!J$1,FALSE),'District Calculations'!$B$16+'District Calculations'!$B$25-'District Calculations'!$B$17)*Apport_216A2324,3)</f>
        <v>58.183999999999997</v>
      </c>
      <c r="J137">
        <f>ROUND(SUM(D137:I137)/(IF(VLOOKUP($A137,EnrollData2324,'2324 Jun 24 Enroll'!M$1,FALSE)='District Calculations'!$B$25,VLOOKUP($A137,EnrollData2324,'2324 Jun 24 Enroll'!M$1,FALSE),'District Calculations'!$B$25)+IF(VLOOKUP($A137,EnrollData2324,'2324 Jun 24 Enroll'!D$1,FALSE)='District Calculations'!$B$11,VLOOKUP($A137,EnrollData2324,'2324 Jun 24 Enroll'!D$1,FALSE),'District Calculations'!$B$11)),5)</f>
        <v>5.5530000000000003E-2</v>
      </c>
      <c r="K137" s="11">
        <f t="shared" si="37"/>
        <v>4.365E-3</v>
      </c>
      <c r="L137">
        <f>ROUND(IF(VLOOKUP($A137,EnrollData2324,'2324 Jun 24 Enroll'!D$1,FALSE)='District Calculations'!$B$11,VLOOKUP($A137,EnrollData2324,'2324 Jun 24 Enroll'!D$1,FALSE),'District Calculations'!$B$11)*K137,3)</f>
        <v>0</v>
      </c>
      <c r="M137">
        <f>ROUND(IF(VLOOKUP($A137,EnrollData2324,'2324 Jun 24 Enroll'!E$1,FALSE)='District Calculations'!$B$12,VLOOKUP($A137,EnrollData2324,'2324 Jun 24 Enroll'!E$1,FALSE),'District Calculations'!$B$12)*K137,3)</f>
        <v>3.5379999999999998</v>
      </c>
      <c r="N137">
        <f>ROUND(IF(VLOOKUP($A137,EnrollData2324,'2324 Jun 24 Enroll'!F$1,FALSE)='District Calculations'!$B$13,VLOOKUP($A137,EnrollData2324,'2324 Jun 24 Enroll'!F$1,FALSE),'District Calculations'!$B$13)*Apport_223A2324,3)</f>
        <v>0.84199999999999997</v>
      </c>
      <c r="O137">
        <f>ROUND(IF(VLOOKUP($A137,EnrollData2324,'2324 Jun 24 Enroll'!G$1,FALSE)='District Calculations'!$B$14,VLOOKUP($A137,EnrollData2324,'2324 Jun 24 Enroll'!G$1,FALSE),'District Calculations'!$B$14)*Apport_211A2324,3)</f>
        <v>1.867</v>
      </c>
      <c r="P137">
        <f>ROUND(IF(VLOOKUP($A137,EnrollData2324,'2324 Jun 24 Enroll'!H$1,FALSE)='District Calculations'!$B$14,VLOOKUP($A137,EnrollData2324,'2324 Jun 24 Enroll'!H$1,FALSE),'District Calculations'!$B$14)*Apport_214A2324,3)</f>
        <v>1.8660000000000001</v>
      </c>
      <c r="Q137">
        <f>ROUND(IF(VLOOKUP($A137,EnrollData2324,'2324 Jun 24 Enroll'!I$1,FALSE)+VLOOKUP($A137,EnrollData2324,'2324 Jun 24 Enroll'!M$1,FALSE)-VLOOKUP($A137,EnrollData2324,'2324 Jun 24 Enroll'!J$1,FALSE)='District Calculations'!$B$16+'District Calculations'!$B$25-'District Calculations'!$B$17,VLOOKUP($A137,EnrollData2324,'2324 Jun 24 Enroll'!I$1,FALSE)+VLOOKUP($A137,EnrollData2324,'2324 Jun 24 Enroll'!M$1,FALSE)-VLOOKUP($A137,EnrollData2324,'2324 Jun 24 Enroll'!J$1,FALSE),'District Calculations'!$B$16+'District Calculations'!$B$25-'District Calculations'!$B$17)*Apport_217A2324,3)</f>
        <v>4.6980000000000004</v>
      </c>
      <c r="R137">
        <f>ROUND(SUM(L137:Q137)/IF(VLOOKUP($A137,EnrollData2324,'2324 Jun 24 Enroll'!M$1,FALSE)+VLOOKUP($A137,EnrollData2324,'2324 Jun 24 Enroll'!D$1,FALSE)='District Calculations'!$B$25+'District Calculations'!$B$11,VLOOKUP($A137,EnrollData2324,'2324 Jun 24 Enroll'!M$1,FALSE)+VLOOKUP($A137,EnrollData2324,'2324 Jun 24 Enroll'!D$1,FALSE),'District Calculations'!$B$25+'District Calculations'!$B$11),5)</f>
        <v>4.1000000000000003E-3</v>
      </c>
      <c r="S137" s="11">
        <f t="shared" si="38"/>
        <v>1.8294500000000002E-2</v>
      </c>
      <c r="T137">
        <f>ROUND(IF(VLOOKUP($A137,EnrollData2324,'2324 Jun 24 Enroll'!D$1,FALSE)='District Calculations'!$B$11,VLOOKUP($A137,EnrollData2324,'2324 Jun 24 Enroll'!D$1,FALSE),'District Calculations'!$B$11)*S137,3)</f>
        <v>0</v>
      </c>
      <c r="U137">
        <f>ROUND(IF(VLOOKUP($A137,EnrollData2324,'2324 Jun 24 Enroll'!E$1,FALSE)='District Calculations'!$B$12,VLOOKUP($A137,EnrollData2324,'2324 Jun 24 Enroll'!E$1,FALSE),'District Calculations'!$B$12)*S137,3)</f>
        <v>14.827999999999999</v>
      </c>
      <c r="V137">
        <f>ROUND(IF(VLOOKUP($A137,EnrollData2324,'2324 Jun 24 Enroll'!F$1,FALSE)='District Calculations'!$B$13,VLOOKUP($A137,EnrollData2324,'2324 Jun 24 Enroll'!F$1,FALSE),'District Calculations'!$B$13)*Apport_224A2324,3)</f>
        <v>3.6190000000000002</v>
      </c>
      <c r="W137">
        <f>ROUND(IF(VLOOKUP($A137,EnrollData2324,'2324 Jun 24 Enroll'!G$1,FALSE)='District Calculations'!$B$14,VLOOKUP($A137,EnrollData2324,'2324 Jun 24 Enroll'!G$1,FALSE),'District Calculations'!$B$14)*Apport_212A2324,3)</f>
        <v>8.0239999999999991</v>
      </c>
      <c r="X137">
        <f>ROUND(IF(VLOOKUP($A137,EnrollData2324,'2324 Jun 24 Enroll'!H$1,FALSE)='District Calculations'!$B$14,VLOOKUP($A137,EnrollData2324,'2324 Jun 24 Enroll'!H$1,FALSE),'District Calculations'!$B$14)*Apport_215A2324,3)</f>
        <v>7.9279999999999999</v>
      </c>
      <c r="Y137">
        <f>ROUND(IF(VLOOKUP($A137,EnrollData2324,'2324 Jun 24 Enroll'!I$1,FALSE)+VLOOKUP($A137,EnrollData2324,'2324 Jun 24 Enroll'!M$1,FALSE)-VLOOKUP($A137,EnrollData2324,'2324 Jun 24 Enroll'!J$1,FALSE)='District Calculations'!$B$16+'District Calculations'!$B$25-'District Calculations'!$B$17,VLOOKUP($A137,EnrollData2324,'2324 Jun 24 Enroll'!I$1,FALSE)+VLOOKUP($A137,EnrollData2324,'2324 Jun 24 Enroll'!M$1,FALSE)-VLOOKUP($A137,EnrollData2324,'2324 Jun 24 Enroll'!J$1,FALSE),'District Calculations'!$B$16+'District Calculations'!$B$25-'District Calculations'!$B$17)*Apport_218A2324,3)</f>
        <v>19.917999999999999</v>
      </c>
      <c r="Z137">
        <f>ROUND(SUM(T137:Y137)/IF(VLOOKUP($A137,EnrollData2324,'2324 Jun 24 Enroll'!M$1,FALSE)+VLOOKUP($A137,EnrollData2324,'2324 Jun 24 Enroll'!D$1,FALSE)='District Calculations'!$B$25+'District Calculations'!$B$11,VLOOKUP($A137,EnrollData2324,'2324 Jun 24 Enroll'!M$1,FALSE)+VLOOKUP($A137,EnrollData2324,'2324 Jun 24 Enroll'!D$1,FALSE),'District Calculations'!$B$25+'District Calculations'!$B$11),5)</f>
        <v>1.7399999999999999E-2</v>
      </c>
      <c r="AA137" s="6">
        <f>ROUND($J137*CIS_Base_Salary2324*VLOOKUP($A137,EnrollData2324,'2324 Jun 24 Enroll'!S$1,FALSE),2)</f>
        <v>4644.37</v>
      </c>
      <c r="AB137" s="6">
        <f>ROUND($J137*CIS_Inc_Salary2324*(VLOOKUP($A137,EnrollData2324,'2324 Jun 24 Enroll'!T$1,FALSE)+VLOOKUP($A137,EnrollData2324,'2324 Jun 24 Enroll'!U$1,FALSE)),2)-AA137</f>
        <v>171.85000000000036</v>
      </c>
      <c r="AC137" s="6">
        <f>ROUND($R137*CAS_Base_Salary2324*VLOOKUP($A137,EnrollData2324,'2324 Jun 24 Enroll'!S$1,FALSE),2)</f>
        <v>509.01</v>
      </c>
      <c r="AD137" s="6">
        <f>ROUND($R137*CAS_Inc_Salary2324*VLOOKUP($A137,EnrollData2324,'2324 Jun 24 Enroll'!T$1,FALSE),2)-AC137</f>
        <v>18.830000000000041</v>
      </c>
      <c r="AE137" s="6">
        <f>ROUND($Z137*CLS_Base_Salary2324*VLOOKUP($A137,EnrollData2324,'2324 Jun 24 Enroll'!S$1,FALSE),2)</f>
        <v>1043.98</v>
      </c>
      <c r="AF137" s="6">
        <f>ROUND($Z137*CLS_Inc_Salary2324*VLOOKUP($A137,EnrollData2324,'2324 Jun 24 Enroll'!T$1,FALSE),2)-AE137</f>
        <v>38.619999999999891</v>
      </c>
      <c r="AG137">
        <f t="shared" si="48"/>
        <v>734.16</v>
      </c>
      <c r="AH137" s="69">
        <f t="shared" si="39"/>
        <v>68.700000000000045</v>
      </c>
      <c r="AI137">
        <f t="shared" si="49"/>
        <v>214.23</v>
      </c>
      <c r="AJ137">
        <f t="shared" si="40"/>
        <v>114.21000000000001</v>
      </c>
      <c r="AK137">
        <f t="shared" si="41"/>
        <v>926.06</v>
      </c>
      <c r="AL137">
        <f t="shared" si="42"/>
        <v>33.04</v>
      </c>
      <c r="AM137">
        <f t="shared" si="43"/>
        <v>230.3</v>
      </c>
      <c r="AN137">
        <f t="shared" si="44"/>
        <v>7.17</v>
      </c>
      <c r="AO137">
        <f>ROUND(($J137*CIS_Inc_Salary2324*(VLOOKUP($A137,EnrollData2324,'2324 Jun 24 Enroll'!T$1,FALSE)+VLOOKUP($A137,EnrollData2324,'2324 Jun 24 Enroll'!U$1,FALSE))/Apport_613Xpd)*Apport_614Xpd,2)</f>
        <v>80.27</v>
      </c>
      <c r="AP137">
        <f t="shared" si="45"/>
        <v>13.91</v>
      </c>
      <c r="AQ137">
        <f t="shared" si="46"/>
        <v>30.93</v>
      </c>
      <c r="AR137" s="6">
        <f>ROUND((VLOOKUP($A137,EnrollData2324,'2324 Jun 24 Enroll'!D$1,FALSE)*Apport_M802324+VLOOKUP($A137,EnrollData2324,'2324 Jun 24 Enroll'!M$1,FALSE)*Apport_M802324+(VLOOKUP($A137,EnrollData2324,'2324 Jun 24 Enroll'!P$1,FALSE)+VLOOKUP($A137,EnrollData2324,'2324 Jun 24 Enroll'!Q$1,FALSE)+VLOOKUP($A137,EnrollData2324,'2324 Jun 24 Enroll'!R$1,FALSE)+VLOOKUP($A137,EnrollData2324,'2324 Jun 24 Enroll'!I$1,FALSE)+VLOOKUP($A137,EnrollData2324,'2324 Jun 24 Enroll'!N$1,FALSE)+VLOOKUP($A137,EnrollData2324,'2324 Jun 24 Enroll'!O$1,FALSE)+VLOOKUP($A137,EnrollData2324,'2324 Jun 24 Enroll'!K$1,FALSE)+VLOOKUP($A137,EnrollData2324,'2324 Jun 24 Enroll'!L$1,FALSE))*Apport_M812324)/(VLOOKUP($A137,EnrollData2324,'2324 Jun 24 Enroll'!M$1,FALSE)+VLOOKUP($A137,EnrollData2324,'2324 Jun 24 Enroll'!D$1,FALSE)),2)</f>
        <v>1540.85</v>
      </c>
      <c r="AS137" s="7">
        <f t="shared" si="47"/>
        <v>10420.490000000002</v>
      </c>
    </row>
    <row r="138" spans="1:45">
      <c r="A138" s="40" t="s">
        <v>934</v>
      </c>
      <c r="B138" s="40" t="s">
        <v>1009</v>
      </c>
      <c r="C138" s="11">
        <f>ROUND((IFERROR((1/IF(VLOOKUP($A138,EnrollData2324,28,FALSE)='District Calculations'!$B$10,VLOOKUP($A138,EnrollData2324,28,FALSE),'District Calculations'!$B$10))*(1+Apport_Z315),0))+Apport_201A2324,6)</f>
        <v>7.3449E-2</v>
      </c>
      <c r="D138">
        <f>ROUND(IF(VLOOKUP($A138,EnrollData2324,'2324 Jun 24 Enroll'!D$1,FALSE)='District Calculations'!$B$11,VLOOKUP($A138,EnrollData2324,'2324 Jun 24 Enroll'!D$1,FALSE),'District Calculations'!$B$11)*C138,3)</f>
        <v>0</v>
      </c>
      <c r="E138">
        <f>ROUND(IF(VLOOKUP($A138,EnrollData2324,'2324 Jun 24 Enroll'!E$1,FALSE)='District Calculations'!$B$12,VLOOKUP($A138,EnrollData2324,'2324 Jun 24 Enroll'!E$1,FALSE),'District Calculations'!$B$12)*C138,3)</f>
        <v>59.53</v>
      </c>
      <c r="F138">
        <f>ROUND(IF(VLOOKUP($A138,EnrollData2324,'2324 Jun 24 Enroll'!F$1,FALSE)='District Calculations'!$B$13,VLOOKUP($A138,EnrollData2324,'2324 Jun 24 Enroll'!F$1,FALSE),'District Calculations'!$B$13)*Apport_222A2324,3)</f>
        <v>10.101000000000001</v>
      </c>
      <c r="G138">
        <f>ROUND(IF(VLOOKUP($A138,EnrollData2324,'2324 Jun 24 Enroll'!G$1,FALSE)='District Calculations'!$B$14,VLOOKUP($A138,EnrollData2324,'2324 Jun 24 Enroll'!G$1,FALSE),'District Calculations'!$B$14)*Apport_210A2324,3)</f>
        <v>22.395</v>
      </c>
      <c r="H138">
        <f>ROUND(IF(VLOOKUP($A138,EnrollData2324,'2324 Jun 24 Enroll'!H$1,FALSE)='District Calculations'!$B$15,VLOOKUP($A138,EnrollData2324,'2324 Jun 24 Enroll'!H$1,FALSE),'District Calculations'!$B$15)*Apport_213A2324,3)</f>
        <v>23.091999999999999</v>
      </c>
      <c r="I138">
        <f>ROUND(IF(VLOOKUP($A138,EnrollData2324,'2324 Jun 24 Enroll'!I$1,FALSE)+VLOOKUP($A138,EnrollData2324,'2324 Jun 24 Enroll'!M$1,FALSE)-VLOOKUP($A138,EnrollData2324,'2324 Jun 24 Enroll'!J$1,FALSE)='District Calculations'!$B$16+'District Calculations'!$B$25-'District Calculations'!$B$17,VLOOKUP($A138,EnrollData2324,'2324 Jun 24 Enroll'!I$1,FALSE)+VLOOKUP($A138,EnrollData2324,'2324 Jun 24 Enroll'!M$1,FALSE)-VLOOKUP($A138,EnrollData2324,'2324 Jun 24 Enroll'!J$1,FALSE),'District Calculations'!$B$16+'District Calculations'!$B$25-'District Calculations'!$B$17)*Apport_216A2324,3)</f>
        <v>58.183999999999997</v>
      </c>
      <c r="J138">
        <f>ROUND(SUM(D138:I138)/(IF(VLOOKUP($A138,EnrollData2324,'2324 Jun 24 Enroll'!M$1,FALSE)='District Calculations'!$B$25,VLOOKUP($A138,EnrollData2324,'2324 Jun 24 Enroll'!M$1,FALSE),'District Calculations'!$B$25)+IF(VLOOKUP($A138,EnrollData2324,'2324 Jun 24 Enroll'!D$1,FALSE)='District Calculations'!$B$11,VLOOKUP($A138,EnrollData2324,'2324 Jun 24 Enroll'!D$1,FALSE),'District Calculations'!$B$11)),5)</f>
        <v>5.5530000000000003E-2</v>
      </c>
      <c r="K138" s="11">
        <f t="shared" si="37"/>
        <v>4.365E-3</v>
      </c>
      <c r="L138">
        <f>ROUND(IF(VLOOKUP($A138,EnrollData2324,'2324 Jun 24 Enroll'!D$1,FALSE)='District Calculations'!$B$11,VLOOKUP($A138,EnrollData2324,'2324 Jun 24 Enroll'!D$1,FALSE),'District Calculations'!$B$11)*K138,3)</f>
        <v>0</v>
      </c>
      <c r="M138">
        <f>ROUND(IF(VLOOKUP($A138,EnrollData2324,'2324 Jun 24 Enroll'!E$1,FALSE)='District Calculations'!$B$12,VLOOKUP($A138,EnrollData2324,'2324 Jun 24 Enroll'!E$1,FALSE),'District Calculations'!$B$12)*K138,3)</f>
        <v>3.5379999999999998</v>
      </c>
      <c r="N138">
        <f>ROUND(IF(VLOOKUP($A138,EnrollData2324,'2324 Jun 24 Enroll'!F$1,FALSE)='District Calculations'!$B$13,VLOOKUP($A138,EnrollData2324,'2324 Jun 24 Enroll'!F$1,FALSE),'District Calculations'!$B$13)*Apport_223A2324,3)</f>
        <v>0.84199999999999997</v>
      </c>
      <c r="O138">
        <f>ROUND(IF(VLOOKUP($A138,EnrollData2324,'2324 Jun 24 Enroll'!G$1,FALSE)='District Calculations'!$B$14,VLOOKUP($A138,EnrollData2324,'2324 Jun 24 Enroll'!G$1,FALSE),'District Calculations'!$B$14)*Apport_211A2324,3)</f>
        <v>1.867</v>
      </c>
      <c r="P138">
        <f>ROUND(IF(VLOOKUP($A138,EnrollData2324,'2324 Jun 24 Enroll'!H$1,FALSE)='District Calculations'!$B$14,VLOOKUP($A138,EnrollData2324,'2324 Jun 24 Enroll'!H$1,FALSE),'District Calculations'!$B$14)*Apport_214A2324,3)</f>
        <v>1.8660000000000001</v>
      </c>
      <c r="Q138">
        <f>ROUND(IF(VLOOKUP($A138,EnrollData2324,'2324 Jun 24 Enroll'!I$1,FALSE)+VLOOKUP($A138,EnrollData2324,'2324 Jun 24 Enroll'!M$1,FALSE)-VLOOKUP($A138,EnrollData2324,'2324 Jun 24 Enroll'!J$1,FALSE)='District Calculations'!$B$16+'District Calculations'!$B$25-'District Calculations'!$B$17,VLOOKUP($A138,EnrollData2324,'2324 Jun 24 Enroll'!I$1,FALSE)+VLOOKUP($A138,EnrollData2324,'2324 Jun 24 Enroll'!M$1,FALSE)-VLOOKUP($A138,EnrollData2324,'2324 Jun 24 Enroll'!J$1,FALSE),'District Calculations'!$B$16+'District Calculations'!$B$25-'District Calculations'!$B$17)*Apport_217A2324,3)</f>
        <v>4.6980000000000004</v>
      </c>
      <c r="R138">
        <f>ROUND(SUM(L138:Q138)/IF(VLOOKUP($A138,EnrollData2324,'2324 Jun 24 Enroll'!M$1,FALSE)+VLOOKUP($A138,EnrollData2324,'2324 Jun 24 Enroll'!D$1,FALSE)='District Calculations'!$B$25+'District Calculations'!$B$11,VLOOKUP($A138,EnrollData2324,'2324 Jun 24 Enroll'!M$1,FALSE)+VLOOKUP($A138,EnrollData2324,'2324 Jun 24 Enroll'!D$1,FALSE),'District Calculations'!$B$25+'District Calculations'!$B$11),5)</f>
        <v>4.1000000000000003E-3</v>
      </c>
      <c r="S138" s="11">
        <f t="shared" si="38"/>
        <v>1.8294500000000002E-2</v>
      </c>
      <c r="T138">
        <f>ROUND(IF(VLOOKUP($A138,EnrollData2324,'2324 Jun 24 Enroll'!D$1,FALSE)='District Calculations'!$B$11,VLOOKUP($A138,EnrollData2324,'2324 Jun 24 Enroll'!D$1,FALSE),'District Calculations'!$B$11)*S138,3)</f>
        <v>0</v>
      </c>
      <c r="U138">
        <f>ROUND(IF(VLOOKUP($A138,EnrollData2324,'2324 Jun 24 Enroll'!E$1,FALSE)='District Calculations'!$B$12,VLOOKUP($A138,EnrollData2324,'2324 Jun 24 Enroll'!E$1,FALSE),'District Calculations'!$B$12)*S138,3)</f>
        <v>14.827999999999999</v>
      </c>
      <c r="V138">
        <f>ROUND(IF(VLOOKUP($A138,EnrollData2324,'2324 Jun 24 Enroll'!F$1,FALSE)='District Calculations'!$B$13,VLOOKUP($A138,EnrollData2324,'2324 Jun 24 Enroll'!F$1,FALSE),'District Calculations'!$B$13)*Apport_224A2324,3)</f>
        <v>3.6190000000000002</v>
      </c>
      <c r="W138">
        <f>ROUND(IF(VLOOKUP($A138,EnrollData2324,'2324 Jun 24 Enroll'!G$1,FALSE)='District Calculations'!$B$14,VLOOKUP($A138,EnrollData2324,'2324 Jun 24 Enroll'!G$1,FALSE),'District Calculations'!$B$14)*Apport_212A2324,3)</f>
        <v>8.0239999999999991</v>
      </c>
      <c r="X138">
        <f>ROUND(IF(VLOOKUP($A138,EnrollData2324,'2324 Jun 24 Enroll'!H$1,FALSE)='District Calculations'!$B$14,VLOOKUP($A138,EnrollData2324,'2324 Jun 24 Enroll'!H$1,FALSE),'District Calculations'!$B$14)*Apport_215A2324,3)</f>
        <v>7.9279999999999999</v>
      </c>
      <c r="Y138">
        <f>ROUND(IF(VLOOKUP($A138,EnrollData2324,'2324 Jun 24 Enroll'!I$1,FALSE)+VLOOKUP($A138,EnrollData2324,'2324 Jun 24 Enroll'!M$1,FALSE)-VLOOKUP($A138,EnrollData2324,'2324 Jun 24 Enroll'!J$1,FALSE)='District Calculations'!$B$16+'District Calculations'!$B$25-'District Calculations'!$B$17,VLOOKUP($A138,EnrollData2324,'2324 Jun 24 Enroll'!I$1,FALSE)+VLOOKUP($A138,EnrollData2324,'2324 Jun 24 Enroll'!M$1,FALSE)-VLOOKUP($A138,EnrollData2324,'2324 Jun 24 Enroll'!J$1,FALSE),'District Calculations'!$B$16+'District Calculations'!$B$25-'District Calculations'!$B$17)*Apport_218A2324,3)</f>
        <v>19.917999999999999</v>
      </c>
      <c r="Z138">
        <f>ROUND(SUM(T138:Y138)/IF(VLOOKUP($A138,EnrollData2324,'2324 Jun 24 Enroll'!M$1,FALSE)+VLOOKUP($A138,EnrollData2324,'2324 Jun 24 Enroll'!D$1,FALSE)='District Calculations'!$B$25+'District Calculations'!$B$11,VLOOKUP($A138,EnrollData2324,'2324 Jun 24 Enroll'!M$1,FALSE)+VLOOKUP($A138,EnrollData2324,'2324 Jun 24 Enroll'!D$1,FALSE),'District Calculations'!$B$25+'District Calculations'!$B$11),5)</f>
        <v>1.7399999999999999E-2</v>
      </c>
      <c r="AA138" s="6">
        <f>ROUND($J138*CIS_Base_Salary2324*VLOOKUP($A138,EnrollData2324,'2324 Jun 24 Enroll'!S$1,FALSE),2)</f>
        <v>4765.53</v>
      </c>
      <c r="AB138" s="6">
        <f>ROUND($J138*CIS_Inc_Salary2324*(VLOOKUP($A138,EnrollData2324,'2324 Jun 24 Enroll'!T$1,FALSE)+VLOOKUP($A138,EnrollData2324,'2324 Jun 24 Enroll'!U$1,FALSE)),2)-AA138</f>
        <v>176.32999999999993</v>
      </c>
      <c r="AC138" s="6">
        <f>ROUND($R138*CAS_Base_Salary2324*VLOOKUP($A138,EnrollData2324,'2324 Jun 24 Enroll'!S$1,FALSE),2)</f>
        <v>522.29</v>
      </c>
      <c r="AD138" s="6">
        <f>ROUND($R138*CAS_Inc_Salary2324*VLOOKUP($A138,EnrollData2324,'2324 Jun 24 Enroll'!T$1,FALSE),2)-AC138</f>
        <v>19.32000000000005</v>
      </c>
      <c r="AE138" s="6">
        <f>ROUND($Z138*CLS_Base_Salary2324*VLOOKUP($A138,EnrollData2324,'2324 Jun 24 Enroll'!S$1,FALSE),2)</f>
        <v>1071.22</v>
      </c>
      <c r="AF138" s="6">
        <f>ROUND($Z138*CLS_Inc_Salary2324*VLOOKUP($A138,EnrollData2324,'2324 Jun 24 Enroll'!T$1,FALSE),2)-AE138</f>
        <v>39.619999999999891</v>
      </c>
      <c r="AG138">
        <f t="shared" si="48"/>
        <v>734.16</v>
      </c>
      <c r="AH138" s="69">
        <f t="shared" si="39"/>
        <v>68.700000000000045</v>
      </c>
      <c r="AI138">
        <f t="shared" si="49"/>
        <v>214.23</v>
      </c>
      <c r="AJ138">
        <f t="shared" si="40"/>
        <v>114.21000000000001</v>
      </c>
      <c r="AK138">
        <f t="shared" si="41"/>
        <v>950.22</v>
      </c>
      <c r="AL138">
        <f t="shared" si="42"/>
        <v>33.909999999999997</v>
      </c>
      <c r="AM138">
        <f t="shared" si="43"/>
        <v>236.31</v>
      </c>
      <c r="AN138">
        <f t="shared" si="44"/>
        <v>7.35</v>
      </c>
      <c r="AO138">
        <f>ROUND(($J138*CIS_Inc_Salary2324*(VLOOKUP($A138,EnrollData2324,'2324 Jun 24 Enroll'!T$1,FALSE)+VLOOKUP($A138,EnrollData2324,'2324 Jun 24 Enroll'!U$1,FALSE))/Apport_613Xpd)*Apport_614Xpd,2)</f>
        <v>82.36</v>
      </c>
      <c r="AP138">
        <f t="shared" si="45"/>
        <v>14.27</v>
      </c>
      <c r="AQ138">
        <f t="shared" si="46"/>
        <v>30.93</v>
      </c>
      <c r="AR138" s="6">
        <f>ROUND((VLOOKUP($A138,EnrollData2324,'2324 Jun 24 Enroll'!D$1,FALSE)*Apport_M802324+VLOOKUP($A138,EnrollData2324,'2324 Jun 24 Enroll'!M$1,FALSE)*Apport_M802324+(VLOOKUP($A138,EnrollData2324,'2324 Jun 24 Enroll'!P$1,FALSE)+VLOOKUP($A138,EnrollData2324,'2324 Jun 24 Enroll'!Q$1,FALSE)+VLOOKUP($A138,EnrollData2324,'2324 Jun 24 Enroll'!R$1,FALSE)+VLOOKUP($A138,EnrollData2324,'2324 Jun 24 Enroll'!I$1,FALSE)+VLOOKUP($A138,EnrollData2324,'2324 Jun 24 Enroll'!N$1,FALSE)+VLOOKUP($A138,EnrollData2324,'2324 Jun 24 Enroll'!O$1,FALSE)+VLOOKUP($A138,EnrollData2324,'2324 Jun 24 Enroll'!K$1,FALSE)+VLOOKUP($A138,EnrollData2324,'2324 Jun 24 Enroll'!L$1,FALSE))*Apport_M812324)/(VLOOKUP($A138,EnrollData2324,'2324 Jun 24 Enroll'!M$1,FALSE)+VLOOKUP($A138,EnrollData2324,'2324 Jun 24 Enroll'!D$1,FALSE)),2)</f>
        <v>1585.83</v>
      </c>
      <c r="AS138" s="7">
        <f t="shared" si="47"/>
        <v>10666.789999999999</v>
      </c>
    </row>
    <row r="139" spans="1:45">
      <c r="A139" s="40" t="s">
        <v>909</v>
      </c>
      <c r="B139" s="40" t="s">
        <v>904</v>
      </c>
      <c r="C139" s="11">
        <f>ROUND((IFERROR((1/IF(VLOOKUP($A139,EnrollData2324,28,FALSE)='District Calculations'!$B$10,VLOOKUP($A139,EnrollData2324,28,FALSE),'District Calculations'!$B$10))*(1+Apport_Z315),0))+Apport_201A2324,6)</f>
        <v>7.3449E-2</v>
      </c>
      <c r="D139">
        <f>ROUND(IF(VLOOKUP($A139,EnrollData2324,'2324 Jun 24 Enroll'!D$1,FALSE)='District Calculations'!$B$11,VLOOKUP($A139,EnrollData2324,'2324 Jun 24 Enroll'!D$1,FALSE),'District Calculations'!$B$11)*C139,3)</f>
        <v>0</v>
      </c>
      <c r="E139">
        <f>ROUND(IF(VLOOKUP($A139,EnrollData2324,'2324 Jun 24 Enroll'!E$1,FALSE)='District Calculations'!$B$12,VLOOKUP($A139,EnrollData2324,'2324 Jun 24 Enroll'!E$1,FALSE),'District Calculations'!$B$12)*C139,3)</f>
        <v>59.53</v>
      </c>
      <c r="F139">
        <f>ROUND(IF(VLOOKUP($A139,EnrollData2324,'2324 Jun 24 Enroll'!F$1,FALSE)='District Calculations'!$B$13,VLOOKUP($A139,EnrollData2324,'2324 Jun 24 Enroll'!F$1,FALSE),'District Calculations'!$B$13)*Apport_222A2324,3)</f>
        <v>10.101000000000001</v>
      </c>
      <c r="G139">
        <f>ROUND(IF(VLOOKUP($A139,EnrollData2324,'2324 Jun 24 Enroll'!G$1,FALSE)='District Calculations'!$B$14,VLOOKUP($A139,EnrollData2324,'2324 Jun 24 Enroll'!G$1,FALSE),'District Calculations'!$B$14)*Apport_210A2324,3)</f>
        <v>22.395</v>
      </c>
      <c r="H139">
        <f>ROUND(IF(VLOOKUP($A139,EnrollData2324,'2324 Jun 24 Enroll'!H$1,FALSE)='District Calculations'!$B$15,VLOOKUP($A139,EnrollData2324,'2324 Jun 24 Enroll'!H$1,FALSE),'District Calculations'!$B$15)*Apport_213A2324,3)</f>
        <v>23.091999999999999</v>
      </c>
      <c r="I139">
        <f>ROUND(IF(VLOOKUP($A139,EnrollData2324,'2324 Jun 24 Enroll'!I$1,FALSE)+VLOOKUP($A139,EnrollData2324,'2324 Jun 24 Enroll'!M$1,FALSE)-VLOOKUP($A139,EnrollData2324,'2324 Jun 24 Enroll'!J$1,FALSE)='District Calculations'!$B$16+'District Calculations'!$B$25-'District Calculations'!$B$17,VLOOKUP($A139,EnrollData2324,'2324 Jun 24 Enroll'!I$1,FALSE)+VLOOKUP($A139,EnrollData2324,'2324 Jun 24 Enroll'!M$1,FALSE)-VLOOKUP($A139,EnrollData2324,'2324 Jun 24 Enroll'!J$1,FALSE),'District Calculations'!$B$16+'District Calculations'!$B$25-'District Calculations'!$B$17)*Apport_216A2324,3)</f>
        <v>58.183999999999997</v>
      </c>
      <c r="J139">
        <f>ROUND(SUM(D139:I139)/(IF(VLOOKUP($A139,EnrollData2324,'2324 Jun 24 Enroll'!M$1,FALSE)='District Calculations'!$B$25,VLOOKUP($A139,EnrollData2324,'2324 Jun 24 Enroll'!M$1,FALSE),'District Calculations'!$B$25)+IF(VLOOKUP($A139,EnrollData2324,'2324 Jun 24 Enroll'!D$1,FALSE)='District Calculations'!$B$11,VLOOKUP($A139,EnrollData2324,'2324 Jun 24 Enroll'!D$1,FALSE),'District Calculations'!$B$11)),5)</f>
        <v>5.5530000000000003E-2</v>
      </c>
      <c r="K139" s="11">
        <f t="shared" si="37"/>
        <v>4.365E-3</v>
      </c>
      <c r="L139">
        <f>ROUND(IF(VLOOKUP($A139,EnrollData2324,'2324 Jun 24 Enroll'!D$1,FALSE)='District Calculations'!$B$11,VLOOKUP($A139,EnrollData2324,'2324 Jun 24 Enroll'!D$1,FALSE),'District Calculations'!$B$11)*K139,3)</f>
        <v>0</v>
      </c>
      <c r="M139">
        <f>ROUND(IF(VLOOKUP($A139,EnrollData2324,'2324 Jun 24 Enroll'!E$1,FALSE)='District Calculations'!$B$12,VLOOKUP($A139,EnrollData2324,'2324 Jun 24 Enroll'!E$1,FALSE),'District Calculations'!$B$12)*K139,3)</f>
        <v>3.5379999999999998</v>
      </c>
      <c r="N139">
        <f>ROUND(IF(VLOOKUP($A139,EnrollData2324,'2324 Jun 24 Enroll'!F$1,FALSE)='District Calculations'!$B$13,VLOOKUP($A139,EnrollData2324,'2324 Jun 24 Enroll'!F$1,FALSE),'District Calculations'!$B$13)*Apport_223A2324,3)</f>
        <v>0.84199999999999997</v>
      </c>
      <c r="O139">
        <f>ROUND(IF(VLOOKUP($A139,EnrollData2324,'2324 Jun 24 Enroll'!G$1,FALSE)='District Calculations'!$B$14,VLOOKUP($A139,EnrollData2324,'2324 Jun 24 Enroll'!G$1,FALSE),'District Calculations'!$B$14)*Apport_211A2324,3)</f>
        <v>1.867</v>
      </c>
      <c r="P139">
        <f>ROUND(IF(VLOOKUP($A139,EnrollData2324,'2324 Jun 24 Enroll'!H$1,FALSE)='District Calculations'!$B$14,VLOOKUP($A139,EnrollData2324,'2324 Jun 24 Enroll'!H$1,FALSE),'District Calculations'!$B$14)*Apport_214A2324,3)</f>
        <v>1.8660000000000001</v>
      </c>
      <c r="Q139">
        <f>ROUND(IF(VLOOKUP($A139,EnrollData2324,'2324 Jun 24 Enroll'!I$1,FALSE)+VLOOKUP($A139,EnrollData2324,'2324 Jun 24 Enroll'!M$1,FALSE)-VLOOKUP($A139,EnrollData2324,'2324 Jun 24 Enroll'!J$1,FALSE)='District Calculations'!$B$16+'District Calculations'!$B$25-'District Calculations'!$B$17,VLOOKUP($A139,EnrollData2324,'2324 Jun 24 Enroll'!I$1,FALSE)+VLOOKUP($A139,EnrollData2324,'2324 Jun 24 Enroll'!M$1,FALSE)-VLOOKUP($A139,EnrollData2324,'2324 Jun 24 Enroll'!J$1,FALSE),'District Calculations'!$B$16+'District Calculations'!$B$25-'District Calculations'!$B$17)*Apport_217A2324,3)</f>
        <v>4.6980000000000004</v>
      </c>
      <c r="R139">
        <f>ROUND(SUM(L139:Q139)/IF(VLOOKUP($A139,EnrollData2324,'2324 Jun 24 Enroll'!M$1,FALSE)+VLOOKUP($A139,EnrollData2324,'2324 Jun 24 Enroll'!D$1,FALSE)='District Calculations'!$B$25+'District Calculations'!$B$11,VLOOKUP($A139,EnrollData2324,'2324 Jun 24 Enroll'!M$1,FALSE)+VLOOKUP($A139,EnrollData2324,'2324 Jun 24 Enroll'!D$1,FALSE),'District Calculations'!$B$25+'District Calculations'!$B$11),5)</f>
        <v>4.1000000000000003E-3</v>
      </c>
      <c r="S139" s="11">
        <f t="shared" si="38"/>
        <v>1.8294500000000002E-2</v>
      </c>
      <c r="T139">
        <f>ROUND(IF(VLOOKUP($A139,EnrollData2324,'2324 Jun 24 Enroll'!D$1,FALSE)='District Calculations'!$B$11,VLOOKUP($A139,EnrollData2324,'2324 Jun 24 Enroll'!D$1,FALSE),'District Calculations'!$B$11)*S139,3)</f>
        <v>0</v>
      </c>
      <c r="U139">
        <f>ROUND(IF(VLOOKUP($A139,EnrollData2324,'2324 Jun 24 Enroll'!E$1,FALSE)='District Calculations'!$B$12,VLOOKUP($A139,EnrollData2324,'2324 Jun 24 Enroll'!E$1,FALSE),'District Calculations'!$B$12)*S139,3)</f>
        <v>14.827999999999999</v>
      </c>
      <c r="V139">
        <f>ROUND(IF(VLOOKUP($A139,EnrollData2324,'2324 Jun 24 Enroll'!F$1,FALSE)='District Calculations'!$B$13,VLOOKUP($A139,EnrollData2324,'2324 Jun 24 Enroll'!F$1,FALSE),'District Calculations'!$B$13)*Apport_224A2324,3)</f>
        <v>3.6190000000000002</v>
      </c>
      <c r="W139">
        <f>ROUND(IF(VLOOKUP($A139,EnrollData2324,'2324 Jun 24 Enroll'!G$1,FALSE)='District Calculations'!$B$14,VLOOKUP($A139,EnrollData2324,'2324 Jun 24 Enroll'!G$1,FALSE),'District Calculations'!$B$14)*Apport_212A2324,3)</f>
        <v>8.0239999999999991</v>
      </c>
      <c r="X139">
        <f>ROUND(IF(VLOOKUP($A139,EnrollData2324,'2324 Jun 24 Enroll'!H$1,FALSE)='District Calculations'!$B$14,VLOOKUP($A139,EnrollData2324,'2324 Jun 24 Enroll'!H$1,FALSE),'District Calculations'!$B$14)*Apport_215A2324,3)</f>
        <v>7.9279999999999999</v>
      </c>
      <c r="Y139">
        <f>ROUND(IF(VLOOKUP($A139,EnrollData2324,'2324 Jun 24 Enroll'!I$1,FALSE)+VLOOKUP($A139,EnrollData2324,'2324 Jun 24 Enroll'!M$1,FALSE)-VLOOKUP($A139,EnrollData2324,'2324 Jun 24 Enroll'!J$1,FALSE)='District Calculations'!$B$16+'District Calculations'!$B$25-'District Calculations'!$B$17,VLOOKUP($A139,EnrollData2324,'2324 Jun 24 Enroll'!I$1,FALSE)+VLOOKUP($A139,EnrollData2324,'2324 Jun 24 Enroll'!M$1,FALSE)-VLOOKUP($A139,EnrollData2324,'2324 Jun 24 Enroll'!J$1,FALSE),'District Calculations'!$B$16+'District Calculations'!$B$25-'District Calculations'!$B$17)*Apport_218A2324,3)</f>
        <v>19.917999999999999</v>
      </c>
      <c r="Z139">
        <f>ROUND(SUM(T139:Y139)/IF(VLOOKUP($A139,EnrollData2324,'2324 Jun 24 Enroll'!M$1,FALSE)+VLOOKUP($A139,EnrollData2324,'2324 Jun 24 Enroll'!D$1,FALSE)='District Calculations'!$B$25+'District Calculations'!$B$11,VLOOKUP($A139,EnrollData2324,'2324 Jun 24 Enroll'!M$1,FALSE)+VLOOKUP($A139,EnrollData2324,'2324 Jun 24 Enroll'!D$1,FALSE),'District Calculations'!$B$25+'District Calculations'!$B$11),5)</f>
        <v>1.7399999999999999E-2</v>
      </c>
      <c r="AA139" s="6">
        <f>ROUND($J139*CIS_Base_Salary2324*VLOOKUP($A139,EnrollData2324,'2324 Jun 24 Enroll'!S$1,FALSE),2)</f>
        <v>4765.53</v>
      </c>
      <c r="AB139" s="6">
        <f>ROUND($J139*CIS_Inc_Salary2324*(VLOOKUP($A139,EnrollData2324,'2324 Jun 24 Enroll'!T$1,FALSE)+VLOOKUP($A139,EnrollData2324,'2324 Jun 24 Enroll'!U$1,FALSE)),2)-AA139</f>
        <v>176.32999999999993</v>
      </c>
      <c r="AC139" s="6">
        <f>ROUND($R139*CAS_Base_Salary2324*VLOOKUP($A139,EnrollData2324,'2324 Jun 24 Enroll'!S$1,FALSE),2)</f>
        <v>522.29</v>
      </c>
      <c r="AD139" s="6">
        <f>ROUND($R139*CAS_Inc_Salary2324*VLOOKUP($A139,EnrollData2324,'2324 Jun 24 Enroll'!T$1,FALSE),2)-AC139</f>
        <v>19.32000000000005</v>
      </c>
      <c r="AE139" s="6">
        <f>ROUND($Z139*CLS_Base_Salary2324*VLOOKUP($A139,EnrollData2324,'2324 Jun 24 Enroll'!S$1,FALSE),2)</f>
        <v>1071.22</v>
      </c>
      <c r="AF139" s="6">
        <f>ROUND($Z139*CLS_Inc_Salary2324*VLOOKUP($A139,EnrollData2324,'2324 Jun 24 Enroll'!T$1,FALSE),2)-AE139</f>
        <v>39.619999999999891</v>
      </c>
      <c r="AG139">
        <f t="shared" si="48"/>
        <v>734.16</v>
      </c>
      <c r="AH139" s="69">
        <f t="shared" si="39"/>
        <v>68.700000000000045</v>
      </c>
      <c r="AI139">
        <f t="shared" si="49"/>
        <v>214.23</v>
      </c>
      <c r="AJ139">
        <f t="shared" si="40"/>
        <v>114.21000000000001</v>
      </c>
      <c r="AK139">
        <f t="shared" si="41"/>
        <v>950.22</v>
      </c>
      <c r="AL139">
        <f t="shared" si="42"/>
        <v>33.909999999999997</v>
      </c>
      <c r="AM139">
        <f t="shared" si="43"/>
        <v>236.31</v>
      </c>
      <c r="AN139">
        <f t="shared" si="44"/>
        <v>7.35</v>
      </c>
      <c r="AO139">
        <f>ROUND(($J139*CIS_Inc_Salary2324*(VLOOKUP($A139,EnrollData2324,'2324 Jun 24 Enroll'!T$1,FALSE)+VLOOKUP($A139,EnrollData2324,'2324 Jun 24 Enroll'!U$1,FALSE))/Apport_613Xpd)*Apport_614Xpd,2)</f>
        <v>82.36</v>
      </c>
      <c r="AP139">
        <f t="shared" si="45"/>
        <v>14.27</v>
      </c>
      <c r="AQ139">
        <f t="shared" si="46"/>
        <v>30.93</v>
      </c>
      <c r="AR139" s="6">
        <f>ROUND((VLOOKUP($A139,EnrollData2324,'2324 Jun 24 Enroll'!D$1,FALSE)*Apport_M802324+VLOOKUP($A139,EnrollData2324,'2324 Jun 24 Enroll'!M$1,FALSE)*Apport_M802324+(VLOOKUP($A139,EnrollData2324,'2324 Jun 24 Enroll'!P$1,FALSE)+VLOOKUP($A139,EnrollData2324,'2324 Jun 24 Enroll'!Q$1,FALSE)+VLOOKUP($A139,EnrollData2324,'2324 Jun 24 Enroll'!R$1,FALSE)+VLOOKUP($A139,EnrollData2324,'2324 Jun 24 Enroll'!I$1,FALSE)+VLOOKUP($A139,EnrollData2324,'2324 Jun 24 Enroll'!N$1,FALSE)+VLOOKUP($A139,EnrollData2324,'2324 Jun 24 Enroll'!O$1,FALSE)+VLOOKUP($A139,EnrollData2324,'2324 Jun 24 Enroll'!K$1,FALSE)+VLOOKUP($A139,EnrollData2324,'2324 Jun 24 Enroll'!L$1,FALSE))*Apport_M812324)/(VLOOKUP($A139,EnrollData2324,'2324 Jun 24 Enroll'!M$1,FALSE)+VLOOKUP($A139,EnrollData2324,'2324 Jun 24 Enroll'!D$1,FALSE)),2)</f>
        <v>1483.44</v>
      </c>
      <c r="AS139" s="7">
        <f t="shared" si="47"/>
        <v>10564.4</v>
      </c>
    </row>
    <row r="140" spans="1:45">
      <c r="A140" s="40" t="s">
        <v>933</v>
      </c>
      <c r="B140" s="40" t="s">
        <v>1010</v>
      </c>
      <c r="C140" s="11">
        <f>ROUND((IFERROR((1/IF(VLOOKUP($A140,EnrollData2324,28,FALSE)='District Calculations'!$B$10,VLOOKUP($A140,EnrollData2324,28,FALSE),'District Calculations'!$B$10))*(1+Apport_Z315),0))+Apport_201A2324,6)</f>
        <v>7.3449E-2</v>
      </c>
      <c r="D140">
        <f>ROUND(IF(VLOOKUP($A140,EnrollData2324,'2324 Jun 24 Enroll'!D$1,FALSE)='District Calculations'!$B$11,VLOOKUP($A140,EnrollData2324,'2324 Jun 24 Enroll'!D$1,FALSE),'District Calculations'!$B$11)*C140,3)</f>
        <v>0</v>
      </c>
      <c r="E140">
        <f>ROUND(IF(VLOOKUP($A140,EnrollData2324,'2324 Jun 24 Enroll'!E$1,FALSE)='District Calculations'!$B$12,VLOOKUP($A140,EnrollData2324,'2324 Jun 24 Enroll'!E$1,FALSE),'District Calculations'!$B$12)*C140,3)</f>
        <v>59.53</v>
      </c>
      <c r="F140">
        <f>ROUND(IF(VLOOKUP($A140,EnrollData2324,'2324 Jun 24 Enroll'!F$1,FALSE)='District Calculations'!$B$13,VLOOKUP($A140,EnrollData2324,'2324 Jun 24 Enroll'!F$1,FALSE),'District Calculations'!$B$13)*Apport_222A2324,3)</f>
        <v>10.101000000000001</v>
      </c>
      <c r="G140">
        <f>ROUND(IF(VLOOKUP($A140,EnrollData2324,'2324 Jun 24 Enroll'!G$1,FALSE)='District Calculations'!$B$14,VLOOKUP($A140,EnrollData2324,'2324 Jun 24 Enroll'!G$1,FALSE),'District Calculations'!$B$14)*Apport_210A2324,3)</f>
        <v>22.395</v>
      </c>
      <c r="H140">
        <f>ROUND(IF(VLOOKUP($A140,EnrollData2324,'2324 Jun 24 Enroll'!H$1,FALSE)='District Calculations'!$B$15,VLOOKUP($A140,EnrollData2324,'2324 Jun 24 Enroll'!H$1,FALSE),'District Calculations'!$B$15)*Apport_213A2324,3)</f>
        <v>23.091999999999999</v>
      </c>
      <c r="I140">
        <f>ROUND(IF(VLOOKUP($A140,EnrollData2324,'2324 Jun 24 Enroll'!I$1,FALSE)+VLOOKUP($A140,EnrollData2324,'2324 Jun 24 Enroll'!M$1,FALSE)-VLOOKUP($A140,EnrollData2324,'2324 Jun 24 Enroll'!J$1,FALSE)='District Calculations'!$B$16+'District Calculations'!$B$25-'District Calculations'!$B$17,VLOOKUP($A140,EnrollData2324,'2324 Jun 24 Enroll'!I$1,FALSE)+VLOOKUP($A140,EnrollData2324,'2324 Jun 24 Enroll'!M$1,FALSE)-VLOOKUP($A140,EnrollData2324,'2324 Jun 24 Enroll'!J$1,FALSE),'District Calculations'!$B$16+'District Calculations'!$B$25-'District Calculations'!$B$17)*Apport_216A2324,3)</f>
        <v>58.183999999999997</v>
      </c>
      <c r="J140">
        <f>ROUND(SUM(D140:I140)/(IF(VLOOKUP($A140,EnrollData2324,'2324 Jun 24 Enroll'!M$1,FALSE)='District Calculations'!$B$25,VLOOKUP($A140,EnrollData2324,'2324 Jun 24 Enroll'!M$1,FALSE),'District Calculations'!$B$25)+IF(VLOOKUP($A140,EnrollData2324,'2324 Jun 24 Enroll'!D$1,FALSE)='District Calculations'!$B$11,VLOOKUP($A140,EnrollData2324,'2324 Jun 24 Enroll'!D$1,FALSE),'District Calculations'!$B$11)),5)</f>
        <v>5.5530000000000003E-2</v>
      </c>
      <c r="K140" s="11">
        <f t="shared" si="37"/>
        <v>4.365E-3</v>
      </c>
      <c r="L140">
        <f>ROUND(IF(VLOOKUP($A140,EnrollData2324,'2324 Jun 24 Enroll'!D$1,FALSE)='District Calculations'!$B$11,VLOOKUP($A140,EnrollData2324,'2324 Jun 24 Enroll'!D$1,FALSE),'District Calculations'!$B$11)*K140,3)</f>
        <v>0</v>
      </c>
      <c r="M140">
        <f>ROUND(IF(VLOOKUP($A140,EnrollData2324,'2324 Jun 24 Enroll'!E$1,FALSE)='District Calculations'!$B$12,VLOOKUP($A140,EnrollData2324,'2324 Jun 24 Enroll'!E$1,FALSE),'District Calculations'!$B$12)*K140,3)</f>
        <v>3.5379999999999998</v>
      </c>
      <c r="N140">
        <f>ROUND(IF(VLOOKUP($A140,EnrollData2324,'2324 Jun 24 Enroll'!F$1,FALSE)='District Calculations'!$B$13,VLOOKUP($A140,EnrollData2324,'2324 Jun 24 Enroll'!F$1,FALSE),'District Calculations'!$B$13)*Apport_223A2324,3)</f>
        <v>0.84199999999999997</v>
      </c>
      <c r="O140">
        <f>ROUND(IF(VLOOKUP($A140,EnrollData2324,'2324 Jun 24 Enroll'!G$1,FALSE)='District Calculations'!$B$14,VLOOKUP($A140,EnrollData2324,'2324 Jun 24 Enroll'!G$1,FALSE),'District Calculations'!$B$14)*Apport_211A2324,3)</f>
        <v>1.867</v>
      </c>
      <c r="P140">
        <f>ROUND(IF(VLOOKUP($A140,EnrollData2324,'2324 Jun 24 Enroll'!H$1,FALSE)='District Calculations'!$B$14,VLOOKUP($A140,EnrollData2324,'2324 Jun 24 Enroll'!H$1,FALSE),'District Calculations'!$B$14)*Apport_214A2324,3)</f>
        <v>1.8660000000000001</v>
      </c>
      <c r="Q140">
        <f>ROUND(IF(VLOOKUP($A140,EnrollData2324,'2324 Jun 24 Enroll'!I$1,FALSE)+VLOOKUP($A140,EnrollData2324,'2324 Jun 24 Enroll'!M$1,FALSE)-VLOOKUP($A140,EnrollData2324,'2324 Jun 24 Enroll'!J$1,FALSE)='District Calculations'!$B$16+'District Calculations'!$B$25-'District Calculations'!$B$17,VLOOKUP($A140,EnrollData2324,'2324 Jun 24 Enroll'!I$1,FALSE)+VLOOKUP($A140,EnrollData2324,'2324 Jun 24 Enroll'!M$1,FALSE)-VLOOKUP($A140,EnrollData2324,'2324 Jun 24 Enroll'!J$1,FALSE),'District Calculations'!$B$16+'District Calculations'!$B$25-'District Calculations'!$B$17)*Apport_217A2324,3)</f>
        <v>4.6980000000000004</v>
      </c>
      <c r="R140">
        <f>ROUND(SUM(L140:Q140)/IF(VLOOKUP($A140,EnrollData2324,'2324 Jun 24 Enroll'!M$1,FALSE)+VLOOKUP($A140,EnrollData2324,'2324 Jun 24 Enroll'!D$1,FALSE)='District Calculations'!$B$25+'District Calculations'!$B$11,VLOOKUP($A140,EnrollData2324,'2324 Jun 24 Enroll'!M$1,FALSE)+VLOOKUP($A140,EnrollData2324,'2324 Jun 24 Enroll'!D$1,FALSE),'District Calculations'!$B$25+'District Calculations'!$B$11),5)</f>
        <v>4.1000000000000003E-3</v>
      </c>
      <c r="S140" s="11">
        <f t="shared" si="38"/>
        <v>1.8294500000000002E-2</v>
      </c>
      <c r="T140">
        <f>ROUND(IF(VLOOKUP($A140,EnrollData2324,'2324 Jun 24 Enroll'!D$1,FALSE)='District Calculations'!$B$11,VLOOKUP($A140,EnrollData2324,'2324 Jun 24 Enroll'!D$1,FALSE),'District Calculations'!$B$11)*S140,3)</f>
        <v>0</v>
      </c>
      <c r="U140">
        <f>ROUND(IF(VLOOKUP($A140,EnrollData2324,'2324 Jun 24 Enroll'!E$1,FALSE)='District Calculations'!$B$12,VLOOKUP($A140,EnrollData2324,'2324 Jun 24 Enroll'!E$1,FALSE),'District Calculations'!$B$12)*S140,3)</f>
        <v>14.827999999999999</v>
      </c>
      <c r="V140">
        <f>ROUND(IF(VLOOKUP($A140,EnrollData2324,'2324 Jun 24 Enroll'!F$1,FALSE)='District Calculations'!$B$13,VLOOKUP($A140,EnrollData2324,'2324 Jun 24 Enroll'!F$1,FALSE),'District Calculations'!$B$13)*Apport_224A2324,3)</f>
        <v>3.6190000000000002</v>
      </c>
      <c r="W140">
        <f>ROUND(IF(VLOOKUP($A140,EnrollData2324,'2324 Jun 24 Enroll'!G$1,FALSE)='District Calculations'!$B$14,VLOOKUP($A140,EnrollData2324,'2324 Jun 24 Enroll'!G$1,FALSE),'District Calculations'!$B$14)*Apport_212A2324,3)</f>
        <v>8.0239999999999991</v>
      </c>
      <c r="X140">
        <f>ROUND(IF(VLOOKUP($A140,EnrollData2324,'2324 Jun 24 Enroll'!H$1,FALSE)='District Calculations'!$B$14,VLOOKUP($A140,EnrollData2324,'2324 Jun 24 Enroll'!H$1,FALSE),'District Calculations'!$B$14)*Apport_215A2324,3)</f>
        <v>7.9279999999999999</v>
      </c>
      <c r="Y140">
        <f>ROUND(IF(VLOOKUP($A140,EnrollData2324,'2324 Jun 24 Enroll'!I$1,FALSE)+VLOOKUP($A140,EnrollData2324,'2324 Jun 24 Enroll'!M$1,FALSE)-VLOOKUP($A140,EnrollData2324,'2324 Jun 24 Enroll'!J$1,FALSE)='District Calculations'!$B$16+'District Calculations'!$B$25-'District Calculations'!$B$17,VLOOKUP($A140,EnrollData2324,'2324 Jun 24 Enroll'!I$1,FALSE)+VLOOKUP($A140,EnrollData2324,'2324 Jun 24 Enroll'!M$1,FALSE)-VLOOKUP($A140,EnrollData2324,'2324 Jun 24 Enroll'!J$1,FALSE),'District Calculations'!$B$16+'District Calculations'!$B$25-'District Calculations'!$B$17)*Apport_218A2324,3)</f>
        <v>19.917999999999999</v>
      </c>
      <c r="Z140">
        <f>ROUND(SUM(T140:Y140)/IF(VLOOKUP($A140,EnrollData2324,'2324 Jun 24 Enroll'!M$1,FALSE)+VLOOKUP($A140,EnrollData2324,'2324 Jun 24 Enroll'!D$1,FALSE)='District Calculations'!$B$25+'District Calculations'!$B$11,VLOOKUP($A140,EnrollData2324,'2324 Jun 24 Enroll'!M$1,FALSE)+VLOOKUP($A140,EnrollData2324,'2324 Jun 24 Enroll'!D$1,FALSE),'District Calculations'!$B$25+'District Calculations'!$B$11),5)</f>
        <v>1.7399999999999999E-2</v>
      </c>
      <c r="AA140" s="6">
        <f>ROUND($J140*CIS_Base_Salary2324*VLOOKUP($A140,EnrollData2324,'2324 Jun 24 Enroll'!S$1,FALSE),2)</f>
        <v>4765.53</v>
      </c>
      <c r="AB140" s="6">
        <f>ROUND($J140*CIS_Inc_Salary2324*(VLOOKUP($A140,EnrollData2324,'2324 Jun 24 Enroll'!T$1,FALSE)+VLOOKUP($A140,EnrollData2324,'2324 Jun 24 Enroll'!U$1,FALSE)),2)-AA140</f>
        <v>176.32999999999993</v>
      </c>
      <c r="AC140" s="6">
        <f>ROUND($R140*CAS_Base_Salary2324*VLOOKUP($A140,EnrollData2324,'2324 Jun 24 Enroll'!S$1,FALSE),2)</f>
        <v>522.29</v>
      </c>
      <c r="AD140" s="6">
        <f>ROUND($R140*CAS_Inc_Salary2324*VLOOKUP($A140,EnrollData2324,'2324 Jun 24 Enroll'!T$1,FALSE),2)-AC140</f>
        <v>19.32000000000005</v>
      </c>
      <c r="AE140" s="6">
        <f>ROUND($Z140*CLS_Base_Salary2324*VLOOKUP($A140,EnrollData2324,'2324 Jun 24 Enroll'!S$1,FALSE),2)</f>
        <v>1071.22</v>
      </c>
      <c r="AF140" s="6">
        <f>ROUND($Z140*CLS_Inc_Salary2324*VLOOKUP($A140,EnrollData2324,'2324 Jun 24 Enroll'!T$1,FALSE),2)-AE140</f>
        <v>39.619999999999891</v>
      </c>
      <c r="AG140">
        <f t="shared" si="48"/>
        <v>734.16</v>
      </c>
      <c r="AH140" s="69">
        <f t="shared" si="39"/>
        <v>68.700000000000045</v>
      </c>
      <c r="AI140">
        <f t="shared" si="49"/>
        <v>214.23</v>
      </c>
      <c r="AJ140">
        <f t="shared" si="40"/>
        <v>114.21000000000001</v>
      </c>
      <c r="AK140">
        <f t="shared" si="41"/>
        <v>950.22</v>
      </c>
      <c r="AL140">
        <f t="shared" si="42"/>
        <v>33.909999999999997</v>
      </c>
      <c r="AM140">
        <f t="shared" si="43"/>
        <v>236.31</v>
      </c>
      <c r="AN140">
        <f t="shared" si="44"/>
        <v>7.35</v>
      </c>
      <c r="AO140">
        <f>ROUND(($J140*CIS_Inc_Salary2324*(VLOOKUP($A140,EnrollData2324,'2324 Jun 24 Enroll'!T$1,FALSE)+VLOOKUP($A140,EnrollData2324,'2324 Jun 24 Enroll'!U$1,FALSE))/Apport_613Xpd)*Apport_614Xpd,2)</f>
        <v>82.36</v>
      </c>
      <c r="AP140">
        <f t="shared" si="45"/>
        <v>14.27</v>
      </c>
      <c r="AQ140">
        <f t="shared" si="46"/>
        <v>30.93</v>
      </c>
      <c r="AR140" s="6">
        <f>ROUND((VLOOKUP($A140,EnrollData2324,'2324 Jun 24 Enroll'!D$1,FALSE)*Apport_M802324+VLOOKUP($A140,EnrollData2324,'2324 Jun 24 Enroll'!M$1,FALSE)*Apport_M802324+(VLOOKUP($A140,EnrollData2324,'2324 Jun 24 Enroll'!P$1,FALSE)+VLOOKUP($A140,EnrollData2324,'2324 Jun 24 Enroll'!Q$1,FALSE)+VLOOKUP($A140,EnrollData2324,'2324 Jun 24 Enroll'!R$1,FALSE)+VLOOKUP($A140,EnrollData2324,'2324 Jun 24 Enroll'!I$1,FALSE)+VLOOKUP($A140,EnrollData2324,'2324 Jun 24 Enroll'!N$1,FALSE)+VLOOKUP($A140,EnrollData2324,'2324 Jun 24 Enroll'!O$1,FALSE)+VLOOKUP($A140,EnrollData2324,'2324 Jun 24 Enroll'!K$1,FALSE)+VLOOKUP($A140,EnrollData2324,'2324 Jun 24 Enroll'!L$1,FALSE))*Apport_M812324)/(VLOOKUP($A140,EnrollData2324,'2324 Jun 24 Enroll'!M$1,FALSE)+VLOOKUP($A140,EnrollData2324,'2324 Jun 24 Enroll'!D$1,FALSE)),2)</f>
        <v>1577.57</v>
      </c>
      <c r="AS140" s="7">
        <f t="shared" si="47"/>
        <v>10658.529999999999</v>
      </c>
    </row>
    <row r="141" spans="1:45">
      <c r="A141" s="40" t="s">
        <v>997</v>
      </c>
      <c r="B141" s="40" t="s">
        <v>1011</v>
      </c>
      <c r="C141" s="11">
        <f>ROUND((IFERROR((1/IF(VLOOKUP($A141,EnrollData2324,28,FALSE)='District Calculations'!$B$10,VLOOKUP($A141,EnrollData2324,28,FALSE),'District Calculations'!$B$10))*(1+Apport_Z315),0))+Apport_201A2324,6)</f>
        <v>7.3449E-2</v>
      </c>
      <c r="D141">
        <f>ROUND(IF(VLOOKUP($A141,EnrollData2324,'2324 Jun 24 Enroll'!D$1,FALSE)='District Calculations'!$B$11,VLOOKUP($A141,EnrollData2324,'2324 Jun 24 Enroll'!D$1,FALSE),'District Calculations'!$B$11)*C141,3)</f>
        <v>0</v>
      </c>
      <c r="E141">
        <f>ROUND(IF(VLOOKUP($A141,EnrollData2324,'2324 Jun 24 Enroll'!E$1,FALSE)='District Calculations'!$B$12,VLOOKUP($A141,EnrollData2324,'2324 Jun 24 Enroll'!E$1,FALSE),'District Calculations'!$B$12)*C141,3)</f>
        <v>59.53</v>
      </c>
      <c r="F141">
        <f>ROUND(IF(VLOOKUP($A141,EnrollData2324,'2324 Jun 24 Enroll'!F$1,FALSE)='District Calculations'!$B$13,VLOOKUP($A141,EnrollData2324,'2324 Jun 24 Enroll'!F$1,FALSE),'District Calculations'!$B$13)*Apport_222A2324,3)</f>
        <v>10.101000000000001</v>
      </c>
      <c r="G141">
        <f>ROUND(IF(VLOOKUP($A141,EnrollData2324,'2324 Jun 24 Enroll'!G$1,FALSE)='District Calculations'!$B$14,VLOOKUP($A141,EnrollData2324,'2324 Jun 24 Enroll'!G$1,FALSE),'District Calculations'!$B$14)*Apport_210A2324,3)</f>
        <v>22.395</v>
      </c>
      <c r="H141">
        <f>ROUND(IF(VLOOKUP($A141,EnrollData2324,'2324 Jun 24 Enroll'!H$1,FALSE)='District Calculations'!$B$15,VLOOKUP($A141,EnrollData2324,'2324 Jun 24 Enroll'!H$1,FALSE),'District Calculations'!$B$15)*Apport_213A2324,3)</f>
        <v>23.091999999999999</v>
      </c>
      <c r="I141">
        <f>ROUND(IF(VLOOKUP($A141,EnrollData2324,'2324 Jun 24 Enroll'!I$1,FALSE)+VLOOKUP($A141,EnrollData2324,'2324 Jun 24 Enroll'!M$1,FALSE)-VLOOKUP($A141,EnrollData2324,'2324 Jun 24 Enroll'!J$1,FALSE)='District Calculations'!$B$16+'District Calculations'!$B$25-'District Calculations'!$B$17,VLOOKUP($A141,EnrollData2324,'2324 Jun 24 Enroll'!I$1,FALSE)+VLOOKUP($A141,EnrollData2324,'2324 Jun 24 Enroll'!M$1,FALSE)-VLOOKUP($A141,EnrollData2324,'2324 Jun 24 Enroll'!J$1,FALSE),'District Calculations'!$B$16+'District Calculations'!$B$25-'District Calculations'!$B$17)*Apport_216A2324,3)</f>
        <v>58.183999999999997</v>
      </c>
      <c r="J141">
        <f>ROUND(SUM(D141:I141)/(IF(VLOOKUP($A141,EnrollData2324,'2324 Jun 24 Enroll'!M$1,FALSE)='District Calculations'!$B$25,VLOOKUP($A141,EnrollData2324,'2324 Jun 24 Enroll'!M$1,FALSE),'District Calculations'!$B$25)+IF(VLOOKUP($A141,EnrollData2324,'2324 Jun 24 Enroll'!D$1,FALSE)='District Calculations'!$B$11,VLOOKUP($A141,EnrollData2324,'2324 Jun 24 Enroll'!D$1,FALSE),'District Calculations'!$B$11)),5)</f>
        <v>5.5530000000000003E-2</v>
      </c>
      <c r="K141" s="11">
        <f t="shared" si="37"/>
        <v>4.365E-3</v>
      </c>
      <c r="L141">
        <f>ROUND(IF(VLOOKUP($A141,EnrollData2324,'2324 Jun 24 Enroll'!D$1,FALSE)='District Calculations'!$B$11,VLOOKUP($A141,EnrollData2324,'2324 Jun 24 Enroll'!D$1,FALSE),'District Calculations'!$B$11)*K141,3)</f>
        <v>0</v>
      </c>
      <c r="M141">
        <f>ROUND(IF(VLOOKUP($A141,EnrollData2324,'2324 Jun 24 Enroll'!E$1,FALSE)='District Calculations'!$B$12,VLOOKUP($A141,EnrollData2324,'2324 Jun 24 Enroll'!E$1,FALSE),'District Calculations'!$B$12)*K141,3)</f>
        <v>3.5379999999999998</v>
      </c>
      <c r="N141">
        <f>ROUND(IF(VLOOKUP($A141,EnrollData2324,'2324 Jun 24 Enroll'!F$1,FALSE)='District Calculations'!$B$13,VLOOKUP($A141,EnrollData2324,'2324 Jun 24 Enroll'!F$1,FALSE),'District Calculations'!$B$13)*Apport_223A2324,3)</f>
        <v>0.84199999999999997</v>
      </c>
      <c r="O141">
        <f>ROUND(IF(VLOOKUP($A141,EnrollData2324,'2324 Jun 24 Enroll'!G$1,FALSE)='District Calculations'!$B$14,VLOOKUP($A141,EnrollData2324,'2324 Jun 24 Enroll'!G$1,FALSE),'District Calculations'!$B$14)*Apport_211A2324,3)</f>
        <v>1.867</v>
      </c>
      <c r="P141">
        <f>ROUND(IF(VLOOKUP($A141,EnrollData2324,'2324 Jun 24 Enroll'!H$1,FALSE)='District Calculations'!$B$14,VLOOKUP($A141,EnrollData2324,'2324 Jun 24 Enroll'!H$1,FALSE),'District Calculations'!$B$14)*Apport_214A2324,3)</f>
        <v>1.8660000000000001</v>
      </c>
      <c r="Q141">
        <f>ROUND(IF(VLOOKUP($A141,EnrollData2324,'2324 Jun 24 Enroll'!I$1,FALSE)+VLOOKUP($A141,EnrollData2324,'2324 Jun 24 Enroll'!M$1,FALSE)-VLOOKUP($A141,EnrollData2324,'2324 Jun 24 Enroll'!J$1,FALSE)='District Calculations'!$B$16+'District Calculations'!$B$25-'District Calculations'!$B$17,VLOOKUP($A141,EnrollData2324,'2324 Jun 24 Enroll'!I$1,FALSE)+VLOOKUP($A141,EnrollData2324,'2324 Jun 24 Enroll'!M$1,FALSE)-VLOOKUP($A141,EnrollData2324,'2324 Jun 24 Enroll'!J$1,FALSE),'District Calculations'!$B$16+'District Calculations'!$B$25-'District Calculations'!$B$17)*Apport_217A2324,3)</f>
        <v>4.6980000000000004</v>
      </c>
      <c r="R141">
        <f>ROUND(SUM(L141:Q141)/IF(VLOOKUP($A141,EnrollData2324,'2324 Jun 24 Enroll'!M$1,FALSE)+VLOOKUP($A141,EnrollData2324,'2324 Jun 24 Enroll'!D$1,FALSE)='District Calculations'!$B$25+'District Calculations'!$B$11,VLOOKUP($A141,EnrollData2324,'2324 Jun 24 Enroll'!M$1,FALSE)+VLOOKUP($A141,EnrollData2324,'2324 Jun 24 Enroll'!D$1,FALSE),'District Calculations'!$B$25+'District Calculations'!$B$11),5)</f>
        <v>4.1000000000000003E-3</v>
      </c>
      <c r="S141" s="11">
        <f t="shared" si="38"/>
        <v>1.8294500000000002E-2</v>
      </c>
      <c r="T141">
        <f>ROUND(IF(VLOOKUP($A141,EnrollData2324,'2324 Jun 24 Enroll'!D$1,FALSE)='District Calculations'!$B$11,VLOOKUP($A141,EnrollData2324,'2324 Jun 24 Enroll'!D$1,FALSE),'District Calculations'!$B$11)*S141,3)</f>
        <v>0</v>
      </c>
      <c r="U141">
        <f>ROUND(IF(VLOOKUP($A141,EnrollData2324,'2324 Jun 24 Enroll'!E$1,FALSE)='District Calculations'!$B$12,VLOOKUP($A141,EnrollData2324,'2324 Jun 24 Enroll'!E$1,FALSE),'District Calculations'!$B$12)*S141,3)</f>
        <v>14.827999999999999</v>
      </c>
      <c r="V141">
        <f>ROUND(IF(VLOOKUP($A141,EnrollData2324,'2324 Jun 24 Enroll'!F$1,FALSE)='District Calculations'!$B$13,VLOOKUP($A141,EnrollData2324,'2324 Jun 24 Enroll'!F$1,FALSE),'District Calculations'!$B$13)*Apport_224A2324,3)</f>
        <v>3.6190000000000002</v>
      </c>
      <c r="W141">
        <f>ROUND(IF(VLOOKUP($A141,EnrollData2324,'2324 Jun 24 Enroll'!G$1,FALSE)='District Calculations'!$B$14,VLOOKUP($A141,EnrollData2324,'2324 Jun 24 Enroll'!G$1,FALSE),'District Calculations'!$B$14)*Apport_212A2324,3)</f>
        <v>8.0239999999999991</v>
      </c>
      <c r="X141">
        <f>ROUND(IF(VLOOKUP($A141,EnrollData2324,'2324 Jun 24 Enroll'!H$1,FALSE)='District Calculations'!$B$14,VLOOKUP($A141,EnrollData2324,'2324 Jun 24 Enroll'!H$1,FALSE),'District Calculations'!$B$14)*Apport_215A2324,3)</f>
        <v>7.9279999999999999</v>
      </c>
      <c r="Y141">
        <f>ROUND(IF(VLOOKUP($A141,EnrollData2324,'2324 Jun 24 Enroll'!I$1,FALSE)+VLOOKUP($A141,EnrollData2324,'2324 Jun 24 Enroll'!M$1,FALSE)-VLOOKUP($A141,EnrollData2324,'2324 Jun 24 Enroll'!J$1,FALSE)='District Calculations'!$B$16+'District Calculations'!$B$25-'District Calculations'!$B$17,VLOOKUP($A141,EnrollData2324,'2324 Jun 24 Enroll'!I$1,FALSE)+VLOOKUP($A141,EnrollData2324,'2324 Jun 24 Enroll'!M$1,FALSE)-VLOOKUP($A141,EnrollData2324,'2324 Jun 24 Enroll'!J$1,FALSE),'District Calculations'!$B$16+'District Calculations'!$B$25-'District Calculations'!$B$17)*Apport_218A2324,3)</f>
        <v>19.917999999999999</v>
      </c>
      <c r="Z141">
        <f>ROUND(SUM(T141:Y141)/IF(VLOOKUP($A141,EnrollData2324,'2324 Jun 24 Enroll'!M$1,FALSE)+VLOOKUP($A141,EnrollData2324,'2324 Jun 24 Enroll'!D$1,FALSE)='District Calculations'!$B$25+'District Calculations'!$B$11,VLOOKUP($A141,EnrollData2324,'2324 Jun 24 Enroll'!M$1,FALSE)+VLOOKUP($A141,EnrollData2324,'2324 Jun 24 Enroll'!D$1,FALSE),'District Calculations'!$B$25+'District Calculations'!$B$11),5)</f>
        <v>1.7399999999999999E-2</v>
      </c>
      <c r="AA141" s="6">
        <f>ROUND($J141*CIS_Base_Salary2324*VLOOKUP($A141,EnrollData2324,'2324 Jun 24 Enroll'!S$1,FALSE),2)</f>
        <v>4765.53</v>
      </c>
      <c r="AB141" s="6">
        <f>ROUND($J141*CIS_Inc_Salary2324*(VLOOKUP($A141,EnrollData2324,'2324 Jun 24 Enroll'!T$1,FALSE)+VLOOKUP($A141,EnrollData2324,'2324 Jun 24 Enroll'!U$1,FALSE)),2)-AA141</f>
        <v>176.32999999999993</v>
      </c>
      <c r="AC141" s="6">
        <f>ROUND($R141*CAS_Base_Salary2324*VLOOKUP($A141,EnrollData2324,'2324 Jun 24 Enroll'!S$1,FALSE),2)</f>
        <v>522.29</v>
      </c>
      <c r="AD141" s="6">
        <f>ROUND($R141*CAS_Inc_Salary2324*VLOOKUP($A141,EnrollData2324,'2324 Jun 24 Enroll'!T$1,FALSE),2)-AC141</f>
        <v>19.32000000000005</v>
      </c>
      <c r="AE141" s="6">
        <f>ROUND($Z141*CLS_Base_Salary2324*VLOOKUP($A141,EnrollData2324,'2324 Jun 24 Enroll'!S$1,FALSE),2)</f>
        <v>1071.22</v>
      </c>
      <c r="AF141" s="6">
        <f>ROUND($Z141*CLS_Inc_Salary2324*VLOOKUP($A141,EnrollData2324,'2324 Jun 24 Enroll'!T$1,FALSE),2)-AE141</f>
        <v>39.619999999999891</v>
      </c>
      <c r="AG141">
        <f t="shared" si="48"/>
        <v>734.16</v>
      </c>
      <c r="AH141" s="69">
        <f t="shared" si="39"/>
        <v>68.700000000000045</v>
      </c>
      <c r="AI141">
        <f t="shared" si="49"/>
        <v>214.23</v>
      </c>
      <c r="AJ141">
        <f t="shared" si="40"/>
        <v>114.21000000000001</v>
      </c>
      <c r="AK141">
        <f t="shared" si="41"/>
        <v>950.22</v>
      </c>
      <c r="AL141">
        <f t="shared" si="42"/>
        <v>33.909999999999997</v>
      </c>
      <c r="AM141">
        <f t="shared" si="43"/>
        <v>236.31</v>
      </c>
      <c r="AN141">
        <f t="shared" si="44"/>
        <v>7.35</v>
      </c>
      <c r="AO141">
        <f>ROUND(($J141*CIS_Inc_Salary2324*(VLOOKUP($A141,EnrollData2324,'2324 Jun 24 Enroll'!T$1,FALSE)+VLOOKUP($A141,EnrollData2324,'2324 Jun 24 Enroll'!U$1,FALSE))/Apport_613Xpd)*Apport_614Xpd,2)</f>
        <v>82.36</v>
      </c>
      <c r="AP141">
        <f t="shared" si="45"/>
        <v>14.27</v>
      </c>
      <c r="AQ141">
        <f t="shared" si="46"/>
        <v>30.93</v>
      </c>
      <c r="AR141" s="6">
        <f>ROUND((VLOOKUP($A141,EnrollData2324,'2324 Jun 24 Enroll'!D$1,FALSE)*Apport_M802324+VLOOKUP($A141,EnrollData2324,'2324 Jun 24 Enroll'!M$1,FALSE)*Apport_M802324+(VLOOKUP($A141,EnrollData2324,'2324 Jun 24 Enroll'!P$1,FALSE)+VLOOKUP($A141,EnrollData2324,'2324 Jun 24 Enroll'!Q$1,FALSE)+VLOOKUP($A141,EnrollData2324,'2324 Jun 24 Enroll'!R$1,FALSE)+VLOOKUP($A141,EnrollData2324,'2324 Jun 24 Enroll'!I$1,FALSE)+VLOOKUP($A141,EnrollData2324,'2324 Jun 24 Enroll'!N$1,FALSE)+VLOOKUP($A141,EnrollData2324,'2324 Jun 24 Enroll'!O$1,FALSE)+VLOOKUP($A141,EnrollData2324,'2324 Jun 24 Enroll'!K$1,FALSE)+VLOOKUP($A141,EnrollData2324,'2324 Jun 24 Enroll'!L$1,FALSE))*Apport_M812324)/(VLOOKUP($A141,EnrollData2324,'2324 Jun 24 Enroll'!M$1,FALSE)+VLOOKUP($A141,EnrollData2324,'2324 Jun 24 Enroll'!D$1,FALSE)),2)</f>
        <v>1483.44</v>
      </c>
      <c r="AS141" s="7">
        <f t="shared" si="47"/>
        <v>10564.4</v>
      </c>
    </row>
    <row r="142" spans="1:45">
      <c r="A142" s="40" t="s">
        <v>1012</v>
      </c>
      <c r="B142" s="40" t="s">
        <v>1013</v>
      </c>
      <c r="C142" s="11">
        <f>ROUND((IFERROR((1/IF(VLOOKUP($A142,EnrollData2324,28,FALSE)='District Calculations'!$B$10,VLOOKUP($A142,EnrollData2324,28,FALSE),'District Calculations'!$B$10))*(1+Apport_Z315),0))+Apport_201A2324,6)</f>
        <v>7.3449E-2</v>
      </c>
      <c r="D142">
        <f>ROUND(IF(VLOOKUP($A142,EnrollData2324,'2324 Jun 24 Enroll'!D$1,FALSE)='District Calculations'!$B$11,VLOOKUP($A142,EnrollData2324,'2324 Jun 24 Enroll'!D$1,FALSE),'District Calculations'!$B$11)*C142,3)</f>
        <v>0</v>
      </c>
      <c r="E142">
        <f>ROUND(IF(VLOOKUP($A142,EnrollData2324,'2324 Jun 24 Enroll'!E$1,FALSE)='District Calculations'!$B$12,VLOOKUP($A142,EnrollData2324,'2324 Jun 24 Enroll'!E$1,FALSE),'District Calculations'!$B$12)*C142,3)</f>
        <v>59.53</v>
      </c>
      <c r="F142">
        <f>ROUND(IF(VLOOKUP($A142,EnrollData2324,'2324 Jun 24 Enroll'!F$1,FALSE)='District Calculations'!$B$13,VLOOKUP($A142,EnrollData2324,'2324 Jun 24 Enroll'!F$1,FALSE),'District Calculations'!$B$13)*Apport_222A2324,3)</f>
        <v>10.101000000000001</v>
      </c>
      <c r="G142">
        <f>ROUND(IF(VLOOKUP($A142,EnrollData2324,'2324 Jun 24 Enroll'!G$1,FALSE)='District Calculations'!$B$14,VLOOKUP($A142,EnrollData2324,'2324 Jun 24 Enroll'!G$1,FALSE),'District Calculations'!$B$14)*Apport_210A2324,3)</f>
        <v>22.395</v>
      </c>
      <c r="H142">
        <f>ROUND(IF(VLOOKUP($A142,EnrollData2324,'2324 Jun 24 Enroll'!H$1,FALSE)='District Calculations'!$B$15,VLOOKUP($A142,EnrollData2324,'2324 Jun 24 Enroll'!H$1,FALSE),'District Calculations'!$B$15)*Apport_213A2324,3)</f>
        <v>23.091999999999999</v>
      </c>
      <c r="I142">
        <f>ROUND(IF(VLOOKUP($A142,EnrollData2324,'2324 Jun 24 Enroll'!I$1,FALSE)+VLOOKUP($A142,EnrollData2324,'2324 Jun 24 Enroll'!M$1,FALSE)-VLOOKUP($A142,EnrollData2324,'2324 Jun 24 Enroll'!J$1,FALSE)='District Calculations'!$B$16+'District Calculations'!$B$25-'District Calculations'!$B$17,VLOOKUP($A142,EnrollData2324,'2324 Jun 24 Enroll'!I$1,FALSE)+VLOOKUP($A142,EnrollData2324,'2324 Jun 24 Enroll'!M$1,FALSE)-VLOOKUP($A142,EnrollData2324,'2324 Jun 24 Enroll'!J$1,FALSE),'District Calculations'!$B$16+'District Calculations'!$B$25-'District Calculations'!$B$17)*Apport_216A2324,3)</f>
        <v>58.183999999999997</v>
      </c>
      <c r="J142">
        <f>ROUND(SUM(D142:I142)/(IF(VLOOKUP($A142,EnrollData2324,'2324 Jun 24 Enroll'!M$1,FALSE)='District Calculations'!$B$25,VLOOKUP($A142,EnrollData2324,'2324 Jun 24 Enroll'!M$1,FALSE),'District Calculations'!$B$25)+IF(VLOOKUP($A142,EnrollData2324,'2324 Jun 24 Enroll'!D$1,FALSE)='District Calculations'!$B$11,VLOOKUP($A142,EnrollData2324,'2324 Jun 24 Enroll'!D$1,FALSE),'District Calculations'!$B$11)),5)</f>
        <v>5.5530000000000003E-2</v>
      </c>
      <c r="K142" s="11">
        <f t="shared" si="37"/>
        <v>4.365E-3</v>
      </c>
      <c r="L142">
        <f>ROUND(IF(VLOOKUP($A142,EnrollData2324,'2324 Jun 24 Enroll'!D$1,FALSE)='District Calculations'!$B$11,VLOOKUP($A142,EnrollData2324,'2324 Jun 24 Enroll'!D$1,FALSE),'District Calculations'!$B$11)*K142,3)</f>
        <v>0</v>
      </c>
      <c r="M142">
        <f>ROUND(IF(VLOOKUP($A142,EnrollData2324,'2324 Jun 24 Enroll'!E$1,FALSE)='District Calculations'!$B$12,VLOOKUP($A142,EnrollData2324,'2324 Jun 24 Enroll'!E$1,FALSE),'District Calculations'!$B$12)*K142,3)</f>
        <v>3.5379999999999998</v>
      </c>
      <c r="N142">
        <f>ROUND(IF(VLOOKUP($A142,EnrollData2324,'2324 Jun 24 Enroll'!F$1,FALSE)='District Calculations'!$B$13,VLOOKUP($A142,EnrollData2324,'2324 Jun 24 Enroll'!F$1,FALSE),'District Calculations'!$B$13)*Apport_223A2324,3)</f>
        <v>0.84199999999999997</v>
      </c>
      <c r="O142">
        <f>ROUND(IF(VLOOKUP($A142,EnrollData2324,'2324 Jun 24 Enroll'!G$1,FALSE)='District Calculations'!$B$14,VLOOKUP($A142,EnrollData2324,'2324 Jun 24 Enroll'!G$1,FALSE),'District Calculations'!$B$14)*Apport_211A2324,3)</f>
        <v>1.867</v>
      </c>
      <c r="P142">
        <f>ROUND(IF(VLOOKUP($A142,EnrollData2324,'2324 Jun 24 Enroll'!H$1,FALSE)='District Calculations'!$B$14,VLOOKUP($A142,EnrollData2324,'2324 Jun 24 Enroll'!H$1,FALSE),'District Calculations'!$B$14)*Apport_214A2324,3)</f>
        <v>1.8660000000000001</v>
      </c>
      <c r="Q142">
        <f>ROUND(IF(VLOOKUP($A142,EnrollData2324,'2324 Jun 24 Enroll'!I$1,FALSE)+VLOOKUP($A142,EnrollData2324,'2324 Jun 24 Enroll'!M$1,FALSE)-VLOOKUP($A142,EnrollData2324,'2324 Jun 24 Enroll'!J$1,FALSE)='District Calculations'!$B$16+'District Calculations'!$B$25-'District Calculations'!$B$17,VLOOKUP($A142,EnrollData2324,'2324 Jun 24 Enroll'!I$1,FALSE)+VLOOKUP($A142,EnrollData2324,'2324 Jun 24 Enroll'!M$1,FALSE)-VLOOKUP($A142,EnrollData2324,'2324 Jun 24 Enroll'!J$1,FALSE),'District Calculations'!$B$16+'District Calculations'!$B$25-'District Calculations'!$B$17)*Apport_217A2324,3)</f>
        <v>4.6980000000000004</v>
      </c>
      <c r="R142">
        <f>ROUND(SUM(L142:Q142)/IF(VLOOKUP($A142,EnrollData2324,'2324 Jun 24 Enroll'!M$1,FALSE)+VLOOKUP($A142,EnrollData2324,'2324 Jun 24 Enroll'!D$1,FALSE)='District Calculations'!$B$25+'District Calculations'!$B$11,VLOOKUP($A142,EnrollData2324,'2324 Jun 24 Enroll'!M$1,FALSE)+VLOOKUP($A142,EnrollData2324,'2324 Jun 24 Enroll'!D$1,FALSE),'District Calculations'!$B$25+'District Calculations'!$B$11),5)</f>
        <v>4.1000000000000003E-3</v>
      </c>
      <c r="S142" s="11">
        <f t="shared" si="38"/>
        <v>1.8294500000000002E-2</v>
      </c>
      <c r="T142">
        <f>ROUND(IF(VLOOKUP($A142,EnrollData2324,'2324 Jun 24 Enroll'!D$1,FALSE)='District Calculations'!$B$11,VLOOKUP($A142,EnrollData2324,'2324 Jun 24 Enroll'!D$1,FALSE),'District Calculations'!$B$11)*S142,3)</f>
        <v>0</v>
      </c>
      <c r="U142">
        <f>ROUND(IF(VLOOKUP($A142,EnrollData2324,'2324 Jun 24 Enroll'!E$1,FALSE)='District Calculations'!$B$12,VLOOKUP($A142,EnrollData2324,'2324 Jun 24 Enroll'!E$1,FALSE),'District Calculations'!$B$12)*S142,3)</f>
        <v>14.827999999999999</v>
      </c>
      <c r="V142">
        <f>ROUND(IF(VLOOKUP($A142,EnrollData2324,'2324 Jun 24 Enroll'!F$1,FALSE)='District Calculations'!$B$13,VLOOKUP($A142,EnrollData2324,'2324 Jun 24 Enroll'!F$1,FALSE),'District Calculations'!$B$13)*Apport_224A2324,3)</f>
        <v>3.6190000000000002</v>
      </c>
      <c r="W142">
        <f>ROUND(IF(VLOOKUP($A142,EnrollData2324,'2324 Jun 24 Enroll'!G$1,FALSE)='District Calculations'!$B$14,VLOOKUP($A142,EnrollData2324,'2324 Jun 24 Enroll'!G$1,FALSE),'District Calculations'!$B$14)*Apport_212A2324,3)</f>
        <v>8.0239999999999991</v>
      </c>
      <c r="X142">
        <f>ROUND(IF(VLOOKUP($A142,EnrollData2324,'2324 Jun 24 Enroll'!H$1,FALSE)='District Calculations'!$B$14,VLOOKUP($A142,EnrollData2324,'2324 Jun 24 Enroll'!H$1,FALSE),'District Calculations'!$B$14)*Apport_215A2324,3)</f>
        <v>7.9279999999999999</v>
      </c>
      <c r="Y142">
        <f>ROUND(IF(VLOOKUP($A142,EnrollData2324,'2324 Jun 24 Enroll'!I$1,FALSE)+VLOOKUP($A142,EnrollData2324,'2324 Jun 24 Enroll'!M$1,FALSE)-VLOOKUP($A142,EnrollData2324,'2324 Jun 24 Enroll'!J$1,FALSE)='District Calculations'!$B$16+'District Calculations'!$B$25-'District Calculations'!$B$17,VLOOKUP($A142,EnrollData2324,'2324 Jun 24 Enroll'!I$1,FALSE)+VLOOKUP($A142,EnrollData2324,'2324 Jun 24 Enroll'!M$1,FALSE)-VLOOKUP($A142,EnrollData2324,'2324 Jun 24 Enroll'!J$1,FALSE),'District Calculations'!$B$16+'District Calculations'!$B$25-'District Calculations'!$B$17)*Apport_218A2324,3)</f>
        <v>19.917999999999999</v>
      </c>
      <c r="Z142">
        <f>ROUND(SUM(T142:Y142)/IF(VLOOKUP($A142,EnrollData2324,'2324 Jun 24 Enroll'!M$1,FALSE)+VLOOKUP($A142,EnrollData2324,'2324 Jun 24 Enroll'!D$1,FALSE)='District Calculations'!$B$25+'District Calculations'!$B$11,VLOOKUP($A142,EnrollData2324,'2324 Jun 24 Enroll'!M$1,FALSE)+VLOOKUP($A142,EnrollData2324,'2324 Jun 24 Enroll'!D$1,FALSE),'District Calculations'!$B$25+'District Calculations'!$B$11),5)</f>
        <v>1.7399999999999999E-2</v>
      </c>
      <c r="AA142" s="6">
        <f>ROUND($J142*CIS_Base_Salary2324*VLOOKUP($A142,EnrollData2324,'2324 Jun 24 Enroll'!S$1,FALSE),2)</f>
        <v>4765.53</v>
      </c>
      <c r="AB142" s="6">
        <f>ROUND($J142*CIS_Inc_Salary2324*(VLOOKUP($A142,EnrollData2324,'2324 Jun 24 Enroll'!T$1,FALSE)+VLOOKUP($A142,EnrollData2324,'2324 Jun 24 Enroll'!U$1,FALSE)),2)-AA142</f>
        <v>176.32999999999993</v>
      </c>
      <c r="AC142" s="6">
        <f>ROUND($R142*CAS_Base_Salary2324*VLOOKUP($A142,EnrollData2324,'2324 Jun 24 Enroll'!S$1,FALSE),2)</f>
        <v>522.29</v>
      </c>
      <c r="AD142" s="6">
        <f>ROUND($R142*CAS_Inc_Salary2324*VLOOKUP($A142,EnrollData2324,'2324 Jun 24 Enroll'!T$1,FALSE),2)-AC142</f>
        <v>19.32000000000005</v>
      </c>
      <c r="AE142" s="6">
        <f>ROUND($Z142*CLS_Base_Salary2324*VLOOKUP($A142,EnrollData2324,'2324 Jun 24 Enroll'!S$1,FALSE),2)</f>
        <v>1071.22</v>
      </c>
      <c r="AF142" s="6">
        <f>ROUND($Z142*CLS_Inc_Salary2324*VLOOKUP($A142,EnrollData2324,'2324 Jun 24 Enroll'!T$1,FALSE),2)-AE142</f>
        <v>39.619999999999891</v>
      </c>
      <c r="AG142">
        <f t="shared" si="48"/>
        <v>734.16</v>
      </c>
      <c r="AH142" s="69">
        <f t="shared" si="39"/>
        <v>68.700000000000045</v>
      </c>
      <c r="AI142">
        <f t="shared" si="49"/>
        <v>214.23</v>
      </c>
      <c r="AJ142">
        <f t="shared" si="40"/>
        <v>114.21000000000001</v>
      </c>
      <c r="AK142">
        <f t="shared" si="41"/>
        <v>950.22</v>
      </c>
      <c r="AL142">
        <f t="shared" si="42"/>
        <v>33.909999999999997</v>
      </c>
      <c r="AM142">
        <f t="shared" si="43"/>
        <v>236.31</v>
      </c>
      <c r="AN142">
        <f t="shared" si="44"/>
        <v>7.35</v>
      </c>
      <c r="AO142">
        <f>ROUND(($J142*CIS_Inc_Salary2324*(VLOOKUP($A142,EnrollData2324,'2324 Jun 24 Enroll'!T$1,FALSE)+VLOOKUP($A142,EnrollData2324,'2324 Jun 24 Enroll'!U$1,FALSE))/Apport_613Xpd)*Apport_614Xpd,2)</f>
        <v>82.36</v>
      </c>
      <c r="AP142">
        <f t="shared" si="45"/>
        <v>14.27</v>
      </c>
      <c r="AQ142">
        <f t="shared" si="46"/>
        <v>30.93</v>
      </c>
      <c r="AR142" s="6">
        <f>ROUND((VLOOKUP($A142,EnrollData2324,'2324 Jun 24 Enroll'!D$1,FALSE)*Apport_M802324+VLOOKUP($A142,EnrollData2324,'2324 Jun 24 Enroll'!M$1,FALSE)*Apport_M802324+(VLOOKUP($A142,EnrollData2324,'2324 Jun 24 Enroll'!P$1,FALSE)+VLOOKUP($A142,EnrollData2324,'2324 Jun 24 Enroll'!Q$1,FALSE)+VLOOKUP($A142,EnrollData2324,'2324 Jun 24 Enroll'!R$1,FALSE)+VLOOKUP($A142,EnrollData2324,'2324 Jun 24 Enroll'!I$1,FALSE)+VLOOKUP($A142,EnrollData2324,'2324 Jun 24 Enroll'!N$1,FALSE)+VLOOKUP($A142,EnrollData2324,'2324 Jun 24 Enroll'!O$1,FALSE)+VLOOKUP($A142,EnrollData2324,'2324 Jun 24 Enroll'!K$1,FALSE)+VLOOKUP($A142,EnrollData2324,'2324 Jun 24 Enroll'!L$1,FALSE))*Apport_M812324)/(VLOOKUP($A142,EnrollData2324,'2324 Jun 24 Enroll'!M$1,FALSE)+VLOOKUP($A142,EnrollData2324,'2324 Jun 24 Enroll'!D$1,FALSE)),2)</f>
        <v>1483.44</v>
      </c>
      <c r="AS142" s="7">
        <f t="shared" si="47"/>
        <v>10564.4</v>
      </c>
    </row>
    <row r="143" spans="1:45">
      <c r="A143" s="40" t="s">
        <v>1014</v>
      </c>
      <c r="B143" s="40" t="s">
        <v>1031</v>
      </c>
      <c r="C143" s="11">
        <f>ROUND((IFERROR((1/IF(VLOOKUP($A143,EnrollData2324,28,FALSE)='District Calculations'!$B$10,VLOOKUP($A143,EnrollData2324,28,FALSE),'District Calculations'!$B$10))*(1+Apport_Z315),0))+Apport_201A2324,6)</f>
        <v>7.3449E-2</v>
      </c>
      <c r="D143">
        <f>ROUND(IF(VLOOKUP($A143,EnrollData2324,'2324 Jun 24 Enroll'!D$1,FALSE)='District Calculations'!$B$11,VLOOKUP($A143,EnrollData2324,'2324 Jun 24 Enroll'!D$1,FALSE),'District Calculations'!$B$11)*C143,3)</f>
        <v>0</v>
      </c>
      <c r="E143">
        <f>ROUND(IF(VLOOKUP($A143,EnrollData2324,'2324 Jun 24 Enroll'!E$1,FALSE)='District Calculations'!$B$12,VLOOKUP($A143,EnrollData2324,'2324 Jun 24 Enroll'!E$1,FALSE),'District Calculations'!$B$12)*C143,3)</f>
        <v>59.53</v>
      </c>
      <c r="F143">
        <f>ROUND(IF(VLOOKUP($A143,EnrollData2324,'2324 Jun 24 Enroll'!F$1,FALSE)='District Calculations'!$B$13,VLOOKUP($A143,EnrollData2324,'2324 Jun 24 Enroll'!F$1,FALSE),'District Calculations'!$B$13)*Apport_222A2324,3)</f>
        <v>10.101000000000001</v>
      </c>
      <c r="G143">
        <f>ROUND(IF(VLOOKUP($A143,EnrollData2324,'2324 Jun 24 Enroll'!G$1,FALSE)='District Calculations'!$B$14,VLOOKUP($A143,EnrollData2324,'2324 Jun 24 Enroll'!G$1,FALSE),'District Calculations'!$B$14)*Apport_210A2324,3)</f>
        <v>22.395</v>
      </c>
      <c r="H143">
        <f>ROUND(IF(VLOOKUP($A143,EnrollData2324,'2324 Jun 24 Enroll'!H$1,FALSE)='District Calculations'!$B$15,VLOOKUP($A143,EnrollData2324,'2324 Jun 24 Enroll'!H$1,FALSE),'District Calculations'!$B$15)*Apport_213A2324,3)</f>
        <v>23.091999999999999</v>
      </c>
      <c r="I143">
        <f>ROUND(IF(VLOOKUP($A143,EnrollData2324,'2324 Jun 24 Enroll'!I$1,FALSE)+VLOOKUP($A143,EnrollData2324,'2324 Jun 24 Enroll'!M$1,FALSE)-VLOOKUP($A143,EnrollData2324,'2324 Jun 24 Enroll'!J$1,FALSE)='District Calculations'!$B$16+'District Calculations'!$B$25-'District Calculations'!$B$17,VLOOKUP($A143,EnrollData2324,'2324 Jun 24 Enroll'!I$1,FALSE)+VLOOKUP($A143,EnrollData2324,'2324 Jun 24 Enroll'!M$1,FALSE)-VLOOKUP($A143,EnrollData2324,'2324 Jun 24 Enroll'!J$1,FALSE),'District Calculations'!$B$16+'District Calculations'!$B$25-'District Calculations'!$B$17)*Apport_216A2324,3)</f>
        <v>58.183999999999997</v>
      </c>
      <c r="J143">
        <f>ROUND(SUM(D143:I143)/(IF(VLOOKUP($A143,EnrollData2324,'2324 Jun 24 Enroll'!M$1,FALSE)='District Calculations'!$B$25,VLOOKUP($A143,EnrollData2324,'2324 Jun 24 Enroll'!M$1,FALSE),'District Calculations'!$B$25)+IF(VLOOKUP($A143,EnrollData2324,'2324 Jun 24 Enroll'!D$1,FALSE)='District Calculations'!$B$11,VLOOKUP($A143,EnrollData2324,'2324 Jun 24 Enroll'!D$1,FALSE),'District Calculations'!$B$11)),5)</f>
        <v>5.5530000000000003E-2</v>
      </c>
      <c r="K143" s="11">
        <f t="shared" si="37"/>
        <v>4.365E-3</v>
      </c>
      <c r="L143">
        <f>ROUND(IF(VLOOKUP($A143,EnrollData2324,'2324 Jun 24 Enroll'!D$1,FALSE)='District Calculations'!$B$11,VLOOKUP($A143,EnrollData2324,'2324 Jun 24 Enroll'!D$1,FALSE),'District Calculations'!$B$11)*K143,3)</f>
        <v>0</v>
      </c>
      <c r="M143">
        <f>ROUND(IF(VLOOKUP($A143,EnrollData2324,'2324 Jun 24 Enroll'!E$1,FALSE)='District Calculations'!$B$12,VLOOKUP($A143,EnrollData2324,'2324 Jun 24 Enroll'!E$1,FALSE),'District Calculations'!$B$12)*K143,3)</f>
        <v>3.5379999999999998</v>
      </c>
      <c r="N143">
        <f>ROUND(IF(VLOOKUP($A143,EnrollData2324,'2324 Jun 24 Enroll'!F$1,FALSE)='District Calculations'!$B$13,VLOOKUP($A143,EnrollData2324,'2324 Jun 24 Enroll'!F$1,FALSE),'District Calculations'!$B$13)*Apport_223A2324,3)</f>
        <v>0.84199999999999997</v>
      </c>
      <c r="O143">
        <f>ROUND(IF(VLOOKUP($A143,EnrollData2324,'2324 Jun 24 Enroll'!G$1,FALSE)='District Calculations'!$B$14,VLOOKUP($A143,EnrollData2324,'2324 Jun 24 Enroll'!G$1,FALSE),'District Calculations'!$B$14)*Apport_211A2324,3)</f>
        <v>1.867</v>
      </c>
      <c r="P143">
        <f>ROUND(IF(VLOOKUP($A143,EnrollData2324,'2324 Jun 24 Enroll'!H$1,FALSE)='District Calculations'!$B$14,VLOOKUP($A143,EnrollData2324,'2324 Jun 24 Enroll'!H$1,FALSE),'District Calculations'!$B$14)*Apport_214A2324,3)</f>
        <v>1.8660000000000001</v>
      </c>
      <c r="Q143">
        <f>ROUND(IF(VLOOKUP($A143,EnrollData2324,'2324 Jun 24 Enroll'!I$1,FALSE)+VLOOKUP($A143,EnrollData2324,'2324 Jun 24 Enroll'!M$1,FALSE)-VLOOKUP($A143,EnrollData2324,'2324 Jun 24 Enroll'!J$1,FALSE)='District Calculations'!$B$16+'District Calculations'!$B$25-'District Calculations'!$B$17,VLOOKUP($A143,EnrollData2324,'2324 Jun 24 Enroll'!I$1,FALSE)+VLOOKUP($A143,EnrollData2324,'2324 Jun 24 Enroll'!M$1,FALSE)-VLOOKUP($A143,EnrollData2324,'2324 Jun 24 Enroll'!J$1,FALSE),'District Calculations'!$B$16+'District Calculations'!$B$25-'District Calculations'!$B$17)*Apport_217A2324,3)</f>
        <v>4.6980000000000004</v>
      </c>
      <c r="R143">
        <f>ROUND(SUM(L143:Q143)/IF(VLOOKUP($A143,EnrollData2324,'2324 Jun 24 Enroll'!M$1,FALSE)+VLOOKUP($A143,EnrollData2324,'2324 Jun 24 Enroll'!D$1,FALSE)='District Calculations'!$B$25+'District Calculations'!$B$11,VLOOKUP($A143,EnrollData2324,'2324 Jun 24 Enroll'!M$1,FALSE)+VLOOKUP($A143,EnrollData2324,'2324 Jun 24 Enroll'!D$1,FALSE),'District Calculations'!$B$25+'District Calculations'!$B$11),5)</f>
        <v>4.1000000000000003E-3</v>
      </c>
      <c r="S143" s="11">
        <f t="shared" si="38"/>
        <v>1.8294500000000002E-2</v>
      </c>
      <c r="T143">
        <f>ROUND(IF(VLOOKUP($A143,EnrollData2324,'2324 Jun 24 Enroll'!D$1,FALSE)='District Calculations'!$B$11,VLOOKUP($A143,EnrollData2324,'2324 Jun 24 Enroll'!D$1,FALSE),'District Calculations'!$B$11)*S143,3)</f>
        <v>0</v>
      </c>
      <c r="U143">
        <f>ROUND(IF(VLOOKUP($A143,EnrollData2324,'2324 Jun 24 Enroll'!E$1,FALSE)='District Calculations'!$B$12,VLOOKUP($A143,EnrollData2324,'2324 Jun 24 Enroll'!E$1,FALSE),'District Calculations'!$B$12)*S143,3)</f>
        <v>14.827999999999999</v>
      </c>
      <c r="V143">
        <f>ROUND(IF(VLOOKUP($A143,EnrollData2324,'2324 Jun 24 Enroll'!F$1,FALSE)='District Calculations'!$B$13,VLOOKUP($A143,EnrollData2324,'2324 Jun 24 Enroll'!F$1,FALSE),'District Calculations'!$B$13)*Apport_224A2324,3)</f>
        <v>3.6190000000000002</v>
      </c>
      <c r="W143">
        <f>ROUND(IF(VLOOKUP($A143,EnrollData2324,'2324 Jun 24 Enroll'!G$1,FALSE)='District Calculations'!$B$14,VLOOKUP($A143,EnrollData2324,'2324 Jun 24 Enroll'!G$1,FALSE),'District Calculations'!$B$14)*Apport_212A2324,3)</f>
        <v>8.0239999999999991</v>
      </c>
      <c r="X143">
        <f>ROUND(IF(VLOOKUP($A143,EnrollData2324,'2324 Jun 24 Enroll'!H$1,FALSE)='District Calculations'!$B$14,VLOOKUP($A143,EnrollData2324,'2324 Jun 24 Enroll'!H$1,FALSE),'District Calculations'!$B$14)*Apport_215A2324,3)</f>
        <v>7.9279999999999999</v>
      </c>
      <c r="Y143">
        <f>ROUND(IF(VLOOKUP($A143,EnrollData2324,'2324 Jun 24 Enroll'!I$1,FALSE)+VLOOKUP($A143,EnrollData2324,'2324 Jun 24 Enroll'!M$1,FALSE)-VLOOKUP($A143,EnrollData2324,'2324 Jun 24 Enroll'!J$1,FALSE)='District Calculations'!$B$16+'District Calculations'!$B$25-'District Calculations'!$B$17,VLOOKUP($A143,EnrollData2324,'2324 Jun 24 Enroll'!I$1,FALSE)+VLOOKUP($A143,EnrollData2324,'2324 Jun 24 Enroll'!M$1,FALSE)-VLOOKUP($A143,EnrollData2324,'2324 Jun 24 Enroll'!J$1,FALSE),'District Calculations'!$B$16+'District Calculations'!$B$25-'District Calculations'!$B$17)*Apport_218A2324,3)</f>
        <v>19.917999999999999</v>
      </c>
      <c r="Z143">
        <f>ROUND(SUM(T143:Y143)/IF(VLOOKUP($A143,EnrollData2324,'2324 Jun 24 Enroll'!M$1,FALSE)+VLOOKUP($A143,EnrollData2324,'2324 Jun 24 Enroll'!D$1,FALSE)='District Calculations'!$B$25+'District Calculations'!$B$11,VLOOKUP($A143,EnrollData2324,'2324 Jun 24 Enroll'!M$1,FALSE)+VLOOKUP($A143,EnrollData2324,'2324 Jun 24 Enroll'!D$1,FALSE),'District Calculations'!$B$25+'District Calculations'!$B$11),5)</f>
        <v>1.7399999999999999E-2</v>
      </c>
      <c r="AA143" s="6">
        <f>ROUND($J143*CIS_Base_Salary2324*VLOOKUP($A143,EnrollData2324,'2324 Jun 24 Enroll'!S$1,FALSE),2)</f>
        <v>4765.53</v>
      </c>
      <c r="AB143" s="6">
        <f>ROUND($J143*CIS_Inc_Salary2324*(VLOOKUP($A143,EnrollData2324,'2324 Jun 24 Enroll'!T$1,FALSE)+VLOOKUP($A143,EnrollData2324,'2324 Jun 24 Enroll'!U$1,FALSE)),2)-AA143</f>
        <v>176.32999999999993</v>
      </c>
      <c r="AC143" s="6">
        <f>ROUND($R143*CAS_Base_Salary2324*VLOOKUP($A143,EnrollData2324,'2324 Jun 24 Enroll'!S$1,FALSE),2)</f>
        <v>522.29</v>
      </c>
      <c r="AD143" s="6">
        <f>ROUND($R143*CAS_Inc_Salary2324*VLOOKUP($A143,EnrollData2324,'2324 Jun 24 Enroll'!T$1,FALSE),2)-AC143</f>
        <v>19.32000000000005</v>
      </c>
      <c r="AE143" s="6">
        <f>ROUND($Z143*CLS_Base_Salary2324*VLOOKUP($A143,EnrollData2324,'2324 Jun 24 Enroll'!S$1,FALSE),2)</f>
        <v>1071.22</v>
      </c>
      <c r="AF143" s="6">
        <f>ROUND($Z143*CLS_Inc_Salary2324*VLOOKUP($A143,EnrollData2324,'2324 Jun 24 Enroll'!T$1,FALSE),2)-AE143</f>
        <v>39.619999999999891</v>
      </c>
      <c r="AG143">
        <f t="shared" si="48"/>
        <v>734.16</v>
      </c>
      <c r="AH143" s="69">
        <f t="shared" si="39"/>
        <v>68.700000000000045</v>
      </c>
      <c r="AI143">
        <f t="shared" si="49"/>
        <v>214.23</v>
      </c>
      <c r="AJ143">
        <f t="shared" si="40"/>
        <v>114.21000000000001</v>
      </c>
      <c r="AK143">
        <f t="shared" si="41"/>
        <v>950.22</v>
      </c>
      <c r="AL143">
        <f t="shared" si="42"/>
        <v>33.909999999999997</v>
      </c>
      <c r="AM143">
        <f t="shared" si="43"/>
        <v>236.31</v>
      </c>
      <c r="AN143">
        <f t="shared" si="44"/>
        <v>7.35</v>
      </c>
      <c r="AO143">
        <f>ROUND(($J143*CIS_Inc_Salary2324*(VLOOKUP($A143,EnrollData2324,'2324 Jun 24 Enroll'!T$1,FALSE)+VLOOKUP($A143,EnrollData2324,'2324 Jun 24 Enroll'!U$1,FALSE))/Apport_613Xpd)*Apport_614Xpd,2)</f>
        <v>82.36</v>
      </c>
      <c r="AP143">
        <f t="shared" si="45"/>
        <v>14.27</v>
      </c>
      <c r="AQ143">
        <f t="shared" si="46"/>
        <v>30.93</v>
      </c>
      <c r="AR143" s="6">
        <f>ROUND((VLOOKUP($A143,EnrollData2324,'2324 Jun 24 Enroll'!D$1,FALSE)*Apport_M802324+VLOOKUP($A143,EnrollData2324,'2324 Jun 24 Enroll'!M$1,FALSE)*Apport_M802324+(VLOOKUP($A143,EnrollData2324,'2324 Jun 24 Enroll'!P$1,FALSE)+VLOOKUP($A143,EnrollData2324,'2324 Jun 24 Enroll'!Q$1,FALSE)+VLOOKUP($A143,EnrollData2324,'2324 Jun 24 Enroll'!R$1,FALSE)+VLOOKUP($A143,EnrollData2324,'2324 Jun 24 Enroll'!I$1,FALSE)+VLOOKUP($A143,EnrollData2324,'2324 Jun 24 Enroll'!N$1,FALSE)+VLOOKUP($A143,EnrollData2324,'2324 Jun 24 Enroll'!O$1,FALSE)+VLOOKUP($A143,EnrollData2324,'2324 Jun 24 Enroll'!K$1,FALSE)+VLOOKUP($A143,EnrollData2324,'2324 Jun 24 Enroll'!L$1,FALSE))*Apport_M812324)/(VLOOKUP($A143,EnrollData2324,'2324 Jun 24 Enroll'!M$1,FALSE)+VLOOKUP($A143,EnrollData2324,'2324 Jun 24 Enroll'!D$1,FALSE)),2)</f>
        <v>1683.67</v>
      </c>
      <c r="AS143" s="7">
        <f t="shared" ref="AS143" si="50">SUM(AA143:AR143)</f>
        <v>10764.63</v>
      </c>
    </row>
    <row r="144" spans="1:45">
      <c r="A144" s="40" t="s">
        <v>1091</v>
      </c>
      <c r="B144" s="40" t="s">
        <v>1092</v>
      </c>
      <c r="C144" s="11">
        <f>ROUND((IFERROR((1/IF(VLOOKUP($A144,EnrollData2324,28,FALSE)='District Calculations'!$B$10,VLOOKUP($A144,EnrollData2324,28,FALSE),'District Calculations'!$B$10))*(1+Apport_Z315),0))+Apport_201A2324,6)</f>
        <v>7.3449E-2</v>
      </c>
      <c r="D144">
        <f>ROUND(IF(VLOOKUP($A144,EnrollData2324,'2324 Jun 24 Enroll'!D$1,FALSE)='District Calculations'!$B$11,VLOOKUP($A144,EnrollData2324,'2324 Jun 24 Enroll'!D$1,FALSE),'District Calculations'!$B$11)*C144,3)</f>
        <v>0</v>
      </c>
      <c r="E144">
        <f>ROUND(IF(VLOOKUP($A144,EnrollData2324,'2324 Jun 24 Enroll'!E$1,FALSE)='District Calculations'!$B$12,VLOOKUP($A144,EnrollData2324,'2324 Jun 24 Enroll'!E$1,FALSE),'District Calculations'!$B$12)*C144,3)</f>
        <v>59.53</v>
      </c>
      <c r="F144">
        <f>ROUND(IF(VLOOKUP($A144,EnrollData2324,'2324 Jun 24 Enroll'!F$1,FALSE)='District Calculations'!$B$13,VLOOKUP($A144,EnrollData2324,'2324 Jun 24 Enroll'!F$1,FALSE),'District Calculations'!$B$13)*Apport_222A2324,3)</f>
        <v>10.101000000000001</v>
      </c>
      <c r="G144">
        <f>ROUND(IF(VLOOKUP($A144,EnrollData2324,'2324 Jun 24 Enroll'!G$1,FALSE)='District Calculations'!$B$14,VLOOKUP($A144,EnrollData2324,'2324 Jun 24 Enroll'!G$1,FALSE),'District Calculations'!$B$14)*Apport_210A2324,3)</f>
        <v>22.395</v>
      </c>
      <c r="H144">
        <f>ROUND(IF(VLOOKUP($A144,EnrollData2324,'2324 Jun 24 Enroll'!H$1,FALSE)='District Calculations'!$B$15,VLOOKUP($A144,EnrollData2324,'2324 Jun 24 Enroll'!H$1,FALSE),'District Calculations'!$B$15)*Apport_213A2324,3)</f>
        <v>23.091999999999999</v>
      </c>
      <c r="I144">
        <f>ROUND(IF(VLOOKUP($A144,EnrollData2324,'2324 Jun 24 Enroll'!I$1,FALSE)+VLOOKUP($A144,EnrollData2324,'2324 Jun 24 Enroll'!M$1,FALSE)-VLOOKUP($A144,EnrollData2324,'2324 Jun 24 Enroll'!J$1,FALSE)='District Calculations'!$B$16+'District Calculations'!$B$25-'District Calculations'!$B$17,VLOOKUP($A144,EnrollData2324,'2324 Jun 24 Enroll'!I$1,FALSE)+VLOOKUP($A144,EnrollData2324,'2324 Jun 24 Enroll'!M$1,FALSE)-VLOOKUP($A144,EnrollData2324,'2324 Jun 24 Enroll'!J$1,FALSE),'District Calculations'!$B$16+'District Calculations'!$B$25-'District Calculations'!$B$17)*Apport_216A2324,3)</f>
        <v>58.183999999999997</v>
      </c>
      <c r="J144">
        <f>ROUND(SUM(D144:I144)/(IF(VLOOKUP($A144,EnrollData2324,'2324 Jun 24 Enroll'!M$1,FALSE)='District Calculations'!$B$25,VLOOKUP($A144,EnrollData2324,'2324 Jun 24 Enroll'!M$1,FALSE),'District Calculations'!$B$25)+IF(VLOOKUP($A144,EnrollData2324,'2324 Jun 24 Enroll'!D$1,FALSE)='District Calculations'!$B$11,VLOOKUP($A144,EnrollData2324,'2324 Jun 24 Enroll'!D$1,FALSE),'District Calculations'!$B$11)),5)</f>
        <v>5.5530000000000003E-2</v>
      </c>
      <c r="K144" s="11">
        <f t="shared" si="37"/>
        <v>4.365E-3</v>
      </c>
      <c r="L144">
        <f>ROUND(IF(VLOOKUP($A144,EnrollData2324,'2324 Jun 24 Enroll'!D$1,FALSE)='District Calculations'!$B$11,VLOOKUP($A144,EnrollData2324,'2324 Jun 24 Enroll'!D$1,FALSE),'District Calculations'!$B$11)*K144,3)</f>
        <v>0</v>
      </c>
      <c r="M144">
        <f>ROUND(IF(VLOOKUP($A144,EnrollData2324,'2324 Jun 24 Enroll'!E$1,FALSE)='District Calculations'!$B$12,VLOOKUP($A144,EnrollData2324,'2324 Jun 24 Enroll'!E$1,FALSE),'District Calculations'!$B$12)*K144,3)</f>
        <v>3.5379999999999998</v>
      </c>
      <c r="N144">
        <f>ROUND(IF(VLOOKUP($A144,EnrollData2324,'2324 Jun 24 Enroll'!F$1,FALSE)='District Calculations'!$B$13,VLOOKUP($A144,EnrollData2324,'2324 Jun 24 Enroll'!F$1,FALSE),'District Calculations'!$B$13)*Apport_223A2324,3)</f>
        <v>0.84199999999999997</v>
      </c>
      <c r="O144">
        <f>ROUND(IF(VLOOKUP($A144,EnrollData2324,'2324 Jun 24 Enroll'!G$1,FALSE)='District Calculations'!$B$14,VLOOKUP($A144,EnrollData2324,'2324 Jun 24 Enroll'!G$1,FALSE),'District Calculations'!$B$14)*Apport_211A2324,3)</f>
        <v>1.867</v>
      </c>
      <c r="P144">
        <f>ROUND(IF(VLOOKUP($A144,EnrollData2324,'2324 Jun 24 Enroll'!H$1,FALSE)='District Calculations'!$B$14,VLOOKUP($A144,EnrollData2324,'2324 Jun 24 Enroll'!H$1,FALSE),'District Calculations'!$B$14)*Apport_214A2324,3)</f>
        <v>1.8660000000000001</v>
      </c>
      <c r="Q144">
        <f>ROUND(IF(VLOOKUP($A144,EnrollData2324,'2324 Jun 24 Enroll'!I$1,FALSE)+VLOOKUP($A144,EnrollData2324,'2324 Jun 24 Enroll'!M$1,FALSE)-VLOOKUP($A144,EnrollData2324,'2324 Jun 24 Enroll'!J$1,FALSE)='District Calculations'!$B$16+'District Calculations'!$B$25-'District Calculations'!$B$17,VLOOKUP($A144,EnrollData2324,'2324 Jun 24 Enroll'!I$1,FALSE)+VLOOKUP($A144,EnrollData2324,'2324 Jun 24 Enroll'!M$1,FALSE)-VLOOKUP($A144,EnrollData2324,'2324 Jun 24 Enroll'!J$1,FALSE),'District Calculations'!$B$16+'District Calculations'!$B$25-'District Calculations'!$B$17)*Apport_217A2324,3)</f>
        <v>4.6980000000000004</v>
      </c>
      <c r="R144">
        <f>ROUND(SUM(L144:Q144)/IF(VLOOKUP($A144,EnrollData2324,'2324 Jun 24 Enroll'!M$1,FALSE)+VLOOKUP($A144,EnrollData2324,'2324 Jun 24 Enroll'!D$1,FALSE)='District Calculations'!$B$25+'District Calculations'!$B$11,VLOOKUP($A144,EnrollData2324,'2324 Jun 24 Enroll'!M$1,FALSE)+VLOOKUP($A144,EnrollData2324,'2324 Jun 24 Enroll'!D$1,FALSE),'District Calculations'!$B$25+'District Calculations'!$B$11),5)</f>
        <v>4.1000000000000003E-3</v>
      </c>
      <c r="S144" s="11">
        <f t="shared" si="38"/>
        <v>1.8294500000000002E-2</v>
      </c>
      <c r="T144">
        <f>ROUND(IF(VLOOKUP($A144,EnrollData2324,'2324 Jun 24 Enroll'!D$1,FALSE)='District Calculations'!$B$11,VLOOKUP($A144,EnrollData2324,'2324 Jun 24 Enroll'!D$1,FALSE),'District Calculations'!$B$11)*S144,3)</f>
        <v>0</v>
      </c>
      <c r="U144">
        <f>ROUND(IF(VLOOKUP($A144,EnrollData2324,'2324 Jun 24 Enroll'!E$1,FALSE)='District Calculations'!$B$12,VLOOKUP($A144,EnrollData2324,'2324 Jun 24 Enroll'!E$1,FALSE),'District Calculations'!$B$12)*S144,3)</f>
        <v>14.827999999999999</v>
      </c>
      <c r="V144">
        <f>ROUND(IF(VLOOKUP($A144,EnrollData2324,'2324 Jun 24 Enroll'!F$1,FALSE)='District Calculations'!$B$13,VLOOKUP($A144,EnrollData2324,'2324 Jun 24 Enroll'!F$1,FALSE),'District Calculations'!$B$13)*Apport_224A2324,3)</f>
        <v>3.6190000000000002</v>
      </c>
      <c r="W144">
        <f>ROUND(IF(VLOOKUP($A144,EnrollData2324,'2324 Jun 24 Enroll'!G$1,FALSE)='District Calculations'!$B$14,VLOOKUP($A144,EnrollData2324,'2324 Jun 24 Enroll'!G$1,FALSE),'District Calculations'!$B$14)*Apport_212A2324,3)</f>
        <v>8.0239999999999991</v>
      </c>
      <c r="X144">
        <f>ROUND(IF(VLOOKUP($A144,EnrollData2324,'2324 Jun 24 Enroll'!H$1,FALSE)='District Calculations'!$B$14,VLOOKUP($A144,EnrollData2324,'2324 Jun 24 Enroll'!H$1,FALSE),'District Calculations'!$B$14)*Apport_215A2324,3)</f>
        <v>7.9279999999999999</v>
      </c>
      <c r="Y144">
        <f>ROUND(IF(VLOOKUP($A144,EnrollData2324,'2324 Jun 24 Enroll'!I$1,FALSE)+VLOOKUP($A144,EnrollData2324,'2324 Jun 24 Enroll'!M$1,FALSE)-VLOOKUP($A144,EnrollData2324,'2324 Jun 24 Enroll'!J$1,FALSE)='District Calculations'!$B$16+'District Calculations'!$B$25-'District Calculations'!$B$17,VLOOKUP($A144,EnrollData2324,'2324 Jun 24 Enroll'!I$1,FALSE)+VLOOKUP($A144,EnrollData2324,'2324 Jun 24 Enroll'!M$1,FALSE)-VLOOKUP($A144,EnrollData2324,'2324 Jun 24 Enroll'!J$1,FALSE),'District Calculations'!$B$16+'District Calculations'!$B$25-'District Calculations'!$B$17)*Apport_218A2324,3)</f>
        <v>19.917999999999999</v>
      </c>
      <c r="Z144">
        <f>ROUND(SUM(T144:Y144)/IF(VLOOKUP($A144,EnrollData2324,'2324 Jun 24 Enroll'!M$1,FALSE)+VLOOKUP($A144,EnrollData2324,'2324 Jun 24 Enroll'!D$1,FALSE)='District Calculations'!$B$25+'District Calculations'!$B$11,VLOOKUP($A144,EnrollData2324,'2324 Jun 24 Enroll'!M$1,FALSE)+VLOOKUP($A144,EnrollData2324,'2324 Jun 24 Enroll'!D$1,FALSE),'District Calculations'!$B$25+'District Calculations'!$B$11),5)</f>
        <v>1.7399999999999999E-2</v>
      </c>
      <c r="AA144" s="6">
        <f>ROUND($J144*CIS_Base_Salary2324*VLOOKUP($A144,EnrollData2324,'2324 Jun 24 Enroll'!S$1,FALSE),2)</f>
        <v>4765.53</v>
      </c>
      <c r="AB144" s="6">
        <f>ROUND($J144*CIS_Inc_Salary2324*(VLOOKUP($A144,EnrollData2324,'2324 Jun 24 Enroll'!T$1,FALSE)+VLOOKUP($A144,EnrollData2324,'2324 Jun 24 Enroll'!U$1,FALSE)),2)-AA144</f>
        <v>176.32999999999993</v>
      </c>
      <c r="AC144" s="6">
        <f>ROUND($R144*CAS_Base_Salary2324*VLOOKUP($A144,EnrollData2324,'2324 Jun 24 Enroll'!S$1,FALSE),2)</f>
        <v>522.29</v>
      </c>
      <c r="AD144" s="6">
        <f>ROUND($R144*CAS_Inc_Salary2324*VLOOKUP($A144,EnrollData2324,'2324 Jun 24 Enroll'!T$1,FALSE),2)-AC144</f>
        <v>19.32000000000005</v>
      </c>
      <c r="AE144" s="6">
        <f>ROUND($Z144*CLS_Base_Salary2324*VLOOKUP($A144,EnrollData2324,'2324 Jun 24 Enroll'!S$1,FALSE),2)</f>
        <v>1071.22</v>
      </c>
      <c r="AF144" s="6">
        <f>ROUND($Z144*CLS_Inc_Salary2324*VLOOKUP($A144,EnrollData2324,'2324 Jun 24 Enroll'!T$1,FALSE),2)-AE144</f>
        <v>39.619999999999891</v>
      </c>
      <c r="AG144">
        <f t="shared" si="48"/>
        <v>734.16</v>
      </c>
      <c r="AH144" s="69">
        <f t="shared" si="39"/>
        <v>68.700000000000045</v>
      </c>
      <c r="AI144">
        <f t="shared" si="49"/>
        <v>214.23</v>
      </c>
      <c r="AJ144">
        <f t="shared" si="40"/>
        <v>114.21000000000001</v>
      </c>
      <c r="AK144">
        <f t="shared" si="41"/>
        <v>950.22</v>
      </c>
      <c r="AL144">
        <f t="shared" si="42"/>
        <v>33.909999999999997</v>
      </c>
      <c r="AM144">
        <f t="shared" si="43"/>
        <v>236.31</v>
      </c>
      <c r="AN144">
        <f t="shared" si="44"/>
        <v>7.35</v>
      </c>
      <c r="AO144">
        <f>ROUND(($J144*CIS_Inc_Salary2324*(VLOOKUP($A144,EnrollData2324,'2324 Jun 24 Enroll'!T$1,FALSE)+VLOOKUP($A144,EnrollData2324,'2324 Jun 24 Enroll'!U$1,FALSE))/Apport_613Xpd)*Apport_614Xpd,2)</f>
        <v>82.36</v>
      </c>
      <c r="AP144">
        <f t="shared" si="45"/>
        <v>14.27</v>
      </c>
      <c r="AQ144">
        <f t="shared" si="46"/>
        <v>30.93</v>
      </c>
      <c r="AR144" s="6">
        <f>ROUND((VLOOKUP($A144,EnrollData2324,'2324 Jun 24 Enroll'!D$1,FALSE)*Apport_M802324+VLOOKUP($A144,EnrollData2324,'2324 Jun 24 Enroll'!M$1,FALSE)*Apport_M802324+(VLOOKUP($A144,EnrollData2324,'2324 Jun 24 Enroll'!P$1,FALSE)+VLOOKUP($A144,EnrollData2324,'2324 Jun 24 Enroll'!Q$1,FALSE)+VLOOKUP($A144,EnrollData2324,'2324 Jun 24 Enroll'!R$1,FALSE)+VLOOKUP($A144,EnrollData2324,'2324 Jun 24 Enroll'!I$1,FALSE)+VLOOKUP($A144,EnrollData2324,'2324 Jun 24 Enroll'!N$1,FALSE)+VLOOKUP($A144,EnrollData2324,'2324 Jun 24 Enroll'!O$1,FALSE)+VLOOKUP($A144,EnrollData2324,'2324 Jun 24 Enroll'!K$1,FALSE)+VLOOKUP($A144,EnrollData2324,'2324 Jun 24 Enroll'!L$1,FALSE))*Apport_M812324)/(VLOOKUP($A144,EnrollData2324,'2324 Jun 24 Enroll'!M$1,FALSE)+VLOOKUP($A144,EnrollData2324,'2324 Jun 24 Enroll'!D$1,FALSE)),2)</f>
        <v>1483.44</v>
      </c>
      <c r="AS144" s="7">
        <f t="shared" si="47"/>
        <v>10564.4</v>
      </c>
    </row>
    <row r="145" spans="1:45">
      <c r="A145" s="40" t="s">
        <v>347</v>
      </c>
      <c r="B145" s="40" t="s">
        <v>348</v>
      </c>
      <c r="C145" s="11">
        <f>ROUND((IFERROR((1/IF(VLOOKUP($A145,EnrollData2324,28,FALSE)='District Calculations'!$B$10,VLOOKUP($A145,EnrollData2324,28,FALSE),'District Calculations'!$B$10))*(1+Apport_Z315),0))+Apport_201A2324,6)</f>
        <v>7.3449E-2</v>
      </c>
      <c r="D145">
        <f>ROUND(IF(VLOOKUP($A145,EnrollData2324,'2324 Jun 24 Enroll'!D$1,FALSE)='District Calculations'!$B$11,VLOOKUP($A145,EnrollData2324,'2324 Jun 24 Enroll'!D$1,FALSE),'District Calculations'!$B$11)*C145,3)</f>
        <v>0</v>
      </c>
      <c r="E145">
        <f>ROUND(IF(VLOOKUP($A145,EnrollData2324,'2324 Jun 24 Enroll'!E$1,FALSE)='District Calculations'!$B$12,VLOOKUP($A145,EnrollData2324,'2324 Jun 24 Enroll'!E$1,FALSE),'District Calculations'!$B$12)*C145,3)</f>
        <v>59.53</v>
      </c>
      <c r="F145">
        <f>ROUND(IF(VLOOKUP($A145,EnrollData2324,'2324 Jun 24 Enroll'!F$1,FALSE)='District Calculations'!$B$13,VLOOKUP($A145,EnrollData2324,'2324 Jun 24 Enroll'!F$1,FALSE),'District Calculations'!$B$13)*Apport_222A2324,3)</f>
        <v>10.101000000000001</v>
      </c>
      <c r="G145">
        <f>ROUND(IF(VLOOKUP($A145,EnrollData2324,'2324 Jun 24 Enroll'!G$1,FALSE)='District Calculations'!$B$14,VLOOKUP($A145,EnrollData2324,'2324 Jun 24 Enroll'!G$1,FALSE),'District Calculations'!$B$14)*Apport_210A2324,3)</f>
        <v>22.395</v>
      </c>
      <c r="H145">
        <f>ROUND(IF(VLOOKUP($A145,EnrollData2324,'2324 Jun 24 Enroll'!H$1,FALSE)='District Calculations'!$B$15,VLOOKUP($A145,EnrollData2324,'2324 Jun 24 Enroll'!H$1,FALSE),'District Calculations'!$B$15)*Apport_213A2324,3)</f>
        <v>23.091999999999999</v>
      </c>
      <c r="I145">
        <f>ROUND(IF(VLOOKUP($A145,EnrollData2324,'2324 Jun 24 Enroll'!I$1,FALSE)+VLOOKUP($A145,EnrollData2324,'2324 Jun 24 Enroll'!M$1,FALSE)-VLOOKUP($A145,EnrollData2324,'2324 Jun 24 Enroll'!J$1,FALSE)='District Calculations'!$B$16+'District Calculations'!$B$25-'District Calculations'!$B$17,VLOOKUP($A145,EnrollData2324,'2324 Jun 24 Enroll'!I$1,FALSE)+VLOOKUP($A145,EnrollData2324,'2324 Jun 24 Enroll'!M$1,FALSE)-VLOOKUP($A145,EnrollData2324,'2324 Jun 24 Enroll'!J$1,FALSE),'District Calculations'!$B$16+'District Calculations'!$B$25-'District Calculations'!$B$17)*Apport_216A2324,3)</f>
        <v>58.183999999999997</v>
      </c>
      <c r="J145">
        <f>ROUND(SUM(D145:I145)/(IF(VLOOKUP($A145,EnrollData2324,'2324 Jun 24 Enroll'!M$1,FALSE)='District Calculations'!$B$25,VLOOKUP($A145,EnrollData2324,'2324 Jun 24 Enroll'!M$1,FALSE),'District Calculations'!$B$25)+IF(VLOOKUP($A145,EnrollData2324,'2324 Jun 24 Enroll'!D$1,FALSE)='District Calculations'!$B$11,VLOOKUP($A145,EnrollData2324,'2324 Jun 24 Enroll'!D$1,FALSE),'District Calculations'!$B$11)),5)</f>
        <v>5.5530000000000003E-2</v>
      </c>
      <c r="K145" s="11">
        <f t="shared" si="37"/>
        <v>4.365E-3</v>
      </c>
      <c r="L145">
        <f>ROUND(IF(VLOOKUP($A145,EnrollData2324,'2324 Jun 24 Enroll'!D$1,FALSE)='District Calculations'!$B$11,VLOOKUP($A145,EnrollData2324,'2324 Jun 24 Enroll'!D$1,FALSE),'District Calculations'!$B$11)*K145,3)</f>
        <v>0</v>
      </c>
      <c r="M145">
        <f>ROUND(IF(VLOOKUP($A145,EnrollData2324,'2324 Jun 24 Enroll'!E$1,FALSE)='District Calculations'!$B$12,VLOOKUP($A145,EnrollData2324,'2324 Jun 24 Enroll'!E$1,FALSE),'District Calculations'!$B$12)*K145,3)</f>
        <v>3.5379999999999998</v>
      </c>
      <c r="N145">
        <f>ROUND(IF(VLOOKUP($A145,EnrollData2324,'2324 Jun 24 Enroll'!F$1,FALSE)='District Calculations'!$B$13,VLOOKUP($A145,EnrollData2324,'2324 Jun 24 Enroll'!F$1,FALSE),'District Calculations'!$B$13)*Apport_223A2324,3)</f>
        <v>0.84199999999999997</v>
      </c>
      <c r="O145">
        <f>ROUND(IF(VLOOKUP($A145,EnrollData2324,'2324 Jun 24 Enroll'!G$1,FALSE)='District Calculations'!$B$14,VLOOKUP($A145,EnrollData2324,'2324 Jun 24 Enroll'!G$1,FALSE),'District Calculations'!$B$14)*Apport_211A2324,3)</f>
        <v>1.867</v>
      </c>
      <c r="P145">
        <f>ROUND(IF(VLOOKUP($A145,EnrollData2324,'2324 Jun 24 Enroll'!H$1,FALSE)='District Calculations'!$B$14,VLOOKUP($A145,EnrollData2324,'2324 Jun 24 Enroll'!H$1,FALSE),'District Calculations'!$B$14)*Apport_214A2324,3)</f>
        <v>1.8660000000000001</v>
      </c>
      <c r="Q145">
        <f>ROUND(IF(VLOOKUP($A145,EnrollData2324,'2324 Jun 24 Enroll'!I$1,FALSE)+VLOOKUP($A145,EnrollData2324,'2324 Jun 24 Enroll'!M$1,FALSE)-VLOOKUP($A145,EnrollData2324,'2324 Jun 24 Enroll'!J$1,FALSE)='District Calculations'!$B$16+'District Calculations'!$B$25-'District Calculations'!$B$17,VLOOKUP($A145,EnrollData2324,'2324 Jun 24 Enroll'!I$1,FALSE)+VLOOKUP($A145,EnrollData2324,'2324 Jun 24 Enroll'!M$1,FALSE)-VLOOKUP($A145,EnrollData2324,'2324 Jun 24 Enroll'!J$1,FALSE),'District Calculations'!$B$16+'District Calculations'!$B$25-'District Calculations'!$B$17)*Apport_217A2324,3)</f>
        <v>4.6980000000000004</v>
      </c>
      <c r="R145">
        <f>ROUND(SUM(L145:Q145)/IF(VLOOKUP($A145,EnrollData2324,'2324 Jun 24 Enroll'!M$1,FALSE)+VLOOKUP($A145,EnrollData2324,'2324 Jun 24 Enroll'!D$1,FALSE)='District Calculations'!$B$25+'District Calculations'!$B$11,VLOOKUP($A145,EnrollData2324,'2324 Jun 24 Enroll'!M$1,FALSE)+VLOOKUP($A145,EnrollData2324,'2324 Jun 24 Enroll'!D$1,FALSE),'District Calculations'!$B$25+'District Calculations'!$B$11),5)</f>
        <v>4.1000000000000003E-3</v>
      </c>
      <c r="S145" s="11">
        <f t="shared" si="38"/>
        <v>1.8294500000000002E-2</v>
      </c>
      <c r="T145">
        <f>ROUND(IF(VLOOKUP($A145,EnrollData2324,'2324 Jun 24 Enroll'!D$1,FALSE)='District Calculations'!$B$11,VLOOKUP($A145,EnrollData2324,'2324 Jun 24 Enroll'!D$1,FALSE),'District Calculations'!$B$11)*S145,3)</f>
        <v>0</v>
      </c>
      <c r="U145">
        <f>ROUND(IF(VLOOKUP($A145,EnrollData2324,'2324 Jun 24 Enroll'!E$1,FALSE)='District Calculations'!$B$12,VLOOKUP($A145,EnrollData2324,'2324 Jun 24 Enroll'!E$1,FALSE),'District Calculations'!$B$12)*S145,3)</f>
        <v>14.827999999999999</v>
      </c>
      <c r="V145">
        <f>ROUND(IF(VLOOKUP($A145,EnrollData2324,'2324 Jun 24 Enroll'!F$1,FALSE)='District Calculations'!$B$13,VLOOKUP($A145,EnrollData2324,'2324 Jun 24 Enroll'!F$1,FALSE),'District Calculations'!$B$13)*Apport_224A2324,3)</f>
        <v>3.6190000000000002</v>
      </c>
      <c r="W145">
        <f>ROUND(IF(VLOOKUP($A145,EnrollData2324,'2324 Jun 24 Enroll'!G$1,FALSE)='District Calculations'!$B$14,VLOOKUP($A145,EnrollData2324,'2324 Jun 24 Enroll'!G$1,FALSE),'District Calculations'!$B$14)*Apport_212A2324,3)</f>
        <v>8.0239999999999991</v>
      </c>
      <c r="X145">
        <f>ROUND(IF(VLOOKUP($A145,EnrollData2324,'2324 Jun 24 Enroll'!H$1,FALSE)='District Calculations'!$B$14,VLOOKUP($A145,EnrollData2324,'2324 Jun 24 Enroll'!H$1,FALSE),'District Calculations'!$B$14)*Apport_215A2324,3)</f>
        <v>7.9279999999999999</v>
      </c>
      <c r="Y145">
        <f>ROUND(IF(VLOOKUP($A145,EnrollData2324,'2324 Jun 24 Enroll'!I$1,FALSE)+VLOOKUP($A145,EnrollData2324,'2324 Jun 24 Enroll'!M$1,FALSE)-VLOOKUP($A145,EnrollData2324,'2324 Jun 24 Enroll'!J$1,FALSE)='District Calculations'!$B$16+'District Calculations'!$B$25-'District Calculations'!$B$17,VLOOKUP($A145,EnrollData2324,'2324 Jun 24 Enroll'!I$1,FALSE)+VLOOKUP($A145,EnrollData2324,'2324 Jun 24 Enroll'!M$1,FALSE)-VLOOKUP($A145,EnrollData2324,'2324 Jun 24 Enroll'!J$1,FALSE),'District Calculations'!$B$16+'District Calculations'!$B$25-'District Calculations'!$B$17)*Apport_218A2324,3)</f>
        <v>19.917999999999999</v>
      </c>
      <c r="Z145">
        <f>ROUND(SUM(T145:Y145)/IF(VLOOKUP($A145,EnrollData2324,'2324 Jun 24 Enroll'!M$1,FALSE)+VLOOKUP($A145,EnrollData2324,'2324 Jun 24 Enroll'!D$1,FALSE)='District Calculations'!$B$25+'District Calculations'!$B$11,VLOOKUP($A145,EnrollData2324,'2324 Jun 24 Enroll'!M$1,FALSE)+VLOOKUP($A145,EnrollData2324,'2324 Jun 24 Enroll'!D$1,FALSE),'District Calculations'!$B$25+'District Calculations'!$B$11),5)</f>
        <v>1.7399999999999999E-2</v>
      </c>
      <c r="AA145" s="6">
        <f>ROUND($J145*CIS_Base_Salary2324*VLOOKUP($A145,EnrollData2324,'2324 Jun 24 Enroll'!S$1,FALSE),2)</f>
        <v>4765.53</v>
      </c>
      <c r="AB145" s="6">
        <f>ROUND($J145*CIS_Inc_Salary2324*(VLOOKUP($A145,EnrollData2324,'2324 Jun 24 Enroll'!T$1,FALSE)+VLOOKUP($A145,EnrollData2324,'2324 Jun 24 Enroll'!U$1,FALSE)),2)-AA145</f>
        <v>176.32999999999993</v>
      </c>
      <c r="AC145" s="6">
        <f>ROUND($R145*CAS_Base_Salary2324*VLOOKUP($A145,EnrollData2324,'2324 Jun 24 Enroll'!S$1,FALSE),2)</f>
        <v>522.29</v>
      </c>
      <c r="AD145" s="6">
        <f>ROUND($R145*CAS_Inc_Salary2324*VLOOKUP($A145,EnrollData2324,'2324 Jun 24 Enroll'!T$1,FALSE),2)-AC145</f>
        <v>19.32000000000005</v>
      </c>
      <c r="AE145" s="6">
        <f>ROUND($Z145*CLS_Base_Salary2324*VLOOKUP($A145,EnrollData2324,'2324 Jun 24 Enroll'!S$1,FALSE),2)</f>
        <v>1071.22</v>
      </c>
      <c r="AF145" s="6">
        <f>ROUND($Z145*CLS_Inc_Salary2324*VLOOKUP($A145,EnrollData2324,'2324 Jun 24 Enroll'!T$1,FALSE),2)-AE145</f>
        <v>39.619999999999891</v>
      </c>
      <c r="AG145">
        <f t="shared" si="48"/>
        <v>734.16</v>
      </c>
      <c r="AH145" s="69">
        <f t="shared" si="39"/>
        <v>68.700000000000045</v>
      </c>
      <c r="AI145">
        <f t="shared" si="49"/>
        <v>214.23</v>
      </c>
      <c r="AJ145">
        <f t="shared" si="40"/>
        <v>114.21000000000001</v>
      </c>
      <c r="AK145">
        <f t="shared" si="41"/>
        <v>950.22</v>
      </c>
      <c r="AL145">
        <f t="shared" si="42"/>
        <v>33.909999999999997</v>
      </c>
      <c r="AM145">
        <f t="shared" si="43"/>
        <v>236.31</v>
      </c>
      <c r="AN145">
        <f t="shared" si="44"/>
        <v>7.35</v>
      </c>
      <c r="AO145">
        <f>ROUND(($J145*CIS_Inc_Salary2324*(VLOOKUP($A145,EnrollData2324,'2324 Jun 24 Enroll'!T$1,FALSE)+VLOOKUP($A145,EnrollData2324,'2324 Jun 24 Enroll'!U$1,FALSE))/Apport_613Xpd)*Apport_614Xpd,2)</f>
        <v>82.36</v>
      </c>
      <c r="AP145">
        <f t="shared" si="45"/>
        <v>14.27</v>
      </c>
      <c r="AQ145">
        <f t="shared" si="46"/>
        <v>30.93</v>
      </c>
      <c r="AR145" s="6">
        <f>ROUND((VLOOKUP($A145,EnrollData2324,'2324 Jun 24 Enroll'!D$1,FALSE)*Apport_M802324+VLOOKUP($A145,EnrollData2324,'2324 Jun 24 Enroll'!M$1,FALSE)*Apport_M802324+(VLOOKUP($A145,EnrollData2324,'2324 Jun 24 Enroll'!P$1,FALSE)+VLOOKUP($A145,EnrollData2324,'2324 Jun 24 Enroll'!Q$1,FALSE)+VLOOKUP($A145,EnrollData2324,'2324 Jun 24 Enroll'!R$1,FALSE)+VLOOKUP($A145,EnrollData2324,'2324 Jun 24 Enroll'!I$1,FALSE)+VLOOKUP($A145,EnrollData2324,'2324 Jun 24 Enroll'!N$1,FALSE)+VLOOKUP($A145,EnrollData2324,'2324 Jun 24 Enroll'!O$1,FALSE)+VLOOKUP($A145,EnrollData2324,'2324 Jun 24 Enroll'!K$1,FALSE)+VLOOKUP($A145,EnrollData2324,'2324 Jun 24 Enroll'!L$1,FALSE))*Apport_M812324)/(VLOOKUP($A145,EnrollData2324,'2324 Jun 24 Enroll'!M$1,FALSE)+VLOOKUP($A145,EnrollData2324,'2324 Jun 24 Enroll'!D$1,FALSE)),2)</f>
        <v>1556.94</v>
      </c>
      <c r="AS145" s="7">
        <f t="shared" si="47"/>
        <v>10637.9</v>
      </c>
    </row>
    <row r="146" spans="1:45">
      <c r="A146" s="40" t="s">
        <v>329</v>
      </c>
      <c r="B146" s="40" t="s">
        <v>330</v>
      </c>
      <c r="C146" s="11">
        <f>ROUND((IFERROR((1/IF(VLOOKUP($A146,EnrollData2324,28,FALSE)='District Calculations'!$B$10,VLOOKUP($A146,EnrollData2324,28,FALSE),'District Calculations'!$B$10))*(1+Apport_Z315),0))+Apport_201A2324,6)</f>
        <v>7.3449E-2</v>
      </c>
      <c r="D146">
        <f>ROUND(IF(VLOOKUP($A146,EnrollData2324,'2324 Jun 24 Enroll'!D$1,FALSE)='District Calculations'!$B$11,VLOOKUP($A146,EnrollData2324,'2324 Jun 24 Enroll'!D$1,FALSE),'District Calculations'!$B$11)*C146,3)</f>
        <v>0</v>
      </c>
      <c r="E146">
        <f>ROUND(IF(VLOOKUP($A146,EnrollData2324,'2324 Jun 24 Enroll'!E$1,FALSE)='District Calculations'!$B$12,VLOOKUP($A146,EnrollData2324,'2324 Jun 24 Enroll'!E$1,FALSE),'District Calculations'!$B$12)*C146,3)</f>
        <v>59.53</v>
      </c>
      <c r="F146">
        <f>ROUND(IF(VLOOKUP($A146,EnrollData2324,'2324 Jun 24 Enroll'!F$1,FALSE)='District Calculations'!$B$13,VLOOKUP($A146,EnrollData2324,'2324 Jun 24 Enroll'!F$1,FALSE),'District Calculations'!$B$13)*Apport_222A2324,3)</f>
        <v>10.101000000000001</v>
      </c>
      <c r="G146">
        <f>ROUND(IF(VLOOKUP($A146,EnrollData2324,'2324 Jun 24 Enroll'!G$1,FALSE)='District Calculations'!$B$14,VLOOKUP($A146,EnrollData2324,'2324 Jun 24 Enroll'!G$1,FALSE),'District Calculations'!$B$14)*Apport_210A2324,3)</f>
        <v>22.395</v>
      </c>
      <c r="H146">
        <f>ROUND(IF(VLOOKUP($A146,EnrollData2324,'2324 Jun 24 Enroll'!H$1,FALSE)='District Calculations'!$B$15,VLOOKUP($A146,EnrollData2324,'2324 Jun 24 Enroll'!H$1,FALSE),'District Calculations'!$B$15)*Apport_213A2324,3)</f>
        <v>23.091999999999999</v>
      </c>
      <c r="I146">
        <f>ROUND(IF(VLOOKUP($A146,EnrollData2324,'2324 Jun 24 Enroll'!I$1,FALSE)+VLOOKUP($A146,EnrollData2324,'2324 Jun 24 Enroll'!M$1,FALSE)-VLOOKUP($A146,EnrollData2324,'2324 Jun 24 Enroll'!J$1,FALSE)='District Calculations'!$B$16+'District Calculations'!$B$25-'District Calculations'!$B$17,VLOOKUP($A146,EnrollData2324,'2324 Jun 24 Enroll'!I$1,FALSE)+VLOOKUP($A146,EnrollData2324,'2324 Jun 24 Enroll'!M$1,FALSE)-VLOOKUP($A146,EnrollData2324,'2324 Jun 24 Enroll'!J$1,FALSE),'District Calculations'!$B$16+'District Calculations'!$B$25-'District Calculations'!$B$17)*Apport_216A2324,3)</f>
        <v>58.183999999999997</v>
      </c>
      <c r="J146">
        <f>ROUND(SUM(D146:I146)/(IF(VLOOKUP($A146,EnrollData2324,'2324 Jun 24 Enroll'!M$1,FALSE)='District Calculations'!$B$25,VLOOKUP($A146,EnrollData2324,'2324 Jun 24 Enroll'!M$1,FALSE),'District Calculations'!$B$25)+IF(VLOOKUP($A146,EnrollData2324,'2324 Jun 24 Enroll'!D$1,FALSE)='District Calculations'!$B$11,VLOOKUP($A146,EnrollData2324,'2324 Jun 24 Enroll'!D$1,FALSE),'District Calculations'!$B$11)),5)</f>
        <v>5.5530000000000003E-2</v>
      </c>
      <c r="K146" s="11">
        <f t="shared" si="37"/>
        <v>4.365E-3</v>
      </c>
      <c r="L146">
        <f>ROUND(IF(VLOOKUP($A146,EnrollData2324,'2324 Jun 24 Enroll'!D$1,FALSE)='District Calculations'!$B$11,VLOOKUP($A146,EnrollData2324,'2324 Jun 24 Enroll'!D$1,FALSE),'District Calculations'!$B$11)*K146,3)</f>
        <v>0</v>
      </c>
      <c r="M146">
        <f>ROUND(IF(VLOOKUP($A146,EnrollData2324,'2324 Jun 24 Enroll'!E$1,FALSE)='District Calculations'!$B$12,VLOOKUP($A146,EnrollData2324,'2324 Jun 24 Enroll'!E$1,FALSE),'District Calculations'!$B$12)*K146,3)</f>
        <v>3.5379999999999998</v>
      </c>
      <c r="N146">
        <f>ROUND(IF(VLOOKUP($A146,EnrollData2324,'2324 Jun 24 Enroll'!F$1,FALSE)='District Calculations'!$B$13,VLOOKUP($A146,EnrollData2324,'2324 Jun 24 Enroll'!F$1,FALSE),'District Calculations'!$B$13)*Apport_223A2324,3)</f>
        <v>0.84199999999999997</v>
      </c>
      <c r="O146">
        <f>ROUND(IF(VLOOKUP($A146,EnrollData2324,'2324 Jun 24 Enroll'!G$1,FALSE)='District Calculations'!$B$14,VLOOKUP($A146,EnrollData2324,'2324 Jun 24 Enroll'!G$1,FALSE),'District Calculations'!$B$14)*Apport_211A2324,3)</f>
        <v>1.867</v>
      </c>
      <c r="P146">
        <f>ROUND(IF(VLOOKUP($A146,EnrollData2324,'2324 Jun 24 Enroll'!H$1,FALSE)='District Calculations'!$B$14,VLOOKUP($A146,EnrollData2324,'2324 Jun 24 Enroll'!H$1,FALSE),'District Calculations'!$B$14)*Apport_214A2324,3)</f>
        <v>1.8660000000000001</v>
      </c>
      <c r="Q146">
        <f>ROUND(IF(VLOOKUP($A146,EnrollData2324,'2324 Jun 24 Enroll'!I$1,FALSE)+VLOOKUP($A146,EnrollData2324,'2324 Jun 24 Enroll'!M$1,FALSE)-VLOOKUP($A146,EnrollData2324,'2324 Jun 24 Enroll'!J$1,FALSE)='District Calculations'!$B$16+'District Calculations'!$B$25-'District Calculations'!$B$17,VLOOKUP($A146,EnrollData2324,'2324 Jun 24 Enroll'!I$1,FALSE)+VLOOKUP($A146,EnrollData2324,'2324 Jun 24 Enroll'!M$1,FALSE)-VLOOKUP($A146,EnrollData2324,'2324 Jun 24 Enroll'!J$1,FALSE),'District Calculations'!$B$16+'District Calculations'!$B$25-'District Calculations'!$B$17)*Apport_217A2324,3)</f>
        <v>4.6980000000000004</v>
      </c>
      <c r="R146">
        <f>ROUND(SUM(L146:Q146)/IF(VLOOKUP($A146,EnrollData2324,'2324 Jun 24 Enroll'!M$1,FALSE)+VLOOKUP($A146,EnrollData2324,'2324 Jun 24 Enroll'!D$1,FALSE)='District Calculations'!$B$25+'District Calculations'!$B$11,VLOOKUP($A146,EnrollData2324,'2324 Jun 24 Enroll'!M$1,FALSE)+VLOOKUP($A146,EnrollData2324,'2324 Jun 24 Enroll'!D$1,FALSE),'District Calculations'!$B$25+'District Calculations'!$B$11),5)</f>
        <v>4.1000000000000003E-3</v>
      </c>
      <c r="S146" s="11">
        <f t="shared" si="38"/>
        <v>1.8294500000000002E-2</v>
      </c>
      <c r="T146">
        <f>ROUND(IF(VLOOKUP($A146,EnrollData2324,'2324 Jun 24 Enroll'!D$1,FALSE)='District Calculations'!$B$11,VLOOKUP($A146,EnrollData2324,'2324 Jun 24 Enroll'!D$1,FALSE),'District Calculations'!$B$11)*S146,3)</f>
        <v>0</v>
      </c>
      <c r="U146">
        <f>ROUND(IF(VLOOKUP($A146,EnrollData2324,'2324 Jun 24 Enroll'!E$1,FALSE)='District Calculations'!$B$12,VLOOKUP($A146,EnrollData2324,'2324 Jun 24 Enroll'!E$1,FALSE),'District Calculations'!$B$12)*S146,3)</f>
        <v>14.827999999999999</v>
      </c>
      <c r="V146">
        <f>ROUND(IF(VLOOKUP($A146,EnrollData2324,'2324 Jun 24 Enroll'!F$1,FALSE)='District Calculations'!$B$13,VLOOKUP($A146,EnrollData2324,'2324 Jun 24 Enroll'!F$1,FALSE),'District Calculations'!$B$13)*Apport_224A2324,3)</f>
        <v>3.6190000000000002</v>
      </c>
      <c r="W146">
        <f>ROUND(IF(VLOOKUP($A146,EnrollData2324,'2324 Jun 24 Enroll'!G$1,FALSE)='District Calculations'!$B$14,VLOOKUP($A146,EnrollData2324,'2324 Jun 24 Enroll'!G$1,FALSE),'District Calculations'!$B$14)*Apport_212A2324,3)</f>
        <v>8.0239999999999991</v>
      </c>
      <c r="X146">
        <f>ROUND(IF(VLOOKUP($A146,EnrollData2324,'2324 Jun 24 Enroll'!H$1,FALSE)='District Calculations'!$B$14,VLOOKUP($A146,EnrollData2324,'2324 Jun 24 Enroll'!H$1,FALSE),'District Calculations'!$B$14)*Apport_215A2324,3)</f>
        <v>7.9279999999999999</v>
      </c>
      <c r="Y146">
        <f>ROUND(IF(VLOOKUP($A146,EnrollData2324,'2324 Jun 24 Enroll'!I$1,FALSE)+VLOOKUP($A146,EnrollData2324,'2324 Jun 24 Enroll'!M$1,FALSE)-VLOOKUP($A146,EnrollData2324,'2324 Jun 24 Enroll'!J$1,FALSE)='District Calculations'!$B$16+'District Calculations'!$B$25-'District Calculations'!$B$17,VLOOKUP($A146,EnrollData2324,'2324 Jun 24 Enroll'!I$1,FALSE)+VLOOKUP($A146,EnrollData2324,'2324 Jun 24 Enroll'!M$1,FALSE)-VLOOKUP($A146,EnrollData2324,'2324 Jun 24 Enroll'!J$1,FALSE),'District Calculations'!$B$16+'District Calculations'!$B$25-'District Calculations'!$B$17)*Apport_218A2324,3)</f>
        <v>19.917999999999999</v>
      </c>
      <c r="Z146">
        <f>ROUND(SUM(T146:Y146)/IF(VLOOKUP($A146,EnrollData2324,'2324 Jun 24 Enroll'!M$1,FALSE)+VLOOKUP($A146,EnrollData2324,'2324 Jun 24 Enroll'!D$1,FALSE)='District Calculations'!$B$25+'District Calculations'!$B$11,VLOOKUP($A146,EnrollData2324,'2324 Jun 24 Enroll'!M$1,FALSE)+VLOOKUP($A146,EnrollData2324,'2324 Jun 24 Enroll'!D$1,FALSE),'District Calculations'!$B$25+'District Calculations'!$B$11),5)</f>
        <v>1.7399999999999999E-2</v>
      </c>
      <c r="AA146" s="6">
        <f>ROUND($J146*CIS_Base_Salary2324*VLOOKUP($A146,EnrollData2324,'2324 Jun 24 Enroll'!S$1,FALSE),2)</f>
        <v>4765.53</v>
      </c>
      <c r="AB146" s="6">
        <f>ROUND($J146*CIS_Inc_Salary2324*(VLOOKUP($A146,EnrollData2324,'2324 Jun 24 Enroll'!T$1,FALSE)+VLOOKUP($A146,EnrollData2324,'2324 Jun 24 Enroll'!U$1,FALSE)),2)-AA146</f>
        <v>343.85000000000036</v>
      </c>
      <c r="AC146" s="6">
        <f>ROUND($R146*CAS_Base_Salary2324*VLOOKUP($A146,EnrollData2324,'2324 Jun 24 Enroll'!S$1,FALSE),2)</f>
        <v>522.29</v>
      </c>
      <c r="AD146" s="6">
        <f>ROUND($R146*CAS_Inc_Salary2324*VLOOKUP($A146,EnrollData2324,'2324 Jun 24 Enroll'!T$1,FALSE),2)-AC146</f>
        <v>19.32000000000005</v>
      </c>
      <c r="AE146" s="6">
        <f>ROUND($Z146*CLS_Base_Salary2324*VLOOKUP($A146,EnrollData2324,'2324 Jun 24 Enroll'!S$1,FALSE),2)</f>
        <v>1071.22</v>
      </c>
      <c r="AF146" s="6">
        <f>ROUND($Z146*CLS_Inc_Salary2324*VLOOKUP($A146,EnrollData2324,'2324 Jun 24 Enroll'!T$1,FALSE),2)-AE146</f>
        <v>39.619999999999891</v>
      </c>
      <c r="AG146">
        <f t="shared" si="48"/>
        <v>734.16</v>
      </c>
      <c r="AH146" s="69">
        <f t="shared" si="39"/>
        <v>68.700000000000045</v>
      </c>
      <c r="AI146">
        <f t="shared" si="49"/>
        <v>214.23</v>
      </c>
      <c r="AJ146">
        <f t="shared" si="40"/>
        <v>114.21000000000001</v>
      </c>
      <c r="AK146">
        <f t="shared" si="41"/>
        <v>950.22</v>
      </c>
      <c r="AL146">
        <f t="shared" si="42"/>
        <v>62.94</v>
      </c>
      <c r="AM146">
        <f t="shared" si="43"/>
        <v>236.31</v>
      </c>
      <c r="AN146">
        <f t="shared" si="44"/>
        <v>7.35</v>
      </c>
      <c r="AO146">
        <f>ROUND(($J146*CIS_Inc_Salary2324*(VLOOKUP($A146,EnrollData2324,'2324 Jun 24 Enroll'!T$1,FALSE)+VLOOKUP($A146,EnrollData2324,'2324 Jun 24 Enroll'!U$1,FALSE))/Apport_613Xpd)*Apport_614Xpd,2)</f>
        <v>85.16</v>
      </c>
      <c r="AP146">
        <f t="shared" si="45"/>
        <v>14.76</v>
      </c>
      <c r="AQ146">
        <f t="shared" si="46"/>
        <v>30.93</v>
      </c>
      <c r="AR146" s="6">
        <f>ROUND((VLOOKUP($A146,EnrollData2324,'2324 Jun 24 Enroll'!D$1,FALSE)*Apport_M802324+VLOOKUP($A146,EnrollData2324,'2324 Jun 24 Enroll'!M$1,FALSE)*Apport_M802324+(VLOOKUP($A146,EnrollData2324,'2324 Jun 24 Enroll'!P$1,FALSE)+VLOOKUP($A146,EnrollData2324,'2324 Jun 24 Enroll'!Q$1,FALSE)+VLOOKUP($A146,EnrollData2324,'2324 Jun 24 Enroll'!R$1,FALSE)+VLOOKUP($A146,EnrollData2324,'2324 Jun 24 Enroll'!I$1,FALSE)+VLOOKUP($A146,EnrollData2324,'2324 Jun 24 Enroll'!N$1,FALSE)+VLOOKUP($A146,EnrollData2324,'2324 Jun 24 Enroll'!O$1,FALSE)+VLOOKUP($A146,EnrollData2324,'2324 Jun 24 Enroll'!K$1,FALSE)+VLOOKUP($A146,EnrollData2324,'2324 Jun 24 Enroll'!L$1,FALSE))*Apport_M812324)/(VLOOKUP($A146,EnrollData2324,'2324 Jun 24 Enroll'!M$1,FALSE)+VLOOKUP($A146,EnrollData2324,'2324 Jun 24 Enroll'!D$1,FALSE)),2)</f>
        <v>1557.42</v>
      </c>
      <c r="AS146" s="7">
        <f t="shared" si="47"/>
        <v>10838.22</v>
      </c>
    </row>
    <row r="147" spans="1:45">
      <c r="A147" s="40" t="s">
        <v>631</v>
      </c>
      <c r="B147" s="40" t="s">
        <v>632</v>
      </c>
      <c r="C147" s="11">
        <f>ROUND((IFERROR((1/IF(VLOOKUP($A147,EnrollData2324,28,FALSE)='District Calculations'!$B$10,VLOOKUP($A147,EnrollData2324,28,FALSE),'District Calculations'!$B$10))*(1+Apport_Z315),0))+Apport_201A2324,6)</f>
        <v>7.3449E-2</v>
      </c>
      <c r="D147">
        <f>ROUND(IF(VLOOKUP($A147,EnrollData2324,'2324 Jun 24 Enroll'!D$1,FALSE)='District Calculations'!$B$11,VLOOKUP($A147,EnrollData2324,'2324 Jun 24 Enroll'!D$1,FALSE),'District Calculations'!$B$11)*C147,3)</f>
        <v>0</v>
      </c>
      <c r="E147">
        <f>ROUND(IF(VLOOKUP($A147,EnrollData2324,'2324 Jun 24 Enroll'!E$1,FALSE)='District Calculations'!$B$12,VLOOKUP($A147,EnrollData2324,'2324 Jun 24 Enroll'!E$1,FALSE),'District Calculations'!$B$12)*C147,3)</f>
        <v>59.53</v>
      </c>
      <c r="F147">
        <f>ROUND(IF(VLOOKUP($A147,EnrollData2324,'2324 Jun 24 Enroll'!F$1,FALSE)='District Calculations'!$B$13,VLOOKUP($A147,EnrollData2324,'2324 Jun 24 Enroll'!F$1,FALSE),'District Calculations'!$B$13)*Apport_222A2324,3)</f>
        <v>10.101000000000001</v>
      </c>
      <c r="G147">
        <f>ROUND(IF(VLOOKUP($A147,EnrollData2324,'2324 Jun 24 Enroll'!G$1,FALSE)='District Calculations'!$B$14,VLOOKUP($A147,EnrollData2324,'2324 Jun 24 Enroll'!G$1,FALSE),'District Calculations'!$B$14)*Apport_210A2324,3)</f>
        <v>22.395</v>
      </c>
      <c r="H147">
        <f>ROUND(IF(VLOOKUP($A147,EnrollData2324,'2324 Jun 24 Enroll'!H$1,FALSE)='District Calculations'!$B$15,VLOOKUP($A147,EnrollData2324,'2324 Jun 24 Enroll'!H$1,FALSE),'District Calculations'!$B$15)*Apport_213A2324,3)</f>
        <v>23.091999999999999</v>
      </c>
      <c r="I147">
        <f>ROUND(IF(VLOOKUP($A147,EnrollData2324,'2324 Jun 24 Enroll'!I$1,FALSE)+VLOOKUP($A147,EnrollData2324,'2324 Jun 24 Enroll'!M$1,FALSE)-VLOOKUP($A147,EnrollData2324,'2324 Jun 24 Enroll'!J$1,FALSE)='District Calculations'!$B$16+'District Calculations'!$B$25-'District Calculations'!$B$17,VLOOKUP($A147,EnrollData2324,'2324 Jun 24 Enroll'!I$1,FALSE)+VLOOKUP($A147,EnrollData2324,'2324 Jun 24 Enroll'!M$1,FALSE)-VLOOKUP($A147,EnrollData2324,'2324 Jun 24 Enroll'!J$1,FALSE),'District Calculations'!$B$16+'District Calculations'!$B$25-'District Calculations'!$B$17)*Apport_216A2324,3)</f>
        <v>58.183999999999997</v>
      </c>
      <c r="J147">
        <f>ROUND(SUM(D147:I147)/(IF(VLOOKUP($A147,EnrollData2324,'2324 Jun 24 Enroll'!M$1,FALSE)='District Calculations'!$B$25,VLOOKUP($A147,EnrollData2324,'2324 Jun 24 Enroll'!M$1,FALSE),'District Calculations'!$B$25)+IF(VLOOKUP($A147,EnrollData2324,'2324 Jun 24 Enroll'!D$1,FALSE)='District Calculations'!$B$11,VLOOKUP($A147,EnrollData2324,'2324 Jun 24 Enroll'!D$1,FALSE),'District Calculations'!$B$11)),5)</f>
        <v>5.5530000000000003E-2</v>
      </c>
      <c r="K147" s="11">
        <f t="shared" si="37"/>
        <v>4.365E-3</v>
      </c>
      <c r="L147">
        <f>ROUND(IF(VLOOKUP($A147,EnrollData2324,'2324 Jun 24 Enroll'!D$1,FALSE)='District Calculations'!$B$11,VLOOKUP($A147,EnrollData2324,'2324 Jun 24 Enroll'!D$1,FALSE),'District Calculations'!$B$11)*K147,3)</f>
        <v>0</v>
      </c>
      <c r="M147">
        <f>ROUND(IF(VLOOKUP($A147,EnrollData2324,'2324 Jun 24 Enroll'!E$1,FALSE)='District Calculations'!$B$12,VLOOKUP($A147,EnrollData2324,'2324 Jun 24 Enroll'!E$1,FALSE),'District Calculations'!$B$12)*K147,3)</f>
        <v>3.5379999999999998</v>
      </c>
      <c r="N147">
        <f>ROUND(IF(VLOOKUP($A147,EnrollData2324,'2324 Jun 24 Enroll'!F$1,FALSE)='District Calculations'!$B$13,VLOOKUP($A147,EnrollData2324,'2324 Jun 24 Enroll'!F$1,FALSE),'District Calculations'!$B$13)*Apport_223A2324,3)</f>
        <v>0.84199999999999997</v>
      </c>
      <c r="O147">
        <f>ROUND(IF(VLOOKUP($A147,EnrollData2324,'2324 Jun 24 Enroll'!G$1,FALSE)='District Calculations'!$B$14,VLOOKUP($A147,EnrollData2324,'2324 Jun 24 Enroll'!G$1,FALSE),'District Calculations'!$B$14)*Apport_211A2324,3)</f>
        <v>1.867</v>
      </c>
      <c r="P147">
        <f>ROUND(IF(VLOOKUP($A147,EnrollData2324,'2324 Jun 24 Enroll'!H$1,FALSE)='District Calculations'!$B$14,VLOOKUP($A147,EnrollData2324,'2324 Jun 24 Enroll'!H$1,FALSE),'District Calculations'!$B$14)*Apport_214A2324,3)</f>
        <v>1.8660000000000001</v>
      </c>
      <c r="Q147">
        <f>ROUND(IF(VLOOKUP($A147,EnrollData2324,'2324 Jun 24 Enroll'!I$1,FALSE)+VLOOKUP($A147,EnrollData2324,'2324 Jun 24 Enroll'!M$1,FALSE)-VLOOKUP($A147,EnrollData2324,'2324 Jun 24 Enroll'!J$1,FALSE)='District Calculations'!$B$16+'District Calculations'!$B$25-'District Calculations'!$B$17,VLOOKUP($A147,EnrollData2324,'2324 Jun 24 Enroll'!I$1,FALSE)+VLOOKUP($A147,EnrollData2324,'2324 Jun 24 Enroll'!M$1,FALSE)-VLOOKUP($A147,EnrollData2324,'2324 Jun 24 Enroll'!J$1,FALSE),'District Calculations'!$B$16+'District Calculations'!$B$25-'District Calculations'!$B$17)*Apport_217A2324,3)</f>
        <v>4.6980000000000004</v>
      </c>
      <c r="R147">
        <f>ROUND(SUM(L147:Q147)/IF(VLOOKUP($A147,EnrollData2324,'2324 Jun 24 Enroll'!M$1,FALSE)+VLOOKUP($A147,EnrollData2324,'2324 Jun 24 Enroll'!D$1,FALSE)='District Calculations'!$B$25+'District Calculations'!$B$11,VLOOKUP($A147,EnrollData2324,'2324 Jun 24 Enroll'!M$1,FALSE)+VLOOKUP($A147,EnrollData2324,'2324 Jun 24 Enroll'!D$1,FALSE),'District Calculations'!$B$25+'District Calculations'!$B$11),5)</f>
        <v>4.1000000000000003E-3</v>
      </c>
      <c r="S147" s="11">
        <f t="shared" si="38"/>
        <v>1.8294500000000002E-2</v>
      </c>
      <c r="T147">
        <f>ROUND(IF(VLOOKUP($A147,EnrollData2324,'2324 Jun 24 Enroll'!D$1,FALSE)='District Calculations'!$B$11,VLOOKUP($A147,EnrollData2324,'2324 Jun 24 Enroll'!D$1,FALSE),'District Calculations'!$B$11)*S147,3)</f>
        <v>0</v>
      </c>
      <c r="U147">
        <f>ROUND(IF(VLOOKUP($A147,EnrollData2324,'2324 Jun 24 Enroll'!E$1,FALSE)='District Calculations'!$B$12,VLOOKUP($A147,EnrollData2324,'2324 Jun 24 Enroll'!E$1,FALSE),'District Calculations'!$B$12)*S147,3)</f>
        <v>14.827999999999999</v>
      </c>
      <c r="V147">
        <f>ROUND(IF(VLOOKUP($A147,EnrollData2324,'2324 Jun 24 Enroll'!F$1,FALSE)='District Calculations'!$B$13,VLOOKUP($A147,EnrollData2324,'2324 Jun 24 Enroll'!F$1,FALSE),'District Calculations'!$B$13)*Apport_224A2324,3)</f>
        <v>3.6190000000000002</v>
      </c>
      <c r="W147">
        <f>ROUND(IF(VLOOKUP($A147,EnrollData2324,'2324 Jun 24 Enroll'!G$1,FALSE)='District Calculations'!$B$14,VLOOKUP($A147,EnrollData2324,'2324 Jun 24 Enroll'!G$1,FALSE),'District Calculations'!$B$14)*Apport_212A2324,3)</f>
        <v>8.0239999999999991</v>
      </c>
      <c r="X147">
        <f>ROUND(IF(VLOOKUP($A147,EnrollData2324,'2324 Jun 24 Enroll'!H$1,FALSE)='District Calculations'!$B$14,VLOOKUP($A147,EnrollData2324,'2324 Jun 24 Enroll'!H$1,FALSE),'District Calculations'!$B$14)*Apport_215A2324,3)</f>
        <v>7.9279999999999999</v>
      </c>
      <c r="Y147">
        <f>ROUND(IF(VLOOKUP($A147,EnrollData2324,'2324 Jun 24 Enroll'!I$1,FALSE)+VLOOKUP($A147,EnrollData2324,'2324 Jun 24 Enroll'!M$1,FALSE)-VLOOKUP($A147,EnrollData2324,'2324 Jun 24 Enroll'!J$1,FALSE)='District Calculations'!$B$16+'District Calculations'!$B$25-'District Calculations'!$B$17,VLOOKUP($A147,EnrollData2324,'2324 Jun 24 Enroll'!I$1,FALSE)+VLOOKUP($A147,EnrollData2324,'2324 Jun 24 Enroll'!M$1,FALSE)-VLOOKUP($A147,EnrollData2324,'2324 Jun 24 Enroll'!J$1,FALSE),'District Calculations'!$B$16+'District Calculations'!$B$25-'District Calculations'!$B$17)*Apport_218A2324,3)</f>
        <v>19.917999999999999</v>
      </c>
      <c r="Z147">
        <f>ROUND(SUM(T147:Y147)/IF(VLOOKUP($A147,EnrollData2324,'2324 Jun 24 Enroll'!M$1,FALSE)+VLOOKUP($A147,EnrollData2324,'2324 Jun 24 Enroll'!D$1,FALSE)='District Calculations'!$B$25+'District Calculations'!$B$11,VLOOKUP($A147,EnrollData2324,'2324 Jun 24 Enroll'!M$1,FALSE)+VLOOKUP($A147,EnrollData2324,'2324 Jun 24 Enroll'!D$1,FALSE),'District Calculations'!$B$25+'District Calculations'!$B$11),5)</f>
        <v>1.7399999999999999E-2</v>
      </c>
      <c r="AA147" s="6">
        <f>ROUND($J147*CIS_Base_Salary2324*VLOOKUP($A147,EnrollData2324,'2324 Jun 24 Enroll'!S$1,FALSE),2)</f>
        <v>4765.53</v>
      </c>
      <c r="AB147" s="6">
        <f>ROUND($J147*CIS_Inc_Salary2324*(VLOOKUP($A147,EnrollData2324,'2324 Jun 24 Enroll'!T$1,FALSE)+VLOOKUP($A147,EnrollData2324,'2324 Jun 24 Enroll'!U$1,FALSE)),2)-AA147</f>
        <v>343.85000000000036</v>
      </c>
      <c r="AC147" s="6">
        <f>ROUND($R147*CAS_Base_Salary2324*VLOOKUP($A147,EnrollData2324,'2324 Jun 24 Enroll'!S$1,FALSE),2)</f>
        <v>522.29</v>
      </c>
      <c r="AD147" s="6">
        <f>ROUND($R147*CAS_Inc_Salary2324*VLOOKUP($A147,EnrollData2324,'2324 Jun 24 Enroll'!T$1,FALSE),2)-AC147</f>
        <v>19.32000000000005</v>
      </c>
      <c r="AE147" s="6">
        <f>ROUND($Z147*CLS_Base_Salary2324*VLOOKUP($A147,EnrollData2324,'2324 Jun 24 Enroll'!S$1,FALSE),2)</f>
        <v>1071.22</v>
      </c>
      <c r="AF147" s="6">
        <f>ROUND($Z147*CLS_Inc_Salary2324*VLOOKUP($A147,EnrollData2324,'2324 Jun 24 Enroll'!T$1,FALSE),2)-AE147</f>
        <v>39.619999999999891</v>
      </c>
      <c r="AG147">
        <f t="shared" si="48"/>
        <v>734.16</v>
      </c>
      <c r="AH147" s="69">
        <f t="shared" si="39"/>
        <v>68.700000000000045</v>
      </c>
      <c r="AI147">
        <f t="shared" si="49"/>
        <v>214.23</v>
      </c>
      <c r="AJ147">
        <f t="shared" si="40"/>
        <v>114.21000000000001</v>
      </c>
      <c r="AK147">
        <f t="shared" si="41"/>
        <v>950.22</v>
      </c>
      <c r="AL147">
        <f t="shared" si="42"/>
        <v>62.94</v>
      </c>
      <c r="AM147">
        <f t="shared" si="43"/>
        <v>236.31</v>
      </c>
      <c r="AN147">
        <f t="shared" si="44"/>
        <v>7.35</v>
      </c>
      <c r="AO147">
        <f>ROUND(($J147*CIS_Inc_Salary2324*(VLOOKUP($A147,EnrollData2324,'2324 Jun 24 Enroll'!T$1,FALSE)+VLOOKUP($A147,EnrollData2324,'2324 Jun 24 Enroll'!U$1,FALSE))/Apport_613Xpd)*Apport_614Xpd,2)</f>
        <v>85.16</v>
      </c>
      <c r="AP147">
        <f t="shared" si="45"/>
        <v>14.76</v>
      </c>
      <c r="AQ147">
        <f t="shared" si="46"/>
        <v>30.93</v>
      </c>
      <c r="AR147" s="6">
        <f>ROUND((VLOOKUP($A147,EnrollData2324,'2324 Jun 24 Enroll'!D$1,FALSE)*Apport_M802324+VLOOKUP($A147,EnrollData2324,'2324 Jun 24 Enroll'!M$1,FALSE)*Apport_M802324+(VLOOKUP($A147,EnrollData2324,'2324 Jun 24 Enroll'!P$1,FALSE)+VLOOKUP($A147,EnrollData2324,'2324 Jun 24 Enroll'!Q$1,FALSE)+VLOOKUP($A147,EnrollData2324,'2324 Jun 24 Enroll'!R$1,FALSE)+VLOOKUP($A147,EnrollData2324,'2324 Jun 24 Enroll'!I$1,FALSE)+VLOOKUP($A147,EnrollData2324,'2324 Jun 24 Enroll'!N$1,FALSE)+VLOOKUP($A147,EnrollData2324,'2324 Jun 24 Enroll'!O$1,FALSE)+VLOOKUP($A147,EnrollData2324,'2324 Jun 24 Enroll'!K$1,FALSE)+VLOOKUP($A147,EnrollData2324,'2324 Jun 24 Enroll'!L$1,FALSE))*Apport_M812324)/(VLOOKUP($A147,EnrollData2324,'2324 Jun 24 Enroll'!M$1,FALSE)+VLOOKUP($A147,EnrollData2324,'2324 Jun 24 Enroll'!D$1,FALSE)),2)</f>
        <v>1552.25</v>
      </c>
      <c r="AS147" s="7">
        <f t="shared" si="47"/>
        <v>10833.05</v>
      </c>
    </row>
    <row r="148" spans="1:45">
      <c r="A148" s="40" t="s">
        <v>370</v>
      </c>
      <c r="B148" s="40" t="s">
        <v>371</v>
      </c>
      <c r="C148" s="11">
        <f>ROUND((IFERROR((1/IF(VLOOKUP($A148,EnrollData2324,28,FALSE)='District Calculations'!$B$10,VLOOKUP($A148,EnrollData2324,28,FALSE),'District Calculations'!$B$10))*(1+Apport_Z315),0))+Apport_201A2324,6)</f>
        <v>7.3449E-2</v>
      </c>
      <c r="D148">
        <f>ROUND(IF(VLOOKUP($A148,EnrollData2324,'2324 Jun 24 Enroll'!D$1,FALSE)='District Calculations'!$B$11,VLOOKUP($A148,EnrollData2324,'2324 Jun 24 Enroll'!D$1,FALSE),'District Calculations'!$B$11)*C148,3)</f>
        <v>0</v>
      </c>
      <c r="E148">
        <f>ROUND(IF(VLOOKUP($A148,EnrollData2324,'2324 Jun 24 Enroll'!E$1,FALSE)='District Calculations'!$B$12,VLOOKUP($A148,EnrollData2324,'2324 Jun 24 Enroll'!E$1,FALSE),'District Calculations'!$B$12)*C148,3)</f>
        <v>59.53</v>
      </c>
      <c r="F148">
        <f>ROUND(IF(VLOOKUP($A148,EnrollData2324,'2324 Jun 24 Enroll'!F$1,FALSE)='District Calculations'!$B$13,VLOOKUP($A148,EnrollData2324,'2324 Jun 24 Enroll'!F$1,FALSE),'District Calculations'!$B$13)*Apport_222A2324,3)</f>
        <v>10.101000000000001</v>
      </c>
      <c r="G148">
        <f>ROUND(IF(VLOOKUP($A148,EnrollData2324,'2324 Jun 24 Enroll'!G$1,FALSE)='District Calculations'!$B$14,VLOOKUP($A148,EnrollData2324,'2324 Jun 24 Enroll'!G$1,FALSE),'District Calculations'!$B$14)*Apport_210A2324,3)</f>
        <v>22.395</v>
      </c>
      <c r="H148">
        <f>ROUND(IF(VLOOKUP($A148,EnrollData2324,'2324 Jun 24 Enroll'!H$1,FALSE)='District Calculations'!$B$15,VLOOKUP($A148,EnrollData2324,'2324 Jun 24 Enroll'!H$1,FALSE),'District Calculations'!$B$15)*Apport_213A2324,3)</f>
        <v>23.091999999999999</v>
      </c>
      <c r="I148">
        <f>ROUND(IF(VLOOKUP($A148,EnrollData2324,'2324 Jun 24 Enroll'!I$1,FALSE)+VLOOKUP($A148,EnrollData2324,'2324 Jun 24 Enroll'!M$1,FALSE)-VLOOKUP($A148,EnrollData2324,'2324 Jun 24 Enroll'!J$1,FALSE)='District Calculations'!$B$16+'District Calculations'!$B$25-'District Calculations'!$B$17,VLOOKUP($A148,EnrollData2324,'2324 Jun 24 Enroll'!I$1,FALSE)+VLOOKUP($A148,EnrollData2324,'2324 Jun 24 Enroll'!M$1,FALSE)-VLOOKUP($A148,EnrollData2324,'2324 Jun 24 Enroll'!J$1,FALSE),'District Calculations'!$B$16+'District Calculations'!$B$25-'District Calculations'!$B$17)*Apport_216A2324,3)</f>
        <v>58.183999999999997</v>
      </c>
      <c r="J148">
        <f>ROUND(SUM(D148:I148)/(IF(VLOOKUP($A148,EnrollData2324,'2324 Jun 24 Enroll'!M$1,FALSE)='District Calculations'!$B$25,VLOOKUP($A148,EnrollData2324,'2324 Jun 24 Enroll'!M$1,FALSE),'District Calculations'!$B$25)+IF(VLOOKUP($A148,EnrollData2324,'2324 Jun 24 Enroll'!D$1,FALSE)='District Calculations'!$B$11,VLOOKUP($A148,EnrollData2324,'2324 Jun 24 Enroll'!D$1,FALSE),'District Calculations'!$B$11)),5)</f>
        <v>5.5530000000000003E-2</v>
      </c>
      <c r="K148" s="11">
        <f t="shared" si="37"/>
        <v>4.365E-3</v>
      </c>
      <c r="L148">
        <f>ROUND(IF(VLOOKUP($A148,EnrollData2324,'2324 Jun 24 Enroll'!D$1,FALSE)='District Calculations'!$B$11,VLOOKUP($A148,EnrollData2324,'2324 Jun 24 Enroll'!D$1,FALSE),'District Calculations'!$B$11)*K148,3)</f>
        <v>0</v>
      </c>
      <c r="M148">
        <f>ROUND(IF(VLOOKUP($A148,EnrollData2324,'2324 Jun 24 Enroll'!E$1,FALSE)='District Calculations'!$B$12,VLOOKUP($A148,EnrollData2324,'2324 Jun 24 Enroll'!E$1,FALSE),'District Calculations'!$B$12)*K148,3)</f>
        <v>3.5379999999999998</v>
      </c>
      <c r="N148">
        <f>ROUND(IF(VLOOKUP($A148,EnrollData2324,'2324 Jun 24 Enroll'!F$1,FALSE)='District Calculations'!$B$13,VLOOKUP($A148,EnrollData2324,'2324 Jun 24 Enroll'!F$1,FALSE),'District Calculations'!$B$13)*Apport_223A2324,3)</f>
        <v>0.84199999999999997</v>
      </c>
      <c r="O148">
        <f>ROUND(IF(VLOOKUP($A148,EnrollData2324,'2324 Jun 24 Enroll'!G$1,FALSE)='District Calculations'!$B$14,VLOOKUP($A148,EnrollData2324,'2324 Jun 24 Enroll'!G$1,FALSE),'District Calculations'!$B$14)*Apport_211A2324,3)</f>
        <v>1.867</v>
      </c>
      <c r="P148">
        <f>ROUND(IF(VLOOKUP($A148,EnrollData2324,'2324 Jun 24 Enroll'!H$1,FALSE)='District Calculations'!$B$14,VLOOKUP($A148,EnrollData2324,'2324 Jun 24 Enroll'!H$1,FALSE),'District Calculations'!$B$14)*Apport_214A2324,3)</f>
        <v>1.8660000000000001</v>
      </c>
      <c r="Q148">
        <f>ROUND(IF(VLOOKUP($A148,EnrollData2324,'2324 Jun 24 Enroll'!I$1,FALSE)+VLOOKUP($A148,EnrollData2324,'2324 Jun 24 Enroll'!M$1,FALSE)-VLOOKUP($A148,EnrollData2324,'2324 Jun 24 Enroll'!J$1,FALSE)='District Calculations'!$B$16+'District Calculations'!$B$25-'District Calculations'!$B$17,VLOOKUP($A148,EnrollData2324,'2324 Jun 24 Enroll'!I$1,FALSE)+VLOOKUP($A148,EnrollData2324,'2324 Jun 24 Enroll'!M$1,FALSE)-VLOOKUP($A148,EnrollData2324,'2324 Jun 24 Enroll'!J$1,FALSE),'District Calculations'!$B$16+'District Calculations'!$B$25-'District Calculations'!$B$17)*Apport_217A2324,3)</f>
        <v>4.6980000000000004</v>
      </c>
      <c r="R148">
        <f>ROUND(SUM(L148:Q148)/IF(VLOOKUP($A148,EnrollData2324,'2324 Jun 24 Enroll'!M$1,FALSE)+VLOOKUP($A148,EnrollData2324,'2324 Jun 24 Enroll'!D$1,FALSE)='District Calculations'!$B$25+'District Calculations'!$B$11,VLOOKUP($A148,EnrollData2324,'2324 Jun 24 Enroll'!M$1,FALSE)+VLOOKUP($A148,EnrollData2324,'2324 Jun 24 Enroll'!D$1,FALSE),'District Calculations'!$B$25+'District Calculations'!$B$11),5)</f>
        <v>4.1000000000000003E-3</v>
      </c>
      <c r="S148" s="11">
        <f t="shared" si="38"/>
        <v>1.8294500000000002E-2</v>
      </c>
      <c r="T148">
        <f>ROUND(IF(VLOOKUP($A148,EnrollData2324,'2324 Jun 24 Enroll'!D$1,FALSE)='District Calculations'!$B$11,VLOOKUP($A148,EnrollData2324,'2324 Jun 24 Enroll'!D$1,FALSE),'District Calculations'!$B$11)*S148,3)</f>
        <v>0</v>
      </c>
      <c r="U148">
        <f>ROUND(IF(VLOOKUP($A148,EnrollData2324,'2324 Jun 24 Enroll'!E$1,FALSE)='District Calculations'!$B$12,VLOOKUP($A148,EnrollData2324,'2324 Jun 24 Enroll'!E$1,FALSE),'District Calculations'!$B$12)*S148,3)</f>
        <v>14.827999999999999</v>
      </c>
      <c r="V148">
        <f>ROUND(IF(VLOOKUP($A148,EnrollData2324,'2324 Jun 24 Enroll'!F$1,FALSE)='District Calculations'!$B$13,VLOOKUP($A148,EnrollData2324,'2324 Jun 24 Enroll'!F$1,FALSE),'District Calculations'!$B$13)*Apport_224A2324,3)</f>
        <v>3.6190000000000002</v>
      </c>
      <c r="W148">
        <f>ROUND(IF(VLOOKUP($A148,EnrollData2324,'2324 Jun 24 Enroll'!G$1,FALSE)='District Calculations'!$B$14,VLOOKUP($A148,EnrollData2324,'2324 Jun 24 Enroll'!G$1,FALSE),'District Calculations'!$B$14)*Apport_212A2324,3)</f>
        <v>8.0239999999999991</v>
      </c>
      <c r="X148">
        <f>ROUND(IF(VLOOKUP($A148,EnrollData2324,'2324 Jun 24 Enroll'!H$1,FALSE)='District Calculations'!$B$14,VLOOKUP($A148,EnrollData2324,'2324 Jun 24 Enroll'!H$1,FALSE),'District Calculations'!$B$14)*Apport_215A2324,3)</f>
        <v>7.9279999999999999</v>
      </c>
      <c r="Y148">
        <f>ROUND(IF(VLOOKUP($A148,EnrollData2324,'2324 Jun 24 Enroll'!I$1,FALSE)+VLOOKUP($A148,EnrollData2324,'2324 Jun 24 Enroll'!M$1,FALSE)-VLOOKUP($A148,EnrollData2324,'2324 Jun 24 Enroll'!J$1,FALSE)='District Calculations'!$B$16+'District Calculations'!$B$25-'District Calculations'!$B$17,VLOOKUP($A148,EnrollData2324,'2324 Jun 24 Enroll'!I$1,FALSE)+VLOOKUP($A148,EnrollData2324,'2324 Jun 24 Enroll'!M$1,FALSE)-VLOOKUP($A148,EnrollData2324,'2324 Jun 24 Enroll'!J$1,FALSE),'District Calculations'!$B$16+'District Calculations'!$B$25-'District Calculations'!$B$17)*Apport_218A2324,3)</f>
        <v>19.917999999999999</v>
      </c>
      <c r="Z148">
        <f>ROUND(SUM(T148:Y148)/IF(VLOOKUP($A148,EnrollData2324,'2324 Jun 24 Enroll'!M$1,FALSE)+VLOOKUP($A148,EnrollData2324,'2324 Jun 24 Enroll'!D$1,FALSE)='District Calculations'!$B$25+'District Calculations'!$B$11,VLOOKUP($A148,EnrollData2324,'2324 Jun 24 Enroll'!M$1,FALSE)+VLOOKUP($A148,EnrollData2324,'2324 Jun 24 Enroll'!D$1,FALSE),'District Calculations'!$B$25+'District Calculations'!$B$11),5)</f>
        <v>1.7399999999999999E-2</v>
      </c>
      <c r="AA148" s="6">
        <f>ROUND($J148*CIS_Base_Salary2324*VLOOKUP($A148,EnrollData2324,'2324 Jun 24 Enroll'!S$1,FALSE),2)</f>
        <v>4765.53</v>
      </c>
      <c r="AB148" s="6">
        <f>ROUND($J148*CIS_Inc_Salary2324*(VLOOKUP($A148,EnrollData2324,'2324 Jun 24 Enroll'!T$1,FALSE)+VLOOKUP($A148,EnrollData2324,'2324 Jun 24 Enroll'!U$1,FALSE)),2)-AA148</f>
        <v>343.85000000000036</v>
      </c>
      <c r="AC148" s="6">
        <f>ROUND($R148*CAS_Base_Salary2324*VLOOKUP($A148,EnrollData2324,'2324 Jun 24 Enroll'!S$1,FALSE),2)</f>
        <v>522.29</v>
      </c>
      <c r="AD148" s="6">
        <f>ROUND($R148*CAS_Inc_Salary2324*VLOOKUP($A148,EnrollData2324,'2324 Jun 24 Enroll'!T$1,FALSE),2)-AC148</f>
        <v>19.32000000000005</v>
      </c>
      <c r="AE148" s="6">
        <f>ROUND($Z148*CLS_Base_Salary2324*VLOOKUP($A148,EnrollData2324,'2324 Jun 24 Enroll'!S$1,FALSE),2)</f>
        <v>1071.22</v>
      </c>
      <c r="AF148" s="6">
        <f>ROUND($Z148*CLS_Inc_Salary2324*VLOOKUP($A148,EnrollData2324,'2324 Jun 24 Enroll'!T$1,FALSE),2)-AE148</f>
        <v>39.619999999999891</v>
      </c>
      <c r="AG148">
        <f t="shared" si="48"/>
        <v>734.16</v>
      </c>
      <c r="AH148" s="69">
        <f t="shared" si="39"/>
        <v>68.700000000000045</v>
      </c>
      <c r="AI148">
        <f t="shared" si="49"/>
        <v>214.23</v>
      </c>
      <c r="AJ148">
        <f t="shared" si="40"/>
        <v>114.21000000000001</v>
      </c>
      <c r="AK148">
        <f t="shared" si="41"/>
        <v>950.22</v>
      </c>
      <c r="AL148">
        <f t="shared" si="42"/>
        <v>62.94</v>
      </c>
      <c r="AM148">
        <f t="shared" si="43"/>
        <v>236.31</v>
      </c>
      <c r="AN148">
        <f t="shared" si="44"/>
        <v>7.35</v>
      </c>
      <c r="AO148">
        <f>ROUND(($J148*CIS_Inc_Salary2324*(VLOOKUP($A148,EnrollData2324,'2324 Jun 24 Enroll'!T$1,FALSE)+VLOOKUP($A148,EnrollData2324,'2324 Jun 24 Enroll'!U$1,FALSE))/Apport_613Xpd)*Apport_614Xpd,2)</f>
        <v>85.16</v>
      </c>
      <c r="AP148">
        <f t="shared" si="45"/>
        <v>14.76</v>
      </c>
      <c r="AQ148">
        <f t="shared" si="46"/>
        <v>30.93</v>
      </c>
      <c r="AR148" s="6">
        <f>ROUND((VLOOKUP($A148,EnrollData2324,'2324 Jun 24 Enroll'!D$1,FALSE)*Apport_M802324+VLOOKUP($A148,EnrollData2324,'2324 Jun 24 Enroll'!M$1,FALSE)*Apport_M802324+(VLOOKUP($A148,EnrollData2324,'2324 Jun 24 Enroll'!P$1,FALSE)+VLOOKUP($A148,EnrollData2324,'2324 Jun 24 Enroll'!Q$1,FALSE)+VLOOKUP($A148,EnrollData2324,'2324 Jun 24 Enroll'!R$1,FALSE)+VLOOKUP($A148,EnrollData2324,'2324 Jun 24 Enroll'!I$1,FALSE)+VLOOKUP($A148,EnrollData2324,'2324 Jun 24 Enroll'!N$1,FALSE)+VLOOKUP($A148,EnrollData2324,'2324 Jun 24 Enroll'!O$1,FALSE)+VLOOKUP($A148,EnrollData2324,'2324 Jun 24 Enroll'!K$1,FALSE)+VLOOKUP($A148,EnrollData2324,'2324 Jun 24 Enroll'!L$1,FALSE))*Apport_M812324)/(VLOOKUP($A148,EnrollData2324,'2324 Jun 24 Enroll'!M$1,FALSE)+VLOOKUP($A148,EnrollData2324,'2324 Jun 24 Enroll'!D$1,FALSE)),2)</f>
        <v>1551.64</v>
      </c>
      <c r="AS148" s="7">
        <f t="shared" si="47"/>
        <v>10832.439999999999</v>
      </c>
    </row>
    <row r="149" spans="1:45">
      <c r="A149" s="40" t="s">
        <v>775</v>
      </c>
      <c r="B149" s="40" t="s">
        <v>776</v>
      </c>
      <c r="C149" s="11">
        <f>ROUND((IFERROR((1/IF(VLOOKUP($A149,EnrollData2324,28,FALSE)='District Calculations'!$B$10,VLOOKUP($A149,EnrollData2324,28,FALSE),'District Calculations'!$B$10))*(1+Apport_Z315),0))+Apport_201A2324,6)</f>
        <v>7.3449E-2</v>
      </c>
      <c r="D149">
        <f>ROUND(IF(VLOOKUP($A149,EnrollData2324,'2324 Jun 24 Enroll'!D$1,FALSE)='District Calculations'!$B$11,VLOOKUP($A149,EnrollData2324,'2324 Jun 24 Enroll'!D$1,FALSE),'District Calculations'!$B$11)*C149,3)</f>
        <v>0</v>
      </c>
      <c r="E149">
        <f>ROUND(IF(VLOOKUP($A149,EnrollData2324,'2324 Jun 24 Enroll'!E$1,FALSE)='District Calculations'!$B$12,VLOOKUP($A149,EnrollData2324,'2324 Jun 24 Enroll'!E$1,FALSE),'District Calculations'!$B$12)*C149,3)</f>
        <v>59.53</v>
      </c>
      <c r="F149">
        <f>ROUND(IF(VLOOKUP($A149,EnrollData2324,'2324 Jun 24 Enroll'!F$1,FALSE)='District Calculations'!$B$13,VLOOKUP($A149,EnrollData2324,'2324 Jun 24 Enroll'!F$1,FALSE),'District Calculations'!$B$13)*Apport_222A2324,3)</f>
        <v>10.101000000000001</v>
      </c>
      <c r="G149">
        <f>ROUND(IF(VLOOKUP($A149,EnrollData2324,'2324 Jun 24 Enroll'!G$1,FALSE)='District Calculations'!$B$14,VLOOKUP($A149,EnrollData2324,'2324 Jun 24 Enroll'!G$1,FALSE),'District Calculations'!$B$14)*Apport_210A2324,3)</f>
        <v>22.395</v>
      </c>
      <c r="H149">
        <f>ROUND(IF(VLOOKUP($A149,EnrollData2324,'2324 Jun 24 Enroll'!H$1,FALSE)='District Calculations'!$B$15,VLOOKUP($A149,EnrollData2324,'2324 Jun 24 Enroll'!H$1,FALSE),'District Calculations'!$B$15)*Apport_213A2324,3)</f>
        <v>23.091999999999999</v>
      </c>
      <c r="I149">
        <f>ROUND(IF(VLOOKUP($A149,EnrollData2324,'2324 Jun 24 Enroll'!I$1,FALSE)+VLOOKUP($A149,EnrollData2324,'2324 Jun 24 Enroll'!M$1,FALSE)-VLOOKUP($A149,EnrollData2324,'2324 Jun 24 Enroll'!J$1,FALSE)='District Calculations'!$B$16+'District Calculations'!$B$25-'District Calculations'!$B$17,VLOOKUP($A149,EnrollData2324,'2324 Jun 24 Enroll'!I$1,FALSE)+VLOOKUP($A149,EnrollData2324,'2324 Jun 24 Enroll'!M$1,FALSE)-VLOOKUP($A149,EnrollData2324,'2324 Jun 24 Enroll'!J$1,FALSE),'District Calculations'!$B$16+'District Calculations'!$B$25-'District Calculations'!$B$17)*Apport_216A2324,3)</f>
        <v>58.183999999999997</v>
      </c>
      <c r="J149">
        <f>ROUND(SUM(D149:I149)/(IF(VLOOKUP($A149,EnrollData2324,'2324 Jun 24 Enroll'!M$1,FALSE)='District Calculations'!$B$25,VLOOKUP($A149,EnrollData2324,'2324 Jun 24 Enroll'!M$1,FALSE),'District Calculations'!$B$25)+IF(VLOOKUP($A149,EnrollData2324,'2324 Jun 24 Enroll'!D$1,FALSE)='District Calculations'!$B$11,VLOOKUP($A149,EnrollData2324,'2324 Jun 24 Enroll'!D$1,FALSE),'District Calculations'!$B$11)),5)</f>
        <v>5.5530000000000003E-2</v>
      </c>
      <c r="K149" s="11">
        <f t="shared" si="37"/>
        <v>4.365E-3</v>
      </c>
      <c r="L149">
        <f>ROUND(IF(VLOOKUP($A149,EnrollData2324,'2324 Jun 24 Enroll'!D$1,FALSE)='District Calculations'!$B$11,VLOOKUP($A149,EnrollData2324,'2324 Jun 24 Enroll'!D$1,FALSE),'District Calculations'!$B$11)*K149,3)</f>
        <v>0</v>
      </c>
      <c r="M149">
        <f>ROUND(IF(VLOOKUP($A149,EnrollData2324,'2324 Jun 24 Enroll'!E$1,FALSE)='District Calculations'!$B$12,VLOOKUP($A149,EnrollData2324,'2324 Jun 24 Enroll'!E$1,FALSE),'District Calculations'!$B$12)*K149,3)</f>
        <v>3.5379999999999998</v>
      </c>
      <c r="N149">
        <f>ROUND(IF(VLOOKUP($A149,EnrollData2324,'2324 Jun 24 Enroll'!F$1,FALSE)='District Calculations'!$B$13,VLOOKUP($A149,EnrollData2324,'2324 Jun 24 Enroll'!F$1,FALSE),'District Calculations'!$B$13)*Apport_223A2324,3)</f>
        <v>0.84199999999999997</v>
      </c>
      <c r="O149">
        <f>ROUND(IF(VLOOKUP($A149,EnrollData2324,'2324 Jun 24 Enroll'!G$1,FALSE)='District Calculations'!$B$14,VLOOKUP($A149,EnrollData2324,'2324 Jun 24 Enroll'!G$1,FALSE),'District Calculations'!$B$14)*Apport_211A2324,3)</f>
        <v>1.867</v>
      </c>
      <c r="P149">
        <f>ROUND(IF(VLOOKUP($A149,EnrollData2324,'2324 Jun 24 Enroll'!H$1,FALSE)='District Calculations'!$B$14,VLOOKUP($A149,EnrollData2324,'2324 Jun 24 Enroll'!H$1,FALSE),'District Calculations'!$B$14)*Apport_214A2324,3)</f>
        <v>1.8660000000000001</v>
      </c>
      <c r="Q149">
        <f>ROUND(IF(VLOOKUP($A149,EnrollData2324,'2324 Jun 24 Enroll'!I$1,FALSE)+VLOOKUP($A149,EnrollData2324,'2324 Jun 24 Enroll'!M$1,FALSE)-VLOOKUP($A149,EnrollData2324,'2324 Jun 24 Enroll'!J$1,FALSE)='District Calculations'!$B$16+'District Calculations'!$B$25-'District Calculations'!$B$17,VLOOKUP($A149,EnrollData2324,'2324 Jun 24 Enroll'!I$1,FALSE)+VLOOKUP($A149,EnrollData2324,'2324 Jun 24 Enroll'!M$1,FALSE)-VLOOKUP($A149,EnrollData2324,'2324 Jun 24 Enroll'!J$1,FALSE),'District Calculations'!$B$16+'District Calculations'!$B$25-'District Calculations'!$B$17)*Apport_217A2324,3)</f>
        <v>4.6980000000000004</v>
      </c>
      <c r="R149">
        <f>ROUND(SUM(L149:Q149)/IF(VLOOKUP($A149,EnrollData2324,'2324 Jun 24 Enroll'!M$1,FALSE)+VLOOKUP($A149,EnrollData2324,'2324 Jun 24 Enroll'!D$1,FALSE)='District Calculations'!$B$25+'District Calculations'!$B$11,VLOOKUP($A149,EnrollData2324,'2324 Jun 24 Enroll'!M$1,FALSE)+VLOOKUP($A149,EnrollData2324,'2324 Jun 24 Enroll'!D$1,FALSE),'District Calculations'!$B$25+'District Calculations'!$B$11),5)</f>
        <v>4.1000000000000003E-3</v>
      </c>
      <c r="S149" s="11">
        <f t="shared" si="38"/>
        <v>1.8294500000000002E-2</v>
      </c>
      <c r="T149">
        <f>ROUND(IF(VLOOKUP($A149,EnrollData2324,'2324 Jun 24 Enroll'!D$1,FALSE)='District Calculations'!$B$11,VLOOKUP($A149,EnrollData2324,'2324 Jun 24 Enroll'!D$1,FALSE),'District Calculations'!$B$11)*S149,3)</f>
        <v>0</v>
      </c>
      <c r="U149">
        <f>ROUND(IF(VLOOKUP($A149,EnrollData2324,'2324 Jun 24 Enroll'!E$1,FALSE)='District Calculations'!$B$12,VLOOKUP($A149,EnrollData2324,'2324 Jun 24 Enroll'!E$1,FALSE),'District Calculations'!$B$12)*S149,3)</f>
        <v>14.827999999999999</v>
      </c>
      <c r="V149">
        <f>ROUND(IF(VLOOKUP($A149,EnrollData2324,'2324 Jun 24 Enroll'!F$1,FALSE)='District Calculations'!$B$13,VLOOKUP($A149,EnrollData2324,'2324 Jun 24 Enroll'!F$1,FALSE),'District Calculations'!$B$13)*Apport_224A2324,3)</f>
        <v>3.6190000000000002</v>
      </c>
      <c r="W149">
        <f>ROUND(IF(VLOOKUP($A149,EnrollData2324,'2324 Jun 24 Enroll'!G$1,FALSE)='District Calculations'!$B$14,VLOOKUP($A149,EnrollData2324,'2324 Jun 24 Enroll'!G$1,FALSE),'District Calculations'!$B$14)*Apport_212A2324,3)</f>
        <v>8.0239999999999991</v>
      </c>
      <c r="X149">
        <f>ROUND(IF(VLOOKUP($A149,EnrollData2324,'2324 Jun 24 Enroll'!H$1,FALSE)='District Calculations'!$B$14,VLOOKUP($A149,EnrollData2324,'2324 Jun 24 Enroll'!H$1,FALSE),'District Calculations'!$B$14)*Apport_215A2324,3)</f>
        <v>7.9279999999999999</v>
      </c>
      <c r="Y149">
        <f>ROUND(IF(VLOOKUP($A149,EnrollData2324,'2324 Jun 24 Enroll'!I$1,FALSE)+VLOOKUP($A149,EnrollData2324,'2324 Jun 24 Enroll'!M$1,FALSE)-VLOOKUP($A149,EnrollData2324,'2324 Jun 24 Enroll'!J$1,FALSE)='District Calculations'!$B$16+'District Calculations'!$B$25-'District Calculations'!$B$17,VLOOKUP($A149,EnrollData2324,'2324 Jun 24 Enroll'!I$1,FALSE)+VLOOKUP($A149,EnrollData2324,'2324 Jun 24 Enroll'!M$1,FALSE)-VLOOKUP($A149,EnrollData2324,'2324 Jun 24 Enroll'!J$1,FALSE),'District Calculations'!$B$16+'District Calculations'!$B$25-'District Calculations'!$B$17)*Apport_218A2324,3)</f>
        <v>19.917999999999999</v>
      </c>
      <c r="Z149">
        <f>ROUND(SUM(T149:Y149)/IF(VLOOKUP($A149,EnrollData2324,'2324 Jun 24 Enroll'!M$1,FALSE)+VLOOKUP($A149,EnrollData2324,'2324 Jun 24 Enroll'!D$1,FALSE)='District Calculations'!$B$25+'District Calculations'!$B$11,VLOOKUP($A149,EnrollData2324,'2324 Jun 24 Enroll'!M$1,FALSE)+VLOOKUP($A149,EnrollData2324,'2324 Jun 24 Enroll'!D$1,FALSE),'District Calculations'!$B$25+'District Calculations'!$B$11),5)</f>
        <v>1.7399999999999999E-2</v>
      </c>
      <c r="AA149" s="6">
        <f>ROUND($J149*CIS_Base_Salary2324*VLOOKUP($A149,EnrollData2324,'2324 Jun 24 Enroll'!S$1,FALSE),2)</f>
        <v>4765.53</v>
      </c>
      <c r="AB149" s="6">
        <f>ROUND($J149*CIS_Inc_Salary2324*(VLOOKUP($A149,EnrollData2324,'2324 Jun 24 Enroll'!T$1,FALSE)+VLOOKUP($A149,EnrollData2324,'2324 Jun 24 Enroll'!U$1,FALSE)),2)-AA149</f>
        <v>176.32999999999993</v>
      </c>
      <c r="AC149" s="6">
        <f>ROUND($R149*CAS_Base_Salary2324*VLOOKUP($A149,EnrollData2324,'2324 Jun 24 Enroll'!S$1,FALSE),2)</f>
        <v>522.29</v>
      </c>
      <c r="AD149" s="6">
        <f>ROUND($R149*CAS_Inc_Salary2324*VLOOKUP($A149,EnrollData2324,'2324 Jun 24 Enroll'!T$1,FALSE),2)-AC149</f>
        <v>19.32000000000005</v>
      </c>
      <c r="AE149" s="6">
        <f>ROUND($Z149*CLS_Base_Salary2324*VLOOKUP($A149,EnrollData2324,'2324 Jun 24 Enroll'!S$1,FALSE),2)</f>
        <v>1071.22</v>
      </c>
      <c r="AF149" s="6">
        <f>ROUND($Z149*CLS_Inc_Salary2324*VLOOKUP($A149,EnrollData2324,'2324 Jun 24 Enroll'!T$1,FALSE),2)-AE149</f>
        <v>39.619999999999891</v>
      </c>
      <c r="AG149">
        <f t="shared" si="48"/>
        <v>734.16</v>
      </c>
      <c r="AH149" s="69">
        <f t="shared" si="39"/>
        <v>68.700000000000045</v>
      </c>
      <c r="AI149">
        <f t="shared" si="49"/>
        <v>214.23</v>
      </c>
      <c r="AJ149">
        <f t="shared" si="40"/>
        <v>114.21000000000001</v>
      </c>
      <c r="AK149">
        <f t="shared" si="41"/>
        <v>950.22</v>
      </c>
      <c r="AL149">
        <f t="shared" si="42"/>
        <v>33.909999999999997</v>
      </c>
      <c r="AM149">
        <f t="shared" si="43"/>
        <v>236.31</v>
      </c>
      <c r="AN149">
        <f t="shared" si="44"/>
        <v>7.35</v>
      </c>
      <c r="AO149">
        <f>ROUND(($J149*CIS_Inc_Salary2324*(VLOOKUP($A149,EnrollData2324,'2324 Jun 24 Enroll'!T$1,FALSE)+VLOOKUP($A149,EnrollData2324,'2324 Jun 24 Enroll'!U$1,FALSE))/Apport_613Xpd)*Apport_614Xpd,2)</f>
        <v>82.36</v>
      </c>
      <c r="AP149">
        <f t="shared" si="45"/>
        <v>14.27</v>
      </c>
      <c r="AQ149">
        <f t="shared" si="46"/>
        <v>30.93</v>
      </c>
      <c r="AR149" s="6">
        <f>ROUND((VLOOKUP($A149,EnrollData2324,'2324 Jun 24 Enroll'!D$1,FALSE)*Apport_M802324+VLOOKUP($A149,EnrollData2324,'2324 Jun 24 Enroll'!M$1,FALSE)*Apport_M802324+(VLOOKUP($A149,EnrollData2324,'2324 Jun 24 Enroll'!P$1,FALSE)+VLOOKUP($A149,EnrollData2324,'2324 Jun 24 Enroll'!Q$1,FALSE)+VLOOKUP($A149,EnrollData2324,'2324 Jun 24 Enroll'!R$1,FALSE)+VLOOKUP($A149,EnrollData2324,'2324 Jun 24 Enroll'!I$1,FALSE)+VLOOKUP($A149,EnrollData2324,'2324 Jun 24 Enroll'!N$1,FALSE)+VLOOKUP($A149,EnrollData2324,'2324 Jun 24 Enroll'!O$1,FALSE)+VLOOKUP($A149,EnrollData2324,'2324 Jun 24 Enroll'!K$1,FALSE)+VLOOKUP($A149,EnrollData2324,'2324 Jun 24 Enroll'!L$1,FALSE))*Apport_M812324)/(VLOOKUP($A149,EnrollData2324,'2324 Jun 24 Enroll'!M$1,FALSE)+VLOOKUP($A149,EnrollData2324,'2324 Jun 24 Enroll'!D$1,FALSE)),2)</f>
        <v>1546.5</v>
      </c>
      <c r="AS149" s="7">
        <f t="shared" si="47"/>
        <v>10627.46</v>
      </c>
    </row>
    <row r="150" spans="1:45">
      <c r="A150" s="40" t="s">
        <v>1015</v>
      </c>
      <c r="B150" s="40" t="s">
        <v>1016</v>
      </c>
      <c r="C150" s="11">
        <f>ROUND((IFERROR((1/IF(VLOOKUP($A150,EnrollData2324,28,FALSE)='District Calculations'!$B$10,VLOOKUP($A150,EnrollData2324,28,FALSE),'District Calculations'!$B$10))*(1+Apport_Z315),0))+Apport_201A2324,6)</f>
        <v>7.3449E-2</v>
      </c>
      <c r="D150">
        <f>ROUND(IF(VLOOKUP($A150,EnrollData2324,'2324 Jun 24 Enroll'!D$1,FALSE)='District Calculations'!$B$11,VLOOKUP($A150,EnrollData2324,'2324 Jun 24 Enroll'!D$1,FALSE),'District Calculations'!$B$11)*C150,3)</f>
        <v>0</v>
      </c>
      <c r="E150">
        <f>ROUND(IF(VLOOKUP($A150,EnrollData2324,'2324 Jun 24 Enroll'!E$1,FALSE)='District Calculations'!$B$12,VLOOKUP($A150,EnrollData2324,'2324 Jun 24 Enroll'!E$1,FALSE),'District Calculations'!$B$12)*C150,3)</f>
        <v>59.53</v>
      </c>
      <c r="F150">
        <f>ROUND(IF(VLOOKUP($A150,EnrollData2324,'2324 Jun 24 Enroll'!F$1,FALSE)='District Calculations'!$B$13,VLOOKUP($A150,EnrollData2324,'2324 Jun 24 Enroll'!F$1,FALSE),'District Calculations'!$B$13)*Apport_222A2324,3)</f>
        <v>10.101000000000001</v>
      </c>
      <c r="G150">
        <f>ROUND(IF(VLOOKUP($A150,EnrollData2324,'2324 Jun 24 Enroll'!G$1,FALSE)='District Calculations'!$B$14,VLOOKUP($A150,EnrollData2324,'2324 Jun 24 Enroll'!G$1,FALSE),'District Calculations'!$B$14)*Apport_210A2324,3)</f>
        <v>22.395</v>
      </c>
      <c r="H150">
        <f>ROUND(IF(VLOOKUP($A150,EnrollData2324,'2324 Jun 24 Enroll'!H$1,FALSE)='District Calculations'!$B$15,VLOOKUP($A150,EnrollData2324,'2324 Jun 24 Enroll'!H$1,FALSE),'District Calculations'!$B$15)*Apport_213A2324,3)</f>
        <v>23.091999999999999</v>
      </c>
      <c r="I150">
        <f>ROUND(IF(VLOOKUP($A150,EnrollData2324,'2324 Jun 24 Enroll'!I$1,FALSE)+VLOOKUP($A150,EnrollData2324,'2324 Jun 24 Enroll'!M$1,FALSE)-VLOOKUP($A150,EnrollData2324,'2324 Jun 24 Enroll'!J$1,FALSE)='District Calculations'!$B$16+'District Calculations'!$B$25-'District Calculations'!$B$17,VLOOKUP($A150,EnrollData2324,'2324 Jun 24 Enroll'!I$1,FALSE)+VLOOKUP($A150,EnrollData2324,'2324 Jun 24 Enroll'!M$1,FALSE)-VLOOKUP($A150,EnrollData2324,'2324 Jun 24 Enroll'!J$1,FALSE),'District Calculations'!$B$16+'District Calculations'!$B$25-'District Calculations'!$B$17)*Apport_216A2324,3)</f>
        <v>58.183999999999997</v>
      </c>
      <c r="J150">
        <f>ROUND(SUM(D150:I150)/(IF(VLOOKUP($A150,EnrollData2324,'2324 Jun 24 Enroll'!M$1,FALSE)='District Calculations'!$B$25,VLOOKUP($A150,EnrollData2324,'2324 Jun 24 Enroll'!M$1,FALSE),'District Calculations'!$B$25)+IF(VLOOKUP($A150,EnrollData2324,'2324 Jun 24 Enroll'!D$1,FALSE)='District Calculations'!$B$11,VLOOKUP($A150,EnrollData2324,'2324 Jun 24 Enroll'!D$1,FALSE),'District Calculations'!$B$11)),5)</f>
        <v>5.5530000000000003E-2</v>
      </c>
      <c r="K150" s="11">
        <f t="shared" si="37"/>
        <v>4.365E-3</v>
      </c>
      <c r="L150">
        <f>ROUND(IF(VLOOKUP($A150,EnrollData2324,'2324 Jun 24 Enroll'!D$1,FALSE)='District Calculations'!$B$11,VLOOKUP($A150,EnrollData2324,'2324 Jun 24 Enroll'!D$1,FALSE),'District Calculations'!$B$11)*K150,3)</f>
        <v>0</v>
      </c>
      <c r="M150">
        <f>ROUND(IF(VLOOKUP($A150,EnrollData2324,'2324 Jun 24 Enroll'!E$1,FALSE)='District Calculations'!$B$12,VLOOKUP($A150,EnrollData2324,'2324 Jun 24 Enroll'!E$1,FALSE),'District Calculations'!$B$12)*K150,3)</f>
        <v>3.5379999999999998</v>
      </c>
      <c r="N150">
        <f>ROUND(IF(VLOOKUP($A150,EnrollData2324,'2324 Jun 24 Enroll'!F$1,FALSE)='District Calculations'!$B$13,VLOOKUP($A150,EnrollData2324,'2324 Jun 24 Enroll'!F$1,FALSE),'District Calculations'!$B$13)*Apport_223A2324,3)</f>
        <v>0.84199999999999997</v>
      </c>
      <c r="O150">
        <f>ROUND(IF(VLOOKUP($A150,EnrollData2324,'2324 Jun 24 Enroll'!G$1,FALSE)='District Calculations'!$B$14,VLOOKUP($A150,EnrollData2324,'2324 Jun 24 Enroll'!G$1,FALSE),'District Calculations'!$B$14)*Apport_211A2324,3)</f>
        <v>1.867</v>
      </c>
      <c r="P150">
        <f>ROUND(IF(VLOOKUP($A150,EnrollData2324,'2324 Jun 24 Enroll'!H$1,FALSE)='District Calculations'!$B$14,VLOOKUP($A150,EnrollData2324,'2324 Jun 24 Enroll'!H$1,FALSE),'District Calculations'!$B$14)*Apport_214A2324,3)</f>
        <v>1.8660000000000001</v>
      </c>
      <c r="Q150">
        <f>ROUND(IF(VLOOKUP($A150,EnrollData2324,'2324 Jun 24 Enroll'!I$1,FALSE)+VLOOKUP($A150,EnrollData2324,'2324 Jun 24 Enroll'!M$1,FALSE)-VLOOKUP($A150,EnrollData2324,'2324 Jun 24 Enroll'!J$1,FALSE)='District Calculations'!$B$16+'District Calculations'!$B$25-'District Calculations'!$B$17,VLOOKUP($A150,EnrollData2324,'2324 Jun 24 Enroll'!I$1,FALSE)+VLOOKUP($A150,EnrollData2324,'2324 Jun 24 Enroll'!M$1,FALSE)-VLOOKUP($A150,EnrollData2324,'2324 Jun 24 Enroll'!J$1,FALSE),'District Calculations'!$B$16+'District Calculations'!$B$25-'District Calculations'!$B$17)*Apport_217A2324,3)</f>
        <v>4.6980000000000004</v>
      </c>
      <c r="R150">
        <f>ROUND(SUM(L150:Q150)/IF(VLOOKUP($A150,EnrollData2324,'2324 Jun 24 Enroll'!M$1,FALSE)+VLOOKUP($A150,EnrollData2324,'2324 Jun 24 Enroll'!D$1,FALSE)='District Calculations'!$B$25+'District Calculations'!$B$11,VLOOKUP($A150,EnrollData2324,'2324 Jun 24 Enroll'!M$1,FALSE)+VLOOKUP($A150,EnrollData2324,'2324 Jun 24 Enroll'!D$1,FALSE),'District Calculations'!$B$25+'District Calculations'!$B$11),5)</f>
        <v>4.1000000000000003E-3</v>
      </c>
      <c r="S150" s="11">
        <f t="shared" si="38"/>
        <v>1.8294500000000002E-2</v>
      </c>
      <c r="T150">
        <f>ROUND(IF(VLOOKUP($A150,EnrollData2324,'2324 Jun 24 Enroll'!D$1,FALSE)='District Calculations'!$B$11,VLOOKUP($A150,EnrollData2324,'2324 Jun 24 Enroll'!D$1,FALSE),'District Calculations'!$B$11)*S150,3)</f>
        <v>0</v>
      </c>
      <c r="U150">
        <f>ROUND(IF(VLOOKUP($A150,EnrollData2324,'2324 Jun 24 Enroll'!E$1,FALSE)='District Calculations'!$B$12,VLOOKUP($A150,EnrollData2324,'2324 Jun 24 Enroll'!E$1,FALSE),'District Calculations'!$B$12)*S150,3)</f>
        <v>14.827999999999999</v>
      </c>
      <c r="V150">
        <f>ROUND(IF(VLOOKUP($A150,EnrollData2324,'2324 Jun 24 Enroll'!F$1,FALSE)='District Calculations'!$B$13,VLOOKUP($A150,EnrollData2324,'2324 Jun 24 Enroll'!F$1,FALSE),'District Calculations'!$B$13)*Apport_224A2324,3)</f>
        <v>3.6190000000000002</v>
      </c>
      <c r="W150">
        <f>ROUND(IF(VLOOKUP($A150,EnrollData2324,'2324 Jun 24 Enroll'!G$1,FALSE)='District Calculations'!$B$14,VLOOKUP($A150,EnrollData2324,'2324 Jun 24 Enroll'!G$1,FALSE),'District Calculations'!$B$14)*Apport_212A2324,3)</f>
        <v>8.0239999999999991</v>
      </c>
      <c r="X150">
        <f>ROUND(IF(VLOOKUP($A150,EnrollData2324,'2324 Jun 24 Enroll'!H$1,FALSE)='District Calculations'!$B$14,VLOOKUP($A150,EnrollData2324,'2324 Jun 24 Enroll'!H$1,FALSE),'District Calculations'!$B$14)*Apport_215A2324,3)</f>
        <v>7.9279999999999999</v>
      </c>
      <c r="Y150">
        <f>ROUND(IF(VLOOKUP($A150,EnrollData2324,'2324 Jun 24 Enroll'!I$1,FALSE)+VLOOKUP($A150,EnrollData2324,'2324 Jun 24 Enroll'!M$1,FALSE)-VLOOKUP($A150,EnrollData2324,'2324 Jun 24 Enroll'!J$1,FALSE)='District Calculations'!$B$16+'District Calculations'!$B$25-'District Calculations'!$B$17,VLOOKUP($A150,EnrollData2324,'2324 Jun 24 Enroll'!I$1,FALSE)+VLOOKUP($A150,EnrollData2324,'2324 Jun 24 Enroll'!M$1,FALSE)-VLOOKUP($A150,EnrollData2324,'2324 Jun 24 Enroll'!J$1,FALSE),'District Calculations'!$B$16+'District Calculations'!$B$25-'District Calculations'!$B$17)*Apport_218A2324,3)</f>
        <v>19.917999999999999</v>
      </c>
      <c r="Z150">
        <f>ROUND(SUM(T150:Y150)/IF(VLOOKUP($A150,EnrollData2324,'2324 Jun 24 Enroll'!M$1,FALSE)+VLOOKUP($A150,EnrollData2324,'2324 Jun 24 Enroll'!D$1,FALSE)='District Calculations'!$B$25+'District Calculations'!$B$11,VLOOKUP($A150,EnrollData2324,'2324 Jun 24 Enroll'!M$1,FALSE)+VLOOKUP($A150,EnrollData2324,'2324 Jun 24 Enroll'!D$1,FALSE),'District Calculations'!$B$25+'District Calculations'!$B$11),5)</f>
        <v>1.7399999999999999E-2</v>
      </c>
      <c r="AA150" s="6">
        <f>ROUND($J150*CIS_Base_Salary2324*VLOOKUP($A150,EnrollData2324,'2324 Jun 24 Enroll'!S$1,FALSE),2)</f>
        <v>4765.53</v>
      </c>
      <c r="AB150" s="6">
        <f>ROUND($J150*CIS_Inc_Salary2324*(VLOOKUP($A150,EnrollData2324,'2324 Jun 24 Enroll'!T$1,FALSE)+VLOOKUP($A150,EnrollData2324,'2324 Jun 24 Enroll'!U$1,FALSE)),2)-AA150</f>
        <v>176.32999999999993</v>
      </c>
      <c r="AC150" s="6">
        <f>ROUND($R150*CAS_Base_Salary2324*VLOOKUP($A150,EnrollData2324,'2324 Jun 24 Enroll'!S$1,FALSE),2)</f>
        <v>522.29</v>
      </c>
      <c r="AD150" s="6">
        <f>ROUND($R150*CAS_Inc_Salary2324*VLOOKUP($A150,EnrollData2324,'2324 Jun 24 Enroll'!T$1,FALSE),2)-AC150</f>
        <v>19.32000000000005</v>
      </c>
      <c r="AE150" s="6">
        <f>ROUND($Z150*CLS_Base_Salary2324*VLOOKUP($A150,EnrollData2324,'2324 Jun 24 Enroll'!S$1,FALSE),2)</f>
        <v>1071.22</v>
      </c>
      <c r="AF150" s="6">
        <f>ROUND($Z150*CLS_Inc_Salary2324*VLOOKUP($A150,EnrollData2324,'2324 Jun 24 Enroll'!T$1,FALSE),2)-AE150</f>
        <v>39.619999999999891</v>
      </c>
      <c r="AG150">
        <f t="shared" si="48"/>
        <v>734.16</v>
      </c>
      <c r="AH150" s="69">
        <f t="shared" si="39"/>
        <v>68.700000000000045</v>
      </c>
      <c r="AI150">
        <f t="shared" si="49"/>
        <v>214.23</v>
      </c>
      <c r="AJ150">
        <f t="shared" si="40"/>
        <v>114.21000000000001</v>
      </c>
      <c r="AK150">
        <f t="shared" si="41"/>
        <v>950.22</v>
      </c>
      <c r="AL150">
        <f t="shared" si="42"/>
        <v>33.909999999999997</v>
      </c>
      <c r="AM150">
        <f t="shared" si="43"/>
        <v>236.31</v>
      </c>
      <c r="AN150">
        <f t="shared" si="44"/>
        <v>7.35</v>
      </c>
      <c r="AO150">
        <f>ROUND(($J150*CIS_Inc_Salary2324*(VLOOKUP($A150,EnrollData2324,'2324 Jun 24 Enroll'!T$1,FALSE)+VLOOKUP($A150,EnrollData2324,'2324 Jun 24 Enroll'!U$1,FALSE))/Apport_613Xpd)*Apport_614Xpd,2)</f>
        <v>82.36</v>
      </c>
      <c r="AP150">
        <f t="shared" si="45"/>
        <v>14.27</v>
      </c>
      <c r="AQ150">
        <f t="shared" si="46"/>
        <v>30.93</v>
      </c>
      <c r="AR150" s="6">
        <f>ROUND((VLOOKUP($A150,EnrollData2324,'2324 Jun 24 Enroll'!D$1,FALSE)*Apport_M802324+VLOOKUP($A150,EnrollData2324,'2324 Jun 24 Enroll'!M$1,FALSE)*Apport_M802324+(VLOOKUP($A150,EnrollData2324,'2324 Jun 24 Enroll'!P$1,FALSE)+VLOOKUP($A150,EnrollData2324,'2324 Jun 24 Enroll'!Q$1,FALSE)+VLOOKUP($A150,EnrollData2324,'2324 Jun 24 Enroll'!R$1,FALSE)+VLOOKUP($A150,EnrollData2324,'2324 Jun 24 Enroll'!I$1,FALSE)+VLOOKUP($A150,EnrollData2324,'2324 Jun 24 Enroll'!N$1,FALSE)+VLOOKUP($A150,EnrollData2324,'2324 Jun 24 Enroll'!O$1,FALSE)+VLOOKUP($A150,EnrollData2324,'2324 Jun 24 Enroll'!K$1,FALSE)+VLOOKUP($A150,EnrollData2324,'2324 Jun 24 Enroll'!L$1,FALSE))*Apport_M812324)/(VLOOKUP($A150,EnrollData2324,'2324 Jun 24 Enroll'!M$1,FALSE)+VLOOKUP($A150,EnrollData2324,'2324 Jun 24 Enroll'!D$1,FALSE)),2)</f>
        <v>1483.44</v>
      </c>
      <c r="AS150" s="7">
        <f t="shared" si="47"/>
        <v>10564.4</v>
      </c>
    </row>
    <row r="151" spans="1:45">
      <c r="A151" s="40" t="s">
        <v>901</v>
      </c>
      <c r="B151" s="40" t="s">
        <v>902</v>
      </c>
      <c r="C151" s="11">
        <f>ROUND((IFERROR((1/IF(VLOOKUP($A151,EnrollData2324,28,FALSE)='District Calculations'!$B$10,VLOOKUP($A151,EnrollData2324,28,FALSE),'District Calculations'!$B$10))*(1+Apport_Z315),0))+Apport_201A2324,6)</f>
        <v>7.3449E-2</v>
      </c>
      <c r="D151">
        <f>ROUND(IF(VLOOKUP($A151,EnrollData2324,'2324 Jun 24 Enroll'!D$1,FALSE)='District Calculations'!$B$11,VLOOKUP($A151,EnrollData2324,'2324 Jun 24 Enroll'!D$1,FALSE),'District Calculations'!$B$11)*C151,3)</f>
        <v>0</v>
      </c>
      <c r="E151">
        <f>ROUND(IF(VLOOKUP($A151,EnrollData2324,'2324 Jun 24 Enroll'!E$1,FALSE)='District Calculations'!$B$12,VLOOKUP($A151,EnrollData2324,'2324 Jun 24 Enroll'!E$1,FALSE),'District Calculations'!$B$12)*C151,3)</f>
        <v>59.53</v>
      </c>
      <c r="F151">
        <f>ROUND(IF(VLOOKUP($A151,EnrollData2324,'2324 Jun 24 Enroll'!F$1,FALSE)='District Calculations'!$B$13,VLOOKUP($A151,EnrollData2324,'2324 Jun 24 Enroll'!F$1,FALSE),'District Calculations'!$B$13)*Apport_222A2324,3)</f>
        <v>10.101000000000001</v>
      </c>
      <c r="G151">
        <f>ROUND(IF(VLOOKUP($A151,EnrollData2324,'2324 Jun 24 Enroll'!G$1,FALSE)='District Calculations'!$B$14,VLOOKUP($A151,EnrollData2324,'2324 Jun 24 Enroll'!G$1,FALSE),'District Calculations'!$B$14)*Apport_210A2324,3)</f>
        <v>22.395</v>
      </c>
      <c r="H151">
        <f>ROUND(IF(VLOOKUP($A151,EnrollData2324,'2324 Jun 24 Enroll'!H$1,FALSE)='District Calculations'!$B$15,VLOOKUP($A151,EnrollData2324,'2324 Jun 24 Enroll'!H$1,FALSE),'District Calculations'!$B$15)*Apport_213A2324,3)</f>
        <v>23.091999999999999</v>
      </c>
      <c r="I151">
        <f>ROUND(IF(VLOOKUP($A151,EnrollData2324,'2324 Jun 24 Enroll'!I$1,FALSE)+VLOOKUP($A151,EnrollData2324,'2324 Jun 24 Enroll'!M$1,FALSE)-VLOOKUP($A151,EnrollData2324,'2324 Jun 24 Enroll'!J$1,FALSE)='District Calculations'!$B$16+'District Calculations'!$B$25-'District Calculations'!$B$17,VLOOKUP($A151,EnrollData2324,'2324 Jun 24 Enroll'!I$1,FALSE)+VLOOKUP($A151,EnrollData2324,'2324 Jun 24 Enroll'!M$1,FALSE)-VLOOKUP($A151,EnrollData2324,'2324 Jun 24 Enroll'!J$1,FALSE),'District Calculations'!$B$16+'District Calculations'!$B$25-'District Calculations'!$B$17)*Apport_216A2324,3)</f>
        <v>58.183999999999997</v>
      </c>
      <c r="J151">
        <f>ROUND(SUM(D151:I151)/(IF(VLOOKUP($A151,EnrollData2324,'2324 Jun 24 Enroll'!M$1,FALSE)='District Calculations'!$B$25,VLOOKUP($A151,EnrollData2324,'2324 Jun 24 Enroll'!M$1,FALSE),'District Calculations'!$B$25)+IF(VLOOKUP($A151,EnrollData2324,'2324 Jun 24 Enroll'!D$1,FALSE)='District Calculations'!$B$11,VLOOKUP($A151,EnrollData2324,'2324 Jun 24 Enroll'!D$1,FALSE),'District Calculations'!$B$11)),5)</f>
        <v>5.5530000000000003E-2</v>
      </c>
      <c r="K151" s="11">
        <f t="shared" si="37"/>
        <v>4.365E-3</v>
      </c>
      <c r="L151">
        <f>ROUND(IF(VLOOKUP($A151,EnrollData2324,'2324 Jun 24 Enroll'!D$1,FALSE)='District Calculations'!$B$11,VLOOKUP($A151,EnrollData2324,'2324 Jun 24 Enroll'!D$1,FALSE),'District Calculations'!$B$11)*K151,3)</f>
        <v>0</v>
      </c>
      <c r="M151">
        <f>ROUND(IF(VLOOKUP($A151,EnrollData2324,'2324 Jun 24 Enroll'!E$1,FALSE)='District Calculations'!$B$12,VLOOKUP($A151,EnrollData2324,'2324 Jun 24 Enroll'!E$1,FALSE),'District Calculations'!$B$12)*K151,3)</f>
        <v>3.5379999999999998</v>
      </c>
      <c r="N151">
        <f>ROUND(IF(VLOOKUP($A151,EnrollData2324,'2324 Jun 24 Enroll'!F$1,FALSE)='District Calculations'!$B$13,VLOOKUP($A151,EnrollData2324,'2324 Jun 24 Enroll'!F$1,FALSE),'District Calculations'!$B$13)*Apport_223A2324,3)</f>
        <v>0.84199999999999997</v>
      </c>
      <c r="O151">
        <f>ROUND(IF(VLOOKUP($A151,EnrollData2324,'2324 Jun 24 Enroll'!G$1,FALSE)='District Calculations'!$B$14,VLOOKUP($A151,EnrollData2324,'2324 Jun 24 Enroll'!G$1,FALSE),'District Calculations'!$B$14)*Apport_211A2324,3)</f>
        <v>1.867</v>
      </c>
      <c r="P151">
        <f>ROUND(IF(VLOOKUP($A151,EnrollData2324,'2324 Jun 24 Enroll'!H$1,FALSE)='District Calculations'!$B$14,VLOOKUP($A151,EnrollData2324,'2324 Jun 24 Enroll'!H$1,FALSE),'District Calculations'!$B$14)*Apport_214A2324,3)</f>
        <v>1.8660000000000001</v>
      </c>
      <c r="Q151">
        <f>ROUND(IF(VLOOKUP($A151,EnrollData2324,'2324 Jun 24 Enroll'!I$1,FALSE)+VLOOKUP($A151,EnrollData2324,'2324 Jun 24 Enroll'!M$1,FALSE)-VLOOKUP($A151,EnrollData2324,'2324 Jun 24 Enroll'!J$1,FALSE)='District Calculations'!$B$16+'District Calculations'!$B$25-'District Calculations'!$B$17,VLOOKUP($A151,EnrollData2324,'2324 Jun 24 Enroll'!I$1,FALSE)+VLOOKUP($A151,EnrollData2324,'2324 Jun 24 Enroll'!M$1,FALSE)-VLOOKUP($A151,EnrollData2324,'2324 Jun 24 Enroll'!J$1,FALSE),'District Calculations'!$B$16+'District Calculations'!$B$25-'District Calculations'!$B$17)*Apport_217A2324,3)</f>
        <v>4.6980000000000004</v>
      </c>
      <c r="R151">
        <f>ROUND(SUM(L151:Q151)/IF(VLOOKUP($A151,EnrollData2324,'2324 Jun 24 Enroll'!M$1,FALSE)+VLOOKUP($A151,EnrollData2324,'2324 Jun 24 Enroll'!D$1,FALSE)='District Calculations'!$B$25+'District Calculations'!$B$11,VLOOKUP($A151,EnrollData2324,'2324 Jun 24 Enroll'!M$1,FALSE)+VLOOKUP($A151,EnrollData2324,'2324 Jun 24 Enroll'!D$1,FALSE),'District Calculations'!$B$25+'District Calculations'!$B$11),5)</f>
        <v>4.1000000000000003E-3</v>
      </c>
      <c r="S151" s="11">
        <f t="shared" si="38"/>
        <v>1.8294500000000002E-2</v>
      </c>
      <c r="T151">
        <f>ROUND(IF(VLOOKUP($A151,EnrollData2324,'2324 Jun 24 Enroll'!D$1,FALSE)='District Calculations'!$B$11,VLOOKUP($A151,EnrollData2324,'2324 Jun 24 Enroll'!D$1,FALSE),'District Calculations'!$B$11)*S151,3)</f>
        <v>0</v>
      </c>
      <c r="U151">
        <f>ROUND(IF(VLOOKUP($A151,EnrollData2324,'2324 Jun 24 Enroll'!E$1,FALSE)='District Calculations'!$B$12,VLOOKUP($A151,EnrollData2324,'2324 Jun 24 Enroll'!E$1,FALSE),'District Calculations'!$B$12)*S151,3)</f>
        <v>14.827999999999999</v>
      </c>
      <c r="V151">
        <f>ROUND(IF(VLOOKUP($A151,EnrollData2324,'2324 Jun 24 Enroll'!F$1,FALSE)='District Calculations'!$B$13,VLOOKUP($A151,EnrollData2324,'2324 Jun 24 Enroll'!F$1,FALSE),'District Calculations'!$B$13)*Apport_224A2324,3)</f>
        <v>3.6190000000000002</v>
      </c>
      <c r="W151">
        <f>ROUND(IF(VLOOKUP($A151,EnrollData2324,'2324 Jun 24 Enroll'!G$1,FALSE)='District Calculations'!$B$14,VLOOKUP($A151,EnrollData2324,'2324 Jun 24 Enroll'!G$1,FALSE),'District Calculations'!$B$14)*Apport_212A2324,3)</f>
        <v>8.0239999999999991</v>
      </c>
      <c r="X151">
        <f>ROUND(IF(VLOOKUP($A151,EnrollData2324,'2324 Jun 24 Enroll'!H$1,FALSE)='District Calculations'!$B$14,VLOOKUP($A151,EnrollData2324,'2324 Jun 24 Enroll'!H$1,FALSE),'District Calculations'!$B$14)*Apport_215A2324,3)</f>
        <v>7.9279999999999999</v>
      </c>
      <c r="Y151">
        <f>ROUND(IF(VLOOKUP($A151,EnrollData2324,'2324 Jun 24 Enroll'!I$1,FALSE)+VLOOKUP($A151,EnrollData2324,'2324 Jun 24 Enroll'!M$1,FALSE)-VLOOKUP($A151,EnrollData2324,'2324 Jun 24 Enroll'!J$1,FALSE)='District Calculations'!$B$16+'District Calculations'!$B$25-'District Calculations'!$B$17,VLOOKUP($A151,EnrollData2324,'2324 Jun 24 Enroll'!I$1,FALSE)+VLOOKUP($A151,EnrollData2324,'2324 Jun 24 Enroll'!M$1,FALSE)-VLOOKUP($A151,EnrollData2324,'2324 Jun 24 Enroll'!J$1,FALSE),'District Calculations'!$B$16+'District Calculations'!$B$25-'District Calculations'!$B$17)*Apport_218A2324,3)</f>
        <v>19.917999999999999</v>
      </c>
      <c r="Z151">
        <f>ROUND(SUM(T151:Y151)/IF(VLOOKUP($A151,EnrollData2324,'2324 Jun 24 Enroll'!M$1,FALSE)+VLOOKUP($A151,EnrollData2324,'2324 Jun 24 Enroll'!D$1,FALSE)='District Calculations'!$B$25+'District Calculations'!$B$11,VLOOKUP($A151,EnrollData2324,'2324 Jun 24 Enroll'!M$1,FALSE)+VLOOKUP($A151,EnrollData2324,'2324 Jun 24 Enroll'!D$1,FALSE),'District Calculations'!$B$25+'District Calculations'!$B$11),5)</f>
        <v>1.7399999999999999E-2</v>
      </c>
      <c r="AA151" s="6">
        <f>ROUND($J151*CIS_Base_Salary2324*VLOOKUP($A151,EnrollData2324,'2324 Jun 24 Enroll'!S$1,FALSE),2)</f>
        <v>4765.53</v>
      </c>
      <c r="AB151" s="6">
        <f>ROUND($J151*CIS_Inc_Salary2324*(VLOOKUP($A151,EnrollData2324,'2324 Jun 24 Enroll'!T$1,FALSE)+VLOOKUP($A151,EnrollData2324,'2324 Jun 24 Enroll'!U$1,FALSE)),2)-AA151</f>
        <v>176.32999999999993</v>
      </c>
      <c r="AC151" s="6">
        <f>ROUND($R151*CAS_Base_Salary2324*VLOOKUP($A151,EnrollData2324,'2324 Jun 24 Enroll'!S$1,FALSE),2)</f>
        <v>522.29</v>
      </c>
      <c r="AD151" s="6">
        <f>ROUND($R151*CAS_Inc_Salary2324*VLOOKUP($A151,EnrollData2324,'2324 Jun 24 Enroll'!T$1,FALSE),2)-AC151</f>
        <v>19.32000000000005</v>
      </c>
      <c r="AE151" s="6">
        <f>ROUND($Z151*CLS_Base_Salary2324*VLOOKUP($A151,EnrollData2324,'2324 Jun 24 Enroll'!S$1,FALSE),2)</f>
        <v>1071.22</v>
      </c>
      <c r="AF151" s="6">
        <f>ROUND($Z151*CLS_Inc_Salary2324*VLOOKUP($A151,EnrollData2324,'2324 Jun 24 Enroll'!T$1,FALSE),2)-AE151</f>
        <v>39.619999999999891</v>
      </c>
      <c r="AG151">
        <f t="shared" si="48"/>
        <v>734.16</v>
      </c>
      <c r="AH151" s="69">
        <f t="shared" si="39"/>
        <v>68.700000000000045</v>
      </c>
      <c r="AI151">
        <f t="shared" si="49"/>
        <v>214.23</v>
      </c>
      <c r="AJ151">
        <f t="shared" si="40"/>
        <v>114.21000000000001</v>
      </c>
      <c r="AK151">
        <f t="shared" si="41"/>
        <v>950.22</v>
      </c>
      <c r="AL151">
        <f t="shared" si="42"/>
        <v>33.909999999999997</v>
      </c>
      <c r="AM151">
        <f t="shared" si="43"/>
        <v>236.31</v>
      </c>
      <c r="AN151">
        <f t="shared" si="44"/>
        <v>7.35</v>
      </c>
      <c r="AO151">
        <f>ROUND(($J151*CIS_Inc_Salary2324*(VLOOKUP($A151,EnrollData2324,'2324 Jun 24 Enroll'!T$1,FALSE)+VLOOKUP($A151,EnrollData2324,'2324 Jun 24 Enroll'!U$1,FALSE))/Apport_613Xpd)*Apport_614Xpd,2)</f>
        <v>82.36</v>
      </c>
      <c r="AP151">
        <f t="shared" si="45"/>
        <v>14.27</v>
      </c>
      <c r="AQ151">
        <f t="shared" si="46"/>
        <v>30.93</v>
      </c>
      <c r="AR151" s="6">
        <f>ROUND((VLOOKUP($A151,EnrollData2324,'2324 Jun 24 Enroll'!D$1,FALSE)*Apport_M802324+VLOOKUP($A151,EnrollData2324,'2324 Jun 24 Enroll'!M$1,FALSE)*Apport_M802324+(VLOOKUP($A151,EnrollData2324,'2324 Jun 24 Enroll'!P$1,FALSE)+VLOOKUP($A151,EnrollData2324,'2324 Jun 24 Enroll'!Q$1,FALSE)+VLOOKUP($A151,EnrollData2324,'2324 Jun 24 Enroll'!R$1,FALSE)+VLOOKUP($A151,EnrollData2324,'2324 Jun 24 Enroll'!I$1,FALSE)+VLOOKUP($A151,EnrollData2324,'2324 Jun 24 Enroll'!N$1,FALSE)+VLOOKUP($A151,EnrollData2324,'2324 Jun 24 Enroll'!O$1,FALSE)+VLOOKUP($A151,EnrollData2324,'2324 Jun 24 Enroll'!K$1,FALSE)+VLOOKUP($A151,EnrollData2324,'2324 Jun 24 Enroll'!L$1,FALSE))*Apport_M812324)/(VLOOKUP($A151,EnrollData2324,'2324 Jun 24 Enroll'!M$1,FALSE)+VLOOKUP($A151,EnrollData2324,'2324 Jun 24 Enroll'!D$1,FALSE)),2)</f>
        <v>1608.14</v>
      </c>
      <c r="AS151" s="7">
        <f t="shared" si="47"/>
        <v>10689.099999999999</v>
      </c>
    </row>
    <row r="152" spans="1:45">
      <c r="A152" s="40" t="s">
        <v>420</v>
      </c>
      <c r="B152" s="40" t="s">
        <v>421</v>
      </c>
      <c r="C152" s="11">
        <f>ROUND((IFERROR((1/IF(VLOOKUP($A152,EnrollData2324,28,FALSE)='District Calculations'!$B$10,VLOOKUP($A152,EnrollData2324,28,FALSE),'District Calculations'!$B$10))*(1+Apport_Z315),0))+Apport_201A2324,6)</f>
        <v>7.3449E-2</v>
      </c>
      <c r="D152">
        <f>ROUND(IF(VLOOKUP($A152,EnrollData2324,'2324 Jun 24 Enroll'!D$1,FALSE)='District Calculations'!$B$11,VLOOKUP($A152,EnrollData2324,'2324 Jun 24 Enroll'!D$1,FALSE),'District Calculations'!$B$11)*C152,3)</f>
        <v>0</v>
      </c>
      <c r="E152">
        <f>ROUND(IF(VLOOKUP($A152,EnrollData2324,'2324 Jun 24 Enroll'!E$1,FALSE)='District Calculations'!$B$12,VLOOKUP($A152,EnrollData2324,'2324 Jun 24 Enroll'!E$1,FALSE),'District Calculations'!$B$12)*C152,3)</f>
        <v>59.53</v>
      </c>
      <c r="F152">
        <f>ROUND(IF(VLOOKUP($A152,EnrollData2324,'2324 Jun 24 Enroll'!F$1,FALSE)='District Calculations'!$B$13,VLOOKUP($A152,EnrollData2324,'2324 Jun 24 Enroll'!F$1,FALSE),'District Calculations'!$B$13)*Apport_222A2324,3)</f>
        <v>10.101000000000001</v>
      </c>
      <c r="G152">
        <f>ROUND(IF(VLOOKUP($A152,EnrollData2324,'2324 Jun 24 Enroll'!G$1,FALSE)='District Calculations'!$B$14,VLOOKUP($A152,EnrollData2324,'2324 Jun 24 Enroll'!G$1,FALSE),'District Calculations'!$B$14)*Apport_210A2324,3)</f>
        <v>22.395</v>
      </c>
      <c r="H152">
        <f>ROUND(IF(VLOOKUP($A152,EnrollData2324,'2324 Jun 24 Enroll'!H$1,FALSE)='District Calculations'!$B$15,VLOOKUP($A152,EnrollData2324,'2324 Jun 24 Enroll'!H$1,FALSE),'District Calculations'!$B$15)*Apport_213A2324,3)</f>
        <v>23.091999999999999</v>
      </c>
      <c r="I152">
        <f>ROUND(IF(VLOOKUP($A152,EnrollData2324,'2324 Jun 24 Enroll'!I$1,FALSE)+VLOOKUP($A152,EnrollData2324,'2324 Jun 24 Enroll'!M$1,FALSE)-VLOOKUP($A152,EnrollData2324,'2324 Jun 24 Enroll'!J$1,FALSE)='District Calculations'!$B$16+'District Calculations'!$B$25-'District Calculations'!$B$17,VLOOKUP($A152,EnrollData2324,'2324 Jun 24 Enroll'!I$1,FALSE)+VLOOKUP($A152,EnrollData2324,'2324 Jun 24 Enroll'!M$1,FALSE)-VLOOKUP($A152,EnrollData2324,'2324 Jun 24 Enroll'!J$1,FALSE),'District Calculations'!$B$16+'District Calculations'!$B$25-'District Calculations'!$B$17)*Apport_216A2324,3)</f>
        <v>58.183999999999997</v>
      </c>
      <c r="J152">
        <f>ROUND(SUM(D152:I152)/(IF(VLOOKUP($A152,EnrollData2324,'2324 Jun 24 Enroll'!M$1,FALSE)='District Calculations'!$B$25,VLOOKUP($A152,EnrollData2324,'2324 Jun 24 Enroll'!M$1,FALSE),'District Calculations'!$B$25)+IF(VLOOKUP($A152,EnrollData2324,'2324 Jun 24 Enroll'!D$1,FALSE)='District Calculations'!$B$11,VLOOKUP($A152,EnrollData2324,'2324 Jun 24 Enroll'!D$1,FALSE),'District Calculations'!$B$11)),5)</f>
        <v>5.5530000000000003E-2</v>
      </c>
      <c r="K152" s="11">
        <f t="shared" si="37"/>
        <v>4.365E-3</v>
      </c>
      <c r="L152">
        <f>ROUND(IF(VLOOKUP($A152,EnrollData2324,'2324 Jun 24 Enroll'!D$1,FALSE)='District Calculations'!$B$11,VLOOKUP($A152,EnrollData2324,'2324 Jun 24 Enroll'!D$1,FALSE),'District Calculations'!$B$11)*K152,3)</f>
        <v>0</v>
      </c>
      <c r="M152">
        <f>ROUND(IF(VLOOKUP($A152,EnrollData2324,'2324 Jun 24 Enroll'!E$1,FALSE)='District Calculations'!$B$12,VLOOKUP($A152,EnrollData2324,'2324 Jun 24 Enroll'!E$1,FALSE),'District Calculations'!$B$12)*K152,3)</f>
        <v>3.5379999999999998</v>
      </c>
      <c r="N152">
        <f>ROUND(IF(VLOOKUP($A152,EnrollData2324,'2324 Jun 24 Enroll'!F$1,FALSE)='District Calculations'!$B$13,VLOOKUP($A152,EnrollData2324,'2324 Jun 24 Enroll'!F$1,FALSE),'District Calculations'!$B$13)*Apport_223A2324,3)</f>
        <v>0.84199999999999997</v>
      </c>
      <c r="O152">
        <f>ROUND(IF(VLOOKUP($A152,EnrollData2324,'2324 Jun 24 Enroll'!G$1,FALSE)='District Calculations'!$B$14,VLOOKUP($A152,EnrollData2324,'2324 Jun 24 Enroll'!G$1,FALSE),'District Calculations'!$B$14)*Apport_211A2324,3)</f>
        <v>1.867</v>
      </c>
      <c r="P152">
        <f>ROUND(IF(VLOOKUP($A152,EnrollData2324,'2324 Jun 24 Enroll'!H$1,FALSE)='District Calculations'!$B$14,VLOOKUP($A152,EnrollData2324,'2324 Jun 24 Enroll'!H$1,FALSE),'District Calculations'!$B$14)*Apport_214A2324,3)</f>
        <v>1.8660000000000001</v>
      </c>
      <c r="Q152">
        <f>ROUND(IF(VLOOKUP($A152,EnrollData2324,'2324 Jun 24 Enroll'!I$1,FALSE)+VLOOKUP($A152,EnrollData2324,'2324 Jun 24 Enroll'!M$1,FALSE)-VLOOKUP($A152,EnrollData2324,'2324 Jun 24 Enroll'!J$1,FALSE)='District Calculations'!$B$16+'District Calculations'!$B$25-'District Calculations'!$B$17,VLOOKUP($A152,EnrollData2324,'2324 Jun 24 Enroll'!I$1,FALSE)+VLOOKUP($A152,EnrollData2324,'2324 Jun 24 Enroll'!M$1,FALSE)-VLOOKUP($A152,EnrollData2324,'2324 Jun 24 Enroll'!J$1,FALSE),'District Calculations'!$B$16+'District Calculations'!$B$25-'District Calculations'!$B$17)*Apport_217A2324,3)</f>
        <v>4.6980000000000004</v>
      </c>
      <c r="R152">
        <f>ROUND(SUM(L152:Q152)/IF(VLOOKUP($A152,EnrollData2324,'2324 Jun 24 Enroll'!M$1,FALSE)+VLOOKUP($A152,EnrollData2324,'2324 Jun 24 Enroll'!D$1,FALSE)='District Calculations'!$B$25+'District Calculations'!$B$11,VLOOKUP($A152,EnrollData2324,'2324 Jun 24 Enroll'!M$1,FALSE)+VLOOKUP($A152,EnrollData2324,'2324 Jun 24 Enroll'!D$1,FALSE),'District Calculations'!$B$25+'District Calculations'!$B$11),5)</f>
        <v>4.1000000000000003E-3</v>
      </c>
      <c r="S152" s="11">
        <f t="shared" si="38"/>
        <v>1.8294500000000002E-2</v>
      </c>
      <c r="T152">
        <f>ROUND(IF(VLOOKUP($A152,EnrollData2324,'2324 Jun 24 Enroll'!D$1,FALSE)='District Calculations'!$B$11,VLOOKUP($A152,EnrollData2324,'2324 Jun 24 Enroll'!D$1,FALSE),'District Calculations'!$B$11)*S152,3)</f>
        <v>0</v>
      </c>
      <c r="U152">
        <f>ROUND(IF(VLOOKUP($A152,EnrollData2324,'2324 Jun 24 Enroll'!E$1,FALSE)='District Calculations'!$B$12,VLOOKUP($A152,EnrollData2324,'2324 Jun 24 Enroll'!E$1,FALSE),'District Calculations'!$B$12)*S152,3)</f>
        <v>14.827999999999999</v>
      </c>
      <c r="V152">
        <f>ROUND(IF(VLOOKUP($A152,EnrollData2324,'2324 Jun 24 Enroll'!F$1,FALSE)='District Calculations'!$B$13,VLOOKUP($A152,EnrollData2324,'2324 Jun 24 Enroll'!F$1,FALSE),'District Calculations'!$B$13)*Apport_224A2324,3)</f>
        <v>3.6190000000000002</v>
      </c>
      <c r="W152">
        <f>ROUND(IF(VLOOKUP($A152,EnrollData2324,'2324 Jun 24 Enroll'!G$1,FALSE)='District Calculations'!$B$14,VLOOKUP($A152,EnrollData2324,'2324 Jun 24 Enroll'!G$1,FALSE),'District Calculations'!$B$14)*Apport_212A2324,3)</f>
        <v>8.0239999999999991</v>
      </c>
      <c r="X152">
        <f>ROUND(IF(VLOOKUP($A152,EnrollData2324,'2324 Jun 24 Enroll'!H$1,FALSE)='District Calculations'!$B$14,VLOOKUP($A152,EnrollData2324,'2324 Jun 24 Enroll'!H$1,FALSE),'District Calculations'!$B$14)*Apport_215A2324,3)</f>
        <v>7.9279999999999999</v>
      </c>
      <c r="Y152">
        <f>ROUND(IF(VLOOKUP($A152,EnrollData2324,'2324 Jun 24 Enroll'!I$1,FALSE)+VLOOKUP($A152,EnrollData2324,'2324 Jun 24 Enroll'!M$1,FALSE)-VLOOKUP($A152,EnrollData2324,'2324 Jun 24 Enroll'!J$1,FALSE)='District Calculations'!$B$16+'District Calculations'!$B$25-'District Calculations'!$B$17,VLOOKUP($A152,EnrollData2324,'2324 Jun 24 Enroll'!I$1,FALSE)+VLOOKUP($A152,EnrollData2324,'2324 Jun 24 Enroll'!M$1,FALSE)-VLOOKUP($A152,EnrollData2324,'2324 Jun 24 Enroll'!J$1,FALSE),'District Calculations'!$B$16+'District Calculations'!$B$25-'District Calculations'!$B$17)*Apport_218A2324,3)</f>
        <v>19.917999999999999</v>
      </c>
      <c r="Z152">
        <f>ROUND(SUM(T152:Y152)/IF(VLOOKUP($A152,EnrollData2324,'2324 Jun 24 Enroll'!M$1,FALSE)+VLOOKUP($A152,EnrollData2324,'2324 Jun 24 Enroll'!D$1,FALSE)='District Calculations'!$B$25+'District Calculations'!$B$11,VLOOKUP($A152,EnrollData2324,'2324 Jun 24 Enroll'!M$1,FALSE)+VLOOKUP($A152,EnrollData2324,'2324 Jun 24 Enroll'!D$1,FALSE),'District Calculations'!$B$25+'District Calculations'!$B$11),5)</f>
        <v>1.7399999999999999E-2</v>
      </c>
      <c r="AA152" s="6">
        <f>ROUND($J152*CIS_Base_Salary2324*VLOOKUP($A152,EnrollData2324,'2324 Jun 24 Enroll'!S$1,FALSE),2)</f>
        <v>4038.59</v>
      </c>
      <c r="AB152" s="6">
        <f>ROUND($J152*CIS_Inc_Salary2324*(VLOOKUP($A152,EnrollData2324,'2324 Jun 24 Enroll'!T$1,FALSE)+VLOOKUP($A152,EnrollData2324,'2324 Jun 24 Enroll'!U$1,FALSE)),2)-AA152</f>
        <v>316.94999999999982</v>
      </c>
      <c r="AC152" s="6">
        <f>ROUND($R152*CAS_Base_Salary2324*VLOOKUP($A152,EnrollData2324,'2324 Jun 24 Enroll'!S$1,FALSE),2)</f>
        <v>442.62</v>
      </c>
      <c r="AD152" s="6">
        <f>ROUND($R152*CAS_Inc_Salary2324*VLOOKUP($A152,EnrollData2324,'2324 Jun 24 Enroll'!T$1,FALSE),2)-AC152</f>
        <v>16.379999999999995</v>
      </c>
      <c r="AE152" s="6">
        <f>ROUND($Z152*CLS_Base_Salary2324*VLOOKUP($A152,EnrollData2324,'2324 Jun 24 Enroll'!S$1,FALSE),2)</f>
        <v>907.81</v>
      </c>
      <c r="AF152" s="6">
        <f>ROUND($Z152*CLS_Inc_Salary2324*VLOOKUP($A152,EnrollData2324,'2324 Jun 24 Enroll'!T$1,FALSE),2)-AE152</f>
        <v>33.580000000000041</v>
      </c>
      <c r="AG152">
        <f t="shared" si="48"/>
        <v>734.16</v>
      </c>
      <c r="AH152" s="69">
        <f t="shared" si="39"/>
        <v>68.700000000000045</v>
      </c>
      <c r="AI152">
        <f t="shared" si="49"/>
        <v>214.23</v>
      </c>
      <c r="AJ152">
        <f t="shared" si="40"/>
        <v>114.21000000000001</v>
      </c>
      <c r="AK152">
        <f t="shared" si="41"/>
        <v>805.27</v>
      </c>
      <c r="AL152">
        <f t="shared" si="42"/>
        <v>57.77</v>
      </c>
      <c r="AM152">
        <f t="shared" si="43"/>
        <v>200.26</v>
      </c>
      <c r="AN152">
        <f t="shared" si="44"/>
        <v>6.23</v>
      </c>
      <c r="AO152">
        <f>ROUND(($J152*CIS_Inc_Salary2324*(VLOOKUP($A152,EnrollData2324,'2324 Jun 24 Enroll'!T$1,FALSE)+VLOOKUP($A152,EnrollData2324,'2324 Jun 24 Enroll'!U$1,FALSE))/Apport_613Xpd)*Apport_614Xpd,2)</f>
        <v>72.59</v>
      </c>
      <c r="AP152">
        <f t="shared" si="45"/>
        <v>12.58</v>
      </c>
      <c r="AQ152">
        <f t="shared" si="46"/>
        <v>30.93</v>
      </c>
      <c r="AR152" s="6">
        <f>ROUND((VLOOKUP($A152,EnrollData2324,'2324 Jun 24 Enroll'!D$1,FALSE)*Apport_M802324+VLOOKUP($A152,EnrollData2324,'2324 Jun 24 Enroll'!M$1,FALSE)*Apport_M802324+(VLOOKUP($A152,EnrollData2324,'2324 Jun 24 Enroll'!P$1,FALSE)+VLOOKUP($A152,EnrollData2324,'2324 Jun 24 Enroll'!Q$1,FALSE)+VLOOKUP($A152,EnrollData2324,'2324 Jun 24 Enroll'!R$1,FALSE)+VLOOKUP($A152,EnrollData2324,'2324 Jun 24 Enroll'!I$1,FALSE)+VLOOKUP($A152,EnrollData2324,'2324 Jun 24 Enroll'!N$1,FALSE)+VLOOKUP($A152,EnrollData2324,'2324 Jun 24 Enroll'!O$1,FALSE)+VLOOKUP($A152,EnrollData2324,'2324 Jun 24 Enroll'!K$1,FALSE)+VLOOKUP($A152,EnrollData2324,'2324 Jun 24 Enroll'!L$1,FALSE))*Apport_M812324)/(VLOOKUP($A152,EnrollData2324,'2324 Jun 24 Enroll'!M$1,FALSE)+VLOOKUP($A152,EnrollData2324,'2324 Jun 24 Enroll'!D$1,FALSE)),2)</f>
        <v>1483.44</v>
      </c>
      <c r="AS152" s="7">
        <f t="shared" si="47"/>
        <v>9556.3000000000011</v>
      </c>
    </row>
    <row r="153" spans="1:45">
      <c r="A153" s="40" t="s">
        <v>440</v>
      </c>
      <c r="B153" s="40" t="s">
        <v>441</v>
      </c>
      <c r="C153" s="11">
        <f>ROUND((IFERROR((1/IF(VLOOKUP($A153,EnrollData2324,28,FALSE)='District Calculations'!$B$10,VLOOKUP($A153,EnrollData2324,28,FALSE),'District Calculations'!$B$10))*(1+Apport_Z315),0))+Apport_201A2324,6)</f>
        <v>7.3449E-2</v>
      </c>
      <c r="D153">
        <f>ROUND(IF(VLOOKUP($A153,EnrollData2324,'2324 Jun 24 Enroll'!D$1,FALSE)='District Calculations'!$B$11,VLOOKUP($A153,EnrollData2324,'2324 Jun 24 Enroll'!D$1,FALSE),'District Calculations'!$B$11)*C153,3)</f>
        <v>0</v>
      </c>
      <c r="E153">
        <f>ROUND(IF(VLOOKUP($A153,EnrollData2324,'2324 Jun 24 Enroll'!E$1,FALSE)='District Calculations'!$B$12,VLOOKUP($A153,EnrollData2324,'2324 Jun 24 Enroll'!E$1,FALSE),'District Calculations'!$B$12)*C153,3)</f>
        <v>59.53</v>
      </c>
      <c r="F153">
        <f>ROUND(IF(VLOOKUP($A153,EnrollData2324,'2324 Jun 24 Enroll'!F$1,FALSE)='District Calculations'!$B$13,VLOOKUP($A153,EnrollData2324,'2324 Jun 24 Enroll'!F$1,FALSE),'District Calculations'!$B$13)*Apport_222A2324,3)</f>
        <v>10.101000000000001</v>
      </c>
      <c r="G153">
        <f>ROUND(IF(VLOOKUP($A153,EnrollData2324,'2324 Jun 24 Enroll'!G$1,FALSE)='District Calculations'!$B$14,VLOOKUP($A153,EnrollData2324,'2324 Jun 24 Enroll'!G$1,FALSE),'District Calculations'!$B$14)*Apport_210A2324,3)</f>
        <v>22.395</v>
      </c>
      <c r="H153">
        <f>ROUND(IF(VLOOKUP($A153,EnrollData2324,'2324 Jun 24 Enroll'!H$1,FALSE)='District Calculations'!$B$15,VLOOKUP($A153,EnrollData2324,'2324 Jun 24 Enroll'!H$1,FALSE),'District Calculations'!$B$15)*Apport_213A2324,3)</f>
        <v>23.091999999999999</v>
      </c>
      <c r="I153">
        <f>ROUND(IF(VLOOKUP($A153,EnrollData2324,'2324 Jun 24 Enroll'!I$1,FALSE)+VLOOKUP($A153,EnrollData2324,'2324 Jun 24 Enroll'!M$1,FALSE)-VLOOKUP($A153,EnrollData2324,'2324 Jun 24 Enroll'!J$1,FALSE)='District Calculations'!$B$16+'District Calculations'!$B$25-'District Calculations'!$B$17,VLOOKUP($A153,EnrollData2324,'2324 Jun 24 Enroll'!I$1,FALSE)+VLOOKUP($A153,EnrollData2324,'2324 Jun 24 Enroll'!M$1,FALSE)-VLOOKUP($A153,EnrollData2324,'2324 Jun 24 Enroll'!J$1,FALSE),'District Calculations'!$B$16+'District Calculations'!$B$25-'District Calculations'!$B$17)*Apport_216A2324,3)</f>
        <v>58.183999999999997</v>
      </c>
      <c r="J153">
        <f>ROUND(SUM(D153:I153)/(IF(VLOOKUP($A153,EnrollData2324,'2324 Jun 24 Enroll'!M$1,FALSE)='District Calculations'!$B$25,VLOOKUP($A153,EnrollData2324,'2324 Jun 24 Enroll'!M$1,FALSE),'District Calculations'!$B$25)+IF(VLOOKUP($A153,EnrollData2324,'2324 Jun 24 Enroll'!D$1,FALSE)='District Calculations'!$B$11,VLOOKUP($A153,EnrollData2324,'2324 Jun 24 Enroll'!D$1,FALSE),'District Calculations'!$B$11)),5)</f>
        <v>5.5530000000000003E-2</v>
      </c>
      <c r="K153" s="11">
        <f t="shared" si="37"/>
        <v>4.365E-3</v>
      </c>
      <c r="L153">
        <f>ROUND(IF(VLOOKUP($A153,EnrollData2324,'2324 Jun 24 Enroll'!D$1,FALSE)='District Calculations'!$B$11,VLOOKUP($A153,EnrollData2324,'2324 Jun 24 Enroll'!D$1,FALSE),'District Calculations'!$B$11)*K153,3)</f>
        <v>0</v>
      </c>
      <c r="M153">
        <f>ROUND(IF(VLOOKUP($A153,EnrollData2324,'2324 Jun 24 Enroll'!E$1,FALSE)='District Calculations'!$B$12,VLOOKUP($A153,EnrollData2324,'2324 Jun 24 Enroll'!E$1,FALSE),'District Calculations'!$B$12)*K153,3)</f>
        <v>3.5379999999999998</v>
      </c>
      <c r="N153">
        <f>ROUND(IF(VLOOKUP($A153,EnrollData2324,'2324 Jun 24 Enroll'!F$1,FALSE)='District Calculations'!$B$13,VLOOKUP($A153,EnrollData2324,'2324 Jun 24 Enroll'!F$1,FALSE),'District Calculations'!$B$13)*Apport_223A2324,3)</f>
        <v>0.84199999999999997</v>
      </c>
      <c r="O153">
        <f>ROUND(IF(VLOOKUP($A153,EnrollData2324,'2324 Jun 24 Enroll'!G$1,FALSE)='District Calculations'!$B$14,VLOOKUP($A153,EnrollData2324,'2324 Jun 24 Enroll'!G$1,FALSE),'District Calculations'!$B$14)*Apport_211A2324,3)</f>
        <v>1.867</v>
      </c>
      <c r="P153">
        <f>ROUND(IF(VLOOKUP($A153,EnrollData2324,'2324 Jun 24 Enroll'!H$1,FALSE)='District Calculations'!$B$14,VLOOKUP($A153,EnrollData2324,'2324 Jun 24 Enroll'!H$1,FALSE),'District Calculations'!$B$14)*Apport_214A2324,3)</f>
        <v>1.8660000000000001</v>
      </c>
      <c r="Q153">
        <f>ROUND(IF(VLOOKUP($A153,EnrollData2324,'2324 Jun 24 Enroll'!I$1,FALSE)+VLOOKUP($A153,EnrollData2324,'2324 Jun 24 Enroll'!M$1,FALSE)-VLOOKUP($A153,EnrollData2324,'2324 Jun 24 Enroll'!J$1,FALSE)='District Calculations'!$B$16+'District Calculations'!$B$25-'District Calculations'!$B$17,VLOOKUP($A153,EnrollData2324,'2324 Jun 24 Enroll'!I$1,FALSE)+VLOOKUP($A153,EnrollData2324,'2324 Jun 24 Enroll'!M$1,FALSE)-VLOOKUP($A153,EnrollData2324,'2324 Jun 24 Enroll'!J$1,FALSE),'District Calculations'!$B$16+'District Calculations'!$B$25-'District Calculations'!$B$17)*Apport_217A2324,3)</f>
        <v>4.6980000000000004</v>
      </c>
      <c r="R153">
        <f>ROUND(SUM(L153:Q153)/IF(VLOOKUP($A153,EnrollData2324,'2324 Jun 24 Enroll'!M$1,FALSE)+VLOOKUP($A153,EnrollData2324,'2324 Jun 24 Enroll'!D$1,FALSE)='District Calculations'!$B$25+'District Calculations'!$B$11,VLOOKUP($A153,EnrollData2324,'2324 Jun 24 Enroll'!M$1,FALSE)+VLOOKUP($A153,EnrollData2324,'2324 Jun 24 Enroll'!D$1,FALSE),'District Calculations'!$B$25+'District Calculations'!$B$11),5)</f>
        <v>4.1000000000000003E-3</v>
      </c>
      <c r="S153" s="11">
        <f t="shared" si="38"/>
        <v>1.8294500000000002E-2</v>
      </c>
      <c r="T153">
        <f>ROUND(IF(VLOOKUP($A153,EnrollData2324,'2324 Jun 24 Enroll'!D$1,FALSE)='District Calculations'!$B$11,VLOOKUP($A153,EnrollData2324,'2324 Jun 24 Enroll'!D$1,FALSE),'District Calculations'!$B$11)*S153,3)</f>
        <v>0</v>
      </c>
      <c r="U153">
        <f>ROUND(IF(VLOOKUP($A153,EnrollData2324,'2324 Jun 24 Enroll'!E$1,FALSE)='District Calculations'!$B$12,VLOOKUP($A153,EnrollData2324,'2324 Jun 24 Enroll'!E$1,FALSE),'District Calculations'!$B$12)*S153,3)</f>
        <v>14.827999999999999</v>
      </c>
      <c r="V153">
        <f>ROUND(IF(VLOOKUP($A153,EnrollData2324,'2324 Jun 24 Enroll'!F$1,FALSE)='District Calculations'!$B$13,VLOOKUP($A153,EnrollData2324,'2324 Jun 24 Enroll'!F$1,FALSE),'District Calculations'!$B$13)*Apport_224A2324,3)</f>
        <v>3.6190000000000002</v>
      </c>
      <c r="W153">
        <f>ROUND(IF(VLOOKUP($A153,EnrollData2324,'2324 Jun 24 Enroll'!G$1,FALSE)='District Calculations'!$B$14,VLOOKUP($A153,EnrollData2324,'2324 Jun 24 Enroll'!G$1,FALSE),'District Calculations'!$B$14)*Apport_212A2324,3)</f>
        <v>8.0239999999999991</v>
      </c>
      <c r="X153">
        <f>ROUND(IF(VLOOKUP($A153,EnrollData2324,'2324 Jun 24 Enroll'!H$1,FALSE)='District Calculations'!$B$14,VLOOKUP($A153,EnrollData2324,'2324 Jun 24 Enroll'!H$1,FALSE),'District Calculations'!$B$14)*Apport_215A2324,3)</f>
        <v>7.9279999999999999</v>
      </c>
      <c r="Y153">
        <f>ROUND(IF(VLOOKUP($A153,EnrollData2324,'2324 Jun 24 Enroll'!I$1,FALSE)+VLOOKUP($A153,EnrollData2324,'2324 Jun 24 Enroll'!M$1,FALSE)-VLOOKUP($A153,EnrollData2324,'2324 Jun 24 Enroll'!J$1,FALSE)='District Calculations'!$B$16+'District Calculations'!$B$25-'District Calculations'!$B$17,VLOOKUP($A153,EnrollData2324,'2324 Jun 24 Enroll'!I$1,FALSE)+VLOOKUP($A153,EnrollData2324,'2324 Jun 24 Enroll'!M$1,FALSE)-VLOOKUP($A153,EnrollData2324,'2324 Jun 24 Enroll'!J$1,FALSE),'District Calculations'!$B$16+'District Calculations'!$B$25-'District Calculations'!$B$17)*Apport_218A2324,3)</f>
        <v>19.917999999999999</v>
      </c>
      <c r="Z153">
        <f>ROUND(SUM(T153:Y153)/IF(VLOOKUP($A153,EnrollData2324,'2324 Jun 24 Enroll'!M$1,FALSE)+VLOOKUP($A153,EnrollData2324,'2324 Jun 24 Enroll'!D$1,FALSE)='District Calculations'!$B$25+'District Calculations'!$B$11,VLOOKUP($A153,EnrollData2324,'2324 Jun 24 Enroll'!M$1,FALSE)+VLOOKUP($A153,EnrollData2324,'2324 Jun 24 Enroll'!D$1,FALSE),'District Calculations'!$B$25+'District Calculations'!$B$11),5)</f>
        <v>1.7399999999999999E-2</v>
      </c>
      <c r="AA153" s="6">
        <f>ROUND($J153*CIS_Base_Salary2324*VLOOKUP($A153,EnrollData2324,'2324 Jun 24 Enroll'!S$1,FALSE),2)</f>
        <v>4523.22</v>
      </c>
      <c r="AB153" s="6">
        <f>ROUND($J153*CIS_Inc_Salary2324*(VLOOKUP($A153,EnrollData2324,'2324 Jun 24 Enroll'!T$1,FALSE)+VLOOKUP($A153,EnrollData2324,'2324 Jun 24 Enroll'!U$1,FALSE)),2)-AA153</f>
        <v>167.35999999999967</v>
      </c>
      <c r="AC153" s="6">
        <f>ROUND($R153*CAS_Base_Salary2324*VLOOKUP($A153,EnrollData2324,'2324 Jun 24 Enroll'!S$1,FALSE),2)</f>
        <v>495.73</v>
      </c>
      <c r="AD153" s="6">
        <f>ROUND($R153*CAS_Inc_Salary2324*VLOOKUP($A153,EnrollData2324,'2324 Jun 24 Enroll'!T$1,FALSE),2)-AC153</f>
        <v>18.340000000000032</v>
      </c>
      <c r="AE153" s="6">
        <f>ROUND($Z153*CLS_Base_Salary2324*VLOOKUP($A153,EnrollData2324,'2324 Jun 24 Enroll'!S$1,FALSE),2)</f>
        <v>1016.75</v>
      </c>
      <c r="AF153" s="6">
        <f>ROUND($Z153*CLS_Inc_Salary2324*VLOOKUP($A153,EnrollData2324,'2324 Jun 24 Enroll'!T$1,FALSE),2)-AE153</f>
        <v>37.6099999999999</v>
      </c>
      <c r="AG153">
        <f t="shared" si="48"/>
        <v>734.16</v>
      </c>
      <c r="AH153" s="69">
        <f t="shared" si="39"/>
        <v>68.700000000000045</v>
      </c>
      <c r="AI153">
        <f t="shared" si="49"/>
        <v>214.23</v>
      </c>
      <c r="AJ153">
        <f t="shared" si="40"/>
        <v>114.21000000000001</v>
      </c>
      <c r="AK153">
        <f t="shared" si="41"/>
        <v>901.91</v>
      </c>
      <c r="AL153">
        <f t="shared" si="42"/>
        <v>32.18</v>
      </c>
      <c r="AM153">
        <f t="shared" si="43"/>
        <v>224.3</v>
      </c>
      <c r="AN153">
        <f t="shared" si="44"/>
        <v>6.98</v>
      </c>
      <c r="AO153">
        <f>ROUND(($J153*CIS_Inc_Salary2324*(VLOOKUP($A153,EnrollData2324,'2324 Jun 24 Enroll'!T$1,FALSE)+VLOOKUP($A153,EnrollData2324,'2324 Jun 24 Enroll'!U$1,FALSE))/Apport_613Xpd)*Apport_614Xpd,2)</f>
        <v>78.180000000000007</v>
      </c>
      <c r="AP153">
        <f t="shared" si="45"/>
        <v>13.55</v>
      </c>
      <c r="AQ153">
        <f t="shared" si="46"/>
        <v>30.93</v>
      </c>
      <c r="AR153" s="6">
        <f>ROUND((VLOOKUP($A153,EnrollData2324,'2324 Jun 24 Enroll'!D$1,FALSE)*Apport_M802324+VLOOKUP($A153,EnrollData2324,'2324 Jun 24 Enroll'!M$1,FALSE)*Apport_M802324+(VLOOKUP($A153,EnrollData2324,'2324 Jun 24 Enroll'!P$1,FALSE)+VLOOKUP($A153,EnrollData2324,'2324 Jun 24 Enroll'!Q$1,FALSE)+VLOOKUP($A153,EnrollData2324,'2324 Jun 24 Enroll'!R$1,FALSE)+VLOOKUP($A153,EnrollData2324,'2324 Jun 24 Enroll'!I$1,FALSE)+VLOOKUP($A153,EnrollData2324,'2324 Jun 24 Enroll'!N$1,FALSE)+VLOOKUP($A153,EnrollData2324,'2324 Jun 24 Enroll'!O$1,FALSE)+VLOOKUP($A153,EnrollData2324,'2324 Jun 24 Enroll'!K$1,FALSE)+VLOOKUP($A153,EnrollData2324,'2324 Jun 24 Enroll'!L$1,FALSE))*Apport_M812324)/(VLOOKUP($A153,EnrollData2324,'2324 Jun 24 Enroll'!M$1,FALSE)+VLOOKUP($A153,EnrollData2324,'2324 Jun 24 Enroll'!D$1,FALSE)),2)</f>
        <v>1555.81</v>
      </c>
      <c r="AS153" s="7">
        <f t="shared" si="47"/>
        <v>10234.149999999998</v>
      </c>
    </row>
    <row r="154" spans="1:45">
      <c r="A154" s="40" t="s">
        <v>819</v>
      </c>
      <c r="B154" s="40" t="s">
        <v>820</v>
      </c>
      <c r="C154" s="11">
        <f>ROUND((IFERROR((1/IF(VLOOKUP($A154,EnrollData2324,28,FALSE)='District Calculations'!$B$10,VLOOKUP($A154,EnrollData2324,28,FALSE),'District Calculations'!$B$10))*(1+Apport_Z315),0))+Apport_201A2324,6)</f>
        <v>7.3449E-2</v>
      </c>
      <c r="D154">
        <f>ROUND(IF(VLOOKUP($A154,EnrollData2324,'2324 Jun 24 Enroll'!D$1,FALSE)='District Calculations'!$B$11,VLOOKUP($A154,EnrollData2324,'2324 Jun 24 Enroll'!D$1,FALSE),'District Calculations'!$B$11)*C154,3)</f>
        <v>0</v>
      </c>
      <c r="E154">
        <f>ROUND(IF(VLOOKUP($A154,EnrollData2324,'2324 Jun 24 Enroll'!E$1,FALSE)='District Calculations'!$B$12,VLOOKUP($A154,EnrollData2324,'2324 Jun 24 Enroll'!E$1,FALSE),'District Calculations'!$B$12)*C154,3)</f>
        <v>59.53</v>
      </c>
      <c r="F154">
        <f>ROUND(IF(VLOOKUP($A154,EnrollData2324,'2324 Jun 24 Enroll'!F$1,FALSE)='District Calculations'!$B$13,VLOOKUP($A154,EnrollData2324,'2324 Jun 24 Enroll'!F$1,FALSE),'District Calculations'!$B$13)*Apport_222A2324,3)</f>
        <v>10.101000000000001</v>
      </c>
      <c r="G154">
        <f>ROUND(IF(VLOOKUP($A154,EnrollData2324,'2324 Jun 24 Enroll'!G$1,FALSE)='District Calculations'!$B$14,VLOOKUP($A154,EnrollData2324,'2324 Jun 24 Enroll'!G$1,FALSE),'District Calculations'!$B$14)*Apport_210A2324,3)</f>
        <v>22.395</v>
      </c>
      <c r="H154">
        <f>ROUND(IF(VLOOKUP($A154,EnrollData2324,'2324 Jun 24 Enroll'!H$1,FALSE)='District Calculations'!$B$15,VLOOKUP($A154,EnrollData2324,'2324 Jun 24 Enroll'!H$1,FALSE),'District Calculations'!$B$15)*Apport_213A2324,3)</f>
        <v>23.091999999999999</v>
      </c>
      <c r="I154">
        <f>ROUND(IF(VLOOKUP($A154,EnrollData2324,'2324 Jun 24 Enroll'!I$1,FALSE)+VLOOKUP($A154,EnrollData2324,'2324 Jun 24 Enroll'!M$1,FALSE)-VLOOKUP($A154,EnrollData2324,'2324 Jun 24 Enroll'!J$1,FALSE)='District Calculations'!$B$16+'District Calculations'!$B$25-'District Calculations'!$B$17,VLOOKUP($A154,EnrollData2324,'2324 Jun 24 Enroll'!I$1,FALSE)+VLOOKUP($A154,EnrollData2324,'2324 Jun 24 Enroll'!M$1,FALSE)-VLOOKUP($A154,EnrollData2324,'2324 Jun 24 Enroll'!J$1,FALSE),'District Calculations'!$B$16+'District Calculations'!$B$25-'District Calculations'!$B$17)*Apport_216A2324,3)</f>
        <v>58.183999999999997</v>
      </c>
      <c r="J154">
        <f>ROUND(SUM(D154:I154)/(IF(VLOOKUP($A154,EnrollData2324,'2324 Jun 24 Enroll'!M$1,FALSE)='District Calculations'!$B$25,VLOOKUP($A154,EnrollData2324,'2324 Jun 24 Enroll'!M$1,FALSE),'District Calculations'!$B$25)+IF(VLOOKUP($A154,EnrollData2324,'2324 Jun 24 Enroll'!D$1,FALSE)='District Calculations'!$B$11,VLOOKUP($A154,EnrollData2324,'2324 Jun 24 Enroll'!D$1,FALSE),'District Calculations'!$B$11)),5)</f>
        <v>5.5530000000000003E-2</v>
      </c>
      <c r="K154" s="11">
        <f t="shared" si="37"/>
        <v>4.365E-3</v>
      </c>
      <c r="L154">
        <f>ROUND(IF(VLOOKUP($A154,EnrollData2324,'2324 Jun 24 Enroll'!D$1,FALSE)='District Calculations'!$B$11,VLOOKUP($A154,EnrollData2324,'2324 Jun 24 Enroll'!D$1,FALSE),'District Calculations'!$B$11)*K154,3)</f>
        <v>0</v>
      </c>
      <c r="M154">
        <f>ROUND(IF(VLOOKUP($A154,EnrollData2324,'2324 Jun 24 Enroll'!E$1,FALSE)='District Calculations'!$B$12,VLOOKUP($A154,EnrollData2324,'2324 Jun 24 Enroll'!E$1,FALSE),'District Calculations'!$B$12)*K154,3)</f>
        <v>3.5379999999999998</v>
      </c>
      <c r="N154">
        <f>ROUND(IF(VLOOKUP($A154,EnrollData2324,'2324 Jun 24 Enroll'!F$1,FALSE)='District Calculations'!$B$13,VLOOKUP($A154,EnrollData2324,'2324 Jun 24 Enroll'!F$1,FALSE),'District Calculations'!$B$13)*Apport_223A2324,3)</f>
        <v>0.84199999999999997</v>
      </c>
      <c r="O154">
        <f>ROUND(IF(VLOOKUP($A154,EnrollData2324,'2324 Jun 24 Enroll'!G$1,FALSE)='District Calculations'!$B$14,VLOOKUP($A154,EnrollData2324,'2324 Jun 24 Enroll'!G$1,FALSE),'District Calculations'!$B$14)*Apport_211A2324,3)</f>
        <v>1.867</v>
      </c>
      <c r="P154">
        <f>ROUND(IF(VLOOKUP($A154,EnrollData2324,'2324 Jun 24 Enroll'!H$1,FALSE)='District Calculations'!$B$14,VLOOKUP($A154,EnrollData2324,'2324 Jun 24 Enroll'!H$1,FALSE),'District Calculations'!$B$14)*Apport_214A2324,3)</f>
        <v>1.8660000000000001</v>
      </c>
      <c r="Q154">
        <f>ROUND(IF(VLOOKUP($A154,EnrollData2324,'2324 Jun 24 Enroll'!I$1,FALSE)+VLOOKUP($A154,EnrollData2324,'2324 Jun 24 Enroll'!M$1,FALSE)-VLOOKUP($A154,EnrollData2324,'2324 Jun 24 Enroll'!J$1,FALSE)='District Calculations'!$B$16+'District Calculations'!$B$25-'District Calculations'!$B$17,VLOOKUP($A154,EnrollData2324,'2324 Jun 24 Enroll'!I$1,FALSE)+VLOOKUP($A154,EnrollData2324,'2324 Jun 24 Enroll'!M$1,FALSE)-VLOOKUP($A154,EnrollData2324,'2324 Jun 24 Enroll'!J$1,FALSE),'District Calculations'!$B$16+'District Calculations'!$B$25-'District Calculations'!$B$17)*Apport_217A2324,3)</f>
        <v>4.6980000000000004</v>
      </c>
      <c r="R154">
        <f>ROUND(SUM(L154:Q154)/IF(VLOOKUP($A154,EnrollData2324,'2324 Jun 24 Enroll'!M$1,FALSE)+VLOOKUP($A154,EnrollData2324,'2324 Jun 24 Enroll'!D$1,FALSE)='District Calculations'!$B$25+'District Calculations'!$B$11,VLOOKUP($A154,EnrollData2324,'2324 Jun 24 Enroll'!M$1,FALSE)+VLOOKUP($A154,EnrollData2324,'2324 Jun 24 Enroll'!D$1,FALSE),'District Calculations'!$B$25+'District Calculations'!$B$11),5)</f>
        <v>4.1000000000000003E-3</v>
      </c>
      <c r="S154" s="11">
        <f t="shared" si="38"/>
        <v>1.8294500000000002E-2</v>
      </c>
      <c r="T154">
        <f>ROUND(IF(VLOOKUP($A154,EnrollData2324,'2324 Jun 24 Enroll'!D$1,FALSE)='District Calculations'!$B$11,VLOOKUP($A154,EnrollData2324,'2324 Jun 24 Enroll'!D$1,FALSE),'District Calculations'!$B$11)*S154,3)</f>
        <v>0</v>
      </c>
      <c r="U154">
        <f>ROUND(IF(VLOOKUP($A154,EnrollData2324,'2324 Jun 24 Enroll'!E$1,FALSE)='District Calculations'!$B$12,VLOOKUP($A154,EnrollData2324,'2324 Jun 24 Enroll'!E$1,FALSE),'District Calculations'!$B$12)*S154,3)</f>
        <v>14.827999999999999</v>
      </c>
      <c r="V154">
        <f>ROUND(IF(VLOOKUP($A154,EnrollData2324,'2324 Jun 24 Enroll'!F$1,FALSE)='District Calculations'!$B$13,VLOOKUP($A154,EnrollData2324,'2324 Jun 24 Enroll'!F$1,FALSE),'District Calculations'!$B$13)*Apport_224A2324,3)</f>
        <v>3.6190000000000002</v>
      </c>
      <c r="W154">
        <f>ROUND(IF(VLOOKUP($A154,EnrollData2324,'2324 Jun 24 Enroll'!G$1,FALSE)='District Calculations'!$B$14,VLOOKUP($A154,EnrollData2324,'2324 Jun 24 Enroll'!G$1,FALSE),'District Calculations'!$B$14)*Apport_212A2324,3)</f>
        <v>8.0239999999999991</v>
      </c>
      <c r="X154">
        <f>ROUND(IF(VLOOKUP($A154,EnrollData2324,'2324 Jun 24 Enroll'!H$1,FALSE)='District Calculations'!$B$14,VLOOKUP($A154,EnrollData2324,'2324 Jun 24 Enroll'!H$1,FALSE),'District Calculations'!$B$14)*Apport_215A2324,3)</f>
        <v>7.9279999999999999</v>
      </c>
      <c r="Y154">
        <f>ROUND(IF(VLOOKUP($A154,EnrollData2324,'2324 Jun 24 Enroll'!I$1,FALSE)+VLOOKUP($A154,EnrollData2324,'2324 Jun 24 Enroll'!M$1,FALSE)-VLOOKUP($A154,EnrollData2324,'2324 Jun 24 Enroll'!J$1,FALSE)='District Calculations'!$B$16+'District Calculations'!$B$25-'District Calculations'!$B$17,VLOOKUP($A154,EnrollData2324,'2324 Jun 24 Enroll'!I$1,FALSE)+VLOOKUP($A154,EnrollData2324,'2324 Jun 24 Enroll'!M$1,FALSE)-VLOOKUP($A154,EnrollData2324,'2324 Jun 24 Enroll'!J$1,FALSE),'District Calculations'!$B$16+'District Calculations'!$B$25-'District Calculations'!$B$17)*Apport_218A2324,3)</f>
        <v>19.917999999999999</v>
      </c>
      <c r="Z154">
        <f>ROUND(SUM(T154:Y154)/IF(VLOOKUP($A154,EnrollData2324,'2324 Jun 24 Enroll'!M$1,FALSE)+VLOOKUP($A154,EnrollData2324,'2324 Jun 24 Enroll'!D$1,FALSE)='District Calculations'!$B$25+'District Calculations'!$B$11,VLOOKUP($A154,EnrollData2324,'2324 Jun 24 Enroll'!M$1,FALSE)+VLOOKUP($A154,EnrollData2324,'2324 Jun 24 Enroll'!D$1,FALSE),'District Calculations'!$B$25+'District Calculations'!$B$11),5)</f>
        <v>1.7399999999999999E-2</v>
      </c>
      <c r="AA154" s="6">
        <f>ROUND($J154*CIS_Base_Salary2324*VLOOKUP($A154,EnrollData2324,'2324 Jun 24 Enroll'!S$1,FALSE),2)</f>
        <v>4280.8999999999996</v>
      </c>
      <c r="AB154" s="6">
        <f>ROUND($J154*CIS_Inc_Salary2324*(VLOOKUP($A154,EnrollData2324,'2324 Jun 24 Enroll'!T$1,FALSE)+VLOOKUP($A154,EnrollData2324,'2324 Jun 24 Enroll'!U$1,FALSE)),2)-AA154</f>
        <v>158.40000000000055</v>
      </c>
      <c r="AC154" s="6">
        <f>ROUND($R154*CAS_Base_Salary2324*VLOOKUP($A154,EnrollData2324,'2324 Jun 24 Enroll'!S$1,FALSE),2)</f>
        <v>469.17</v>
      </c>
      <c r="AD154" s="6">
        <f>ROUND($R154*CAS_Inc_Salary2324*VLOOKUP($A154,EnrollData2324,'2324 Jun 24 Enroll'!T$1,FALSE),2)-AC154</f>
        <v>17.359999999999957</v>
      </c>
      <c r="AE154" s="6">
        <f>ROUND($Z154*CLS_Base_Salary2324*VLOOKUP($A154,EnrollData2324,'2324 Jun 24 Enroll'!S$1,FALSE),2)</f>
        <v>962.28</v>
      </c>
      <c r="AF154" s="6">
        <f>ROUND($Z154*CLS_Inc_Salary2324*VLOOKUP($A154,EnrollData2324,'2324 Jun 24 Enroll'!T$1,FALSE),2)-AE154</f>
        <v>35.600000000000023</v>
      </c>
      <c r="AG154">
        <f t="shared" si="48"/>
        <v>734.16</v>
      </c>
      <c r="AH154" s="69">
        <f t="shared" si="39"/>
        <v>68.700000000000045</v>
      </c>
      <c r="AI154">
        <f t="shared" si="49"/>
        <v>214.23</v>
      </c>
      <c r="AJ154">
        <f t="shared" si="40"/>
        <v>114.21000000000001</v>
      </c>
      <c r="AK154">
        <f t="shared" si="41"/>
        <v>853.59</v>
      </c>
      <c r="AL154">
        <f t="shared" si="42"/>
        <v>30.46</v>
      </c>
      <c r="AM154">
        <f t="shared" si="43"/>
        <v>212.28</v>
      </c>
      <c r="AN154">
        <f t="shared" si="44"/>
        <v>6.61</v>
      </c>
      <c r="AO154">
        <f>ROUND(($J154*CIS_Inc_Salary2324*(VLOOKUP($A154,EnrollData2324,'2324 Jun 24 Enroll'!T$1,FALSE)+VLOOKUP($A154,EnrollData2324,'2324 Jun 24 Enroll'!U$1,FALSE))/Apport_613Xpd)*Apport_614Xpd,2)</f>
        <v>73.989999999999995</v>
      </c>
      <c r="AP154">
        <f t="shared" si="45"/>
        <v>12.82</v>
      </c>
      <c r="AQ154">
        <f t="shared" si="46"/>
        <v>30.93</v>
      </c>
      <c r="AR154" s="6">
        <f>ROUND((VLOOKUP($A154,EnrollData2324,'2324 Jun 24 Enroll'!D$1,FALSE)*Apport_M802324+VLOOKUP($A154,EnrollData2324,'2324 Jun 24 Enroll'!M$1,FALSE)*Apport_M802324+(VLOOKUP($A154,EnrollData2324,'2324 Jun 24 Enroll'!P$1,FALSE)+VLOOKUP($A154,EnrollData2324,'2324 Jun 24 Enroll'!Q$1,FALSE)+VLOOKUP($A154,EnrollData2324,'2324 Jun 24 Enroll'!R$1,FALSE)+VLOOKUP($A154,EnrollData2324,'2324 Jun 24 Enroll'!I$1,FALSE)+VLOOKUP($A154,EnrollData2324,'2324 Jun 24 Enroll'!N$1,FALSE)+VLOOKUP($A154,EnrollData2324,'2324 Jun 24 Enroll'!O$1,FALSE)+VLOOKUP($A154,EnrollData2324,'2324 Jun 24 Enroll'!K$1,FALSE)+VLOOKUP($A154,EnrollData2324,'2324 Jun 24 Enroll'!L$1,FALSE))*Apport_M812324)/(VLOOKUP($A154,EnrollData2324,'2324 Jun 24 Enroll'!M$1,FALSE)+VLOOKUP($A154,EnrollData2324,'2324 Jun 24 Enroll'!D$1,FALSE)),2)</f>
        <v>1518.44</v>
      </c>
      <c r="AS154" s="7">
        <f t="shared" si="47"/>
        <v>9794.1299999999992</v>
      </c>
    </row>
    <row r="155" spans="1:45">
      <c r="A155" s="40" t="s">
        <v>444</v>
      </c>
      <c r="B155" s="40" t="s">
        <v>445</v>
      </c>
      <c r="C155" s="11">
        <f>ROUND((IFERROR((1/IF(VLOOKUP($A155,EnrollData2324,28,FALSE)='District Calculations'!$B$10,VLOOKUP($A155,EnrollData2324,28,FALSE),'District Calculations'!$B$10))*(1+Apport_Z315),0))+Apport_201A2324,6)</f>
        <v>7.3449E-2</v>
      </c>
      <c r="D155">
        <f>ROUND(IF(VLOOKUP($A155,EnrollData2324,'2324 Jun 24 Enroll'!D$1,FALSE)='District Calculations'!$B$11,VLOOKUP($A155,EnrollData2324,'2324 Jun 24 Enroll'!D$1,FALSE),'District Calculations'!$B$11)*C155,3)</f>
        <v>0</v>
      </c>
      <c r="E155">
        <f>ROUND(IF(VLOOKUP($A155,EnrollData2324,'2324 Jun 24 Enroll'!E$1,FALSE)='District Calculations'!$B$12,VLOOKUP($A155,EnrollData2324,'2324 Jun 24 Enroll'!E$1,FALSE),'District Calculations'!$B$12)*C155,3)</f>
        <v>59.53</v>
      </c>
      <c r="F155">
        <f>ROUND(IF(VLOOKUP($A155,EnrollData2324,'2324 Jun 24 Enroll'!F$1,FALSE)='District Calculations'!$B$13,VLOOKUP($A155,EnrollData2324,'2324 Jun 24 Enroll'!F$1,FALSE),'District Calculations'!$B$13)*Apport_222A2324,3)</f>
        <v>10.101000000000001</v>
      </c>
      <c r="G155">
        <f>ROUND(IF(VLOOKUP($A155,EnrollData2324,'2324 Jun 24 Enroll'!G$1,FALSE)='District Calculations'!$B$14,VLOOKUP($A155,EnrollData2324,'2324 Jun 24 Enroll'!G$1,FALSE),'District Calculations'!$B$14)*Apport_210A2324,3)</f>
        <v>22.395</v>
      </c>
      <c r="H155">
        <f>ROUND(IF(VLOOKUP($A155,EnrollData2324,'2324 Jun 24 Enroll'!H$1,FALSE)='District Calculations'!$B$15,VLOOKUP($A155,EnrollData2324,'2324 Jun 24 Enroll'!H$1,FALSE),'District Calculations'!$B$15)*Apport_213A2324,3)</f>
        <v>23.091999999999999</v>
      </c>
      <c r="I155">
        <f>ROUND(IF(VLOOKUP($A155,EnrollData2324,'2324 Jun 24 Enroll'!I$1,FALSE)+VLOOKUP($A155,EnrollData2324,'2324 Jun 24 Enroll'!M$1,FALSE)-VLOOKUP($A155,EnrollData2324,'2324 Jun 24 Enroll'!J$1,FALSE)='District Calculations'!$B$16+'District Calculations'!$B$25-'District Calculations'!$B$17,VLOOKUP($A155,EnrollData2324,'2324 Jun 24 Enroll'!I$1,FALSE)+VLOOKUP($A155,EnrollData2324,'2324 Jun 24 Enroll'!M$1,FALSE)-VLOOKUP($A155,EnrollData2324,'2324 Jun 24 Enroll'!J$1,FALSE),'District Calculations'!$B$16+'District Calculations'!$B$25-'District Calculations'!$B$17)*Apport_216A2324,3)</f>
        <v>58.183999999999997</v>
      </c>
      <c r="J155">
        <f>ROUND(SUM(D155:I155)/(IF(VLOOKUP($A155,EnrollData2324,'2324 Jun 24 Enroll'!M$1,FALSE)='District Calculations'!$B$25,VLOOKUP($A155,EnrollData2324,'2324 Jun 24 Enroll'!M$1,FALSE),'District Calculations'!$B$25)+IF(VLOOKUP($A155,EnrollData2324,'2324 Jun 24 Enroll'!D$1,FALSE)='District Calculations'!$B$11,VLOOKUP($A155,EnrollData2324,'2324 Jun 24 Enroll'!D$1,FALSE),'District Calculations'!$B$11)),5)</f>
        <v>5.5530000000000003E-2</v>
      </c>
      <c r="K155" s="11">
        <f t="shared" si="37"/>
        <v>4.365E-3</v>
      </c>
      <c r="L155">
        <f>ROUND(IF(VLOOKUP($A155,EnrollData2324,'2324 Jun 24 Enroll'!D$1,FALSE)='District Calculations'!$B$11,VLOOKUP($A155,EnrollData2324,'2324 Jun 24 Enroll'!D$1,FALSE),'District Calculations'!$B$11)*K155,3)</f>
        <v>0</v>
      </c>
      <c r="M155">
        <f>ROUND(IF(VLOOKUP($A155,EnrollData2324,'2324 Jun 24 Enroll'!E$1,FALSE)='District Calculations'!$B$12,VLOOKUP($A155,EnrollData2324,'2324 Jun 24 Enroll'!E$1,FALSE),'District Calculations'!$B$12)*K155,3)</f>
        <v>3.5379999999999998</v>
      </c>
      <c r="N155">
        <f>ROUND(IF(VLOOKUP($A155,EnrollData2324,'2324 Jun 24 Enroll'!F$1,FALSE)='District Calculations'!$B$13,VLOOKUP($A155,EnrollData2324,'2324 Jun 24 Enroll'!F$1,FALSE),'District Calculations'!$B$13)*Apport_223A2324,3)</f>
        <v>0.84199999999999997</v>
      </c>
      <c r="O155">
        <f>ROUND(IF(VLOOKUP($A155,EnrollData2324,'2324 Jun 24 Enroll'!G$1,FALSE)='District Calculations'!$B$14,VLOOKUP($A155,EnrollData2324,'2324 Jun 24 Enroll'!G$1,FALSE),'District Calculations'!$B$14)*Apport_211A2324,3)</f>
        <v>1.867</v>
      </c>
      <c r="P155">
        <f>ROUND(IF(VLOOKUP($A155,EnrollData2324,'2324 Jun 24 Enroll'!H$1,FALSE)='District Calculations'!$B$14,VLOOKUP($A155,EnrollData2324,'2324 Jun 24 Enroll'!H$1,FALSE),'District Calculations'!$B$14)*Apport_214A2324,3)</f>
        <v>1.8660000000000001</v>
      </c>
      <c r="Q155">
        <f>ROUND(IF(VLOOKUP($A155,EnrollData2324,'2324 Jun 24 Enroll'!I$1,FALSE)+VLOOKUP($A155,EnrollData2324,'2324 Jun 24 Enroll'!M$1,FALSE)-VLOOKUP($A155,EnrollData2324,'2324 Jun 24 Enroll'!J$1,FALSE)='District Calculations'!$B$16+'District Calculations'!$B$25-'District Calculations'!$B$17,VLOOKUP($A155,EnrollData2324,'2324 Jun 24 Enroll'!I$1,FALSE)+VLOOKUP($A155,EnrollData2324,'2324 Jun 24 Enroll'!M$1,FALSE)-VLOOKUP($A155,EnrollData2324,'2324 Jun 24 Enroll'!J$1,FALSE),'District Calculations'!$B$16+'District Calculations'!$B$25-'District Calculations'!$B$17)*Apport_217A2324,3)</f>
        <v>4.6980000000000004</v>
      </c>
      <c r="R155">
        <f>ROUND(SUM(L155:Q155)/IF(VLOOKUP($A155,EnrollData2324,'2324 Jun 24 Enroll'!M$1,FALSE)+VLOOKUP($A155,EnrollData2324,'2324 Jun 24 Enroll'!D$1,FALSE)='District Calculations'!$B$25+'District Calculations'!$B$11,VLOOKUP($A155,EnrollData2324,'2324 Jun 24 Enroll'!M$1,FALSE)+VLOOKUP($A155,EnrollData2324,'2324 Jun 24 Enroll'!D$1,FALSE),'District Calculations'!$B$25+'District Calculations'!$B$11),5)</f>
        <v>4.1000000000000003E-3</v>
      </c>
      <c r="S155" s="11">
        <f t="shared" si="38"/>
        <v>1.8294500000000002E-2</v>
      </c>
      <c r="T155">
        <f>ROUND(IF(VLOOKUP($A155,EnrollData2324,'2324 Jun 24 Enroll'!D$1,FALSE)='District Calculations'!$B$11,VLOOKUP($A155,EnrollData2324,'2324 Jun 24 Enroll'!D$1,FALSE),'District Calculations'!$B$11)*S155,3)</f>
        <v>0</v>
      </c>
      <c r="U155">
        <f>ROUND(IF(VLOOKUP($A155,EnrollData2324,'2324 Jun 24 Enroll'!E$1,FALSE)='District Calculations'!$B$12,VLOOKUP($A155,EnrollData2324,'2324 Jun 24 Enroll'!E$1,FALSE),'District Calculations'!$B$12)*S155,3)</f>
        <v>14.827999999999999</v>
      </c>
      <c r="V155">
        <f>ROUND(IF(VLOOKUP($A155,EnrollData2324,'2324 Jun 24 Enroll'!F$1,FALSE)='District Calculations'!$B$13,VLOOKUP($A155,EnrollData2324,'2324 Jun 24 Enroll'!F$1,FALSE),'District Calculations'!$B$13)*Apport_224A2324,3)</f>
        <v>3.6190000000000002</v>
      </c>
      <c r="W155">
        <f>ROUND(IF(VLOOKUP($A155,EnrollData2324,'2324 Jun 24 Enroll'!G$1,FALSE)='District Calculations'!$B$14,VLOOKUP($A155,EnrollData2324,'2324 Jun 24 Enroll'!G$1,FALSE),'District Calculations'!$B$14)*Apport_212A2324,3)</f>
        <v>8.0239999999999991</v>
      </c>
      <c r="X155">
        <f>ROUND(IF(VLOOKUP($A155,EnrollData2324,'2324 Jun 24 Enroll'!H$1,FALSE)='District Calculations'!$B$14,VLOOKUP($A155,EnrollData2324,'2324 Jun 24 Enroll'!H$1,FALSE),'District Calculations'!$B$14)*Apport_215A2324,3)</f>
        <v>7.9279999999999999</v>
      </c>
      <c r="Y155">
        <f>ROUND(IF(VLOOKUP($A155,EnrollData2324,'2324 Jun 24 Enroll'!I$1,FALSE)+VLOOKUP($A155,EnrollData2324,'2324 Jun 24 Enroll'!M$1,FALSE)-VLOOKUP($A155,EnrollData2324,'2324 Jun 24 Enroll'!J$1,FALSE)='District Calculations'!$B$16+'District Calculations'!$B$25-'District Calculations'!$B$17,VLOOKUP($A155,EnrollData2324,'2324 Jun 24 Enroll'!I$1,FALSE)+VLOOKUP($A155,EnrollData2324,'2324 Jun 24 Enroll'!M$1,FALSE)-VLOOKUP($A155,EnrollData2324,'2324 Jun 24 Enroll'!J$1,FALSE),'District Calculations'!$B$16+'District Calculations'!$B$25-'District Calculations'!$B$17)*Apport_218A2324,3)</f>
        <v>19.917999999999999</v>
      </c>
      <c r="Z155">
        <f>ROUND(SUM(T155:Y155)/IF(VLOOKUP($A155,EnrollData2324,'2324 Jun 24 Enroll'!M$1,FALSE)+VLOOKUP($A155,EnrollData2324,'2324 Jun 24 Enroll'!D$1,FALSE)='District Calculations'!$B$25+'District Calculations'!$B$11,VLOOKUP($A155,EnrollData2324,'2324 Jun 24 Enroll'!M$1,FALSE)+VLOOKUP($A155,EnrollData2324,'2324 Jun 24 Enroll'!D$1,FALSE),'District Calculations'!$B$25+'District Calculations'!$B$11),5)</f>
        <v>1.7399999999999999E-2</v>
      </c>
      <c r="AA155" s="6">
        <f>ROUND($J155*CIS_Base_Salary2324*VLOOKUP($A155,EnrollData2324,'2324 Jun 24 Enroll'!S$1,FALSE),2)</f>
        <v>4038.59</v>
      </c>
      <c r="AB155" s="6">
        <f>ROUND($J155*CIS_Inc_Salary2324*(VLOOKUP($A155,EnrollData2324,'2324 Jun 24 Enroll'!T$1,FALSE)+VLOOKUP($A155,EnrollData2324,'2324 Jun 24 Enroll'!U$1,FALSE)),2)-AA155</f>
        <v>149.43000000000029</v>
      </c>
      <c r="AC155" s="6">
        <f>ROUND($R155*CAS_Base_Salary2324*VLOOKUP($A155,EnrollData2324,'2324 Jun 24 Enroll'!S$1,FALSE),2)</f>
        <v>442.62</v>
      </c>
      <c r="AD155" s="6">
        <f>ROUND($R155*CAS_Inc_Salary2324*VLOOKUP($A155,EnrollData2324,'2324 Jun 24 Enroll'!T$1,FALSE),2)-AC155</f>
        <v>16.379999999999995</v>
      </c>
      <c r="AE155" s="6">
        <f>ROUND($Z155*CLS_Base_Salary2324*VLOOKUP($A155,EnrollData2324,'2324 Jun 24 Enroll'!S$1,FALSE),2)</f>
        <v>907.81</v>
      </c>
      <c r="AF155" s="6">
        <f>ROUND($Z155*CLS_Inc_Salary2324*VLOOKUP($A155,EnrollData2324,'2324 Jun 24 Enroll'!T$1,FALSE),2)-AE155</f>
        <v>33.580000000000041</v>
      </c>
      <c r="AG155">
        <f t="shared" si="48"/>
        <v>734.16</v>
      </c>
      <c r="AH155" s="69">
        <f t="shared" si="39"/>
        <v>68.700000000000045</v>
      </c>
      <c r="AI155">
        <f t="shared" si="49"/>
        <v>214.23</v>
      </c>
      <c r="AJ155">
        <f t="shared" si="40"/>
        <v>114.21000000000001</v>
      </c>
      <c r="AK155">
        <f t="shared" si="41"/>
        <v>805.27</v>
      </c>
      <c r="AL155">
        <f t="shared" si="42"/>
        <v>28.73</v>
      </c>
      <c r="AM155">
        <f t="shared" si="43"/>
        <v>200.26</v>
      </c>
      <c r="AN155">
        <f t="shared" si="44"/>
        <v>6.23</v>
      </c>
      <c r="AO155">
        <f>ROUND(($J155*CIS_Inc_Salary2324*(VLOOKUP($A155,EnrollData2324,'2324 Jun 24 Enroll'!T$1,FALSE)+VLOOKUP($A155,EnrollData2324,'2324 Jun 24 Enroll'!U$1,FALSE))/Apport_613Xpd)*Apport_614Xpd,2)</f>
        <v>69.8</v>
      </c>
      <c r="AP155">
        <f t="shared" si="45"/>
        <v>12.1</v>
      </c>
      <c r="AQ155">
        <f t="shared" si="46"/>
        <v>30.93</v>
      </c>
      <c r="AR155" s="6">
        <f>ROUND((VLOOKUP($A155,EnrollData2324,'2324 Jun 24 Enroll'!D$1,FALSE)*Apport_M802324+VLOOKUP($A155,EnrollData2324,'2324 Jun 24 Enroll'!M$1,FALSE)*Apport_M802324+(VLOOKUP($A155,EnrollData2324,'2324 Jun 24 Enroll'!P$1,FALSE)+VLOOKUP($A155,EnrollData2324,'2324 Jun 24 Enroll'!Q$1,FALSE)+VLOOKUP($A155,EnrollData2324,'2324 Jun 24 Enroll'!R$1,FALSE)+VLOOKUP($A155,EnrollData2324,'2324 Jun 24 Enroll'!I$1,FALSE)+VLOOKUP($A155,EnrollData2324,'2324 Jun 24 Enroll'!N$1,FALSE)+VLOOKUP($A155,EnrollData2324,'2324 Jun 24 Enroll'!O$1,FALSE)+VLOOKUP($A155,EnrollData2324,'2324 Jun 24 Enroll'!K$1,FALSE)+VLOOKUP($A155,EnrollData2324,'2324 Jun 24 Enroll'!L$1,FALSE))*Apport_M812324)/(VLOOKUP($A155,EnrollData2324,'2324 Jun 24 Enroll'!M$1,FALSE)+VLOOKUP($A155,EnrollData2324,'2324 Jun 24 Enroll'!D$1,FALSE)),2)</f>
        <v>1548.82</v>
      </c>
      <c r="AS155" s="7">
        <f t="shared" si="47"/>
        <v>9421.85</v>
      </c>
    </row>
    <row r="156" spans="1:45">
      <c r="A156" s="40" t="s">
        <v>532</v>
      </c>
      <c r="B156" s="40" t="s">
        <v>533</v>
      </c>
      <c r="C156" s="11">
        <f>ROUND((IFERROR((1/IF(VLOOKUP($A156,EnrollData2324,28,FALSE)='District Calculations'!$B$10,VLOOKUP($A156,EnrollData2324,28,FALSE),'District Calculations'!$B$10))*(1+Apport_Z315),0))+Apport_201A2324,6)</f>
        <v>7.3449E-2</v>
      </c>
      <c r="D156">
        <f>ROUND(IF(VLOOKUP($A156,EnrollData2324,'2324 Jun 24 Enroll'!D$1,FALSE)='District Calculations'!$B$11,VLOOKUP($A156,EnrollData2324,'2324 Jun 24 Enroll'!D$1,FALSE),'District Calculations'!$B$11)*C156,3)</f>
        <v>0</v>
      </c>
      <c r="E156">
        <f>ROUND(IF(VLOOKUP($A156,EnrollData2324,'2324 Jun 24 Enroll'!E$1,FALSE)='District Calculations'!$B$12,VLOOKUP($A156,EnrollData2324,'2324 Jun 24 Enroll'!E$1,FALSE),'District Calculations'!$B$12)*C156,3)</f>
        <v>59.53</v>
      </c>
      <c r="F156">
        <f>ROUND(IF(VLOOKUP($A156,EnrollData2324,'2324 Jun 24 Enroll'!F$1,FALSE)='District Calculations'!$B$13,VLOOKUP($A156,EnrollData2324,'2324 Jun 24 Enroll'!F$1,FALSE),'District Calculations'!$B$13)*Apport_222A2324,3)</f>
        <v>10.101000000000001</v>
      </c>
      <c r="G156">
        <f>ROUND(IF(VLOOKUP($A156,EnrollData2324,'2324 Jun 24 Enroll'!G$1,FALSE)='District Calculations'!$B$14,VLOOKUP($A156,EnrollData2324,'2324 Jun 24 Enroll'!G$1,FALSE),'District Calculations'!$B$14)*Apport_210A2324,3)</f>
        <v>22.395</v>
      </c>
      <c r="H156">
        <f>ROUND(IF(VLOOKUP($A156,EnrollData2324,'2324 Jun 24 Enroll'!H$1,FALSE)='District Calculations'!$B$15,VLOOKUP($A156,EnrollData2324,'2324 Jun 24 Enroll'!H$1,FALSE),'District Calculations'!$B$15)*Apport_213A2324,3)</f>
        <v>23.091999999999999</v>
      </c>
      <c r="I156">
        <f>ROUND(IF(VLOOKUP($A156,EnrollData2324,'2324 Jun 24 Enroll'!I$1,FALSE)+VLOOKUP($A156,EnrollData2324,'2324 Jun 24 Enroll'!M$1,FALSE)-VLOOKUP($A156,EnrollData2324,'2324 Jun 24 Enroll'!J$1,FALSE)='District Calculations'!$B$16+'District Calculations'!$B$25-'District Calculations'!$B$17,VLOOKUP($A156,EnrollData2324,'2324 Jun 24 Enroll'!I$1,FALSE)+VLOOKUP($A156,EnrollData2324,'2324 Jun 24 Enroll'!M$1,FALSE)-VLOOKUP($A156,EnrollData2324,'2324 Jun 24 Enroll'!J$1,FALSE),'District Calculations'!$B$16+'District Calculations'!$B$25-'District Calculations'!$B$17)*Apport_216A2324,3)</f>
        <v>58.183999999999997</v>
      </c>
      <c r="J156">
        <f>ROUND(SUM(D156:I156)/(IF(VLOOKUP($A156,EnrollData2324,'2324 Jun 24 Enroll'!M$1,FALSE)='District Calculations'!$B$25,VLOOKUP($A156,EnrollData2324,'2324 Jun 24 Enroll'!M$1,FALSE),'District Calculations'!$B$25)+IF(VLOOKUP($A156,EnrollData2324,'2324 Jun 24 Enroll'!D$1,FALSE)='District Calculations'!$B$11,VLOOKUP($A156,EnrollData2324,'2324 Jun 24 Enroll'!D$1,FALSE),'District Calculations'!$B$11)),5)</f>
        <v>5.5530000000000003E-2</v>
      </c>
      <c r="K156" s="11">
        <f t="shared" si="37"/>
        <v>4.365E-3</v>
      </c>
      <c r="L156">
        <f>ROUND(IF(VLOOKUP($A156,EnrollData2324,'2324 Jun 24 Enroll'!D$1,FALSE)='District Calculations'!$B$11,VLOOKUP($A156,EnrollData2324,'2324 Jun 24 Enroll'!D$1,FALSE),'District Calculations'!$B$11)*K156,3)</f>
        <v>0</v>
      </c>
      <c r="M156">
        <f>ROUND(IF(VLOOKUP($A156,EnrollData2324,'2324 Jun 24 Enroll'!E$1,FALSE)='District Calculations'!$B$12,VLOOKUP($A156,EnrollData2324,'2324 Jun 24 Enroll'!E$1,FALSE),'District Calculations'!$B$12)*K156,3)</f>
        <v>3.5379999999999998</v>
      </c>
      <c r="N156">
        <f>ROUND(IF(VLOOKUP($A156,EnrollData2324,'2324 Jun 24 Enroll'!F$1,FALSE)='District Calculations'!$B$13,VLOOKUP($A156,EnrollData2324,'2324 Jun 24 Enroll'!F$1,FALSE),'District Calculations'!$B$13)*Apport_223A2324,3)</f>
        <v>0.84199999999999997</v>
      </c>
      <c r="O156">
        <f>ROUND(IF(VLOOKUP($A156,EnrollData2324,'2324 Jun 24 Enroll'!G$1,FALSE)='District Calculations'!$B$14,VLOOKUP($A156,EnrollData2324,'2324 Jun 24 Enroll'!G$1,FALSE),'District Calculations'!$B$14)*Apport_211A2324,3)</f>
        <v>1.867</v>
      </c>
      <c r="P156">
        <f>ROUND(IF(VLOOKUP($A156,EnrollData2324,'2324 Jun 24 Enroll'!H$1,FALSE)='District Calculations'!$B$14,VLOOKUP($A156,EnrollData2324,'2324 Jun 24 Enroll'!H$1,FALSE),'District Calculations'!$B$14)*Apport_214A2324,3)</f>
        <v>1.8660000000000001</v>
      </c>
      <c r="Q156">
        <f>ROUND(IF(VLOOKUP($A156,EnrollData2324,'2324 Jun 24 Enroll'!I$1,FALSE)+VLOOKUP($A156,EnrollData2324,'2324 Jun 24 Enroll'!M$1,FALSE)-VLOOKUP($A156,EnrollData2324,'2324 Jun 24 Enroll'!J$1,FALSE)='District Calculations'!$B$16+'District Calculations'!$B$25-'District Calculations'!$B$17,VLOOKUP($A156,EnrollData2324,'2324 Jun 24 Enroll'!I$1,FALSE)+VLOOKUP($A156,EnrollData2324,'2324 Jun 24 Enroll'!M$1,FALSE)-VLOOKUP($A156,EnrollData2324,'2324 Jun 24 Enroll'!J$1,FALSE),'District Calculations'!$B$16+'District Calculations'!$B$25-'District Calculations'!$B$17)*Apport_217A2324,3)</f>
        <v>4.6980000000000004</v>
      </c>
      <c r="R156">
        <f>ROUND(SUM(L156:Q156)/IF(VLOOKUP($A156,EnrollData2324,'2324 Jun 24 Enroll'!M$1,FALSE)+VLOOKUP($A156,EnrollData2324,'2324 Jun 24 Enroll'!D$1,FALSE)='District Calculations'!$B$25+'District Calculations'!$B$11,VLOOKUP($A156,EnrollData2324,'2324 Jun 24 Enroll'!M$1,FALSE)+VLOOKUP($A156,EnrollData2324,'2324 Jun 24 Enroll'!D$1,FALSE),'District Calculations'!$B$25+'District Calculations'!$B$11),5)</f>
        <v>4.1000000000000003E-3</v>
      </c>
      <c r="S156" s="11">
        <f t="shared" si="38"/>
        <v>1.8294500000000002E-2</v>
      </c>
      <c r="T156">
        <f>ROUND(IF(VLOOKUP($A156,EnrollData2324,'2324 Jun 24 Enroll'!D$1,FALSE)='District Calculations'!$B$11,VLOOKUP($A156,EnrollData2324,'2324 Jun 24 Enroll'!D$1,FALSE),'District Calculations'!$B$11)*S156,3)</f>
        <v>0</v>
      </c>
      <c r="U156">
        <f>ROUND(IF(VLOOKUP($A156,EnrollData2324,'2324 Jun 24 Enroll'!E$1,FALSE)='District Calculations'!$B$12,VLOOKUP($A156,EnrollData2324,'2324 Jun 24 Enroll'!E$1,FALSE),'District Calculations'!$B$12)*S156,3)</f>
        <v>14.827999999999999</v>
      </c>
      <c r="V156">
        <f>ROUND(IF(VLOOKUP($A156,EnrollData2324,'2324 Jun 24 Enroll'!F$1,FALSE)='District Calculations'!$B$13,VLOOKUP($A156,EnrollData2324,'2324 Jun 24 Enroll'!F$1,FALSE),'District Calculations'!$B$13)*Apport_224A2324,3)</f>
        <v>3.6190000000000002</v>
      </c>
      <c r="W156">
        <f>ROUND(IF(VLOOKUP($A156,EnrollData2324,'2324 Jun 24 Enroll'!G$1,FALSE)='District Calculations'!$B$14,VLOOKUP($A156,EnrollData2324,'2324 Jun 24 Enroll'!G$1,FALSE),'District Calculations'!$B$14)*Apport_212A2324,3)</f>
        <v>8.0239999999999991</v>
      </c>
      <c r="X156">
        <f>ROUND(IF(VLOOKUP($A156,EnrollData2324,'2324 Jun 24 Enroll'!H$1,FALSE)='District Calculations'!$B$14,VLOOKUP($A156,EnrollData2324,'2324 Jun 24 Enroll'!H$1,FALSE),'District Calculations'!$B$14)*Apport_215A2324,3)</f>
        <v>7.9279999999999999</v>
      </c>
      <c r="Y156">
        <f>ROUND(IF(VLOOKUP($A156,EnrollData2324,'2324 Jun 24 Enroll'!I$1,FALSE)+VLOOKUP($A156,EnrollData2324,'2324 Jun 24 Enroll'!M$1,FALSE)-VLOOKUP($A156,EnrollData2324,'2324 Jun 24 Enroll'!J$1,FALSE)='District Calculations'!$B$16+'District Calculations'!$B$25-'District Calculations'!$B$17,VLOOKUP($A156,EnrollData2324,'2324 Jun 24 Enroll'!I$1,FALSE)+VLOOKUP($A156,EnrollData2324,'2324 Jun 24 Enroll'!M$1,FALSE)-VLOOKUP($A156,EnrollData2324,'2324 Jun 24 Enroll'!J$1,FALSE),'District Calculations'!$B$16+'District Calculations'!$B$25-'District Calculations'!$B$17)*Apport_218A2324,3)</f>
        <v>19.917999999999999</v>
      </c>
      <c r="Z156">
        <f>ROUND(SUM(T156:Y156)/IF(VLOOKUP($A156,EnrollData2324,'2324 Jun 24 Enroll'!M$1,FALSE)+VLOOKUP($A156,EnrollData2324,'2324 Jun 24 Enroll'!D$1,FALSE)='District Calculations'!$B$25+'District Calculations'!$B$11,VLOOKUP($A156,EnrollData2324,'2324 Jun 24 Enroll'!M$1,FALSE)+VLOOKUP($A156,EnrollData2324,'2324 Jun 24 Enroll'!D$1,FALSE),'District Calculations'!$B$25+'District Calculations'!$B$11),5)</f>
        <v>1.7399999999999999E-2</v>
      </c>
      <c r="AA156" s="6">
        <f>ROUND($J156*CIS_Base_Salary2324*VLOOKUP($A156,EnrollData2324,'2324 Jun 24 Enroll'!S$1,FALSE),2)</f>
        <v>4038.59</v>
      </c>
      <c r="AB156" s="6">
        <f>ROUND($J156*CIS_Inc_Salary2324*(VLOOKUP($A156,EnrollData2324,'2324 Jun 24 Enroll'!T$1,FALSE)+VLOOKUP($A156,EnrollData2324,'2324 Jun 24 Enroll'!U$1,FALSE)),2)-AA156</f>
        <v>149.43000000000029</v>
      </c>
      <c r="AC156" s="6">
        <f>ROUND($R156*CAS_Base_Salary2324*VLOOKUP($A156,EnrollData2324,'2324 Jun 24 Enroll'!S$1,FALSE),2)</f>
        <v>442.62</v>
      </c>
      <c r="AD156" s="6">
        <f>ROUND($R156*CAS_Inc_Salary2324*VLOOKUP($A156,EnrollData2324,'2324 Jun 24 Enroll'!T$1,FALSE),2)-AC156</f>
        <v>16.379999999999995</v>
      </c>
      <c r="AE156" s="6">
        <f>ROUND($Z156*CLS_Base_Salary2324*VLOOKUP($A156,EnrollData2324,'2324 Jun 24 Enroll'!S$1,FALSE),2)</f>
        <v>907.81</v>
      </c>
      <c r="AF156" s="6">
        <f>ROUND($Z156*CLS_Inc_Salary2324*VLOOKUP($A156,EnrollData2324,'2324 Jun 24 Enroll'!T$1,FALSE),2)-AE156</f>
        <v>33.580000000000041</v>
      </c>
      <c r="AG156">
        <f t="shared" si="48"/>
        <v>734.16</v>
      </c>
      <c r="AH156" s="69">
        <f t="shared" si="39"/>
        <v>68.700000000000045</v>
      </c>
      <c r="AI156">
        <f t="shared" si="49"/>
        <v>214.23</v>
      </c>
      <c r="AJ156">
        <f t="shared" si="40"/>
        <v>114.21000000000001</v>
      </c>
      <c r="AK156">
        <f t="shared" si="41"/>
        <v>805.27</v>
      </c>
      <c r="AL156">
        <f t="shared" si="42"/>
        <v>28.73</v>
      </c>
      <c r="AM156">
        <f t="shared" si="43"/>
        <v>200.26</v>
      </c>
      <c r="AN156">
        <f t="shared" si="44"/>
        <v>6.23</v>
      </c>
      <c r="AO156">
        <f>ROUND(($J156*CIS_Inc_Salary2324*(VLOOKUP($A156,EnrollData2324,'2324 Jun 24 Enroll'!T$1,FALSE)+VLOOKUP($A156,EnrollData2324,'2324 Jun 24 Enroll'!U$1,FALSE))/Apport_613Xpd)*Apport_614Xpd,2)</f>
        <v>69.8</v>
      </c>
      <c r="AP156">
        <f t="shared" si="45"/>
        <v>12.1</v>
      </c>
      <c r="AQ156">
        <f t="shared" si="46"/>
        <v>30.93</v>
      </c>
      <c r="AR156" s="6">
        <f>ROUND((VLOOKUP($A156,EnrollData2324,'2324 Jun 24 Enroll'!D$1,FALSE)*Apport_M802324+VLOOKUP($A156,EnrollData2324,'2324 Jun 24 Enroll'!M$1,FALSE)*Apport_M802324+(VLOOKUP($A156,EnrollData2324,'2324 Jun 24 Enroll'!P$1,FALSE)+VLOOKUP($A156,EnrollData2324,'2324 Jun 24 Enroll'!Q$1,FALSE)+VLOOKUP($A156,EnrollData2324,'2324 Jun 24 Enroll'!R$1,FALSE)+VLOOKUP($A156,EnrollData2324,'2324 Jun 24 Enroll'!I$1,FALSE)+VLOOKUP($A156,EnrollData2324,'2324 Jun 24 Enroll'!N$1,FALSE)+VLOOKUP($A156,EnrollData2324,'2324 Jun 24 Enroll'!O$1,FALSE)+VLOOKUP($A156,EnrollData2324,'2324 Jun 24 Enroll'!K$1,FALSE)+VLOOKUP($A156,EnrollData2324,'2324 Jun 24 Enroll'!L$1,FALSE))*Apport_M812324)/(VLOOKUP($A156,EnrollData2324,'2324 Jun 24 Enroll'!M$1,FALSE)+VLOOKUP($A156,EnrollData2324,'2324 Jun 24 Enroll'!D$1,FALSE)),2)</f>
        <v>1547.5</v>
      </c>
      <c r="AS156" s="7">
        <f t="shared" si="47"/>
        <v>9420.5299999999988</v>
      </c>
    </row>
    <row r="157" spans="1:45">
      <c r="A157" s="40" t="s">
        <v>386</v>
      </c>
      <c r="B157" s="40" t="s">
        <v>387</v>
      </c>
      <c r="C157" s="11">
        <f>ROUND((IFERROR((1/IF(VLOOKUP($A157,EnrollData2324,28,FALSE)='District Calculations'!$B$10,VLOOKUP($A157,EnrollData2324,28,FALSE),'District Calculations'!$B$10))*(1+Apport_Z315),0))+Apport_201A2324,6)</f>
        <v>7.3449E-2</v>
      </c>
      <c r="D157">
        <f>ROUND(IF(VLOOKUP($A157,EnrollData2324,'2324 Jun 24 Enroll'!D$1,FALSE)='District Calculations'!$B$11,VLOOKUP($A157,EnrollData2324,'2324 Jun 24 Enroll'!D$1,FALSE),'District Calculations'!$B$11)*C157,3)</f>
        <v>0</v>
      </c>
      <c r="E157">
        <f>ROUND(IF(VLOOKUP($A157,EnrollData2324,'2324 Jun 24 Enroll'!E$1,FALSE)='District Calculations'!$B$12,VLOOKUP($A157,EnrollData2324,'2324 Jun 24 Enroll'!E$1,FALSE),'District Calculations'!$B$12)*C157,3)</f>
        <v>59.53</v>
      </c>
      <c r="F157">
        <f>ROUND(IF(VLOOKUP($A157,EnrollData2324,'2324 Jun 24 Enroll'!F$1,FALSE)='District Calculations'!$B$13,VLOOKUP($A157,EnrollData2324,'2324 Jun 24 Enroll'!F$1,FALSE),'District Calculations'!$B$13)*Apport_222A2324,3)</f>
        <v>10.101000000000001</v>
      </c>
      <c r="G157">
        <f>ROUND(IF(VLOOKUP($A157,EnrollData2324,'2324 Jun 24 Enroll'!G$1,FALSE)='District Calculations'!$B$14,VLOOKUP($A157,EnrollData2324,'2324 Jun 24 Enroll'!G$1,FALSE),'District Calculations'!$B$14)*Apport_210A2324,3)</f>
        <v>22.395</v>
      </c>
      <c r="H157">
        <f>ROUND(IF(VLOOKUP($A157,EnrollData2324,'2324 Jun 24 Enroll'!H$1,FALSE)='District Calculations'!$B$15,VLOOKUP($A157,EnrollData2324,'2324 Jun 24 Enroll'!H$1,FALSE),'District Calculations'!$B$15)*Apport_213A2324,3)</f>
        <v>23.091999999999999</v>
      </c>
      <c r="I157">
        <f>ROUND(IF(VLOOKUP($A157,EnrollData2324,'2324 Jun 24 Enroll'!I$1,FALSE)+VLOOKUP($A157,EnrollData2324,'2324 Jun 24 Enroll'!M$1,FALSE)-VLOOKUP($A157,EnrollData2324,'2324 Jun 24 Enroll'!J$1,FALSE)='District Calculations'!$B$16+'District Calculations'!$B$25-'District Calculations'!$B$17,VLOOKUP($A157,EnrollData2324,'2324 Jun 24 Enroll'!I$1,FALSE)+VLOOKUP($A157,EnrollData2324,'2324 Jun 24 Enroll'!M$1,FALSE)-VLOOKUP($A157,EnrollData2324,'2324 Jun 24 Enroll'!J$1,FALSE),'District Calculations'!$B$16+'District Calculations'!$B$25-'District Calculations'!$B$17)*Apport_216A2324,3)</f>
        <v>58.183999999999997</v>
      </c>
      <c r="J157">
        <f>ROUND(SUM(D157:I157)/(IF(VLOOKUP($A157,EnrollData2324,'2324 Jun 24 Enroll'!M$1,FALSE)='District Calculations'!$B$25,VLOOKUP($A157,EnrollData2324,'2324 Jun 24 Enroll'!M$1,FALSE),'District Calculations'!$B$25)+IF(VLOOKUP($A157,EnrollData2324,'2324 Jun 24 Enroll'!D$1,FALSE)='District Calculations'!$B$11,VLOOKUP($A157,EnrollData2324,'2324 Jun 24 Enroll'!D$1,FALSE),'District Calculations'!$B$11)),5)</f>
        <v>5.5530000000000003E-2</v>
      </c>
      <c r="K157" s="11">
        <f t="shared" si="37"/>
        <v>4.365E-3</v>
      </c>
      <c r="L157">
        <f>ROUND(IF(VLOOKUP($A157,EnrollData2324,'2324 Jun 24 Enroll'!D$1,FALSE)='District Calculations'!$B$11,VLOOKUP($A157,EnrollData2324,'2324 Jun 24 Enroll'!D$1,FALSE),'District Calculations'!$B$11)*K157,3)</f>
        <v>0</v>
      </c>
      <c r="M157">
        <f>ROUND(IF(VLOOKUP($A157,EnrollData2324,'2324 Jun 24 Enroll'!E$1,FALSE)='District Calculations'!$B$12,VLOOKUP($A157,EnrollData2324,'2324 Jun 24 Enroll'!E$1,FALSE),'District Calculations'!$B$12)*K157,3)</f>
        <v>3.5379999999999998</v>
      </c>
      <c r="N157">
        <f>ROUND(IF(VLOOKUP($A157,EnrollData2324,'2324 Jun 24 Enroll'!F$1,FALSE)='District Calculations'!$B$13,VLOOKUP($A157,EnrollData2324,'2324 Jun 24 Enroll'!F$1,FALSE),'District Calculations'!$B$13)*Apport_223A2324,3)</f>
        <v>0.84199999999999997</v>
      </c>
      <c r="O157">
        <f>ROUND(IF(VLOOKUP($A157,EnrollData2324,'2324 Jun 24 Enroll'!G$1,FALSE)='District Calculations'!$B$14,VLOOKUP($A157,EnrollData2324,'2324 Jun 24 Enroll'!G$1,FALSE),'District Calculations'!$B$14)*Apport_211A2324,3)</f>
        <v>1.867</v>
      </c>
      <c r="P157">
        <f>ROUND(IF(VLOOKUP($A157,EnrollData2324,'2324 Jun 24 Enroll'!H$1,FALSE)='District Calculations'!$B$14,VLOOKUP($A157,EnrollData2324,'2324 Jun 24 Enroll'!H$1,FALSE),'District Calculations'!$B$14)*Apport_214A2324,3)</f>
        <v>1.8660000000000001</v>
      </c>
      <c r="Q157">
        <f>ROUND(IF(VLOOKUP($A157,EnrollData2324,'2324 Jun 24 Enroll'!I$1,FALSE)+VLOOKUP($A157,EnrollData2324,'2324 Jun 24 Enroll'!M$1,FALSE)-VLOOKUP($A157,EnrollData2324,'2324 Jun 24 Enroll'!J$1,FALSE)='District Calculations'!$B$16+'District Calculations'!$B$25-'District Calculations'!$B$17,VLOOKUP($A157,EnrollData2324,'2324 Jun 24 Enroll'!I$1,FALSE)+VLOOKUP($A157,EnrollData2324,'2324 Jun 24 Enroll'!M$1,FALSE)-VLOOKUP($A157,EnrollData2324,'2324 Jun 24 Enroll'!J$1,FALSE),'District Calculations'!$B$16+'District Calculations'!$B$25-'District Calculations'!$B$17)*Apport_217A2324,3)</f>
        <v>4.6980000000000004</v>
      </c>
      <c r="R157">
        <f>ROUND(SUM(L157:Q157)/IF(VLOOKUP($A157,EnrollData2324,'2324 Jun 24 Enroll'!M$1,FALSE)+VLOOKUP($A157,EnrollData2324,'2324 Jun 24 Enroll'!D$1,FALSE)='District Calculations'!$B$25+'District Calculations'!$B$11,VLOOKUP($A157,EnrollData2324,'2324 Jun 24 Enroll'!M$1,FALSE)+VLOOKUP($A157,EnrollData2324,'2324 Jun 24 Enroll'!D$1,FALSE),'District Calculations'!$B$25+'District Calculations'!$B$11),5)</f>
        <v>4.1000000000000003E-3</v>
      </c>
      <c r="S157" s="11">
        <f t="shared" si="38"/>
        <v>1.8294500000000002E-2</v>
      </c>
      <c r="T157">
        <f>ROUND(IF(VLOOKUP($A157,EnrollData2324,'2324 Jun 24 Enroll'!D$1,FALSE)='District Calculations'!$B$11,VLOOKUP($A157,EnrollData2324,'2324 Jun 24 Enroll'!D$1,FALSE),'District Calculations'!$B$11)*S157,3)</f>
        <v>0</v>
      </c>
      <c r="U157">
        <f>ROUND(IF(VLOOKUP($A157,EnrollData2324,'2324 Jun 24 Enroll'!E$1,FALSE)='District Calculations'!$B$12,VLOOKUP($A157,EnrollData2324,'2324 Jun 24 Enroll'!E$1,FALSE),'District Calculations'!$B$12)*S157,3)</f>
        <v>14.827999999999999</v>
      </c>
      <c r="V157">
        <f>ROUND(IF(VLOOKUP($A157,EnrollData2324,'2324 Jun 24 Enroll'!F$1,FALSE)='District Calculations'!$B$13,VLOOKUP($A157,EnrollData2324,'2324 Jun 24 Enroll'!F$1,FALSE),'District Calculations'!$B$13)*Apport_224A2324,3)</f>
        <v>3.6190000000000002</v>
      </c>
      <c r="W157">
        <f>ROUND(IF(VLOOKUP($A157,EnrollData2324,'2324 Jun 24 Enroll'!G$1,FALSE)='District Calculations'!$B$14,VLOOKUP($A157,EnrollData2324,'2324 Jun 24 Enroll'!G$1,FALSE),'District Calculations'!$B$14)*Apport_212A2324,3)</f>
        <v>8.0239999999999991</v>
      </c>
      <c r="X157">
        <f>ROUND(IF(VLOOKUP($A157,EnrollData2324,'2324 Jun 24 Enroll'!H$1,FALSE)='District Calculations'!$B$14,VLOOKUP($A157,EnrollData2324,'2324 Jun 24 Enroll'!H$1,FALSE),'District Calculations'!$B$14)*Apport_215A2324,3)</f>
        <v>7.9279999999999999</v>
      </c>
      <c r="Y157">
        <f>ROUND(IF(VLOOKUP($A157,EnrollData2324,'2324 Jun 24 Enroll'!I$1,FALSE)+VLOOKUP($A157,EnrollData2324,'2324 Jun 24 Enroll'!M$1,FALSE)-VLOOKUP($A157,EnrollData2324,'2324 Jun 24 Enroll'!J$1,FALSE)='District Calculations'!$B$16+'District Calculations'!$B$25-'District Calculations'!$B$17,VLOOKUP($A157,EnrollData2324,'2324 Jun 24 Enroll'!I$1,FALSE)+VLOOKUP($A157,EnrollData2324,'2324 Jun 24 Enroll'!M$1,FALSE)-VLOOKUP($A157,EnrollData2324,'2324 Jun 24 Enroll'!J$1,FALSE),'District Calculations'!$B$16+'District Calculations'!$B$25-'District Calculations'!$B$17)*Apport_218A2324,3)</f>
        <v>19.917999999999999</v>
      </c>
      <c r="Z157">
        <f>ROUND(SUM(T157:Y157)/IF(VLOOKUP($A157,EnrollData2324,'2324 Jun 24 Enroll'!M$1,FALSE)+VLOOKUP($A157,EnrollData2324,'2324 Jun 24 Enroll'!D$1,FALSE)='District Calculations'!$B$25+'District Calculations'!$B$11,VLOOKUP($A157,EnrollData2324,'2324 Jun 24 Enroll'!M$1,FALSE)+VLOOKUP($A157,EnrollData2324,'2324 Jun 24 Enroll'!D$1,FALSE),'District Calculations'!$B$25+'District Calculations'!$B$11),5)</f>
        <v>1.7399999999999999E-2</v>
      </c>
      <c r="AA157" s="6">
        <f>ROUND($J157*CIS_Base_Salary2324*VLOOKUP($A157,EnrollData2324,'2324 Jun 24 Enroll'!S$1,FALSE),2)</f>
        <v>4280.8999999999996</v>
      </c>
      <c r="AB157" s="6">
        <f>ROUND($J157*CIS_Inc_Salary2324*(VLOOKUP($A157,EnrollData2324,'2324 Jun 24 Enroll'!T$1,FALSE)+VLOOKUP($A157,EnrollData2324,'2324 Jun 24 Enroll'!U$1,FALSE)),2)-AA157</f>
        <v>158.40000000000055</v>
      </c>
      <c r="AC157" s="6">
        <f>ROUND($R157*CAS_Base_Salary2324*VLOOKUP($A157,EnrollData2324,'2324 Jun 24 Enroll'!S$1,FALSE),2)</f>
        <v>469.17</v>
      </c>
      <c r="AD157" s="6">
        <f>ROUND($R157*CAS_Inc_Salary2324*VLOOKUP($A157,EnrollData2324,'2324 Jun 24 Enroll'!T$1,FALSE),2)-AC157</f>
        <v>17.359999999999957</v>
      </c>
      <c r="AE157" s="6">
        <f>ROUND($Z157*CLS_Base_Salary2324*VLOOKUP($A157,EnrollData2324,'2324 Jun 24 Enroll'!S$1,FALSE),2)</f>
        <v>962.28</v>
      </c>
      <c r="AF157" s="6">
        <f>ROUND($Z157*CLS_Inc_Salary2324*VLOOKUP($A157,EnrollData2324,'2324 Jun 24 Enroll'!T$1,FALSE),2)-AE157</f>
        <v>35.600000000000023</v>
      </c>
      <c r="AG157">
        <f t="shared" si="48"/>
        <v>734.16</v>
      </c>
      <c r="AH157" s="69">
        <f t="shared" si="39"/>
        <v>68.700000000000045</v>
      </c>
      <c r="AI157">
        <f t="shared" si="49"/>
        <v>214.23</v>
      </c>
      <c r="AJ157">
        <f t="shared" si="40"/>
        <v>114.21000000000001</v>
      </c>
      <c r="AK157">
        <f t="shared" si="41"/>
        <v>853.59</v>
      </c>
      <c r="AL157">
        <f t="shared" si="42"/>
        <v>30.46</v>
      </c>
      <c r="AM157">
        <f t="shared" si="43"/>
        <v>212.28</v>
      </c>
      <c r="AN157">
        <f t="shared" si="44"/>
        <v>6.61</v>
      </c>
      <c r="AO157">
        <f>ROUND(($J157*CIS_Inc_Salary2324*(VLOOKUP($A157,EnrollData2324,'2324 Jun 24 Enroll'!T$1,FALSE)+VLOOKUP($A157,EnrollData2324,'2324 Jun 24 Enroll'!U$1,FALSE))/Apport_613Xpd)*Apport_614Xpd,2)</f>
        <v>73.989999999999995</v>
      </c>
      <c r="AP157">
        <f t="shared" si="45"/>
        <v>12.82</v>
      </c>
      <c r="AQ157">
        <f t="shared" si="46"/>
        <v>30.93</v>
      </c>
      <c r="AR157" s="6">
        <f>ROUND((VLOOKUP($A157,EnrollData2324,'2324 Jun 24 Enroll'!D$1,FALSE)*Apport_M802324+VLOOKUP($A157,EnrollData2324,'2324 Jun 24 Enroll'!M$1,FALSE)*Apport_M802324+(VLOOKUP($A157,EnrollData2324,'2324 Jun 24 Enroll'!P$1,FALSE)+VLOOKUP($A157,EnrollData2324,'2324 Jun 24 Enroll'!Q$1,FALSE)+VLOOKUP($A157,EnrollData2324,'2324 Jun 24 Enroll'!R$1,FALSE)+VLOOKUP($A157,EnrollData2324,'2324 Jun 24 Enroll'!I$1,FALSE)+VLOOKUP($A157,EnrollData2324,'2324 Jun 24 Enroll'!N$1,FALSE)+VLOOKUP($A157,EnrollData2324,'2324 Jun 24 Enroll'!O$1,FALSE)+VLOOKUP($A157,EnrollData2324,'2324 Jun 24 Enroll'!K$1,FALSE)+VLOOKUP($A157,EnrollData2324,'2324 Jun 24 Enroll'!L$1,FALSE))*Apport_M812324)/(VLOOKUP($A157,EnrollData2324,'2324 Jun 24 Enroll'!M$1,FALSE)+VLOOKUP($A157,EnrollData2324,'2324 Jun 24 Enroll'!D$1,FALSE)),2)</f>
        <v>1546.12</v>
      </c>
      <c r="AS157" s="7">
        <f t="shared" si="47"/>
        <v>9821.8099999999977</v>
      </c>
    </row>
    <row r="158" spans="1:45">
      <c r="A158" s="40" t="s">
        <v>616</v>
      </c>
      <c r="B158" s="40" t="s">
        <v>617</v>
      </c>
      <c r="C158" s="11">
        <f>ROUND((IFERROR((1/IF(VLOOKUP($A158,EnrollData2324,28,FALSE)='District Calculations'!$B$10,VLOOKUP($A158,EnrollData2324,28,FALSE),'District Calculations'!$B$10))*(1+Apport_Z315),0))+Apport_201A2324,6)</f>
        <v>7.3449E-2</v>
      </c>
      <c r="D158">
        <f>ROUND(IF(VLOOKUP($A158,EnrollData2324,'2324 Jun 24 Enroll'!D$1,FALSE)='District Calculations'!$B$11,VLOOKUP($A158,EnrollData2324,'2324 Jun 24 Enroll'!D$1,FALSE),'District Calculations'!$B$11)*C158,3)</f>
        <v>0</v>
      </c>
      <c r="E158">
        <f>ROUND(IF(VLOOKUP($A158,EnrollData2324,'2324 Jun 24 Enroll'!E$1,FALSE)='District Calculations'!$B$12,VLOOKUP($A158,EnrollData2324,'2324 Jun 24 Enroll'!E$1,FALSE),'District Calculations'!$B$12)*C158,3)</f>
        <v>59.53</v>
      </c>
      <c r="F158">
        <f>ROUND(IF(VLOOKUP($A158,EnrollData2324,'2324 Jun 24 Enroll'!F$1,FALSE)='District Calculations'!$B$13,VLOOKUP($A158,EnrollData2324,'2324 Jun 24 Enroll'!F$1,FALSE),'District Calculations'!$B$13)*Apport_222A2324,3)</f>
        <v>10.101000000000001</v>
      </c>
      <c r="G158">
        <f>ROUND(IF(VLOOKUP($A158,EnrollData2324,'2324 Jun 24 Enroll'!G$1,FALSE)='District Calculations'!$B$14,VLOOKUP($A158,EnrollData2324,'2324 Jun 24 Enroll'!G$1,FALSE),'District Calculations'!$B$14)*Apport_210A2324,3)</f>
        <v>22.395</v>
      </c>
      <c r="H158">
        <f>ROUND(IF(VLOOKUP($A158,EnrollData2324,'2324 Jun 24 Enroll'!H$1,FALSE)='District Calculations'!$B$15,VLOOKUP($A158,EnrollData2324,'2324 Jun 24 Enroll'!H$1,FALSE),'District Calculations'!$B$15)*Apport_213A2324,3)</f>
        <v>23.091999999999999</v>
      </c>
      <c r="I158">
        <f>ROUND(IF(VLOOKUP($A158,EnrollData2324,'2324 Jun 24 Enroll'!I$1,FALSE)+VLOOKUP($A158,EnrollData2324,'2324 Jun 24 Enroll'!M$1,FALSE)-VLOOKUP($A158,EnrollData2324,'2324 Jun 24 Enroll'!J$1,FALSE)='District Calculations'!$B$16+'District Calculations'!$B$25-'District Calculations'!$B$17,VLOOKUP($A158,EnrollData2324,'2324 Jun 24 Enroll'!I$1,FALSE)+VLOOKUP($A158,EnrollData2324,'2324 Jun 24 Enroll'!M$1,FALSE)-VLOOKUP($A158,EnrollData2324,'2324 Jun 24 Enroll'!J$1,FALSE),'District Calculations'!$B$16+'District Calculations'!$B$25-'District Calculations'!$B$17)*Apport_216A2324,3)</f>
        <v>58.183999999999997</v>
      </c>
      <c r="J158">
        <f>ROUND(SUM(D158:I158)/(IF(VLOOKUP($A158,EnrollData2324,'2324 Jun 24 Enroll'!M$1,FALSE)='District Calculations'!$B$25,VLOOKUP($A158,EnrollData2324,'2324 Jun 24 Enroll'!M$1,FALSE),'District Calculations'!$B$25)+IF(VLOOKUP($A158,EnrollData2324,'2324 Jun 24 Enroll'!D$1,FALSE)='District Calculations'!$B$11,VLOOKUP($A158,EnrollData2324,'2324 Jun 24 Enroll'!D$1,FALSE),'District Calculations'!$B$11)),5)</f>
        <v>5.5530000000000003E-2</v>
      </c>
      <c r="K158" s="11">
        <f t="shared" si="37"/>
        <v>4.365E-3</v>
      </c>
      <c r="L158">
        <f>ROUND(IF(VLOOKUP($A158,EnrollData2324,'2324 Jun 24 Enroll'!D$1,FALSE)='District Calculations'!$B$11,VLOOKUP($A158,EnrollData2324,'2324 Jun 24 Enroll'!D$1,FALSE),'District Calculations'!$B$11)*K158,3)</f>
        <v>0</v>
      </c>
      <c r="M158">
        <f>ROUND(IF(VLOOKUP($A158,EnrollData2324,'2324 Jun 24 Enroll'!E$1,FALSE)='District Calculations'!$B$12,VLOOKUP($A158,EnrollData2324,'2324 Jun 24 Enroll'!E$1,FALSE),'District Calculations'!$B$12)*K158,3)</f>
        <v>3.5379999999999998</v>
      </c>
      <c r="N158">
        <f>ROUND(IF(VLOOKUP($A158,EnrollData2324,'2324 Jun 24 Enroll'!F$1,FALSE)='District Calculations'!$B$13,VLOOKUP($A158,EnrollData2324,'2324 Jun 24 Enroll'!F$1,FALSE),'District Calculations'!$B$13)*Apport_223A2324,3)</f>
        <v>0.84199999999999997</v>
      </c>
      <c r="O158">
        <f>ROUND(IF(VLOOKUP($A158,EnrollData2324,'2324 Jun 24 Enroll'!G$1,FALSE)='District Calculations'!$B$14,VLOOKUP($A158,EnrollData2324,'2324 Jun 24 Enroll'!G$1,FALSE),'District Calculations'!$B$14)*Apport_211A2324,3)</f>
        <v>1.867</v>
      </c>
      <c r="P158">
        <f>ROUND(IF(VLOOKUP($A158,EnrollData2324,'2324 Jun 24 Enroll'!H$1,FALSE)='District Calculations'!$B$14,VLOOKUP($A158,EnrollData2324,'2324 Jun 24 Enroll'!H$1,FALSE),'District Calculations'!$B$14)*Apport_214A2324,3)</f>
        <v>1.8660000000000001</v>
      </c>
      <c r="Q158">
        <f>ROUND(IF(VLOOKUP($A158,EnrollData2324,'2324 Jun 24 Enroll'!I$1,FALSE)+VLOOKUP($A158,EnrollData2324,'2324 Jun 24 Enroll'!M$1,FALSE)-VLOOKUP($A158,EnrollData2324,'2324 Jun 24 Enroll'!J$1,FALSE)='District Calculations'!$B$16+'District Calculations'!$B$25-'District Calculations'!$B$17,VLOOKUP($A158,EnrollData2324,'2324 Jun 24 Enroll'!I$1,FALSE)+VLOOKUP($A158,EnrollData2324,'2324 Jun 24 Enroll'!M$1,FALSE)-VLOOKUP($A158,EnrollData2324,'2324 Jun 24 Enroll'!J$1,FALSE),'District Calculations'!$B$16+'District Calculations'!$B$25-'District Calculations'!$B$17)*Apport_217A2324,3)</f>
        <v>4.6980000000000004</v>
      </c>
      <c r="R158">
        <f>ROUND(SUM(L158:Q158)/IF(VLOOKUP($A158,EnrollData2324,'2324 Jun 24 Enroll'!M$1,FALSE)+VLOOKUP($A158,EnrollData2324,'2324 Jun 24 Enroll'!D$1,FALSE)='District Calculations'!$B$25+'District Calculations'!$B$11,VLOOKUP($A158,EnrollData2324,'2324 Jun 24 Enroll'!M$1,FALSE)+VLOOKUP($A158,EnrollData2324,'2324 Jun 24 Enroll'!D$1,FALSE),'District Calculations'!$B$25+'District Calculations'!$B$11),5)</f>
        <v>4.1000000000000003E-3</v>
      </c>
      <c r="S158" s="11">
        <f t="shared" si="38"/>
        <v>1.8294500000000002E-2</v>
      </c>
      <c r="T158">
        <f>ROUND(IF(VLOOKUP($A158,EnrollData2324,'2324 Jun 24 Enroll'!D$1,FALSE)='District Calculations'!$B$11,VLOOKUP($A158,EnrollData2324,'2324 Jun 24 Enroll'!D$1,FALSE),'District Calculations'!$B$11)*S158,3)</f>
        <v>0</v>
      </c>
      <c r="U158">
        <f>ROUND(IF(VLOOKUP($A158,EnrollData2324,'2324 Jun 24 Enroll'!E$1,FALSE)='District Calculations'!$B$12,VLOOKUP($A158,EnrollData2324,'2324 Jun 24 Enroll'!E$1,FALSE),'District Calculations'!$B$12)*S158,3)</f>
        <v>14.827999999999999</v>
      </c>
      <c r="V158">
        <f>ROUND(IF(VLOOKUP($A158,EnrollData2324,'2324 Jun 24 Enroll'!F$1,FALSE)='District Calculations'!$B$13,VLOOKUP($A158,EnrollData2324,'2324 Jun 24 Enroll'!F$1,FALSE),'District Calculations'!$B$13)*Apport_224A2324,3)</f>
        <v>3.6190000000000002</v>
      </c>
      <c r="W158">
        <f>ROUND(IF(VLOOKUP($A158,EnrollData2324,'2324 Jun 24 Enroll'!G$1,FALSE)='District Calculations'!$B$14,VLOOKUP($A158,EnrollData2324,'2324 Jun 24 Enroll'!G$1,FALSE),'District Calculations'!$B$14)*Apport_212A2324,3)</f>
        <v>8.0239999999999991</v>
      </c>
      <c r="X158">
        <f>ROUND(IF(VLOOKUP($A158,EnrollData2324,'2324 Jun 24 Enroll'!H$1,FALSE)='District Calculations'!$B$14,VLOOKUP($A158,EnrollData2324,'2324 Jun 24 Enroll'!H$1,FALSE),'District Calculations'!$B$14)*Apport_215A2324,3)</f>
        <v>7.9279999999999999</v>
      </c>
      <c r="Y158">
        <f>ROUND(IF(VLOOKUP($A158,EnrollData2324,'2324 Jun 24 Enroll'!I$1,FALSE)+VLOOKUP($A158,EnrollData2324,'2324 Jun 24 Enroll'!M$1,FALSE)-VLOOKUP($A158,EnrollData2324,'2324 Jun 24 Enroll'!J$1,FALSE)='District Calculations'!$B$16+'District Calculations'!$B$25-'District Calculations'!$B$17,VLOOKUP($A158,EnrollData2324,'2324 Jun 24 Enroll'!I$1,FALSE)+VLOOKUP($A158,EnrollData2324,'2324 Jun 24 Enroll'!M$1,FALSE)-VLOOKUP($A158,EnrollData2324,'2324 Jun 24 Enroll'!J$1,FALSE),'District Calculations'!$B$16+'District Calculations'!$B$25-'District Calculations'!$B$17)*Apport_218A2324,3)</f>
        <v>19.917999999999999</v>
      </c>
      <c r="Z158">
        <f>ROUND(SUM(T158:Y158)/IF(VLOOKUP($A158,EnrollData2324,'2324 Jun 24 Enroll'!M$1,FALSE)+VLOOKUP($A158,EnrollData2324,'2324 Jun 24 Enroll'!D$1,FALSE)='District Calculations'!$B$25+'District Calculations'!$B$11,VLOOKUP($A158,EnrollData2324,'2324 Jun 24 Enroll'!M$1,FALSE)+VLOOKUP($A158,EnrollData2324,'2324 Jun 24 Enroll'!D$1,FALSE),'District Calculations'!$B$25+'District Calculations'!$B$11),5)</f>
        <v>1.7399999999999999E-2</v>
      </c>
      <c r="AA158" s="6">
        <f>ROUND($J158*CIS_Base_Salary2324*VLOOKUP($A158,EnrollData2324,'2324 Jun 24 Enroll'!S$1,FALSE),2)</f>
        <v>4038.59</v>
      </c>
      <c r="AB158" s="6">
        <f>ROUND($J158*CIS_Inc_Salary2324*(VLOOKUP($A158,EnrollData2324,'2324 Jun 24 Enroll'!T$1,FALSE)+VLOOKUP($A158,EnrollData2324,'2324 Jun 24 Enroll'!U$1,FALSE)),2)-AA158</f>
        <v>149.43000000000029</v>
      </c>
      <c r="AC158" s="6">
        <f>ROUND($R158*CAS_Base_Salary2324*VLOOKUP($A158,EnrollData2324,'2324 Jun 24 Enroll'!S$1,FALSE),2)</f>
        <v>442.62</v>
      </c>
      <c r="AD158" s="6">
        <f>ROUND($R158*CAS_Inc_Salary2324*VLOOKUP($A158,EnrollData2324,'2324 Jun 24 Enroll'!T$1,FALSE),2)-AC158</f>
        <v>16.379999999999995</v>
      </c>
      <c r="AE158" s="6">
        <f>ROUND($Z158*CLS_Base_Salary2324*VLOOKUP($A158,EnrollData2324,'2324 Jun 24 Enroll'!S$1,FALSE),2)</f>
        <v>907.81</v>
      </c>
      <c r="AF158" s="6">
        <f>ROUND($Z158*CLS_Inc_Salary2324*VLOOKUP($A158,EnrollData2324,'2324 Jun 24 Enroll'!T$1,FALSE),2)-AE158</f>
        <v>33.580000000000041</v>
      </c>
      <c r="AG158">
        <f t="shared" si="48"/>
        <v>734.16</v>
      </c>
      <c r="AH158" s="69">
        <f t="shared" si="39"/>
        <v>68.700000000000045</v>
      </c>
      <c r="AI158">
        <f t="shared" si="49"/>
        <v>214.23</v>
      </c>
      <c r="AJ158">
        <f t="shared" si="40"/>
        <v>114.21000000000001</v>
      </c>
      <c r="AK158">
        <f t="shared" si="41"/>
        <v>805.27</v>
      </c>
      <c r="AL158">
        <f t="shared" si="42"/>
        <v>28.73</v>
      </c>
      <c r="AM158">
        <f t="shared" si="43"/>
        <v>200.26</v>
      </c>
      <c r="AN158">
        <f t="shared" si="44"/>
        <v>6.23</v>
      </c>
      <c r="AO158">
        <f>ROUND(($J158*CIS_Inc_Salary2324*(VLOOKUP($A158,EnrollData2324,'2324 Jun 24 Enroll'!T$1,FALSE)+VLOOKUP($A158,EnrollData2324,'2324 Jun 24 Enroll'!U$1,FALSE))/Apport_613Xpd)*Apport_614Xpd,2)</f>
        <v>69.8</v>
      </c>
      <c r="AP158">
        <f t="shared" si="45"/>
        <v>12.1</v>
      </c>
      <c r="AQ158">
        <f t="shared" si="46"/>
        <v>30.93</v>
      </c>
      <c r="AR158" s="6">
        <f>ROUND((VLOOKUP($A158,EnrollData2324,'2324 Jun 24 Enroll'!D$1,FALSE)*Apport_M802324+VLOOKUP($A158,EnrollData2324,'2324 Jun 24 Enroll'!M$1,FALSE)*Apport_M802324+(VLOOKUP($A158,EnrollData2324,'2324 Jun 24 Enroll'!P$1,FALSE)+VLOOKUP($A158,EnrollData2324,'2324 Jun 24 Enroll'!Q$1,FALSE)+VLOOKUP($A158,EnrollData2324,'2324 Jun 24 Enroll'!R$1,FALSE)+VLOOKUP($A158,EnrollData2324,'2324 Jun 24 Enroll'!I$1,FALSE)+VLOOKUP($A158,EnrollData2324,'2324 Jun 24 Enroll'!N$1,FALSE)+VLOOKUP($A158,EnrollData2324,'2324 Jun 24 Enroll'!O$1,FALSE)+VLOOKUP($A158,EnrollData2324,'2324 Jun 24 Enroll'!K$1,FALSE)+VLOOKUP($A158,EnrollData2324,'2324 Jun 24 Enroll'!L$1,FALSE))*Apport_M812324)/(VLOOKUP($A158,EnrollData2324,'2324 Jun 24 Enroll'!M$1,FALSE)+VLOOKUP($A158,EnrollData2324,'2324 Jun 24 Enroll'!D$1,FALSE)),2)</f>
        <v>1553.54</v>
      </c>
      <c r="AS158" s="7">
        <f t="shared" si="47"/>
        <v>9426.57</v>
      </c>
    </row>
    <row r="159" spans="1:45">
      <c r="A159" s="40" t="s">
        <v>456</v>
      </c>
      <c r="B159" s="40" t="s">
        <v>457</v>
      </c>
      <c r="C159" s="11">
        <f>ROUND((IFERROR((1/IF(VLOOKUP($A159,EnrollData2324,28,FALSE)='District Calculations'!$B$10,VLOOKUP($A159,EnrollData2324,28,FALSE),'District Calculations'!$B$10))*(1+Apport_Z315),0))+Apport_201A2324,6)</f>
        <v>7.3449E-2</v>
      </c>
      <c r="D159">
        <f>ROUND(IF(VLOOKUP($A159,EnrollData2324,'2324 Jun 24 Enroll'!D$1,FALSE)='District Calculations'!$B$11,VLOOKUP($A159,EnrollData2324,'2324 Jun 24 Enroll'!D$1,FALSE),'District Calculations'!$B$11)*C159,3)</f>
        <v>0</v>
      </c>
      <c r="E159">
        <f>ROUND(IF(VLOOKUP($A159,EnrollData2324,'2324 Jun 24 Enroll'!E$1,FALSE)='District Calculations'!$B$12,VLOOKUP($A159,EnrollData2324,'2324 Jun 24 Enroll'!E$1,FALSE),'District Calculations'!$B$12)*C159,3)</f>
        <v>59.53</v>
      </c>
      <c r="F159">
        <f>ROUND(IF(VLOOKUP($A159,EnrollData2324,'2324 Jun 24 Enroll'!F$1,FALSE)='District Calculations'!$B$13,VLOOKUP($A159,EnrollData2324,'2324 Jun 24 Enroll'!F$1,FALSE),'District Calculations'!$B$13)*Apport_222A2324,3)</f>
        <v>10.101000000000001</v>
      </c>
      <c r="G159">
        <f>ROUND(IF(VLOOKUP($A159,EnrollData2324,'2324 Jun 24 Enroll'!G$1,FALSE)='District Calculations'!$B$14,VLOOKUP($A159,EnrollData2324,'2324 Jun 24 Enroll'!G$1,FALSE),'District Calculations'!$B$14)*Apport_210A2324,3)</f>
        <v>22.395</v>
      </c>
      <c r="H159">
        <f>ROUND(IF(VLOOKUP($A159,EnrollData2324,'2324 Jun 24 Enroll'!H$1,FALSE)='District Calculations'!$B$15,VLOOKUP($A159,EnrollData2324,'2324 Jun 24 Enroll'!H$1,FALSE),'District Calculations'!$B$15)*Apport_213A2324,3)</f>
        <v>23.091999999999999</v>
      </c>
      <c r="I159">
        <f>ROUND(IF(VLOOKUP($A159,EnrollData2324,'2324 Jun 24 Enroll'!I$1,FALSE)+VLOOKUP($A159,EnrollData2324,'2324 Jun 24 Enroll'!M$1,FALSE)-VLOOKUP($A159,EnrollData2324,'2324 Jun 24 Enroll'!J$1,FALSE)='District Calculations'!$B$16+'District Calculations'!$B$25-'District Calculations'!$B$17,VLOOKUP($A159,EnrollData2324,'2324 Jun 24 Enroll'!I$1,FALSE)+VLOOKUP($A159,EnrollData2324,'2324 Jun 24 Enroll'!M$1,FALSE)-VLOOKUP($A159,EnrollData2324,'2324 Jun 24 Enroll'!J$1,FALSE),'District Calculations'!$B$16+'District Calculations'!$B$25-'District Calculations'!$B$17)*Apport_216A2324,3)</f>
        <v>58.183999999999997</v>
      </c>
      <c r="J159">
        <f>ROUND(SUM(D159:I159)/(IF(VLOOKUP($A159,EnrollData2324,'2324 Jun 24 Enroll'!M$1,FALSE)='District Calculations'!$B$25,VLOOKUP($A159,EnrollData2324,'2324 Jun 24 Enroll'!M$1,FALSE),'District Calculations'!$B$25)+IF(VLOOKUP($A159,EnrollData2324,'2324 Jun 24 Enroll'!D$1,FALSE)='District Calculations'!$B$11,VLOOKUP($A159,EnrollData2324,'2324 Jun 24 Enroll'!D$1,FALSE),'District Calculations'!$B$11)),5)</f>
        <v>5.5530000000000003E-2</v>
      </c>
      <c r="K159" s="11">
        <f t="shared" si="37"/>
        <v>4.365E-3</v>
      </c>
      <c r="L159">
        <f>ROUND(IF(VLOOKUP($A159,EnrollData2324,'2324 Jun 24 Enroll'!D$1,FALSE)='District Calculations'!$B$11,VLOOKUP($A159,EnrollData2324,'2324 Jun 24 Enroll'!D$1,FALSE),'District Calculations'!$B$11)*K159,3)</f>
        <v>0</v>
      </c>
      <c r="M159">
        <f>ROUND(IF(VLOOKUP($A159,EnrollData2324,'2324 Jun 24 Enroll'!E$1,FALSE)='District Calculations'!$B$12,VLOOKUP($A159,EnrollData2324,'2324 Jun 24 Enroll'!E$1,FALSE),'District Calculations'!$B$12)*K159,3)</f>
        <v>3.5379999999999998</v>
      </c>
      <c r="N159">
        <f>ROUND(IF(VLOOKUP($A159,EnrollData2324,'2324 Jun 24 Enroll'!F$1,FALSE)='District Calculations'!$B$13,VLOOKUP($A159,EnrollData2324,'2324 Jun 24 Enroll'!F$1,FALSE),'District Calculations'!$B$13)*Apport_223A2324,3)</f>
        <v>0.84199999999999997</v>
      </c>
      <c r="O159">
        <f>ROUND(IF(VLOOKUP($A159,EnrollData2324,'2324 Jun 24 Enroll'!G$1,FALSE)='District Calculations'!$B$14,VLOOKUP($A159,EnrollData2324,'2324 Jun 24 Enroll'!G$1,FALSE),'District Calculations'!$B$14)*Apport_211A2324,3)</f>
        <v>1.867</v>
      </c>
      <c r="P159">
        <f>ROUND(IF(VLOOKUP($A159,EnrollData2324,'2324 Jun 24 Enroll'!H$1,FALSE)='District Calculations'!$B$14,VLOOKUP($A159,EnrollData2324,'2324 Jun 24 Enroll'!H$1,FALSE),'District Calculations'!$B$14)*Apport_214A2324,3)</f>
        <v>1.8660000000000001</v>
      </c>
      <c r="Q159">
        <f>ROUND(IF(VLOOKUP($A159,EnrollData2324,'2324 Jun 24 Enroll'!I$1,FALSE)+VLOOKUP($A159,EnrollData2324,'2324 Jun 24 Enroll'!M$1,FALSE)-VLOOKUP($A159,EnrollData2324,'2324 Jun 24 Enroll'!J$1,FALSE)='District Calculations'!$B$16+'District Calculations'!$B$25-'District Calculations'!$B$17,VLOOKUP($A159,EnrollData2324,'2324 Jun 24 Enroll'!I$1,FALSE)+VLOOKUP($A159,EnrollData2324,'2324 Jun 24 Enroll'!M$1,FALSE)-VLOOKUP($A159,EnrollData2324,'2324 Jun 24 Enroll'!J$1,FALSE),'District Calculations'!$B$16+'District Calculations'!$B$25-'District Calculations'!$B$17)*Apport_217A2324,3)</f>
        <v>4.6980000000000004</v>
      </c>
      <c r="R159">
        <f>ROUND(SUM(L159:Q159)/IF(VLOOKUP($A159,EnrollData2324,'2324 Jun 24 Enroll'!M$1,FALSE)+VLOOKUP($A159,EnrollData2324,'2324 Jun 24 Enroll'!D$1,FALSE)='District Calculations'!$B$25+'District Calculations'!$B$11,VLOOKUP($A159,EnrollData2324,'2324 Jun 24 Enroll'!M$1,FALSE)+VLOOKUP($A159,EnrollData2324,'2324 Jun 24 Enroll'!D$1,FALSE),'District Calculations'!$B$25+'District Calculations'!$B$11),5)</f>
        <v>4.1000000000000003E-3</v>
      </c>
      <c r="S159" s="11">
        <f t="shared" si="38"/>
        <v>1.8294500000000002E-2</v>
      </c>
      <c r="T159">
        <f>ROUND(IF(VLOOKUP($A159,EnrollData2324,'2324 Jun 24 Enroll'!D$1,FALSE)='District Calculations'!$B$11,VLOOKUP($A159,EnrollData2324,'2324 Jun 24 Enroll'!D$1,FALSE),'District Calculations'!$B$11)*S159,3)</f>
        <v>0</v>
      </c>
      <c r="U159">
        <f>ROUND(IF(VLOOKUP($A159,EnrollData2324,'2324 Jun 24 Enroll'!E$1,FALSE)='District Calculations'!$B$12,VLOOKUP($A159,EnrollData2324,'2324 Jun 24 Enroll'!E$1,FALSE),'District Calculations'!$B$12)*S159,3)</f>
        <v>14.827999999999999</v>
      </c>
      <c r="V159">
        <f>ROUND(IF(VLOOKUP($A159,EnrollData2324,'2324 Jun 24 Enroll'!F$1,FALSE)='District Calculations'!$B$13,VLOOKUP($A159,EnrollData2324,'2324 Jun 24 Enroll'!F$1,FALSE),'District Calculations'!$B$13)*Apport_224A2324,3)</f>
        <v>3.6190000000000002</v>
      </c>
      <c r="W159">
        <f>ROUND(IF(VLOOKUP($A159,EnrollData2324,'2324 Jun 24 Enroll'!G$1,FALSE)='District Calculations'!$B$14,VLOOKUP($A159,EnrollData2324,'2324 Jun 24 Enroll'!G$1,FALSE),'District Calculations'!$B$14)*Apport_212A2324,3)</f>
        <v>8.0239999999999991</v>
      </c>
      <c r="X159">
        <f>ROUND(IF(VLOOKUP($A159,EnrollData2324,'2324 Jun 24 Enroll'!H$1,FALSE)='District Calculations'!$B$14,VLOOKUP($A159,EnrollData2324,'2324 Jun 24 Enroll'!H$1,FALSE),'District Calculations'!$B$14)*Apport_215A2324,3)</f>
        <v>7.9279999999999999</v>
      </c>
      <c r="Y159">
        <f>ROUND(IF(VLOOKUP($A159,EnrollData2324,'2324 Jun 24 Enroll'!I$1,FALSE)+VLOOKUP($A159,EnrollData2324,'2324 Jun 24 Enroll'!M$1,FALSE)-VLOOKUP($A159,EnrollData2324,'2324 Jun 24 Enroll'!J$1,FALSE)='District Calculations'!$B$16+'District Calculations'!$B$25-'District Calculations'!$B$17,VLOOKUP($A159,EnrollData2324,'2324 Jun 24 Enroll'!I$1,FALSE)+VLOOKUP($A159,EnrollData2324,'2324 Jun 24 Enroll'!M$1,FALSE)-VLOOKUP($A159,EnrollData2324,'2324 Jun 24 Enroll'!J$1,FALSE),'District Calculations'!$B$16+'District Calculations'!$B$25-'District Calculations'!$B$17)*Apport_218A2324,3)</f>
        <v>19.917999999999999</v>
      </c>
      <c r="Z159">
        <f>ROUND(SUM(T159:Y159)/IF(VLOOKUP($A159,EnrollData2324,'2324 Jun 24 Enroll'!M$1,FALSE)+VLOOKUP($A159,EnrollData2324,'2324 Jun 24 Enroll'!D$1,FALSE)='District Calculations'!$B$25+'District Calculations'!$B$11,VLOOKUP($A159,EnrollData2324,'2324 Jun 24 Enroll'!M$1,FALSE)+VLOOKUP($A159,EnrollData2324,'2324 Jun 24 Enroll'!D$1,FALSE),'District Calculations'!$B$25+'District Calculations'!$B$11),5)</f>
        <v>1.7399999999999999E-2</v>
      </c>
      <c r="AA159" s="6">
        <f>ROUND($J159*CIS_Base_Salary2324*VLOOKUP($A159,EnrollData2324,'2324 Jun 24 Enroll'!S$1,FALSE),2)</f>
        <v>4038.59</v>
      </c>
      <c r="AB159" s="6">
        <f>ROUND($J159*CIS_Inc_Salary2324*(VLOOKUP($A159,EnrollData2324,'2324 Jun 24 Enroll'!T$1,FALSE)+VLOOKUP($A159,EnrollData2324,'2324 Jun 24 Enroll'!U$1,FALSE)),2)-AA159</f>
        <v>149.43000000000029</v>
      </c>
      <c r="AC159" s="6">
        <f>ROUND($R159*CAS_Base_Salary2324*VLOOKUP($A159,EnrollData2324,'2324 Jun 24 Enroll'!S$1,FALSE),2)</f>
        <v>442.62</v>
      </c>
      <c r="AD159" s="6">
        <f>ROUND($R159*CAS_Inc_Salary2324*VLOOKUP($A159,EnrollData2324,'2324 Jun 24 Enroll'!T$1,FALSE),2)-AC159</f>
        <v>16.379999999999995</v>
      </c>
      <c r="AE159" s="6">
        <f>ROUND($Z159*CLS_Base_Salary2324*VLOOKUP($A159,EnrollData2324,'2324 Jun 24 Enroll'!S$1,FALSE),2)</f>
        <v>907.81</v>
      </c>
      <c r="AF159" s="6">
        <f>ROUND($Z159*CLS_Inc_Salary2324*VLOOKUP($A159,EnrollData2324,'2324 Jun 24 Enroll'!T$1,FALSE),2)-AE159</f>
        <v>33.580000000000041</v>
      </c>
      <c r="AG159">
        <f t="shared" si="48"/>
        <v>734.16</v>
      </c>
      <c r="AH159" s="69">
        <f t="shared" si="39"/>
        <v>68.700000000000045</v>
      </c>
      <c r="AI159">
        <f t="shared" si="49"/>
        <v>214.23</v>
      </c>
      <c r="AJ159">
        <f t="shared" si="40"/>
        <v>114.21000000000001</v>
      </c>
      <c r="AK159">
        <f t="shared" si="41"/>
        <v>805.27</v>
      </c>
      <c r="AL159">
        <f t="shared" si="42"/>
        <v>28.73</v>
      </c>
      <c r="AM159">
        <f t="shared" si="43"/>
        <v>200.26</v>
      </c>
      <c r="AN159">
        <f t="shared" si="44"/>
        <v>6.23</v>
      </c>
      <c r="AO159">
        <f>ROUND(($J159*CIS_Inc_Salary2324*(VLOOKUP($A159,EnrollData2324,'2324 Jun 24 Enroll'!T$1,FALSE)+VLOOKUP($A159,EnrollData2324,'2324 Jun 24 Enroll'!U$1,FALSE))/Apport_613Xpd)*Apport_614Xpd,2)</f>
        <v>69.8</v>
      </c>
      <c r="AP159">
        <f t="shared" si="45"/>
        <v>12.1</v>
      </c>
      <c r="AQ159">
        <f t="shared" si="46"/>
        <v>30.93</v>
      </c>
      <c r="AR159" s="6">
        <f>ROUND((VLOOKUP($A159,EnrollData2324,'2324 Jun 24 Enroll'!D$1,FALSE)*Apport_M802324+VLOOKUP($A159,EnrollData2324,'2324 Jun 24 Enroll'!M$1,FALSE)*Apport_M802324+(VLOOKUP($A159,EnrollData2324,'2324 Jun 24 Enroll'!P$1,FALSE)+VLOOKUP($A159,EnrollData2324,'2324 Jun 24 Enroll'!Q$1,FALSE)+VLOOKUP($A159,EnrollData2324,'2324 Jun 24 Enroll'!R$1,FALSE)+VLOOKUP($A159,EnrollData2324,'2324 Jun 24 Enroll'!I$1,FALSE)+VLOOKUP($A159,EnrollData2324,'2324 Jun 24 Enroll'!N$1,FALSE)+VLOOKUP($A159,EnrollData2324,'2324 Jun 24 Enroll'!O$1,FALSE)+VLOOKUP($A159,EnrollData2324,'2324 Jun 24 Enroll'!K$1,FALSE)+VLOOKUP($A159,EnrollData2324,'2324 Jun 24 Enroll'!L$1,FALSE))*Apport_M812324)/(VLOOKUP($A159,EnrollData2324,'2324 Jun 24 Enroll'!M$1,FALSE)+VLOOKUP($A159,EnrollData2324,'2324 Jun 24 Enroll'!D$1,FALSE)),2)</f>
        <v>1483.44</v>
      </c>
      <c r="AS159" s="7">
        <f t="shared" si="47"/>
        <v>9356.4699999999993</v>
      </c>
    </row>
    <row r="160" spans="1:45">
      <c r="A160" s="40" t="s">
        <v>602</v>
      </c>
      <c r="B160" s="40" t="s">
        <v>603</v>
      </c>
      <c r="C160" s="11">
        <f>ROUND((IFERROR((1/IF(VLOOKUP($A160,EnrollData2324,28,FALSE)='District Calculations'!$B$10,VLOOKUP($A160,EnrollData2324,28,FALSE),'District Calculations'!$B$10))*(1+Apport_Z315),0))+Apport_201A2324,6)</f>
        <v>7.3449E-2</v>
      </c>
      <c r="D160">
        <f>ROUND(IF(VLOOKUP($A160,EnrollData2324,'2324 Jun 24 Enroll'!D$1,FALSE)='District Calculations'!$B$11,VLOOKUP($A160,EnrollData2324,'2324 Jun 24 Enroll'!D$1,FALSE),'District Calculations'!$B$11)*C160,3)</f>
        <v>0</v>
      </c>
      <c r="E160">
        <f>ROUND(IF(VLOOKUP($A160,EnrollData2324,'2324 Jun 24 Enroll'!E$1,FALSE)='District Calculations'!$B$12,VLOOKUP($A160,EnrollData2324,'2324 Jun 24 Enroll'!E$1,FALSE),'District Calculations'!$B$12)*C160,3)</f>
        <v>59.53</v>
      </c>
      <c r="F160">
        <f>ROUND(IF(VLOOKUP($A160,EnrollData2324,'2324 Jun 24 Enroll'!F$1,FALSE)='District Calculations'!$B$13,VLOOKUP($A160,EnrollData2324,'2324 Jun 24 Enroll'!F$1,FALSE),'District Calculations'!$B$13)*Apport_222A2324,3)</f>
        <v>10.101000000000001</v>
      </c>
      <c r="G160">
        <f>ROUND(IF(VLOOKUP($A160,EnrollData2324,'2324 Jun 24 Enroll'!G$1,FALSE)='District Calculations'!$B$14,VLOOKUP($A160,EnrollData2324,'2324 Jun 24 Enroll'!G$1,FALSE),'District Calculations'!$B$14)*Apport_210A2324,3)</f>
        <v>22.395</v>
      </c>
      <c r="H160">
        <f>ROUND(IF(VLOOKUP($A160,EnrollData2324,'2324 Jun 24 Enroll'!H$1,FALSE)='District Calculations'!$B$15,VLOOKUP($A160,EnrollData2324,'2324 Jun 24 Enroll'!H$1,FALSE),'District Calculations'!$B$15)*Apport_213A2324,3)</f>
        <v>23.091999999999999</v>
      </c>
      <c r="I160">
        <f>ROUND(IF(VLOOKUP($A160,EnrollData2324,'2324 Jun 24 Enroll'!I$1,FALSE)+VLOOKUP($A160,EnrollData2324,'2324 Jun 24 Enroll'!M$1,FALSE)-VLOOKUP($A160,EnrollData2324,'2324 Jun 24 Enroll'!J$1,FALSE)='District Calculations'!$B$16+'District Calculations'!$B$25-'District Calculations'!$B$17,VLOOKUP($A160,EnrollData2324,'2324 Jun 24 Enroll'!I$1,FALSE)+VLOOKUP($A160,EnrollData2324,'2324 Jun 24 Enroll'!M$1,FALSE)-VLOOKUP($A160,EnrollData2324,'2324 Jun 24 Enroll'!J$1,FALSE),'District Calculations'!$B$16+'District Calculations'!$B$25-'District Calculations'!$B$17)*Apport_216A2324,3)</f>
        <v>58.183999999999997</v>
      </c>
      <c r="J160">
        <f>ROUND(SUM(D160:I160)/(IF(VLOOKUP($A160,EnrollData2324,'2324 Jun 24 Enroll'!M$1,FALSE)='District Calculations'!$B$25,VLOOKUP($A160,EnrollData2324,'2324 Jun 24 Enroll'!M$1,FALSE),'District Calculations'!$B$25)+IF(VLOOKUP($A160,EnrollData2324,'2324 Jun 24 Enroll'!D$1,FALSE)='District Calculations'!$B$11,VLOOKUP($A160,EnrollData2324,'2324 Jun 24 Enroll'!D$1,FALSE),'District Calculations'!$B$11)),5)</f>
        <v>5.5530000000000003E-2</v>
      </c>
      <c r="K160" s="11">
        <f t="shared" si="37"/>
        <v>4.365E-3</v>
      </c>
      <c r="L160">
        <f>ROUND(IF(VLOOKUP($A160,EnrollData2324,'2324 Jun 24 Enroll'!D$1,FALSE)='District Calculations'!$B$11,VLOOKUP($A160,EnrollData2324,'2324 Jun 24 Enroll'!D$1,FALSE),'District Calculations'!$B$11)*K160,3)</f>
        <v>0</v>
      </c>
      <c r="M160">
        <f>ROUND(IF(VLOOKUP($A160,EnrollData2324,'2324 Jun 24 Enroll'!E$1,FALSE)='District Calculations'!$B$12,VLOOKUP($A160,EnrollData2324,'2324 Jun 24 Enroll'!E$1,FALSE),'District Calculations'!$B$12)*K160,3)</f>
        <v>3.5379999999999998</v>
      </c>
      <c r="N160">
        <f>ROUND(IF(VLOOKUP($A160,EnrollData2324,'2324 Jun 24 Enroll'!F$1,FALSE)='District Calculations'!$B$13,VLOOKUP($A160,EnrollData2324,'2324 Jun 24 Enroll'!F$1,FALSE),'District Calculations'!$B$13)*Apport_223A2324,3)</f>
        <v>0.84199999999999997</v>
      </c>
      <c r="O160">
        <f>ROUND(IF(VLOOKUP($A160,EnrollData2324,'2324 Jun 24 Enroll'!G$1,FALSE)='District Calculations'!$B$14,VLOOKUP($A160,EnrollData2324,'2324 Jun 24 Enroll'!G$1,FALSE),'District Calculations'!$B$14)*Apport_211A2324,3)</f>
        <v>1.867</v>
      </c>
      <c r="P160">
        <f>ROUND(IF(VLOOKUP($A160,EnrollData2324,'2324 Jun 24 Enroll'!H$1,FALSE)='District Calculations'!$B$14,VLOOKUP($A160,EnrollData2324,'2324 Jun 24 Enroll'!H$1,FALSE),'District Calculations'!$B$14)*Apport_214A2324,3)</f>
        <v>1.8660000000000001</v>
      </c>
      <c r="Q160">
        <f>ROUND(IF(VLOOKUP($A160,EnrollData2324,'2324 Jun 24 Enroll'!I$1,FALSE)+VLOOKUP($A160,EnrollData2324,'2324 Jun 24 Enroll'!M$1,FALSE)-VLOOKUP($A160,EnrollData2324,'2324 Jun 24 Enroll'!J$1,FALSE)='District Calculations'!$B$16+'District Calculations'!$B$25-'District Calculations'!$B$17,VLOOKUP($A160,EnrollData2324,'2324 Jun 24 Enroll'!I$1,FALSE)+VLOOKUP($A160,EnrollData2324,'2324 Jun 24 Enroll'!M$1,FALSE)-VLOOKUP($A160,EnrollData2324,'2324 Jun 24 Enroll'!J$1,FALSE),'District Calculations'!$B$16+'District Calculations'!$B$25-'District Calculations'!$B$17)*Apport_217A2324,3)</f>
        <v>4.6980000000000004</v>
      </c>
      <c r="R160">
        <f>ROUND(SUM(L160:Q160)/IF(VLOOKUP($A160,EnrollData2324,'2324 Jun 24 Enroll'!M$1,FALSE)+VLOOKUP($A160,EnrollData2324,'2324 Jun 24 Enroll'!D$1,FALSE)='District Calculations'!$B$25+'District Calculations'!$B$11,VLOOKUP($A160,EnrollData2324,'2324 Jun 24 Enroll'!M$1,FALSE)+VLOOKUP($A160,EnrollData2324,'2324 Jun 24 Enroll'!D$1,FALSE),'District Calculations'!$B$25+'District Calculations'!$B$11),5)</f>
        <v>4.1000000000000003E-3</v>
      </c>
      <c r="S160" s="11">
        <f t="shared" si="38"/>
        <v>1.8294500000000002E-2</v>
      </c>
      <c r="T160">
        <f>ROUND(IF(VLOOKUP($A160,EnrollData2324,'2324 Jun 24 Enroll'!D$1,FALSE)='District Calculations'!$B$11,VLOOKUP($A160,EnrollData2324,'2324 Jun 24 Enroll'!D$1,FALSE),'District Calculations'!$B$11)*S160,3)</f>
        <v>0</v>
      </c>
      <c r="U160">
        <f>ROUND(IF(VLOOKUP($A160,EnrollData2324,'2324 Jun 24 Enroll'!E$1,FALSE)='District Calculations'!$B$12,VLOOKUP($A160,EnrollData2324,'2324 Jun 24 Enroll'!E$1,FALSE),'District Calculations'!$B$12)*S160,3)</f>
        <v>14.827999999999999</v>
      </c>
      <c r="V160">
        <f>ROUND(IF(VLOOKUP($A160,EnrollData2324,'2324 Jun 24 Enroll'!F$1,FALSE)='District Calculations'!$B$13,VLOOKUP($A160,EnrollData2324,'2324 Jun 24 Enroll'!F$1,FALSE),'District Calculations'!$B$13)*Apport_224A2324,3)</f>
        <v>3.6190000000000002</v>
      </c>
      <c r="W160">
        <f>ROUND(IF(VLOOKUP($A160,EnrollData2324,'2324 Jun 24 Enroll'!G$1,FALSE)='District Calculations'!$B$14,VLOOKUP($A160,EnrollData2324,'2324 Jun 24 Enroll'!G$1,FALSE),'District Calculations'!$B$14)*Apport_212A2324,3)</f>
        <v>8.0239999999999991</v>
      </c>
      <c r="X160">
        <f>ROUND(IF(VLOOKUP($A160,EnrollData2324,'2324 Jun 24 Enroll'!H$1,FALSE)='District Calculations'!$B$14,VLOOKUP($A160,EnrollData2324,'2324 Jun 24 Enroll'!H$1,FALSE),'District Calculations'!$B$14)*Apport_215A2324,3)</f>
        <v>7.9279999999999999</v>
      </c>
      <c r="Y160">
        <f>ROUND(IF(VLOOKUP($A160,EnrollData2324,'2324 Jun 24 Enroll'!I$1,FALSE)+VLOOKUP($A160,EnrollData2324,'2324 Jun 24 Enroll'!M$1,FALSE)-VLOOKUP($A160,EnrollData2324,'2324 Jun 24 Enroll'!J$1,FALSE)='District Calculations'!$B$16+'District Calculations'!$B$25-'District Calculations'!$B$17,VLOOKUP($A160,EnrollData2324,'2324 Jun 24 Enroll'!I$1,FALSE)+VLOOKUP($A160,EnrollData2324,'2324 Jun 24 Enroll'!M$1,FALSE)-VLOOKUP($A160,EnrollData2324,'2324 Jun 24 Enroll'!J$1,FALSE),'District Calculations'!$B$16+'District Calculations'!$B$25-'District Calculations'!$B$17)*Apport_218A2324,3)</f>
        <v>19.917999999999999</v>
      </c>
      <c r="Z160">
        <f>ROUND(SUM(T160:Y160)/IF(VLOOKUP($A160,EnrollData2324,'2324 Jun 24 Enroll'!M$1,FALSE)+VLOOKUP($A160,EnrollData2324,'2324 Jun 24 Enroll'!D$1,FALSE)='District Calculations'!$B$25+'District Calculations'!$B$11,VLOOKUP($A160,EnrollData2324,'2324 Jun 24 Enroll'!M$1,FALSE)+VLOOKUP($A160,EnrollData2324,'2324 Jun 24 Enroll'!D$1,FALSE),'District Calculations'!$B$25+'District Calculations'!$B$11),5)</f>
        <v>1.7399999999999999E-2</v>
      </c>
      <c r="AA160" s="6">
        <f>ROUND($J160*CIS_Base_Salary2324*VLOOKUP($A160,EnrollData2324,'2324 Jun 24 Enroll'!S$1,FALSE),2)</f>
        <v>4038.59</v>
      </c>
      <c r="AB160" s="6">
        <f>ROUND($J160*CIS_Inc_Salary2324*(VLOOKUP($A160,EnrollData2324,'2324 Jun 24 Enroll'!T$1,FALSE)+VLOOKUP($A160,EnrollData2324,'2324 Jun 24 Enroll'!U$1,FALSE)),2)-AA160</f>
        <v>149.43000000000029</v>
      </c>
      <c r="AC160" s="6">
        <f>ROUND($R160*CAS_Base_Salary2324*VLOOKUP($A160,EnrollData2324,'2324 Jun 24 Enroll'!S$1,FALSE),2)</f>
        <v>442.62</v>
      </c>
      <c r="AD160" s="6">
        <f>ROUND($R160*CAS_Inc_Salary2324*VLOOKUP($A160,EnrollData2324,'2324 Jun 24 Enroll'!T$1,FALSE),2)-AC160</f>
        <v>16.379999999999995</v>
      </c>
      <c r="AE160" s="6">
        <f>ROUND($Z160*CLS_Base_Salary2324*VLOOKUP($A160,EnrollData2324,'2324 Jun 24 Enroll'!S$1,FALSE),2)</f>
        <v>907.81</v>
      </c>
      <c r="AF160" s="6">
        <f>ROUND($Z160*CLS_Inc_Salary2324*VLOOKUP($A160,EnrollData2324,'2324 Jun 24 Enroll'!T$1,FALSE),2)-AE160</f>
        <v>33.580000000000041</v>
      </c>
      <c r="AG160">
        <f t="shared" si="48"/>
        <v>734.16</v>
      </c>
      <c r="AH160" s="69">
        <f t="shared" si="39"/>
        <v>68.700000000000045</v>
      </c>
      <c r="AI160">
        <f t="shared" si="49"/>
        <v>214.23</v>
      </c>
      <c r="AJ160">
        <f t="shared" si="40"/>
        <v>114.21000000000001</v>
      </c>
      <c r="AK160">
        <f t="shared" si="41"/>
        <v>805.27</v>
      </c>
      <c r="AL160">
        <f t="shared" si="42"/>
        <v>28.73</v>
      </c>
      <c r="AM160">
        <f t="shared" si="43"/>
        <v>200.26</v>
      </c>
      <c r="AN160">
        <f t="shared" si="44"/>
        <v>6.23</v>
      </c>
      <c r="AO160">
        <f>ROUND(($J160*CIS_Inc_Salary2324*(VLOOKUP($A160,EnrollData2324,'2324 Jun 24 Enroll'!T$1,FALSE)+VLOOKUP($A160,EnrollData2324,'2324 Jun 24 Enroll'!U$1,FALSE))/Apport_613Xpd)*Apport_614Xpd,2)</f>
        <v>69.8</v>
      </c>
      <c r="AP160">
        <f t="shared" si="45"/>
        <v>12.1</v>
      </c>
      <c r="AQ160">
        <f t="shared" si="46"/>
        <v>30.93</v>
      </c>
      <c r="AR160" s="6">
        <f>ROUND((VLOOKUP($A160,EnrollData2324,'2324 Jun 24 Enroll'!D$1,FALSE)*Apport_M802324+VLOOKUP($A160,EnrollData2324,'2324 Jun 24 Enroll'!M$1,FALSE)*Apport_M802324+(VLOOKUP($A160,EnrollData2324,'2324 Jun 24 Enroll'!P$1,FALSE)+VLOOKUP($A160,EnrollData2324,'2324 Jun 24 Enroll'!Q$1,FALSE)+VLOOKUP($A160,EnrollData2324,'2324 Jun 24 Enroll'!R$1,FALSE)+VLOOKUP($A160,EnrollData2324,'2324 Jun 24 Enroll'!I$1,FALSE)+VLOOKUP($A160,EnrollData2324,'2324 Jun 24 Enroll'!N$1,FALSE)+VLOOKUP($A160,EnrollData2324,'2324 Jun 24 Enroll'!O$1,FALSE)+VLOOKUP($A160,EnrollData2324,'2324 Jun 24 Enroll'!K$1,FALSE)+VLOOKUP($A160,EnrollData2324,'2324 Jun 24 Enroll'!L$1,FALSE))*Apport_M812324)/(VLOOKUP($A160,EnrollData2324,'2324 Jun 24 Enroll'!M$1,FALSE)+VLOOKUP($A160,EnrollData2324,'2324 Jun 24 Enroll'!D$1,FALSE)),2)</f>
        <v>1551.19</v>
      </c>
      <c r="AS160" s="7">
        <f t="shared" si="47"/>
        <v>9424.2199999999993</v>
      </c>
    </row>
    <row r="161" spans="1:45">
      <c r="A161" s="40" t="s">
        <v>598</v>
      </c>
      <c r="B161" s="40" t="s">
        <v>599</v>
      </c>
      <c r="C161" s="11">
        <f>ROUND((IFERROR((1/IF(VLOOKUP($A161,EnrollData2324,28,FALSE)='District Calculations'!$B$10,VLOOKUP($A161,EnrollData2324,28,FALSE),'District Calculations'!$B$10))*(1+Apport_Z315),0))+Apport_201A2324,6)</f>
        <v>7.3449E-2</v>
      </c>
      <c r="D161">
        <f>ROUND(IF(VLOOKUP($A161,EnrollData2324,'2324 Jun 24 Enroll'!D$1,FALSE)='District Calculations'!$B$11,VLOOKUP($A161,EnrollData2324,'2324 Jun 24 Enroll'!D$1,FALSE),'District Calculations'!$B$11)*C161,3)</f>
        <v>0</v>
      </c>
      <c r="E161">
        <f>ROUND(IF(VLOOKUP($A161,EnrollData2324,'2324 Jun 24 Enroll'!E$1,FALSE)='District Calculations'!$B$12,VLOOKUP($A161,EnrollData2324,'2324 Jun 24 Enroll'!E$1,FALSE),'District Calculations'!$B$12)*C161,3)</f>
        <v>59.53</v>
      </c>
      <c r="F161">
        <f>ROUND(IF(VLOOKUP($A161,EnrollData2324,'2324 Jun 24 Enroll'!F$1,FALSE)='District Calculations'!$B$13,VLOOKUP($A161,EnrollData2324,'2324 Jun 24 Enroll'!F$1,FALSE),'District Calculations'!$B$13)*Apport_222A2324,3)</f>
        <v>10.101000000000001</v>
      </c>
      <c r="G161">
        <f>ROUND(IF(VLOOKUP($A161,EnrollData2324,'2324 Jun 24 Enroll'!G$1,FALSE)='District Calculations'!$B$14,VLOOKUP($A161,EnrollData2324,'2324 Jun 24 Enroll'!G$1,FALSE),'District Calculations'!$B$14)*Apport_210A2324,3)</f>
        <v>22.395</v>
      </c>
      <c r="H161">
        <f>ROUND(IF(VLOOKUP($A161,EnrollData2324,'2324 Jun 24 Enroll'!H$1,FALSE)='District Calculations'!$B$15,VLOOKUP($A161,EnrollData2324,'2324 Jun 24 Enroll'!H$1,FALSE),'District Calculations'!$B$15)*Apport_213A2324,3)</f>
        <v>23.091999999999999</v>
      </c>
      <c r="I161">
        <f>ROUND(IF(VLOOKUP($A161,EnrollData2324,'2324 Jun 24 Enroll'!I$1,FALSE)+VLOOKUP($A161,EnrollData2324,'2324 Jun 24 Enroll'!M$1,FALSE)-VLOOKUP($A161,EnrollData2324,'2324 Jun 24 Enroll'!J$1,FALSE)='District Calculations'!$B$16+'District Calculations'!$B$25-'District Calculations'!$B$17,VLOOKUP($A161,EnrollData2324,'2324 Jun 24 Enroll'!I$1,FALSE)+VLOOKUP($A161,EnrollData2324,'2324 Jun 24 Enroll'!M$1,FALSE)-VLOOKUP($A161,EnrollData2324,'2324 Jun 24 Enroll'!J$1,FALSE),'District Calculations'!$B$16+'District Calculations'!$B$25-'District Calculations'!$B$17)*Apport_216A2324,3)</f>
        <v>58.183999999999997</v>
      </c>
      <c r="J161">
        <f>ROUND(SUM(D161:I161)/(IF(VLOOKUP($A161,EnrollData2324,'2324 Jun 24 Enroll'!M$1,FALSE)='District Calculations'!$B$25,VLOOKUP($A161,EnrollData2324,'2324 Jun 24 Enroll'!M$1,FALSE),'District Calculations'!$B$25)+IF(VLOOKUP($A161,EnrollData2324,'2324 Jun 24 Enroll'!D$1,FALSE)='District Calculations'!$B$11,VLOOKUP($A161,EnrollData2324,'2324 Jun 24 Enroll'!D$1,FALSE),'District Calculations'!$B$11)),5)</f>
        <v>5.5530000000000003E-2</v>
      </c>
      <c r="K161" s="11">
        <f t="shared" si="37"/>
        <v>4.365E-3</v>
      </c>
      <c r="L161">
        <f>ROUND(IF(VLOOKUP($A161,EnrollData2324,'2324 Jun 24 Enroll'!D$1,FALSE)='District Calculations'!$B$11,VLOOKUP($A161,EnrollData2324,'2324 Jun 24 Enroll'!D$1,FALSE),'District Calculations'!$B$11)*K161,3)</f>
        <v>0</v>
      </c>
      <c r="M161">
        <f>ROUND(IF(VLOOKUP($A161,EnrollData2324,'2324 Jun 24 Enroll'!E$1,FALSE)='District Calculations'!$B$12,VLOOKUP($A161,EnrollData2324,'2324 Jun 24 Enroll'!E$1,FALSE),'District Calculations'!$B$12)*K161,3)</f>
        <v>3.5379999999999998</v>
      </c>
      <c r="N161">
        <f>ROUND(IF(VLOOKUP($A161,EnrollData2324,'2324 Jun 24 Enroll'!F$1,FALSE)='District Calculations'!$B$13,VLOOKUP($A161,EnrollData2324,'2324 Jun 24 Enroll'!F$1,FALSE),'District Calculations'!$B$13)*Apport_223A2324,3)</f>
        <v>0.84199999999999997</v>
      </c>
      <c r="O161">
        <f>ROUND(IF(VLOOKUP($A161,EnrollData2324,'2324 Jun 24 Enroll'!G$1,FALSE)='District Calculations'!$B$14,VLOOKUP($A161,EnrollData2324,'2324 Jun 24 Enroll'!G$1,FALSE),'District Calculations'!$B$14)*Apport_211A2324,3)</f>
        <v>1.867</v>
      </c>
      <c r="P161">
        <f>ROUND(IF(VLOOKUP($A161,EnrollData2324,'2324 Jun 24 Enroll'!H$1,FALSE)='District Calculations'!$B$14,VLOOKUP($A161,EnrollData2324,'2324 Jun 24 Enroll'!H$1,FALSE),'District Calculations'!$B$14)*Apport_214A2324,3)</f>
        <v>1.8660000000000001</v>
      </c>
      <c r="Q161">
        <f>ROUND(IF(VLOOKUP($A161,EnrollData2324,'2324 Jun 24 Enroll'!I$1,FALSE)+VLOOKUP($A161,EnrollData2324,'2324 Jun 24 Enroll'!M$1,FALSE)-VLOOKUP($A161,EnrollData2324,'2324 Jun 24 Enroll'!J$1,FALSE)='District Calculations'!$B$16+'District Calculations'!$B$25-'District Calculations'!$B$17,VLOOKUP($A161,EnrollData2324,'2324 Jun 24 Enroll'!I$1,FALSE)+VLOOKUP($A161,EnrollData2324,'2324 Jun 24 Enroll'!M$1,FALSE)-VLOOKUP($A161,EnrollData2324,'2324 Jun 24 Enroll'!J$1,FALSE),'District Calculations'!$B$16+'District Calculations'!$B$25-'District Calculations'!$B$17)*Apport_217A2324,3)</f>
        <v>4.6980000000000004</v>
      </c>
      <c r="R161">
        <f>ROUND(SUM(L161:Q161)/IF(VLOOKUP($A161,EnrollData2324,'2324 Jun 24 Enroll'!M$1,FALSE)+VLOOKUP($A161,EnrollData2324,'2324 Jun 24 Enroll'!D$1,FALSE)='District Calculations'!$B$25+'District Calculations'!$B$11,VLOOKUP($A161,EnrollData2324,'2324 Jun 24 Enroll'!M$1,FALSE)+VLOOKUP($A161,EnrollData2324,'2324 Jun 24 Enroll'!D$1,FALSE),'District Calculations'!$B$25+'District Calculations'!$B$11),5)</f>
        <v>4.1000000000000003E-3</v>
      </c>
      <c r="S161" s="11">
        <f t="shared" si="38"/>
        <v>1.8294500000000002E-2</v>
      </c>
      <c r="T161">
        <f>ROUND(IF(VLOOKUP($A161,EnrollData2324,'2324 Jun 24 Enroll'!D$1,FALSE)='District Calculations'!$B$11,VLOOKUP($A161,EnrollData2324,'2324 Jun 24 Enroll'!D$1,FALSE),'District Calculations'!$B$11)*S161,3)</f>
        <v>0</v>
      </c>
      <c r="U161">
        <f>ROUND(IF(VLOOKUP($A161,EnrollData2324,'2324 Jun 24 Enroll'!E$1,FALSE)='District Calculations'!$B$12,VLOOKUP($A161,EnrollData2324,'2324 Jun 24 Enroll'!E$1,FALSE),'District Calculations'!$B$12)*S161,3)</f>
        <v>14.827999999999999</v>
      </c>
      <c r="V161">
        <f>ROUND(IF(VLOOKUP($A161,EnrollData2324,'2324 Jun 24 Enroll'!F$1,FALSE)='District Calculations'!$B$13,VLOOKUP($A161,EnrollData2324,'2324 Jun 24 Enroll'!F$1,FALSE),'District Calculations'!$B$13)*Apport_224A2324,3)</f>
        <v>3.6190000000000002</v>
      </c>
      <c r="W161">
        <f>ROUND(IF(VLOOKUP($A161,EnrollData2324,'2324 Jun 24 Enroll'!G$1,FALSE)='District Calculations'!$B$14,VLOOKUP($A161,EnrollData2324,'2324 Jun 24 Enroll'!G$1,FALSE),'District Calculations'!$B$14)*Apport_212A2324,3)</f>
        <v>8.0239999999999991</v>
      </c>
      <c r="X161">
        <f>ROUND(IF(VLOOKUP($A161,EnrollData2324,'2324 Jun 24 Enroll'!H$1,FALSE)='District Calculations'!$B$14,VLOOKUP($A161,EnrollData2324,'2324 Jun 24 Enroll'!H$1,FALSE),'District Calculations'!$B$14)*Apport_215A2324,3)</f>
        <v>7.9279999999999999</v>
      </c>
      <c r="Y161">
        <f>ROUND(IF(VLOOKUP($A161,EnrollData2324,'2324 Jun 24 Enroll'!I$1,FALSE)+VLOOKUP($A161,EnrollData2324,'2324 Jun 24 Enroll'!M$1,FALSE)-VLOOKUP($A161,EnrollData2324,'2324 Jun 24 Enroll'!J$1,FALSE)='District Calculations'!$B$16+'District Calculations'!$B$25-'District Calculations'!$B$17,VLOOKUP($A161,EnrollData2324,'2324 Jun 24 Enroll'!I$1,FALSE)+VLOOKUP($A161,EnrollData2324,'2324 Jun 24 Enroll'!M$1,FALSE)-VLOOKUP($A161,EnrollData2324,'2324 Jun 24 Enroll'!J$1,FALSE),'District Calculations'!$B$16+'District Calculations'!$B$25-'District Calculations'!$B$17)*Apport_218A2324,3)</f>
        <v>19.917999999999999</v>
      </c>
      <c r="Z161">
        <f>ROUND(SUM(T161:Y161)/IF(VLOOKUP($A161,EnrollData2324,'2324 Jun 24 Enroll'!M$1,FALSE)+VLOOKUP($A161,EnrollData2324,'2324 Jun 24 Enroll'!D$1,FALSE)='District Calculations'!$B$25+'District Calculations'!$B$11,VLOOKUP($A161,EnrollData2324,'2324 Jun 24 Enroll'!M$1,FALSE)+VLOOKUP($A161,EnrollData2324,'2324 Jun 24 Enroll'!D$1,FALSE),'District Calculations'!$B$25+'District Calculations'!$B$11),5)</f>
        <v>1.7399999999999999E-2</v>
      </c>
      <c r="AA161" s="6">
        <f>ROUND($J161*CIS_Base_Salary2324*VLOOKUP($A161,EnrollData2324,'2324 Jun 24 Enroll'!S$1,FALSE),2)</f>
        <v>4038.59</v>
      </c>
      <c r="AB161" s="6">
        <f>ROUND($J161*CIS_Inc_Salary2324*(VLOOKUP($A161,EnrollData2324,'2324 Jun 24 Enroll'!T$1,FALSE)+VLOOKUP($A161,EnrollData2324,'2324 Jun 24 Enroll'!U$1,FALSE)),2)-AA161</f>
        <v>149.43000000000029</v>
      </c>
      <c r="AC161" s="6">
        <f>ROUND($R161*CAS_Base_Salary2324*VLOOKUP($A161,EnrollData2324,'2324 Jun 24 Enroll'!S$1,FALSE),2)</f>
        <v>442.62</v>
      </c>
      <c r="AD161" s="6">
        <f>ROUND($R161*CAS_Inc_Salary2324*VLOOKUP($A161,EnrollData2324,'2324 Jun 24 Enroll'!T$1,FALSE),2)-AC161</f>
        <v>16.379999999999995</v>
      </c>
      <c r="AE161" s="6">
        <f>ROUND($Z161*CLS_Base_Salary2324*VLOOKUP($A161,EnrollData2324,'2324 Jun 24 Enroll'!S$1,FALSE),2)</f>
        <v>907.81</v>
      </c>
      <c r="AF161" s="6">
        <f>ROUND($Z161*CLS_Inc_Salary2324*VLOOKUP($A161,EnrollData2324,'2324 Jun 24 Enroll'!T$1,FALSE),2)-AE161</f>
        <v>33.580000000000041</v>
      </c>
      <c r="AG161">
        <f t="shared" si="48"/>
        <v>734.16</v>
      </c>
      <c r="AH161" s="69">
        <f t="shared" si="39"/>
        <v>68.700000000000045</v>
      </c>
      <c r="AI161">
        <f t="shared" si="49"/>
        <v>214.23</v>
      </c>
      <c r="AJ161">
        <f t="shared" si="40"/>
        <v>114.21000000000001</v>
      </c>
      <c r="AK161">
        <f t="shared" si="41"/>
        <v>805.27</v>
      </c>
      <c r="AL161">
        <f t="shared" si="42"/>
        <v>28.73</v>
      </c>
      <c r="AM161">
        <f t="shared" si="43"/>
        <v>200.26</v>
      </c>
      <c r="AN161">
        <f t="shared" si="44"/>
        <v>6.23</v>
      </c>
      <c r="AO161">
        <f>ROUND(($J161*CIS_Inc_Salary2324*(VLOOKUP($A161,EnrollData2324,'2324 Jun 24 Enroll'!T$1,FALSE)+VLOOKUP($A161,EnrollData2324,'2324 Jun 24 Enroll'!U$1,FALSE))/Apport_613Xpd)*Apport_614Xpd,2)</f>
        <v>69.8</v>
      </c>
      <c r="AP161">
        <f t="shared" si="45"/>
        <v>12.1</v>
      </c>
      <c r="AQ161">
        <f t="shared" si="46"/>
        <v>30.93</v>
      </c>
      <c r="AR161" s="6">
        <f>ROUND((VLOOKUP($A161,EnrollData2324,'2324 Jun 24 Enroll'!D$1,FALSE)*Apport_M802324+VLOOKUP($A161,EnrollData2324,'2324 Jun 24 Enroll'!M$1,FALSE)*Apport_M802324+(VLOOKUP($A161,EnrollData2324,'2324 Jun 24 Enroll'!P$1,FALSE)+VLOOKUP($A161,EnrollData2324,'2324 Jun 24 Enroll'!Q$1,FALSE)+VLOOKUP($A161,EnrollData2324,'2324 Jun 24 Enroll'!R$1,FALSE)+VLOOKUP($A161,EnrollData2324,'2324 Jun 24 Enroll'!I$1,FALSE)+VLOOKUP($A161,EnrollData2324,'2324 Jun 24 Enroll'!N$1,FALSE)+VLOOKUP($A161,EnrollData2324,'2324 Jun 24 Enroll'!O$1,FALSE)+VLOOKUP($A161,EnrollData2324,'2324 Jun 24 Enroll'!K$1,FALSE)+VLOOKUP($A161,EnrollData2324,'2324 Jun 24 Enroll'!L$1,FALSE))*Apport_M812324)/(VLOOKUP($A161,EnrollData2324,'2324 Jun 24 Enroll'!M$1,FALSE)+VLOOKUP($A161,EnrollData2324,'2324 Jun 24 Enroll'!D$1,FALSE)),2)</f>
        <v>1542.58</v>
      </c>
      <c r="AS161" s="7">
        <f t="shared" si="47"/>
        <v>9415.61</v>
      </c>
    </row>
    <row r="162" spans="1:45">
      <c r="A162" s="40" t="s">
        <v>317</v>
      </c>
      <c r="B162" s="40" t="s">
        <v>318</v>
      </c>
      <c r="C162" s="11">
        <f>ROUND((IFERROR((1/IF(VLOOKUP($A162,EnrollData2324,28,FALSE)='District Calculations'!$B$10,VLOOKUP($A162,EnrollData2324,28,FALSE),'District Calculations'!$B$10))*(1+Apport_Z315),0))+Apport_201A2324,6)</f>
        <v>7.3449E-2</v>
      </c>
      <c r="D162">
        <f>ROUND(IF(VLOOKUP($A162,EnrollData2324,'2324 Jun 24 Enroll'!D$1,FALSE)='District Calculations'!$B$11,VLOOKUP($A162,EnrollData2324,'2324 Jun 24 Enroll'!D$1,FALSE),'District Calculations'!$B$11)*C162,3)</f>
        <v>0</v>
      </c>
      <c r="E162">
        <f>ROUND(IF(VLOOKUP($A162,EnrollData2324,'2324 Jun 24 Enroll'!E$1,FALSE)='District Calculations'!$B$12,VLOOKUP($A162,EnrollData2324,'2324 Jun 24 Enroll'!E$1,FALSE),'District Calculations'!$B$12)*C162,3)</f>
        <v>59.53</v>
      </c>
      <c r="F162">
        <f>ROUND(IF(VLOOKUP($A162,EnrollData2324,'2324 Jun 24 Enroll'!F$1,FALSE)='District Calculations'!$B$13,VLOOKUP($A162,EnrollData2324,'2324 Jun 24 Enroll'!F$1,FALSE),'District Calculations'!$B$13)*Apport_222A2324,3)</f>
        <v>10.101000000000001</v>
      </c>
      <c r="G162">
        <f>ROUND(IF(VLOOKUP($A162,EnrollData2324,'2324 Jun 24 Enroll'!G$1,FALSE)='District Calculations'!$B$14,VLOOKUP($A162,EnrollData2324,'2324 Jun 24 Enroll'!G$1,FALSE),'District Calculations'!$B$14)*Apport_210A2324,3)</f>
        <v>22.395</v>
      </c>
      <c r="H162">
        <f>ROUND(IF(VLOOKUP($A162,EnrollData2324,'2324 Jun 24 Enroll'!H$1,FALSE)='District Calculations'!$B$15,VLOOKUP($A162,EnrollData2324,'2324 Jun 24 Enroll'!H$1,FALSE),'District Calculations'!$B$15)*Apport_213A2324,3)</f>
        <v>23.091999999999999</v>
      </c>
      <c r="I162">
        <f>ROUND(IF(VLOOKUP($A162,EnrollData2324,'2324 Jun 24 Enroll'!I$1,FALSE)+VLOOKUP($A162,EnrollData2324,'2324 Jun 24 Enroll'!M$1,FALSE)-VLOOKUP($A162,EnrollData2324,'2324 Jun 24 Enroll'!J$1,FALSE)='District Calculations'!$B$16+'District Calculations'!$B$25-'District Calculations'!$B$17,VLOOKUP($A162,EnrollData2324,'2324 Jun 24 Enroll'!I$1,FALSE)+VLOOKUP($A162,EnrollData2324,'2324 Jun 24 Enroll'!M$1,FALSE)-VLOOKUP($A162,EnrollData2324,'2324 Jun 24 Enroll'!J$1,FALSE),'District Calculations'!$B$16+'District Calculations'!$B$25-'District Calculations'!$B$17)*Apport_216A2324,3)</f>
        <v>58.183999999999997</v>
      </c>
      <c r="J162">
        <f>ROUND(SUM(D162:I162)/(IF(VLOOKUP($A162,EnrollData2324,'2324 Jun 24 Enroll'!M$1,FALSE)='District Calculations'!$B$25,VLOOKUP($A162,EnrollData2324,'2324 Jun 24 Enroll'!M$1,FALSE),'District Calculations'!$B$25)+IF(VLOOKUP($A162,EnrollData2324,'2324 Jun 24 Enroll'!D$1,FALSE)='District Calculations'!$B$11,VLOOKUP($A162,EnrollData2324,'2324 Jun 24 Enroll'!D$1,FALSE),'District Calculations'!$B$11)),5)</f>
        <v>5.5530000000000003E-2</v>
      </c>
      <c r="K162" s="11">
        <f t="shared" si="37"/>
        <v>4.365E-3</v>
      </c>
      <c r="L162">
        <f>ROUND(IF(VLOOKUP($A162,EnrollData2324,'2324 Jun 24 Enroll'!D$1,FALSE)='District Calculations'!$B$11,VLOOKUP($A162,EnrollData2324,'2324 Jun 24 Enroll'!D$1,FALSE),'District Calculations'!$B$11)*K162,3)</f>
        <v>0</v>
      </c>
      <c r="M162">
        <f>ROUND(IF(VLOOKUP($A162,EnrollData2324,'2324 Jun 24 Enroll'!E$1,FALSE)='District Calculations'!$B$12,VLOOKUP($A162,EnrollData2324,'2324 Jun 24 Enroll'!E$1,FALSE),'District Calculations'!$B$12)*K162,3)</f>
        <v>3.5379999999999998</v>
      </c>
      <c r="N162">
        <f>ROUND(IF(VLOOKUP($A162,EnrollData2324,'2324 Jun 24 Enroll'!F$1,FALSE)='District Calculations'!$B$13,VLOOKUP($A162,EnrollData2324,'2324 Jun 24 Enroll'!F$1,FALSE),'District Calculations'!$B$13)*Apport_223A2324,3)</f>
        <v>0.84199999999999997</v>
      </c>
      <c r="O162">
        <f>ROUND(IF(VLOOKUP($A162,EnrollData2324,'2324 Jun 24 Enroll'!G$1,FALSE)='District Calculations'!$B$14,VLOOKUP($A162,EnrollData2324,'2324 Jun 24 Enroll'!G$1,FALSE),'District Calculations'!$B$14)*Apport_211A2324,3)</f>
        <v>1.867</v>
      </c>
      <c r="P162">
        <f>ROUND(IF(VLOOKUP($A162,EnrollData2324,'2324 Jun 24 Enroll'!H$1,FALSE)='District Calculations'!$B$14,VLOOKUP($A162,EnrollData2324,'2324 Jun 24 Enroll'!H$1,FALSE),'District Calculations'!$B$14)*Apport_214A2324,3)</f>
        <v>1.8660000000000001</v>
      </c>
      <c r="Q162">
        <f>ROUND(IF(VLOOKUP($A162,EnrollData2324,'2324 Jun 24 Enroll'!I$1,FALSE)+VLOOKUP($A162,EnrollData2324,'2324 Jun 24 Enroll'!M$1,FALSE)-VLOOKUP($A162,EnrollData2324,'2324 Jun 24 Enroll'!J$1,FALSE)='District Calculations'!$B$16+'District Calculations'!$B$25-'District Calculations'!$B$17,VLOOKUP($A162,EnrollData2324,'2324 Jun 24 Enroll'!I$1,FALSE)+VLOOKUP($A162,EnrollData2324,'2324 Jun 24 Enroll'!M$1,FALSE)-VLOOKUP($A162,EnrollData2324,'2324 Jun 24 Enroll'!J$1,FALSE),'District Calculations'!$B$16+'District Calculations'!$B$25-'District Calculations'!$B$17)*Apport_217A2324,3)</f>
        <v>4.6980000000000004</v>
      </c>
      <c r="R162">
        <f>ROUND(SUM(L162:Q162)/IF(VLOOKUP($A162,EnrollData2324,'2324 Jun 24 Enroll'!M$1,FALSE)+VLOOKUP($A162,EnrollData2324,'2324 Jun 24 Enroll'!D$1,FALSE)='District Calculations'!$B$25+'District Calculations'!$B$11,VLOOKUP($A162,EnrollData2324,'2324 Jun 24 Enroll'!M$1,FALSE)+VLOOKUP($A162,EnrollData2324,'2324 Jun 24 Enroll'!D$1,FALSE),'District Calculations'!$B$25+'District Calculations'!$B$11),5)</f>
        <v>4.1000000000000003E-3</v>
      </c>
      <c r="S162" s="11">
        <f t="shared" si="38"/>
        <v>1.8294500000000002E-2</v>
      </c>
      <c r="T162">
        <f>ROUND(IF(VLOOKUP($A162,EnrollData2324,'2324 Jun 24 Enroll'!D$1,FALSE)='District Calculations'!$B$11,VLOOKUP($A162,EnrollData2324,'2324 Jun 24 Enroll'!D$1,FALSE),'District Calculations'!$B$11)*S162,3)</f>
        <v>0</v>
      </c>
      <c r="U162">
        <f>ROUND(IF(VLOOKUP($A162,EnrollData2324,'2324 Jun 24 Enroll'!E$1,FALSE)='District Calculations'!$B$12,VLOOKUP($A162,EnrollData2324,'2324 Jun 24 Enroll'!E$1,FALSE),'District Calculations'!$B$12)*S162,3)</f>
        <v>14.827999999999999</v>
      </c>
      <c r="V162">
        <f>ROUND(IF(VLOOKUP($A162,EnrollData2324,'2324 Jun 24 Enroll'!F$1,FALSE)='District Calculations'!$B$13,VLOOKUP($A162,EnrollData2324,'2324 Jun 24 Enroll'!F$1,FALSE),'District Calculations'!$B$13)*Apport_224A2324,3)</f>
        <v>3.6190000000000002</v>
      </c>
      <c r="W162">
        <f>ROUND(IF(VLOOKUP($A162,EnrollData2324,'2324 Jun 24 Enroll'!G$1,FALSE)='District Calculations'!$B$14,VLOOKUP($A162,EnrollData2324,'2324 Jun 24 Enroll'!G$1,FALSE),'District Calculations'!$B$14)*Apport_212A2324,3)</f>
        <v>8.0239999999999991</v>
      </c>
      <c r="X162">
        <f>ROUND(IF(VLOOKUP($A162,EnrollData2324,'2324 Jun 24 Enroll'!H$1,FALSE)='District Calculations'!$B$14,VLOOKUP($A162,EnrollData2324,'2324 Jun 24 Enroll'!H$1,FALSE),'District Calculations'!$B$14)*Apport_215A2324,3)</f>
        <v>7.9279999999999999</v>
      </c>
      <c r="Y162">
        <f>ROUND(IF(VLOOKUP($A162,EnrollData2324,'2324 Jun 24 Enroll'!I$1,FALSE)+VLOOKUP($A162,EnrollData2324,'2324 Jun 24 Enroll'!M$1,FALSE)-VLOOKUP($A162,EnrollData2324,'2324 Jun 24 Enroll'!J$1,FALSE)='District Calculations'!$B$16+'District Calculations'!$B$25-'District Calculations'!$B$17,VLOOKUP($A162,EnrollData2324,'2324 Jun 24 Enroll'!I$1,FALSE)+VLOOKUP($A162,EnrollData2324,'2324 Jun 24 Enroll'!M$1,FALSE)-VLOOKUP($A162,EnrollData2324,'2324 Jun 24 Enroll'!J$1,FALSE),'District Calculations'!$B$16+'District Calculations'!$B$25-'District Calculations'!$B$17)*Apport_218A2324,3)</f>
        <v>19.917999999999999</v>
      </c>
      <c r="Z162">
        <f>ROUND(SUM(T162:Y162)/IF(VLOOKUP($A162,EnrollData2324,'2324 Jun 24 Enroll'!M$1,FALSE)+VLOOKUP($A162,EnrollData2324,'2324 Jun 24 Enroll'!D$1,FALSE)='District Calculations'!$B$25+'District Calculations'!$B$11,VLOOKUP($A162,EnrollData2324,'2324 Jun 24 Enroll'!M$1,FALSE)+VLOOKUP($A162,EnrollData2324,'2324 Jun 24 Enroll'!D$1,FALSE),'District Calculations'!$B$25+'District Calculations'!$B$11),5)</f>
        <v>1.7399999999999999E-2</v>
      </c>
      <c r="AA162" s="6">
        <f>ROUND($J162*CIS_Base_Salary2324*VLOOKUP($A162,EnrollData2324,'2324 Jun 24 Enroll'!S$1,FALSE),2)</f>
        <v>4038.59</v>
      </c>
      <c r="AB162" s="6">
        <f>ROUND($J162*CIS_Inc_Salary2324*(VLOOKUP($A162,EnrollData2324,'2324 Jun 24 Enroll'!T$1,FALSE)+VLOOKUP($A162,EnrollData2324,'2324 Jun 24 Enroll'!U$1,FALSE)),2)-AA162</f>
        <v>316.94999999999982</v>
      </c>
      <c r="AC162" s="6">
        <f>ROUND($R162*CAS_Base_Salary2324*VLOOKUP($A162,EnrollData2324,'2324 Jun 24 Enroll'!S$1,FALSE),2)</f>
        <v>442.62</v>
      </c>
      <c r="AD162" s="6">
        <f>ROUND($R162*CAS_Inc_Salary2324*VLOOKUP($A162,EnrollData2324,'2324 Jun 24 Enroll'!T$1,FALSE),2)-AC162</f>
        <v>16.379999999999995</v>
      </c>
      <c r="AE162" s="6">
        <f>ROUND($Z162*CLS_Base_Salary2324*VLOOKUP($A162,EnrollData2324,'2324 Jun 24 Enroll'!S$1,FALSE),2)</f>
        <v>907.81</v>
      </c>
      <c r="AF162" s="6">
        <f>ROUND($Z162*CLS_Inc_Salary2324*VLOOKUP($A162,EnrollData2324,'2324 Jun 24 Enroll'!T$1,FALSE),2)-AE162</f>
        <v>33.580000000000041</v>
      </c>
      <c r="AG162">
        <f t="shared" si="48"/>
        <v>734.16</v>
      </c>
      <c r="AH162" s="69">
        <f t="shared" si="39"/>
        <v>68.700000000000045</v>
      </c>
      <c r="AI162">
        <f t="shared" si="49"/>
        <v>214.23</v>
      </c>
      <c r="AJ162">
        <f t="shared" si="40"/>
        <v>114.21000000000001</v>
      </c>
      <c r="AK162">
        <f t="shared" si="41"/>
        <v>805.27</v>
      </c>
      <c r="AL162">
        <f t="shared" si="42"/>
        <v>57.77</v>
      </c>
      <c r="AM162">
        <f t="shared" si="43"/>
        <v>200.26</v>
      </c>
      <c r="AN162">
        <f t="shared" si="44"/>
        <v>6.23</v>
      </c>
      <c r="AO162">
        <f>ROUND(($J162*CIS_Inc_Salary2324*(VLOOKUP($A162,EnrollData2324,'2324 Jun 24 Enroll'!T$1,FALSE)+VLOOKUP($A162,EnrollData2324,'2324 Jun 24 Enroll'!U$1,FALSE))/Apport_613Xpd)*Apport_614Xpd,2)</f>
        <v>72.59</v>
      </c>
      <c r="AP162">
        <f t="shared" si="45"/>
        <v>12.58</v>
      </c>
      <c r="AQ162">
        <f t="shared" si="46"/>
        <v>30.93</v>
      </c>
      <c r="AR162" s="6">
        <f>ROUND((VLOOKUP($A162,EnrollData2324,'2324 Jun 24 Enroll'!D$1,FALSE)*Apport_M802324+VLOOKUP($A162,EnrollData2324,'2324 Jun 24 Enroll'!M$1,FALSE)*Apport_M802324+(VLOOKUP($A162,EnrollData2324,'2324 Jun 24 Enroll'!P$1,FALSE)+VLOOKUP($A162,EnrollData2324,'2324 Jun 24 Enroll'!Q$1,FALSE)+VLOOKUP($A162,EnrollData2324,'2324 Jun 24 Enroll'!R$1,FALSE)+VLOOKUP($A162,EnrollData2324,'2324 Jun 24 Enroll'!I$1,FALSE)+VLOOKUP($A162,EnrollData2324,'2324 Jun 24 Enroll'!N$1,FALSE)+VLOOKUP($A162,EnrollData2324,'2324 Jun 24 Enroll'!O$1,FALSE)+VLOOKUP($A162,EnrollData2324,'2324 Jun 24 Enroll'!K$1,FALSE)+VLOOKUP($A162,EnrollData2324,'2324 Jun 24 Enroll'!L$1,FALSE))*Apport_M812324)/(VLOOKUP($A162,EnrollData2324,'2324 Jun 24 Enroll'!M$1,FALSE)+VLOOKUP($A162,EnrollData2324,'2324 Jun 24 Enroll'!D$1,FALSE)),2)</f>
        <v>1556.76</v>
      </c>
      <c r="AS162" s="7">
        <f t="shared" si="47"/>
        <v>9629.6200000000008</v>
      </c>
    </row>
    <row r="163" spans="1:45">
      <c r="A163" s="40" t="s">
        <v>883</v>
      </c>
      <c r="B163" s="40" t="s">
        <v>884</v>
      </c>
      <c r="C163" s="11">
        <f>ROUND((IFERROR((1/IF(VLOOKUP($A163,EnrollData2324,28,FALSE)='District Calculations'!$B$10,VLOOKUP($A163,EnrollData2324,28,FALSE),'District Calculations'!$B$10))*(1+Apport_Z315),0))+Apport_201A2324,6)</f>
        <v>7.3449E-2</v>
      </c>
      <c r="D163">
        <f>ROUND(IF(VLOOKUP($A163,EnrollData2324,'2324 Jun 24 Enroll'!D$1,FALSE)='District Calculations'!$B$11,VLOOKUP($A163,EnrollData2324,'2324 Jun 24 Enroll'!D$1,FALSE),'District Calculations'!$B$11)*C163,3)</f>
        <v>0</v>
      </c>
      <c r="E163">
        <f>ROUND(IF(VLOOKUP($A163,EnrollData2324,'2324 Jun 24 Enroll'!E$1,FALSE)='District Calculations'!$B$12,VLOOKUP($A163,EnrollData2324,'2324 Jun 24 Enroll'!E$1,FALSE),'District Calculations'!$B$12)*C163,3)</f>
        <v>59.53</v>
      </c>
      <c r="F163">
        <f>ROUND(IF(VLOOKUP($A163,EnrollData2324,'2324 Jun 24 Enroll'!F$1,FALSE)='District Calculations'!$B$13,VLOOKUP($A163,EnrollData2324,'2324 Jun 24 Enroll'!F$1,FALSE),'District Calculations'!$B$13)*Apport_222A2324,3)</f>
        <v>10.101000000000001</v>
      </c>
      <c r="G163">
        <f>ROUND(IF(VLOOKUP($A163,EnrollData2324,'2324 Jun 24 Enroll'!G$1,FALSE)='District Calculations'!$B$14,VLOOKUP($A163,EnrollData2324,'2324 Jun 24 Enroll'!G$1,FALSE),'District Calculations'!$B$14)*Apport_210A2324,3)</f>
        <v>22.395</v>
      </c>
      <c r="H163">
        <f>ROUND(IF(VLOOKUP($A163,EnrollData2324,'2324 Jun 24 Enroll'!H$1,FALSE)='District Calculations'!$B$15,VLOOKUP($A163,EnrollData2324,'2324 Jun 24 Enroll'!H$1,FALSE),'District Calculations'!$B$15)*Apport_213A2324,3)</f>
        <v>23.091999999999999</v>
      </c>
      <c r="I163">
        <f>ROUND(IF(VLOOKUP($A163,EnrollData2324,'2324 Jun 24 Enroll'!I$1,FALSE)+VLOOKUP($A163,EnrollData2324,'2324 Jun 24 Enroll'!M$1,FALSE)-VLOOKUP($A163,EnrollData2324,'2324 Jun 24 Enroll'!J$1,FALSE)='District Calculations'!$B$16+'District Calculations'!$B$25-'District Calculations'!$B$17,VLOOKUP($A163,EnrollData2324,'2324 Jun 24 Enroll'!I$1,FALSE)+VLOOKUP($A163,EnrollData2324,'2324 Jun 24 Enroll'!M$1,FALSE)-VLOOKUP($A163,EnrollData2324,'2324 Jun 24 Enroll'!J$1,FALSE),'District Calculations'!$B$16+'District Calculations'!$B$25-'District Calculations'!$B$17)*Apport_216A2324,3)</f>
        <v>58.183999999999997</v>
      </c>
      <c r="J163">
        <f>ROUND(SUM(D163:I163)/(IF(VLOOKUP($A163,EnrollData2324,'2324 Jun 24 Enroll'!M$1,FALSE)='District Calculations'!$B$25,VLOOKUP($A163,EnrollData2324,'2324 Jun 24 Enroll'!M$1,FALSE),'District Calculations'!$B$25)+IF(VLOOKUP($A163,EnrollData2324,'2324 Jun 24 Enroll'!D$1,FALSE)='District Calculations'!$B$11,VLOOKUP($A163,EnrollData2324,'2324 Jun 24 Enroll'!D$1,FALSE),'District Calculations'!$B$11)),5)</f>
        <v>5.5530000000000003E-2</v>
      </c>
      <c r="K163" s="11">
        <f t="shared" ref="K163:K226" si="51">ROUND(((($C163+Apport_203A2324+Apport_202A2324)*Apport_557X)*Apport_558X)+Apport_202A2324,6)</f>
        <v>4.365E-3</v>
      </c>
      <c r="L163">
        <f>ROUND(IF(VLOOKUP($A163,EnrollData2324,'2324 Jun 24 Enroll'!D$1,FALSE)='District Calculations'!$B$11,VLOOKUP($A163,EnrollData2324,'2324 Jun 24 Enroll'!D$1,FALSE),'District Calculations'!$B$11)*K163,3)</f>
        <v>0</v>
      </c>
      <c r="M163">
        <f>ROUND(IF(VLOOKUP($A163,EnrollData2324,'2324 Jun 24 Enroll'!E$1,FALSE)='District Calculations'!$B$12,VLOOKUP($A163,EnrollData2324,'2324 Jun 24 Enroll'!E$1,FALSE),'District Calculations'!$B$12)*K163,3)</f>
        <v>3.5379999999999998</v>
      </c>
      <c r="N163">
        <f>ROUND(IF(VLOOKUP($A163,EnrollData2324,'2324 Jun 24 Enroll'!F$1,FALSE)='District Calculations'!$B$13,VLOOKUP($A163,EnrollData2324,'2324 Jun 24 Enroll'!F$1,FALSE),'District Calculations'!$B$13)*Apport_223A2324,3)</f>
        <v>0.84199999999999997</v>
      </c>
      <c r="O163">
        <f>ROUND(IF(VLOOKUP($A163,EnrollData2324,'2324 Jun 24 Enroll'!G$1,FALSE)='District Calculations'!$B$14,VLOOKUP($A163,EnrollData2324,'2324 Jun 24 Enroll'!G$1,FALSE),'District Calculations'!$B$14)*Apport_211A2324,3)</f>
        <v>1.867</v>
      </c>
      <c r="P163">
        <f>ROUND(IF(VLOOKUP($A163,EnrollData2324,'2324 Jun 24 Enroll'!H$1,FALSE)='District Calculations'!$B$14,VLOOKUP($A163,EnrollData2324,'2324 Jun 24 Enroll'!H$1,FALSE),'District Calculations'!$B$14)*Apport_214A2324,3)</f>
        <v>1.8660000000000001</v>
      </c>
      <c r="Q163">
        <f>ROUND(IF(VLOOKUP($A163,EnrollData2324,'2324 Jun 24 Enroll'!I$1,FALSE)+VLOOKUP($A163,EnrollData2324,'2324 Jun 24 Enroll'!M$1,FALSE)-VLOOKUP($A163,EnrollData2324,'2324 Jun 24 Enroll'!J$1,FALSE)='District Calculations'!$B$16+'District Calculations'!$B$25-'District Calculations'!$B$17,VLOOKUP($A163,EnrollData2324,'2324 Jun 24 Enroll'!I$1,FALSE)+VLOOKUP($A163,EnrollData2324,'2324 Jun 24 Enroll'!M$1,FALSE)-VLOOKUP($A163,EnrollData2324,'2324 Jun 24 Enroll'!J$1,FALSE),'District Calculations'!$B$16+'District Calculations'!$B$25-'District Calculations'!$B$17)*Apport_217A2324,3)</f>
        <v>4.6980000000000004</v>
      </c>
      <c r="R163">
        <f>ROUND(SUM(L163:Q163)/IF(VLOOKUP($A163,EnrollData2324,'2324 Jun 24 Enroll'!M$1,FALSE)+VLOOKUP($A163,EnrollData2324,'2324 Jun 24 Enroll'!D$1,FALSE)='District Calculations'!$B$25+'District Calculations'!$B$11,VLOOKUP($A163,EnrollData2324,'2324 Jun 24 Enroll'!M$1,FALSE)+VLOOKUP($A163,EnrollData2324,'2324 Jun 24 Enroll'!D$1,FALSE),'District Calculations'!$B$25+'District Calculations'!$B$11),5)</f>
        <v>4.1000000000000003E-3</v>
      </c>
      <c r="S163" s="11">
        <f t="shared" ref="S163:S226" si="52">ROUND(((($C163+Apport_203A2324+Apport_202A2324)*Apport_557X)*Apport_559X)+Apport_203A2324,7)</f>
        <v>1.8294500000000002E-2</v>
      </c>
      <c r="T163">
        <f>ROUND(IF(VLOOKUP($A163,EnrollData2324,'2324 Jun 24 Enroll'!D$1,FALSE)='District Calculations'!$B$11,VLOOKUP($A163,EnrollData2324,'2324 Jun 24 Enroll'!D$1,FALSE),'District Calculations'!$B$11)*S163,3)</f>
        <v>0</v>
      </c>
      <c r="U163">
        <f>ROUND(IF(VLOOKUP($A163,EnrollData2324,'2324 Jun 24 Enroll'!E$1,FALSE)='District Calculations'!$B$12,VLOOKUP($A163,EnrollData2324,'2324 Jun 24 Enroll'!E$1,FALSE),'District Calculations'!$B$12)*S163,3)</f>
        <v>14.827999999999999</v>
      </c>
      <c r="V163">
        <f>ROUND(IF(VLOOKUP($A163,EnrollData2324,'2324 Jun 24 Enroll'!F$1,FALSE)='District Calculations'!$B$13,VLOOKUP($A163,EnrollData2324,'2324 Jun 24 Enroll'!F$1,FALSE),'District Calculations'!$B$13)*Apport_224A2324,3)</f>
        <v>3.6190000000000002</v>
      </c>
      <c r="W163">
        <f>ROUND(IF(VLOOKUP($A163,EnrollData2324,'2324 Jun 24 Enroll'!G$1,FALSE)='District Calculations'!$B$14,VLOOKUP($A163,EnrollData2324,'2324 Jun 24 Enroll'!G$1,FALSE),'District Calculations'!$B$14)*Apport_212A2324,3)</f>
        <v>8.0239999999999991</v>
      </c>
      <c r="X163">
        <f>ROUND(IF(VLOOKUP($A163,EnrollData2324,'2324 Jun 24 Enroll'!H$1,FALSE)='District Calculations'!$B$14,VLOOKUP($A163,EnrollData2324,'2324 Jun 24 Enroll'!H$1,FALSE),'District Calculations'!$B$14)*Apport_215A2324,3)</f>
        <v>7.9279999999999999</v>
      </c>
      <c r="Y163">
        <f>ROUND(IF(VLOOKUP($A163,EnrollData2324,'2324 Jun 24 Enroll'!I$1,FALSE)+VLOOKUP($A163,EnrollData2324,'2324 Jun 24 Enroll'!M$1,FALSE)-VLOOKUP($A163,EnrollData2324,'2324 Jun 24 Enroll'!J$1,FALSE)='District Calculations'!$B$16+'District Calculations'!$B$25-'District Calculations'!$B$17,VLOOKUP($A163,EnrollData2324,'2324 Jun 24 Enroll'!I$1,FALSE)+VLOOKUP($A163,EnrollData2324,'2324 Jun 24 Enroll'!M$1,FALSE)-VLOOKUP($A163,EnrollData2324,'2324 Jun 24 Enroll'!J$1,FALSE),'District Calculations'!$B$16+'District Calculations'!$B$25-'District Calculations'!$B$17)*Apport_218A2324,3)</f>
        <v>19.917999999999999</v>
      </c>
      <c r="Z163">
        <f>ROUND(SUM(T163:Y163)/IF(VLOOKUP($A163,EnrollData2324,'2324 Jun 24 Enroll'!M$1,FALSE)+VLOOKUP($A163,EnrollData2324,'2324 Jun 24 Enroll'!D$1,FALSE)='District Calculations'!$B$25+'District Calculations'!$B$11,VLOOKUP($A163,EnrollData2324,'2324 Jun 24 Enroll'!M$1,FALSE)+VLOOKUP($A163,EnrollData2324,'2324 Jun 24 Enroll'!D$1,FALSE),'District Calculations'!$B$25+'District Calculations'!$B$11),5)</f>
        <v>1.7399999999999999E-2</v>
      </c>
      <c r="AA163" s="6">
        <f>ROUND($J163*CIS_Base_Salary2324*VLOOKUP($A163,EnrollData2324,'2324 Jun 24 Enroll'!S$1,FALSE),2)</f>
        <v>4038.59</v>
      </c>
      <c r="AB163" s="6">
        <f>ROUND($J163*CIS_Inc_Salary2324*(VLOOKUP($A163,EnrollData2324,'2324 Jun 24 Enroll'!T$1,FALSE)+VLOOKUP($A163,EnrollData2324,'2324 Jun 24 Enroll'!U$1,FALSE)),2)-AA163</f>
        <v>233.1899999999996</v>
      </c>
      <c r="AC163" s="6">
        <f>ROUND($R163*CAS_Base_Salary2324*VLOOKUP($A163,EnrollData2324,'2324 Jun 24 Enroll'!S$1,FALSE),2)</f>
        <v>442.62</v>
      </c>
      <c r="AD163" s="6">
        <f>ROUND($R163*CAS_Inc_Salary2324*VLOOKUP($A163,EnrollData2324,'2324 Jun 24 Enroll'!T$1,FALSE),2)-AC163</f>
        <v>16.379999999999995</v>
      </c>
      <c r="AE163" s="6">
        <f>ROUND($Z163*CLS_Base_Salary2324*VLOOKUP($A163,EnrollData2324,'2324 Jun 24 Enroll'!S$1,FALSE),2)</f>
        <v>907.81</v>
      </c>
      <c r="AF163" s="6">
        <f>ROUND($Z163*CLS_Inc_Salary2324*VLOOKUP($A163,EnrollData2324,'2324 Jun 24 Enroll'!T$1,FALSE),2)-AE163</f>
        <v>33.580000000000041</v>
      </c>
      <c r="AG163">
        <f t="shared" si="48"/>
        <v>734.16</v>
      </c>
      <c r="AH163" s="69">
        <f t="shared" ref="AH163:AH226" si="53">ROUND(($J163+$R163)*Apport_621X2324*Apport_125XC2324,2)-AG163</f>
        <v>68.700000000000045</v>
      </c>
      <c r="AI163">
        <f t="shared" si="49"/>
        <v>214.23</v>
      </c>
      <c r="AJ163">
        <f t="shared" ref="AJ163:AJ226" si="54">ROUND($Z163*Apport_621X2324*Apport_125X2324,2)-AI163</f>
        <v>114.21000000000001</v>
      </c>
      <c r="AK163">
        <f t="shared" ref="AK163:AK226" si="55">ROUND((AA163+AC163)*Apport_126X2324,2)</f>
        <v>805.27</v>
      </c>
      <c r="AL163">
        <f t="shared" ref="AL163:AL226" si="56">ROUND((AB163+AD163)*Apport_127X2324,2)</f>
        <v>43.25</v>
      </c>
      <c r="AM163">
        <f t="shared" ref="AM163:AM226" si="57">ROUND(AE163*Apport_128X2324,2)</f>
        <v>200.26</v>
      </c>
      <c r="AN163">
        <f t="shared" ref="AN163:AN226" si="58">ROUND(AF163*Apport_129X2324,2)</f>
        <v>6.23</v>
      </c>
      <c r="AO163">
        <f>ROUND(($J163*CIS_Inc_Salary2324*(VLOOKUP($A163,EnrollData2324,'2324 Jun 24 Enroll'!T$1,FALSE)+VLOOKUP($A163,EnrollData2324,'2324 Jun 24 Enroll'!U$1,FALSE))/Apport_613Xpd)*Apport_614Xpd,2)</f>
        <v>71.2</v>
      </c>
      <c r="AP163">
        <f t="shared" ref="AP163:AP226" si="59">ROUND(AO163*Apport_127X2324,2)</f>
        <v>12.34</v>
      </c>
      <c r="AQ163">
        <f t="shared" si="46"/>
        <v>30.93</v>
      </c>
      <c r="AR163" s="6">
        <f>ROUND((VLOOKUP($A163,EnrollData2324,'2324 Jun 24 Enroll'!D$1,FALSE)*Apport_M802324+VLOOKUP($A163,EnrollData2324,'2324 Jun 24 Enroll'!M$1,FALSE)*Apport_M802324+(VLOOKUP($A163,EnrollData2324,'2324 Jun 24 Enroll'!P$1,FALSE)+VLOOKUP($A163,EnrollData2324,'2324 Jun 24 Enroll'!Q$1,FALSE)+VLOOKUP($A163,EnrollData2324,'2324 Jun 24 Enroll'!R$1,FALSE)+VLOOKUP($A163,EnrollData2324,'2324 Jun 24 Enroll'!I$1,FALSE)+VLOOKUP($A163,EnrollData2324,'2324 Jun 24 Enroll'!N$1,FALSE)+VLOOKUP($A163,EnrollData2324,'2324 Jun 24 Enroll'!O$1,FALSE)+VLOOKUP($A163,EnrollData2324,'2324 Jun 24 Enroll'!K$1,FALSE)+VLOOKUP($A163,EnrollData2324,'2324 Jun 24 Enroll'!L$1,FALSE))*Apport_M812324)/(VLOOKUP($A163,EnrollData2324,'2324 Jun 24 Enroll'!M$1,FALSE)+VLOOKUP($A163,EnrollData2324,'2324 Jun 24 Enroll'!D$1,FALSE)),2)</f>
        <v>1543.82</v>
      </c>
      <c r="AS163" s="7">
        <f t="shared" si="47"/>
        <v>9516.77</v>
      </c>
    </row>
    <row r="164" spans="1:45">
      <c r="A164" s="40" t="s">
        <v>345</v>
      </c>
      <c r="B164" s="40" t="s">
        <v>346</v>
      </c>
      <c r="C164" s="11">
        <f>ROUND((IFERROR((1/IF(VLOOKUP($A164,EnrollData2324,28,FALSE)='District Calculations'!$B$10,VLOOKUP($A164,EnrollData2324,28,FALSE),'District Calculations'!$B$10))*(1+Apport_Z315),0))+Apport_201A2324,6)</f>
        <v>7.3449E-2</v>
      </c>
      <c r="D164">
        <f>ROUND(IF(VLOOKUP($A164,EnrollData2324,'2324 Jun 24 Enroll'!D$1,FALSE)='District Calculations'!$B$11,VLOOKUP($A164,EnrollData2324,'2324 Jun 24 Enroll'!D$1,FALSE),'District Calculations'!$B$11)*C164,3)</f>
        <v>0</v>
      </c>
      <c r="E164">
        <f>ROUND(IF(VLOOKUP($A164,EnrollData2324,'2324 Jun 24 Enroll'!E$1,FALSE)='District Calculations'!$B$12,VLOOKUP($A164,EnrollData2324,'2324 Jun 24 Enroll'!E$1,FALSE),'District Calculations'!$B$12)*C164,3)</f>
        <v>59.53</v>
      </c>
      <c r="F164">
        <f>ROUND(IF(VLOOKUP($A164,EnrollData2324,'2324 Jun 24 Enroll'!F$1,FALSE)='District Calculations'!$B$13,VLOOKUP($A164,EnrollData2324,'2324 Jun 24 Enroll'!F$1,FALSE),'District Calculations'!$B$13)*Apport_222A2324,3)</f>
        <v>10.101000000000001</v>
      </c>
      <c r="G164">
        <f>ROUND(IF(VLOOKUP($A164,EnrollData2324,'2324 Jun 24 Enroll'!G$1,FALSE)='District Calculations'!$B$14,VLOOKUP($A164,EnrollData2324,'2324 Jun 24 Enroll'!G$1,FALSE),'District Calculations'!$B$14)*Apport_210A2324,3)</f>
        <v>22.395</v>
      </c>
      <c r="H164">
        <f>ROUND(IF(VLOOKUP($A164,EnrollData2324,'2324 Jun 24 Enroll'!H$1,FALSE)='District Calculations'!$B$15,VLOOKUP($A164,EnrollData2324,'2324 Jun 24 Enroll'!H$1,FALSE),'District Calculations'!$B$15)*Apport_213A2324,3)</f>
        <v>23.091999999999999</v>
      </c>
      <c r="I164">
        <f>ROUND(IF(VLOOKUP($A164,EnrollData2324,'2324 Jun 24 Enroll'!I$1,FALSE)+VLOOKUP($A164,EnrollData2324,'2324 Jun 24 Enroll'!M$1,FALSE)-VLOOKUP($A164,EnrollData2324,'2324 Jun 24 Enroll'!J$1,FALSE)='District Calculations'!$B$16+'District Calculations'!$B$25-'District Calculations'!$B$17,VLOOKUP($A164,EnrollData2324,'2324 Jun 24 Enroll'!I$1,FALSE)+VLOOKUP($A164,EnrollData2324,'2324 Jun 24 Enroll'!M$1,FALSE)-VLOOKUP($A164,EnrollData2324,'2324 Jun 24 Enroll'!J$1,FALSE),'District Calculations'!$B$16+'District Calculations'!$B$25-'District Calculations'!$B$17)*Apport_216A2324,3)</f>
        <v>58.183999999999997</v>
      </c>
      <c r="J164">
        <f>ROUND(SUM(D164:I164)/(IF(VLOOKUP($A164,EnrollData2324,'2324 Jun 24 Enroll'!M$1,FALSE)='District Calculations'!$B$25,VLOOKUP($A164,EnrollData2324,'2324 Jun 24 Enroll'!M$1,FALSE),'District Calculations'!$B$25)+IF(VLOOKUP($A164,EnrollData2324,'2324 Jun 24 Enroll'!D$1,FALSE)='District Calculations'!$B$11,VLOOKUP($A164,EnrollData2324,'2324 Jun 24 Enroll'!D$1,FALSE),'District Calculations'!$B$11)),5)</f>
        <v>5.5530000000000003E-2</v>
      </c>
      <c r="K164" s="11">
        <f t="shared" si="51"/>
        <v>4.365E-3</v>
      </c>
      <c r="L164">
        <f>ROUND(IF(VLOOKUP($A164,EnrollData2324,'2324 Jun 24 Enroll'!D$1,FALSE)='District Calculations'!$B$11,VLOOKUP($A164,EnrollData2324,'2324 Jun 24 Enroll'!D$1,FALSE),'District Calculations'!$B$11)*K164,3)</f>
        <v>0</v>
      </c>
      <c r="M164">
        <f>ROUND(IF(VLOOKUP($A164,EnrollData2324,'2324 Jun 24 Enroll'!E$1,FALSE)='District Calculations'!$B$12,VLOOKUP($A164,EnrollData2324,'2324 Jun 24 Enroll'!E$1,FALSE),'District Calculations'!$B$12)*K164,3)</f>
        <v>3.5379999999999998</v>
      </c>
      <c r="N164">
        <f>ROUND(IF(VLOOKUP($A164,EnrollData2324,'2324 Jun 24 Enroll'!F$1,FALSE)='District Calculations'!$B$13,VLOOKUP($A164,EnrollData2324,'2324 Jun 24 Enroll'!F$1,FALSE),'District Calculations'!$B$13)*Apport_223A2324,3)</f>
        <v>0.84199999999999997</v>
      </c>
      <c r="O164">
        <f>ROUND(IF(VLOOKUP($A164,EnrollData2324,'2324 Jun 24 Enroll'!G$1,FALSE)='District Calculations'!$B$14,VLOOKUP($A164,EnrollData2324,'2324 Jun 24 Enroll'!G$1,FALSE),'District Calculations'!$B$14)*Apport_211A2324,3)</f>
        <v>1.867</v>
      </c>
      <c r="P164">
        <f>ROUND(IF(VLOOKUP($A164,EnrollData2324,'2324 Jun 24 Enroll'!H$1,FALSE)='District Calculations'!$B$14,VLOOKUP($A164,EnrollData2324,'2324 Jun 24 Enroll'!H$1,FALSE),'District Calculations'!$B$14)*Apport_214A2324,3)</f>
        <v>1.8660000000000001</v>
      </c>
      <c r="Q164">
        <f>ROUND(IF(VLOOKUP($A164,EnrollData2324,'2324 Jun 24 Enroll'!I$1,FALSE)+VLOOKUP($A164,EnrollData2324,'2324 Jun 24 Enroll'!M$1,FALSE)-VLOOKUP($A164,EnrollData2324,'2324 Jun 24 Enroll'!J$1,FALSE)='District Calculations'!$B$16+'District Calculations'!$B$25-'District Calculations'!$B$17,VLOOKUP($A164,EnrollData2324,'2324 Jun 24 Enroll'!I$1,FALSE)+VLOOKUP($A164,EnrollData2324,'2324 Jun 24 Enroll'!M$1,FALSE)-VLOOKUP($A164,EnrollData2324,'2324 Jun 24 Enroll'!J$1,FALSE),'District Calculations'!$B$16+'District Calculations'!$B$25-'District Calculations'!$B$17)*Apport_217A2324,3)</f>
        <v>4.6980000000000004</v>
      </c>
      <c r="R164">
        <f>ROUND(SUM(L164:Q164)/IF(VLOOKUP($A164,EnrollData2324,'2324 Jun 24 Enroll'!M$1,FALSE)+VLOOKUP($A164,EnrollData2324,'2324 Jun 24 Enroll'!D$1,FALSE)='District Calculations'!$B$25+'District Calculations'!$B$11,VLOOKUP($A164,EnrollData2324,'2324 Jun 24 Enroll'!M$1,FALSE)+VLOOKUP($A164,EnrollData2324,'2324 Jun 24 Enroll'!D$1,FALSE),'District Calculations'!$B$25+'District Calculations'!$B$11),5)</f>
        <v>4.1000000000000003E-3</v>
      </c>
      <c r="S164" s="11">
        <f t="shared" si="52"/>
        <v>1.8294500000000002E-2</v>
      </c>
      <c r="T164">
        <f>ROUND(IF(VLOOKUP($A164,EnrollData2324,'2324 Jun 24 Enroll'!D$1,FALSE)='District Calculations'!$B$11,VLOOKUP($A164,EnrollData2324,'2324 Jun 24 Enroll'!D$1,FALSE),'District Calculations'!$B$11)*S164,3)</f>
        <v>0</v>
      </c>
      <c r="U164">
        <f>ROUND(IF(VLOOKUP($A164,EnrollData2324,'2324 Jun 24 Enroll'!E$1,FALSE)='District Calculations'!$B$12,VLOOKUP($A164,EnrollData2324,'2324 Jun 24 Enroll'!E$1,FALSE),'District Calculations'!$B$12)*S164,3)</f>
        <v>14.827999999999999</v>
      </c>
      <c r="V164">
        <f>ROUND(IF(VLOOKUP($A164,EnrollData2324,'2324 Jun 24 Enroll'!F$1,FALSE)='District Calculations'!$B$13,VLOOKUP($A164,EnrollData2324,'2324 Jun 24 Enroll'!F$1,FALSE),'District Calculations'!$B$13)*Apport_224A2324,3)</f>
        <v>3.6190000000000002</v>
      </c>
      <c r="W164">
        <f>ROUND(IF(VLOOKUP($A164,EnrollData2324,'2324 Jun 24 Enroll'!G$1,FALSE)='District Calculations'!$B$14,VLOOKUP($A164,EnrollData2324,'2324 Jun 24 Enroll'!G$1,FALSE),'District Calculations'!$B$14)*Apport_212A2324,3)</f>
        <v>8.0239999999999991</v>
      </c>
      <c r="X164">
        <f>ROUND(IF(VLOOKUP($A164,EnrollData2324,'2324 Jun 24 Enroll'!H$1,FALSE)='District Calculations'!$B$14,VLOOKUP($A164,EnrollData2324,'2324 Jun 24 Enroll'!H$1,FALSE),'District Calculations'!$B$14)*Apport_215A2324,3)</f>
        <v>7.9279999999999999</v>
      </c>
      <c r="Y164">
        <f>ROUND(IF(VLOOKUP($A164,EnrollData2324,'2324 Jun 24 Enroll'!I$1,FALSE)+VLOOKUP($A164,EnrollData2324,'2324 Jun 24 Enroll'!M$1,FALSE)-VLOOKUP($A164,EnrollData2324,'2324 Jun 24 Enroll'!J$1,FALSE)='District Calculations'!$B$16+'District Calculations'!$B$25-'District Calculations'!$B$17,VLOOKUP($A164,EnrollData2324,'2324 Jun 24 Enroll'!I$1,FALSE)+VLOOKUP($A164,EnrollData2324,'2324 Jun 24 Enroll'!M$1,FALSE)-VLOOKUP($A164,EnrollData2324,'2324 Jun 24 Enroll'!J$1,FALSE),'District Calculations'!$B$16+'District Calculations'!$B$25-'District Calculations'!$B$17)*Apport_218A2324,3)</f>
        <v>19.917999999999999</v>
      </c>
      <c r="Z164">
        <f>ROUND(SUM(T164:Y164)/IF(VLOOKUP($A164,EnrollData2324,'2324 Jun 24 Enroll'!M$1,FALSE)+VLOOKUP($A164,EnrollData2324,'2324 Jun 24 Enroll'!D$1,FALSE)='District Calculations'!$B$25+'District Calculations'!$B$11,VLOOKUP($A164,EnrollData2324,'2324 Jun 24 Enroll'!M$1,FALSE)+VLOOKUP($A164,EnrollData2324,'2324 Jun 24 Enroll'!D$1,FALSE),'District Calculations'!$B$25+'District Calculations'!$B$11),5)</f>
        <v>1.7399999999999999E-2</v>
      </c>
      <c r="AA164" s="6">
        <f>ROUND($J164*CIS_Base_Salary2324*VLOOKUP($A164,EnrollData2324,'2324 Jun 24 Enroll'!S$1,FALSE),2)</f>
        <v>4038.59</v>
      </c>
      <c r="AB164" s="6">
        <f>ROUND($J164*CIS_Inc_Salary2324*(VLOOKUP($A164,EnrollData2324,'2324 Jun 24 Enroll'!T$1,FALSE)+VLOOKUP($A164,EnrollData2324,'2324 Jun 24 Enroll'!U$1,FALSE)),2)-AA164</f>
        <v>149.43000000000029</v>
      </c>
      <c r="AC164" s="6">
        <f>ROUND($R164*CAS_Base_Salary2324*VLOOKUP($A164,EnrollData2324,'2324 Jun 24 Enroll'!S$1,FALSE),2)</f>
        <v>442.62</v>
      </c>
      <c r="AD164" s="6">
        <f>ROUND($R164*CAS_Inc_Salary2324*VLOOKUP($A164,EnrollData2324,'2324 Jun 24 Enroll'!T$1,FALSE),2)-AC164</f>
        <v>16.379999999999995</v>
      </c>
      <c r="AE164" s="6">
        <f>ROUND($Z164*CLS_Base_Salary2324*VLOOKUP($A164,EnrollData2324,'2324 Jun 24 Enroll'!S$1,FALSE),2)</f>
        <v>907.81</v>
      </c>
      <c r="AF164" s="6">
        <f>ROUND($Z164*CLS_Inc_Salary2324*VLOOKUP($A164,EnrollData2324,'2324 Jun 24 Enroll'!T$1,FALSE),2)-AE164</f>
        <v>33.580000000000041</v>
      </c>
      <c r="AG164">
        <f t="shared" si="48"/>
        <v>734.16</v>
      </c>
      <c r="AH164" s="69">
        <f t="shared" si="53"/>
        <v>68.700000000000045</v>
      </c>
      <c r="AI164">
        <f t="shared" si="49"/>
        <v>214.23</v>
      </c>
      <c r="AJ164">
        <f t="shared" si="54"/>
        <v>114.21000000000001</v>
      </c>
      <c r="AK164">
        <f t="shared" si="55"/>
        <v>805.27</v>
      </c>
      <c r="AL164">
        <f t="shared" si="56"/>
        <v>28.73</v>
      </c>
      <c r="AM164">
        <f t="shared" si="57"/>
        <v>200.26</v>
      </c>
      <c r="AN164">
        <f t="shared" si="58"/>
        <v>6.23</v>
      </c>
      <c r="AO164">
        <f>ROUND(($J164*CIS_Inc_Salary2324*(VLOOKUP($A164,EnrollData2324,'2324 Jun 24 Enroll'!T$1,FALSE)+VLOOKUP($A164,EnrollData2324,'2324 Jun 24 Enroll'!U$1,FALSE))/Apport_613Xpd)*Apport_614Xpd,2)</f>
        <v>69.8</v>
      </c>
      <c r="AP164">
        <f t="shared" si="59"/>
        <v>12.1</v>
      </c>
      <c r="AQ164">
        <f t="shared" ref="AQ164:AQ227" si="60">ROUND((J164*Apport_581X)*(Apport_116X*Apport_132X),2)</f>
        <v>30.93</v>
      </c>
      <c r="AR164" s="6">
        <f>ROUND((VLOOKUP($A164,EnrollData2324,'2324 Jun 24 Enroll'!D$1,FALSE)*Apport_M802324+VLOOKUP($A164,EnrollData2324,'2324 Jun 24 Enroll'!M$1,FALSE)*Apport_M802324+(VLOOKUP($A164,EnrollData2324,'2324 Jun 24 Enroll'!P$1,FALSE)+VLOOKUP($A164,EnrollData2324,'2324 Jun 24 Enroll'!Q$1,FALSE)+VLOOKUP($A164,EnrollData2324,'2324 Jun 24 Enroll'!R$1,FALSE)+VLOOKUP($A164,EnrollData2324,'2324 Jun 24 Enroll'!I$1,FALSE)+VLOOKUP($A164,EnrollData2324,'2324 Jun 24 Enroll'!N$1,FALSE)+VLOOKUP($A164,EnrollData2324,'2324 Jun 24 Enroll'!O$1,FALSE)+VLOOKUP($A164,EnrollData2324,'2324 Jun 24 Enroll'!K$1,FALSE)+VLOOKUP($A164,EnrollData2324,'2324 Jun 24 Enroll'!L$1,FALSE))*Apport_M812324)/(VLOOKUP($A164,EnrollData2324,'2324 Jun 24 Enroll'!M$1,FALSE)+VLOOKUP($A164,EnrollData2324,'2324 Jun 24 Enroll'!D$1,FALSE)),2)</f>
        <v>1632.86</v>
      </c>
      <c r="AS164" s="7">
        <f t="shared" si="47"/>
        <v>9505.89</v>
      </c>
    </row>
    <row r="165" spans="1:45">
      <c r="A165" s="40" t="s">
        <v>821</v>
      </c>
      <c r="B165" s="40" t="s">
        <v>822</v>
      </c>
      <c r="C165" s="11">
        <f>ROUND((IFERROR((1/IF(VLOOKUP($A165,EnrollData2324,28,FALSE)='District Calculations'!$B$10,VLOOKUP($A165,EnrollData2324,28,FALSE),'District Calculations'!$B$10))*(1+Apport_Z315),0))+Apport_201A2324,6)</f>
        <v>7.3449E-2</v>
      </c>
      <c r="D165">
        <f>ROUND(IF(VLOOKUP($A165,EnrollData2324,'2324 Jun 24 Enroll'!D$1,FALSE)='District Calculations'!$B$11,VLOOKUP($A165,EnrollData2324,'2324 Jun 24 Enroll'!D$1,FALSE),'District Calculations'!$B$11)*C165,3)</f>
        <v>0</v>
      </c>
      <c r="E165">
        <f>ROUND(IF(VLOOKUP($A165,EnrollData2324,'2324 Jun 24 Enroll'!E$1,FALSE)='District Calculations'!$B$12,VLOOKUP($A165,EnrollData2324,'2324 Jun 24 Enroll'!E$1,FALSE),'District Calculations'!$B$12)*C165,3)</f>
        <v>59.53</v>
      </c>
      <c r="F165">
        <f>ROUND(IF(VLOOKUP($A165,EnrollData2324,'2324 Jun 24 Enroll'!F$1,FALSE)='District Calculations'!$B$13,VLOOKUP($A165,EnrollData2324,'2324 Jun 24 Enroll'!F$1,FALSE),'District Calculations'!$B$13)*Apport_222A2324,3)</f>
        <v>10.101000000000001</v>
      </c>
      <c r="G165">
        <f>ROUND(IF(VLOOKUP($A165,EnrollData2324,'2324 Jun 24 Enroll'!G$1,FALSE)='District Calculations'!$B$14,VLOOKUP($A165,EnrollData2324,'2324 Jun 24 Enroll'!G$1,FALSE),'District Calculations'!$B$14)*Apport_210A2324,3)</f>
        <v>22.395</v>
      </c>
      <c r="H165">
        <f>ROUND(IF(VLOOKUP($A165,EnrollData2324,'2324 Jun 24 Enroll'!H$1,FALSE)='District Calculations'!$B$15,VLOOKUP($A165,EnrollData2324,'2324 Jun 24 Enroll'!H$1,FALSE),'District Calculations'!$B$15)*Apport_213A2324,3)</f>
        <v>23.091999999999999</v>
      </c>
      <c r="I165">
        <f>ROUND(IF(VLOOKUP($A165,EnrollData2324,'2324 Jun 24 Enroll'!I$1,FALSE)+VLOOKUP($A165,EnrollData2324,'2324 Jun 24 Enroll'!M$1,FALSE)-VLOOKUP($A165,EnrollData2324,'2324 Jun 24 Enroll'!J$1,FALSE)='District Calculations'!$B$16+'District Calculations'!$B$25-'District Calculations'!$B$17,VLOOKUP($A165,EnrollData2324,'2324 Jun 24 Enroll'!I$1,FALSE)+VLOOKUP($A165,EnrollData2324,'2324 Jun 24 Enroll'!M$1,FALSE)-VLOOKUP($A165,EnrollData2324,'2324 Jun 24 Enroll'!J$1,FALSE),'District Calculations'!$B$16+'District Calculations'!$B$25-'District Calculations'!$B$17)*Apport_216A2324,3)</f>
        <v>58.183999999999997</v>
      </c>
      <c r="J165">
        <f>ROUND(SUM(D165:I165)/(IF(VLOOKUP($A165,EnrollData2324,'2324 Jun 24 Enroll'!M$1,FALSE)='District Calculations'!$B$25,VLOOKUP($A165,EnrollData2324,'2324 Jun 24 Enroll'!M$1,FALSE),'District Calculations'!$B$25)+IF(VLOOKUP($A165,EnrollData2324,'2324 Jun 24 Enroll'!D$1,FALSE)='District Calculations'!$B$11,VLOOKUP($A165,EnrollData2324,'2324 Jun 24 Enroll'!D$1,FALSE),'District Calculations'!$B$11)),5)</f>
        <v>5.5530000000000003E-2</v>
      </c>
      <c r="K165" s="11">
        <f t="shared" si="51"/>
        <v>4.365E-3</v>
      </c>
      <c r="L165">
        <f>ROUND(IF(VLOOKUP($A165,EnrollData2324,'2324 Jun 24 Enroll'!D$1,FALSE)='District Calculations'!$B$11,VLOOKUP($A165,EnrollData2324,'2324 Jun 24 Enroll'!D$1,FALSE),'District Calculations'!$B$11)*K165,3)</f>
        <v>0</v>
      </c>
      <c r="M165">
        <f>ROUND(IF(VLOOKUP($A165,EnrollData2324,'2324 Jun 24 Enroll'!E$1,FALSE)='District Calculations'!$B$12,VLOOKUP($A165,EnrollData2324,'2324 Jun 24 Enroll'!E$1,FALSE),'District Calculations'!$B$12)*K165,3)</f>
        <v>3.5379999999999998</v>
      </c>
      <c r="N165">
        <f>ROUND(IF(VLOOKUP($A165,EnrollData2324,'2324 Jun 24 Enroll'!F$1,FALSE)='District Calculations'!$B$13,VLOOKUP($A165,EnrollData2324,'2324 Jun 24 Enroll'!F$1,FALSE),'District Calculations'!$B$13)*Apport_223A2324,3)</f>
        <v>0.84199999999999997</v>
      </c>
      <c r="O165">
        <f>ROUND(IF(VLOOKUP($A165,EnrollData2324,'2324 Jun 24 Enroll'!G$1,FALSE)='District Calculations'!$B$14,VLOOKUP($A165,EnrollData2324,'2324 Jun 24 Enroll'!G$1,FALSE),'District Calculations'!$B$14)*Apport_211A2324,3)</f>
        <v>1.867</v>
      </c>
      <c r="P165">
        <f>ROUND(IF(VLOOKUP($A165,EnrollData2324,'2324 Jun 24 Enroll'!H$1,FALSE)='District Calculations'!$B$14,VLOOKUP($A165,EnrollData2324,'2324 Jun 24 Enroll'!H$1,FALSE),'District Calculations'!$B$14)*Apport_214A2324,3)</f>
        <v>1.8660000000000001</v>
      </c>
      <c r="Q165">
        <f>ROUND(IF(VLOOKUP($A165,EnrollData2324,'2324 Jun 24 Enroll'!I$1,FALSE)+VLOOKUP($A165,EnrollData2324,'2324 Jun 24 Enroll'!M$1,FALSE)-VLOOKUP($A165,EnrollData2324,'2324 Jun 24 Enroll'!J$1,FALSE)='District Calculations'!$B$16+'District Calculations'!$B$25-'District Calculations'!$B$17,VLOOKUP($A165,EnrollData2324,'2324 Jun 24 Enroll'!I$1,FALSE)+VLOOKUP($A165,EnrollData2324,'2324 Jun 24 Enroll'!M$1,FALSE)-VLOOKUP($A165,EnrollData2324,'2324 Jun 24 Enroll'!J$1,FALSE),'District Calculations'!$B$16+'District Calculations'!$B$25-'District Calculations'!$B$17)*Apport_217A2324,3)</f>
        <v>4.6980000000000004</v>
      </c>
      <c r="R165">
        <f>ROUND(SUM(L165:Q165)/IF(VLOOKUP($A165,EnrollData2324,'2324 Jun 24 Enroll'!M$1,FALSE)+VLOOKUP($A165,EnrollData2324,'2324 Jun 24 Enroll'!D$1,FALSE)='District Calculations'!$B$25+'District Calculations'!$B$11,VLOOKUP($A165,EnrollData2324,'2324 Jun 24 Enroll'!M$1,FALSE)+VLOOKUP($A165,EnrollData2324,'2324 Jun 24 Enroll'!D$1,FALSE),'District Calculations'!$B$25+'District Calculations'!$B$11),5)</f>
        <v>4.1000000000000003E-3</v>
      </c>
      <c r="S165" s="11">
        <f t="shared" si="52"/>
        <v>1.8294500000000002E-2</v>
      </c>
      <c r="T165">
        <f>ROUND(IF(VLOOKUP($A165,EnrollData2324,'2324 Jun 24 Enroll'!D$1,FALSE)='District Calculations'!$B$11,VLOOKUP($A165,EnrollData2324,'2324 Jun 24 Enroll'!D$1,FALSE),'District Calculations'!$B$11)*S165,3)</f>
        <v>0</v>
      </c>
      <c r="U165">
        <f>ROUND(IF(VLOOKUP($A165,EnrollData2324,'2324 Jun 24 Enroll'!E$1,FALSE)='District Calculations'!$B$12,VLOOKUP($A165,EnrollData2324,'2324 Jun 24 Enroll'!E$1,FALSE),'District Calculations'!$B$12)*S165,3)</f>
        <v>14.827999999999999</v>
      </c>
      <c r="V165">
        <f>ROUND(IF(VLOOKUP($A165,EnrollData2324,'2324 Jun 24 Enroll'!F$1,FALSE)='District Calculations'!$B$13,VLOOKUP($A165,EnrollData2324,'2324 Jun 24 Enroll'!F$1,FALSE),'District Calculations'!$B$13)*Apport_224A2324,3)</f>
        <v>3.6190000000000002</v>
      </c>
      <c r="W165">
        <f>ROUND(IF(VLOOKUP($A165,EnrollData2324,'2324 Jun 24 Enroll'!G$1,FALSE)='District Calculations'!$B$14,VLOOKUP($A165,EnrollData2324,'2324 Jun 24 Enroll'!G$1,FALSE),'District Calculations'!$B$14)*Apport_212A2324,3)</f>
        <v>8.0239999999999991</v>
      </c>
      <c r="X165">
        <f>ROUND(IF(VLOOKUP($A165,EnrollData2324,'2324 Jun 24 Enroll'!H$1,FALSE)='District Calculations'!$B$14,VLOOKUP($A165,EnrollData2324,'2324 Jun 24 Enroll'!H$1,FALSE),'District Calculations'!$B$14)*Apport_215A2324,3)</f>
        <v>7.9279999999999999</v>
      </c>
      <c r="Y165">
        <f>ROUND(IF(VLOOKUP($A165,EnrollData2324,'2324 Jun 24 Enroll'!I$1,FALSE)+VLOOKUP($A165,EnrollData2324,'2324 Jun 24 Enroll'!M$1,FALSE)-VLOOKUP($A165,EnrollData2324,'2324 Jun 24 Enroll'!J$1,FALSE)='District Calculations'!$B$16+'District Calculations'!$B$25-'District Calculations'!$B$17,VLOOKUP($A165,EnrollData2324,'2324 Jun 24 Enroll'!I$1,FALSE)+VLOOKUP($A165,EnrollData2324,'2324 Jun 24 Enroll'!M$1,FALSE)-VLOOKUP($A165,EnrollData2324,'2324 Jun 24 Enroll'!J$1,FALSE),'District Calculations'!$B$16+'District Calculations'!$B$25-'District Calculations'!$B$17)*Apport_218A2324,3)</f>
        <v>19.917999999999999</v>
      </c>
      <c r="Z165">
        <f>ROUND(SUM(T165:Y165)/IF(VLOOKUP($A165,EnrollData2324,'2324 Jun 24 Enroll'!M$1,FALSE)+VLOOKUP($A165,EnrollData2324,'2324 Jun 24 Enroll'!D$1,FALSE)='District Calculations'!$B$25+'District Calculations'!$B$11,VLOOKUP($A165,EnrollData2324,'2324 Jun 24 Enroll'!M$1,FALSE)+VLOOKUP($A165,EnrollData2324,'2324 Jun 24 Enroll'!D$1,FALSE),'District Calculations'!$B$25+'District Calculations'!$B$11),5)</f>
        <v>1.7399999999999999E-2</v>
      </c>
      <c r="AA165" s="6">
        <f>ROUND($J165*CIS_Base_Salary2324*VLOOKUP($A165,EnrollData2324,'2324 Jun 24 Enroll'!S$1,FALSE),2)</f>
        <v>4038.59</v>
      </c>
      <c r="AB165" s="6">
        <f>ROUND($J165*CIS_Inc_Salary2324*(VLOOKUP($A165,EnrollData2324,'2324 Jun 24 Enroll'!T$1,FALSE)+VLOOKUP($A165,EnrollData2324,'2324 Jun 24 Enroll'!U$1,FALSE)),2)-AA165</f>
        <v>233.1899999999996</v>
      </c>
      <c r="AC165" s="6">
        <f>ROUND($R165*CAS_Base_Salary2324*VLOOKUP($A165,EnrollData2324,'2324 Jun 24 Enroll'!S$1,FALSE),2)</f>
        <v>442.62</v>
      </c>
      <c r="AD165" s="6">
        <f>ROUND($R165*CAS_Inc_Salary2324*VLOOKUP($A165,EnrollData2324,'2324 Jun 24 Enroll'!T$1,FALSE),2)-AC165</f>
        <v>16.379999999999995</v>
      </c>
      <c r="AE165" s="6">
        <f>ROUND($Z165*CLS_Base_Salary2324*VLOOKUP($A165,EnrollData2324,'2324 Jun 24 Enroll'!S$1,FALSE),2)</f>
        <v>907.81</v>
      </c>
      <c r="AF165" s="6">
        <f>ROUND($Z165*CLS_Inc_Salary2324*VLOOKUP($A165,EnrollData2324,'2324 Jun 24 Enroll'!T$1,FALSE),2)-AE165</f>
        <v>33.580000000000041</v>
      </c>
      <c r="AG165">
        <f t="shared" si="48"/>
        <v>734.16</v>
      </c>
      <c r="AH165" s="69">
        <f t="shared" si="53"/>
        <v>68.700000000000045</v>
      </c>
      <c r="AI165">
        <f t="shared" si="49"/>
        <v>214.23</v>
      </c>
      <c r="AJ165">
        <f t="shared" si="54"/>
        <v>114.21000000000001</v>
      </c>
      <c r="AK165">
        <f t="shared" si="55"/>
        <v>805.27</v>
      </c>
      <c r="AL165">
        <f t="shared" si="56"/>
        <v>43.25</v>
      </c>
      <c r="AM165">
        <f t="shared" si="57"/>
        <v>200.26</v>
      </c>
      <c r="AN165">
        <f t="shared" si="58"/>
        <v>6.23</v>
      </c>
      <c r="AO165">
        <f>ROUND(($J165*CIS_Inc_Salary2324*(VLOOKUP($A165,EnrollData2324,'2324 Jun 24 Enroll'!T$1,FALSE)+VLOOKUP($A165,EnrollData2324,'2324 Jun 24 Enroll'!U$1,FALSE))/Apport_613Xpd)*Apport_614Xpd,2)</f>
        <v>71.2</v>
      </c>
      <c r="AP165">
        <f t="shared" si="59"/>
        <v>12.34</v>
      </c>
      <c r="AQ165">
        <f t="shared" si="60"/>
        <v>30.93</v>
      </c>
      <c r="AR165" s="6">
        <f>ROUND((VLOOKUP($A165,EnrollData2324,'2324 Jun 24 Enroll'!D$1,FALSE)*Apport_M802324+VLOOKUP($A165,EnrollData2324,'2324 Jun 24 Enroll'!M$1,FALSE)*Apport_M802324+(VLOOKUP($A165,EnrollData2324,'2324 Jun 24 Enroll'!P$1,FALSE)+VLOOKUP($A165,EnrollData2324,'2324 Jun 24 Enroll'!Q$1,FALSE)+VLOOKUP($A165,EnrollData2324,'2324 Jun 24 Enroll'!R$1,FALSE)+VLOOKUP($A165,EnrollData2324,'2324 Jun 24 Enroll'!I$1,FALSE)+VLOOKUP($A165,EnrollData2324,'2324 Jun 24 Enroll'!N$1,FALSE)+VLOOKUP($A165,EnrollData2324,'2324 Jun 24 Enroll'!O$1,FALSE)+VLOOKUP($A165,EnrollData2324,'2324 Jun 24 Enroll'!K$1,FALSE)+VLOOKUP($A165,EnrollData2324,'2324 Jun 24 Enroll'!L$1,FALSE))*Apport_M812324)/(VLOOKUP($A165,EnrollData2324,'2324 Jun 24 Enroll'!M$1,FALSE)+VLOOKUP($A165,EnrollData2324,'2324 Jun 24 Enroll'!D$1,FALSE)),2)</f>
        <v>1548.68</v>
      </c>
      <c r="AS165" s="7">
        <f t="shared" si="47"/>
        <v>9521.6299999999992</v>
      </c>
    </row>
    <row r="166" spans="1:45">
      <c r="A166" s="40" t="s">
        <v>659</v>
      </c>
      <c r="B166" s="40" t="s">
        <v>660</v>
      </c>
      <c r="C166" s="11">
        <f>ROUND((IFERROR((1/IF(VLOOKUP($A166,EnrollData2324,28,FALSE)='District Calculations'!$B$10,VLOOKUP($A166,EnrollData2324,28,FALSE),'District Calculations'!$B$10))*(1+Apport_Z315),0))+Apport_201A2324,6)</f>
        <v>7.3449E-2</v>
      </c>
      <c r="D166">
        <f>ROUND(IF(VLOOKUP($A166,EnrollData2324,'2324 Jun 24 Enroll'!D$1,FALSE)='District Calculations'!$B$11,VLOOKUP($A166,EnrollData2324,'2324 Jun 24 Enroll'!D$1,FALSE),'District Calculations'!$B$11)*C166,3)</f>
        <v>0</v>
      </c>
      <c r="E166">
        <f>ROUND(IF(VLOOKUP($A166,EnrollData2324,'2324 Jun 24 Enroll'!E$1,FALSE)='District Calculations'!$B$12,VLOOKUP($A166,EnrollData2324,'2324 Jun 24 Enroll'!E$1,FALSE),'District Calculations'!$B$12)*C166,3)</f>
        <v>59.53</v>
      </c>
      <c r="F166">
        <f>ROUND(IF(VLOOKUP($A166,EnrollData2324,'2324 Jun 24 Enroll'!F$1,FALSE)='District Calculations'!$B$13,VLOOKUP($A166,EnrollData2324,'2324 Jun 24 Enroll'!F$1,FALSE),'District Calculations'!$B$13)*Apport_222A2324,3)</f>
        <v>10.101000000000001</v>
      </c>
      <c r="G166">
        <f>ROUND(IF(VLOOKUP($A166,EnrollData2324,'2324 Jun 24 Enroll'!G$1,FALSE)='District Calculations'!$B$14,VLOOKUP($A166,EnrollData2324,'2324 Jun 24 Enroll'!G$1,FALSE),'District Calculations'!$B$14)*Apport_210A2324,3)</f>
        <v>22.395</v>
      </c>
      <c r="H166">
        <f>ROUND(IF(VLOOKUP($A166,EnrollData2324,'2324 Jun 24 Enroll'!H$1,FALSE)='District Calculations'!$B$15,VLOOKUP($A166,EnrollData2324,'2324 Jun 24 Enroll'!H$1,FALSE),'District Calculations'!$B$15)*Apport_213A2324,3)</f>
        <v>23.091999999999999</v>
      </c>
      <c r="I166">
        <f>ROUND(IF(VLOOKUP($A166,EnrollData2324,'2324 Jun 24 Enroll'!I$1,FALSE)+VLOOKUP($A166,EnrollData2324,'2324 Jun 24 Enroll'!M$1,FALSE)-VLOOKUP($A166,EnrollData2324,'2324 Jun 24 Enroll'!J$1,FALSE)='District Calculations'!$B$16+'District Calculations'!$B$25-'District Calculations'!$B$17,VLOOKUP($A166,EnrollData2324,'2324 Jun 24 Enroll'!I$1,FALSE)+VLOOKUP($A166,EnrollData2324,'2324 Jun 24 Enroll'!M$1,FALSE)-VLOOKUP($A166,EnrollData2324,'2324 Jun 24 Enroll'!J$1,FALSE),'District Calculations'!$B$16+'District Calculations'!$B$25-'District Calculations'!$B$17)*Apport_216A2324,3)</f>
        <v>58.183999999999997</v>
      </c>
      <c r="J166">
        <f>ROUND(SUM(D166:I166)/(IF(VLOOKUP($A166,EnrollData2324,'2324 Jun 24 Enroll'!M$1,FALSE)='District Calculations'!$B$25,VLOOKUP($A166,EnrollData2324,'2324 Jun 24 Enroll'!M$1,FALSE),'District Calculations'!$B$25)+IF(VLOOKUP($A166,EnrollData2324,'2324 Jun 24 Enroll'!D$1,FALSE)='District Calculations'!$B$11,VLOOKUP($A166,EnrollData2324,'2324 Jun 24 Enroll'!D$1,FALSE),'District Calculations'!$B$11)),5)</f>
        <v>5.5530000000000003E-2</v>
      </c>
      <c r="K166" s="11">
        <f t="shared" si="51"/>
        <v>4.365E-3</v>
      </c>
      <c r="L166">
        <f>ROUND(IF(VLOOKUP($A166,EnrollData2324,'2324 Jun 24 Enroll'!D$1,FALSE)='District Calculations'!$B$11,VLOOKUP($A166,EnrollData2324,'2324 Jun 24 Enroll'!D$1,FALSE),'District Calculations'!$B$11)*K166,3)</f>
        <v>0</v>
      </c>
      <c r="M166">
        <f>ROUND(IF(VLOOKUP($A166,EnrollData2324,'2324 Jun 24 Enroll'!E$1,FALSE)='District Calculations'!$B$12,VLOOKUP($A166,EnrollData2324,'2324 Jun 24 Enroll'!E$1,FALSE),'District Calculations'!$B$12)*K166,3)</f>
        <v>3.5379999999999998</v>
      </c>
      <c r="N166">
        <f>ROUND(IF(VLOOKUP($A166,EnrollData2324,'2324 Jun 24 Enroll'!F$1,FALSE)='District Calculations'!$B$13,VLOOKUP($A166,EnrollData2324,'2324 Jun 24 Enroll'!F$1,FALSE),'District Calculations'!$B$13)*Apport_223A2324,3)</f>
        <v>0.84199999999999997</v>
      </c>
      <c r="O166">
        <f>ROUND(IF(VLOOKUP($A166,EnrollData2324,'2324 Jun 24 Enroll'!G$1,FALSE)='District Calculations'!$B$14,VLOOKUP($A166,EnrollData2324,'2324 Jun 24 Enroll'!G$1,FALSE),'District Calculations'!$B$14)*Apport_211A2324,3)</f>
        <v>1.867</v>
      </c>
      <c r="P166">
        <f>ROUND(IF(VLOOKUP($A166,EnrollData2324,'2324 Jun 24 Enroll'!H$1,FALSE)='District Calculations'!$B$14,VLOOKUP($A166,EnrollData2324,'2324 Jun 24 Enroll'!H$1,FALSE),'District Calculations'!$B$14)*Apport_214A2324,3)</f>
        <v>1.8660000000000001</v>
      </c>
      <c r="Q166">
        <f>ROUND(IF(VLOOKUP($A166,EnrollData2324,'2324 Jun 24 Enroll'!I$1,FALSE)+VLOOKUP($A166,EnrollData2324,'2324 Jun 24 Enroll'!M$1,FALSE)-VLOOKUP($A166,EnrollData2324,'2324 Jun 24 Enroll'!J$1,FALSE)='District Calculations'!$B$16+'District Calculations'!$B$25-'District Calculations'!$B$17,VLOOKUP($A166,EnrollData2324,'2324 Jun 24 Enroll'!I$1,FALSE)+VLOOKUP($A166,EnrollData2324,'2324 Jun 24 Enroll'!M$1,FALSE)-VLOOKUP($A166,EnrollData2324,'2324 Jun 24 Enroll'!J$1,FALSE),'District Calculations'!$B$16+'District Calculations'!$B$25-'District Calculations'!$B$17)*Apport_217A2324,3)</f>
        <v>4.6980000000000004</v>
      </c>
      <c r="R166">
        <f>ROUND(SUM(L166:Q166)/IF(VLOOKUP($A166,EnrollData2324,'2324 Jun 24 Enroll'!M$1,FALSE)+VLOOKUP($A166,EnrollData2324,'2324 Jun 24 Enroll'!D$1,FALSE)='District Calculations'!$B$25+'District Calculations'!$B$11,VLOOKUP($A166,EnrollData2324,'2324 Jun 24 Enroll'!M$1,FALSE)+VLOOKUP($A166,EnrollData2324,'2324 Jun 24 Enroll'!D$1,FALSE),'District Calculations'!$B$25+'District Calculations'!$B$11),5)</f>
        <v>4.1000000000000003E-3</v>
      </c>
      <c r="S166" s="11">
        <f t="shared" si="52"/>
        <v>1.8294500000000002E-2</v>
      </c>
      <c r="T166">
        <f>ROUND(IF(VLOOKUP($A166,EnrollData2324,'2324 Jun 24 Enroll'!D$1,FALSE)='District Calculations'!$B$11,VLOOKUP($A166,EnrollData2324,'2324 Jun 24 Enroll'!D$1,FALSE),'District Calculations'!$B$11)*S166,3)</f>
        <v>0</v>
      </c>
      <c r="U166">
        <f>ROUND(IF(VLOOKUP($A166,EnrollData2324,'2324 Jun 24 Enroll'!E$1,FALSE)='District Calculations'!$B$12,VLOOKUP($A166,EnrollData2324,'2324 Jun 24 Enroll'!E$1,FALSE),'District Calculations'!$B$12)*S166,3)</f>
        <v>14.827999999999999</v>
      </c>
      <c r="V166">
        <f>ROUND(IF(VLOOKUP($A166,EnrollData2324,'2324 Jun 24 Enroll'!F$1,FALSE)='District Calculations'!$B$13,VLOOKUP($A166,EnrollData2324,'2324 Jun 24 Enroll'!F$1,FALSE),'District Calculations'!$B$13)*Apport_224A2324,3)</f>
        <v>3.6190000000000002</v>
      </c>
      <c r="W166">
        <f>ROUND(IF(VLOOKUP($A166,EnrollData2324,'2324 Jun 24 Enroll'!G$1,FALSE)='District Calculations'!$B$14,VLOOKUP($A166,EnrollData2324,'2324 Jun 24 Enroll'!G$1,FALSE),'District Calculations'!$B$14)*Apport_212A2324,3)</f>
        <v>8.0239999999999991</v>
      </c>
      <c r="X166">
        <f>ROUND(IF(VLOOKUP($A166,EnrollData2324,'2324 Jun 24 Enroll'!H$1,FALSE)='District Calculations'!$B$14,VLOOKUP($A166,EnrollData2324,'2324 Jun 24 Enroll'!H$1,FALSE),'District Calculations'!$B$14)*Apport_215A2324,3)</f>
        <v>7.9279999999999999</v>
      </c>
      <c r="Y166">
        <f>ROUND(IF(VLOOKUP($A166,EnrollData2324,'2324 Jun 24 Enroll'!I$1,FALSE)+VLOOKUP($A166,EnrollData2324,'2324 Jun 24 Enroll'!M$1,FALSE)-VLOOKUP($A166,EnrollData2324,'2324 Jun 24 Enroll'!J$1,FALSE)='District Calculations'!$B$16+'District Calculations'!$B$25-'District Calculations'!$B$17,VLOOKUP($A166,EnrollData2324,'2324 Jun 24 Enroll'!I$1,FALSE)+VLOOKUP($A166,EnrollData2324,'2324 Jun 24 Enroll'!M$1,FALSE)-VLOOKUP($A166,EnrollData2324,'2324 Jun 24 Enroll'!J$1,FALSE),'District Calculations'!$B$16+'District Calculations'!$B$25-'District Calculations'!$B$17)*Apport_218A2324,3)</f>
        <v>19.917999999999999</v>
      </c>
      <c r="Z166">
        <f>ROUND(SUM(T166:Y166)/IF(VLOOKUP($A166,EnrollData2324,'2324 Jun 24 Enroll'!M$1,FALSE)+VLOOKUP($A166,EnrollData2324,'2324 Jun 24 Enroll'!D$1,FALSE)='District Calculations'!$B$25+'District Calculations'!$B$11,VLOOKUP($A166,EnrollData2324,'2324 Jun 24 Enroll'!M$1,FALSE)+VLOOKUP($A166,EnrollData2324,'2324 Jun 24 Enroll'!D$1,FALSE),'District Calculations'!$B$25+'District Calculations'!$B$11),5)</f>
        <v>1.7399999999999999E-2</v>
      </c>
      <c r="AA166" s="6">
        <f>ROUND($J166*CIS_Base_Salary2324*VLOOKUP($A166,EnrollData2324,'2324 Jun 24 Enroll'!S$1,FALSE),2)</f>
        <v>4038.59</v>
      </c>
      <c r="AB166" s="6">
        <f>ROUND($J166*CIS_Inc_Salary2324*(VLOOKUP($A166,EnrollData2324,'2324 Jun 24 Enroll'!T$1,FALSE)+VLOOKUP($A166,EnrollData2324,'2324 Jun 24 Enroll'!U$1,FALSE)),2)-AA166</f>
        <v>149.43000000000029</v>
      </c>
      <c r="AC166" s="6">
        <f>ROUND($R166*CAS_Base_Salary2324*VLOOKUP($A166,EnrollData2324,'2324 Jun 24 Enroll'!S$1,FALSE),2)</f>
        <v>442.62</v>
      </c>
      <c r="AD166" s="6">
        <f>ROUND($R166*CAS_Inc_Salary2324*VLOOKUP($A166,EnrollData2324,'2324 Jun 24 Enroll'!T$1,FALSE),2)-AC166</f>
        <v>16.379999999999995</v>
      </c>
      <c r="AE166" s="6">
        <f>ROUND($Z166*CLS_Base_Salary2324*VLOOKUP($A166,EnrollData2324,'2324 Jun 24 Enroll'!S$1,FALSE),2)</f>
        <v>907.81</v>
      </c>
      <c r="AF166" s="6">
        <f>ROUND($Z166*CLS_Inc_Salary2324*VLOOKUP($A166,EnrollData2324,'2324 Jun 24 Enroll'!T$1,FALSE),2)-AE166</f>
        <v>33.580000000000041</v>
      </c>
      <c r="AG166">
        <f t="shared" si="48"/>
        <v>734.16</v>
      </c>
      <c r="AH166" s="69">
        <f t="shared" si="53"/>
        <v>68.700000000000045</v>
      </c>
      <c r="AI166">
        <f t="shared" si="49"/>
        <v>214.23</v>
      </c>
      <c r="AJ166">
        <f t="shared" si="54"/>
        <v>114.21000000000001</v>
      </c>
      <c r="AK166">
        <f t="shared" si="55"/>
        <v>805.27</v>
      </c>
      <c r="AL166">
        <f t="shared" si="56"/>
        <v>28.73</v>
      </c>
      <c r="AM166">
        <f t="shared" si="57"/>
        <v>200.26</v>
      </c>
      <c r="AN166">
        <f t="shared" si="58"/>
        <v>6.23</v>
      </c>
      <c r="AO166">
        <f>ROUND(($J166*CIS_Inc_Salary2324*(VLOOKUP($A166,EnrollData2324,'2324 Jun 24 Enroll'!T$1,FALSE)+VLOOKUP($A166,EnrollData2324,'2324 Jun 24 Enroll'!U$1,FALSE))/Apport_613Xpd)*Apport_614Xpd,2)</f>
        <v>69.8</v>
      </c>
      <c r="AP166">
        <f t="shared" si="59"/>
        <v>12.1</v>
      </c>
      <c r="AQ166">
        <f t="shared" si="60"/>
        <v>30.93</v>
      </c>
      <c r="AR166" s="6">
        <f>ROUND((VLOOKUP($A166,EnrollData2324,'2324 Jun 24 Enroll'!D$1,FALSE)*Apport_M802324+VLOOKUP($A166,EnrollData2324,'2324 Jun 24 Enroll'!M$1,FALSE)*Apport_M802324+(VLOOKUP($A166,EnrollData2324,'2324 Jun 24 Enroll'!P$1,FALSE)+VLOOKUP($A166,EnrollData2324,'2324 Jun 24 Enroll'!Q$1,FALSE)+VLOOKUP($A166,EnrollData2324,'2324 Jun 24 Enroll'!R$1,FALSE)+VLOOKUP($A166,EnrollData2324,'2324 Jun 24 Enroll'!I$1,FALSE)+VLOOKUP($A166,EnrollData2324,'2324 Jun 24 Enroll'!N$1,FALSE)+VLOOKUP($A166,EnrollData2324,'2324 Jun 24 Enroll'!O$1,FALSE)+VLOOKUP($A166,EnrollData2324,'2324 Jun 24 Enroll'!K$1,FALSE)+VLOOKUP($A166,EnrollData2324,'2324 Jun 24 Enroll'!L$1,FALSE))*Apport_M812324)/(VLOOKUP($A166,EnrollData2324,'2324 Jun 24 Enroll'!M$1,FALSE)+VLOOKUP($A166,EnrollData2324,'2324 Jun 24 Enroll'!D$1,FALSE)),2)</f>
        <v>1545.42</v>
      </c>
      <c r="AS166" s="7">
        <f t="shared" ref="AS166:AS230" si="61">SUM(AA166:AR166)</f>
        <v>9418.4500000000007</v>
      </c>
    </row>
    <row r="167" spans="1:45">
      <c r="A167" s="40" t="s">
        <v>687</v>
      </c>
      <c r="B167" s="40" t="s">
        <v>688</v>
      </c>
      <c r="C167" s="11">
        <f>ROUND((IFERROR((1/IF(VLOOKUP($A167,EnrollData2324,28,FALSE)='District Calculations'!$B$10,VLOOKUP($A167,EnrollData2324,28,FALSE),'District Calculations'!$B$10))*(1+Apport_Z315),0))+Apport_201A2324,6)</f>
        <v>7.3449E-2</v>
      </c>
      <c r="D167">
        <f>ROUND(IF(VLOOKUP($A167,EnrollData2324,'2324 Jun 24 Enroll'!D$1,FALSE)='District Calculations'!$B$11,VLOOKUP($A167,EnrollData2324,'2324 Jun 24 Enroll'!D$1,FALSE),'District Calculations'!$B$11)*C167,3)</f>
        <v>0</v>
      </c>
      <c r="E167">
        <f>ROUND(IF(VLOOKUP($A167,EnrollData2324,'2324 Jun 24 Enroll'!E$1,FALSE)='District Calculations'!$B$12,VLOOKUP($A167,EnrollData2324,'2324 Jun 24 Enroll'!E$1,FALSE),'District Calculations'!$B$12)*C167,3)</f>
        <v>59.53</v>
      </c>
      <c r="F167">
        <f>ROUND(IF(VLOOKUP($A167,EnrollData2324,'2324 Jun 24 Enroll'!F$1,FALSE)='District Calculations'!$B$13,VLOOKUP($A167,EnrollData2324,'2324 Jun 24 Enroll'!F$1,FALSE),'District Calculations'!$B$13)*Apport_222A2324,3)</f>
        <v>10.101000000000001</v>
      </c>
      <c r="G167">
        <f>ROUND(IF(VLOOKUP($A167,EnrollData2324,'2324 Jun 24 Enroll'!G$1,FALSE)='District Calculations'!$B$14,VLOOKUP($A167,EnrollData2324,'2324 Jun 24 Enroll'!G$1,FALSE),'District Calculations'!$B$14)*Apport_210A2324,3)</f>
        <v>22.395</v>
      </c>
      <c r="H167">
        <f>ROUND(IF(VLOOKUP($A167,EnrollData2324,'2324 Jun 24 Enroll'!H$1,FALSE)='District Calculations'!$B$15,VLOOKUP($A167,EnrollData2324,'2324 Jun 24 Enroll'!H$1,FALSE),'District Calculations'!$B$15)*Apport_213A2324,3)</f>
        <v>23.091999999999999</v>
      </c>
      <c r="I167">
        <f>ROUND(IF(VLOOKUP($A167,EnrollData2324,'2324 Jun 24 Enroll'!I$1,FALSE)+VLOOKUP($A167,EnrollData2324,'2324 Jun 24 Enroll'!M$1,FALSE)-VLOOKUP($A167,EnrollData2324,'2324 Jun 24 Enroll'!J$1,FALSE)='District Calculations'!$B$16+'District Calculations'!$B$25-'District Calculations'!$B$17,VLOOKUP($A167,EnrollData2324,'2324 Jun 24 Enroll'!I$1,FALSE)+VLOOKUP($A167,EnrollData2324,'2324 Jun 24 Enroll'!M$1,FALSE)-VLOOKUP($A167,EnrollData2324,'2324 Jun 24 Enroll'!J$1,FALSE),'District Calculations'!$B$16+'District Calculations'!$B$25-'District Calculations'!$B$17)*Apport_216A2324,3)</f>
        <v>58.183999999999997</v>
      </c>
      <c r="J167">
        <f>ROUND(SUM(D167:I167)/(IF(VLOOKUP($A167,EnrollData2324,'2324 Jun 24 Enroll'!M$1,FALSE)='District Calculations'!$B$25,VLOOKUP($A167,EnrollData2324,'2324 Jun 24 Enroll'!M$1,FALSE),'District Calculations'!$B$25)+IF(VLOOKUP($A167,EnrollData2324,'2324 Jun 24 Enroll'!D$1,FALSE)='District Calculations'!$B$11,VLOOKUP($A167,EnrollData2324,'2324 Jun 24 Enroll'!D$1,FALSE),'District Calculations'!$B$11)),5)</f>
        <v>5.5530000000000003E-2</v>
      </c>
      <c r="K167" s="11">
        <f t="shared" si="51"/>
        <v>4.365E-3</v>
      </c>
      <c r="L167">
        <f>ROUND(IF(VLOOKUP($A167,EnrollData2324,'2324 Jun 24 Enroll'!D$1,FALSE)='District Calculations'!$B$11,VLOOKUP($A167,EnrollData2324,'2324 Jun 24 Enroll'!D$1,FALSE),'District Calculations'!$B$11)*K167,3)</f>
        <v>0</v>
      </c>
      <c r="M167">
        <f>ROUND(IF(VLOOKUP($A167,EnrollData2324,'2324 Jun 24 Enroll'!E$1,FALSE)='District Calculations'!$B$12,VLOOKUP($A167,EnrollData2324,'2324 Jun 24 Enroll'!E$1,FALSE),'District Calculations'!$B$12)*K167,3)</f>
        <v>3.5379999999999998</v>
      </c>
      <c r="N167">
        <f>ROUND(IF(VLOOKUP($A167,EnrollData2324,'2324 Jun 24 Enroll'!F$1,FALSE)='District Calculations'!$B$13,VLOOKUP($A167,EnrollData2324,'2324 Jun 24 Enroll'!F$1,FALSE),'District Calculations'!$B$13)*Apport_223A2324,3)</f>
        <v>0.84199999999999997</v>
      </c>
      <c r="O167">
        <f>ROUND(IF(VLOOKUP($A167,EnrollData2324,'2324 Jun 24 Enroll'!G$1,FALSE)='District Calculations'!$B$14,VLOOKUP($A167,EnrollData2324,'2324 Jun 24 Enroll'!G$1,FALSE),'District Calculations'!$B$14)*Apport_211A2324,3)</f>
        <v>1.867</v>
      </c>
      <c r="P167">
        <f>ROUND(IF(VLOOKUP($A167,EnrollData2324,'2324 Jun 24 Enroll'!H$1,FALSE)='District Calculations'!$B$14,VLOOKUP($A167,EnrollData2324,'2324 Jun 24 Enroll'!H$1,FALSE),'District Calculations'!$B$14)*Apport_214A2324,3)</f>
        <v>1.8660000000000001</v>
      </c>
      <c r="Q167">
        <f>ROUND(IF(VLOOKUP($A167,EnrollData2324,'2324 Jun 24 Enroll'!I$1,FALSE)+VLOOKUP($A167,EnrollData2324,'2324 Jun 24 Enroll'!M$1,FALSE)-VLOOKUP($A167,EnrollData2324,'2324 Jun 24 Enroll'!J$1,FALSE)='District Calculations'!$B$16+'District Calculations'!$B$25-'District Calculations'!$B$17,VLOOKUP($A167,EnrollData2324,'2324 Jun 24 Enroll'!I$1,FALSE)+VLOOKUP($A167,EnrollData2324,'2324 Jun 24 Enroll'!M$1,FALSE)-VLOOKUP($A167,EnrollData2324,'2324 Jun 24 Enroll'!J$1,FALSE),'District Calculations'!$B$16+'District Calculations'!$B$25-'District Calculations'!$B$17)*Apport_217A2324,3)</f>
        <v>4.6980000000000004</v>
      </c>
      <c r="R167">
        <f>ROUND(SUM(L167:Q167)/IF(VLOOKUP($A167,EnrollData2324,'2324 Jun 24 Enroll'!M$1,FALSE)+VLOOKUP($A167,EnrollData2324,'2324 Jun 24 Enroll'!D$1,FALSE)='District Calculations'!$B$25+'District Calculations'!$B$11,VLOOKUP($A167,EnrollData2324,'2324 Jun 24 Enroll'!M$1,FALSE)+VLOOKUP($A167,EnrollData2324,'2324 Jun 24 Enroll'!D$1,FALSE),'District Calculations'!$B$25+'District Calculations'!$B$11),5)</f>
        <v>4.1000000000000003E-3</v>
      </c>
      <c r="S167" s="11">
        <f t="shared" si="52"/>
        <v>1.8294500000000002E-2</v>
      </c>
      <c r="T167">
        <f>ROUND(IF(VLOOKUP($A167,EnrollData2324,'2324 Jun 24 Enroll'!D$1,FALSE)='District Calculations'!$B$11,VLOOKUP($A167,EnrollData2324,'2324 Jun 24 Enroll'!D$1,FALSE),'District Calculations'!$B$11)*S167,3)</f>
        <v>0</v>
      </c>
      <c r="U167">
        <f>ROUND(IF(VLOOKUP($A167,EnrollData2324,'2324 Jun 24 Enroll'!E$1,FALSE)='District Calculations'!$B$12,VLOOKUP($A167,EnrollData2324,'2324 Jun 24 Enroll'!E$1,FALSE),'District Calculations'!$B$12)*S167,3)</f>
        <v>14.827999999999999</v>
      </c>
      <c r="V167">
        <f>ROUND(IF(VLOOKUP($A167,EnrollData2324,'2324 Jun 24 Enroll'!F$1,FALSE)='District Calculations'!$B$13,VLOOKUP($A167,EnrollData2324,'2324 Jun 24 Enroll'!F$1,FALSE),'District Calculations'!$B$13)*Apport_224A2324,3)</f>
        <v>3.6190000000000002</v>
      </c>
      <c r="W167">
        <f>ROUND(IF(VLOOKUP($A167,EnrollData2324,'2324 Jun 24 Enroll'!G$1,FALSE)='District Calculations'!$B$14,VLOOKUP($A167,EnrollData2324,'2324 Jun 24 Enroll'!G$1,FALSE),'District Calculations'!$B$14)*Apport_212A2324,3)</f>
        <v>8.0239999999999991</v>
      </c>
      <c r="X167">
        <f>ROUND(IF(VLOOKUP($A167,EnrollData2324,'2324 Jun 24 Enroll'!H$1,FALSE)='District Calculations'!$B$14,VLOOKUP($A167,EnrollData2324,'2324 Jun 24 Enroll'!H$1,FALSE),'District Calculations'!$B$14)*Apport_215A2324,3)</f>
        <v>7.9279999999999999</v>
      </c>
      <c r="Y167">
        <f>ROUND(IF(VLOOKUP($A167,EnrollData2324,'2324 Jun 24 Enroll'!I$1,FALSE)+VLOOKUP($A167,EnrollData2324,'2324 Jun 24 Enroll'!M$1,FALSE)-VLOOKUP($A167,EnrollData2324,'2324 Jun 24 Enroll'!J$1,FALSE)='District Calculations'!$B$16+'District Calculations'!$B$25-'District Calculations'!$B$17,VLOOKUP($A167,EnrollData2324,'2324 Jun 24 Enroll'!I$1,FALSE)+VLOOKUP($A167,EnrollData2324,'2324 Jun 24 Enroll'!M$1,FALSE)-VLOOKUP($A167,EnrollData2324,'2324 Jun 24 Enroll'!J$1,FALSE),'District Calculations'!$B$16+'District Calculations'!$B$25-'District Calculations'!$B$17)*Apport_218A2324,3)</f>
        <v>19.917999999999999</v>
      </c>
      <c r="Z167">
        <f>ROUND(SUM(T167:Y167)/IF(VLOOKUP($A167,EnrollData2324,'2324 Jun 24 Enroll'!M$1,FALSE)+VLOOKUP($A167,EnrollData2324,'2324 Jun 24 Enroll'!D$1,FALSE)='District Calculations'!$B$25+'District Calculations'!$B$11,VLOOKUP($A167,EnrollData2324,'2324 Jun 24 Enroll'!M$1,FALSE)+VLOOKUP($A167,EnrollData2324,'2324 Jun 24 Enroll'!D$1,FALSE),'District Calculations'!$B$25+'District Calculations'!$B$11),5)</f>
        <v>1.7399999999999999E-2</v>
      </c>
      <c r="AA167" s="6">
        <f>ROUND($J167*CIS_Base_Salary2324*VLOOKUP($A167,EnrollData2324,'2324 Jun 24 Enroll'!S$1,FALSE),2)</f>
        <v>4038.59</v>
      </c>
      <c r="AB167" s="6">
        <f>ROUND($J167*CIS_Inc_Salary2324*(VLOOKUP($A167,EnrollData2324,'2324 Jun 24 Enroll'!T$1,FALSE)+VLOOKUP($A167,EnrollData2324,'2324 Jun 24 Enroll'!U$1,FALSE)),2)-AA167</f>
        <v>316.94999999999982</v>
      </c>
      <c r="AC167" s="6">
        <f>ROUND($R167*CAS_Base_Salary2324*VLOOKUP($A167,EnrollData2324,'2324 Jun 24 Enroll'!S$1,FALSE),2)</f>
        <v>442.62</v>
      </c>
      <c r="AD167" s="6">
        <f>ROUND($R167*CAS_Inc_Salary2324*VLOOKUP($A167,EnrollData2324,'2324 Jun 24 Enroll'!T$1,FALSE),2)-AC167</f>
        <v>16.379999999999995</v>
      </c>
      <c r="AE167" s="6">
        <f>ROUND($Z167*CLS_Base_Salary2324*VLOOKUP($A167,EnrollData2324,'2324 Jun 24 Enroll'!S$1,FALSE),2)</f>
        <v>907.81</v>
      </c>
      <c r="AF167" s="6">
        <f>ROUND($Z167*CLS_Inc_Salary2324*VLOOKUP($A167,EnrollData2324,'2324 Jun 24 Enroll'!T$1,FALSE),2)-AE167</f>
        <v>33.580000000000041</v>
      </c>
      <c r="AG167">
        <f t="shared" si="48"/>
        <v>734.16</v>
      </c>
      <c r="AH167" s="69">
        <f t="shared" si="53"/>
        <v>68.700000000000045</v>
      </c>
      <c r="AI167">
        <f t="shared" si="49"/>
        <v>214.23</v>
      </c>
      <c r="AJ167">
        <f t="shared" si="54"/>
        <v>114.21000000000001</v>
      </c>
      <c r="AK167">
        <f t="shared" si="55"/>
        <v>805.27</v>
      </c>
      <c r="AL167">
        <f t="shared" si="56"/>
        <v>57.77</v>
      </c>
      <c r="AM167">
        <f t="shared" si="57"/>
        <v>200.26</v>
      </c>
      <c r="AN167">
        <f t="shared" si="58"/>
        <v>6.23</v>
      </c>
      <c r="AO167">
        <f>ROUND(($J167*CIS_Inc_Salary2324*(VLOOKUP($A167,EnrollData2324,'2324 Jun 24 Enroll'!T$1,FALSE)+VLOOKUP($A167,EnrollData2324,'2324 Jun 24 Enroll'!U$1,FALSE))/Apport_613Xpd)*Apport_614Xpd,2)</f>
        <v>72.59</v>
      </c>
      <c r="AP167">
        <f t="shared" si="59"/>
        <v>12.58</v>
      </c>
      <c r="AQ167">
        <f t="shared" si="60"/>
        <v>30.93</v>
      </c>
      <c r="AR167" s="6">
        <f>ROUND((VLOOKUP($A167,EnrollData2324,'2324 Jun 24 Enroll'!D$1,FALSE)*Apport_M802324+VLOOKUP($A167,EnrollData2324,'2324 Jun 24 Enroll'!M$1,FALSE)*Apport_M802324+(VLOOKUP($A167,EnrollData2324,'2324 Jun 24 Enroll'!P$1,FALSE)+VLOOKUP($A167,EnrollData2324,'2324 Jun 24 Enroll'!Q$1,FALSE)+VLOOKUP($A167,EnrollData2324,'2324 Jun 24 Enroll'!R$1,FALSE)+VLOOKUP($A167,EnrollData2324,'2324 Jun 24 Enroll'!I$1,FALSE)+VLOOKUP($A167,EnrollData2324,'2324 Jun 24 Enroll'!N$1,FALSE)+VLOOKUP($A167,EnrollData2324,'2324 Jun 24 Enroll'!O$1,FALSE)+VLOOKUP($A167,EnrollData2324,'2324 Jun 24 Enroll'!K$1,FALSE)+VLOOKUP($A167,EnrollData2324,'2324 Jun 24 Enroll'!L$1,FALSE))*Apport_M812324)/(VLOOKUP($A167,EnrollData2324,'2324 Jun 24 Enroll'!M$1,FALSE)+VLOOKUP($A167,EnrollData2324,'2324 Jun 24 Enroll'!D$1,FALSE)),2)</f>
        <v>1539.04</v>
      </c>
      <c r="AS167" s="7">
        <f t="shared" si="61"/>
        <v>9611.9000000000015</v>
      </c>
    </row>
    <row r="168" spans="1:45">
      <c r="A168" s="40" t="s">
        <v>376</v>
      </c>
      <c r="B168" s="40" t="s">
        <v>377</v>
      </c>
      <c r="C168" s="11">
        <f>ROUND((IFERROR((1/IF(VLOOKUP($A168,EnrollData2324,28,FALSE)='District Calculations'!$B$10,VLOOKUP($A168,EnrollData2324,28,FALSE),'District Calculations'!$B$10))*(1+Apport_Z315),0))+Apport_201A2324,6)</f>
        <v>7.3449E-2</v>
      </c>
      <c r="D168">
        <f>ROUND(IF(VLOOKUP($A168,EnrollData2324,'2324 Jun 24 Enroll'!D$1,FALSE)='District Calculations'!$B$11,VLOOKUP($A168,EnrollData2324,'2324 Jun 24 Enroll'!D$1,FALSE),'District Calculations'!$B$11)*C168,3)</f>
        <v>0</v>
      </c>
      <c r="E168">
        <f>ROUND(IF(VLOOKUP($A168,EnrollData2324,'2324 Jun 24 Enroll'!E$1,FALSE)='District Calculations'!$B$12,VLOOKUP($A168,EnrollData2324,'2324 Jun 24 Enroll'!E$1,FALSE),'District Calculations'!$B$12)*C168,3)</f>
        <v>59.53</v>
      </c>
      <c r="F168">
        <f>ROUND(IF(VLOOKUP($A168,EnrollData2324,'2324 Jun 24 Enroll'!F$1,FALSE)='District Calculations'!$B$13,VLOOKUP($A168,EnrollData2324,'2324 Jun 24 Enroll'!F$1,FALSE),'District Calculations'!$B$13)*Apport_222A2324,3)</f>
        <v>10.101000000000001</v>
      </c>
      <c r="G168">
        <f>ROUND(IF(VLOOKUP($A168,EnrollData2324,'2324 Jun 24 Enroll'!G$1,FALSE)='District Calculations'!$B$14,VLOOKUP($A168,EnrollData2324,'2324 Jun 24 Enroll'!G$1,FALSE),'District Calculations'!$B$14)*Apport_210A2324,3)</f>
        <v>22.395</v>
      </c>
      <c r="H168">
        <f>ROUND(IF(VLOOKUP($A168,EnrollData2324,'2324 Jun 24 Enroll'!H$1,FALSE)='District Calculations'!$B$15,VLOOKUP($A168,EnrollData2324,'2324 Jun 24 Enroll'!H$1,FALSE),'District Calculations'!$B$15)*Apport_213A2324,3)</f>
        <v>23.091999999999999</v>
      </c>
      <c r="I168">
        <f>ROUND(IF(VLOOKUP($A168,EnrollData2324,'2324 Jun 24 Enroll'!I$1,FALSE)+VLOOKUP($A168,EnrollData2324,'2324 Jun 24 Enroll'!M$1,FALSE)-VLOOKUP($A168,EnrollData2324,'2324 Jun 24 Enroll'!J$1,FALSE)='District Calculations'!$B$16+'District Calculations'!$B$25-'District Calculations'!$B$17,VLOOKUP($A168,EnrollData2324,'2324 Jun 24 Enroll'!I$1,FALSE)+VLOOKUP($A168,EnrollData2324,'2324 Jun 24 Enroll'!M$1,FALSE)-VLOOKUP($A168,EnrollData2324,'2324 Jun 24 Enroll'!J$1,FALSE),'District Calculations'!$B$16+'District Calculations'!$B$25-'District Calculations'!$B$17)*Apport_216A2324,3)</f>
        <v>58.183999999999997</v>
      </c>
      <c r="J168">
        <f>ROUND(SUM(D168:I168)/(IF(VLOOKUP($A168,EnrollData2324,'2324 Jun 24 Enroll'!M$1,FALSE)='District Calculations'!$B$25,VLOOKUP($A168,EnrollData2324,'2324 Jun 24 Enroll'!M$1,FALSE),'District Calculations'!$B$25)+IF(VLOOKUP($A168,EnrollData2324,'2324 Jun 24 Enroll'!D$1,FALSE)='District Calculations'!$B$11,VLOOKUP($A168,EnrollData2324,'2324 Jun 24 Enroll'!D$1,FALSE),'District Calculations'!$B$11)),5)</f>
        <v>5.5530000000000003E-2</v>
      </c>
      <c r="K168" s="11">
        <f t="shared" si="51"/>
        <v>4.365E-3</v>
      </c>
      <c r="L168">
        <f>ROUND(IF(VLOOKUP($A168,EnrollData2324,'2324 Jun 24 Enroll'!D$1,FALSE)='District Calculations'!$B$11,VLOOKUP($A168,EnrollData2324,'2324 Jun 24 Enroll'!D$1,FALSE),'District Calculations'!$B$11)*K168,3)</f>
        <v>0</v>
      </c>
      <c r="M168">
        <f>ROUND(IF(VLOOKUP($A168,EnrollData2324,'2324 Jun 24 Enroll'!E$1,FALSE)='District Calculations'!$B$12,VLOOKUP($A168,EnrollData2324,'2324 Jun 24 Enroll'!E$1,FALSE),'District Calculations'!$B$12)*K168,3)</f>
        <v>3.5379999999999998</v>
      </c>
      <c r="N168">
        <f>ROUND(IF(VLOOKUP($A168,EnrollData2324,'2324 Jun 24 Enroll'!F$1,FALSE)='District Calculations'!$B$13,VLOOKUP($A168,EnrollData2324,'2324 Jun 24 Enroll'!F$1,FALSE),'District Calculations'!$B$13)*Apport_223A2324,3)</f>
        <v>0.84199999999999997</v>
      </c>
      <c r="O168">
        <f>ROUND(IF(VLOOKUP($A168,EnrollData2324,'2324 Jun 24 Enroll'!G$1,FALSE)='District Calculations'!$B$14,VLOOKUP($A168,EnrollData2324,'2324 Jun 24 Enroll'!G$1,FALSE),'District Calculations'!$B$14)*Apport_211A2324,3)</f>
        <v>1.867</v>
      </c>
      <c r="P168">
        <f>ROUND(IF(VLOOKUP($A168,EnrollData2324,'2324 Jun 24 Enroll'!H$1,FALSE)='District Calculations'!$B$14,VLOOKUP($A168,EnrollData2324,'2324 Jun 24 Enroll'!H$1,FALSE),'District Calculations'!$B$14)*Apport_214A2324,3)</f>
        <v>1.8660000000000001</v>
      </c>
      <c r="Q168">
        <f>ROUND(IF(VLOOKUP($A168,EnrollData2324,'2324 Jun 24 Enroll'!I$1,FALSE)+VLOOKUP($A168,EnrollData2324,'2324 Jun 24 Enroll'!M$1,FALSE)-VLOOKUP($A168,EnrollData2324,'2324 Jun 24 Enroll'!J$1,FALSE)='District Calculations'!$B$16+'District Calculations'!$B$25-'District Calculations'!$B$17,VLOOKUP($A168,EnrollData2324,'2324 Jun 24 Enroll'!I$1,FALSE)+VLOOKUP($A168,EnrollData2324,'2324 Jun 24 Enroll'!M$1,FALSE)-VLOOKUP($A168,EnrollData2324,'2324 Jun 24 Enroll'!J$1,FALSE),'District Calculations'!$B$16+'District Calculations'!$B$25-'District Calculations'!$B$17)*Apport_217A2324,3)</f>
        <v>4.6980000000000004</v>
      </c>
      <c r="R168">
        <f>ROUND(SUM(L168:Q168)/IF(VLOOKUP($A168,EnrollData2324,'2324 Jun 24 Enroll'!M$1,FALSE)+VLOOKUP($A168,EnrollData2324,'2324 Jun 24 Enroll'!D$1,FALSE)='District Calculations'!$B$25+'District Calculations'!$B$11,VLOOKUP($A168,EnrollData2324,'2324 Jun 24 Enroll'!M$1,FALSE)+VLOOKUP($A168,EnrollData2324,'2324 Jun 24 Enroll'!D$1,FALSE),'District Calculations'!$B$25+'District Calculations'!$B$11),5)</f>
        <v>4.1000000000000003E-3</v>
      </c>
      <c r="S168" s="11">
        <f t="shared" si="52"/>
        <v>1.8294500000000002E-2</v>
      </c>
      <c r="T168">
        <f>ROUND(IF(VLOOKUP($A168,EnrollData2324,'2324 Jun 24 Enroll'!D$1,FALSE)='District Calculations'!$B$11,VLOOKUP($A168,EnrollData2324,'2324 Jun 24 Enroll'!D$1,FALSE),'District Calculations'!$B$11)*S168,3)</f>
        <v>0</v>
      </c>
      <c r="U168">
        <f>ROUND(IF(VLOOKUP($A168,EnrollData2324,'2324 Jun 24 Enroll'!E$1,FALSE)='District Calculations'!$B$12,VLOOKUP($A168,EnrollData2324,'2324 Jun 24 Enroll'!E$1,FALSE),'District Calculations'!$B$12)*S168,3)</f>
        <v>14.827999999999999</v>
      </c>
      <c r="V168">
        <f>ROUND(IF(VLOOKUP($A168,EnrollData2324,'2324 Jun 24 Enroll'!F$1,FALSE)='District Calculations'!$B$13,VLOOKUP($A168,EnrollData2324,'2324 Jun 24 Enroll'!F$1,FALSE),'District Calculations'!$B$13)*Apport_224A2324,3)</f>
        <v>3.6190000000000002</v>
      </c>
      <c r="W168">
        <f>ROUND(IF(VLOOKUP($A168,EnrollData2324,'2324 Jun 24 Enroll'!G$1,FALSE)='District Calculations'!$B$14,VLOOKUP($A168,EnrollData2324,'2324 Jun 24 Enroll'!G$1,FALSE),'District Calculations'!$B$14)*Apport_212A2324,3)</f>
        <v>8.0239999999999991</v>
      </c>
      <c r="X168">
        <f>ROUND(IF(VLOOKUP($A168,EnrollData2324,'2324 Jun 24 Enroll'!H$1,FALSE)='District Calculations'!$B$14,VLOOKUP($A168,EnrollData2324,'2324 Jun 24 Enroll'!H$1,FALSE),'District Calculations'!$B$14)*Apport_215A2324,3)</f>
        <v>7.9279999999999999</v>
      </c>
      <c r="Y168">
        <f>ROUND(IF(VLOOKUP($A168,EnrollData2324,'2324 Jun 24 Enroll'!I$1,FALSE)+VLOOKUP($A168,EnrollData2324,'2324 Jun 24 Enroll'!M$1,FALSE)-VLOOKUP($A168,EnrollData2324,'2324 Jun 24 Enroll'!J$1,FALSE)='District Calculations'!$B$16+'District Calculations'!$B$25-'District Calculations'!$B$17,VLOOKUP($A168,EnrollData2324,'2324 Jun 24 Enroll'!I$1,FALSE)+VLOOKUP($A168,EnrollData2324,'2324 Jun 24 Enroll'!M$1,FALSE)-VLOOKUP($A168,EnrollData2324,'2324 Jun 24 Enroll'!J$1,FALSE),'District Calculations'!$B$16+'District Calculations'!$B$25-'District Calculations'!$B$17)*Apport_218A2324,3)</f>
        <v>19.917999999999999</v>
      </c>
      <c r="Z168">
        <f>ROUND(SUM(T168:Y168)/IF(VLOOKUP($A168,EnrollData2324,'2324 Jun 24 Enroll'!M$1,FALSE)+VLOOKUP($A168,EnrollData2324,'2324 Jun 24 Enroll'!D$1,FALSE)='District Calculations'!$B$25+'District Calculations'!$B$11,VLOOKUP($A168,EnrollData2324,'2324 Jun 24 Enroll'!M$1,FALSE)+VLOOKUP($A168,EnrollData2324,'2324 Jun 24 Enroll'!D$1,FALSE),'District Calculations'!$B$25+'District Calculations'!$B$11),5)</f>
        <v>1.7399999999999999E-2</v>
      </c>
      <c r="AA168" s="6">
        <f>ROUND($J168*CIS_Base_Salary2324*VLOOKUP($A168,EnrollData2324,'2324 Jun 24 Enroll'!S$1,FALSE),2)</f>
        <v>4038.59</v>
      </c>
      <c r="AB168" s="6">
        <f>ROUND($J168*CIS_Inc_Salary2324*(VLOOKUP($A168,EnrollData2324,'2324 Jun 24 Enroll'!T$1,FALSE)+VLOOKUP($A168,EnrollData2324,'2324 Jun 24 Enroll'!U$1,FALSE)),2)-AA168</f>
        <v>316.94999999999982</v>
      </c>
      <c r="AC168" s="6">
        <f>ROUND($R168*CAS_Base_Salary2324*VLOOKUP($A168,EnrollData2324,'2324 Jun 24 Enroll'!S$1,FALSE),2)</f>
        <v>442.62</v>
      </c>
      <c r="AD168" s="6">
        <f>ROUND($R168*CAS_Inc_Salary2324*VLOOKUP($A168,EnrollData2324,'2324 Jun 24 Enroll'!T$1,FALSE),2)-AC168</f>
        <v>16.379999999999995</v>
      </c>
      <c r="AE168" s="6">
        <f>ROUND($Z168*CLS_Base_Salary2324*VLOOKUP($A168,EnrollData2324,'2324 Jun 24 Enroll'!S$1,FALSE),2)</f>
        <v>907.81</v>
      </c>
      <c r="AF168" s="6">
        <f>ROUND($Z168*CLS_Inc_Salary2324*VLOOKUP($A168,EnrollData2324,'2324 Jun 24 Enroll'!T$1,FALSE),2)-AE168</f>
        <v>33.580000000000041</v>
      </c>
      <c r="AG168">
        <f t="shared" si="48"/>
        <v>734.16</v>
      </c>
      <c r="AH168" s="69">
        <f t="shared" si="53"/>
        <v>68.700000000000045</v>
      </c>
      <c r="AI168">
        <f t="shared" si="49"/>
        <v>214.23</v>
      </c>
      <c r="AJ168">
        <f t="shared" si="54"/>
        <v>114.21000000000001</v>
      </c>
      <c r="AK168">
        <f t="shared" si="55"/>
        <v>805.27</v>
      </c>
      <c r="AL168">
        <f t="shared" si="56"/>
        <v>57.77</v>
      </c>
      <c r="AM168">
        <f t="shared" si="57"/>
        <v>200.26</v>
      </c>
      <c r="AN168">
        <f t="shared" si="58"/>
        <v>6.23</v>
      </c>
      <c r="AO168">
        <f>ROUND(($J168*CIS_Inc_Salary2324*(VLOOKUP($A168,EnrollData2324,'2324 Jun 24 Enroll'!T$1,FALSE)+VLOOKUP($A168,EnrollData2324,'2324 Jun 24 Enroll'!U$1,FALSE))/Apport_613Xpd)*Apport_614Xpd,2)</f>
        <v>72.59</v>
      </c>
      <c r="AP168">
        <f t="shared" si="59"/>
        <v>12.58</v>
      </c>
      <c r="AQ168">
        <f t="shared" si="60"/>
        <v>30.93</v>
      </c>
      <c r="AR168" s="6">
        <f>ROUND((VLOOKUP($A168,EnrollData2324,'2324 Jun 24 Enroll'!D$1,FALSE)*Apport_M802324+VLOOKUP($A168,EnrollData2324,'2324 Jun 24 Enroll'!M$1,FALSE)*Apport_M802324+(VLOOKUP($A168,EnrollData2324,'2324 Jun 24 Enroll'!P$1,FALSE)+VLOOKUP($A168,EnrollData2324,'2324 Jun 24 Enroll'!Q$1,FALSE)+VLOOKUP($A168,EnrollData2324,'2324 Jun 24 Enroll'!R$1,FALSE)+VLOOKUP($A168,EnrollData2324,'2324 Jun 24 Enroll'!I$1,FALSE)+VLOOKUP($A168,EnrollData2324,'2324 Jun 24 Enroll'!N$1,FALSE)+VLOOKUP($A168,EnrollData2324,'2324 Jun 24 Enroll'!O$1,FALSE)+VLOOKUP($A168,EnrollData2324,'2324 Jun 24 Enroll'!K$1,FALSE)+VLOOKUP($A168,EnrollData2324,'2324 Jun 24 Enroll'!L$1,FALSE))*Apport_M812324)/(VLOOKUP($A168,EnrollData2324,'2324 Jun 24 Enroll'!M$1,FALSE)+VLOOKUP($A168,EnrollData2324,'2324 Jun 24 Enroll'!D$1,FALSE)),2)</f>
        <v>1551.94</v>
      </c>
      <c r="AS168" s="7">
        <f t="shared" si="61"/>
        <v>9624.8000000000011</v>
      </c>
    </row>
    <row r="169" spans="1:45">
      <c r="A169" s="40" t="s">
        <v>871</v>
      </c>
      <c r="B169" s="40" t="s">
        <v>872</v>
      </c>
      <c r="C169" s="11">
        <f>ROUND((IFERROR((1/IF(VLOOKUP($A169,EnrollData2324,28,FALSE)='District Calculations'!$B$10,VLOOKUP($A169,EnrollData2324,28,FALSE),'District Calculations'!$B$10))*(1+Apport_Z315),0))+Apport_201A2324,6)</f>
        <v>7.3449E-2</v>
      </c>
      <c r="D169">
        <f>ROUND(IF(VLOOKUP($A169,EnrollData2324,'2324 Jun 24 Enroll'!D$1,FALSE)='District Calculations'!$B$11,VLOOKUP($A169,EnrollData2324,'2324 Jun 24 Enroll'!D$1,FALSE),'District Calculations'!$B$11)*C169,3)</f>
        <v>0</v>
      </c>
      <c r="E169">
        <f>ROUND(IF(VLOOKUP($A169,EnrollData2324,'2324 Jun 24 Enroll'!E$1,FALSE)='District Calculations'!$B$12,VLOOKUP($A169,EnrollData2324,'2324 Jun 24 Enroll'!E$1,FALSE),'District Calculations'!$B$12)*C169,3)</f>
        <v>59.53</v>
      </c>
      <c r="F169">
        <f>ROUND(IF(VLOOKUP($A169,EnrollData2324,'2324 Jun 24 Enroll'!F$1,FALSE)='District Calculations'!$B$13,VLOOKUP($A169,EnrollData2324,'2324 Jun 24 Enroll'!F$1,FALSE),'District Calculations'!$B$13)*Apport_222A2324,3)</f>
        <v>10.101000000000001</v>
      </c>
      <c r="G169">
        <f>ROUND(IF(VLOOKUP($A169,EnrollData2324,'2324 Jun 24 Enroll'!G$1,FALSE)='District Calculations'!$B$14,VLOOKUP($A169,EnrollData2324,'2324 Jun 24 Enroll'!G$1,FALSE),'District Calculations'!$B$14)*Apport_210A2324,3)</f>
        <v>22.395</v>
      </c>
      <c r="H169">
        <f>ROUND(IF(VLOOKUP($A169,EnrollData2324,'2324 Jun 24 Enroll'!H$1,FALSE)='District Calculations'!$B$15,VLOOKUP($A169,EnrollData2324,'2324 Jun 24 Enroll'!H$1,FALSE),'District Calculations'!$B$15)*Apport_213A2324,3)</f>
        <v>23.091999999999999</v>
      </c>
      <c r="I169">
        <f>ROUND(IF(VLOOKUP($A169,EnrollData2324,'2324 Jun 24 Enroll'!I$1,FALSE)+VLOOKUP($A169,EnrollData2324,'2324 Jun 24 Enroll'!M$1,FALSE)-VLOOKUP($A169,EnrollData2324,'2324 Jun 24 Enroll'!J$1,FALSE)='District Calculations'!$B$16+'District Calculations'!$B$25-'District Calculations'!$B$17,VLOOKUP($A169,EnrollData2324,'2324 Jun 24 Enroll'!I$1,FALSE)+VLOOKUP($A169,EnrollData2324,'2324 Jun 24 Enroll'!M$1,FALSE)-VLOOKUP($A169,EnrollData2324,'2324 Jun 24 Enroll'!J$1,FALSE),'District Calculations'!$B$16+'District Calculations'!$B$25-'District Calculations'!$B$17)*Apport_216A2324,3)</f>
        <v>58.183999999999997</v>
      </c>
      <c r="J169">
        <f>ROUND(SUM(D169:I169)/(IF(VLOOKUP($A169,EnrollData2324,'2324 Jun 24 Enroll'!M$1,FALSE)='District Calculations'!$B$25,VLOOKUP($A169,EnrollData2324,'2324 Jun 24 Enroll'!M$1,FALSE),'District Calculations'!$B$25)+IF(VLOOKUP($A169,EnrollData2324,'2324 Jun 24 Enroll'!D$1,FALSE)='District Calculations'!$B$11,VLOOKUP($A169,EnrollData2324,'2324 Jun 24 Enroll'!D$1,FALSE),'District Calculations'!$B$11)),5)</f>
        <v>5.5530000000000003E-2</v>
      </c>
      <c r="K169" s="11">
        <f t="shared" si="51"/>
        <v>4.365E-3</v>
      </c>
      <c r="L169">
        <f>ROUND(IF(VLOOKUP($A169,EnrollData2324,'2324 Jun 24 Enroll'!D$1,FALSE)='District Calculations'!$B$11,VLOOKUP($A169,EnrollData2324,'2324 Jun 24 Enroll'!D$1,FALSE),'District Calculations'!$B$11)*K169,3)</f>
        <v>0</v>
      </c>
      <c r="M169">
        <f>ROUND(IF(VLOOKUP($A169,EnrollData2324,'2324 Jun 24 Enroll'!E$1,FALSE)='District Calculations'!$B$12,VLOOKUP($A169,EnrollData2324,'2324 Jun 24 Enroll'!E$1,FALSE),'District Calculations'!$B$12)*K169,3)</f>
        <v>3.5379999999999998</v>
      </c>
      <c r="N169">
        <f>ROUND(IF(VLOOKUP($A169,EnrollData2324,'2324 Jun 24 Enroll'!F$1,FALSE)='District Calculations'!$B$13,VLOOKUP($A169,EnrollData2324,'2324 Jun 24 Enroll'!F$1,FALSE),'District Calculations'!$B$13)*Apport_223A2324,3)</f>
        <v>0.84199999999999997</v>
      </c>
      <c r="O169">
        <f>ROUND(IF(VLOOKUP($A169,EnrollData2324,'2324 Jun 24 Enroll'!G$1,FALSE)='District Calculations'!$B$14,VLOOKUP($A169,EnrollData2324,'2324 Jun 24 Enroll'!G$1,FALSE),'District Calculations'!$B$14)*Apport_211A2324,3)</f>
        <v>1.867</v>
      </c>
      <c r="P169">
        <f>ROUND(IF(VLOOKUP($A169,EnrollData2324,'2324 Jun 24 Enroll'!H$1,FALSE)='District Calculations'!$B$14,VLOOKUP($A169,EnrollData2324,'2324 Jun 24 Enroll'!H$1,FALSE),'District Calculations'!$B$14)*Apport_214A2324,3)</f>
        <v>1.8660000000000001</v>
      </c>
      <c r="Q169">
        <f>ROUND(IF(VLOOKUP($A169,EnrollData2324,'2324 Jun 24 Enroll'!I$1,FALSE)+VLOOKUP($A169,EnrollData2324,'2324 Jun 24 Enroll'!M$1,FALSE)-VLOOKUP($A169,EnrollData2324,'2324 Jun 24 Enroll'!J$1,FALSE)='District Calculations'!$B$16+'District Calculations'!$B$25-'District Calculations'!$B$17,VLOOKUP($A169,EnrollData2324,'2324 Jun 24 Enroll'!I$1,FALSE)+VLOOKUP($A169,EnrollData2324,'2324 Jun 24 Enroll'!M$1,FALSE)-VLOOKUP($A169,EnrollData2324,'2324 Jun 24 Enroll'!J$1,FALSE),'District Calculations'!$B$16+'District Calculations'!$B$25-'District Calculations'!$B$17)*Apport_217A2324,3)</f>
        <v>4.6980000000000004</v>
      </c>
      <c r="R169">
        <f>ROUND(SUM(L169:Q169)/IF(VLOOKUP($A169,EnrollData2324,'2324 Jun 24 Enroll'!M$1,FALSE)+VLOOKUP($A169,EnrollData2324,'2324 Jun 24 Enroll'!D$1,FALSE)='District Calculations'!$B$25+'District Calculations'!$B$11,VLOOKUP($A169,EnrollData2324,'2324 Jun 24 Enroll'!M$1,FALSE)+VLOOKUP($A169,EnrollData2324,'2324 Jun 24 Enroll'!D$1,FALSE),'District Calculations'!$B$25+'District Calculations'!$B$11),5)</f>
        <v>4.1000000000000003E-3</v>
      </c>
      <c r="S169" s="11">
        <f t="shared" si="52"/>
        <v>1.8294500000000002E-2</v>
      </c>
      <c r="T169">
        <f>ROUND(IF(VLOOKUP($A169,EnrollData2324,'2324 Jun 24 Enroll'!D$1,FALSE)='District Calculations'!$B$11,VLOOKUP($A169,EnrollData2324,'2324 Jun 24 Enroll'!D$1,FALSE),'District Calculations'!$B$11)*S169,3)</f>
        <v>0</v>
      </c>
      <c r="U169">
        <f>ROUND(IF(VLOOKUP($A169,EnrollData2324,'2324 Jun 24 Enroll'!E$1,FALSE)='District Calculations'!$B$12,VLOOKUP($A169,EnrollData2324,'2324 Jun 24 Enroll'!E$1,FALSE),'District Calculations'!$B$12)*S169,3)</f>
        <v>14.827999999999999</v>
      </c>
      <c r="V169">
        <f>ROUND(IF(VLOOKUP($A169,EnrollData2324,'2324 Jun 24 Enroll'!F$1,FALSE)='District Calculations'!$B$13,VLOOKUP($A169,EnrollData2324,'2324 Jun 24 Enroll'!F$1,FALSE),'District Calculations'!$B$13)*Apport_224A2324,3)</f>
        <v>3.6190000000000002</v>
      </c>
      <c r="W169">
        <f>ROUND(IF(VLOOKUP($A169,EnrollData2324,'2324 Jun 24 Enroll'!G$1,FALSE)='District Calculations'!$B$14,VLOOKUP($A169,EnrollData2324,'2324 Jun 24 Enroll'!G$1,FALSE),'District Calculations'!$B$14)*Apport_212A2324,3)</f>
        <v>8.0239999999999991</v>
      </c>
      <c r="X169">
        <f>ROUND(IF(VLOOKUP($A169,EnrollData2324,'2324 Jun 24 Enroll'!H$1,FALSE)='District Calculations'!$B$14,VLOOKUP($A169,EnrollData2324,'2324 Jun 24 Enroll'!H$1,FALSE),'District Calculations'!$B$14)*Apport_215A2324,3)</f>
        <v>7.9279999999999999</v>
      </c>
      <c r="Y169">
        <f>ROUND(IF(VLOOKUP($A169,EnrollData2324,'2324 Jun 24 Enroll'!I$1,FALSE)+VLOOKUP($A169,EnrollData2324,'2324 Jun 24 Enroll'!M$1,FALSE)-VLOOKUP($A169,EnrollData2324,'2324 Jun 24 Enroll'!J$1,FALSE)='District Calculations'!$B$16+'District Calculations'!$B$25-'District Calculations'!$B$17,VLOOKUP($A169,EnrollData2324,'2324 Jun 24 Enroll'!I$1,FALSE)+VLOOKUP($A169,EnrollData2324,'2324 Jun 24 Enroll'!M$1,FALSE)-VLOOKUP($A169,EnrollData2324,'2324 Jun 24 Enroll'!J$1,FALSE),'District Calculations'!$B$16+'District Calculations'!$B$25-'District Calculations'!$B$17)*Apport_218A2324,3)</f>
        <v>19.917999999999999</v>
      </c>
      <c r="Z169">
        <f>ROUND(SUM(T169:Y169)/IF(VLOOKUP($A169,EnrollData2324,'2324 Jun 24 Enroll'!M$1,FALSE)+VLOOKUP($A169,EnrollData2324,'2324 Jun 24 Enroll'!D$1,FALSE)='District Calculations'!$B$25+'District Calculations'!$B$11,VLOOKUP($A169,EnrollData2324,'2324 Jun 24 Enroll'!M$1,FALSE)+VLOOKUP($A169,EnrollData2324,'2324 Jun 24 Enroll'!D$1,FALSE),'District Calculations'!$B$25+'District Calculations'!$B$11),5)</f>
        <v>1.7399999999999999E-2</v>
      </c>
      <c r="AA169" s="6">
        <f>ROUND($J169*CIS_Base_Salary2324*VLOOKUP($A169,EnrollData2324,'2324 Jun 24 Enroll'!S$1,FALSE),2)</f>
        <v>4038.59</v>
      </c>
      <c r="AB169" s="6">
        <f>ROUND($J169*CIS_Inc_Salary2324*(VLOOKUP($A169,EnrollData2324,'2324 Jun 24 Enroll'!T$1,FALSE)+VLOOKUP($A169,EnrollData2324,'2324 Jun 24 Enroll'!U$1,FALSE)),2)-AA169</f>
        <v>149.43000000000029</v>
      </c>
      <c r="AC169" s="6">
        <f>ROUND($R169*CAS_Base_Salary2324*VLOOKUP($A169,EnrollData2324,'2324 Jun 24 Enroll'!S$1,FALSE),2)</f>
        <v>442.62</v>
      </c>
      <c r="AD169" s="6">
        <f>ROUND($R169*CAS_Inc_Salary2324*VLOOKUP($A169,EnrollData2324,'2324 Jun 24 Enroll'!T$1,FALSE),2)-AC169</f>
        <v>16.379999999999995</v>
      </c>
      <c r="AE169" s="6">
        <f>ROUND($Z169*CLS_Base_Salary2324*VLOOKUP($A169,EnrollData2324,'2324 Jun 24 Enroll'!S$1,FALSE),2)</f>
        <v>907.81</v>
      </c>
      <c r="AF169" s="6">
        <f>ROUND($Z169*CLS_Inc_Salary2324*VLOOKUP($A169,EnrollData2324,'2324 Jun 24 Enroll'!T$1,FALSE),2)-AE169</f>
        <v>33.580000000000041</v>
      </c>
      <c r="AG169">
        <f t="shared" si="48"/>
        <v>734.16</v>
      </c>
      <c r="AH169" s="69">
        <f t="shared" si="53"/>
        <v>68.700000000000045</v>
      </c>
      <c r="AI169">
        <f t="shared" si="49"/>
        <v>214.23</v>
      </c>
      <c r="AJ169">
        <f t="shared" si="54"/>
        <v>114.21000000000001</v>
      </c>
      <c r="AK169">
        <f t="shared" si="55"/>
        <v>805.27</v>
      </c>
      <c r="AL169">
        <f t="shared" si="56"/>
        <v>28.73</v>
      </c>
      <c r="AM169">
        <f t="shared" si="57"/>
        <v>200.26</v>
      </c>
      <c r="AN169">
        <f t="shared" si="58"/>
        <v>6.23</v>
      </c>
      <c r="AO169">
        <f>ROUND(($J169*CIS_Inc_Salary2324*(VLOOKUP($A169,EnrollData2324,'2324 Jun 24 Enroll'!T$1,FALSE)+VLOOKUP($A169,EnrollData2324,'2324 Jun 24 Enroll'!U$1,FALSE))/Apport_613Xpd)*Apport_614Xpd,2)</f>
        <v>69.8</v>
      </c>
      <c r="AP169">
        <f t="shared" si="59"/>
        <v>12.1</v>
      </c>
      <c r="AQ169">
        <f t="shared" si="60"/>
        <v>30.93</v>
      </c>
      <c r="AR169" s="6">
        <f>ROUND((VLOOKUP($A169,EnrollData2324,'2324 Jun 24 Enroll'!D$1,FALSE)*Apport_M802324+VLOOKUP($A169,EnrollData2324,'2324 Jun 24 Enroll'!M$1,FALSE)*Apport_M802324+(VLOOKUP($A169,EnrollData2324,'2324 Jun 24 Enroll'!P$1,FALSE)+VLOOKUP($A169,EnrollData2324,'2324 Jun 24 Enroll'!Q$1,FALSE)+VLOOKUP($A169,EnrollData2324,'2324 Jun 24 Enroll'!R$1,FALSE)+VLOOKUP($A169,EnrollData2324,'2324 Jun 24 Enroll'!I$1,FALSE)+VLOOKUP($A169,EnrollData2324,'2324 Jun 24 Enroll'!N$1,FALSE)+VLOOKUP($A169,EnrollData2324,'2324 Jun 24 Enroll'!O$1,FALSE)+VLOOKUP($A169,EnrollData2324,'2324 Jun 24 Enroll'!K$1,FALSE)+VLOOKUP($A169,EnrollData2324,'2324 Jun 24 Enroll'!L$1,FALSE))*Apport_M812324)/(VLOOKUP($A169,EnrollData2324,'2324 Jun 24 Enroll'!M$1,FALSE)+VLOOKUP($A169,EnrollData2324,'2324 Jun 24 Enroll'!D$1,FALSE)),2)</f>
        <v>1541.89</v>
      </c>
      <c r="AS169" s="7">
        <f t="shared" si="61"/>
        <v>9414.92</v>
      </c>
    </row>
    <row r="170" spans="1:45">
      <c r="A170" s="40" t="s">
        <v>374</v>
      </c>
      <c r="B170" s="40" t="s">
        <v>375</v>
      </c>
      <c r="C170" s="11">
        <f>ROUND((IFERROR((1/IF(VLOOKUP($A170,EnrollData2324,28,FALSE)='District Calculations'!$B$10,VLOOKUP($A170,EnrollData2324,28,FALSE),'District Calculations'!$B$10))*(1+Apport_Z315),0))+Apport_201A2324,6)</f>
        <v>7.3449E-2</v>
      </c>
      <c r="D170">
        <f>ROUND(IF(VLOOKUP($A170,EnrollData2324,'2324 Jun 24 Enroll'!D$1,FALSE)='District Calculations'!$B$11,VLOOKUP($A170,EnrollData2324,'2324 Jun 24 Enroll'!D$1,FALSE),'District Calculations'!$B$11)*C170,3)</f>
        <v>0</v>
      </c>
      <c r="E170">
        <f>ROUND(IF(VLOOKUP($A170,EnrollData2324,'2324 Jun 24 Enroll'!E$1,FALSE)='District Calculations'!$B$12,VLOOKUP($A170,EnrollData2324,'2324 Jun 24 Enroll'!E$1,FALSE),'District Calculations'!$B$12)*C170,3)</f>
        <v>59.53</v>
      </c>
      <c r="F170">
        <f>ROUND(IF(VLOOKUP($A170,EnrollData2324,'2324 Jun 24 Enroll'!F$1,FALSE)='District Calculations'!$B$13,VLOOKUP($A170,EnrollData2324,'2324 Jun 24 Enroll'!F$1,FALSE),'District Calculations'!$B$13)*Apport_222A2324,3)</f>
        <v>10.101000000000001</v>
      </c>
      <c r="G170">
        <f>ROUND(IF(VLOOKUP($A170,EnrollData2324,'2324 Jun 24 Enroll'!G$1,FALSE)='District Calculations'!$B$14,VLOOKUP($A170,EnrollData2324,'2324 Jun 24 Enroll'!G$1,FALSE),'District Calculations'!$B$14)*Apport_210A2324,3)</f>
        <v>22.395</v>
      </c>
      <c r="H170">
        <f>ROUND(IF(VLOOKUP($A170,EnrollData2324,'2324 Jun 24 Enroll'!H$1,FALSE)='District Calculations'!$B$15,VLOOKUP($A170,EnrollData2324,'2324 Jun 24 Enroll'!H$1,FALSE),'District Calculations'!$B$15)*Apport_213A2324,3)</f>
        <v>23.091999999999999</v>
      </c>
      <c r="I170">
        <f>ROUND(IF(VLOOKUP($A170,EnrollData2324,'2324 Jun 24 Enroll'!I$1,FALSE)+VLOOKUP($A170,EnrollData2324,'2324 Jun 24 Enroll'!M$1,FALSE)-VLOOKUP($A170,EnrollData2324,'2324 Jun 24 Enroll'!J$1,FALSE)='District Calculations'!$B$16+'District Calculations'!$B$25-'District Calculations'!$B$17,VLOOKUP($A170,EnrollData2324,'2324 Jun 24 Enroll'!I$1,FALSE)+VLOOKUP($A170,EnrollData2324,'2324 Jun 24 Enroll'!M$1,FALSE)-VLOOKUP($A170,EnrollData2324,'2324 Jun 24 Enroll'!J$1,FALSE),'District Calculations'!$B$16+'District Calculations'!$B$25-'District Calculations'!$B$17)*Apport_216A2324,3)</f>
        <v>58.183999999999997</v>
      </c>
      <c r="J170">
        <f>ROUND(SUM(D170:I170)/(IF(VLOOKUP($A170,EnrollData2324,'2324 Jun 24 Enroll'!M$1,FALSE)='District Calculations'!$B$25,VLOOKUP($A170,EnrollData2324,'2324 Jun 24 Enroll'!M$1,FALSE),'District Calculations'!$B$25)+IF(VLOOKUP($A170,EnrollData2324,'2324 Jun 24 Enroll'!D$1,FALSE)='District Calculations'!$B$11,VLOOKUP($A170,EnrollData2324,'2324 Jun 24 Enroll'!D$1,FALSE),'District Calculations'!$B$11)),5)</f>
        <v>5.5530000000000003E-2</v>
      </c>
      <c r="K170" s="11">
        <f t="shared" si="51"/>
        <v>4.365E-3</v>
      </c>
      <c r="L170">
        <f>ROUND(IF(VLOOKUP($A170,EnrollData2324,'2324 Jun 24 Enroll'!D$1,FALSE)='District Calculations'!$B$11,VLOOKUP($A170,EnrollData2324,'2324 Jun 24 Enroll'!D$1,FALSE),'District Calculations'!$B$11)*K170,3)</f>
        <v>0</v>
      </c>
      <c r="M170">
        <f>ROUND(IF(VLOOKUP($A170,EnrollData2324,'2324 Jun 24 Enroll'!E$1,FALSE)='District Calculations'!$B$12,VLOOKUP($A170,EnrollData2324,'2324 Jun 24 Enroll'!E$1,FALSE),'District Calculations'!$B$12)*K170,3)</f>
        <v>3.5379999999999998</v>
      </c>
      <c r="N170">
        <f>ROUND(IF(VLOOKUP($A170,EnrollData2324,'2324 Jun 24 Enroll'!F$1,FALSE)='District Calculations'!$B$13,VLOOKUP($A170,EnrollData2324,'2324 Jun 24 Enroll'!F$1,FALSE),'District Calculations'!$B$13)*Apport_223A2324,3)</f>
        <v>0.84199999999999997</v>
      </c>
      <c r="O170">
        <f>ROUND(IF(VLOOKUP($A170,EnrollData2324,'2324 Jun 24 Enroll'!G$1,FALSE)='District Calculations'!$B$14,VLOOKUP($A170,EnrollData2324,'2324 Jun 24 Enroll'!G$1,FALSE),'District Calculations'!$B$14)*Apport_211A2324,3)</f>
        <v>1.867</v>
      </c>
      <c r="P170">
        <f>ROUND(IF(VLOOKUP($A170,EnrollData2324,'2324 Jun 24 Enroll'!H$1,FALSE)='District Calculations'!$B$14,VLOOKUP($A170,EnrollData2324,'2324 Jun 24 Enroll'!H$1,FALSE),'District Calculations'!$B$14)*Apport_214A2324,3)</f>
        <v>1.8660000000000001</v>
      </c>
      <c r="Q170">
        <f>ROUND(IF(VLOOKUP($A170,EnrollData2324,'2324 Jun 24 Enroll'!I$1,FALSE)+VLOOKUP($A170,EnrollData2324,'2324 Jun 24 Enroll'!M$1,FALSE)-VLOOKUP($A170,EnrollData2324,'2324 Jun 24 Enroll'!J$1,FALSE)='District Calculations'!$B$16+'District Calculations'!$B$25-'District Calculations'!$B$17,VLOOKUP($A170,EnrollData2324,'2324 Jun 24 Enroll'!I$1,FALSE)+VLOOKUP($A170,EnrollData2324,'2324 Jun 24 Enroll'!M$1,FALSE)-VLOOKUP($A170,EnrollData2324,'2324 Jun 24 Enroll'!J$1,FALSE),'District Calculations'!$B$16+'District Calculations'!$B$25-'District Calculations'!$B$17)*Apport_217A2324,3)</f>
        <v>4.6980000000000004</v>
      </c>
      <c r="R170">
        <f>ROUND(SUM(L170:Q170)/IF(VLOOKUP($A170,EnrollData2324,'2324 Jun 24 Enroll'!M$1,FALSE)+VLOOKUP($A170,EnrollData2324,'2324 Jun 24 Enroll'!D$1,FALSE)='District Calculations'!$B$25+'District Calculations'!$B$11,VLOOKUP($A170,EnrollData2324,'2324 Jun 24 Enroll'!M$1,FALSE)+VLOOKUP($A170,EnrollData2324,'2324 Jun 24 Enroll'!D$1,FALSE),'District Calculations'!$B$25+'District Calculations'!$B$11),5)</f>
        <v>4.1000000000000003E-3</v>
      </c>
      <c r="S170" s="11">
        <f t="shared" si="52"/>
        <v>1.8294500000000002E-2</v>
      </c>
      <c r="T170">
        <f>ROUND(IF(VLOOKUP($A170,EnrollData2324,'2324 Jun 24 Enroll'!D$1,FALSE)='District Calculations'!$B$11,VLOOKUP($A170,EnrollData2324,'2324 Jun 24 Enroll'!D$1,FALSE),'District Calculations'!$B$11)*S170,3)</f>
        <v>0</v>
      </c>
      <c r="U170">
        <f>ROUND(IF(VLOOKUP($A170,EnrollData2324,'2324 Jun 24 Enroll'!E$1,FALSE)='District Calculations'!$B$12,VLOOKUP($A170,EnrollData2324,'2324 Jun 24 Enroll'!E$1,FALSE),'District Calculations'!$B$12)*S170,3)</f>
        <v>14.827999999999999</v>
      </c>
      <c r="V170">
        <f>ROUND(IF(VLOOKUP($A170,EnrollData2324,'2324 Jun 24 Enroll'!F$1,FALSE)='District Calculations'!$B$13,VLOOKUP($A170,EnrollData2324,'2324 Jun 24 Enroll'!F$1,FALSE),'District Calculations'!$B$13)*Apport_224A2324,3)</f>
        <v>3.6190000000000002</v>
      </c>
      <c r="W170">
        <f>ROUND(IF(VLOOKUP($A170,EnrollData2324,'2324 Jun 24 Enroll'!G$1,FALSE)='District Calculations'!$B$14,VLOOKUP($A170,EnrollData2324,'2324 Jun 24 Enroll'!G$1,FALSE),'District Calculations'!$B$14)*Apport_212A2324,3)</f>
        <v>8.0239999999999991</v>
      </c>
      <c r="X170">
        <f>ROUND(IF(VLOOKUP($A170,EnrollData2324,'2324 Jun 24 Enroll'!H$1,FALSE)='District Calculations'!$B$14,VLOOKUP($A170,EnrollData2324,'2324 Jun 24 Enroll'!H$1,FALSE),'District Calculations'!$B$14)*Apport_215A2324,3)</f>
        <v>7.9279999999999999</v>
      </c>
      <c r="Y170">
        <f>ROUND(IF(VLOOKUP($A170,EnrollData2324,'2324 Jun 24 Enroll'!I$1,FALSE)+VLOOKUP($A170,EnrollData2324,'2324 Jun 24 Enroll'!M$1,FALSE)-VLOOKUP($A170,EnrollData2324,'2324 Jun 24 Enroll'!J$1,FALSE)='District Calculations'!$B$16+'District Calculations'!$B$25-'District Calculations'!$B$17,VLOOKUP($A170,EnrollData2324,'2324 Jun 24 Enroll'!I$1,FALSE)+VLOOKUP($A170,EnrollData2324,'2324 Jun 24 Enroll'!M$1,FALSE)-VLOOKUP($A170,EnrollData2324,'2324 Jun 24 Enroll'!J$1,FALSE),'District Calculations'!$B$16+'District Calculations'!$B$25-'District Calculations'!$B$17)*Apport_218A2324,3)</f>
        <v>19.917999999999999</v>
      </c>
      <c r="Z170">
        <f>ROUND(SUM(T170:Y170)/IF(VLOOKUP($A170,EnrollData2324,'2324 Jun 24 Enroll'!M$1,FALSE)+VLOOKUP($A170,EnrollData2324,'2324 Jun 24 Enroll'!D$1,FALSE)='District Calculations'!$B$25+'District Calculations'!$B$11,VLOOKUP($A170,EnrollData2324,'2324 Jun 24 Enroll'!M$1,FALSE)+VLOOKUP($A170,EnrollData2324,'2324 Jun 24 Enroll'!D$1,FALSE),'District Calculations'!$B$25+'District Calculations'!$B$11),5)</f>
        <v>1.7399999999999999E-2</v>
      </c>
      <c r="AA170" s="6">
        <f>ROUND($J170*CIS_Base_Salary2324*VLOOKUP($A170,EnrollData2324,'2324 Jun 24 Enroll'!S$1,FALSE),2)</f>
        <v>4038.59</v>
      </c>
      <c r="AB170" s="6">
        <f>ROUND($J170*CIS_Inc_Salary2324*(VLOOKUP($A170,EnrollData2324,'2324 Jun 24 Enroll'!T$1,FALSE)+VLOOKUP($A170,EnrollData2324,'2324 Jun 24 Enroll'!U$1,FALSE)),2)-AA170</f>
        <v>149.43000000000029</v>
      </c>
      <c r="AC170" s="6">
        <f>ROUND($R170*CAS_Base_Salary2324*VLOOKUP($A170,EnrollData2324,'2324 Jun 24 Enroll'!S$1,FALSE),2)</f>
        <v>442.62</v>
      </c>
      <c r="AD170" s="6">
        <f>ROUND($R170*CAS_Inc_Salary2324*VLOOKUP($A170,EnrollData2324,'2324 Jun 24 Enroll'!T$1,FALSE),2)-AC170</f>
        <v>16.379999999999995</v>
      </c>
      <c r="AE170" s="6">
        <f>ROUND($Z170*CLS_Base_Salary2324*VLOOKUP($A170,EnrollData2324,'2324 Jun 24 Enroll'!S$1,FALSE),2)</f>
        <v>907.81</v>
      </c>
      <c r="AF170" s="6">
        <f>ROUND($Z170*CLS_Inc_Salary2324*VLOOKUP($A170,EnrollData2324,'2324 Jun 24 Enroll'!T$1,FALSE),2)-AE170</f>
        <v>33.580000000000041</v>
      </c>
      <c r="AG170">
        <f t="shared" si="48"/>
        <v>734.16</v>
      </c>
      <c r="AH170" s="69">
        <f t="shared" si="53"/>
        <v>68.700000000000045</v>
      </c>
      <c r="AI170">
        <f t="shared" si="49"/>
        <v>214.23</v>
      </c>
      <c r="AJ170">
        <f t="shared" si="54"/>
        <v>114.21000000000001</v>
      </c>
      <c r="AK170">
        <f t="shared" si="55"/>
        <v>805.27</v>
      </c>
      <c r="AL170">
        <f t="shared" si="56"/>
        <v>28.73</v>
      </c>
      <c r="AM170">
        <f t="shared" si="57"/>
        <v>200.26</v>
      </c>
      <c r="AN170">
        <f t="shared" si="58"/>
        <v>6.23</v>
      </c>
      <c r="AO170">
        <f>ROUND(($J170*CIS_Inc_Salary2324*(VLOOKUP($A170,EnrollData2324,'2324 Jun 24 Enroll'!T$1,FALSE)+VLOOKUP($A170,EnrollData2324,'2324 Jun 24 Enroll'!U$1,FALSE))/Apport_613Xpd)*Apport_614Xpd,2)</f>
        <v>69.8</v>
      </c>
      <c r="AP170">
        <f t="shared" si="59"/>
        <v>12.1</v>
      </c>
      <c r="AQ170">
        <f t="shared" si="60"/>
        <v>30.93</v>
      </c>
      <c r="AR170" s="6">
        <f>ROUND((VLOOKUP($A170,EnrollData2324,'2324 Jun 24 Enroll'!D$1,FALSE)*Apport_M802324+VLOOKUP($A170,EnrollData2324,'2324 Jun 24 Enroll'!M$1,FALSE)*Apport_M802324+(VLOOKUP($A170,EnrollData2324,'2324 Jun 24 Enroll'!P$1,FALSE)+VLOOKUP($A170,EnrollData2324,'2324 Jun 24 Enroll'!Q$1,FALSE)+VLOOKUP($A170,EnrollData2324,'2324 Jun 24 Enroll'!R$1,FALSE)+VLOOKUP($A170,EnrollData2324,'2324 Jun 24 Enroll'!I$1,FALSE)+VLOOKUP($A170,EnrollData2324,'2324 Jun 24 Enroll'!N$1,FALSE)+VLOOKUP($A170,EnrollData2324,'2324 Jun 24 Enroll'!O$1,FALSE)+VLOOKUP($A170,EnrollData2324,'2324 Jun 24 Enroll'!K$1,FALSE)+VLOOKUP($A170,EnrollData2324,'2324 Jun 24 Enroll'!L$1,FALSE))*Apport_M812324)/(VLOOKUP($A170,EnrollData2324,'2324 Jun 24 Enroll'!M$1,FALSE)+VLOOKUP($A170,EnrollData2324,'2324 Jun 24 Enroll'!D$1,FALSE)),2)</f>
        <v>1545.08</v>
      </c>
      <c r="AS170" s="7">
        <f t="shared" si="61"/>
        <v>9418.11</v>
      </c>
    </row>
    <row r="171" spans="1:45">
      <c r="A171" s="40" t="s">
        <v>783</v>
      </c>
      <c r="B171" s="40" t="s">
        <v>784</v>
      </c>
      <c r="C171" s="11">
        <f>ROUND((IFERROR((1/IF(VLOOKUP($A171,EnrollData2324,28,FALSE)='District Calculations'!$B$10,VLOOKUP($A171,EnrollData2324,28,FALSE),'District Calculations'!$B$10))*(1+Apport_Z315),0))+Apport_201A2324,6)</f>
        <v>7.3449E-2</v>
      </c>
      <c r="D171">
        <f>ROUND(IF(VLOOKUP($A171,EnrollData2324,'2324 Jun 24 Enroll'!D$1,FALSE)='District Calculations'!$B$11,VLOOKUP($A171,EnrollData2324,'2324 Jun 24 Enroll'!D$1,FALSE),'District Calculations'!$B$11)*C171,3)</f>
        <v>0</v>
      </c>
      <c r="E171">
        <f>ROUND(IF(VLOOKUP($A171,EnrollData2324,'2324 Jun 24 Enroll'!E$1,FALSE)='District Calculations'!$B$12,VLOOKUP($A171,EnrollData2324,'2324 Jun 24 Enroll'!E$1,FALSE),'District Calculations'!$B$12)*C171,3)</f>
        <v>59.53</v>
      </c>
      <c r="F171">
        <f>ROUND(IF(VLOOKUP($A171,EnrollData2324,'2324 Jun 24 Enroll'!F$1,FALSE)='District Calculations'!$B$13,VLOOKUP($A171,EnrollData2324,'2324 Jun 24 Enroll'!F$1,FALSE),'District Calculations'!$B$13)*Apport_222A2324,3)</f>
        <v>10.101000000000001</v>
      </c>
      <c r="G171">
        <f>ROUND(IF(VLOOKUP($A171,EnrollData2324,'2324 Jun 24 Enroll'!G$1,FALSE)='District Calculations'!$B$14,VLOOKUP($A171,EnrollData2324,'2324 Jun 24 Enroll'!G$1,FALSE),'District Calculations'!$B$14)*Apport_210A2324,3)</f>
        <v>22.395</v>
      </c>
      <c r="H171">
        <f>ROUND(IF(VLOOKUP($A171,EnrollData2324,'2324 Jun 24 Enroll'!H$1,FALSE)='District Calculations'!$B$15,VLOOKUP($A171,EnrollData2324,'2324 Jun 24 Enroll'!H$1,FALSE),'District Calculations'!$B$15)*Apport_213A2324,3)</f>
        <v>23.091999999999999</v>
      </c>
      <c r="I171">
        <f>ROUND(IF(VLOOKUP($A171,EnrollData2324,'2324 Jun 24 Enroll'!I$1,FALSE)+VLOOKUP($A171,EnrollData2324,'2324 Jun 24 Enroll'!M$1,FALSE)-VLOOKUP($A171,EnrollData2324,'2324 Jun 24 Enroll'!J$1,FALSE)='District Calculations'!$B$16+'District Calculations'!$B$25-'District Calculations'!$B$17,VLOOKUP($A171,EnrollData2324,'2324 Jun 24 Enroll'!I$1,FALSE)+VLOOKUP($A171,EnrollData2324,'2324 Jun 24 Enroll'!M$1,FALSE)-VLOOKUP($A171,EnrollData2324,'2324 Jun 24 Enroll'!J$1,FALSE),'District Calculations'!$B$16+'District Calculations'!$B$25-'District Calculations'!$B$17)*Apport_216A2324,3)</f>
        <v>58.183999999999997</v>
      </c>
      <c r="J171">
        <f>ROUND(SUM(D171:I171)/(IF(VLOOKUP($A171,EnrollData2324,'2324 Jun 24 Enroll'!M$1,FALSE)='District Calculations'!$B$25,VLOOKUP($A171,EnrollData2324,'2324 Jun 24 Enroll'!M$1,FALSE),'District Calculations'!$B$25)+IF(VLOOKUP($A171,EnrollData2324,'2324 Jun 24 Enroll'!D$1,FALSE)='District Calculations'!$B$11,VLOOKUP($A171,EnrollData2324,'2324 Jun 24 Enroll'!D$1,FALSE),'District Calculations'!$B$11)),5)</f>
        <v>5.5530000000000003E-2</v>
      </c>
      <c r="K171" s="11">
        <f t="shared" si="51"/>
        <v>4.365E-3</v>
      </c>
      <c r="L171">
        <f>ROUND(IF(VLOOKUP($A171,EnrollData2324,'2324 Jun 24 Enroll'!D$1,FALSE)='District Calculations'!$B$11,VLOOKUP($A171,EnrollData2324,'2324 Jun 24 Enroll'!D$1,FALSE),'District Calculations'!$B$11)*K171,3)</f>
        <v>0</v>
      </c>
      <c r="M171">
        <f>ROUND(IF(VLOOKUP($A171,EnrollData2324,'2324 Jun 24 Enroll'!E$1,FALSE)='District Calculations'!$B$12,VLOOKUP($A171,EnrollData2324,'2324 Jun 24 Enroll'!E$1,FALSE),'District Calculations'!$B$12)*K171,3)</f>
        <v>3.5379999999999998</v>
      </c>
      <c r="N171">
        <f>ROUND(IF(VLOOKUP($A171,EnrollData2324,'2324 Jun 24 Enroll'!F$1,FALSE)='District Calculations'!$B$13,VLOOKUP($A171,EnrollData2324,'2324 Jun 24 Enroll'!F$1,FALSE),'District Calculations'!$B$13)*Apport_223A2324,3)</f>
        <v>0.84199999999999997</v>
      </c>
      <c r="O171">
        <f>ROUND(IF(VLOOKUP($A171,EnrollData2324,'2324 Jun 24 Enroll'!G$1,FALSE)='District Calculations'!$B$14,VLOOKUP($A171,EnrollData2324,'2324 Jun 24 Enroll'!G$1,FALSE),'District Calculations'!$B$14)*Apport_211A2324,3)</f>
        <v>1.867</v>
      </c>
      <c r="P171">
        <f>ROUND(IF(VLOOKUP($A171,EnrollData2324,'2324 Jun 24 Enroll'!H$1,FALSE)='District Calculations'!$B$14,VLOOKUP($A171,EnrollData2324,'2324 Jun 24 Enroll'!H$1,FALSE),'District Calculations'!$B$14)*Apport_214A2324,3)</f>
        <v>1.8660000000000001</v>
      </c>
      <c r="Q171">
        <f>ROUND(IF(VLOOKUP($A171,EnrollData2324,'2324 Jun 24 Enroll'!I$1,FALSE)+VLOOKUP($A171,EnrollData2324,'2324 Jun 24 Enroll'!M$1,FALSE)-VLOOKUP($A171,EnrollData2324,'2324 Jun 24 Enroll'!J$1,FALSE)='District Calculations'!$B$16+'District Calculations'!$B$25-'District Calculations'!$B$17,VLOOKUP($A171,EnrollData2324,'2324 Jun 24 Enroll'!I$1,FALSE)+VLOOKUP($A171,EnrollData2324,'2324 Jun 24 Enroll'!M$1,FALSE)-VLOOKUP($A171,EnrollData2324,'2324 Jun 24 Enroll'!J$1,FALSE),'District Calculations'!$B$16+'District Calculations'!$B$25-'District Calculations'!$B$17)*Apport_217A2324,3)</f>
        <v>4.6980000000000004</v>
      </c>
      <c r="R171">
        <f>ROUND(SUM(L171:Q171)/IF(VLOOKUP($A171,EnrollData2324,'2324 Jun 24 Enroll'!M$1,FALSE)+VLOOKUP($A171,EnrollData2324,'2324 Jun 24 Enroll'!D$1,FALSE)='District Calculations'!$B$25+'District Calculations'!$B$11,VLOOKUP($A171,EnrollData2324,'2324 Jun 24 Enroll'!M$1,FALSE)+VLOOKUP($A171,EnrollData2324,'2324 Jun 24 Enroll'!D$1,FALSE),'District Calculations'!$B$25+'District Calculations'!$B$11),5)</f>
        <v>4.1000000000000003E-3</v>
      </c>
      <c r="S171" s="11">
        <f t="shared" si="52"/>
        <v>1.8294500000000002E-2</v>
      </c>
      <c r="T171">
        <f>ROUND(IF(VLOOKUP($A171,EnrollData2324,'2324 Jun 24 Enroll'!D$1,FALSE)='District Calculations'!$B$11,VLOOKUP($A171,EnrollData2324,'2324 Jun 24 Enroll'!D$1,FALSE),'District Calculations'!$B$11)*S171,3)</f>
        <v>0</v>
      </c>
      <c r="U171">
        <f>ROUND(IF(VLOOKUP($A171,EnrollData2324,'2324 Jun 24 Enroll'!E$1,FALSE)='District Calculations'!$B$12,VLOOKUP($A171,EnrollData2324,'2324 Jun 24 Enroll'!E$1,FALSE),'District Calculations'!$B$12)*S171,3)</f>
        <v>14.827999999999999</v>
      </c>
      <c r="V171">
        <f>ROUND(IF(VLOOKUP($A171,EnrollData2324,'2324 Jun 24 Enroll'!F$1,FALSE)='District Calculations'!$B$13,VLOOKUP($A171,EnrollData2324,'2324 Jun 24 Enroll'!F$1,FALSE),'District Calculations'!$B$13)*Apport_224A2324,3)</f>
        <v>3.6190000000000002</v>
      </c>
      <c r="W171">
        <f>ROUND(IF(VLOOKUP($A171,EnrollData2324,'2324 Jun 24 Enroll'!G$1,FALSE)='District Calculations'!$B$14,VLOOKUP($A171,EnrollData2324,'2324 Jun 24 Enroll'!G$1,FALSE),'District Calculations'!$B$14)*Apport_212A2324,3)</f>
        <v>8.0239999999999991</v>
      </c>
      <c r="X171">
        <f>ROUND(IF(VLOOKUP($A171,EnrollData2324,'2324 Jun 24 Enroll'!H$1,FALSE)='District Calculations'!$B$14,VLOOKUP($A171,EnrollData2324,'2324 Jun 24 Enroll'!H$1,FALSE),'District Calculations'!$B$14)*Apport_215A2324,3)</f>
        <v>7.9279999999999999</v>
      </c>
      <c r="Y171">
        <f>ROUND(IF(VLOOKUP($A171,EnrollData2324,'2324 Jun 24 Enroll'!I$1,FALSE)+VLOOKUP($A171,EnrollData2324,'2324 Jun 24 Enroll'!M$1,FALSE)-VLOOKUP($A171,EnrollData2324,'2324 Jun 24 Enroll'!J$1,FALSE)='District Calculations'!$B$16+'District Calculations'!$B$25-'District Calculations'!$B$17,VLOOKUP($A171,EnrollData2324,'2324 Jun 24 Enroll'!I$1,FALSE)+VLOOKUP($A171,EnrollData2324,'2324 Jun 24 Enroll'!M$1,FALSE)-VLOOKUP($A171,EnrollData2324,'2324 Jun 24 Enroll'!J$1,FALSE),'District Calculations'!$B$16+'District Calculations'!$B$25-'District Calculations'!$B$17)*Apport_218A2324,3)</f>
        <v>19.917999999999999</v>
      </c>
      <c r="Z171">
        <f>ROUND(SUM(T171:Y171)/IF(VLOOKUP($A171,EnrollData2324,'2324 Jun 24 Enroll'!M$1,FALSE)+VLOOKUP($A171,EnrollData2324,'2324 Jun 24 Enroll'!D$1,FALSE)='District Calculations'!$B$25+'District Calculations'!$B$11,VLOOKUP($A171,EnrollData2324,'2324 Jun 24 Enroll'!M$1,FALSE)+VLOOKUP($A171,EnrollData2324,'2324 Jun 24 Enroll'!D$1,FALSE),'District Calculations'!$B$25+'District Calculations'!$B$11),5)</f>
        <v>1.7399999999999999E-2</v>
      </c>
      <c r="AA171" s="6">
        <f>ROUND($J171*CIS_Base_Salary2324*VLOOKUP($A171,EnrollData2324,'2324 Jun 24 Enroll'!S$1,FALSE),2)</f>
        <v>4038.59</v>
      </c>
      <c r="AB171" s="6">
        <f>ROUND($J171*CIS_Inc_Salary2324*(VLOOKUP($A171,EnrollData2324,'2324 Jun 24 Enroll'!T$1,FALSE)+VLOOKUP($A171,EnrollData2324,'2324 Jun 24 Enroll'!U$1,FALSE)),2)-AA171</f>
        <v>149.43000000000029</v>
      </c>
      <c r="AC171" s="6">
        <f>ROUND($R171*CAS_Base_Salary2324*VLOOKUP($A171,EnrollData2324,'2324 Jun 24 Enroll'!S$1,FALSE),2)</f>
        <v>442.62</v>
      </c>
      <c r="AD171" s="6">
        <f>ROUND($R171*CAS_Inc_Salary2324*VLOOKUP($A171,EnrollData2324,'2324 Jun 24 Enroll'!T$1,FALSE),2)-AC171</f>
        <v>16.379999999999995</v>
      </c>
      <c r="AE171" s="6">
        <f>ROUND($Z171*CLS_Base_Salary2324*VLOOKUP($A171,EnrollData2324,'2324 Jun 24 Enroll'!S$1,FALSE),2)</f>
        <v>907.81</v>
      </c>
      <c r="AF171" s="6">
        <f>ROUND($Z171*CLS_Inc_Salary2324*VLOOKUP($A171,EnrollData2324,'2324 Jun 24 Enroll'!T$1,FALSE),2)-AE171</f>
        <v>33.580000000000041</v>
      </c>
      <c r="AG171">
        <f t="shared" si="48"/>
        <v>734.16</v>
      </c>
      <c r="AH171" s="69">
        <f t="shared" si="53"/>
        <v>68.700000000000045</v>
      </c>
      <c r="AI171">
        <f t="shared" si="49"/>
        <v>214.23</v>
      </c>
      <c r="AJ171">
        <f t="shared" si="54"/>
        <v>114.21000000000001</v>
      </c>
      <c r="AK171">
        <f t="shared" si="55"/>
        <v>805.27</v>
      </c>
      <c r="AL171">
        <f t="shared" si="56"/>
        <v>28.73</v>
      </c>
      <c r="AM171">
        <f t="shared" si="57"/>
        <v>200.26</v>
      </c>
      <c r="AN171">
        <f t="shared" si="58"/>
        <v>6.23</v>
      </c>
      <c r="AO171">
        <f>ROUND(($J171*CIS_Inc_Salary2324*(VLOOKUP($A171,EnrollData2324,'2324 Jun 24 Enroll'!T$1,FALSE)+VLOOKUP($A171,EnrollData2324,'2324 Jun 24 Enroll'!U$1,FALSE))/Apport_613Xpd)*Apport_614Xpd,2)</f>
        <v>69.8</v>
      </c>
      <c r="AP171">
        <f t="shared" si="59"/>
        <v>12.1</v>
      </c>
      <c r="AQ171">
        <f t="shared" si="60"/>
        <v>30.93</v>
      </c>
      <c r="AR171" s="6">
        <f>ROUND((VLOOKUP($A171,EnrollData2324,'2324 Jun 24 Enroll'!D$1,FALSE)*Apport_M802324+VLOOKUP($A171,EnrollData2324,'2324 Jun 24 Enroll'!M$1,FALSE)*Apport_M802324+(VLOOKUP($A171,EnrollData2324,'2324 Jun 24 Enroll'!P$1,FALSE)+VLOOKUP($A171,EnrollData2324,'2324 Jun 24 Enroll'!Q$1,FALSE)+VLOOKUP($A171,EnrollData2324,'2324 Jun 24 Enroll'!R$1,FALSE)+VLOOKUP($A171,EnrollData2324,'2324 Jun 24 Enroll'!I$1,FALSE)+VLOOKUP($A171,EnrollData2324,'2324 Jun 24 Enroll'!N$1,FALSE)+VLOOKUP($A171,EnrollData2324,'2324 Jun 24 Enroll'!O$1,FALSE)+VLOOKUP($A171,EnrollData2324,'2324 Jun 24 Enroll'!K$1,FALSE)+VLOOKUP($A171,EnrollData2324,'2324 Jun 24 Enroll'!L$1,FALSE))*Apport_M812324)/(VLOOKUP($A171,EnrollData2324,'2324 Jun 24 Enroll'!M$1,FALSE)+VLOOKUP($A171,EnrollData2324,'2324 Jun 24 Enroll'!D$1,FALSE)),2)</f>
        <v>1566.41</v>
      </c>
      <c r="AS171" s="7">
        <f t="shared" si="61"/>
        <v>9439.44</v>
      </c>
    </row>
    <row r="172" spans="1:45">
      <c r="A172" s="40" t="s">
        <v>719</v>
      </c>
      <c r="B172" s="40" t="s">
        <v>720</v>
      </c>
      <c r="C172" s="11">
        <f>ROUND((IFERROR((1/IF(VLOOKUP($A172,EnrollData2324,28,FALSE)='District Calculations'!$B$10,VLOOKUP($A172,EnrollData2324,28,FALSE),'District Calculations'!$B$10))*(1+Apport_Z315),0))+Apport_201A2324,6)</f>
        <v>7.3449E-2</v>
      </c>
      <c r="D172">
        <f>ROUND(IF(VLOOKUP($A172,EnrollData2324,'2324 Jun 24 Enroll'!D$1,FALSE)='District Calculations'!$B$11,VLOOKUP($A172,EnrollData2324,'2324 Jun 24 Enroll'!D$1,FALSE),'District Calculations'!$B$11)*C172,3)</f>
        <v>0</v>
      </c>
      <c r="E172">
        <f>ROUND(IF(VLOOKUP($A172,EnrollData2324,'2324 Jun 24 Enroll'!E$1,FALSE)='District Calculations'!$B$12,VLOOKUP($A172,EnrollData2324,'2324 Jun 24 Enroll'!E$1,FALSE),'District Calculations'!$B$12)*C172,3)</f>
        <v>59.53</v>
      </c>
      <c r="F172">
        <f>ROUND(IF(VLOOKUP($A172,EnrollData2324,'2324 Jun 24 Enroll'!F$1,FALSE)='District Calculations'!$B$13,VLOOKUP($A172,EnrollData2324,'2324 Jun 24 Enroll'!F$1,FALSE),'District Calculations'!$B$13)*Apport_222A2324,3)</f>
        <v>10.101000000000001</v>
      </c>
      <c r="G172">
        <f>ROUND(IF(VLOOKUP($A172,EnrollData2324,'2324 Jun 24 Enroll'!G$1,FALSE)='District Calculations'!$B$14,VLOOKUP($A172,EnrollData2324,'2324 Jun 24 Enroll'!G$1,FALSE),'District Calculations'!$B$14)*Apport_210A2324,3)</f>
        <v>22.395</v>
      </c>
      <c r="H172">
        <f>ROUND(IF(VLOOKUP($A172,EnrollData2324,'2324 Jun 24 Enroll'!H$1,FALSE)='District Calculations'!$B$15,VLOOKUP($A172,EnrollData2324,'2324 Jun 24 Enroll'!H$1,FALSE),'District Calculations'!$B$15)*Apport_213A2324,3)</f>
        <v>23.091999999999999</v>
      </c>
      <c r="I172">
        <f>ROUND(IF(VLOOKUP($A172,EnrollData2324,'2324 Jun 24 Enroll'!I$1,FALSE)+VLOOKUP($A172,EnrollData2324,'2324 Jun 24 Enroll'!M$1,FALSE)-VLOOKUP($A172,EnrollData2324,'2324 Jun 24 Enroll'!J$1,FALSE)='District Calculations'!$B$16+'District Calculations'!$B$25-'District Calculations'!$B$17,VLOOKUP($A172,EnrollData2324,'2324 Jun 24 Enroll'!I$1,FALSE)+VLOOKUP($A172,EnrollData2324,'2324 Jun 24 Enroll'!M$1,FALSE)-VLOOKUP($A172,EnrollData2324,'2324 Jun 24 Enroll'!J$1,FALSE),'District Calculations'!$B$16+'District Calculations'!$B$25-'District Calculations'!$B$17)*Apport_216A2324,3)</f>
        <v>58.183999999999997</v>
      </c>
      <c r="J172">
        <f>ROUND(SUM(D172:I172)/(IF(VLOOKUP($A172,EnrollData2324,'2324 Jun 24 Enroll'!M$1,FALSE)='District Calculations'!$B$25,VLOOKUP($A172,EnrollData2324,'2324 Jun 24 Enroll'!M$1,FALSE),'District Calculations'!$B$25)+IF(VLOOKUP($A172,EnrollData2324,'2324 Jun 24 Enroll'!D$1,FALSE)='District Calculations'!$B$11,VLOOKUP($A172,EnrollData2324,'2324 Jun 24 Enroll'!D$1,FALSE),'District Calculations'!$B$11)),5)</f>
        <v>5.5530000000000003E-2</v>
      </c>
      <c r="K172" s="11">
        <f t="shared" si="51"/>
        <v>4.365E-3</v>
      </c>
      <c r="L172">
        <f>ROUND(IF(VLOOKUP($A172,EnrollData2324,'2324 Jun 24 Enroll'!D$1,FALSE)='District Calculations'!$B$11,VLOOKUP($A172,EnrollData2324,'2324 Jun 24 Enroll'!D$1,FALSE),'District Calculations'!$B$11)*K172,3)</f>
        <v>0</v>
      </c>
      <c r="M172">
        <f>ROUND(IF(VLOOKUP($A172,EnrollData2324,'2324 Jun 24 Enroll'!E$1,FALSE)='District Calculations'!$B$12,VLOOKUP($A172,EnrollData2324,'2324 Jun 24 Enroll'!E$1,FALSE),'District Calculations'!$B$12)*K172,3)</f>
        <v>3.5379999999999998</v>
      </c>
      <c r="N172">
        <f>ROUND(IF(VLOOKUP($A172,EnrollData2324,'2324 Jun 24 Enroll'!F$1,FALSE)='District Calculations'!$B$13,VLOOKUP($A172,EnrollData2324,'2324 Jun 24 Enroll'!F$1,FALSE),'District Calculations'!$B$13)*Apport_223A2324,3)</f>
        <v>0.84199999999999997</v>
      </c>
      <c r="O172">
        <f>ROUND(IF(VLOOKUP($A172,EnrollData2324,'2324 Jun 24 Enroll'!G$1,FALSE)='District Calculations'!$B$14,VLOOKUP($A172,EnrollData2324,'2324 Jun 24 Enroll'!G$1,FALSE),'District Calculations'!$B$14)*Apport_211A2324,3)</f>
        <v>1.867</v>
      </c>
      <c r="P172">
        <f>ROUND(IF(VLOOKUP($A172,EnrollData2324,'2324 Jun 24 Enroll'!H$1,FALSE)='District Calculations'!$B$14,VLOOKUP($A172,EnrollData2324,'2324 Jun 24 Enroll'!H$1,FALSE),'District Calculations'!$B$14)*Apport_214A2324,3)</f>
        <v>1.8660000000000001</v>
      </c>
      <c r="Q172">
        <f>ROUND(IF(VLOOKUP($A172,EnrollData2324,'2324 Jun 24 Enroll'!I$1,FALSE)+VLOOKUP($A172,EnrollData2324,'2324 Jun 24 Enroll'!M$1,FALSE)-VLOOKUP($A172,EnrollData2324,'2324 Jun 24 Enroll'!J$1,FALSE)='District Calculations'!$B$16+'District Calculations'!$B$25-'District Calculations'!$B$17,VLOOKUP($A172,EnrollData2324,'2324 Jun 24 Enroll'!I$1,FALSE)+VLOOKUP($A172,EnrollData2324,'2324 Jun 24 Enroll'!M$1,FALSE)-VLOOKUP($A172,EnrollData2324,'2324 Jun 24 Enroll'!J$1,FALSE),'District Calculations'!$B$16+'District Calculations'!$B$25-'District Calculations'!$B$17)*Apport_217A2324,3)</f>
        <v>4.6980000000000004</v>
      </c>
      <c r="R172">
        <f>ROUND(SUM(L172:Q172)/IF(VLOOKUP($A172,EnrollData2324,'2324 Jun 24 Enroll'!M$1,FALSE)+VLOOKUP($A172,EnrollData2324,'2324 Jun 24 Enroll'!D$1,FALSE)='District Calculations'!$B$25+'District Calculations'!$B$11,VLOOKUP($A172,EnrollData2324,'2324 Jun 24 Enroll'!M$1,FALSE)+VLOOKUP($A172,EnrollData2324,'2324 Jun 24 Enroll'!D$1,FALSE),'District Calculations'!$B$25+'District Calculations'!$B$11),5)</f>
        <v>4.1000000000000003E-3</v>
      </c>
      <c r="S172" s="11">
        <f t="shared" si="52"/>
        <v>1.8294500000000002E-2</v>
      </c>
      <c r="T172">
        <f>ROUND(IF(VLOOKUP($A172,EnrollData2324,'2324 Jun 24 Enroll'!D$1,FALSE)='District Calculations'!$B$11,VLOOKUP($A172,EnrollData2324,'2324 Jun 24 Enroll'!D$1,FALSE),'District Calculations'!$B$11)*S172,3)</f>
        <v>0</v>
      </c>
      <c r="U172">
        <f>ROUND(IF(VLOOKUP($A172,EnrollData2324,'2324 Jun 24 Enroll'!E$1,FALSE)='District Calculations'!$B$12,VLOOKUP($A172,EnrollData2324,'2324 Jun 24 Enroll'!E$1,FALSE),'District Calculations'!$B$12)*S172,3)</f>
        <v>14.827999999999999</v>
      </c>
      <c r="V172">
        <f>ROUND(IF(VLOOKUP($A172,EnrollData2324,'2324 Jun 24 Enroll'!F$1,FALSE)='District Calculations'!$B$13,VLOOKUP($A172,EnrollData2324,'2324 Jun 24 Enroll'!F$1,FALSE),'District Calculations'!$B$13)*Apport_224A2324,3)</f>
        <v>3.6190000000000002</v>
      </c>
      <c r="W172">
        <f>ROUND(IF(VLOOKUP($A172,EnrollData2324,'2324 Jun 24 Enroll'!G$1,FALSE)='District Calculations'!$B$14,VLOOKUP($A172,EnrollData2324,'2324 Jun 24 Enroll'!G$1,FALSE),'District Calculations'!$B$14)*Apport_212A2324,3)</f>
        <v>8.0239999999999991</v>
      </c>
      <c r="X172">
        <f>ROUND(IF(VLOOKUP($A172,EnrollData2324,'2324 Jun 24 Enroll'!H$1,FALSE)='District Calculations'!$B$14,VLOOKUP($A172,EnrollData2324,'2324 Jun 24 Enroll'!H$1,FALSE),'District Calculations'!$B$14)*Apport_215A2324,3)</f>
        <v>7.9279999999999999</v>
      </c>
      <c r="Y172">
        <f>ROUND(IF(VLOOKUP($A172,EnrollData2324,'2324 Jun 24 Enroll'!I$1,FALSE)+VLOOKUP($A172,EnrollData2324,'2324 Jun 24 Enroll'!M$1,FALSE)-VLOOKUP($A172,EnrollData2324,'2324 Jun 24 Enroll'!J$1,FALSE)='District Calculations'!$B$16+'District Calculations'!$B$25-'District Calculations'!$B$17,VLOOKUP($A172,EnrollData2324,'2324 Jun 24 Enroll'!I$1,FALSE)+VLOOKUP($A172,EnrollData2324,'2324 Jun 24 Enroll'!M$1,FALSE)-VLOOKUP($A172,EnrollData2324,'2324 Jun 24 Enroll'!J$1,FALSE),'District Calculations'!$B$16+'District Calculations'!$B$25-'District Calculations'!$B$17)*Apport_218A2324,3)</f>
        <v>19.917999999999999</v>
      </c>
      <c r="Z172">
        <f>ROUND(SUM(T172:Y172)/IF(VLOOKUP($A172,EnrollData2324,'2324 Jun 24 Enroll'!M$1,FALSE)+VLOOKUP($A172,EnrollData2324,'2324 Jun 24 Enroll'!D$1,FALSE)='District Calculations'!$B$25+'District Calculations'!$B$11,VLOOKUP($A172,EnrollData2324,'2324 Jun 24 Enroll'!M$1,FALSE)+VLOOKUP($A172,EnrollData2324,'2324 Jun 24 Enroll'!D$1,FALSE),'District Calculations'!$B$25+'District Calculations'!$B$11),5)</f>
        <v>1.7399999999999999E-2</v>
      </c>
      <c r="AA172" s="6">
        <f>ROUND($J172*CIS_Base_Salary2324*VLOOKUP($A172,EnrollData2324,'2324 Jun 24 Enroll'!S$1,FALSE),2)</f>
        <v>4038.59</v>
      </c>
      <c r="AB172" s="6">
        <f>ROUND($J172*CIS_Inc_Salary2324*(VLOOKUP($A172,EnrollData2324,'2324 Jun 24 Enroll'!T$1,FALSE)+VLOOKUP($A172,EnrollData2324,'2324 Jun 24 Enroll'!U$1,FALSE)),2)-AA172</f>
        <v>149.43000000000029</v>
      </c>
      <c r="AC172" s="6">
        <f>ROUND($R172*CAS_Base_Salary2324*VLOOKUP($A172,EnrollData2324,'2324 Jun 24 Enroll'!S$1,FALSE),2)</f>
        <v>442.62</v>
      </c>
      <c r="AD172" s="6">
        <f>ROUND($R172*CAS_Inc_Salary2324*VLOOKUP($A172,EnrollData2324,'2324 Jun 24 Enroll'!T$1,FALSE),2)-AC172</f>
        <v>16.379999999999995</v>
      </c>
      <c r="AE172" s="6">
        <f>ROUND($Z172*CLS_Base_Salary2324*VLOOKUP($A172,EnrollData2324,'2324 Jun 24 Enroll'!S$1,FALSE),2)</f>
        <v>907.81</v>
      </c>
      <c r="AF172" s="6">
        <f>ROUND($Z172*CLS_Inc_Salary2324*VLOOKUP($A172,EnrollData2324,'2324 Jun 24 Enroll'!T$1,FALSE),2)-AE172</f>
        <v>33.580000000000041</v>
      </c>
      <c r="AG172">
        <f t="shared" si="48"/>
        <v>734.16</v>
      </c>
      <c r="AH172" s="69">
        <f t="shared" si="53"/>
        <v>68.700000000000045</v>
      </c>
      <c r="AI172">
        <f t="shared" si="49"/>
        <v>214.23</v>
      </c>
      <c r="AJ172">
        <f t="shared" si="54"/>
        <v>114.21000000000001</v>
      </c>
      <c r="AK172">
        <f t="shared" si="55"/>
        <v>805.27</v>
      </c>
      <c r="AL172">
        <f t="shared" si="56"/>
        <v>28.73</v>
      </c>
      <c r="AM172">
        <f t="shared" si="57"/>
        <v>200.26</v>
      </c>
      <c r="AN172">
        <f t="shared" si="58"/>
        <v>6.23</v>
      </c>
      <c r="AO172">
        <f>ROUND(($J172*CIS_Inc_Salary2324*(VLOOKUP($A172,EnrollData2324,'2324 Jun 24 Enroll'!T$1,FALSE)+VLOOKUP($A172,EnrollData2324,'2324 Jun 24 Enroll'!U$1,FALSE))/Apport_613Xpd)*Apport_614Xpd,2)</f>
        <v>69.8</v>
      </c>
      <c r="AP172">
        <f t="shared" si="59"/>
        <v>12.1</v>
      </c>
      <c r="AQ172">
        <f t="shared" si="60"/>
        <v>30.93</v>
      </c>
      <c r="AR172" s="6">
        <f>ROUND((VLOOKUP($A172,EnrollData2324,'2324 Jun 24 Enroll'!D$1,FALSE)*Apport_M802324+VLOOKUP($A172,EnrollData2324,'2324 Jun 24 Enroll'!M$1,FALSE)*Apport_M802324+(VLOOKUP($A172,EnrollData2324,'2324 Jun 24 Enroll'!P$1,FALSE)+VLOOKUP($A172,EnrollData2324,'2324 Jun 24 Enroll'!Q$1,FALSE)+VLOOKUP($A172,EnrollData2324,'2324 Jun 24 Enroll'!R$1,FALSE)+VLOOKUP($A172,EnrollData2324,'2324 Jun 24 Enroll'!I$1,FALSE)+VLOOKUP($A172,EnrollData2324,'2324 Jun 24 Enroll'!N$1,FALSE)+VLOOKUP($A172,EnrollData2324,'2324 Jun 24 Enroll'!O$1,FALSE)+VLOOKUP($A172,EnrollData2324,'2324 Jun 24 Enroll'!K$1,FALSE)+VLOOKUP($A172,EnrollData2324,'2324 Jun 24 Enroll'!L$1,FALSE))*Apport_M812324)/(VLOOKUP($A172,EnrollData2324,'2324 Jun 24 Enroll'!M$1,FALSE)+VLOOKUP($A172,EnrollData2324,'2324 Jun 24 Enroll'!D$1,FALSE)),2)</f>
        <v>1554.65</v>
      </c>
      <c r="AS172" s="7">
        <f t="shared" si="61"/>
        <v>9427.68</v>
      </c>
    </row>
    <row r="173" spans="1:45">
      <c r="A173" s="40" t="s">
        <v>319</v>
      </c>
      <c r="B173" s="40" t="s">
        <v>320</v>
      </c>
      <c r="C173" s="11">
        <f>ROUND((IFERROR((1/IF(VLOOKUP($A173,EnrollData2324,28,FALSE)='District Calculations'!$B$10,VLOOKUP($A173,EnrollData2324,28,FALSE),'District Calculations'!$B$10))*(1+Apport_Z315),0))+Apport_201A2324,6)</f>
        <v>7.3449E-2</v>
      </c>
      <c r="D173">
        <f>ROUND(IF(VLOOKUP($A173,EnrollData2324,'2324 Jun 24 Enroll'!D$1,FALSE)='District Calculations'!$B$11,VLOOKUP($A173,EnrollData2324,'2324 Jun 24 Enroll'!D$1,FALSE),'District Calculations'!$B$11)*C173,3)</f>
        <v>0</v>
      </c>
      <c r="E173">
        <f>ROUND(IF(VLOOKUP($A173,EnrollData2324,'2324 Jun 24 Enroll'!E$1,FALSE)='District Calculations'!$B$12,VLOOKUP($A173,EnrollData2324,'2324 Jun 24 Enroll'!E$1,FALSE),'District Calculations'!$B$12)*C173,3)</f>
        <v>59.53</v>
      </c>
      <c r="F173">
        <f>ROUND(IF(VLOOKUP($A173,EnrollData2324,'2324 Jun 24 Enroll'!F$1,FALSE)='District Calculations'!$B$13,VLOOKUP($A173,EnrollData2324,'2324 Jun 24 Enroll'!F$1,FALSE),'District Calculations'!$B$13)*Apport_222A2324,3)</f>
        <v>10.101000000000001</v>
      </c>
      <c r="G173">
        <f>ROUND(IF(VLOOKUP($A173,EnrollData2324,'2324 Jun 24 Enroll'!G$1,FALSE)='District Calculations'!$B$14,VLOOKUP($A173,EnrollData2324,'2324 Jun 24 Enroll'!G$1,FALSE),'District Calculations'!$B$14)*Apport_210A2324,3)</f>
        <v>22.395</v>
      </c>
      <c r="H173">
        <f>ROUND(IF(VLOOKUP($A173,EnrollData2324,'2324 Jun 24 Enroll'!H$1,FALSE)='District Calculations'!$B$15,VLOOKUP($A173,EnrollData2324,'2324 Jun 24 Enroll'!H$1,FALSE),'District Calculations'!$B$15)*Apport_213A2324,3)</f>
        <v>23.091999999999999</v>
      </c>
      <c r="I173">
        <f>ROUND(IF(VLOOKUP($A173,EnrollData2324,'2324 Jun 24 Enroll'!I$1,FALSE)+VLOOKUP($A173,EnrollData2324,'2324 Jun 24 Enroll'!M$1,FALSE)-VLOOKUP($A173,EnrollData2324,'2324 Jun 24 Enroll'!J$1,FALSE)='District Calculations'!$B$16+'District Calculations'!$B$25-'District Calculations'!$B$17,VLOOKUP($A173,EnrollData2324,'2324 Jun 24 Enroll'!I$1,FALSE)+VLOOKUP($A173,EnrollData2324,'2324 Jun 24 Enroll'!M$1,FALSE)-VLOOKUP($A173,EnrollData2324,'2324 Jun 24 Enroll'!J$1,FALSE),'District Calculations'!$B$16+'District Calculations'!$B$25-'District Calculations'!$B$17)*Apport_216A2324,3)</f>
        <v>58.183999999999997</v>
      </c>
      <c r="J173">
        <f>ROUND(SUM(D173:I173)/(IF(VLOOKUP($A173,EnrollData2324,'2324 Jun 24 Enroll'!M$1,FALSE)='District Calculations'!$B$25,VLOOKUP($A173,EnrollData2324,'2324 Jun 24 Enroll'!M$1,FALSE),'District Calculations'!$B$25)+IF(VLOOKUP($A173,EnrollData2324,'2324 Jun 24 Enroll'!D$1,FALSE)='District Calculations'!$B$11,VLOOKUP($A173,EnrollData2324,'2324 Jun 24 Enroll'!D$1,FALSE),'District Calculations'!$B$11)),5)</f>
        <v>5.5530000000000003E-2</v>
      </c>
      <c r="K173" s="11">
        <f t="shared" si="51"/>
        <v>4.365E-3</v>
      </c>
      <c r="L173">
        <f>ROUND(IF(VLOOKUP($A173,EnrollData2324,'2324 Jun 24 Enroll'!D$1,FALSE)='District Calculations'!$B$11,VLOOKUP($A173,EnrollData2324,'2324 Jun 24 Enroll'!D$1,FALSE),'District Calculations'!$B$11)*K173,3)</f>
        <v>0</v>
      </c>
      <c r="M173">
        <f>ROUND(IF(VLOOKUP($A173,EnrollData2324,'2324 Jun 24 Enroll'!E$1,FALSE)='District Calculations'!$B$12,VLOOKUP($A173,EnrollData2324,'2324 Jun 24 Enroll'!E$1,FALSE),'District Calculations'!$B$12)*K173,3)</f>
        <v>3.5379999999999998</v>
      </c>
      <c r="N173">
        <f>ROUND(IF(VLOOKUP($A173,EnrollData2324,'2324 Jun 24 Enroll'!F$1,FALSE)='District Calculations'!$B$13,VLOOKUP($A173,EnrollData2324,'2324 Jun 24 Enroll'!F$1,FALSE),'District Calculations'!$B$13)*Apport_223A2324,3)</f>
        <v>0.84199999999999997</v>
      </c>
      <c r="O173">
        <f>ROUND(IF(VLOOKUP($A173,EnrollData2324,'2324 Jun 24 Enroll'!G$1,FALSE)='District Calculations'!$B$14,VLOOKUP($A173,EnrollData2324,'2324 Jun 24 Enroll'!G$1,FALSE),'District Calculations'!$B$14)*Apport_211A2324,3)</f>
        <v>1.867</v>
      </c>
      <c r="P173">
        <f>ROUND(IF(VLOOKUP($A173,EnrollData2324,'2324 Jun 24 Enroll'!H$1,FALSE)='District Calculations'!$B$14,VLOOKUP($A173,EnrollData2324,'2324 Jun 24 Enroll'!H$1,FALSE),'District Calculations'!$B$14)*Apport_214A2324,3)</f>
        <v>1.8660000000000001</v>
      </c>
      <c r="Q173">
        <f>ROUND(IF(VLOOKUP($A173,EnrollData2324,'2324 Jun 24 Enroll'!I$1,FALSE)+VLOOKUP($A173,EnrollData2324,'2324 Jun 24 Enroll'!M$1,FALSE)-VLOOKUP($A173,EnrollData2324,'2324 Jun 24 Enroll'!J$1,FALSE)='District Calculations'!$B$16+'District Calculations'!$B$25-'District Calculations'!$B$17,VLOOKUP($A173,EnrollData2324,'2324 Jun 24 Enroll'!I$1,FALSE)+VLOOKUP($A173,EnrollData2324,'2324 Jun 24 Enroll'!M$1,FALSE)-VLOOKUP($A173,EnrollData2324,'2324 Jun 24 Enroll'!J$1,FALSE),'District Calculations'!$B$16+'District Calculations'!$B$25-'District Calculations'!$B$17)*Apport_217A2324,3)</f>
        <v>4.6980000000000004</v>
      </c>
      <c r="R173">
        <f>ROUND(SUM(L173:Q173)/IF(VLOOKUP($A173,EnrollData2324,'2324 Jun 24 Enroll'!M$1,FALSE)+VLOOKUP($A173,EnrollData2324,'2324 Jun 24 Enroll'!D$1,FALSE)='District Calculations'!$B$25+'District Calculations'!$B$11,VLOOKUP($A173,EnrollData2324,'2324 Jun 24 Enroll'!M$1,FALSE)+VLOOKUP($A173,EnrollData2324,'2324 Jun 24 Enroll'!D$1,FALSE),'District Calculations'!$B$25+'District Calculations'!$B$11),5)</f>
        <v>4.1000000000000003E-3</v>
      </c>
      <c r="S173" s="11">
        <f t="shared" si="52"/>
        <v>1.8294500000000002E-2</v>
      </c>
      <c r="T173">
        <f>ROUND(IF(VLOOKUP($A173,EnrollData2324,'2324 Jun 24 Enroll'!D$1,FALSE)='District Calculations'!$B$11,VLOOKUP($A173,EnrollData2324,'2324 Jun 24 Enroll'!D$1,FALSE),'District Calculations'!$B$11)*S173,3)</f>
        <v>0</v>
      </c>
      <c r="U173">
        <f>ROUND(IF(VLOOKUP($A173,EnrollData2324,'2324 Jun 24 Enroll'!E$1,FALSE)='District Calculations'!$B$12,VLOOKUP($A173,EnrollData2324,'2324 Jun 24 Enroll'!E$1,FALSE),'District Calculations'!$B$12)*S173,3)</f>
        <v>14.827999999999999</v>
      </c>
      <c r="V173">
        <f>ROUND(IF(VLOOKUP($A173,EnrollData2324,'2324 Jun 24 Enroll'!F$1,FALSE)='District Calculations'!$B$13,VLOOKUP($A173,EnrollData2324,'2324 Jun 24 Enroll'!F$1,FALSE),'District Calculations'!$B$13)*Apport_224A2324,3)</f>
        <v>3.6190000000000002</v>
      </c>
      <c r="W173">
        <f>ROUND(IF(VLOOKUP($A173,EnrollData2324,'2324 Jun 24 Enroll'!G$1,FALSE)='District Calculations'!$B$14,VLOOKUP($A173,EnrollData2324,'2324 Jun 24 Enroll'!G$1,FALSE),'District Calculations'!$B$14)*Apport_212A2324,3)</f>
        <v>8.0239999999999991</v>
      </c>
      <c r="X173">
        <f>ROUND(IF(VLOOKUP($A173,EnrollData2324,'2324 Jun 24 Enroll'!H$1,FALSE)='District Calculations'!$B$14,VLOOKUP($A173,EnrollData2324,'2324 Jun 24 Enroll'!H$1,FALSE),'District Calculations'!$B$14)*Apport_215A2324,3)</f>
        <v>7.9279999999999999</v>
      </c>
      <c r="Y173">
        <f>ROUND(IF(VLOOKUP($A173,EnrollData2324,'2324 Jun 24 Enroll'!I$1,FALSE)+VLOOKUP($A173,EnrollData2324,'2324 Jun 24 Enroll'!M$1,FALSE)-VLOOKUP($A173,EnrollData2324,'2324 Jun 24 Enroll'!J$1,FALSE)='District Calculations'!$B$16+'District Calculations'!$B$25-'District Calculations'!$B$17,VLOOKUP($A173,EnrollData2324,'2324 Jun 24 Enroll'!I$1,FALSE)+VLOOKUP($A173,EnrollData2324,'2324 Jun 24 Enroll'!M$1,FALSE)-VLOOKUP($A173,EnrollData2324,'2324 Jun 24 Enroll'!J$1,FALSE),'District Calculations'!$B$16+'District Calculations'!$B$25-'District Calculations'!$B$17)*Apport_218A2324,3)</f>
        <v>19.917999999999999</v>
      </c>
      <c r="Z173">
        <f>ROUND(SUM(T173:Y173)/IF(VLOOKUP($A173,EnrollData2324,'2324 Jun 24 Enroll'!M$1,FALSE)+VLOOKUP($A173,EnrollData2324,'2324 Jun 24 Enroll'!D$1,FALSE)='District Calculations'!$B$25+'District Calculations'!$B$11,VLOOKUP($A173,EnrollData2324,'2324 Jun 24 Enroll'!M$1,FALSE)+VLOOKUP($A173,EnrollData2324,'2324 Jun 24 Enroll'!D$1,FALSE),'District Calculations'!$B$25+'District Calculations'!$B$11),5)</f>
        <v>1.7399999999999999E-2</v>
      </c>
      <c r="AA173" s="6">
        <f>ROUND($J173*CIS_Base_Salary2324*VLOOKUP($A173,EnrollData2324,'2324 Jun 24 Enroll'!S$1,FALSE),2)</f>
        <v>4038.59</v>
      </c>
      <c r="AB173" s="6">
        <f>ROUND($J173*CIS_Inc_Salary2324*(VLOOKUP($A173,EnrollData2324,'2324 Jun 24 Enroll'!T$1,FALSE)+VLOOKUP($A173,EnrollData2324,'2324 Jun 24 Enroll'!U$1,FALSE)),2)-AA173</f>
        <v>233.1899999999996</v>
      </c>
      <c r="AC173" s="6">
        <f>ROUND($R173*CAS_Base_Salary2324*VLOOKUP($A173,EnrollData2324,'2324 Jun 24 Enroll'!S$1,FALSE),2)</f>
        <v>442.62</v>
      </c>
      <c r="AD173" s="6">
        <f>ROUND($R173*CAS_Inc_Salary2324*VLOOKUP($A173,EnrollData2324,'2324 Jun 24 Enroll'!T$1,FALSE),2)-AC173</f>
        <v>16.379999999999995</v>
      </c>
      <c r="AE173" s="6">
        <f>ROUND($Z173*CLS_Base_Salary2324*VLOOKUP($A173,EnrollData2324,'2324 Jun 24 Enroll'!S$1,FALSE),2)</f>
        <v>907.81</v>
      </c>
      <c r="AF173" s="6">
        <f>ROUND($Z173*CLS_Inc_Salary2324*VLOOKUP($A173,EnrollData2324,'2324 Jun 24 Enroll'!T$1,FALSE),2)-AE173</f>
        <v>33.580000000000041</v>
      </c>
      <c r="AG173">
        <f t="shared" si="48"/>
        <v>734.16</v>
      </c>
      <c r="AH173" s="69">
        <f t="shared" si="53"/>
        <v>68.700000000000045</v>
      </c>
      <c r="AI173">
        <f t="shared" si="49"/>
        <v>214.23</v>
      </c>
      <c r="AJ173">
        <f t="shared" si="54"/>
        <v>114.21000000000001</v>
      </c>
      <c r="AK173">
        <f t="shared" si="55"/>
        <v>805.27</v>
      </c>
      <c r="AL173">
        <f t="shared" si="56"/>
        <v>43.25</v>
      </c>
      <c r="AM173">
        <f t="shared" si="57"/>
        <v>200.26</v>
      </c>
      <c r="AN173">
        <f t="shared" si="58"/>
        <v>6.23</v>
      </c>
      <c r="AO173">
        <f>ROUND(($J173*CIS_Inc_Salary2324*(VLOOKUP($A173,EnrollData2324,'2324 Jun 24 Enroll'!T$1,FALSE)+VLOOKUP($A173,EnrollData2324,'2324 Jun 24 Enroll'!U$1,FALSE))/Apport_613Xpd)*Apport_614Xpd,2)</f>
        <v>71.2</v>
      </c>
      <c r="AP173">
        <f t="shared" si="59"/>
        <v>12.34</v>
      </c>
      <c r="AQ173">
        <f t="shared" si="60"/>
        <v>30.93</v>
      </c>
      <c r="AR173" s="6">
        <f>ROUND((VLOOKUP($A173,EnrollData2324,'2324 Jun 24 Enroll'!D$1,FALSE)*Apport_M802324+VLOOKUP($A173,EnrollData2324,'2324 Jun 24 Enroll'!M$1,FALSE)*Apport_M802324+(VLOOKUP($A173,EnrollData2324,'2324 Jun 24 Enroll'!P$1,FALSE)+VLOOKUP($A173,EnrollData2324,'2324 Jun 24 Enroll'!Q$1,FALSE)+VLOOKUP($A173,EnrollData2324,'2324 Jun 24 Enroll'!R$1,FALSE)+VLOOKUP($A173,EnrollData2324,'2324 Jun 24 Enroll'!I$1,FALSE)+VLOOKUP($A173,EnrollData2324,'2324 Jun 24 Enroll'!N$1,FALSE)+VLOOKUP($A173,EnrollData2324,'2324 Jun 24 Enroll'!O$1,FALSE)+VLOOKUP($A173,EnrollData2324,'2324 Jun 24 Enroll'!K$1,FALSE)+VLOOKUP($A173,EnrollData2324,'2324 Jun 24 Enroll'!L$1,FALSE))*Apport_M812324)/(VLOOKUP($A173,EnrollData2324,'2324 Jun 24 Enroll'!M$1,FALSE)+VLOOKUP($A173,EnrollData2324,'2324 Jun 24 Enroll'!D$1,FALSE)),2)</f>
        <v>1530.28</v>
      </c>
      <c r="AS173" s="7">
        <f t="shared" si="61"/>
        <v>9503.23</v>
      </c>
    </row>
    <row r="174" spans="1:45">
      <c r="A174" s="40" t="s">
        <v>414</v>
      </c>
      <c r="B174" s="40" t="s">
        <v>415</v>
      </c>
      <c r="C174" s="11">
        <f>ROUND((IFERROR((1/IF(VLOOKUP($A174,EnrollData2324,28,FALSE)='District Calculations'!$B$10,VLOOKUP($A174,EnrollData2324,28,FALSE),'District Calculations'!$B$10))*(1+Apport_Z315),0))+Apport_201A2324,6)</f>
        <v>7.3449E-2</v>
      </c>
      <c r="D174">
        <f>ROUND(IF(VLOOKUP($A174,EnrollData2324,'2324 Jun 24 Enroll'!D$1,FALSE)='District Calculations'!$B$11,VLOOKUP($A174,EnrollData2324,'2324 Jun 24 Enroll'!D$1,FALSE),'District Calculations'!$B$11)*C174,3)</f>
        <v>0</v>
      </c>
      <c r="E174">
        <f>ROUND(IF(VLOOKUP($A174,EnrollData2324,'2324 Jun 24 Enroll'!E$1,FALSE)='District Calculations'!$B$12,VLOOKUP($A174,EnrollData2324,'2324 Jun 24 Enroll'!E$1,FALSE),'District Calculations'!$B$12)*C174,3)</f>
        <v>59.53</v>
      </c>
      <c r="F174">
        <f>ROUND(IF(VLOOKUP($A174,EnrollData2324,'2324 Jun 24 Enroll'!F$1,FALSE)='District Calculations'!$B$13,VLOOKUP($A174,EnrollData2324,'2324 Jun 24 Enroll'!F$1,FALSE),'District Calculations'!$B$13)*Apport_222A2324,3)</f>
        <v>10.101000000000001</v>
      </c>
      <c r="G174">
        <f>ROUND(IF(VLOOKUP($A174,EnrollData2324,'2324 Jun 24 Enroll'!G$1,FALSE)='District Calculations'!$B$14,VLOOKUP($A174,EnrollData2324,'2324 Jun 24 Enroll'!G$1,FALSE),'District Calculations'!$B$14)*Apport_210A2324,3)</f>
        <v>22.395</v>
      </c>
      <c r="H174">
        <f>ROUND(IF(VLOOKUP($A174,EnrollData2324,'2324 Jun 24 Enroll'!H$1,FALSE)='District Calculations'!$B$15,VLOOKUP($A174,EnrollData2324,'2324 Jun 24 Enroll'!H$1,FALSE),'District Calculations'!$B$15)*Apport_213A2324,3)</f>
        <v>23.091999999999999</v>
      </c>
      <c r="I174">
        <f>ROUND(IF(VLOOKUP($A174,EnrollData2324,'2324 Jun 24 Enroll'!I$1,FALSE)+VLOOKUP($A174,EnrollData2324,'2324 Jun 24 Enroll'!M$1,FALSE)-VLOOKUP($A174,EnrollData2324,'2324 Jun 24 Enroll'!J$1,FALSE)='District Calculations'!$B$16+'District Calculations'!$B$25-'District Calculations'!$B$17,VLOOKUP($A174,EnrollData2324,'2324 Jun 24 Enroll'!I$1,FALSE)+VLOOKUP($A174,EnrollData2324,'2324 Jun 24 Enroll'!M$1,FALSE)-VLOOKUP($A174,EnrollData2324,'2324 Jun 24 Enroll'!J$1,FALSE),'District Calculations'!$B$16+'District Calculations'!$B$25-'District Calculations'!$B$17)*Apport_216A2324,3)</f>
        <v>58.183999999999997</v>
      </c>
      <c r="J174">
        <f>ROUND(SUM(D174:I174)/(IF(VLOOKUP($A174,EnrollData2324,'2324 Jun 24 Enroll'!M$1,FALSE)='District Calculations'!$B$25,VLOOKUP($A174,EnrollData2324,'2324 Jun 24 Enroll'!M$1,FALSE),'District Calculations'!$B$25)+IF(VLOOKUP($A174,EnrollData2324,'2324 Jun 24 Enroll'!D$1,FALSE)='District Calculations'!$B$11,VLOOKUP($A174,EnrollData2324,'2324 Jun 24 Enroll'!D$1,FALSE),'District Calculations'!$B$11)),5)</f>
        <v>5.5530000000000003E-2</v>
      </c>
      <c r="K174" s="11">
        <f t="shared" si="51"/>
        <v>4.365E-3</v>
      </c>
      <c r="L174">
        <f>ROUND(IF(VLOOKUP($A174,EnrollData2324,'2324 Jun 24 Enroll'!D$1,FALSE)='District Calculations'!$B$11,VLOOKUP($A174,EnrollData2324,'2324 Jun 24 Enroll'!D$1,FALSE),'District Calculations'!$B$11)*K174,3)</f>
        <v>0</v>
      </c>
      <c r="M174">
        <f>ROUND(IF(VLOOKUP($A174,EnrollData2324,'2324 Jun 24 Enroll'!E$1,FALSE)='District Calculations'!$B$12,VLOOKUP($A174,EnrollData2324,'2324 Jun 24 Enroll'!E$1,FALSE),'District Calculations'!$B$12)*K174,3)</f>
        <v>3.5379999999999998</v>
      </c>
      <c r="N174">
        <f>ROUND(IF(VLOOKUP($A174,EnrollData2324,'2324 Jun 24 Enroll'!F$1,FALSE)='District Calculations'!$B$13,VLOOKUP($A174,EnrollData2324,'2324 Jun 24 Enroll'!F$1,FALSE),'District Calculations'!$B$13)*Apport_223A2324,3)</f>
        <v>0.84199999999999997</v>
      </c>
      <c r="O174">
        <f>ROUND(IF(VLOOKUP($A174,EnrollData2324,'2324 Jun 24 Enroll'!G$1,FALSE)='District Calculations'!$B$14,VLOOKUP($A174,EnrollData2324,'2324 Jun 24 Enroll'!G$1,FALSE),'District Calculations'!$B$14)*Apport_211A2324,3)</f>
        <v>1.867</v>
      </c>
      <c r="P174">
        <f>ROUND(IF(VLOOKUP($A174,EnrollData2324,'2324 Jun 24 Enroll'!H$1,FALSE)='District Calculations'!$B$14,VLOOKUP($A174,EnrollData2324,'2324 Jun 24 Enroll'!H$1,FALSE),'District Calculations'!$B$14)*Apport_214A2324,3)</f>
        <v>1.8660000000000001</v>
      </c>
      <c r="Q174">
        <f>ROUND(IF(VLOOKUP($A174,EnrollData2324,'2324 Jun 24 Enroll'!I$1,FALSE)+VLOOKUP($A174,EnrollData2324,'2324 Jun 24 Enroll'!M$1,FALSE)-VLOOKUP($A174,EnrollData2324,'2324 Jun 24 Enroll'!J$1,FALSE)='District Calculations'!$B$16+'District Calculations'!$B$25-'District Calculations'!$B$17,VLOOKUP($A174,EnrollData2324,'2324 Jun 24 Enroll'!I$1,FALSE)+VLOOKUP($A174,EnrollData2324,'2324 Jun 24 Enroll'!M$1,FALSE)-VLOOKUP($A174,EnrollData2324,'2324 Jun 24 Enroll'!J$1,FALSE),'District Calculations'!$B$16+'District Calculations'!$B$25-'District Calculations'!$B$17)*Apport_217A2324,3)</f>
        <v>4.6980000000000004</v>
      </c>
      <c r="R174">
        <f>ROUND(SUM(L174:Q174)/IF(VLOOKUP($A174,EnrollData2324,'2324 Jun 24 Enroll'!M$1,FALSE)+VLOOKUP($A174,EnrollData2324,'2324 Jun 24 Enroll'!D$1,FALSE)='District Calculations'!$B$25+'District Calculations'!$B$11,VLOOKUP($A174,EnrollData2324,'2324 Jun 24 Enroll'!M$1,FALSE)+VLOOKUP($A174,EnrollData2324,'2324 Jun 24 Enroll'!D$1,FALSE),'District Calculations'!$B$25+'District Calculations'!$B$11),5)</f>
        <v>4.1000000000000003E-3</v>
      </c>
      <c r="S174" s="11">
        <f t="shared" si="52"/>
        <v>1.8294500000000002E-2</v>
      </c>
      <c r="T174">
        <f>ROUND(IF(VLOOKUP($A174,EnrollData2324,'2324 Jun 24 Enroll'!D$1,FALSE)='District Calculations'!$B$11,VLOOKUP($A174,EnrollData2324,'2324 Jun 24 Enroll'!D$1,FALSE),'District Calculations'!$B$11)*S174,3)</f>
        <v>0</v>
      </c>
      <c r="U174">
        <f>ROUND(IF(VLOOKUP($A174,EnrollData2324,'2324 Jun 24 Enroll'!E$1,FALSE)='District Calculations'!$B$12,VLOOKUP($A174,EnrollData2324,'2324 Jun 24 Enroll'!E$1,FALSE),'District Calculations'!$B$12)*S174,3)</f>
        <v>14.827999999999999</v>
      </c>
      <c r="V174">
        <f>ROUND(IF(VLOOKUP($A174,EnrollData2324,'2324 Jun 24 Enroll'!F$1,FALSE)='District Calculations'!$B$13,VLOOKUP($A174,EnrollData2324,'2324 Jun 24 Enroll'!F$1,FALSE),'District Calculations'!$B$13)*Apport_224A2324,3)</f>
        <v>3.6190000000000002</v>
      </c>
      <c r="W174">
        <f>ROUND(IF(VLOOKUP($A174,EnrollData2324,'2324 Jun 24 Enroll'!G$1,FALSE)='District Calculations'!$B$14,VLOOKUP($A174,EnrollData2324,'2324 Jun 24 Enroll'!G$1,FALSE),'District Calculations'!$B$14)*Apport_212A2324,3)</f>
        <v>8.0239999999999991</v>
      </c>
      <c r="X174">
        <f>ROUND(IF(VLOOKUP($A174,EnrollData2324,'2324 Jun 24 Enroll'!H$1,FALSE)='District Calculations'!$B$14,VLOOKUP($A174,EnrollData2324,'2324 Jun 24 Enroll'!H$1,FALSE),'District Calculations'!$B$14)*Apport_215A2324,3)</f>
        <v>7.9279999999999999</v>
      </c>
      <c r="Y174">
        <f>ROUND(IF(VLOOKUP($A174,EnrollData2324,'2324 Jun 24 Enroll'!I$1,FALSE)+VLOOKUP($A174,EnrollData2324,'2324 Jun 24 Enroll'!M$1,FALSE)-VLOOKUP($A174,EnrollData2324,'2324 Jun 24 Enroll'!J$1,FALSE)='District Calculations'!$B$16+'District Calculations'!$B$25-'District Calculations'!$B$17,VLOOKUP($A174,EnrollData2324,'2324 Jun 24 Enroll'!I$1,FALSE)+VLOOKUP($A174,EnrollData2324,'2324 Jun 24 Enroll'!M$1,FALSE)-VLOOKUP($A174,EnrollData2324,'2324 Jun 24 Enroll'!J$1,FALSE),'District Calculations'!$B$16+'District Calculations'!$B$25-'District Calculations'!$B$17)*Apport_218A2324,3)</f>
        <v>19.917999999999999</v>
      </c>
      <c r="Z174">
        <f>ROUND(SUM(T174:Y174)/IF(VLOOKUP($A174,EnrollData2324,'2324 Jun 24 Enroll'!M$1,FALSE)+VLOOKUP($A174,EnrollData2324,'2324 Jun 24 Enroll'!D$1,FALSE)='District Calculations'!$B$25+'District Calculations'!$B$11,VLOOKUP($A174,EnrollData2324,'2324 Jun 24 Enroll'!M$1,FALSE)+VLOOKUP($A174,EnrollData2324,'2324 Jun 24 Enroll'!D$1,FALSE),'District Calculations'!$B$25+'District Calculations'!$B$11),5)</f>
        <v>1.7399999999999999E-2</v>
      </c>
      <c r="AA174" s="6">
        <f>ROUND($J174*CIS_Base_Salary2324*VLOOKUP($A174,EnrollData2324,'2324 Jun 24 Enroll'!S$1,FALSE),2)</f>
        <v>4038.59</v>
      </c>
      <c r="AB174" s="6">
        <f>ROUND($J174*CIS_Inc_Salary2324*(VLOOKUP($A174,EnrollData2324,'2324 Jun 24 Enroll'!T$1,FALSE)+VLOOKUP($A174,EnrollData2324,'2324 Jun 24 Enroll'!U$1,FALSE)),2)-AA174</f>
        <v>233.1899999999996</v>
      </c>
      <c r="AC174" s="6">
        <f>ROUND($R174*CAS_Base_Salary2324*VLOOKUP($A174,EnrollData2324,'2324 Jun 24 Enroll'!S$1,FALSE),2)</f>
        <v>442.62</v>
      </c>
      <c r="AD174" s="6">
        <f>ROUND($R174*CAS_Inc_Salary2324*VLOOKUP($A174,EnrollData2324,'2324 Jun 24 Enroll'!T$1,FALSE),2)-AC174</f>
        <v>16.379999999999995</v>
      </c>
      <c r="AE174" s="6">
        <f>ROUND($Z174*CLS_Base_Salary2324*VLOOKUP($A174,EnrollData2324,'2324 Jun 24 Enroll'!S$1,FALSE),2)</f>
        <v>907.81</v>
      </c>
      <c r="AF174" s="6">
        <f>ROUND($Z174*CLS_Inc_Salary2324*VLOOKUP($A174,EnrollData2324,'2324 Jun 24 Enroll'!T$1,FALSE),2)-AE174</f>
        <v>33.580000000000041</v>
      </c>
      <c r="AG174">
        <f t="shared" si="48"/>
        <v>734.16</v>
      </c>
      <c r="AH174" s="69">
        <f t="shared" si="53"/>
        <v>68.700000000000045</v>
      </c>
      <c r="AI174">
        <f t="shared" si="49"/>
        <v>214.23</v>
      </c>
      <c r="AJ174">
        <f t="shared" si="54"/>
        <v>114.21000000000001</v>
      </c>
      <c r="AK174">
        <f t="shared" si="55"/>
        <v>805.27</v>
      </c>
      <c r="AL174">
        <f t="shared" si="56"/>
        <v>43.25</v>
      </c>
      <c r="AM174">
        <f t="shared" si="57"/>
        <v>200.26</v>
      </c>
      <c r="AN174">
        <f t="shared" si="58"/>
        <v>6.23</v>
      </c>
      <c r="AO174">
        <f>ROUND(($J174*CIS_Inc_Salary2324*(VLOOKUP($A174,EnrollData2324,'2324 Jun 24 Enroll'!T$1,FALSE)+VLOOKUP($A174,EnrollData2324,'2324 Jun 24 Enroll'!U$1,FALSE))/Apport_613Xpd)*Apport_614Xpd,2)</f>
        <v>71.2</v>
      </c>
      <c r="AP174">
        <f t="shared" si="59"/>
        <v>12.34</v>
      </c>
      <c r="AQ174">
        <f t="shared" si="60"/>
        <v>30.93</v>
      </c>
      <c r="AR174" s="6">
        <f>ROUND((VLOOKUP($A174,EnrollData2324,'2324 Jun 24 Enroll'!D$1,FALSE)*Apport_M802324+VLOOKUP($A174,EnrollData2324,'2324 Jun 24 Enroll'!M$1,FALSE)*Apport_M802324+(VLOOKUP($A174,EnrollData2324,'2324 Jun 24 Enroll'!P$1,FALSE)+VLOOKUP($A174,EnrollData2324,'2324 Jun 24 Enroll'!Q$1,FALSE)+VLOOKUP($A174,EnrollData2324,'2324 Jun 24 Enroll'!R$1,FALSE)+VLOOKUP($A174,EnrollData2324,'2324 Jun 24 Enroll'!I$1,FALSE)+VLOOKUP($A174,EnrollData2324,'2324 Jun 24 Enroll'!N$1,FALSE)+VLOOKUP($A174,EnrollData2324,'2324 Jun 24 Enroll'!O$1,FALSE)+VLOOKUP($A174,EnrollData2324,'2324 Jun 24 Enroll'!K$1,FALSE)+VLOOKUP($A174,EnrollData2324,'2324 Jun 24 Enroll'!L$1,FALSE))*Apport_M812324)/(VLOOKUP($A174,EnrollData2324,'2324 Jun 24 Enroll'!M$1,FALSE)+VLOOKUP($A174,EnrollData2324,'2324 Jun 24 Enroll'!D$1,FALSE)),2)</f>
        <v>1552.01</v>
      </c>
      <c r="AS174" s="7">
        <f t="shared" si="61"/>
        <v>9524.9599999999991</v>
      </c>
    </row>
    <row r="175" spans="1:45">
      <c r="A175" s="40" t="s">
        <v>653</v>
      </c>
      <c r="B175" s="40" t="s">
        <v>654</v>
      </c>
      <c r="C175" s="11">
        <f>ROUND((IFERROR((1/IF(VLOOKUP($A175,EnrollData2324,28,FALSE)='District Calculations'!$B$10,VLOOKUP($A175,EnrollData2324,28,FALSE),'District Calculations'!$B$10))*(1+Apport_Z315),0))+Apport_201A2324,6)</f>
        <v>7.3449E-2</v>
      </c>
      <c r="D175">
        <f>ROUND(IF(VLOOKUP($A175,EnrollData2324,'2324 Jun 24 Enroll'!D$1,FALSE)='District Calculations'!$B$11,VLOOKUP($A175,EnrollData2324,'2324 Jun 24 Enroll'!D$1,FALSE),'District Calculations'!$B$11)*C175,3)</f>
        <v>0</v>
      </c>
      <c r="E175">
        <f>ROUND(IF(VLOOKUP($A175,EnrollData2324,'2324 Jun 24 Enroll'!E$1,FALSE)='District Calculations'!$B$12,VLOOKUP($A175,EnrollData2324,'2324 Jun 24 Enroll'!E$1,FALSE),'District Calculations'!$B$12)*C175,3)</f>
        <v>59.53</v>
      </c>
      <c r="F175">
        <f>ROUND(IF(VLOOKUP($A175,EnrollData2324,'2324 Jun 24 Enroll'!F$1,FALSE)='District Calculations'!$B$13,VLOOKUP($A175,EnrollData2324,'2324 Jun 24 Enroll'!F$1,FALSE),'District Calculations'!$B$13)*Apport_222A2324,3)</f>
        <v>10.101000000000001</v>
      </c>
      <c r="G175">
        <f>ROUND(IF(VLOOKUP($A175,EnrollData2324,'2324 Jun 24 Enroll'!G$1,FALSE)='District Calculations'!$B$14,VLOOKUP($A175,EnrollData2324,'2324 Jun 24 Enroll'!G$1,FALSE),'District Calculations'!$B$14)*Apport_210A2324,3)</f>
        <v>22.395</v>
      </c>
      <c r="H175">
        <f>ROUND(IF(VLOOKUP($A175,EnrollData2324,'2324 Jun 24 Enroll'!H$1,FALSE)='District Calculations'!$B$15,VLOOKUP($A175,EnrollData2324,'2324 Jun 24 Enroll'!H$1,FALSE),'District Calculations'!$B$15)*Apport_213A2324,3)</f>
        <v>23.091999999999999</v>
      </c>
      <c r="I175">
        <f>ROUND(IF(VLOOKUP($A175,EnrollData2324,'2324 Jun 24 Enroll'!I$1,FALSE)+VLOOKUP($A175,EnrollData2324,'2324 Jun 24 Enroll'!M$1,FALSE)-VLOOKUP($A175,EnrollData2324,'2324 Jun 24 Enroll'!J$1,FALSE)='District Calculations'!$B$16+'District Calculations'!$B$25-'District Calculations'!$B$17,VLOOKUP($A175,EnrollData2324,'2324 Jun 24 Enroll'!I$1,FALSE)+VLOOKUP($A175,EnrollData2324,'2324 Jun 24 Enroll'!M$1,FALSE)-VLOOKUP($A175,EnrollData2324,'2324 Jun 24 Enroll'!J$1,FALSE),'District Calculations'!$B$16+'District Calculations'!$B$25-'District Calculations'!$B$17)*Apport_216A2324,3)</f>
        <v>58.183999999999997</v>
      </c>
      <c r="J175">
        <f>ROUND(SUM(D175:I175)/(IF(VLOOKUP($A175,EnrollData2324,'2324 Jun 24 Enroll'!M$1,FALSE)='District Calculations'!$B$25,VLOOKUP($A175,EnrollData2324,'2324 Jun 24 Enroll'!M$1,FALSE),'District Calculations'!$B$25)+IF(VLOOKUP($A175,EnrollData2324,'2324 Jun 24 Enroll'!D$1,FALSE)='District Calculations'!$B$11,VLOOKUP($A175,EnrollData2324,'2324 Jun 24 Enroll'!D$1,FALSE),'District Calculations'!$B$11)),5)</f>
        <v>5.5530000000000003E-2</v>
      </c>
      <c r="K175" s="11">
        <f t="shared" si="51"/>
        <v>4.365E-3</v>
      </c>
      <c r="L175">
        <f>ROUND(IF(VLOOKUP($A175,EnrollData2324,'2324 Jun 24 Enroll'!D$1,FALSE)='District Calculations'!$B$11,VLOOKUP($A175,EnrollData2324,'2324 Jun 24 Enroll'!D$1,FALSE),'District Calculations'!$B$11)*K175,3)</f>
        <v>0</v>
      </c>
      <c r="M175">
        <f>ROUND(IF(VLOOKUP($A175,EnrollData2324,'2324 Jun 24 Enroll'!E$1,FALSE)='District Calculations'!$B$12,VLOOKUP($A175,EnrollData2324,'2324 Jun 24 Enroll'!E$1,FALSE),'District Calculations'!$B$12)*K175,3)</f>
        <v>3.5379999999999998</v>
      </c>
      <c r="N175">
        <f>ROUND(IF(VLOOKUP($A175,EnrollData2324,'2324 Jun 24 Enroll'!F$1,FALSE)='District Calculations'!$B$13,VLOOKUP($A175,EnrollData2324,'2324 Jun 24 Enroll'!F$1,FALSE),'District Calculations'!$B$13)*Apport_223A2324,3)</f>
        <v>0.84199999999999997</v>
      </c>
      <c r="O175">
        <f>ROUND(IF(VLOOKUP($A175,EnrollData2324,'2324 Jun 24 Enroll'!G$1,FALSE)='District Calculations'!$B$14,VLOOKUP($A175,EnrollData2324,'2324 Jun 24 Enroll'!G$1,FALSE),'District Calculations'!$B$14)*Apport_211A2324,3)</f>
        <v>1.867</v>
      </c>
      <c r="P175">
        <f>ROUND(IF(VLOOKUP($A175,EnrollData2324,'2324 Jun 24 Enroll'!H$1,FALSE)='District Calculations'!$B$14,VLOOKUP($A175,EnrollData2324,'2324 Jun 24 Enroll'!H$1,FALSE),'District Calculations'!$B$14)*Apport_214A2324,3)</f>
        <v>1.8660000000000001</v>
      </c>
      <c r="Q175">
        <f>ROUND(IF(VLOOKUP($A175,EnrollData2324,'2324 Jun 24 Enroll'!I$1,FALSE)+VLOOKUP($A175,EnrollData2324,'2324 Jun 24 Enroll'!M$1,FALSE)-VLOOKUP($A175,EnrollData2324,'2324 Jun 24 Enroll'!J$1,FALSE)='District Calculations'!$B$16+'District Calculations'!$B$25-'District Calculations'!$B$17,VLOOKUP($A175,EnrollData2324,'2324 Jun 24 Enroll'!I$1,FALSE)+VLOOKUP($A175,EnrollData2324,'2324 Jun 24 Enroll'!M$1,FALSE)-VLOOKUP($A175,EnrollData2324,'2324 Jun 24 Enroll'!J$1,FALSE),'District Calculations'!$B$16+'District Calculations'!$B$25-'District Calculations'!$B$17)*Apport_217A2324,3)</f>
        <v>4.6980000000000004</v>
      </c>
      <c r="R175">
        <f>ROUND(SUM(L175:Q175)/IF(VLOOKUP($A175,EnrollData2324,'2324 Jun 24 Enroll'!M$1,FALSE)+VLOOKUP($A175,EnrollData2324,'2324 Jun 24 Enroll'!D$1,FALSE)='District Calculations'!$B$25+'District Calculations'!$B$11,VLOOKUP($A175,EnrollData2324,'2324 Jun 24 Enroll'!M$1,FALSE)+VLOOKUP($A175,EnrollData2324,'2324 Jun 24 Enroll'!D$1,FALSE),'District Calculations'!$B$25+'District Calculations'!$B$11),5)</f>
        <v>4.1000000000000003E-3</v>
      </c>
      <c r="S175" s="11">
        <f t="shared" si="52"/>
        <v>1.8294500000000002E-2</v>
      </c>
      <c r="T175">
        <f>ROUND(IF(VLOOKUP($A175,EnrollData2324,'2324 Jun 24 Enroll'!D$1,FALSE)='District Calculations'!$B$11,VLOOKUP($A175,EnrollData2324,'2324 Jun 24 Enroll'!D$1,FALSE),'District Calculations'!$B$11)*S175,3)</f>
        <v>0</v>
      </c>
      <c r="U175">
        <f>ROUND(IF(VLOOKUP($A175,EnrollData2324,'2324 Jun 24 Enroll'!E$1,FALSE)='District Calculations'!$B$12,VLOOKUP($A175,EnrollData2324,'2324 Jun 24 Enroll'!E$1,FALSE),'District Calculations'!$B$12)*S175,3)</f>
        <v>14.827999999999999</v>
      </c>
      <c r="V175">
        <f>ROUND(IF(VLOOKUP($A175,EnrollData2324,'2324 Jun 24 Enroll'!F$1,FALSE)='District Calculations'!$B$13,VLOOKUP($A175,EnrollData2324,'2324 Jun 24 Enroll'!F$1,FALSE),'District Calculations'!$B$13)*Apport_224A2324,3)</f>
        <v>3.6190000000000002</v>
      </c>
      <c r="W175">
        <f>ROUND(IF(VLOOKUP($A175,EnrollData2324,'2324 Jun 24 Enroll'!G$1,FALSE)='District Calculations'!$B$14,VLOOKUP($A175,EnrollData2324,'2324 Jun 24 Enroll'!G$1,FALSE),'District Calculations'!$B$14)*Apport_212A2324,3)</f>
        <v>8.0239999999999991</v>
      </c>
      <c r="X175">
        <f>ROUND(IF(VLOOKUP($A175,EnrollData2324,'2324 Jun 24 Enroll'!H$1,FALSE)='District Calculations'!$B$14,VLOOKUP($A175,EnrollData2324,'2324 Jun 24 Enroll'!H$1,FALSE),'District Calculations'!$B$14)*Apport_215A2324,3)</f>
        <v>7.9279999999999999</v>
      </c>
      <c r="Y175">
        <f>ROUND(IF(VLOOKUP($A175,EnrollData2324,'2324 Jun 24 Enroll'!I$1,FALSE)+VLOOKUP($A175,EnrollData2324,'2324 Jun 24 Enroll'!M$1,FALSE)-VLOOKUP($A175,EnrollData2324,'2324 Jun 24 Enroll'!J$1,FALSE)='District Calculations'!$B$16+'District Calculations'!$B$25-'District Calculations'!$B$17,VLOOKUP($A175,EnrollData2324,'2324 Jun 24 Enroll'!I$1,FALSE)+VLOOKUP($A175,EnrollData2324,'2324 Jun 24 Enroll'!M$1,FALSE)-VLOOKUP($A175,EnrollData2324,'2324 Jun 24 Enroll'!J$1,FALSE),'District Calculations'!$B$16+'District Calculations'!$B$25-'District Calculations'!$B$17)*Apport_218A2324,3)</f>
        <v>19.917999999999999</v>
      </c>
      <c r="Z175">
        <f>ROUND(SUM(T175:Y175)/IF(VLOOKUP($A175,EnrollData2324,'2324 Jun 24 Enroll'!M$1,FALSE)+VLOOKUP($A175,EnrollData2324,'2324 Jun 24 Enroll'!D$1,FALSE)='District Calculations'!$B$25+'District Calculations'!$B$11,VLOOKUP($A175,EnrollData2324,'2324 Jun 24 Enroll'!M$1,FALSE)+VLOOKUP($A175,EnrollData2324,'2324 Jun 24 Enroll'!D$1,FALSE),'District Calculations'!$B$25+'District Calculations'!$B$11),5)</f>
        <v>1.7399999999999999E-2</v>
      </c>
      <c r="AA175" s="6">
        <f>ROUND($J175*CIS_Base_Salary2324*VLOOKUP($A175,EnrollData2324,'2324 Jun 24 Enroll'!S$1,FALSE),2)</f>
        <v>4099.16</v>
      </c>
      <c r="AB175" s="6">
        <f>ROUND($J175*CIS_Inc_Salary2324*(VLOOKUP($A175,EnrollData2324,'2324 Jun 24 Enroll'!T$1,FALSE)+VLOOKUP($A175,EnrollData2324,'2324 Jun 24 Enroll'!U$1,FALSE)),2)-AA175</f>
        <v>319.19999999999982</v>
      </c>
      <c r="AC175" s="6">
        <f>ROUND($R175*CAS_Base_Salary2324*VLOOKUP($A175,EnrollData2324,'2324 Jun 24 Enroll'!S$1,FALSE),2)</f>
        <v>449.25</v>
      </c>
      <c r="AD175" s="6">
        <f>ROUND($R175*CAS_Inc_Salary2324*VLOOKUP($A175,EnrollData2324,'2324 Jun 24 Enroll'!T$1,FALSE),2)-AC175</f>
        <v>16.629999999999995</v>
      </c>
      <c r="AE175" s="6">
        <f>ROUND($Z175*CLS_Base_Salary2324*VLOOKUP($A175,EnrollData2324,'2324 Jun 24 Enroll'!S$1,FALSE),2)</f>
        <v>921.43</v>
      </c>
      <c r="AF175" s="6">
        <f>ROUND($Z175*CLS_Inc_Salary2324*VLOOKUP($A175,EnrollData2324,'2324 Jun 24 Enroll'!T$1,FALSE),2)-AE175</f>
        <v>34.080000000000041</v>
      </c>
      <c r="AG175">
        <f t="shared" si="48"/>
        <v>734.16</v>
      </c>
      <c r="AH175" s="69">
        <f t="shared" si="53"/>
        <v>68.700000000000045</v>
      </c>
      <c r="AI175">
        <f t="shared" si="49"/>
        <v>214.23</v>
      </c>
      <c r="AJ175">
        <f t="shared" si="54"/>
        <v>114.21000000000001</v>
      </c>
      <c r="AK175">
        <f t="shared" si="55"/>
        <v>817.35</v>
      </c>
      <c r="AL175">
        <f t="shared" si="56"/>
        <v>58.2</v>
      </c>
      <c r="AM175">
        <f t="shared" si="57"/>
        <v>203.27</v>
      </c>
      <c r="AN175">
        <f t="shared" si="58"/>
        <v>6.33</v>
      </c>
      <c r="AO175">
        <f>ROUND(($J175*CIS_Inc_Salary2324*(VLOOKUP($A175,EnrollData2324,'2324 Jun 24 Enroll'!T$1,FALSE)+VLOOKUP($A175,EnrollData2324,'2324 Jun 24 Enroll'!U$1,FALSE))/Apport_613Xpd)*Apport_614Xpd,2)</f>
        <v>73.64</v>
      </c>
      <c r="AP175">
        <f t="shared" si="59"/>
        <v>12.76</v>
      </c>
      <c r="AQ175">
        <f t="shared" si="60"/>
        <v>30.93</v>
      </c>
      <c r="AR175" s="6">
        <f>ROUND((VLOOKUP($A175,EnrollData2324,'2324 Jun 24 Enroll'!D$1,FALSE)*Apport_M802324+VLOOKUP($A175,EnrollData2324,'2324 Jun 24 Enroll'!M$1,FALSE)*Apport_M802324+(VLOOKUP($A175,EnrollData2324,'2324 Jun 24 Enroll'!P$1,FALSE)+VLOOKUP($A175,EnrollData2324,'2324 Jun 24 Enroll'!Q$1,FALSE)+VLOOKUP($A175,EnrollData2324,'2324 Jun 24 Enroll'!R$1,FALSE)+VLOOKUP($A175,EnrollData2324,'2324 Jun 24 Enroll'!I$1,FALSE)+VLOOKUP($A175,EnrollData2324,'2324 Jun 24 Enroll'!N$1,FALSE)+VLOOKUP($A175,EnrollData2324,'2324 Jun 24 Enroll'!O$1,FALSE)+VLOOKUP($A175,EnrollData2324,'2324 Jun 24 Enroll'!K$1,FALSE)+VLOOKUP($A175,EnrollData2324,'2324 Jun 24 Enroll'!L$1,FALSE))*Apport_M812324)/(VLOOKUP($A175,EnrollData2324,'2324 Jun 24 Enroll'!M$1,FALSE)+VLOOKUP($A175,EnrollData2324,'2324 Jun 24 Enroll'!D$1,FALSE)),2)</f>
        <v>1546.5</v>
      </c>
      <c r="AS175" s="7">
        <f t="shared" si="61"/>
        <v>9720.0300000000007</v>
      </c>
    </row>
    <row r="176" spans="1:45">
      <c r="A176" s="40" t="s">
        <v>877</v>
      </c>
      <c r="B176" s="40" t="s">
        <v>878</v>
      </c>
      <c r="C176" s="11">
        <f>ROUND((IFERROR((1/IF(VLOOKUP($A176,EnrollData2324,28,FALSE)='District Calculations'!$B$10,VLOOKUP($A176,EnrollData2324,28,FALSE),'District Calculations'!$B$10))*(1+Apport_Z315),0))+Apport_201A2324,6)</f>
        <v>7.3449E-2</v>
      </c>
      <c r="D176">
        <f>ROUND(IF(VLOOKUP($A176,EnrollData2324,'2324 Jun 24 Enroll'!D$1,FALSE)='District Calculations'!$B$11,VLOOKUP($A176,EnrollData2324,'2324 Jun 24 Enroll'!D$1,FALSE),'District Calculations'!$B$11)*C176,3)</f>
        <v>0</v>
      </c>
      <c r="E176">
        <f>ROUND(IF(VLOOKUP($A176,EnrollData2324,'2324 Jun 24 Enroll'!E$1,FALSE)='District Calculations'!$B$12,VLOOKUP($A176,EnrollData2324,'2324 Jun 24 Enroll'!E$1,FALSE),'District Calculations'!$B$12)*C176,3)</f>
        <v>59.53</v>
      </c>
      <c r="F176">
        <f>ROUND(IF(VLOOKUP($A176,EnrollData2324,'2324 Jun 24 Enroll'!F$1,FALSE)='District Calculations'!$B$13,VLOOKUP($A176,EnrollData2324,'2324 Jun 24 Enroll'!F$1,FALSE),'District Calculations'!$B$13)*Apport_222A2324,3)</f>
        <v>10.101000000000001</v>
      </c>
      <c r="G176">
        <f>ROUND(IF(VLOOKUP($A176,EnrollData2324,'2324 Jun 24 Enroll'!G$1,FALSE)='District Calculations'!$B$14,VLOOKUP($A176,EnrollData2324,'2324 Jun 24 Enroll'!G$1,FALSE),'District Calculations'!$B$14)*Apport_210A2324,3)</f>
        <v>22.395</v>
      </c>
      <c r="H176">
        <f>ROUND(IF(VLOOKUP($A176,EnrollData2324,'2324 Jun 24 Enroll'!H$1,FALSE)='District Calculations'!$B$15,VLOOKUP($A176,EnrollData2324,'2324 Jun 24 Enroll'!H$1,FALSE),'District Calculations'!$B$15)*Apport_213A2324,3)</f>
        <v>23.091999999999999</v>
      </c>
      <c r="I176">
        <f>ROUND(IF(VLOOKUP($A176,EnrollData2324,'2324 Jun 24 Enroll'!I$1,FALSE)+VLOOKUP($A176,EnrollData2324,'2324 Jun 24 Enroll'!M$1,FALSE)-VLOOKUP($A176,EnrollData2324,'2324 Jun 24 Enroll'!J$1,FALSE)='District Calculations'!$B$16+'District Calculations'!$B$25-'District Calculations'!$B$17,VLOOKUP($A176,EnrollData2324,'2324 Jun 24 Enroll'!I$1,FALSE)+VLOOKUP($A176,EnrollData2324,'2324 Jun 24 Enroll'!M$1,FALSE)-VLOOKUP($A176,EnrollData2324,'2324 Jun 24 Enroll'!J$1,FALSE),'District Calculations'!$B$16+'District Calculations'!$B$25-'District Calculations'!$B$17)*Apport_216A2324,3)</f>
        <v>58.183999999999997</v>
      </c>
      <c r="J176">
        <f>ROUND(SUM(D176:I176)/(IF(VLOOKUP($A176,EnrollData2324,'2324 Jun 24 Enroll'!M$1,FALSE)='District Calculations'!$B$25,VLOOKUP($A176,EnrollData2324,'2324 Jun 24 Enroll'!M$1,FALSE),'District Calculations'!$B$25)+IF(VLOOKUP($A176,EnrollData2324,'2324 Jun 24 Enroll'!D$1,FALSE)='District Calculations'!$B$11,VLOOKUP($A176,EnrollData2324,'2324 Jun 24 Enroll'!D$1,FALSE),'District Calculations'!$B$11)),5)</f>
        <v>5.5530000000000003E-2</v>
      </c>
      <c r="K176" s="11">
        <f t="shared" si="51"/>
        <v>4.365E-3</v>
      </c>
      <c r="L176">
        <f>ROUND(IF(VLOOKUP($A176,EnrollData2324,'2324 Jun 24 Enroll'!D$1,FALSE)='District Calculations'!$B$11,VLOOKUP($A176,EnrollData2324,'2324 Jun 24 Enroll'!D$1,FALSE),'District Calculations'!$B$11)*K176,3)</f>
        <v>0</v>
      </c>
      <c r="M176">
        <f>ROUND(IF(VLOOKUP($A176,EnrollData2324,'2324 Jun 24 Enroll'!E$1,FALSE)='District Calculations'!$B$12,VLOOKUP($A176,EnrollData2324,'2324 Jun 24 Enroll'!E$1,FALSE),'District Calculations'!$B$12)*K176,3)</f>
        <v>3.5379999999999998</v>
      </c>
      <c r="N176">
        <f>ROUND(IF(VLOOKUP($A176,EnrollData2324,'2324 Jun 24 Enroll'!F$1,FALSE)='District Calculations'!$B$13,VLOOKUP($A176,EnrollData2324,'2324 Jun 24 Enroll'!F$1,FALSE),'District Calculations'!$B$13)*Apport_223A2324,3)</f>
        <v>0.84199999999999997</v>
      </c>
      <c r="O176">
        <f>ROUND(IF(VLOOKUP($A176,EnrollData2324,'2324 Jun 24 Enroll'!G$1,FALSE)='District Calculations'!$B$14,VLOOKUP($A176,EnrollData2324,'2324 Jun 24 Enroll'!G$1,FALSE),'District Calculations'!$B$14)*Apport_211A2324,3)</f>
        <v>1.867</v>
      </c>
      <c r="P176">
        <f>ROUND(IF(VLOOKUP($A176,EnrollData2324,'2324 Jun 24 Enroll'!H$1,FALSE)='District Calculations'!$B$14,VLOOKUP($A176,EnrollData2324,'2324 Jun 24 Enroll'!H$1,FALSE),'District Calculations'!$B$14)*Apport_214A2324,3)</f>
        <v>1.8660000000000001</v>
      </c>
      <c r="Q176">
        <f>ROUND(IF(VLOOKUP($A176,EnrollData2324,'2324 Jun 24 Enroll'!I$1,FALSE)+VLOOKUP($A176,EnrollData2324,'2324 Jun 24 Enroll'!M$1,FALSE)-VLOOKUP($A176,EnrollData2324,'2324 Jun 24 Enroll'!J$1,FALSE)='District Calculations'!$B$16+'District Calculations'!$B$25-'District Calculations'!$B$17,VLOOKUP($A176,EnrollData2324,'2324 Jun 24 Enroll'!I$1,FALSE)+VLOOKUP($A176,EnrollData2324,'2324 Jun 24 Enroll'!M$1,FALSE)-VLOOKUP($A176,EnrollData2324,'2324 Jun 24 Enroll'!J$1,FALSE),'District Calculations'!$B$16+'District Calculations'!$B$25-'District Calculations'!$B$17)*Apport_217A2324,3)</f>
        <v>4.6980000000000004</v>
      </c>
      <c r="R176">
        <f>ROUND(SUM(L176:Q176)/IF(VLOOKUP($A176,EnrollData2324,'2324 Jun 24 Enroll'!M$1,FALSE)+VLOOKUP($A176,EnrollData2324,'2324 Jun 24 Enroll'!D$1,FALSE)='District Calculations'!$B$25+'District Calculations'!$B$11,VLOOKUP($A176,EnrollData2324,'2324 Jun 24 Enroll'!M$1,FALSE)+VLOOKUP($A176,EnrollData2324,'2324 Jun 24 Enroll'!D$1,FALSE),'District Calculations'!$B$25+'District Calculations'!$B$11),5)</f>
        <v>4.1000000000000003E-3</v>
      </c>
      <c r="S176" s="11">
        <f t="shared" si="52"/>
        <v>1.8294500000000002E-2</v>
      </c>
      <c r="T176">
        <f>ROUND(IF(VLOOKUP($A176,EnrollData2324,'2324 Jun 24 Enroll'!D$1,FALSE)='District Calculations'!$B$11,VLOOKUP($A176,EnrollData2324,'2324 Jun 24 Enroll'!D$1,FALSE),'District Calculations'!$B$11)*S176,3)</f>
        <v>0</v>
      </c>
      <c r="U176">
        <f>ROUND(IF(VLOOKUP($A176,EnrollData2324,'2324 Jun 24 Enroll'!E$1,FALSE)='District Calculations'!$B$12,VLOOKUP($A176,EnrollData2324,'2324 Jun 24 Enroll'!E$1,FALSE),'District Calculations'!$B$12)*S176,3)</f>
        <v>14.827999999999999</v>
      </c>
      <c r="V176">
        <f>ROUND(IF(VLOOKUP($A176,EnrollData2324,'2324 Jun 24 Enroll'!F$1,FALSE)='District Calculations'!$B$13,VLOOKUP($A176,EnrollData2324,'2324 Jun 24 Enroll'!F$1,FALSE),'District Calculations'!$B$13)*Apport_224A2324,3)</f>
        <v>3.6190000000000002</v>
      </c>
      <c r="W176">
        <f>ROUND(IF(VLOOKUP($A176,EnrollData2324,'2324 Jun 24 Enroll'!G$1,FALSE)='District Calculations'!$B$14,VLOOKUP($A176,EnrollData2324,'2324 Jun 24 Enroll'!G$1,FALSE),'District Calculations'!$B$14)*Apport_212A2324,3)</f>
        <v>8.0239999999999991</v>
      </c>
      <c r="X176">
        <f>ROUND(IF(VLOOKUP($A176,EnrollData2324,'2324 Jun 24 Enroll'!H$1,FALSE)='District Calculations'!$B$14,VLOOKUP($A176,EnrollData2324,'2324 Jun 24 Enroll'!H$1,FALSE),'District Calculations'!$B$14)*Apport_215A2324,3)</f>
        <v>7.9279999999999999</v>
      </c>
      <c r="Y176">
        <f>ROUND(IF(VLOOKUP($A176,EnrollData2324,'2324 Jun 24 Enroll'!I$1,FALSE)+VLOOKUP($A176,EnrollData2324,'2324 Jun 24 Enroll'!M$1,FALSE)-VLOOKUP($A176,EnrollData2324,'2324 Jun 24 Enroll'!J$1,FALSE)='District Calculations'!$B$16+'District Calculations'!$B$25-'District Calculations'!$B$17,VLOOKUP($A176,EnrollData2324,'2324 Jun 24 Enroll'!I$1,FALSE)+VLOOKUP($A176,EnrollData2324,'2324 Jun 24 Enroll'!M$1,FALSE)-VLOOKUP($A176,EnrollData2324,'2324 Jun 24 Enroll'!J$1,FALSE),'District Calculations'!$B$16+'District Calculations'!$B$25-'District Calculations'!$B$17)*Apport_218A2324,3)</f>
        <v>19.917999999999999</v>
      </c>
      <c r="Z176">
        <f>ROUND(SUM(T176:Y176)/IF(VLOOKUP($A176,EnrollData2324,'2324 Jun 24 Enroll'!M$1,FALSE)+VLOOKUP($A176,EnrollData2324,'2324 Jun 24 Enroll'!D$1,FALSE)='District Calculations'!$B$25+'District Calculations'!$B$11,VLOOKUP($A176,EnrollData2324,'2324 Jun 24 Enroll'!M$1,FALSE)+VLOOKUP($A176,EnrollData2324,'2324 Jun 24 Enroll'!D$1,FALSE),'District Calculations'!$B$25+'District Calculations'!$B$11),5)</f>
        <v>1.7399999999999999E-2</v>
      </c>
      <c r="AA176" s="6">
        <f>ROUND($J176*CIS_Base_Salary2324*VLOOKUP($A176,EnrollData2324,'2324 Jun 24 Enroll'!S$1,FALSE),2)</f>
        <v>4038.59</v>
      </c>
      <c r="AB176" s="6">
        <f>ROUND($J176*CIS_Inc_Salary2324*(VLOOKUP($A176,EnrollData2324,'2324 Jun 24 Enroll'!T$1,FALSE)+VLOOKUP($A176,EnrollData2324,'2324 Jun 24 Enroll'!U$1,FALSE)),2)-AA176</f>
        <v>149.43000000000029</v>
      </c>
      <c r="AC176" s="6">
        <f>ROUND($R176*CAS_Base_Salary2324*VLOOKUP($A176,EnrollData2324,'2324 Jun 24 Enroll'!S$1,FALSE),2)</f>
        <v>442.62</v>
      </c>
      <c r="AD176" s="6">
        <f>ROUND($R176*CAS_Inc_Salary2324*VLOOKUP($A176,EnrollData2324,'2324 Jun 24 Enroll'!T$1,FALSE),2)-AC176</f>
        <v>16.379999999999995</v>
      </c>
      <c r="AE176" s="6">
        <f>ROUND($Z176*CLS_Base_Salary2324*VLOOKUP($A176,EnrollData2324,'2324 Jun 24 Enroll'!S$1,FALSE),2)</f>
        <v>907.81</v>
      </c>
      <c r="AF176" s="6">
        <f>ROUND($Z176*CLS_Inc_Salary2324*VLOOKUP($A176,EnrollData2324,'2324 Jun 24 Enroll'!T$1,FALSE),2)-AE176</f>
        <v>33.580000000000041</v>
      </c>
      <c r="AG176">
        <f t="shared" si="48"/>
        <v>734.16</v>
      </c>
      <c r="AH176" s="69">
        <f t="shared" si="53"/>
        <v>68.700000000000045</v>
      </c>
      <c r="AI176">
        <f t="shared" si="49"/>
        <v>214.23</v>
      </c>
      <c r="AJ176">
        <f t="shared" si="54"/>
        <v>114.21000000000001</v>
      </c>
      <c r="AK176">
        <f t="shared" si="55"/>
        <v>805.27</v>
      </c>
      <c r="AL176">
        <f t="shared" si="56"/>
        <v>28.73</v>
      </c>
      <c r="AM176">
        <f t="shared" si="57"/>
        <v>200.26</v>
      </c>
      <c r="AN176">
        <f t="shared" si="58"/>
        <v>6.23</v>
      </c>
      <c r="AO176">
        <f>ROUND(($J176*CIS_Inc_Salary2324*(VLOOKUP($A176,EnrollData2324,'2324 Jun 24 Enroll'!T$1,FALSE)+VLOOKUP($A176,EnrollData2324,'2324 Jun 24 Enroll'!U$1,FALSE))/Apport_613Xpd)*Apport_614Xpd,2)</f>
        <v>69.8</v>
      </c>
      <c r="AP176">
        <f t="shared" si="59"/>
        <v>12.1</v>
      </c>
      <c r="AQ176">
        <f t="shared" si="60"/>
        <v>30.93</v>
      </c>
      <c r="AR176" s="6">
        <f>ROUND((VLOOKUP($A176,EnrollData2324,'2324 Jun 24 Enroll'!D$1,FALSE)*Apport_M802324+VLOOKUP($A176,EnrollData2324,'2324 Jun 24 Enroll'!M$1,FALSE)*Apport_M802324+(VLOOKUP($A176,EnrollData2324,'2324 Jun 24 Enroll'!P$1,FALSE)+VLOOKUP($A176,EnrollData2324,'2324 Jun 24 Enroll'!Q$1,FALSE)+VLOOKUP($A176,EnrollData2324,'2324 Jun 24 Enroll'!R$1,FALSE)+VLOOKUP($A176,EnrollData2324,'2324 Jun 24 Enroll'!I$1,FALSE)+VLOOKUP($A176,EnrollData2324,'2324 Jun 24 Enroll'!N$1,FALSE)+VLOOKUP($A176,EnrollData2324,'2324 Jun 24 Enroll'!O$1,FALSE)+VLOOKUP($A176,EnrollData2324,'2324 Jun 24 Enroll'!K$1,FALSE)+VLOOKUP($A176,EnrollData2324,'2324 Jun 24 Enroll'!L$1,FALSE))*Apport_M812324)/(VLOOKUP($A176,EnrollData2324,'2324 Jun 24 Enroll'!M$1,FALSE)+VLOOKUP($A176,EnrollData2324,'2324 Jun 24 Enroll'!D$1,FALSE)),2)</f>
        <v>1558.84</v>
      </c>
      <c r="AS176" s="7">
        <f t="shared" si="61"/>
        <v>9431.869999999999</v>
      </c>
    </row>
    <row r="177" spans="1:45">
      <c r="A177" s="40" t="s">
        <v>498</v>
      </c>
      <c r="B177" s="40" t="s">
        <v>499</v>
      </c>
      <c r="C177" s="11">
        <f>ROUND((IFERROR((1/IF(VLOOKUP($A177,EnrollData2324,28,FALSE)='District Calculations'!$B$10,VLOOKUP($A177,EnrollData2324,28,FALSE),'District Calculations'!$B$10))*(1+Apport_Z315),0))+Apport_201A2324,6)</f>
        <v>7.3449E-2</v>
      </c>
      <c r="D177">
        <f>ROUND(IF(VLOOKUP($A177,EnrollData2324,'2324 Jun 24 Enroll'!D$1,FALSE)='District Calculations'!$B$11,VLOOKUP($A177,EnrollData2324,'2324 Jun 24 Enroll'!D$1,FALSE),'District Calculations'!$B$11)*C177,3)</f>
        <v>0</v>
      </c>
      <c r="E177">
        <f>ROUND(IF(VLOOKUP($A177,EnrollData2324,'2324 Jun 24 Enroll'!E$1,FALSE)='District Calculations'!$B$12,VLOOKUP($A177,EnrollData2324,'2324 Jun 24 Enroll'!E$1,FALSE),'District Calculations'!$B$12)*C177,3)</f>
        <v>59.53</v>
      </c>
      <c r="F177">
        <f>ROUND(IF(VLOOKUP($A177,EnrollData2324,'2324 Jun 24 Enroll'!F$1,FALSE)='District Calculations'!$B$13,VLOOKUP($A177,EnrollData2324,'2324 Jun 24 Enroll'!F$1,FALSE),'District Calculations'!$B$13)*Apport_222A2324,3)</f>
        <v>10.101000000000001</v>
      </c>
      <c r="G177">
        <f>ROUND(IF(VLOOKUP($A177,EnrollData2324,'2324 Jun 24 Enroll'!G$1,FALSE)='District Calculations'!$B$14,VLOOKUP($A177,EnrollData2324,'2324 Jun 24 Enroll'!G$1,FALSE),'District Calculations'!$B$14)*Apport_210A2324,3)</f>
        <v>22.395</v>
      </c>
      <c r="H177">
        <f>ROUND(IF(VLOOKUP($A177,EnrollData2324,'2324 Jun 24 Enroll'!H$1,FALSE)='District Calculations'!$B$15,VLOOKUP($A177,EnrollData2324,'2324 Jun 24 Enroll'!H$1,FALSE),'District Calculations'!$B$15)*Apport_213A2324,3)</f>
        <v>23.091999999999999</v>
      </c>
      <c r="I177">
        <f>ROUND(IF(VLOOKUP($A177,EnrollData2324,'2324 Jun 24 Enroll'!I$1,FALSE)+VLOOKUP($A177,EnrollData2324,'2324 Jun 24 Enroll'!M$1,FALSE)-VLOOKUP($A177,EnrollData2324,'2324 Jun 24 Enroll'!J$1,FALSE)='District Calculations'!$B$16+'District Calculations'!$B$25-'District Calculations'!$B$17,VLOOKUP($A177,EnrollData2324,'2324 Jun 24 Enroll'!I$1,FALSE)+VLOOKUP($A177,EnrollData2324,'2324 Jun 24 Enroll'!M$1,FALSE)-VLOOKUP($A177,EnrollData2324,'2324 Jun 24 Enroll'!J$1,FALSE),'District Calculations'!$B$16+'District Calculations'!$B$25-'District Calculations'!$B$17)*Apport_216A2324,3)</f>
        <v>58.183999999999997</v>
      </c>
      <c r="J177">
        <f>ROUND(SUM(D177:I177)/(IF(VLOOKUP($A177,EnrollData2324,'2324 Jun 24 Enroll'!M$1,FALSE)='District Calculations'!$B$25,VLOOKUP($A177,EnrollData2324,'2324 Jun 24 Enroll'!M$1,FALSE),'District Calculations'!$B$25)+IF(VLOOKUP($A177,EnrollData2324,'2324 Jun 24 Enroll'!D$1,FALSE)='District Calculations'!$B$11,VLOOKUP($A177,EnrollData2324,'2324 Jun 24 Enroll'!D$1,FALSE),'District Calculations'!$B$11)),5)</f>
        <v>5.5530000000000003E-2</v>
      </c>
      <c r="K177" s="11">
        <f t="shared" si="51"/>
        <v>4.365E-3</v>
      </c>
      <c r="L177">
        <f>ROUND(IF(VLOOKUP($A177,EnrollData2324,'2324 Jun 24 Enroll'!D$1,FALSE)='District Calculations'!$B$11,VLOOKUP($A177,EnrollData2324,'2324 Jun 24 Enroll'!D$1,FALSE),'District Calculations'!$B$11)*K177,3)</f>
        <v>0</v>
      </c>
      <c r="M177">
        <f>ROUND(IF(VLOOKUP($A177,EnrollData2324,'2324 Jun 24 Enroll'!E$1,FALSE)='District Calculations'!$B$12,VLOOKUP($A177,EnrollData2324,'2324 Jun 24 Enroll'!E$1,FALSE),'District Calculations'!$B$12)*K177,3)</f>
        <v>3.5379999999999998</v>
      </c>
      <c r="N177">
        <f>ROUND(IF(VLOOKUP($A177,EnrollData2324,'2324 Jun 24 Enroll'!F$1,FALSE)='District Calculations'!$B$13,VLOOKUP($A177,EnrollData2324,'2324 Jun 24 Enroll'!F$1,FALSE),'District Calculations'!$B$13)*Apport_223A2324,3)</f>
        <v>0.84199999999999997</v>
      </c>
      <c r="O177">
        <f>ROUND(IF(VLOOKUP($A177,EnrollData2324,'2324 Jun 24 Enroll'!G$1,FALSE)='District Calculations'!$B$14,VLOOKUP($A177,EnrollData2324,'2324 Jun 24 Enroll'!G$1,FALSE),'District Calculations'!$B$14)*Apport_211A2324,3)</f>
        <v>1.867</v>
      </c>
      <c r="P177">
        <f>ROUND(IF(VLOOKUP($A177,EnrollData2324,'2324 Jun 24 Enroll'!H$1,FALSE)='District Calculations'!$B$14,VLOOKUP($A177,EnrollData2324,'2324 Jun 24 Enroll'!H$1,FALSE),'District Calculations'!$B$14)*Apport_214A2324,3)</f>
        <v>1.8660000000000001</v>
      </c>
      <c r="Q177">
        <f>ROUND(IF(VLOOKUP($A177,EnrollData2324,'2324 Jun 24 Enroll'!I$1,FALSE)+VLOOKUP($A177,EnrollData2324,'2324 Jun 24 Enroll'!M$1,FALSE)-VLOOKUP($A177,EnrollData2324,'2324 Jun 24 Enroll'!J$1,FALSE)='District Calculations'!$B$16+'District Calculations'!$B$25-'District Calculations'!$B$17,VLOOKUP($A177,EnrollData2324,'2324 Jun 24 Enroll'!I$1,FALSE)+VLOOKUP($A177,EnrollData2324,'2324 Jun 24 Enroll'!M$1,FALSE)-VLOOKUP($A177,EnrollData2324,'2324 Jun 24 Enroll'!J$1,FALSE),'District Calculations'!$B$16+'District Calculations'!$B$25-'District Calculations'!$B$17)*Apport_217A2324,3)</f>
        <v>4.6980000000000004</v>
      </c>
      <c r="R177">
        <f>ROUND(SUM(L177:Q177)/IF(VLOOKUP($A177,EnrollData2324,'2324 Jun 24 Enroll'!M$1,FALSE)+VLOOKUP($A177,EnrollData2324,'2324 Jun 24 Enroll'!D$1,FALSE)='District Calculations'!$B$25+'District Calculations'!$B$11,VLOOKUP($A177,EnrollData2324,'2324 Jun 24 Enroll'!M$1,FALSE)+VLOOKUP($A177,EnrollData2324,'2324 Jun 24 Enroll'!D$1,FALSE),'District Calculations'!$B$25+'District Calculations'!$B$11),5)</f>
        <v>4.1000000000000003E-3</v>
      </c>
      <c r="S177" s="11">
        <f t="shared" si="52"/>
        <v>1.8294500000000002E-2</v>
      </c>
      <c r="T177">
        <f>ROUND(IF(VLOOKUP($A177,EnrollData2324,'2324 Jun 24 Enroll'!D$1,FALSE)='District Calculations'!$B$11,VLOOKUP($A177,EnrollData2324,'2324 Jun 24 Enroll'!D$1,FALSE),'District Calculations'!$B$11)*S177,3)</f>
        <v>0</v>
      </c>
      <c r="U177">
        <f>ROUND(IF(VLOOKUP($A177,EnrollData2324,'2324 Jun 24 Enroll'!E$1,FALSE)='District Calculations'!$B$12,VLOOKUP($A177,EnrollData2324,'2324 Jun 24 Enroll'!E$1,FALSE),'District Calculations'!$B$12)*S177,3)</f>
        <v>14.827999999999999</v>
      </c>
      <c r="V177">
        <f>ROUND(IF(VLOOKUP($A177,EnrollData2324,'2324 Jun 24 Enroll'!F$1,FALSE)='District Calculations'!$B$13,VLOOKUP($A177,EnrollData2324,'2324 Jun 24 Enroll'!F$1,FALSE),'District Calculations'!$B$13)*Apport_224A2324,3)</f>
        <v>3.6190000000000002</v>
      </c>
      <c r="W177">
        <f>ROUND(IF(VLOOKUP($A177,EnrollData2324,'2324 Jun 24 Enroll'!G$1,FALSE)='District Calculations'!$B$14,VLOOKUP($A177,EnrollData2324,'2324 Jun 24 Enroll'!G$1,FALSE),'District Calculations'!$B$14)*Apport_212A2324,3)</f>
        <v>8.0239999999999991</v>
      </c>
      <c r="X177">
        <f>ROUND(IF(VLOOKUP($A177,EnrollData2324,'2324 Jun 24 Enroll'!H$1,FALSE)='District Calculations'!$B$14,VLOOKUP($A177,EnrollData2324,'2324 Jun 24 Enroll'!H$1,FALSE),'District Calculations'!$B$14)*Apport_215A2324,3)</f>
        <v>7.9279999999999999</v>
      </c>
      <c r="Y177">
        <f>ROUND(IF(VLOOKUP($A177,EnrollData2324,'2324 Jun 24 Enroll'!I$1,FALSE)+VLOOKUP($A177,EnrollData2324,'2324 Jun 24 Enroll'!M$1,FALSE)-VLOOKUP($A177,EnrollData2324,'2324 Jun 24 Enroll'!J$1,FALSE)='District Calculations'!$B$16+'District Calculations'!$B$25-'District Calculations'!$B$17,VLOOKUP($A177,EnrollData2324,'2324 Jun 24 Enroll'!I$1,FALSE)+VLOOKUP($A177,EnrollData2324,'2324 Jun 24 Enroll'!M$1,FALSE)-VLOOKUP($A177,EnrollData2324,'2324 Jun 24 Enroll'!J$1,FALSE),'District Calculations'!$B$16+'District Calculations'!$B$25-'District Calculations'!$B$17)*Apport_218A2324,3)</f>
        <v>19.917999999999999</v>
      </c>
      <c r="Z177">
        <f>ROUND(SUM(T177:Y177)/IF(VLOOKUP($A177,EnrollData2324,'2324 Jun 24 Enroll'!M$1,FALSE)+VLOOKUP($A177,EnrollData2324,'2324 Jun 24 Enroll'!D$1,FALSE)='District Calculations'!$B$25+'District Calculations'!$B$11,VLOOKUP($A177,EnrollData2324,'2324 Jun 24 Enroll'!M$1,FALSE)+VLOOKUP($A177,EnrollData2324,'2324 Jun 24 Enroll'!D$1,FALSE),'District Calculations'!$B$25+'District Calculations'!$B$11),5)</f>
        <v>1.7399999999999999E-2</v>
      </c>
      <c r="AA177" s="6">
        <f>ROUND($J177*CIS_Base_Salary2324*VLOOKUP($A177,EnrollData2324,'2324 Jun 24 Enroll'!S$1,FALSE),2)</f>
        <v>4038.59</v>
      </c>
      <c r="AB177" s="6">
        <f>ROUND($J177*CIS_Inc_Salary2324*(VLOOKUP($A177,EnrollData2324,'2324 Jun 24 Enroll'!T$1,FALSE)+VLOOKUP($A177,EnrollData2324,'2324 Jun 24 Enroll'!U$1,FALSE)),2)-AA177</f>
        <v>316.94999999999982</v>
      </c>
      <c r="AC177" s="6">
        <f>ROUND($R177*CAS_Base_Salary2324*VLOOKUP($A177,EnrollData2324,'2324 Jun 24 Enroll'!S$1,FALSE),2)</f>
        <v>442.62</v>
      </c>
      <c r="AD177" s="6">
        <f>ROUND($R177*CAS_Inc_Salary2324*VLOOKUP($A177,EnrollData2324,'2324 Jun 24 Enroll'!T$1,FALSE),2)-AC177</f>
        <v>16.379999999999995</v>
      </c>
      <c r="AE177" s="6">
        <f>ROUND($Z177*CLS_Base_Salary2324*VLOOKUP($A177,EnrollData2324,'2324 Jun 24 Enroll'!S$1,FALSE),2)</f>
        <v>907.81</v>
      </c>
      <c r="AF177" s="6">
        <f>ROUND($Z177*CLS_Inc_Salary2324*VLOOKUP($A177,EnrollData2324,'2324 Jun 24 Enroll'!T$1,FALSE),2)-AE177</f>
        <v>33.580000000000041</v>
      </c>
      <c r="AG177">
        <f t="shared" si="48"/>
        <v>734.16</v>
      </c>
      <c r="AH177" s="69">
        <f t="shared" si="53"/>
        <v>68.700000000000045</v>
      </c>
      <c r="AI177">
        <f t="shared" si="49"/>
        <v>214.23</v>
      </c>
      <c r="AJ177">
        <f t="shared" si="54"/>
        <v>114.21000000000001</v>
      </c>
      <c r="AK177">
        <f t="shared" si="55"/>
        <v>805.27</v>
      </c>
      <c r="AL177">
        <f t="shared" si="56"/>
        <v>57.77</v>
      </c>
      <c r="AM177">
        <f t="shared" si="57"/>
        <v>200.26</v>
      </c>
      <c r="AN177">
        <f t="shared" si="58"/>
        <v>6.23</v>
      </c>
      <c r="AO177">
        <f>ROUND(($J177*CIS_Inc_Salary2324*(VLOOKUP($A177,EnrollData2324,'2324 Jun 24 Enroll'!T$1,FALSE)+VLOOKUP($A177,EnrollData2324,'2324 Jun 24 Enroll'!U$1,FALSE))/Apport_613Xpd)*Apport_614Xpd,2)</f>
        <v>72.59</v>
      </c>
      <c r="AP177">
        <f t="shared" si="59"/>
        <v>12.58</v>
      </c>
      <c r="AQ177">
        <f t="shared" si="60"/>
        <v>30.93</v>
      </c>
      <c r="AR177" s="6">
        <f>ROUND((VLOOKUP($A177,EnrollData2324,'2324 Jun 24 Enroll'!D$1,FALSE)*Apport_M802324+VLOOKUP($A177,EnrollData2324,'2324 Jun 24 Enroll'!M$1,FALSE)*Apport_M802324+(VLOOKUP($A177,EnrollData2324,'2324 Jun 24 Enroll'!P$1,FALSE)+VLOOKUP($A177,EnrollData2324,'2324 Jun 24 Enroll'!Q$1,FALSE)+VLOOKUP($A177,EnrollData2324,'2324 Jun 24 Enroll'!R$1,FALSE)+VLOOKUP($A177,EnrollData2324,'2324 Jun 24 Enroll'!I$1,FALSE)+VLOOKUP($A177,EnrollData2324,'2324 Jun 24 Enroll'!N$1,FALSE)+VLOOKUP($A177,EnrollData2324,'2324 Jun 24 Enroll'!O$1,FALSE)+VLOOKUP($A177,EnrollData2324,'2324 Jun 24 Enroll'!K$1,FALSE)+VLOOKUP($A177,EnrollData2324,'2324 Jun 24 Enroll'!L$1,FALSE))*Apport_M812324)/(VLOOKUP($A177,EnrollData2324,'2324 Jun 24 Enroll'!M$1,FALSE)+VLOOKUP($A177,EnrollData2324,'2324 Jun 24 Enroll'!D$1,FALSE)),2)</f>
        <v>1525.15</v>
      </c>
      <c r="AS177" s="7">
        <f t="shared" si="61"/>
        <v>9598.01</v>
      </c>
    </row>
    <row r="178" spans="1:45">
      <c r="A178" s="40" t="s">
        <v>424</v>
      </c>
      <c r="B178" s="40" t="s">
        <v>425</v>
      </c>
      <c r="C178" s="11">
        <f>ROUND((IFERROR((1/IF(VLOOKUP($A178,EnrollData2324,28,FALSE)='District Calculations'!$B$10,VLOOKUP($A178,EnrollData2324,28,FALSE),'District Calculations'!$B$10))*(1+Apport_Z315),0))+Apport_201A2324,6)</f>
        <v>7.3449E-2</v>
      </c>
      <c r="D178">
        <f>ROUND(IF(VLOOKUP($A178,EnrollData2324,'2324 Jun 24 Enroll'!D$1,FALSE)='District Calculations'!$B$11,VLOOKUP($A178,EnrollData2324,'2324 Jun 24 Enroll'!D$1,FALSE),'District Calculations'!$B$11)*C178,3)</f>
        <v>0</v>
      </c>
      <c r="E178">
        <f>ROUND(IF(VLOOKUP($A178,EnrollData2324,'2324 Jun 24 Enroll'!E$1,FALSE)='District Calculations'!$B$12,VLOOKUP($A178,EnrollData2324,'2324 Jun 24 Enroll'!E$1,FALSE),'District Calculations'!$B$12)*C178,3)</f>
        <v>59.53</v>
      </c>
      <c r="F178">
        <f>ROUND(IF(VLOOKUP($A178,EnrollData2324,'2324 Jun 24 Enroll'!F$1,FALSE)='District Calculations'!$B$13,VLOOKUP($A178,EnrollData2324,'2324 Jun 24 Enroll'!F$1,FALSE),'District Calculations'!$B$13)*Apport_222A2324,3)</f>
        <v>10.101000000000001</v>
      </c>
      <c r="G178">
        <f>ROUND(IF(VLOOKUP($A178,EnrollData2324,'2324 Jun 24 Enroll'!G$1,FALSE)='District Calculations'!$B$14,VLOOKUP($A178,EnrollData2324,'2324 Jun 24 Enroll'!G$1,FALSE),'District Calculations'!$B$14)*Apport_210A2324,3)</f>
        <v>22.395</v>
      </c>
      <c r="H178">
        <f>ROUND(IF(VLOOKUP($A178,EnrollData2324,'2324 Jun 24 Enroll'!H$1,FALSE)='District Calculations'!$B$15,VLOOKUP($A178,EnrollData2324,'2324 Jun 24 Enroll'!H$1,FALSE),'District Calculations'!$B$15)*Apport_213A2324,3)</f>
        <v>23.091999999999999</v>
      </c>
      <c r="I178">
        <f>ROUND(IF(VLOOKUP($A178,EnrollData2324,'2324 Jun 24 Enroll'!I$1,FALSE)+VLOOKUP($A178,EnrollData2324,'2324 Jun 24 Enroll'!M$1,FALSE)-VLOOKUP($A178,EnrollData2324,'2324 Jun 24 Enroll'!J$1,FALSE)='District Calculations'!$B$16+'District Calculations'!$B$25-'District Calculations'!$B$17,VLOOKUP($A178,EnrollData2324,'2324 Jun 24 Enroll'!I$1,FALSE)+VLOOKUP($A178,EnrollData2324,'2324 Jun 24 Enroll'!M$1,FALSE)-VLOOKUP($A178,EnrollData2324,'2324 Jun 24 Enroll'!J$1,FALSE),'District Calculations'!$B$16+'District Calculations'!$B$25-'District Calculations'!$B$17)*Apport_216A2324,3)</f>
        <v>58.183999999999997</v>
      </c>
      <c r="J178">
        <f>ROUND(SUM(D178:I178)/(IF(VLOOKUP($A178,EnrollData2324,'2324 Jun 24 Enroll'!M$1,FALSE)='District Calculations'!$B$25,VLOOKUP($A178,EnrollData2324,'2324 Jun 24 Enroll'!M$1,FALSE),'District Calculations'!$B$25)+IF(VLOOKUP($A178,EnrollData2324,'2324 Jun 24 Enroll'!D$1,FALSE)='District Calculations'!$B$11,VLOOKUP($A178,EnrollData2324,'2324 Jun 24 Enroll'!D$1,FALSE),'District Calculations'!$B$11)),5)</f>
        <v>5.5530000000000003E-2</v>
      </c>
      <c r="K178" s="11">
        <f t="shared" si="51"/>
        <v>4.365E-3</v>
      </c>
      <c r="L178">
        <f>ROUND(IF(VLOOKUP($A178,EnrollData2324,'2324 Jun 24 Enroll'!D$1,FALSE)='District Calculations'!$B$11,VLOOKUP($A178,EnrollData2324,'2324 Jun 24 Enroll'!D$1,FALSE),'District Calculations'!$B$11)*K178,3)</f>
        <v>0</v>
      </c>
      <c r="M178">
        <f>ROUND(IF(VLOOKUP($A178,EnrollData2324,'2324 Jun 24 Enroll'!E$1,FALSE)='District Calculations'!$B$12,VLOOKUP($A178,EnrollData2324,'2324 Jun 24 Enroll'!E$1,FALSE),'District Calculations'!$B$12)*K178,3)</f>
        <v>3.5379999999999998</v>
      </c>
      <c r="N178">
        <f>ROUND(IF(VLOOKUP($A178,EnrollData2324,'2324 Jun 24 Enroll'!F$1,FALSE)='District Calculations'!$B$13,VLOOKUP($A178,EnrollData2324,'2324 Jun 24 Enroll'!F$1,FALSE),'District Calculations'!$B$13)*Apport_223A2324,3)</f>
        <v>0.84199999999999997</v>
      </c>
      <c r="O178">
        <f>ROUND(IF(VLOOKUP($A178,EnrollData2324,'2324 Jun 24 Enroll'!G$1,FALSE)='District Calculations'!$B$14,VLOOKUP($A178,EnrollData2324,'2324 Jun 24 Enroll'!G$1,FALSE),'District Calculations'!$B$14)*Apport_211A2324,3)</f>
        <v>1.867</v>
      </c>
      <c r="P178">
        <f>ROUND(IF(VLOOKUP($A178,EnrollData2324,'2324 Jun 24 Enroll'!H$1,FALSE)='District Calculations'!$B$14,VLOOKUP($A178,EnrollData2324,'2324 Jun 24 Enroll'!H$1,FALSE),'District Calculations'!$B$14)*Apport_214A2324,3)</f>
        <v>1.8660000000000001</v>
      </c>
      <c r="Q178">
        <f>ROUND(IF(VLOOKUP($A178,EnrollData2324,'2324 Jun 24 Enroll'!I$1,FALSE)+VLOOKUP($A178,EnrollData2324,'2324 Jun 24 Enroll'!M$1,FALSE)-VLOOKUP($A178,EnrollData2324,'2324 Jun 24 Enroll'!J$1,FALSE)='District Calculations'!$B$16+'District Calculations'!$B$25-'District Calculations'!$B$17,VLOOKUP($A178,EnrollData2324,'2324 Jun 24 Enroll'!I$1,FALSE)+VLOOKUP($A178,EnrollData2324,'2324 Jun 24 Enroll'!M$1,FALSE)-VLOOKUP($A178,EnrollData2324,'2324 Jun 24 Enroll'!J$1,FALSE),'District Calculations'!$B$16+'District Calculations'!$B$25-'District Calculations'!$B$17)*Apport_217A2324,3)</f>
        <v>4.6980000000000004</v>
      </c>
      <c r="R178">
        <f>ROUND(SUM(L178:Q178)/IF(VLOOKUP($A178,EnrollData2324,'2324 Jun 24 Enroll'!M$1,FALSE)+VLOOKUP($A178,EnrollData2324,'2324 Jun 24 Enroll'!D$1,FALSE)='District Calculations'!$B$25+'District Calculations'!$B$11,VLOOKUP($A178,EnrollData2324,'2324 Jun 24 Enroll'!M$1,FALSE)+VLOOKUP($A178,EnrollData2324,'2324 Jun 24 Enroll'!D$1,FALSE),'District Calculations'!$B$25+'District Calculations'!$B$11),5)</f>
        <v>4.1000000000000003E-3</v>
      </c>
      <c r="S178" s="11">
        <f t="shared" si="52"/>
        <v>1.8294500000000002E-2</v>
      </c>
      <c r="T178">
        <f>ROUND(IF(VLOOKUP($A178,EnrollData2324,'2324 Jun 24 Enroll'!D$1,FALSE)='District Calculations'!$B$11,VLOOKUP($A178,EnrollData2324,'2324 Jun 24 Enroll'!D$1,FALSE),'District Calculations'!$B$11)*S178,3)</f>
        <v>0</v>
      </c>
      <c r="U178">
        <f>ROUND(IF(VLOOKUP($A178,EnrollData2324,'2324 Jun 24 Enroll'!E$1,FALSE)='District Calculations'!$B$12,VLOOKUP($A178,EnrollData2324,'2324 Jun 24 Enroll'!E$1,FALSE),'District Calculations'!$B$12)*S178,3)</f>
        <v>14.827999999999999</v>
      </c>
      <c r="V178">
        <f>ROUND(IF(VLOOKUP($A178,EnrollData2324,'2324 Jun 24 Enroll'!F$1,FALSE)='District Calculations'!$B$13,VLOOKUP($A178,EnrollData2324,'2324 Jun 24 Enroll'!F$1,FALSE),'District Calculations'!$B$13)*Apport_224A2324,3)</f>
        <v>3.6190000000000002</v>
      </c>
      <c r="W178">
        <f>ROUND(IF(VLOOKUP($A178,EnrollData2324,'2324 Jun 24 Enroll'!G$1,FALSE)='District Calculations'!$B$14,VLOOKUP($A178,EnrollData2324,'2324 Jun 24 Enroll'!G$1,FALSE),'District Calculations'!$B$14)*Apport_212A2324,3)</f>
        <v>8.0239999999999991</v>
      </c>
      <c r="X178">
        <f>ROUND(IF(VLOOKUP($A178,EnrollData2324,'2324 Jun 24 Enroll'!H$1,FALSE)='District Calculations'!$B$14,VLOOKUP($A178,EnrollData2324,'2324 Jun 24 Enroll'!H$1,FALSE),'District Calculations'!$B$14)*Apport_215A2324,3)</f>
        <v>7.9279999999999999</v>
      </c>
      <c r="Y178">
        <f>ROUND(IF(VLOOKUP($A178,EnrollData2324,'2324 Jun 24 Enroll'!I$1,FALSE)+VLOOKUP($A178,EnrollData2324,'2324 Jun 24 Enroll'!M$1,FALSE)-VLOOKUP($A178,EnrollData2324,'2324 Jun 24 Enroll'!J$1,FALSE)='District Calculations'!$B$16+'District Calculations'!$B$25-'District Calculations'!$B$17,VLOOKUP($A178,EnrollData2324,'2324 Jun 24 Enroll'!I$1,FALSE)+VLOOKUP($A178,EnrollData2324,'2324 Jun 24 Enroll'!M$1,FALSE)-VLOOKUP($A178,EnrollData2324,'2324 Jun 24 Enroll'!J$1,FALSE),'District Calculations'!$B$16+'District Calculations'!$B$25-'District Calculations'!$B$17)*Apport_218A2324,3)</f>
        <v>19.917999999999999</v>
      </c>
      <c r="Z178">
        <f>ROUND(SUM(T178:Y178)/IF(VLOOKUP($A178,EnrollData2324,'2324 Jun 24 Enroll'!M$1,FALSE)+VLOOKUP($A178,EnrollData2324,'2324 Jun 24 Enroll'!D$1,FALSE)='District Calculations'!$B$25+'District Calculations'!$B$11,VLOOKUP($A178,EnrollData2324,'2324 Jun 24 Enroll'!M$1,FALSE)+VLOOKUP($A178,EnrollData2324,'2324 Jun 24 Enroll'!D$1,FALSE),'District Calculations'!$B$25+'District Calculations'!$B$11),5)</f>
        <v>1.7399999999999999E-2</v>
      </c>
      <c r="AA178" s="6">
        <f>ROUND($J178*CIS_Base_Salary2324*VLOOKUP($A178,EnrollData2324,'2324 Jun 24 Enroll'!S$1,FALSE),2)</f>
        <v>4038.59</v>
      </c>
      <c r="AB178" s="6">
        <f>ROUND($J178*CIS_Inc_Salary2324*(VLOOKUP($A178,EnrollData2324,'2324 Jun 24 Enroll'!T$1,FALSE)+VLOOKUP($A178,EnrollData2324,'2324 Jun 24 Enroll'!U$1,FALSE)),2)-AA178</f>
        <v>149.43000000000029</v>
      </c>
      <c r="AC178" s="6">
        <f>ROUND($R178*CAS_Base_Salary2324*VLOOKUP($A178,EnrollData2324,'2324 Jun 24 Enroll'!S$1,FALSE),2)</f>
        <v>442.62</v>
      </c>
      <c r="AD178" s="6">
        <f>ROUND($R178*CAS_Inc_Salary2324*VLOOKUP($A178,EnrollData2324,'2324 Jun 24 Enroll'!T$1,FALSE),2)-AC178</f>
        <v>16.379999999999995</v>
      </c>
      <c r="AE178" s="6">
        <f>ROUND($Z178*CLS_Base_Salary2324*VLOOKUP($A178,EnrollData2324,'2324 Jun 24 Enroll'!S$1,FALSE),2)</f>
        <v>907.81</v>
      </c>
      <c r="AF178" s="6">
        <f>ROUND($Z178*CLS_Inc_Salary2324*VLOOKUP($A178,EnrollData2324,'2324 Jun 24 Enroll'!T$1,FALSE),2)-AE178</f>
        <v>33.580000000000041</v>
      </c>
      <c r="AG178">
        <f t="shared" si="48"/>
        <v>734.16</v>
      </c>
      <c r="AH178" s="69">
        <f t="shared" si="53"/>
        <v>68.700000000000045</v>
      </c>
      <c r="AI178">
        <f t="shared" si="49"/>
        <v>214.23</v>
      </c>
      <c r="AJ178">
        <f t="shared" si="54"/>
        <v>114.21000000000001</v>
      </c>
      <c r="AK178">
        <f t="shared" si="55"/>
        <v>805.27</v>
      </c>
      <c r="AL178">
        <f t="shared" si="56"/>
        <v>28.73</v>
      </c>
      <c r="AM178">
        <f t="shared" si="57"/>
        <v>200.26</v>
      </c>
      <c r="AN178">
        <f t="shared" si="58"/>
        <v>6.23</v>
      </c>
      <c r="AO178">
        <f>ROUND(($J178*CIS_Inc_Salary2324*(VLOOKUP($A178,EnrollData2324,'2324 Jun 24 Enroll'!T$1,FALSE)+VLOOKUP($A178,EnrollData2324,'2324 Jun 24 Enroll'!U$1,FALSE))/Apport_613Xpd)*Apport_614Xpd,2)</f>
        <v>69.8</v>
      </c>
      <c r="AP178">
        <f t="shared" si="59"/>
        <v>12.1</v>
      </c>
      <c r="AQ178">
        <f t="shared" si="60"/>
        <v>30.93</v>
      </c>
      <c r="AR178" s="6">
        <f>ROUND((VLOOKUP($A178,EnrollData2324,'2324 Jun 24 Enroll'!D$1,FALSE)*Apport_M802324+VLOOKUP($A178,EnrollData2324,'2324 Jun 24 Enroll'!M$1,FALSE)*Apport_M802324+(VLOOKUP($A178,EnrollData2324,'2324 Jun 24 Enroll'!P$1,FALSE)+VLOOKUP($A178,EnrollData2324,'2324 Jun 24 Enroll'!Q$1,FALSE)+VLOOKUP($A178,EnrollData2324,'2324 Jun 24 Enroll'!R$1,FALSE)+VLOOKUP($A178,EnrollData2324,'2324 Jun 24 Enroll'!I$1,FALSE)+VLOOKUP($A178,EnrollData2324,'2324 Jun 24 Enroll'!N$1,FALSE)+VLOOKUP($A178,EnrollData2324,'2324 Jun 24 Enroll'!O$1,FALSE)+VLOOKUP($A178,EnrollData2324,'2324 Jun 24 Enroll'!K$1,FALSE)+VLOOKUP($A178,EnrollData2324,'2324 Jun 24 Enroll'!L$1,FALSE))*Apport_M812324)/(VLOOKUP($A178,EnrollData2324,'2324 Jun 24 Enroll'!M$1,FALSE)+VLOOKUP($A178,EnrollData2324,'2324 Jun 24 Enroll'!D$1,FALSE)),2)</f>
        <v>1543.85</v>
      </c>
      <c r="AS178" s="7">
        <f t="shared" si="61"/>
        <v>9416.8799999999992</v>
      </c>
    </row>
    <row r="179" spans="1:45">
      <c r="A179" s="40" t="s">
        <v>779</v>
      </c>
      <c r="B179" s="40" t="s">
        <v>780</v>
      </c>
      <c r="C179" s="11">
        <f>ROUND((IFERROR((1/IF(VLOOKUP($A179,EnrollData2324,28,FALSE)='District Calculations'!$B$10,VLOOKUP($A179,EnrollData2324,28,FALSE),'District Calculations'!$B$10))*(1+Apport_Z315),0))+Apport_201A2324,6)</f>
        <v>7.3449E-2</v>
      </c>
      <c r="D179">
        <f>ROUND(IF(VLOOKUP($A179,EnrollData2324,'2324 Jun 24 Enroll'!D$1,FALSE)='District Calculations'!$B$11,VLOOKUP($A179,EnrollData2324,'2324 Jun 24 Enroll'!D$1,FALSE),'District Calculations'!$B$11)*C179,3)</f>
        <v>0</v>
      </c>
      <c r="E179">
        <f>ROUND(IF(VLOOKUP($A179,EnrollData2324,'2324 Jun 24 Enroll'!E$1,FALSE)='District Calculations'!$B$12,VLOOKUP($A179,EnrollData2324,'2324 Jun 24 Enroll'!E$1,FALSE),'District Calculations'!$B$12)*C179,3)</f>
        <v>59.53</v>
      </c>
      <c r="F179">
        <f>ROUND(IF(VLOOKUP($A179,EnrollData2324,'2324 Jun 24 Enroll'!F$1,FALSE)='District Calculations'!$B$13,VLOOKUP($A179,EnrollData2324,'2324 Jun 24 Enroll'!F$1,FALSE),'District Calculations'!$B$13)*Apport_222A2324,3)</f>
        <v>10.101000000000001</v>
      </c>
      <c r="G179">
        <f>ROUND(IF(VLOOKUP($A179,EnrollData2324,'2324 Jun 24 Enroll'!G$1,FALSE)='District Calculations'!$B$14,VLOOKUP($A179,EnrollData2324,'2324 Jun 24 Enroll'!G$1,FALSE),'District Calculations'!$B$14)*Apport_210A2324,3)</f>
        <v>22.395</v>
      </c>
      <c r="H179">
        <f>ROUND(IF(VLOOKUP($A179,EnrollData2324,'2324 Jun 24 Enroll'!H$1,FALSE)='District Calculations'!$B$15,VLOOKUP($A179,EnrollData2324,'2324 Jun 24 Enroll'!H$1,FALSE),'District Calculations'!$B$15)*Apport_213A2324,3)</f>
        <v>23.091999999999999</v>
      </c>
      <c r="I179">
        <f>ROUND(IF(VLOOKUP($A179,EnrollData2324,'2324 Jun 24 Enroll'!I$1,FALSE)+VLOOKUP($A179,EnrollData2324,'2324 Jun 24 Enroll'!M$1,FALSE)-VLOOKUP($A179,EnrollData2324,'2324 Jun 24 Enroll'!J$1,FALSE)='District Calculations'!$B$16+'District Calculations'!$B$25-'District Calculations'!$B$17,VLOOKUP($A179,EnrollData2324,'2324 Jun 24 Enroll'!I$1,FALSE)+VLOOKUP($A179,EnrollData2324,'2324 Jun 24 Enroll'!M$1,FALSE)-VLOOKUP($A179,EnrollData2324,'2324 Jun 24 Enroll'!J$1,FALSE),'District Calculations'!$B$16+'District Calculations'!$B$25-'District Calculations'!$B$17)*Apport_216A2324,3)</f>
        <v>58.183999999999997</v>
      </c>
      <c r="J179">
        <f>ROUND(SUM(D179:I179)/(IF(VLOOKUP($A179,EnrollData2324,'2324 Jun 24 Enroll'!M$1,FALSE)='District Calculations'!$B$25,VLOOKUP($A179,EnrollData2324,'2324 Jun 24 Enroll'!M$1,FALSE),'District Calculations'!$B$25)+IF(VLOOKUP($A179,EnrollData2324,'2324 Jun 24 Enroll'!D$1,FALSE)='District Calculations'!$B$11,VLOOKUP($A179,EnrollData2324,'2324 Jun 24 Enroll'!D$1,FALSE),'District Calculations'!$B$11)),5)</f>
        <v>5.5530000000000003E-2</v>
      </c>
      <c r="K179" s="11">
        <f t="shared" si="51"/>
        <v>4.365E-3</v>
      </c>
      <c r="L179">
        <f>ROUND(IF(VLOOKUP($A179,EnrollData2324,'2324 Jun 24 Enroll'!D$1,FALSE)='District Calculations'!$B$11,VLOOKUP($A179,EnrollData2324,'2324 Jun 24 Enroll'!D$1,FALSE),'District Calculations'!$B$11)*K179,3)</f>
        <v>0</v>
      </c>
      <c r="M179">
        <f>ROUND(IF(VLOOKUP($A179,EnrollData2324,'2324 Jun 24 Enroll'!E$1,FALSE)='District Calculations'!$B$12,VLOOKUP($A179,EnrollData2324,'2324 Jun 24 Enroll'!E$1,FALSE),'District Calculations'!$B$12)*K179,3)</f>
        <v>3.5379999999999998</v>
      </c>
      <c r="N179">
        <f>ROUND(IF(VLOOKUP($A179,EnrollData2324,'2324 Jun 24 Enroll'!F$1,FALSE)='District Calculations'!$B$13,VLOOKUP($A179,EnrollData2324,'2324 Jun 24 Enroll'!F$1,FALSE),'District Calculations'!$B$13)*Apport_223A2324,3)</f>
        <v>0.84199999999999997</v>
      </c>
      <c r="O179">
        <f>ROUND(IF(VLOOKUP($A179,EnrollData2324,'2324 Jun 24 Enroll'!G$1,FALSE)='District Calculations'!$B$14,VLOOKUP($A179,EnrollData2324,'2324 Jun 24 Enroll'!G$1,FALSE),'District Calculations'!$B$14)*Apport_211A2324,3)</f>
        <v>1.867</v>
      </c>
      <c r="P179">
        <f>ROUND(IF(VLOOKUP($A179,EnrollData2324,'2324 Jun 24 Enroll'!H$1,FALSE)='District Calculations'!$B$14,VLOOKUP($A179,EnrollData2324,'2324 Jun 24 Enroll'!H$1,FALSE),'District Calculations'!$B$14)*Apport_214A2324,3)</f>
        <v>1.8660000000000001</v>
      </c>
      <c r="Q179">
        <f>ROUND(IF(VLOOKUP($A179,EnrollData2324,'2324 Jun 24 Enroll'!I$1,FALSE)+VLOOKUP($A179,EnrollData2324,'2324 Jun 24 Enroll'!M$1,FALSE)-VLOOKUP($A179,EnrollData2324,'2324 Jun 24 Enroll'!J$1,FALSE)='District Calculations'!$B$16+'District Calculations'!$B$25-'District Calculations'!$B$17,VLOOKUP($A179,EnrollData2324,'2324 Jun 24 Enroll'!I$1,FALSE)+VLOOKUP($A179,EnrollData2324,'2324 Jun 24 Enroll'!M$1,FALSE)-VLOOKUP($A179,EnrollData2324,'2324 Jun 24 Enroll'!J$1,FALSE),'District Calculations'!$B$16+'District Calculations'!$B$25-'District Calculations'!$B$17)*Apport_217A2324,3)</f>
        <v>4.6980000000000004</v>
      </c>
      <c r="R179">
        <f>ROUND(SUM(L179:Q179)/IF(VLOOKUP($A179,EnrollData2324,'2324 Jun 24 Enroll'!M$1,FALSE)+VLOOKUP($A179,EnrollData2324,'2324 Jun 24 Enroll'!D$1,FALSE)='District Calculations'!$B$25+'District Calculations'!$B$11,VLOOKUP($A179,EnrollData2324,'2324 Jun 24 Enroll'!M$1,FALSE)+VLOOKUP($A179,EnrollData2324,'2324 Jun 24 Enroll'!D$1,FALSE),'District Calculations'!$B$25+'District Calculations'!$B$11),5)</f>
        <v>4.1000000000000003E-3</v>
      </c>
      <c r="S179" s="11">
        <f t="shared" si="52"/>
        <v>1.8294500000000002E-2</v>
      </c>
      <c r="T179">
        <f>ROUND(IF(VLOOKUP($A179,EnrollData2324,'2324 Jun 24 Enroll'!D$1,FALSE)='District Calculations'!$B$11,VLOOKUP($A179,EnrollData2324,'2324 Jun 24 Enroll'!D$1,FALSE),'District Calculations'!$B$11)*S179,3)</f>
        <v>0</v>
      </c>
      <c r="U179">
        <f>ROUND(IF(VLOOKUP($A179,EnrollData2324,'2324 Jun 24 Enroll'!E$1,FALSE)='District Calculations'!$B$12,VLOOKUP($A179,EnrollData2324,'2324 Jun 24 Enroll'!E$1,FALSE),'District Calculations'!$B$12)*S179,3)</f>
        <v>14.827999999999999</v>
      </c>
      <c r="V179">
        <f>ROUND(IF(VLOOKUP($A179,EnrollData2324,'2324 Jun 24 Enroll'!F$1,FALSE)='District Calculations'!$B$13,VLOOKUP($A179,EnrollData2324,'2324 Jun 24 Enroll'!F$1,FALSE),'District Calculations'!$B$13)*Apport_224A2324,3)</f>
        <v>3.6190000000000002</v>
      </c>
      <c r="W179">
        <f>ROUND(IF(VLOOKUP($A179,EnrollData2324,'2324 Jun 24 Enroll'!G$1,FALSE)='District Calculations'!$B$14,VLOOKUP($A179,EnrollData2324,'2324 Jun 24 Enroll'!G$1,FALSE),'District Calculations'!$B$14)*Apport_212A2324,3)</f>
        <v>8.0239999999999991</v>
      </c>
      <c r="X179">
        <f>ROUND(IF(VLOOKUP($A179,EnrollData2324,'2324 Jun 24 Enroll'!H$1,FALSE)='District Calculations'!$B$14,VLOOKUP($A179,EnrollData2324,'2324 Jun 24 Enroll'!H$1,FALSE),'District Calculations'!$B$14)*Apport_215A2324,3)</f>
        <v>7.9279999999999999</v>
      </c>
      <c r="Y179">
        <f>ROUND(IF(VLOOKUP($A179,EnrollData2324,'2324 Jun 24 Enroll'!I$1,FALSE)+VLOOKUP($A179,EnrollData2324,'2324 Jun 24 Enroll'!M$1,FALSE)-VLOOKUP($A179,EnrollData2324,'2324 Jun 24 Enroll'!J$1,FALSE)='District Calculations'!$B$16+'District Calculations'!$B$25-'District Calculations'!$B$17,VLOOKUP($A179,EnrollData2324,'2324 Jun 24 Enroll'!I$1,FALSE)+VLOOKUP($A179,EnrollData2324,'2324 Jun 24 Enroll'!M$1,FALSE)-VLOOKUP($A179,EnrollData2324,'2324 Jun 24 Enroll'!J$1,FALSE),'District Calculations'!$B$16+'District Calculations'!$B$25-'District Calculations'!$B$17)*Apport_218A2324,3)</f>
        <v>19.917999999999999</v>
      </c>
      <c r="Z179">
        <f>ROUND(SUM(T179:Y179)/IF(VLOOKUP($A179,EnrollData2324,'2324 Jun 24 Enroll'!M$1,FALSE)+VLOOKUP($A179,EnrollData2324,'2324 Jun 24 Enroll'!D$1,FALSE)='District Calculations'!$B$25+'District Calculations'!$B$11,VLOOKUP($A179,EnrollData2324,'2324 Jun 24 Enroll'!M$1,FALSE)+VLOOKUP($A179,EnrollData2324,'2324 Jun 24 Enroll'!D$1,FALSE),'District Calculations'!$B$25+'District Calculations'!$B$11),5)</f>
        <v>1.7399999999999999E-2</v>
      </c>
      <c r="AA179" s="6">
        <f>ROUND($J179*CIS_Base_Salary2324*VLOOKUP($A179,EnrollData2324,'2324 Jun 24 Enroll'!S$1,FALSE),2)</f>
        <v>4038.59</v>
      </c>
      <c r="AB179" s="6">
        <f>ROUND($J179*CIS_Inc_Salary2324*(VLOOKUP($A179,EnrollData2324,'2324 Jun 24 Enroll'!T$1,FALSE)+VLOOKUP($A179,EnrollData2324,'2324 Jun 24 Enroll'!U$1,FALSE)),2)-AA179</f>
        <v>149.43000000000029</v>
      </c>
      <c r="AC179" s="6">
        <f>ROUND($R179*CAS_Base_Salary2324*VLOOKUP($A179,EnrollData2324,'2324 Jun 24 Enroll'!S$1,FALSE),2)</f>
        <v>442.62</v>
      </c>
      <c r="AD179" s="6">
        <f>ROUND($R179*CAS_Inc_Salary2324*VLOOKUP($A179,EnrollData2324,'2324 Jun 24 Enroll'!T$1,FALSE),2)-AC179</f>
        <v>16.379999999999995</v>
      </c>
      <c r="AE179" s="6">
        <f>ROUND($Z179*CLS_Base_Salary2324*VLOOKUP($A179,EnrollData2324,'2324 Jun 24 Enroll'!S$1,FALSE),2)</f>
        <v>907.81</v>
      </c>
      <c r="AF179" s="6">
        <f>ROUND($Z179*CLS_Inc_Salary2324*VLOOKUP($A179,EnrollData2324,'2324 Jun 24 Enroll'!T$1,FALSE),2)-AE179</f>
        <v>33.580000000000041</v>
      </c>
      <c r="AG179">
        <f t="shared" si="48"/>
        <v>734.16</v>
      </c>
      <c r="AH179" s="69">
        <f t="shared" si="53"/>
        <v>68.700000000000045</v>
      </c>
      <c r="AI179">
        <f t="shared" si="49"/>
        <v>214.23</v>
      </c>
      <c r="AJ179">
        <f t="shared" si="54"/>
        <v>114.21000000000001</v>
      </c>
      <c r="AK179">
        <f t="shared" si="55"/>
        <v>805.27</v>
      </c>
      <c r="AL179">
        <f t="shared" si="56"/>
        <v>28.73</v>
      </c>
      <c r="AM179">
        <f t="shared" si="57"/>
        <v>200.26</v>
      </c>
      <c r="AN179">
        <f t="shared" si="58"/>
        <v>6.23</v>
      </c>
      <c r="AO179">
        <f>ROUND(($J179*CIS_Inc_Salary2324*(VLOOKUP($A179,EnrollData2324,'2324 Jun 24 Enroll'!T$1,FALSE)+VLOOKUP($A179,EnrollData2324,'2324 Jun 24 Enroll'!U$1,FALSE))/Apport_613Xpd)*Apport_614Xpd,2)</f>
        <v>69.8</v>
      </c>
      <c r="AP179">
        <f t="shared" si="59"/>
        <v>12.1</v>
      </c>
      <c r="AQ179">
        <f t="shared" si="60"/>
        <v>30.93</v>
      </c>
      <c r="AR179" s="6">
        <f>ROUND((VLOOKUP($A179,EnrollData2324,'2324 Jun 24 Enroll'!D$1,FALSE)*Apport_M802324+VLOOKUP($A179,EnrollData2324,'2324 Jun 24 Enroll'!M$1,FALSE)*Apport_M802324+(VLOOKUP($A179,EnrollData2324,'2324 Jun 24 Enroll'!P$1,FALSE)+VLOOKUP($A179,EnrollData2324,'2324 Jun 24 Enroll'!Q$1,FALSE)+VLOOKUP($A179,EnrollData2324,'2324 Jun 24 Enroll'!R$1,FALSE)+VLOOKUP($A179,EnrollData2324,'2324 Jun 24 Enroll'!I$1,FALSE)+VLOOKUP($A179,EnrollData2324,'2324 Jun 24 Enroll'!N$1,FALSE)+VLOOKUP($A179,EnrollData2324,'2324 Jun 24 Enroll'!O$1,FALSE)+VLOOKUP($A179,EnrollData2324,'2324 Jun 24 Enroll'!K$1,FALSE)+VLOOKUP($A179,EnrollData2324,'2324 Jun 24 Enroll'!L$1,FALSE))*Apport_M812324)/(VLOOKUP($A179,EnrollData2324,'2324 Jun 24 Enroll'!M$1,FALSE)+VLOOKUP($A179,EnrollData2324,'2324 Jun 24 Enroll'!D$1,FALSE)),2)</f>
        <v>1483.44</v>
      </c>
      <c r="AS179" s="7">
        <f t="shared" si="61"/>
        <v>9356.4699999999993</v>
      </c>
    </row>
    <row r="180" spans="1:45">
      <c r="A180" s="40" t="s">
        <v>490</v>
      </c>
      <c r="B180" s="40" t="s">
        <v>491</v>
      </c>
      <c r="C180" s="11">
        <f>ROUND((IFERROR((1/IF(VLOOKUP($A180,EnrollData2324,28,FALSE)='District Calculations'!$B$10,VLOOKUP($A180,EnrollData2324,28,FALSE),'District Calculations'!$B$10))*(1+Apport_Z315),0))+Apport_201A2324,6)</f>
        <v>7.3449E-2</v>
      </c>
      <c r="D180">
        <f>ROUND(IF(VLOOKUP($A180,EnrollData2324,'2324 Jun 24 Enroll'!D$1,FALSE)='District Calculations'!$B$11,VLOOKUP($A180,EnrollData2324,'2324 Jun 24 Enroll'!D$1,FALSE),'District Calculations'!$B$11)*C180,3)</f>
        <v>0</v>
      </c>
      <c r="E180">
        <f>ROUND(IF(VLOOKUP($A180,EnrollData2324,'2324 Jun 24 Enroll'!E$1,FALSE)='District Calculations'!$B$12,VLOOKUP($A180,EnrollData2324,'2324 Jun 24 Enroll'!E$1,FALSE),'District Calculations'!$B$12)*C180,3)</f>
        <v>59.53</v>
      </c>
      <c r="F180">
        <f>ROUND(IF(VLOOKUP($A180,EnrollData2324,'2324 Jun 24 Enroll'!F$1,FALSE)='District Calculations'!$B$13,VLOOKUP($A180,EnrollData2324,'2324 Jun 24 Enroll'!F$1,FALSE),'District Calculations'!$B$13)*Apport_222A2324,3)</f>
        <v>10.101000000000001</v>
      </c>
      <c r="G180">
        <f>ROUND(IF(VLOOKUP($A180,EnrollData2324,'2324 Jun 24 Enroll'!G$1,FALSE)='District Calculations'!$B$14,VLOOKUP($A180,EnrollData2324,'2324 Jun 24 Enroll'!G$1,FALSE),'District Calculations'!$B$14)*Apport_210A2324,3)</f>
        <v>22.395</v>
      </c>
      <c r="H180">
        <f>ROUND(IF(VLOOKUP($A180,EnrollData2324,'2324 Jun 24 Enroll'!H$1,FALSE)='District Calculations'!$B$15,VLOOKUP($A180,EnrollData2324,'2324 Jun 24 Enroll'!H$1,FALSE),'District Calculations'!$B$15)*Apport_213A2324,3)</f>
        <v>23.091999999999999</v>
      </c>
      <c r="I180">
        <f>ROUND(IF(VLOOKUP($A180,EnrollData2324,'2324 Jun 24 Enroll'!I$1,FALSE)+VLOOKUP($A180,EnrollData2324,'2324 Jun 24 Enroll'!M$1,FALSE)-VLOOKUP($A180,EnrollData2324,'2324 Jun 24 Enroll'!J$1,FALSE)='District Calculations'!$B$16+'District Calculations'!$B$25-'District Calculations'!$B$17,VLOOKUP($A180,EnrollData2324,'2324 Jun 24 Enroll'!I$1,FALSE)+VLOOKUP($A180,EnrollData2324,'2324 Jun 24 Enroll'!M$1,FALSE)-VLOOKUP($A180,EnrollData2324,'2324 Jun 24 Enroll'!J$1,FALSE),'District Calculations'!$B$16+'District Calculations'!$B$25-'District Calculations'!$B$17)*Apport_216A2324,3)</f>
        <v>58.183999999999997</v>
      </c>
      <c r="J180">
        <f>ROUND(SUM(D180:I180)/(IF(VLOOKUP($A180,EnrollData2324,'2324 Jun 24 Enroll'!M$1,FALSE)='District Calculations'!$B$25,VLOOKUP($A180,EnrollData2324,'2324 Jun 24 Enroll'!M$1,FALSE),'District Calculations'!$B$25)+IF(VLOOKUP($A180,EnrollData2324,'2324 Jun 24 Enroll'!D$1,FALSE)='District Calculations'!$B$11,VLOOKUP($A180,EnrollData2324,'2324 Jun 24 Enroll'!D$1,FALSE),'District Calculations'!$B$11)),5)</f>
        <v>5.5530000000000003E-2</v>
      </c>
      <c r="K180" s="11">
        <f t="shared" si="51"/>
        <v>4.365E-3</v>
      </c>
      <c r="L180">
        <f>ROUND(IF(VLOOKUP($A180,EnrollData2324,'2324 Jun 24 Enroll'!D$1,FALSE)='District Calculations'!$B$11,VLOOKUP($A180,EnrollData2324,'2324 Jun 24 Enroll'!D$1,FALSE),'District Calculations'!$B$11)*K180,3)</f>
        <v>0</v>
      </c>
      <c r="M180">
        <f>ROUND(IF(VLOOKUP($A180,EnrollData2324,'2324 Jun 24 Enroll'!E$1,FALSE)='District Calculations'!$B$12,VLOOKUP($A180,EnrollData2324,'2324 Jun 24 Enroll'!E$1,FALSE),'District Calculations'!$B$12)*K180,3)</f>
        <v>3.5379999999999998</v>
      </c>
      <c r="N180">
        <f>ROUND(IF(VLOOKUP($A180,EnrollData2324,'2324 Jun 24 Enroll'!F$1,FALSE)='District Calculations'!$B$13,VLOOKUP($A180,EnrollData2324,'2324 Jun 24 Enroll'!F$1,FALSE),'District Calculations'!$B$13)*Apport_223A2324,3)</f>
        <v>0.84199999999999997</v>
      </c>
      <c r="O180">
        <f>ROUND(IF(VLOOKUP($A180,EnrollData2324,'2324 Jun 24 Enroll'!G$1,FALSE)='District Calculations'!$B$14,VLOOKUP($A180,EnrollData2324,'2324 Jun 24 Enroll'!G$1,FALSE),'District Calculations'!$B$14)*Apport_211A2324,3)</f>
        <v>1.867</v>
      </c>
      <c r="P180">
        <f>ROUND(IF(VLOOKUP($A180,EnrollData2324,'2324 Jun 24 Enroll'!H$1,FALSE)='District Calculations'!$B$14,VLOOKUP($A180,EnrollData2324,'2324 Jun 24 Enroll'!H$1,FALSE),'District Calculations'!$B$14)*Apport_214A2324,3)</f>
        <v>1.8660000000000001</v>
      </c>
      <c r="Q180">
        <f>ROUND(IF(VLOOKUP($A180,EnrollData2324,'2324 Jun 24 Enroll'!I$1,FALSE)+VLOOKUP($A180,EnrollData2324,'2324 Jun 24 Enroll'!M$1,FALSE)-VLOOKUP($A180,EnrollData2324,'2324 Jun 24 Enroll'!J$1,FALSE)='District Calculations'!$B$16+'District Calculations'!$B$25-'District Calculations'!$B$17,VLOOKUP($A180,EnrollData2324,'2324 Jun 24 Enroll'!I$1,FALSE)+VLOOKUP($A180,EnrollData2324,'2324 Jun 24 Enroll'!M$1,FALSE)-VLOOKUP($A180,EnrollData2324,'2324 Jun 24 Enroll'!J$1,FALSE),'District Calculations'!$B$16+'District Calculations'!$B$25-'District Calculations'!$B$17)*Apport_217A2324,3)</f>
        <v>4.6980000000000004</v>
      </c>
      <c r="R180">
        <f>ROUND(SUM(L180:Q180)/IF(VLOOKUP($A180,EnrollData2324,'2324 Jun 24 Enroll'!M$1,FALSE)+VLOOKUP($A180,EnrollData2324,'2324 Jun 24 Enroll'!D$1,FALSE)='District Calculations'!$B$25+'District Calculations'!$B$11,VLOOKUP($A180,EnrollData2324,'2324 Jun 24 Enroll'!M$1,FALSE)+VLOOKUP($A180,EnrollData2324,'2324 Jun 24 Enroll'!D$1,FALSE),'District Calculations'!$B$25+'District Calculations'!$B$11),5)</f>
        <v>4.1000000000000003E-3</v>
      </c>
      <c r="S180" s="11">
        <f t="shared" si="52"/>
        <v>1.8294500000000002E-2</v>
      </c>
      <c r="T180">
        <f>ROUND(IF(VLOOKUP($A180,EnrollData2324,'2324 Jun 24 Enroll'!D$1,FALSE)='District Calculations'!$B$11,VLOOKUP($A180,EnrollData2324,'2324 Jun 24 Enroll'!D$1,FALSE),'District Calculations'!$B$11)*S180,3)</f>
        <v>0</v>
      </c>
      <c r="U180">
        <f>ROUND(IF(VLOOKUP($A180,EnrollData2324,'2324 Jun 24 Enroll'!E$1,FALSE)='District Calculations'!$B$12,VLOOKUP($A180,EnrollData2324,'2324 Jun 24 Enroll'!E$1,FALSE),'District Calculations'!$B$12)*S180,3)</f>
        <v>14.827999999999999</v>
      </c>
      <c r="V180">
        <f>ROUND(IF(VLOOKUP($A180,EnrollData2324,'2324 Jun 24 Enroll'!F$1,FALSE)='District Calculations'!$B$13,VLOOKUP($A180,EnrollData2324,'2324 Jun 24 Enroll'!F$1,FALSE),'District Calculations'!$B$13)*Apport_224A2324,3)</f>
        <v>3.6190000000000002</v>
      </c>
      <c r="W180">
        <f>ROUND(IF(VLOOKUP($A180,EnrollData2324,'2324 Jun 24 Enroll'!G$1,FALSE)='District Calculations'!$B$14,VLOOKUP($A180,EnrollData2324,'2324 Jun 24 Enroll'!G$1,FALSE),'District Calculations'!$B$14)*Apport_212A2324,3)</f>
        <v>8.0239999999999991</v>
      </c>
      <c r="X180">
        <f>ROUND(IF(VLOOKUP($A180,EnrollData2324,'2324 Jun 24 Enroll'!H$1,FALSE)='District Calculations'!$B$14,VLOOKUP($A180,EnrollData2324,'2324 Jun 24 Enroll'!H$1,FALSE),'District Calculations'!$B$14)*Apport_215A2324,3)</f>
        <v>7.9279999999999999</v>
      </c>
      <c r="Y180">
        <f>ROUND(IF(VLOOKUP($A180,EnrollData2324,'2324 Jun 24 Enroll'!I$1,FALSE)+VLOOKUP($A180,EnrollData2324,'2324 Jun 24 Enroll'!M$1,FALSE)-VLOOKUP($A180,EnrollData2324,'2324 Jun 24 Enroll'!J$1,FALSE)='District Calculations'!$B$16+'District Calculations'!$B$25-'District Calculations'!$B$17,VLOOKUP($A180,EnrollData2324,'2324 Jun 24 Enroll'!I$1,FALSE)+VLOOKUP($A180,EnrollData2324,'2324 Jun 24 Enroll'!M$1,FALSE)-VLOOKUP($A180,EnrollData2324,'2324 Jun 24 Enroll'!J$1,FALSE),'District Calculations'!$B$16+'District Calculations'!$B$25-'District Calculations'!$B$17)*Apport_218A2324,3)</f>
        <v>19.917999999999999</v>
      </c>
      <c r="Z180">
        <f>ROUND(SUM(T180:Y180)/IF(VLOOKUP($A180,EnrollData2324,'2324 Jun 24 Enroll'!M$1,FALSE)+VLOOKUP($A180,EnrollData2324,'2324 Jun 24 Enroll'!D$1,FALSE)='District Calculations'!$B$25+'District Calculations'!$B$11,VLOOKUP($A180,EnrollData2324,'2324 Jun 24 Enroll'!M$1,FALSE)+VLOOKUP($A180,EnrollData2324,'2324 Jun 24 Enroll'!D$1,FALSE),'District Calculations'!$B$25+'District Calculations'!$B$11),5)</f>
        <v>1.7399999999999999E-2</v>
      </c>
      <c r="AA180" s="6">
        <f>ROUND($J180*CIS_Base_Salary2324*VLOOKUP($A180,EnrollData2324,'2324 Jun 24 Enroll'!S$1,FALSE),2)</f>
        <v>4280.8999999999996</v>
      </c>
      <c r="AB180" s="6">
        <f>ROUND($J180*CIS_Inc_Salary2324*(VLOOKUP($A180,EnrollData2324,'2324 Jun 24 Enroll'!T$1,FALSE)+VLOOKUP($A180,EnrollData2324,'2324 Jun 24 Enroll'!U$1,FALSE)),2)-AA180</f>
        <v>158.40000000000055</v>
      </c>
      <c r="AC180" s="6">
        <f>ROUND($R180*CAS_Base_Salary2324*VLOOKUP($A180,EnrollData2324,'2324 Jun 24 Enroll'!S$1,FALSE),2)</f>
        <v>469.17</v>
      </c>
      <c r="AD180" s="6">
        <f>ROUND($R180*CAS_Inc_Salary2324*VLOOKUP($A180,EnrollData2324,'2324 Jun 24 Enroll'!T$1,FALSE),2)-AC180</f>
        <v>17.359999999999957</v>
      </c>
      <c r="AE180" s="6">
        <f>ROUND($Z180*CLS_Base_Salary2324*VLOOKUP($A180,EnrollData2324,'2324 Jun 24 Enroll'!S$1,FALSE),2)</f>
        <v>962.28</v>
      </c>
      <c r="AF180" s="6">
        <f>ROUND($Z180*CLS_Inc_Salary2324*VLOOKUP($A180,EnrollData2324,'2324 Jun 24 Enroll'!T$1,FALSE),2)-AE180</f>
        <v>35.600000000000023</v>
      </c>
      <c r="AG180">
        <f t="shared" si="48"/>
        <v>734.16</v>
      </c>
      <c r="AH180" s="69">
        <f t="shared" si="53"/>
        <v>68.700000000000045</v>
      </c>
      <c r="AI180">
        <f t="shared" si="49"/>
        <v>214.23</v>
      </c>
      <c r="AJ180">
        <f t="shared" si="54"/>
        <v>114.21000000000001</v>
      </c>
      <c r="AK180">
        <f t="shared" si="55"/>
        <v>853.59</v>
      </c>
      <c r="AL180">
        <f t="shared" si="56"/>
        <v>30.46</v>
      </c>
      <c r="AM180">
        <f t="shared" si="57"/>
        <v>212.28</v>
      </c>
      <c r="AN180">
        <f t="shared" si="58"/>
        <v>6.61</v>
      </c>
      <c r="AO180">
        <f>ROUND(($J180*CIS_Inc_Salary2324*(VLOOKUP($A180,EnrollData2324,'2324 Jun 24 Enroll'!T$1,FALSE)+VLOOKUP($A180,EnrollData2324,'2324 Jun 24 Enroll'!U$1,FALSE))/Apport_613Xpd)*Apport_614Xpd,2)</f>
        <v>73.989999999999995</v>
      </c>
      <c r="AP180">
        <f t="shared" si="59"/>
        <v>12.82</v>
      </c>
      <c r="AQ180">
        <f t="shared" si="60"/>
        <v>30.93</v>
      </c>
      <c r="AR180" s="6">
        <f>ROUND((VLOOKUP($A180,EnrollData2324,'2324 Jun 24 Enroll'!D$1,FALSE)*Apport_M802324+VLOOKUP($A180,EnrollData2324,'2324 Jun 24 Enroll'!M$1,FALSE)*Apport_M802324+(VLOOKUP($A180,EnrollData2324,'2324 Jun 24 Enroll'!P$1,FALSE)+VLOOKUP($A180,EnrollData2324,'2324 Jun 24 Enroll'!Q$1,FALSE)+VLOOKUP($A180,EnrollData2324,'2324 Jun 24 Enroll'!R$1,FALSE)+VLOOKUP($A180,EnrollData2324,'2324 Jun 24 Enroll'!I$1,FALSE)+VLOOKUP($A180,EnrollData2324,'2324 Jun 24 Enroll'!N$1,FALSE)+VLOOKUP($A180,EnrollData2324,'2324 Jun 24 Enroll'!O$1,FALSE)+VLOOKUP($A180,EnrollData2324,'2324 Jun 24 Enroll'!K$1,FALSE)+VLOOKUP($A180,EnrollData2324,'2324 Jun 24 Enroll'!L$1,FALSE))*Apport_M812324)/(VLOOKUP($A180,EnrollData2324,'2324 Jun 24 Enroll'!M$1,FALSE)+VLOOKUP($A180,EnrollData2324,'2324 Jun 24 Enroll'!D$1,FALSE)),2)</f>
        <v>1483.44</v>
      </c>
      <c r="AS180" s="7">
        <f t="shared" si="61"/>
        <v>9759.1299999999992</v>
      </c>
    </row>
    <row r="181" spans="1:45">
      <c r="A181" s="40" t="s">
        <v>759</v>
      </c>
      <c r="B181" s="40" t="s">
        <v>760</v>
      </c>
      <c r="C181" s="11">
        <f>ROUND((IFERROR((1/IF(VLOOKUP($A181,EnrollData2324,28,FALSE)='District Calculations'!$B$10,VLOOKUP($A181,EnrollData2324,28,FALSE),'District Calculations'!$B$10))*(1+Apport_Z315),0))+Apport_201A2324,6)</f>
        <v>7.3449E-2</v>
      </c>
      <c r="D181">
        <f>ROUND(IF(VLOOKUP($A181,EnrollData2324,'2324 Jun 24 Enroll'!D$1,FALSE)='District Calculations'!$B$11,VLOOKUP($A181,EnrollData2324,'2324 Jun 24 Enroll'!D$1,FALSE),'District Calculations'!$B$11)*C181,3)</f>
        <v>0</v>
      </c>
      <c r="E181">
        <f>ROUND(IF(VLOOKUP($A181,EnrollData2324,'2324 Jun 24 Enroll'!E$1,FALSE)='District Calculations'!$B$12,VLOOKUP($A181,EnrollData2324,'2324 Jun 24 Enroll'!E$1,FALSE),'District Calculations'!$B$12)*C181,3)</f>
        <v>59.53</v>
      </c>
      <c r="F181">
        <f>ROUND(IF(VLOOKUP($A181,EnrollData2324,'2324 Jun 24 Enroll'!F$1,FALSE)='District Calculations'!$B$13,VLOOKUP($A181,EnrollData2324,'2324 Jun 24 Enroll'!F$1,FALSE),'District Calculations'!$B$13)*Apport_222A2324,3)</f>
        <v>10.101000000000001</v>
      </c>
      <c r="G181">
        <f>ROUND(IF(VLOOKUP($A181,EnrollData2324,'2324 Jun 24 Enroll'!G$1,FALSE)='District Calculations'!$B$14,VLOOKUP($A181,EnrollData2324,'2324 Jun 24 Enroll'!G$1,FALSE),'District Calculations'!$B$14)*Apport_210A2324,3)</f>
        <v>22.395</v>
      </c>
      <c r="H181">
        <f>ROUND(IF(VLOOKUP($A181,EnrollData2324,'2324 Jun 24 Enroll'!H$1,FALSE)='District Calculations'!$B$15,VLOOKUP($A181,EnrollData2324,'2324 Jun 24 Enroll'!H$1,FALSE),'District Calculations'!$B$15)*Apport_213A2324,3)</f>
        <v>23.091999999999999</v>
      </c>
      <c r="I181">
        <f>ROUND(IF(VLOOKUP($A181,EnrollData2324,'2324 Jun 24 Enroll'!I$1,FALSE)+VLOOKUP($A181,EnrollData2324,'2324 Jun 24 Enroll'!M$1,FALSE)-VLOOKUP($A181,EnrollData2324,'2324 Jun 24 Enroll'!J$1,FALSE)='District Calculations'!$B$16+'District Calculations'!$B$25-'District Calculations'!$B$17,VLOOKUP($A181,EnrollData2324,'2324 Jun 24 Enroll'!I$1,FALSE)+VLOOKUP($A181,EnrollData2324,'2324 Jun 24 Enroll'!M$1,FALSE)-VLOOKUP($A181,EnrollData2324,'2324 Jun 24 Enroll'!J$1,FALSE),'District Calculations'!$B$16+'District Calculations'!$B$25-'District Calculations'!$B$17)*Apport_216A2324,3)</f>
        <v>58.183999999999997</v>
      </c>
      <c r="J181">
        <f>ROUND(SUM(D181:I181)/(IF(VLOOKUP($A181,EnrollData2324,'2324 Jun 24 Enroll'!M$1,FALSE)='District Calculations'!$B$25,VLOOKUP($A181,EnrollData2324,'2324 Jun 24 Enroll'!M$1,FALSE),'District Calculations'!$B$25)+IF(VLOOKUP($A181,EnrollData2324,'2324 Jun 24 Enroll'!D$1,FALSE)='District Calculations'!$B$11,VLOOKUP($A181,EnrollData2324,'2324 Jun 24 Enroll'!D$1,FALSE),'District Calculations'!$B$11)),5)</f>
        <v>5.5530000000000003E-2</v>
      </c>
      <c r="K181" s="11">
        <f t="shared" si="51"/>
        <v>4.365E-3</v>
      </c>
      <c r="L181">
        <f>ROUND(IF(VLOOKUP($A181,EnrollData2324,'2324 Jun 24 Enroll'!D$1,FALSE)='District Calculations'!$B$11,VLOOKUP($A181,EnrollData2324,'2324 Jun 24 Enroll'!D$1,FALSE),'District Calculations'!$B$11)*K181,3)</f>
        <v>0</v>
      </c>
      <c r="M181">
        <f>ROUND(IF(VLOOKUP($A181,EnrollData2324,'2324 Jun 24 Enroll'!E$1,FALSE)='District Calculations'!$B$12,VLOOKUP($A181,EnrollData2324,'2324 Jun 24 Enroll'!E$1,FALSE),'District Calculations'!$B$12)*K181,3)</f>
        <v>3.5379999999999998</v>
      </c>
      <c r="N181">
        <f>ROUND(IF(VLOOKUP($A181,EnrollData2324,'2324 Jun 24 Enroll'!F$1,FALSE)='District Calculations'!$B$13,VLOOKUP($A181,EnrollData2324,'2324 Jun 24 Enroll'!F$1,FALSE),'District Calculations'!$B$13)*Apport_223A2324,3)</f>
        <v>0.84199999999999997</v>
      </c>
      <c r="O181">
        <f>ROUND(IF(VLOOKUP($A181,EnrollData2324,'2324 Jun 24 Enroll'!G$1,FALSE)='District Calculations'!$B$14,VLOOKUP($A181,EnrollData2324,'2324 Jun 24 Enroll'!G$1,FALSE),'District Calculations'!$B$14)*Apport_211A2324,3)</f>
        <v>1.867</v>
      </c>
      <c r="P181">
        <f>ROUND(IF(VLOOKUP($A181,EnrollData2324,'2324 Jun 24 Enroll'!H$1,FALSE)='District Calculations'!$B$14,VLOOKUP($A181,EnrollData2324,'2324 Jun 24 Enroll'!H$1,FALSE),'District Calculations'!$B$14)*Apport_214A2324,3)</f>
        <v>1.8660000000000001</v>
      </c>
      <c r="Q181">
        <f>ROUND(IF(VLOOKUP($A181,EnrollData2324,'2324 Jun 24 Enroll'!I$1,FALSE)+VLOOKUP($A181,EnrollData2324,'2324 Jun 24 Enroll'!M$1,FALSE)-VLOOKUP($A181,EnrollData2324,'2324 Jun 24 Enroll'!J$1,FALSE)='District Calculations'!$B$16+'District Calculations'!$B$25-'District Calculations'!$B$17,VLOOKUP($A181,EnrollData2324,'2324 Jun 24 Enroll'!I$1,FALSE)+VLOOKUP($A181,EnrollData2324,'2324 Jun 24 Enroll'!M$1,FALSE)-VLOOKUP($A181,EnrollData2324,'2324 Jun 24 Enroll'!J$1,FALSE),'District Calculations'!$B$16+'District Calculations'!$B$25-'District Calculations'!$B$17)*Apport_217A2324,3)</f>
        <v>4.6980000000000004</v>
      </c>
      <c r="R181">
        <f>ROUND(SUM(L181:Q181)/IF(VLOOKUP($A181,EnrollData2324,'2324 Jun 24 Enroll'!M$1,FALSE)+VLOOKUP($A181,EnrollData2324,'2324 Jun 24 Enroll'!D$1,FALSE)='District Calculations'!$B$25+'District Calculations'!$B$11,VLOOKUP($A181,EnrollData2324,'2324 Jun 24 Enroll'!M$1,FALSE)+VLOOKUP($A181,EnrollData2324,'2324 Jun 24 Enroll'!D$1,FALSE),'District Calculations'!$B$25+'District Calculations'!$B$11),5)</f>
        <v>4.1000000000000003E-3</v>
      </c>
      <c r="S181" s="11">
        <f t="shared" si="52"/>
        <v>1.8294500000000002E-2</v>
      </c>
      <c r="T181">
        <f>ROUND(IF(VLOOKUP($A181,EnrollData2324,'2324 Jun 24 Enroll'!D$1,FALSE)='District Calculations'!$B$11,VLOOKUP($A181,EnrollData2324,'2324 Jun 24 Enroll'!D$1,FALSE),'District Calculations'!$B$11)*S181,3)</f>
        <v>0</v>
      </c>
      <c r="U181">
        <f>ROUND(IF(VLOOKUP($A181,EnrollData2324,'2324 Jun 24 Enroll'!E$1,FALSE)='District Calculations'!$B$12,VLOOKUP($A181,EnrollData2324,'2324 Jun 24 Enroll'!E$1,FALSE),'District Calculations'!$B$12)*S181,3)</f>
        <v>14.827999999999999</v>
      </c>
      <c r="V181">
        <f>ROUND(IF(VLOOKUP($A181,EnrollData2324,'2324 Jun 24 Enroll'!F$1,FALSE)='District Calculations'!$B$13,VLOOKUP($A181,EnrollData2324,'2324 Jun 24 Enroll'!F$1,FALSE),'District Calculations'!$B$13)*Apport_224A2324,3)</f>
        <v>3.6190000000000002</v>
      </c>
      <c r="W181">
        <f>ROUND(IF(VLOOKUP($A181,EnrollData2324,'2324 Jun 24 Enroll'!G$1,FALSE)='District Calculations'!$B$14,VLOOKUP($A181,EnrollData2324,'2324 Jun 24 Enroll'!G$1,FALSE),'District Calculations'!$B$14)*Apport_212A2324,3)</f>
        <v>8.0239999999999991</v>
      </c>
      <c r="X181">
        <f>ROUND(IF(VLOOKUP($A181,EnrollData2324,'2324 Jun 24 Enroll'!H$1,FALSE)='District Calculations'!$B$14,VLOOKUP($A181,EnrollData2324,'2324 Jun 24 Enroll'!H$1,FALSE),'District Calculations'!$B$14)*Apport_215A2324,3)</f>
        <v>7.9279999999999999</v>
      </c>
      <c r="Y181">
        <f>ROUND(IF(VLOOKUP($A181,EnrollData2324,'2324 Jun 24 Enroll'!I$1,FALSE)+VLOOKUP($A181,EnrollData2324,'2324 Jun 24 Enroll'!M$1,FALSE)-VLOOKUP($A181,EnrollData2324,'2324 Jun 24 Enroll'!J$1,FALSE)='District Calculations'!$B$16+'District Calculations'!$B$25-'District Calculations'!$B$17,VLOOKUP($A181,EnrollData2324,'2324 Jun 24 Enroll'!I$1,FALSE)+VLOOKUP($A181,EnrollData2324,'2324 Jun 24 Enroll'!M$1,FALSE)-VLOOKUP($A181,EnrollData2324,'2324 Jun 24 Enroll'!J$1,FALSE),'District Calculations'!$B$16+'District Calculations'!$B$25-'District Calculations'!$B$17)*Apport_218A2324,3)</f>
        <v>19.917999999999999</v>
      </c>
      <c r="Z181">
        <f>ROUND(SUM(T181:Y181)/IF(VLOOKUP($A181,EnrollData2324,'2324 Jun 24 Enroll'!M$1,FALSE)+VLOOKUP($A181,EnrollData2324,'2324 Jun 24 Enroll'!D$1,FALSE)='District Calculations'!$B$25+'District Calculations'!$B$11,VLOOKUP($A181,EnrollData2324,'2324 Jun 24 Enroll'!M$1,FALSE)+VLOOKUP($A181,EnrollData2324,'2324 Jun 24 Enroll'!D$1,FALSE),'District Calculations'!$B$25+'District Calculations'!$B$11),5)</f>
        <v>1.7399999999999999E-2</v>
      </c>
      <c r="AA181" s="6">
        <f>ROUND($J181*CIS_Base_Salary2324*VLOOKUP($A181,EnrollData2324,'2324 Jun 24 Enroll'!S$1,FALSE),2)</f>
        <v>4038.59</v>
      </c>
      <c r="AB181" s="6">
        <f>ROUND($J181*CIS_Inc_Salary2324*(VLOOKUP($A181,EnrollData2324,'2324 Jun 24 Enroll'!T$1,FALSE)+VLOOKUP($A181,EnrollData2324,'2324 Jun 24 Enroll'!U$1,FALSE)),2)-AA181</f>
        <v>149.43000000000029</v>
      </c>
      <c r="AC181" s="6">
        <f>ROUND($R181*CAS_Base_Salary2324*VLOOKUP($A181,EnrollData2324,'2324 Jun 24 Enroll'!S$1,FALSE),2)</f>
        <v>442.62</v>
      </c>
      <c r="AD181" s="6">
        <f>ROUND($R181*CAS_Inc_Salary2324*VLOOKUP($A181,EnrollData2324,'2324 Jun 24 Enroll'!T$1,FALSE),2)-AC181</f>
        <v>16.379999999999995</v>
      </c>
      <c r="AE181" s="6">
        <f>ROUND($Z181*CLS_Base_Salary2324*VLOOKUP($A181,EnrollData2324,'2324 Jun 24 Enroll'!S$1,FALSE),2)</f>
        <v>907.81</v>
      </c>
      <c r="AF181" s="6">
        <f>ROUND($Z181*CLS_Inc_Salary2324*VLOOKUP($A181,EnrollData2324,'2324 Jun 24 Enroll'!T$1,FALSE),2)-AE181</f>
        <v>33.580000000000041</v>
      </c>
      <c r="AG181">
        <f t="shared" si="48"/>
        <v>734.16</v>
      </c>
      <c r="AH181" s="69">
        <f t="shared" si="53"/>
        <v>68.700000000000045</v>
      </c>
      <c r="AI181">
        <f t="shared" si="49"/>
        <v>214.23</v>
      </c>
      <c r="AJ181">
        <f t="shared" si="54"/>
        <v>114.21000000000001</v>
      </c>
      <c r="AK181">
        <f t="shared" si="55"/>
        <v>805.27</v>
      </c>
      <c r="AL181">
        <f t="shared" si="56"/>
        <v>28.73</v>
      </c>
      <c r="AM181">
        <f t="shared" si="57"/>
        <v>200.26</v>
      </c>
      <c r="AN181">
        <f t="shared" si="58"/>
        <v>6.23</v>
      </c>
      <c r="AO181">
        <f>ROUND(($J181*CIS_Inc_Salary2324*(VLOOKUP($A181,EnrollData2324,'2324 Jun 24 Enroll'!T$1,FALSE)+VLOOKUP($A181,EnrollData2324,'2324 Jun 24 Enroll'!U$1,FALSE))/Apport_613Xpd)*Apport_614Xpd,2)</f>
        <v>69.8</v>
      </c>
      <c r="AP181">
        <f t="shared" si="59"/>
        <v>12.1</v>
      </c>
      <c r="AQ181">
        <f t="shared" si="60"/>
        <v>30.93</v>
      </c>
      <c r="AR181" s="6">
        <f>ROUND((VLOOKUP($A181,EnrollData2324,'2324 Jun 24 Enroll'!D$1,FALSE)*Apport_M802324+VLOOKUP($A181,EnrollData2324,'2324 Jun 24 Enroll'!M$1,FALSE)*Apport_M802324+(VLOOKUP($A181,EnrollData2324,'2324 Jun 24 Enroll'!P$1,FALSE)+VLOOKUP($A181,EnrollData2324,'2324 Jun 24 Enroll'!Q$1,FALSE)+VLOOKUP($A181,EnrollData2324,'2324 Jun 24 Enroll'!R$1,FALSE)+VLOOKUP($A181,EnrollData2324,'2324 Jun 24 Enroll'!I$1,FALSE)+VLOOKUP($A181,EnrollData2324,'2324 Jun 24 Enroll'!N$1,FALSE)+VLOOKUP($A181,EnrollData2324,'2324 Jun 24 Enroll'!O$1,FALSE)+VLOOKUP($A181,EnrollData2324,'2324 Jun 24 Enroll'!K$1,FALSE)+VLOOKUP($A181,EnrollData2324,'2324 Jun 24 Enroll'!L$1,FALSE))*Apport_M812324)/(VLOOKUP($A181,EnrollData2324,'2324 Jun 24 Enroll'!M$1,FALSE)+VLOOKUP($A181,EnrollData2324,'2324 Jun 24 Enroll'!D$1,FALSE)),2)</f>
        <v>1564.47</v>
      </c>
      <c r="AS181" s="7">
        <f t="shared" si="61"/>
        <v>9437.5</v>
      </c>
    </row>
    <row r="182" spans="1:45">
      <c r="A182" s="40" t="s">
        <v>574</v>
      </c>
      <c r="B182" s="40" t="s">
        <v>575</v>
      </c>
      <c r="C182" s="11">
        <f>ROUND((IFERROR((1/IF(VLOOKUP($A182,EnrollData2324,28,FALSE)='District Calculations'!$B$10,VLOOKUP($A182,EnrollData2324,28,FALSE),'District Calculations'!$B$10))*(1+Apport_Z315),0))+Apport_201A2324,6)</f>
        <v>7.3449E-2</v>
      </c>
      <c r="D182">
        <f>ROUND(IF(VLOOKUP($A182,EnrollData2324,'2324 Jun 24 Enroll'!D$1,FALSE)='District Calculations'!$B$11,VLOOKUP($A182,EnrollData2324,'2324 Jun 24 Enroll'!D$1,FALSE),'District Calculations'!$B$11)*C182,3)</f>
        <v>0</v>
      </c>
      <c r="E182">
        <f>ROUND(IF(VLOOKUP($A182,EnrollData2324,'2324 Jun 24 Enroll'!E$1,FALSE)='District Calculations'!$B$12,VLOOKUP($A182,EnrollData2324,'2324 Jun 24 Enroll'!E$1,FALSE),'District Calculations'!$B$12)*C182,3)</f>
        <v>59.53</v>
      </c>
      <c r="F182">
        <f>ROUND(IF(VLOOKUP($A182,EnrollData2324,'2324 Jun 24 Enroll'!F$1,FALSE)='District Calculations'!$B$13,VLOOKUP($A182,EnrollData2324,'2324 Jun 24 Enroll'!F$1,FALSE),'District Calculations'!$B$13)*Apport_222A2324,3)</f>
        <v>10.101000000000001</v>
      </c>
      <c r="G182">
        <f>ROUND(IF(VLOOKUP($A182,EnrollData2324,'2324 Jun 24 Enroll'!G$1,FALSE)='District Calculations'!$B$14,VLOOKUP($A182,EnrollData2324,'2324 Jun 24 Enroll'!G$1,FALSE),'District Calculations'!$B$14)*Apport_210A2324,3)</f>
        <v>22.395</v>
      </c>
      <c r="H182">
        <f>ROUND(IF(VLOOKUP($A182,EnrollData2324,'2324 Jun 24 Enroll'!H$1,FALSE)='District Calculations'!$B$15,VLOOKUP($A182,EnrollData2324,'2324 Jun 24 Enroll'!H$1,FALSE),'District Calculations'!$B$15)*Apport_213A2324,3)</f>
        <v>23.091999999999999</v>
      </c>
      <c r="I182">
        <f>ROUND(IF(VLOOKUP($A182,EnrollData2324,'2324 Jun 24 Enroll'!I$1,FALSE)+VLOOKUP($A182,EnrollData2324,'2324 Jun 24 Enroll'!M$1,FALSE)-VLOOKUP($A182,EnrollData2324,'2324 Jun 24 Enroll'!J$1,FALSE)='District Calculations'!$B$16+'District Calculations'!$B$25-'District Calculations'!$B$17,VLOOKUP($A182,EnrollData2324,'2324 Jun 24 Enroll'!I$1,FALSE)+VLOOKUP($A182,EnrollData2324,'2324 Jun 24 Enroll'!M$1,FALSE)-VLOOKUP($A182,EnrollData2324,'2324 Jun 24 Enroll'!J$1,FALSE),'District Calculations'!$B$16+'District Calculations'!$B$25-'District Calculations'!$B$17)*Apport_216A2324,3)</f>
        <v>58.183999999999997</v>
      </c>
      <c r="J182">
        <f>ROUND(SUM(D182:I182)/(IF(VLOOKUP($A182,EnrollData2324,'2324 Jun 24 Enroll'!M$1,FALSE)='District Calculations'!$B$25,VLOOKUP($A182,EnrollData2324,'2324 Jun 24 Enroll'!M$1,FALSE),'District Calculations'!$B$25)+IF(VLOOKUP($A182,EnrollData2324,'2324 Jun 24 Enroll'!D$1,FALSE)='District Calculations'!$B$11,VLOOKUP($A182,EnrollData2324,'2324 Jun 24 Enroll'!D$1,FALSE),'District Calculations'!$B$11)),5)</f>
        <v>5.5530000000000003E-2</v>
      </c>
      <c r="K182" s="11">
        <f t="shared" si="51"/>
        <v>4.365E-3</v>
      </c>
      <c r="L182">
        <f>ROUND(IF(VLOOKUP($A182,EnrollData2324,'2324 Jun 24 Enroll'!D$1,FALSE)='District Calculations'!$B$11,VLOOKUP($A182,EnrollData2324,'2324 Jun 24 Enroll'!D$1,FALSE),'District Calculations'!$B$11)*K182,3)</f>
        <v>0</v>
      </c>
      <c r="M182">
        <f>ROUND(IF(VLOOKUP($A182,EnrollData2324,'2324 Jun 24 Enroll'!E$1,FALSE)='District Calculations'!$B$12,VLOOKUP($A182,EnrollData2324,'2324 Jun 24 Enroll'!E$1,FALSE),'District Calculations'!$B$12)*K182,3)</f>
        <v>3.5379999999999998</v>
      </c>
      <c r="N182">
        <f>ROUND(IF(VLOOKUP($A182,EnrollData2324,'2324 Jun 24 Enroll'!F$1,FALSE)='District Calculations'!$B$13,VLOOKUP($A182,EnrollData2324,'2324 Jun 24 Enroll'!F$1,FALSE),'District Calculations'!$B$13)*Apport_223A2324,3)</f>
        <v>0.84199999999999997</v>
      </c>
      <c r="O182">
        <f>ROUND(IF(VLOOKUP($A182,EnrollData2324,'2324 Jun 24 Enroll'!G$1,FALSE)='District Calculations'!$B$14,VLOOKUP($A182,EnrollData2324,'2324 Jun 24 Enroll'!G$1,FALSE),'District Calculations'!$B$14)*Apport_211A2324,3)</f>
        <v>1.867</v>
      </c>
      <c r="P182">
        <f>ROUND(IF(VLOOKUP($A182,EnrollData2324,'2324 Jun 24 Enroll'!H$1,FALSE)='District Calculations'!$B$14,VLOOKUP($A182,EnrollData2324,'2324 Jun 24 Enroll'!H$1,FALSE),'District Calculations'!$B$14)*Apport_214A2324,3)</f>
        <v>1.8660000000000001</v>
      </c>
      <c r="Q182">
        <f>ROUND(IF(VLOOKUP($A182,EnrollData2324,'2324 Jun 24 Enroll'!I$1,FALSE)+VLOOKUP($A182,EnrollData2324,'2324 Jun 24 Enroll'!M$1,FALSE)-VLOOKUP($A182,EnrollData2324,'2324 Jun 24 Enroll'!J$1,FALSE)='District Calculations'!$B$16+'District Calculations'!$B$25-'District Calculations'!$B$17,VLOOKUP($A182,EnrollData2324,'2324 Jun 24 Enroll'!I$1,FALSE)+VLOOKUP($A182,EnrollData2324,'2324 Jun 24 Enroll'!M$1,FALSE)-VLOOKUP($A182,EnrollData2324,'2324 Jun 24 Enroll'!J$1,FALSE),'District Calculations'!$B$16+'District Calculations'!$B$25-'District Calculations'!$B$17)*Apport_217A2324,3)</f>
        <v>4.6980000000000004</v>
      </c>
      <c r="R182">
        <f>ROUND(SUM(L182:Q182)/IF(VLOOKUP($A182,EnrollData2324,'2324 Jun 24 Enroll'!M$1,FALSE)+VLOOKUP($A182,EnrollData2324,'2324 Jun 24 Enroll'!D$1,FALSE)='District Calculations'!$B$25+'District Calculations'!$B$11,VLOOKUP($A182,EnrollData2324,'2324 Jun 24 Enroll'!M$1,FALSE)+VLOOKUP($A182,EnrollData2324,'2324 Jun 24 Enroll'!D$1,FALSE),'District Calculations'!$B$25+'District Calculations'!$B$11),5)</f>
        <v>4.1000000000000003E-3</v>
      </c>
      <c r="S182" s="11">
        <f t="shared" si="52"/>
        <v>1.8294500000000002E-2</v>
      </c>
      <c r="T182">
        <f>ROUND(IF(VLOOKUP($A182,EnrollData2324,'2324 Jun 24 Enroll'!D$1,FALSE)='District Calculations'!$B$11,VLOOKUP($A182,EnrollData2324,'2324 Jun 24 Enroll'!D$1,FALSE),'District Calculations'!$B$11)*S182,3)</f>
        <v>0</v>
      </c>
      <c r="U182">
        <f>ROUND(IF(VLOOKUP($A182,EnrollData2324,'2324 Jun 24 Enroll'!E$1,FALSE)='District Calculations'!$B$12,VLOOKUP($A182,EnrollData2324,'2324 Jun 24 Enroll'!E$1,FALSE),'District Calculations'!$B$12)*S182,3)</f>
        <v>14.827999999999999</v>
      </c>
      <c r="V182">
        <f>ROUND(IF(VLOOKUP($A182,EnrollData2324,'2324 Jun 24 Enroll'!F$1,FALSE)='District Calculations'!$B$13,VLOOKUP($A182,EnrollData2324,'2324 Jun 24 Enroll'!F$1,FALSE),'District Calculations'!$B$13)*Apport_224A2324,3)</f>
        <v>3.6190000000000002</v>
      </c>
      <c r="W182">
        <f>ROUND(IF(VLOOKUP($A182,EnrollData2324,'2324 Jun 24 Enroll'!G$1,FALSE)='District Calculations'!$B$14,VLOOKUP($A182,EnrollData2324,'2324 Jun 24 Enroll'!G$1,FALSE),'District Calculations'!$B$14)*Apport_212A2324,3)</f>
        <v>8.0239999999999991</v>
      </c>
      <c r="X182">
        <f>ROUND(IF(VLOOKUP($A182,EnrollData2324,'2324 Jun 24 Enroll'!H$1,FALSE)='District Calculations'!$B$14,VLOOKUP($A182,EnrollData2324,'2324 Jun 24 Enroll'!H$1,FALSE),'District Calculations'!$B$14)*Apport_215A2324,3)</f>
        <v>7.9279999999999999</v>
      </c>
      <c r="Y182">
        <f>ROUND(IF(VLOOKUP($A182,EnrollData2324,'2324 Jun 24 Enroll'!I$1,FALSE)+VLOOKUP($A182,EnrollData2324,'2324 Jun 24 Enroll'!M$1,FALSE)-VLOOKUP($A182,EnrollData2324,'2324 Jun 24 Enroll'!J$1,FALSE)='District Calculations'!$B$16+'District Calculations'!$B$25-'District Calculations'!$B$17,VLOOKUP($A182,EnrollData2324,'2324 Jun 24 Enroll'!I$1,FALSE)+VLOOKUP($A182,EnrollData2324,'2324 Jun 24 Enroll'!M$1,FALSE)-VLOOKUP($A182,EnrollData2324,'2324 Jun 24 Enroll'!J$1,FALSE),'District Calculations'!$B$16+'District Calculations'!$B$25-'District Calculations'!$B$17)*Apport_218A2324,3)</f>
        <v>19.917999999999999</v>
      </c>
      <c r="Z182">
        <f>ROUND(SUM(T182:Y182)/IF(VLOOKUP($A182,EnrollData2324,'2324 Jun 24 Enroll'!M$1,FALSE)+VLOOKUP($A182,EnrollData2324,'2324 Jun 24 Enroll'!D$1,FALSE)='District Calculations'!$B$25+'District Calculations'!$B$11,VLOOKUP($A182,EnrollData2324,'2324 Jun 24 Enroll'!M$1,FALSE)+VLOOKUP($A182,EnrollData2324,'2324 Jun 24 Enroll'!D$1,FALSE),'District Calculations'!$B$25+'District Calculations'!$B$11),5)</f>
        <v>1.7399999999999999E-2</v>
      </c>
      <c r="AA182" s="6">
        <f>ROUND($J182*CIS_Base_Salary2324*VLOOKUP($A182,EnrollData2324,'2324 Jun 24 Enroll'!S$1,FALSE),2)</f>
        <v>4038.59</v>
      </c>
      <c r="AB182" s="6">
        <f>ROUND($J182*CIS_Inc_Salary2324*(VLOOKUP($A182,EnrollData2324,'2324 Jun 24 Enroll'!T$1,FALSE)+VLOOKUP($A182,EnrollData2324,'2324 Jun 24 Enroll'!U$1,FALSE)),2)-AA182</f>
        <v>149.43000000000029</v>
      </c>
      <c r="AC182" s="6">
        <f>ROUND($R182*CAS_Base_Salary2324*VLOOKUP($A182,EnrollData2324,'2324 Jun 24 Enroll'!S$1,FALSE),2)</f>
        <v>442.62</v>
      </c>
      <c r="AD182" s="6">
        <f>ROUND($R182*CAS_Inc_Salary2324*VLOOKUP($A182,EnrollData2324,'2324 Jun 24 Enroll'!T$1,FALSE),2)-AC182</f>
        <v>16.379999999999995</v>
      </c>
      <c r="AE182" s="6">
        <f>ROUND($Z182*CLS_Base_Salary2324*VLOOKUP($A182,EnrollData2324,'2324 Jun 24 Enroll'!S$1,FALSE),2)</f>
        <v>907.81</v>
      </c>
      <c r="AF182" s="6">
        <f>ROUND($Z182*CLS_Inc_Salary2324*VLOOKUP($A182,EnrollData2324,'2324 Jun 24 Enroll'!T$1,FALSE),2)-AE182</f>
        <v>33.580000000000041</v>
      </c>
      <c r="AG182">
        <f t="shared" si="48"/>
        <v>734.16</v>
      </c>
      <c r="AH182" s="69">
        <f t="shared" si="53"/>
        <v>68.700000000000045</v>
      </c>
      <c r="AI182">
        <f t="shared" si="49"/>
        <v>214.23</v>
      </c>
      <c r="AJ182">
        <f t="shared" si="54"/>
        <v>114.21000000000001</v>
      </c>
      <c r="AK182">
        <f t="shared" si="55"/>
        <v>805.27</v>
      </c>
      <c r="AL182">
        <f t="shared" si="56"/>
        <v>28.73</v>
      </c>
      <c r="AM182">
        <f t="shared" si="57"/>
        <v>200.26</v>
      </c>
      <c r="AN182">
        <f t="shared" si="58"/>
        <v>6.23</v>
      </c>
      <c r="AO182">
        <f>ROUND(($J182*CIS_Inc_Salary2324*(VLOOKUP($A182,EnrollData2324,'2324 Jun 24 Enroll'!T$1,FALSE)+VLOOKUP($A182,EnrollData2324,'2324 Jun 24 Enroll'!U$1,FALSE))/Apport_613Xpd)*Apport_614Xpd,2)</f>
        <v>69.8</v>
      </c>
      <c r="AP182">
        <f t="shared" si="59"/>
        <v>12.1</v>
      </c>
      <c r="AQ182">
        <f t="shared" si="60"/>
        <v>30.93</v>
      </c>
      <c r="AR182" s="6">
        <f>ROUND((VLOOKUP($A182,EnrollData2324,'2324 Jun 24 Enroll'!D$1,FALSE)*Apport_M802324+VLOOKUP($A182,EnrollData2324,'2324 Jun 24 Enroll'!M$1,FALSE)*Apport_M802324+(VLOOKUP($A182,EnrollData2324,'2324 Jun 24 Enroll'!P$1,FALSE)+VLOOKUP($A182,EnrollData2324,'2324 Jun 24 Enroll'!Q$1,FALSE)+VLOOKUP($A182,EnrollData2324,'2324 Jun 24 Enroll'!R$1,FALSE)+VLOOKUP($A182,EnrollData2324,'2324 Jun 24 Enroll'!I$1,FALSE)+VLOOKUP($A182,EnrollData2324,'2324 Jun 24 Enroll'!N$1,FALSE)+VLOOKUP($A182,EnrollData2324,'2324 Jun 24 Enroll'!O$1,FALSE)+VLOOKUP($A182,EnrollData2324,'2324 Jun 24 Enroll'!K$1,FALSE)+VLOOKUP($A182,EnrollData2324,'2324 Jun 24 Enroll'!L$1,FALSE))*Apport_M812324)/(VLOOKUP($A182,EnrollData2324,'2324 Jun 24 Enroll'!M$1,FALSE)+VLOOKUP($A182,EnrollData2324,'2324 Jun 24 Enroll'!D$1,FALSE)),2)</f>
        <v>1653.51</v>
      </c>
      <c r="AS182" s="7">
        <f t="shared" si="61"/>
        <v>9526.5399999999991</v>
      </c>
    </row>
    <row r="183" spans="1:45">
      <c r="A183" s="40" t="s">
        <v>691</v>
      </c>
      <c r="B183" s="40" t="s">
        <v>692</v>
      </c>
      <c r="C183" s="11">
        <f>ROUND((IFERROR((1/IF(VLOOKUP($A183,EnrollData2324,28,FALSE)='District Calculations'!$B$10,VLOOKUP($A183,EnrollData2324,28,FALSE),'District Calculations'!$B$10))*(1+Apport_Z315),0))+Apport_201A2324,6)</f>
        <v>7.3449E-2</v>
      </c>
      <c r="D183">
        <f>ROUND(IF(VLOOKUP($A183,EnrollData2324,'2324 Jun 24 Enroll'!D$1,FALSE)='District Calculations'!$B$11,VLOOKUP($A183,EnrollData2324,'2324 Jun 24 Enroll'!D$1,FALSE),'District Calculations'!$B$11)*C183,3)</f>
        <v>0</v>
      </c>
      <c r="E183">
        <f>ROUND(IF(VLOOKUP($A183,EnrollData2324,'2324 Jun 24 Enroll'!E$1,FALSE)='District Calculations'!$B$12,VLOOKUP($A183,EnrollData2324,'2324 Jun 24 Enroll'!E$1,FALSE),'District Calculations'!$B$12)*C183,3)</f>
        <v>59.53</v>
      </c>
      <c r="F183">
        <f>ROUND(IF(VLOOKUP($A183,EnrollData2324,'2324 Jun 24 Enroll'!F$1,FALSE)='District Calculations'!$B$13,VLOOKUP($A183,EnrollData2324,'2324 Jun 24 Enroll'!F$1,FALSE),'District Calculations'!$B$13)*Apport_222A2324,3)</f>
        <v>10.101000000000001</v>
      </c>
      <c r="G183">
        <f>ROUND(IF(VLOOKUP($A183,EnrollData2324,'2324 Jun 24 Enroll'!G$1,FALSE)='District Calculations'!$B$14,VLOOKUP($A183,EnrollData2324,'2324 Jun 24 Enroll'!G$1,FALSE),'District Calculations'!$B$14)*Apport_210A2324,3)</f>
        <v>22.395</v>
      </c>
      <c r="H183">
        <f>ROUND(IF(VLOOKUP($A183,EnrollData2324,'2324 Jun 24 Enroll'!H$1,FALSE)='District Calculations'!$B$15,VLOOKUP($A183,EnrollData2324,'2324 Jun 24 Enroll'!H$1,FALSE),'District Calculations'!$B$15)*Apport_213A2324,3)</f>
        <v>23.091999999999999</v>
      </c>
      <c r="I183">
        <f>ROUND(IF(VLOOKUP($A183,EnrollData2324,'2324 Jun 24 Enroll'!I$1,FALSE)+VLOOKUP($A183,EnrollData2324,'2324 Jun 24 Enroll'!M$1,FALSE)-VLOOKUP($A183,EnrollData2324,'2324 Jun 24 Enroll'!J$1,FALSE)='District Calculations'!$B$16+'District Calculations'!$B$25-'District Calculations'!$B$17,VLOOKUP($A183,EnrollData2324,'2324 Jun 24 Enroll'!I$1,FALSE)+VLOOKUP($A183,EnrollData2324,'2324 Jun 24 Enroll'!M$1,FALSE)-VLOOKUP($A183,EnrollData2324,'2324 Jun 24 Enroll'!J$1,FALSE),'District Calculations'!$B$16+'District Calculations'!$B$25-'District Calculations'!$B$17)*Apport_216A2324,3)</f>
        <v>58.183999999999997</v>
      </c>
      <c r="J183">
        <f>ROUND(SUM(D183:I183)/(IF(VLOOKUP($A183,EnrollData2324,'2324 Jun 24 Enroll'!M$1,FALSE)='District Calculations'!$B$25,VLOOKUP($A183,EnrollData2324,'2324 Jun 24 Enroll'!M$1,FALSE),'District Calculations'!$B$25)+IF(VLOOKUP($A183,EnrollData2324,'2324 Jun 24 Enroll'!D$1,FALSE)='District Calculations'!$B$11,VLOOKUP($A183,EnrollData2324,'2324 Jun 24 Enroll'!D$1,FALSE),'District Calculations'!$B$11)),5)</f>
        <v>5.5530000000000003E-2</v>
      </c>
      <c r="K183" s="11">
        <f t="shared" si="51"/>
        <v>4.365E-3</v>
      </c>
      <c r="L183">
        <f>ROUND(IF(VLOOKUP($A183,EnrollData2324,'2324 Jun 24 Enroll'!D$1,FALSE)='District Calculations'!$B$11,VLOOKUP($A183,EnrollData2324,'2324 Jun 24 Enroll'!D$1,FALSE),'District Calculations'!$B$11)*K183,3)</f>
        <v>0</v>
      </c>
      <c r="M183">
        <f>ROUND(IF(VLOOKUP($A183,EnrollData2324,'2324 Jun 24 Enroll'!E$1,FALSE)='District Calculations'!$B$12,VLOOKUP($A183,EnrollData2324,'2324 Jun 24 Enroll'!E$1,FALSE),'District Calculations'!$B$12)*K183,3)</f>
        <v>3.5379999999999998</v>
      </c>
      <c r="N183">
        <f>ROUND(IF(VLOOKUP($A183,EnrollData2324,'2324 Jun 24 Enroll'!F$1,FALSE)='District Calculations'!$B$13,VLOOKUP($A183,EnrollData2324,'2324 Jun 24 Enroll'!F$1,FALSE),'District Calculations'!$B$13)*Apport_223A2324,3)</f>
        <v>0.84199999999999997</v>
      </c>
      <c r="O183">
        <f>ROUND(IF(VLOOKUP($A183,EnrollData2324,'2324 Jun 24 Enroll'!G$1,FALSE)='District Calculations'!$B$14,VLOOKUP($A183,EnrollData2324,'2324 Jun 24 Enroll'!G$1,FALSE),'District Calculations'!$B$14)*Apport_211A2324,3)</f>
        <v>1.867</v>
      </c>
      <c r="P183">
        <f>ROUND(IF(VLOOKUP($A183,EnrollData2324,'2324 Jun 24 Enroll'!H$1,FALSE)='District Calculations'!$B$14,VLOOKUP($A183,EnrollData2324,'2324 Jun 24 Enroll'!H$1,FALSE),'District Calculations'!$B$14)*Apport_214A2324,3)</f>
        <v>1.8660000000000001</v>
      </c>
      <c r="Q183">
        <f>ROUND(IF(VLOOKUP($A183,EnrollData2324,'2324 Jun 24 Enroll'!I$1,FALSE)+VLOOKUP($A183,EnrollData2324,'2324 Jun 24 Enroll'!M$1,FALSE)-VLOOKUP($A183,EnrollData2324,'2324 Jun 24 Enroll'!J$1,FALSE)='District Calculations'!$B$16+'District Calculations'!$B$25-'District Calculations'!$B$17,VLOOKUP($A183,EnrollData2324,'2324 Jun 24 Enroll'!I$1,FALSE)+VLOOKUP($A183,EnrollData2324,'2324 Jun 24 Enroll'!M$1,FALSE)-VLOOKUP($A183,EnrollData2324,'2324 Jun 24 Enroll'!J$1,FALSE),'District Calculations'!$B$16+'District Calculations'!$B$25-'District Calculations'!$B$17)*Apport_217A2324,3)</f>
        <v>4.6980000000000004</v>
      </c>
      <c r="R183">
        <f>ROUND(SUM(L183:Q183)/IF(VLOOKUP($A183,EnrollData2324,'2324 Jun 24 Enroll'!M$1,FALSE)+VLOOKUP($A183,EnrollData2324,'2324 Jun 24 Enroll'!D$1,FALSE)='District Calculations'!$B$25+'District Calculations'!$B$11,VLOOKUP($A183,EnrollData2324,'2324 Jun 24 Enroll'!M$1,FALSE)+VLOOKUP($A183,EnrollData2324,'2324 Jun 24 Enroll'!D$1,FALSE),'District Calculations'!$B$25+'District Calculations'!$B$11),5)</f>
        <v>4.1000000000000003E-3</v>
      </c>
      <c r="S183" s="11">
        <f t="shared" si="52"/>
        <v>1.8294500000000002E-2</v>
      </c>
      <c r="T183">
        <f>ROUND(IF(VLOOKUP($A183,EnrollData2324,'2324 Jun 24 Enroll'!D$1,FALSE)='District Calculations'!$B$11,VLOOKUP($A183,EnrollData2324,'2324 Jun 24 Enroll'!D$1,FALSE),'District Calculations'!$B$11)*S183,3)</f>
        <v>0</v>
      </c>
      <c r="U183">
        <f>ROUND(IF(VLOOKUP($A183,EnrollData2324,'2324 Jun 24 Enroll'!E$1,FALSE)='District Calculations'!$B$12,VLOOKUP($A183,EnrollData2324,'2324 Jun 24 Enroll'!E$1,FALSE),'District Calculations'!$B$12)*S183,3)</f>
        <v>14.827999999999999</v>
      </c>
      <c r="V183">
        <f>ROUND(IF(VLOOKUP($A183,EnrollData2324,'2324 Jun 24 Enroll'!F$1,FALSE)='District Calculations'!$B$13,VLOOKUP($A183,EnrollData2324,'2324 Jun 24 Enroll'!F$1,FALSE),'District Calculations'!$B$13)*Apport_224A2324,3)</f>
        <v>3.6190000000000002</v>
      </c>
      <c r="W183">
        <f>ROUND(IF(VLOOKUP($A183,EnrollData2324,'2324 Jun 24 Enroll'!G$1,FALSE)='District Calculations'!$B$14,VLOOKUP($A183,EnrollData2324,'2324 Jun 24 Enroll'!G$1,FALSE),'District Calculations'!$B$14)*Apport_212A2324,3)</f>
        <v>8.0239999999999991</v>
      </c>
      <c r="X183">
        <f>ROUND(IF(VLOOKUP($A183,EnrollData2324,'2324 Jun 24 Enroll'!H$1,FALSE)='District Calculations'!$B$14,VLOOKUP($A183,EnrollData2324,'2324 Jun 24 Enroll'!H$1,FALSE),'District Calculations'!$B$14)*Apport_215A2324,3)</f>
        <v>7.9279999999999999</v>
      </c>
      <c r="Y183">
        <f>ROUND(IF(VLOOKUP($A183,EnrollData2324,'2324 Jun 24 Enroll'!I$1,FALSE)+VLOOKUP($A183,EnrollData2324,'2324 Jun 24 Enroll'!M$1,FALSE)-VLOOKUP($A183,EnrollData2324,'2324 Jun 24 Enroll'!J$1,FALSE)='District Calculations'!$B$16+'District Calculations'!$B$25-'District Calculations'!$B$17,VLOOKUP($A183,EnrollData2324,'2324 Jun 24 Enroll'!I$1,FALSE)+VLOOKUP($A183,EnrollData2324,'2324 Jun 24 Enroll'!M$1,FALSE)-VLOOKUP($A183,EnrollData2324,'2324 Jun 24 Enroll'!J$1,FALSE),'District Calculations'!$B$16+'District Calculations'!$B$25-'District Calculations'!$B$17)*Apport_218A2324,3)</f>
        <v>19.917999999999999</v>
      </c>
      <c r="Z183">
        <f>ROUND(SUM(T183:Y183)/IF(VLOOKUP($A183,EnrollData2324,'2324 Jun 24 Enroll'!M$1,FALSE)+VLOOKUP($A183,EnrollData2324,'2324 Jun 24 Enroll'!D$1,FALSE)='District Calculations'!$B$25+'District Calculations'!$B$11,VLOOKUP($A183,EnrollData2324,'2324 Jun 24 Enroll'!M$1,FALSE)+VLOOKUP($A183,EnrollData2324,'2324 Jun 24 Enroll'!D$1,FALSE),'District Calculations'!$B$25+'District Calculations'!$B$11),5)</f>
        <v>1.7399999999999999E-2</v>
      </c>
      <c r="AA183" s="6">
        <f>ROUND($J183*CIS_Base_Salary2324*VLOOKUP($A183,EnrollData2324,'2324 Jun 24 Enroll'!S$1,FALSE),2)</f>
        <v>4280.8999999999996</v>
      </c>
      <c r="AB183" s="6">
        <f>ROUND($J183*CIS_Inc_Salary2324*(VLOOKUP($A183,EnrollData2324,'2324 Jun 24 Enroll'!T$1,FALSE)+VLOOKUP($A183,EnrollData2324,'2324 Jun 24 Enroll'!U$1,FALSE)),2)-AA183</f>
        <v>158.40000000000055</v>
      </c>
      <c r="AC183" s="6">
        <f>ROUND($R183*CAS_Base_Salary2324*VLOOKUP($A183,EnrollData2324,'2324 Jun 24 Enroll'!S$1,FALSE),2)</f>
        <v>469.17</v>
      </c>
      <c r="AD183" s="6">
        <f>ROUND($R183*CAS_Inc_Salary2324*VLOOKUP($A183,EnrollData2324,'2324 Jun 24 Enroll'!T$1,FALSE),2)-AC183</f>
        <v>17.359999999999957</v>
      </c>
      <c r="AE183" s="6">
        <f>ROUND($Z183*CLS_Base_Salary2324*VLOOKUP($A183,EnrollData2324,'2324 Jun 24 Enroll'!S$1,FALSE),2)</f>
        <v>962.28</v>
      </c>
      <c r="AF183" s="6">
        <f>ROUND($Z183*CLS_Inc_Salary2324*VLOOKUP($A183,EnrollData2324,'2324 Jun 24 Enroll'!T$1,FALSE),2)-AE183</f>
        <v>35.600000000000023</v>
      </c>
      <c r="AG183">
        <f t="shared" si="48"/>
        <v>734.16</v>
      </c>
      <c r="AH183" s="69">
        <f t="shared" si="53"/>
        <v>68.700000000000045</v>
      </c>
      <c r="AI183">
        <f t="shared" si="49"/>
        <v>214.23</v>
      </c>
      <c r="AJ183">
        <f t="shared" si="54"/>
        <v>114.21000000000001</v>
      </c>
      <c r="AK183">
        <f t="shared" si="55"/>
        <v>853.59</v>
      </c>
      <c r="AL183">
        <f t="shared" si="56"/>
        <v>30.46</v>
      </c>
      <c r="AM183">
        <f t="shared" si="57"/>
        <v>212.28</v>
      </c>
      <c r="AN183">
        <f t="shared" si="58"/>
        <v>6.61</v>
      </c>
      <c r="AO183">
        <f>ROUND(($J183*CIS_Inc_Salary2324*(VLOOKUP($A183,EnrollData2324,'2324 Jun 24 Enroll'!T$1,FALSE)+VLOOKUP($A183,EnrollData2324,'2324 Jun 24 Enroll'!U$1,FALSE))/Apport_613Xpd)*Apport_614Xpd,2)</f>
        <v>73.989999999999995</v>
      </c>
      <c r="AP183">
        <f t="shared" si="59"/>
        <v>12.82</v>
      </c>
      <c r="AQ183">
        <f t="shared" si="60"/>
        <v>30.93</v>
      </c>
      <c r="AR183" s="6">
        <f>ROUND((VLOOKUP($A183,EnrollData2324,'2324 Jun 24 Enroll'!D$1,FALSE)*Apport_M802324+VLOOKUP($A183,EnrollData2324,'2324 Jun 24 Enroll'!M$1,FALSE)*Apport_M802324+(VLOOKUP($A183,EnrollData2324,'2324 Jun 24 Enroll'!P$1,FALSE)+VLOOKUP($A183,EnrollData2324,'2324 Jun 24 Enroll'!Q$1,FALSE)+VLOOKUP($A183,EnrollData2324,'2324 Jun 24 Enroll'!R$1,FALSE)+VLOOKUP($A183,EnrollData2324,'2324 Jun 24 Enroll'!I$1,FALSE)+VLOOKUP($A183,EnrollData2324,'2324 Jun 24 Enroll'!N$1,FALSE)+VLOOKUP($A183,EnrollData2324,'2324 Jun 24 Enroll'!O$1,FALSE)+VLOOKUP($A183,EnrollData2324,'2324 Jun 24 Enroll'!K$1,FALSE)+VLOOKUP($A183,EnrollData2324,'2324 Jun 24 Enroll'!L$1,FALSE))*Apport_M812324)/(VLOOKUP($A183,EnrollData2324,'2324 Jun 24 Enroll'!M$1,FALSE)+VLOOKUP($A183,EnrollData2324,'2324 Jun 24 Enroll'!D$1,FALSE)),2)</f>
        <v>1483.44</v>
      </c>
      <c r="AS183" s="7">
        <f t="shared" si="61"/>
        <v>9759.1299999999992</v>
      </c>
    </row>
    <row r="184" spans="1:45">
      <c r="A184" s="40" t="s">
        <v>633</v>
      </c>
      <c r="B184" s="40" t="s">
        <v>634</v>
      </c>
      <c r="C184" s="11">
        <f>ROUND((IFERROR((1/IF(VLOOKUP($A184,EnrollData2324,28,FALSE)='District Calculations'!$B$10,VLOOKUP($A184,EnrollData2324,28,FALSE),'District Calculations'!$B$10))*(1+Apport_Z315),0))+Apport_201A2324,6)</f>
        <v>7.3449E-2</v>
      </c>
      <c r="D184">
        <f>ROUND(IF(VLOOKUP($A184,EnrollData2324,'2324 Jun 24 Enroll'!D$1,FALSE)='District Calculations'!$B$11,VLOOKUP($A184,EnrollData2324,'2324 Jun 24 Enroll'!D$1,FALSE),'District Calculations'!$B$11)*C184,3)</f>
        <v>0</v>
      </c>
      <c r="E184">
        <f>ROUND(IF(VLOOKUP($A184,EnrollData2324,'2324 Jun 24 Enroll'!E$1,FALSE)='District Calculations'!$B$12,VLOOKUP($A184,EnrollData2324,'2324 Jun 24 Enroll'!E$1,FALSE),'District Calculations'!$B$12)*C184,3)</f>
        <v>59.53</v>
      </c>
      <c r="F184">
        <f>ROUND(IF(VLOOKUP($A184,EnrollData2324,'2324 Jun 24 Enroll'!F$1,FALSE)='District Calculations'!$B$13,VLOOKUP($A184,EnrollData2324,'2324 Jun 24 Enroll'!F$1,FALSE),'District Calculations'!$B$13)*Apport_222A2324,3)</f>
        <v>10.101000000000001</v>
      </c>
      <c r="G184">
        <f>ROUND(IF(VLOOKUP($A184,EnrollData2324,'2324 Jun 24 Enroll'!G$1,FALSE)='District Calculations'!$B$14,VLOOKUP($A184,EnrollData2324,'2324 Jun 24 Enroll'!G$1,FALSE),'District Calculations'!$B$14)*Apport_210A2324,3)</f>
        <v>22.395</v>
      </c>
      <c r="H184">
        <f>ROUND(IF(VLOOKUP($A184,EnrollData2324,'2324 Jun 24 Enroll'!H$1,FALSE)='District Calculations'!$B$15,VLOOKUP($A184,EnrollData2324,'2324 Jun 24 Enroll'!H$1,FALSE),'District Calculations'!$B$15)*Apport_213A2324,3)</f>
        <v>23.091999999999999</v>
      </c>
      <c r="I184">
        <f>ROUND(IF(VLOOKUP($A184,EnrollData2324,'2324 Jun 24 Enroll'!I$1,FALSE)+VLOOKUP($A184,EnrollData2324,'2324 Jun 24 Enroll'!M$1,FALSE)-VLOOKUP($A184,EnrollData2324,'2324 Jun 24 Enroll'!J$1,FALSE)='District Calculations'!$B$16+'District Calculations'!$B$25-'District Calculations'!$B$17,VLOOKUP($A184,EnrollData2324,'2324 Jun 24 Enroll'!I$1,FALSE)+VLOOKUP($A184,EnrollData2324,'2324 Jun 24 Enroll'!M$1,FALSE)-VLOOKUP($A184,EnrollData2324,'2324 Jun 24 Enroll'!J$1,FALSE),'District Calculations'!$B$16+'District Calculations'!$B$25-'District Calculations'!$B$17)*Apport_216A2324,3)</f>
        <v>58.183999999999997</v>
      </c>
      <c r="J184">
        <f>ROUND(SUM(D184:I184)/(IF(VLOOKUP($A184,EnrollData2324,'2324 Jun 24 Enroll'!M$1,FALSE)='District Calculations'!$B$25,VLOOKUP($A184,EnrollData2324,'2324 Jun 24 Enroll'!M$1,FALSE),'District Calculations'!$B$25)+IF(VLOOKUP($A184,EnrollData2324,'2324 Jun 24 Enroll'!D$1,FALSE)='District Calculations'!$B$11,VLOOKUP($A184,EnrollData2324,'2324 Jun 24 Enroll'!D$1,FALSE),'District Calculations'!$B$11)),5)</f>
        <v>5.5530000000000003E-2</v>
      </c>
      <c r="K184" s="11">
        <f t="shared" si="51"/>
        <v>4.365E-3</v>
      </c>
      <c r="L184">
        <f>ROUND(IF(VLOOKUP($A184,EnrollData2324,'2324 Jun 24 Enroll'!D$1,FALSE)='District Calculations'!$B$11,VLOOKUP($A184,EnrollData2324,'2324 Jun 24 Enroll'!D$1,FALSE),'District Calculations'!$B$11)*K184,3)</f>
        <v>0</v>
      </c>
      <c r="M184">
        <f>ROUND(IF(VLOOKUP($A184,EnrollData2324,'2324 Jun 24 Enroll'!E$1,FALSE)='District Calculations'!$B$12,VLOOKUP($A184,EnrollData2324,'2324 Jun 24 Enroll'!E$1,FALSE),'District Calculations'!$B$12)*K184,3)</f>
        <v>3.5379999999999998</v>
      </c>
      <c r="N184">
        <f>ROUND(IF(VLOOKUP($A184,EnrollData2324,'2324 Jun 24 Enroll'!F$1,FALSE)='District Calculations'!$B$13,VLOOKUP($A184,EnrollData2324,'2324 Jun 24 Enroll'!F$1,FALSE),'District Calculations'!$B$13)*Apport_223A2324,3)</f>
        <v>0.84199999999999997</v>
      </c>
      <c r="O184">
        <f>ROUND(IF(VLOOKUP($A184,EnrollData2324,'2324 Jun 24 Enroll'!G$1,FALSE)='District Calculations'!$B$14,VLOOKUP($A184,EnrollData2324,'2324 Jun 24 Enroll'!G$1,FALSE),'District Calculations'!$B$14)*Apport_211A2324,3)</f>
        <v>1.867</v>
      </c>
      <c r="P184">
        <f>ROUND(IF(VLOOKUP($A184,EnrollData2324,'2324 Jun 24 Enroll'!H$1,FALSE)='District Calculations'!$B$14,VLOOKUP($A184,EnrollData2324,'2324 Jun 24 Enroll'!H$1,FALSE),'District Calculations'!$B$14)*Apport_214A2324,3)</f>
        <v>1.8660000000000001</v>
      </c>
      <c r="Q184">
        <f>ROUND(IF(VLOOKUP($A184,EnrollData2324,'2324 Jun 24 Enroll'!I$1,FALSE)+VLOOKUP($A184,EnrollData2324,'2324 Jun 24 Enroll'!M$1,FALSE)-VLOOKUP($A184,EnrollData2324,'2324 Jun 24 Enroll'!J$1,FALSE)='District Calculations'!$B$16+'District Calculations'!$B$25-'District Calculations'!$B$17,VLOOKUP($A184,EnrollData2324,'2324 Jun 24 Enroll'!I$1,FALSE)+VLOOKUP($A184,EnrollData2324,'2324 Jun 24 Enroll'!M$1,FALSE)-VLOOKUP($A184,EnrollData2324,'2324 Jun 24 Enroll'!J$1,FALSE),'District Calculations'!$B$16+'District Calculations'!$B$25-'District Calculations'!$B$17)*Apport_217A2324,3)</f>
        <v>4.6980000000000004</v>
      </c>
      <c r="R184">
        <f>ROUND(SUM(L184:Q184)/IF(VLOOKUP($A184,EnrollData2324,'2324 Jun 24 Enroll'!M$1,FALSE)+VLOOKUP($A184,EnrollData2324,'2324 Jun 24 Enroll'!D$1,FALSE)='District Calculations'!$B$25+'District Calculations'!$B$11,VLOOKUP($A184,EnrollData2324,'2324 Jun 24 Enroll'!M$1,FALSE)+VLOOKUP($A184,EnrollData2324,'2324 Jun 24 Enroll'!D$1,FALSE),'District Calculations'!$B$25+'District Calculations'!$B$11),5)</f>
        <v>4.1000000000000003E-3</v>
      </c>
      <c r="S184" s="11">
        <f t="shared" si="52"/>
        <v>1.8294500000000002E-2</v>
      </c>
      <c r="T184">
        <f>ROUND(IF(VLOOKUP($A184,EnrollData2324,'2324 Jun 24 Enroll'!D$1,FALSE)='District Calculations'!$B$11,VLOOKUP($A184,EnrollData2324,'2324 Jun 24 Enroll'!D$1,FALSE),'District Calculations'!$B$11)*S184,3)</f>
        <v>0</v>
      </c>
      <c r="U184">
        <f>ROUND(IF(VLOOKUP($A184,EnrollData2324,'2324 Jun 24 Enroll'!E$1,FALSE)='District Calculations'!$B$12,VLOOKUP($A184,EnrollData2324,'2324 Jun 24 Enroll'!E$1,FALSE),'District Calculations'!$B$12)*S184,3)</f>
        <v>14.827999999999999</v>
      </c>
      <c r="V184">
        <f>ROUND(IF(VLOOKUP($A184,EnrollData2324,'2324 Jun 24 Enroll'!F$1,FALSE)='District Calculations'!$B$13,VLOOKUP($A184,EnrollData2324,'2324 Jun 24 Enroll'!F$1,FALSE),'District Calculations'!$B$13)*Apport_224A2324,3)</f>
        <v>3.6190000000000002</v>
      </c>
      <c r="W184">
        <f>ROUND(IF(VLOOKUP($A184,EnrollData2324,'2324 Jun 24 Enroll'!G$1,FALSE)='District Calculations'!$B$14,VLOOKUP($A184,EnrollData2324,'2324 Jun 24 Enroll'!G$1,FALSE),'District Calculations'!$B$14)*Apport_212A2324,3)</f>
        <v>8.0239999999999991</v>
      </c>
      <c r="X184">
        <f>ROUND(IF(VLOOKUP($A184,EnrollData2324,'2324 Jun 24 Enroll'!H$1,FALSE)='District Calculations'!$B$14,VLOOKUP($A184,EnrollData2324,'2324 Jun 24 Enroll'!H$1,FALSE),'District Calculations'!$B$14)*Apport_215A2324,3)</f>
        <v>7.9279999999999999</v>
      </c>
      <c r="Y184">
        <f>ROUND(IF(VLOOKUP($A184,EnrollData2324,'2324 Jun 24 Enroll'!I$1,FALSE)+VLOOKUP($A184,EnrollData2324,'2324 Jun 24 Enroll'!M$1,FALSE)-VLOOKUP($A184,EnrollData2324,'2324 Jun 24 Enroll'!J$1,FALSE)='District Calculations'!$B$16+'District Calculations'!$B$25-'District Calculations'!$B$17,VLOOKUP($A184,EnrollData2324,'2324 Jun 24 Enroll'!I$1,FALSE)+VLOOKUP($A184,EnrollData2324,'2324 Jun 24 Enroll'!M$1,FALSE)-VLOOKUP($A184,EnrollData2324,'2324 Jun 24 Enroll'!J$1,FALSE),'District Calculations'!$B$16+'District Calculations'!$B$25-'District Calculations'!$B$17)*Apport_218A2324,3)</f>
        <v>19.917999999999999</v>
      </c>
      <c r="Z184">
        <f>ROUND(SUM(T184:Y184)/IF(VLOOKUP($A184,EnrollData2324,'2324 Jun 24 Enroll'!M$1,FALSE)+VLOOKUP($A184,EnrollData2324,'2324 Jun 24 Enroll'!D$1,FALSE)='District Calculations'!$B$25+'District Calculations'!$B$11,VLOOKUP($A184,EnrollData2324,'2324 Jun 24 Enroll'!M$1,FALSE)+VLOOKUP($A184,EnrollData2324,'2324 Jun 24 Enroll'!D$1,FALSE),'District Calculations'!$B$25+'District Calculations'!$B$11),5)</f>
        <v>1.7399999999999999E-2</v>
      </c>
      <c r="AA184" s="6">
        <f>ROUND($J184*CIS_Base_Salary2324*VLOOKUP($A184,EnrollData2324,'2324 Jun 24 Enroll'!S$1,FALSE),2)</f>
        <v>4523.22</v>
      </c>
      <c r="AB184" s="6">
        <f>ROUND($J184*CIS_Inc_Salary2324*(VLOOKUP($A184,EnrollData2324,'2324 Jun 24 Enroll'!T$1,FALSE)+VLOOKUP($A184,EnrollData2324,'2324 Jun 24 Enroll'!U$1,FALSE)),2)-AA184</f>
        <v>167.35999999999967</v>
      </c>
      <c r="AC184" s="6">
        <f>ROUND($R184*CAS_Base_Salary2324*VLOOKUP($A184,EnrollData2324,'2324 Jun 24 Enroll'!S$1,FALSE),2)</f>
        <v>495.73</v>
      </c>
      <c r="AD184" s="6">
        <f>ROUND($R184*CAS_Inc_Salary2324*VLOOKUP($A184,EnrollData2324,'2324 Jun 24 Enroll'!T$1,FALSE),2)-AC184</f>
        <v>18.340000000000032</v>
      </c>
      <c r="AE184" s="6">
        <f>ROUND($Z184*CLS_Base_Salary2324*VLOOKUP($A184,EnrollData2324,'2324 Jun 24 Enroll'!S$1,FALSE),2)</f>
        <v>1016.75</v>
      </c>
      <c r="AF184" s="6">
        <f>ROUND($Z184*CLS_Inc_Salary2324*VLOOKUP($A184,EnrollData2324,'2324 Jun 24 Enroll'!T$1,FALSE),2)-AE184</f>
        <v>37.6099999999999</v>
      </c>
      <c r="AG184">
        <f t="shared" si="48"/>
        <v>734.16</v>
      </c>
      <c r="AH184" s="69">
        <f t="shared" si="53"/>
        <v>68.700000000000045</v>
      </c>
      <c r="AI184">
        <f t="shared" si="49"/>
        <v>214.23</v>
      </c>
      <c r="AJ184">
        <f t="shared" si="54"/>
        <v>114.21000000000001</v>
      </c>
      <c r="AK184">
        <f t="shared" si="55"/>
        <v>901.91</v>
      </c>
      <c r="AL184">
        <f t="shared" si="56"/>
        <v>32.18</v>
      </c>
      <c r="AM184">
        <f t="shared" si="57"/>
        <v>224.3</v>
      </c>
      <c r="AN184">
        <f t="shared" si="58"/>
        <v>6.98</v>
      </c>
      <c r="AO184">
        <f>ROUND(($J184*CIS_Inc_Salary2324*(VLOOKUP($A184,EnrollData2324,'2324 Jun 24 Enroll'!T$1,FALSE)+VLOOKUP($A184,EnrollData2324,'2324 Jun 24 Enroll'!U$1,FALSE))/Apport_613Xpd)*Apport_614Xpd,2)</f>
        <v>78.180000000000007</v>
      </c>
      <c r="AP184">
        <f t="shared" si="59"/>
        <v>13.55</v>
      </c>
      <c r="AQ184">
        <f t="shared" si="60"/>
        <v>30.93</v>
      </c>
      <c r="AR184" s="6">
        <f>ROUND((VLOOKUP($A184,EnrollData2324,'2324 Jun 24 Enroll'!D$1,FALSE)*Apport_M802324+VLOOKUP($A184,EnrollData2324,'2324 Jun 24 Enroll'!M$1,FALSE)*Apport_M802324+(VLOOKUP($A184,EnrollData2324,'2324 Jun 24 Enroll'!P$1,FALSE)+VLOOKUP($A184,EnrollData2324,'2324 Jun 24 Enroll'!Q$1,FALSE)+VLOOKUP($A184,EnrollData2324,'2324 Jun 24 Enroll'!R$1,FALSE)+VLOOKUP($A184,EnrollData2324,'2324 Jun 24 Enroll'!I$1,FALSE)+VLOOKUP($A184,EnrollData2324,'2324 Jun 24 Enroll'!N$1,FALSE)+VLOOKUP($A184,EnrollData2324,'2324 Jun 24 Enroll'!O$1,FALSE)+VLOOKUP($A184,EnrollData2324,'2324 Jun 24 Enroll'!K$1,FALSE)+VLOOKUP($A184,EnrollData2324,'2324 Jun 24 Enroll'!L$1,FALSE))*Apport_M812324)/(VLOOKUP($A184,EnrollData2324,'2324 Jun 24 Enroll'!M$1,FALSE)+VLOOKUP($A184,EnrollData2324,'2324 Jun 24 Enroll'!D$1,FALSE)),2)</f>
        <v>1555.95</v>
      </c>
      <c r="AS184" s="7">
        <f t="shared" si="61"/>
        <v>10234.289999999999</v>
      </c>
    </row>
    <row r="185" spans="1:45">
      <c r="A185" s="40" t="s">
        <v>506</v>
      </c>
      <c r="B185" s="40" t="s">
        <v>507</v>
      </c>
      <c r="C185" s="11">
        <f>ROUND((IFERROR((1/IF(VLOOKUP($A185,EnrollData2324,28,FALSE)='District Calculations'!$B$10,VLOOKUP($A185,EnrollData2324,28,FALSE),'District Calculations'!$B$10))*(1+Apport_Z315),0))+Apport_201A2324,6)</f>
        <v>7.3449E-2</v>
      </c>
      <c r="D185">
        <f>ROUND(IF(VLOOKUP($A185,EnrollData2324,'2324 Jun 24 Enroll'!D$1,FALSE)='District Calculations'!$B$11,VLOOKUP($A185,EnrollData2324,'2324 Jun 24 Enroll'!D$1,FALSE),'District Calculations'!$B$11)*C185,3)</f>
        <v>0</v>
      </c>
      <c r="E185">
        <f>ROUND(IF(VLOOKUP($A185,EnrollData2324,'2324 Jun 24 Enroll'!E$1,FALSE)='District Calculations'!$B$12,VLOOKUP($A185,EnrollData2324,'2324 Jun 24 Enroll'!E$1,FALSE),'District Calculations'!$B$12)*C185,3)</f>
        <v>59.53</v>
      </c>
      <c r="F185">
        <f>ROUND(IF(VLOOKUP($A185,EnrollData2324,'2324 Jun 24 Enroll'!F$1,FALSE)='District Calculations'!$B$13,VLOOKUP($A185,EnrollData2324,'2324 Jun 24 Enroll'!F$1,FALSE),'District Calculations'!$B$13)*Apport_222A2324,3)</f>
        <v>10.101000000000001</v>
      </c>
      <c r="G185">
        <f>ROUND(IF(VLOOKUP($A185,EnrollData2324,'2324 Jun 24 Enroll'!G$1,FALSE)='District Calculations'!$B$14,VLOOKUP($A185,EnrollData2324,'2324 Jun 24 Enroll'!G$1,FALSE),'District Calculations'!$B$14)*Apport_210A2324,3)</f>
        <v>22.395</v>
      </c>
      <c r="H185">
        <f>ROUND(IF(VLOOKUP($A185,EnrollData2324,'2324 Jun 24 Enroll'!H$1,FALSE)='District Calculations'!$B$15,VLOOKUP($A185,EnrollData2324,'2324 Jun 24 Enroll'!H$1,FALSE),'District Calculations'!$B$15)*Apport_213A2324,3)</f>
        <v>23.091999999999999</v>
      </c>
      <c r="I185">
        <f>ROUND(IF(VLOOKUP($A185,EnrollData2324,'2324 Jun 24 Enroll'!I$1,FALSE)+VLOOKUP($A185,EnrollData2324,'2324 Jun 24 Enroll'!M$1,FALSE)-VLOOKUP($A185,EnrollData2324,'2324 Jun 24 Enroll'!J$1,FALSE)='District Calculations'!$B$16+'District Calculations'!$B$25-'District Calculations'!$B$17,VLOOKUP($A185,EnrollData2324,'2324 Jun 24 Enroll'!I$1,FALSE)+VLOOKUP($A185,EnrollData2324,'2324 Jun 24 Enroll'!M$1,FALSE)-VLOOKUP($A185,EnrollData2324,'2324 Jun 24 Enroll'!J$1,FALSE),'District Calculations'!$B$16+'District Calculations'!$B$25-'District Calculations'!$B$17)*Apport_216A2324,3)</f>
        <v>58.183999999999997</v>
      </c>
      <c r="J185">
        <f>ROUND(SUM(D185:I185)/(IF(VLOOKUP($A185,EnrollData2324,'2324 Jun 24 Enroll'!M$1,FALSE)='District Calculations'!$B$25,VLOOKUP($A185,EnrollData2324,'2324 Jun 24 Enroll'!M$1,FALSE),'District Calculations'!$B$25)+IF(VLOOKUP($A185,EnrollData2324,'2324 Jun 24 Enroll'!D$1,FALSE)='District Calculations'!$B$11,VLOOKUP($A185,EnrollData2324,'2324 Jun 24 Enroll'!D$1,FALSE),'District Calculations'!$B$11)),5)</f>
        <v>5.5530000000000003E-2</v>
      </c>
      <c r="K185" s="11">
        <f t="shared" si="51"/>
        <v>4.365E-3</v>
      </c>
      <c r="L185">
        <f>ROUND(IF(VLOOKUP($A185,EnrollData2324,'2324 Jun 24 Enroll'!D$1,FALSE)='District Calculations'!$B$11,VLOOKUP($A185,EnrollData2324,'2324 Jun 24 Enroll'!D$1,FALSE),'District Calculations'!$B$11)*K185,3)</f>
        <v>0</v>
      </c>
      <c r="M185">
        <f>ROUND(IF(VLOOKUP($A185,EnrollData2324,'2324 Jun 24 Enroll'!E$1,FALSE)='District Calculations'!$B$12,VLOOKUP($A185,EnrollData2324,'2324 Jun 24 Enroll'!E$1,FALSE),'District Calculations'!$B$12)*K185,3)</f>
        <v>3.5379999999999998</v>
      </c>
      <c r="N185">
        <f>ROUND(IF(VLOOKUP($A185,EnrollData2324,'2324 Jun 24 Enroll'!F$1,FALSE)='District Calculations'!$B$13,VLOOKUP($A185,EnrollData2324,'2324 Jun 24 Enroll'!F$1,FALSE),'District Calculations'!$B$13)*Apport_223A2324,3)</f>
        <v>0.84199999999999997</v>
      </c>
      <c r="O185">
        <f>ROUND(IF(VLOOKUP($A185,EnrollData2324,'2324 Jun 24 Enroll'!G$1,FALSE)='District Calculations'!$B$14,VLOOKUP($A185,EnrollData2324,'2324 Jun 24 Enroll'!G$1,FALSE),'District Calculations'!$B$14)*Apport_211A2324,3)</f>
        <v>1.867</v>
      </c>
      <c r="P185">
        <f>ROUND(IF(VLOOKUP($A185,EnrollData2324,'2324 Jun 24 Enroll'!H$1,FALSE)='District Calculations'!$B$14,VLOOKUP($A185,EnrollData2324,'2324 Jun 24 Enroll'!H$1,FALSE),'District Calculations'!$B$14)*Apport_214A2324,3)</f>
        <v>1.8660000000000001</v>
      </c>
      <c r="Q185">
        <f>ROUND(IF(VLOOKUP($A185,EnrollData2324,'2324 Jun 24 Enroll'!I$1,FALSE)+VLOOKUP($A185,EnrollData2324,'2324 Jun 24 Enroll'!M$1,FALSE)-VLOOKUP($A185,EnrollData2324,'2324 Jun 24 Enroll'!J$1,FALSE)='District Calculations'!$B$16+'District Calculations'!$B$25-'District Calculations'!$B$17,VLOOKUP($A185,EnrollData2324,'2324 Jun 24 Enroll'!I$1,FALSE)+VLOOKUP($A185,EnrollData2324,'2324 Jun 24 Enroll'!M$1,FALSE)-VLOOKUP($A185,EnrollData2324,'2324 Jun 24 Enroll'!J$1,FALSE),'District Calculations'!$B$16+'District Calculations'!$B$25-'District Calculations'!$B$17)*Apport_217A2324,3)</f>
        <v>4.6980000000000004</v>
      </c>
      <c r="R185">
        <f>ROUND(SUM(L185:Q185)/IF(VLOOKUP($A185,EnrollData2324,'2324 Jun 24 Enroll'!M$1,FALSE)+VLOOKUP($A185,EnrollData2324,'2324 Jun 24 Enroll'!D$1,FALSE)='District Calculations'!$B$25+'District Calculations'!$B$11,VLOOKUP($A185,EnrollData2324,'2324 Jun 24 Enroll'!M$1,FALSE)+VLOOKUP($A185,EnrollData2324,'2324 Jun 24 Enroll'!D$1,FALSE),'District Calculations'!$B$25+'District Calculations'!$B$11),5)</f>
        <v>4.1000000000000003E-3</v>
      </c>
      <c r="S185" s="11">
        <f t="shared" si="52"/>
        <v>1.8294500000000002E-2</v>
      </c>
      <c r="T185">
        <f>ROUND(IF(VLOOKUP($A185,EnrollData2324,'2324 Jun 24 Enroll'!D$1,FALSE)='District Calculations'!$B$11,VLOOKUP($A185,EnrollData2324,'2324 Jun 24 Enroll'!D$1,FALSE),'District Calculations'!$B$11)*S185,3)</f>
        <v>0</v>
      </c>
      <c r="U185">
        <f>ROUND(IF(VLOOKUP($A185,EnrollData2324,'2324 Jun 24 Enroll'!E$1,FALSE)='District Calculations'!$B$12,VLOOKUP($A185,EnrollData2324,'2324 Jun 24 Enroll'!E$1,FALSE),'District Calculations'!$B$12)*S185,3)</f>
        <v>14.827999999999999</v>
      </c>
      <c r="V185">
        <f>ROUND(IF(VLOOKUP($A185,EnrollData2324,'2324 Jun 24 Enroll'!F$1,FALSE)='District Calculations'!$B$13,VLOOKUP($A185,EnrollData2324,'2324 Jun 24 Enroll'!F$1,FALSE),'District Calculations'!$B$13)*Apport_224A2324,3)</f>
        <v>3.6190000000000002</v>
      </c>
      <c r="W185">
        <f>ROUND(IF(VLOOKUP($A185,EnrollData2324,'2324 Jun 24 Enroll'!G$1,FALSE)='District Calculations'!$B$14,VLOOKUP($A185,EnrollData2324,'2324 Jun 24 Enroll'!G$1,FALSE),'District Calculations'!$B$14)*Apport_212A2324,3)</f>
        <v>8.0239999999999991</v>
      </c>
      <c r="X185">
        <f>ROUND(IF(VLOOKUP($A185,EnrollData2324,'2324 Jun 24 Enroll'!H$1,FALSE)='District Calculations'!$B$14,VLOOKUP($A185,EnrollData2324,'2324 Jun 24 Enroll'!H$1,FALSE),'District Calculations'!$B$14)*Apport_215A2324,3)</f>
        <v>7.9279999999999999</v>
      </c>
      <c r="Y185">
        <f>ROUND(IF(VLOOKUP($A185,EnrollData2324,'2324 Jun 24 Enroll'!I$1,FALSE)+VLOOKUP($A185,EnrollData2324,'2324 Jun 24 Enroll'!M$1,FALSE)-VLOOKUP($A185,EnrollData2324,'2324 Jun 24 Enroll'!J$1,FALSE)='District Calculations'!$B$16+'District Calculations'!$B$25-'District Calculations'!$B$17,VLOOKUP($A185,EnrollData2324,'2324 Jun 24 Enroll'!I$1,FALSE)+VLOOKUP($A185,EnrollData2324,'2324 Jun 24 Enroll'!M$1,FALSE)-VLOOKUP($A185,EnrollData2324,'2324 Jun 24 Enroll'!J$1,FALSE),'District Calculations'!$B$16+'District Calculations'!$B$25-'District Calculations'!$B$17)*Apport_218A2324,3)</f>
        <v>19.917999999999999</v>
      </c>
      <c r="Z185">
        <f>ROUND(SUM(T185:Y185)/IF(VLOOKUP($A185,EnrollData2324,'2324 Jun 24 Enroll'!M$1,FALSE)+VLOOKUP($A185,EnrollData2324,'2324 Jun 24 Enroll'!D$1,FALSE)='District Calculations'!$B$25+'District Calculations'!$B$11,VLOOKUP($A185,EnrollData2324,'2324 Jun 24 Enroll'!M$1,FALSE)+VLOOKUP($A185,EnrollData2324,'2324 Jun 24 Enroll'!D$1,FALSE),'District Calculations'!$B$25+'District Calculations'!$B$11),5)</f>
        <v>1.7399999999999999E-2</v>
      </c>
      <c r="AA185" s="6">
        <f>ROUND($J185*CIS_Base_Salary2324*VLOOKUP($A185,EnrollData2324,'2324 Jun 24 Enroll'!S$1,FALSE),2)</f>
        <v>4038.59</v>
      </c>
      <c r="AB185" s="6">
        <f>ROUND($J185*CIS_Inc_Salary2324*(VLOOKUP($A185,EnrollData2324,'2324 Jun 24 Enroll'!T$1,FALSE)+VLOOKUP($A185,EnrollData2324,'2324 Jun 24 Enroll'!U$1,FALSE)),2)-AA185</f>
        <v>149.43000000000029</v>
      </c>
      <c r="AC185" s="6">
        <f>ROUND($R185*CAS_Base_Salary2324*VLOOKUP($A185,EnrollData2324,'2324 Jun 24 Enroll'!S$1,FALSE),2)</f>
        <v>442.62</v>
      </c>
      <c r="AD185" s="6">
        <f>ROUND($R185*CAS_Inc_Salary2324*VLOOKUP($A185,EnrollData2324,'2324 Jun 24 Enroll'!T$1,FALSE),2)-AC185</f>
        <v>16.379999999999995</v>
      </c>
      <c r="AE185" s="6">
        <f>ROUND($Z185*CLS_Base_Salary2324*VLOOKUP($A185,EnrollData2324,'2324 Jun 24 Enroll'!S$1,FALSE),2)</f>
        <v>907.81</v>
      </c>
      <c r="AF185" s="6">
        <f>ROUND($Z185*CLS_Inc_Salary2324*VLOOKUP($A185,EnrollData2324,'2324 Jun 24 Enroll'!T$1,FALSE),2)-AE185</f>
        <v>33.580000000000041</v>
      </c>
      <c r="AG185">
        <f t="shared" si="48"/>
        <v>734.16</v>
      </c>
      <c r="AH185" s="69">
        <f t="shared" si="53"/>
        <v>68.700000000000045</v>
      </c>
      <c r="AI185">
        <f t="shared" si="49"/>
        <v>214.23</v>
      </c>
      <c r="AJ185">
        <f t="shared" si="54"/>
        <v>114.21000000000001</v>
      </c>
      <c r="AK185">
        <f t="shared" si="55"/>
        <v>805.27</v>
      </c>
      <c r="AL185">
        <f t="shared" si="56"/>
        <v>28.73</v>
      </c>
      <c r="AM185">
        <f t="shared" si="57"/>
        <v>200.26</v>
      </c>
      <c r="AN185">
        <f t="shared" si="58"/>
        <v>6.23</v>
      </c>
      <c r="AO185">
        <f>ROUND(($J185*CIS_Inc_Salary2324*(VLOOKUP($A185,EnrollData2324,'2324 Jun 24 Enroll'!T$1,FALSE)+VLOOKUP($A185,EnrollData2324,'2324 Jun 24 Enroll'!U$1,FALSE))/Apport_613Xpd)*Apport_614Xpd,2)</f>
        <v>69.8</v>
      </c>
      <c r="AP185">
        <f t="shared" si="59"/>
        <v>12.1</v>
      </c>
      <c r="AQ185">
        <f t="shared" si="60"/>
        <v>30.93</v>
      </c>
      <c r="AR185" s="6">
        <f>ROUND((VLOOKUP($A185,EnrollData2324,'2324 Jun 24 Enroll'!D$1,FALSE)*Apport_M802324+VLOOKUP($A185,EnrollData2324,'2324 Jun 24 Enroll'!M$1,FALSE)*Apport_M802324+(VLOOKUP($A185,EnrollData2324,'2324 Jun 24 Enroll'!P$1,FALSE)+VLOOKUP($A185,EnrollData2324,'2324 Jun 24 Enroll'!Q$1,FALSE)+VLOOKUP($A185,EnrollData2324,'2324 Jun 24 Enroll'!R$1,FALSE)+VLOOKUP($A185,EnrollData2324,'2324 Jun 24 Enroll'!I$1,FALSE)+VLOOKUP($A185,EnrollData2324,'2324 Jun 24 Enroll'!N$1,FALSE)+VLOOKUP($A185,EnrollData2324,'2324 Jun 24 Enroll'!O$1,FALSE)+VLOOKUP($A185,EnrollData2324,'2324 Jun 24 Enroll'!K$1,FALSE)+VLOOKUP($A185,EnrollData2324,'2324 Jun 24 Enroll'!L$1,FALSE))*Apport_M812324)/(VLOOKUP($A185,EnrollData2324,'2324 Jun 24 Enroll'!M$1,FALSE)+VLOOKUP($A185,EnrollData2324,'2324 Jun 24 Enroll'!D$1,FALSE)),2)</f>
        <v>1483.44</v>
      </c>
      <c r="AS185" s="7">
        <f t="shared" si="61"/>
        <v>9356.4699999999993</v>
      </c>
    </row>
    <row r="186" spans="1:45">
      <c r="A186" s="40" t="s">
        <v>620</v>
      </c>
      <c r="B186" s="40" t="s">
        <v>1032</v>
      </c>
      <c r="C186" s="11">
        <f>ROUND((IFERROR((1/IF(VLOOKUP($A186,EnrollData2324,28,FALSE)='District Calculations'!$B$10,VLOOKUP($A186,EnrollData2324,28,FALSE),'District Calculations'!$B$10))*(1+Apport_Z315),0))+Apport_201A2324,6)</f>
        <v>7.3449E-2</v>
      </c>
      <c r="D186">
        <f>ROUND(IF(VLOOKUP($A186,EnrollData2324,'2324 Jun 24 Enroll'!D$1,FALSE)='District Calculations'!$B$11,VLOOKUP($A186,EnrollData2324,'2324 Jun 24 Enroll'!D$1,FALSE),'District Calculations'!$B$11)*C186,3)</f>
        <v>0</v>
      </c>
      <c r="E186">
        <f>ROUND(IF(VLOOKUP($A186,EnrollData2324,'2324 Jun 24 Enroll'!E$1,FALSE)='District Calculations'!$B$12,VLOOKUP($A186,EnrollData2324,'2324 Jun 24 Enroll'!E$1,FALSE),'District Calculations'!$B$12)*C186,3)</f>
        <v>59.53</v>
      </c>
      <c r="F186">
        <f>ROUND(IF(VLOOKUP($A186,EnrollData2324,'2324 Jun 24 Enroll'!F$1,FALSE)='District Calculations'!$B$13,VLOOKUP($A186,EnrollData2324,'2324 Jun 24 Enroll'!F$1,FALSE),'District Calculations'!$B$13)*Apport_222A2324,3)</f>
        <v>10.101000000000001</v>
      </c>
      <c r="G186">
        <f>ROUND(IF(VLOOKUP($A186,EnrollData2324,'2324 Jun 24 Enroll'!G$1,FALSE)='District Calculations'!$B$14,VLOOKUP($A186,EnrollData2324,'2324 Jun 24 Enroll'!G$1,FALSE),'District Calculations'!$B$14)*Apport_210A2324,3)</f>
        <v>22.395</v>
      </c>
      <c r="H186">
        <f>ROUND(IF(VLOOKUP($A186,EnrollData2324,'2324 Jun 24 Enroll'!H$1,FALSE)='District Calculations'!$B$15,VLOOKUP($A186,EnrollData2324,'2324 Jun 24 Enroll'!H$1,FALSE),'District Calculations'!$B$15)*Apport_213A2324,3)</f>
        <v>23.091999999999999</v>
      </c>
      <c r="I186">
        <f>ROUND(IF(VLOOKUP($A186,EnrollData2324,'2324 Jun 24 Enroll'!I$1,FALSE)+VLOOKUP($A186,EnrollData2324,'2324 Jun 24 Enroll'!M$1,FALSE)-VLOOKUP($A186,EnrollData2324,'2324 Jun 24 Enroll'!J$1,FALSE)='District Calculations'!$B$16+'District Calculations'!$B$25-'District Calculations'!$B$17,VLOOKUP($A186,EnrollData2324,'2324 Jun 24 Enroll'!I$1,FALSE)+VLOOKUP($A186,EnrollData2324,'2324 Jun 24 Enroll'!M$1,FALSE)-VLOOKUP($A186,EnrollData2324,'2324 Jun 24 Enroll'!J$1,FALSE),'District Calculations'!$B$16+'District Calculations'!$B$25-'District Calculations'!$B$17)*Apport_216A2324,3)</f>
        <v>58.183999999999997</v>
      </c>
      <c r="J186">
        <f>ROUND(SUM(D186:I186)/(IF(VLOOKUP($A186,EnrollData2324,'2324 Jun 24 Enroll'!M$1,FALSE)='District Calculations'!$B$25,VLOOKUP($A186,EnrollData2324,'2324 Jun 24 Enroll'!M$1,FALSE),'District Calculations'!$B$25)+IF(VLOOKUP($A186,EnrollData2324,'2324 Jun 24 Enroll'!D$1,FALSE)='District Calculations'!$B$11,VLOOKUP($A186,EnrollData2324,'2324 Jun 24 Enroll'!D$1,FALSE),'District Calculations'!$B$11)),5)</f>
        <v>5.5530000000000003E-2</v>
      </c>
      <c r="K186" s="11">
        <f t="shared" si="51"/>
        <v>4.365E-3</v>
      </c>
      <c r="L186">
        <f>ROUND(IF(VLOOKUP($A186,EnrollData2324,'2324 Jun 24 Enroll'!D$1,FALSE)='District Calculations'!$B$11,VLOOKUP($A186,EnrollData2324,'2324 Jun 24 Enroll'!D$1,FALSE),'District Calculations'!$B$11)*K186,3)</f>
        <v>0</v>
      </c>
      <c r="M186">
        <f>ROUND(IF(VLOOKUP($A186,EnrollData2324,'2324 Jun 24 Enroll'!E$1,FALSE)='District Calculations'!$B$12,VLOOKUP($A186,EnrollData2324,'2324 Jun 24 Enroll'!E$1,FALSE),'District Calculations'!$B$12)*K186,3)</f>
        <v>3.5379999999999998</v>
      </c>
      <c r="N186">
        <f>ROUND(IF(VLOOKUP($A186,EnrollData2324,'2324 Jun 24 Enroll'!F$1,FALSE)='District Calculations'!$B$13,VLOOKUP($A186,EnrollData2324,'2324 Jun 24 Enroll'!F$1,FALSE),'District Calculations'!$B$13)*Apport_223A2324,3)</f>
        <v>0.84199999999999997</v>
      </c>
      <c r="O186">
        <f>ROUND(IF(VLOOKUP($A186,EnrollData2324,'2324 Jun 24 Enroll'!G$1,FALSE)='District Calculations'!$B$14,VLOOKUP($A186,EnrollData2324,'2324 Jun 24 Enroll'!G$1,FALSE),'District Calculations'!$B$14)*Apport_211A2324,3)</f>
        <v>1.867</v>
      </c>
      <c r="P186">
        <f>ROUND(IF(VLOOKUP($A186,EnrollData2324,'2324 Jun 24 Enroll'!H$1,FALSE)='District Calculations'!$B$14,VLOOKUP($A186,EnrollData2324,'2324 Jun 24 Enroll'!H$1,FALSE),'District Calculations'!$B$14)*Apport_214A2324,3)</f>
        <v>1.8660000000000001</v>
      </c>
      <c r="Q186">
        <f>ROUND(IF(VLOOKUP($A186,EnrollData2324,'2324 Jun 24 Enroll'!I$1,FALSE)+VLOOKUP($A186,EnrollData2324,'2324 Jun 24 Enroll'!M$1,FALSE)-VLOOKUP($A186,EnrollData2324,'2324 Jun 24 Enroll'!J$1,FALSE)='District Calculations'!$B$16+'District Calculations'!$B$25-'District Calculations'!$B$17,VLOOKUP($A186,EnrollData2324,'2324 Jun 24 Enroll'!I$1,FALSE)+VLOOKUP($A186,EnrollData2324,'2324 Jun 24 Enroll'!M$1,FALSE)-VLOOKUP($A186,EnrollData2324,'2324 Jun 24 Enroll'!J$1,FALSE),'District Calculations'!$B$16+'District Calculations'!$B$25-'District Calculations'!$B$17)*Apport_217A2324,3)</f>
        <v>4.6980000000000004</v>
      </c>
      <c r="R186">
        <f>ROUND(SUM(L186:Q186)/IF(VLOOKUP($A186,EnrollData2324,'2324 Jun 24 Enroll'!M$1,FALSE)+VLOOKUP($A186,EnrollData2324,'2324 Jun 24 Enroll'!D$1,FALSE)='District Calculations'!$B$25+'District Calculations'!$B$11,VLOOKUP($A186,EnrollData2324,'2324 Jun 24 Enroll'!M$1,FALSE)+VLOOKUP($A186,EnrollData2324,'2324 Jun 24 Enroll'!D$1,FALSE),'District Calculations'!$B$25+'District Calculations'!$B$11),5)</f>
        <v>4.1000000000000003E-3</v>
      </c>
      <c r="S186" s="11">
        <f t="shared" si="52"/>
        <v>1.8294500000000002E-2</v>
      </c>
      <c r="T186">
        <f>ROUND(IF(VLOOKUP($A186,EnrollData2324,'2324 Jun 24 Enroll'!D$1,FALSE)='District Calculations'!$B$11,VLOOKUP($A186,EnrollData2324,'2324 Jun 24 Enroll'!D$1,FALSE),'District Calculations'!$B$11)*S186,3)</f>
        <v>0</v>
      </c>
      <c r="U186">
        <f>ROUND(IF(VLOOKUP($A186,EnrollData2324,'2324 Jun 24 Enroll'!E$1,FALSE)='District Calculations'!$B$12,VLOOKUP($A186,EnrollData2324,'2324 Jun 24 Enroll'!E$1,FALSE),'District Calculations'!$B$12)*S186,3)</f>
        <v>14.827999999999999</v>
      </c>
      <c r="V186">
        <f>ROUND(IF(VLOOKUP($A186,EnrollData2324,'2324 Jun 24 Enroll'!F$1,FALSE)='District Calculations'!$B$13,VLOOKUP($A186,EnrollData2324,'2324 Jun 24 Enroll'!F$1,FALSE),'District Calculations'!$B$13)*Apport_224A2324,3)</f>
        <v>3.6190000000000002</v>
      </c>
      <c r="W186">
        <f>ROUND(IF(VLOOKUP($A186,EnrollData2324,'2324 Jun 24 Enroll'!G$1,FALSE)='District Calculations'!$B$14,VLOOKUP($A186,EnrollData2324,'2324 Jun 24 Enroll'!G$1,FALSE),'District Calculations'!$B$14)*Apport_212A2324,3)</f>
        <v>8.0239999999999991</v>
      </c>
      <c r="X186">
        <f>ROUND(IF(VLOOKUP($A186,EnrollData2324,'2324 Jun 24 Enroll'!H$1,FALSE)='District Calculations'!$B$14,VLOOKUP($A186,EnrollData2324,'2324 Jun 24 Enroll'!H$1,FALSE),'District Calculations'!$B$14)*Apport_215A2324,3)</f>
        <v>7.9279999999999999</v>
      </c>
      <c r="Y186">
        <f>ROUND(IF(VLOOKUP($A186,EnrollData2324,'2324 Jun 24 Enroll'!I$1,FALSE)+VLOOKUP($A186,EnrollData2324,'2324 Jun 24 Enroll'!M$1,FALSE)-VLOOKUP($A186,EnrollData2324,'2324 Jun 24 Enroll'!J$1,FALSE)='District Calculations'!$B$16+'District Calculations'!$B$25-'District Calculations'!$B$17,VLOOKUP($A186,EnrollData2324,'2324 Jun 24 Enroll'!I$1,FALSE)+VLOOKUP($A186,EnrollData2324,'2324 Jun 24 Enroll'!M$1,FALSE)-VLOOKUP($A186,EnrollData2324,'2324 Jun 24 Enroll'!J$1,FALSE),'District Calculations'!$B$16+'District Calculations'!$B$25-'District Calculations'!$B$17)*Apport_218A2324,3)</f>
        <v>19.917999999999999</v>
      </c>
      <c r="Z186">
        <f>ROUND(SUM(T186:Y186)/IF(VLOOKUP($A186,EnrollData2324,'2324 Jun 24 Enroll'!M$1,FALSE)+VLOOKUP($A186,EnrollData2324,'2324 Jun 24 Enroll'!D$1,FALSE)='District Calculations'!$B$25+'District Calculations'!$B$11,VLOOKUP($A186,EnrollData2324,'2324 Jun 24 Enroll'!M$1,FALSE)+VLOOKUP($A186,EnrollData2324,'2324 Jun 24 Enroll'!D$1,FALSE),'District Calculations'!$B$25+'District Calculations'!$B$11),5)</f>
        <v>1.7399999999999999E-2</v>
      </c>
      <c r="AA186" s="6">
        <f>ROUND($J186*CIS_Base_Salary2324*VLOOKUP($A186,EnrollData2324,'2324 Jun 24 Enroll'!S$1,FALSE),2)</f>
        <v>4038.59</v>
      </c>
      <c r="AB186" s="6">
        <f>ROUND($J186*CIS_Inc_Salary2324*(VLOOKUP($A186,EnrollData2324,'2324 Jun 24 Enroll'!T$1,FALSE)+VLOOKUP($A186,EnrollData2324,'2324 Jun 24 Enroll'!U$1,FALSE)),2)-AA186</f>
        <v>149.43000000000029</v>
      </c>
      <c r="AC186" s="6">
        <f>ROUND($R186*CAS_Base_Salary2324*VLOOKUP($A186,EnrollData2324,'2324 Jun 24 Enroll'!S$1,FALSE),2)</f>
        <v>442.62</v>
      </c>
      <c r="AD186" s="6">
        <f>ROUND($R186*CAS_Inc_Salary2324*VLOOKUP($A186,EnrollData2324,'2324 Jun 24 Enroll'!T$1,FALSE),2)-AC186</f>
        <v>16.379999999999995</v>
      </c>
      <c r="AE186" s="6">
        <f>ROUND($Z186*CLS_Base_Salary2324*VLOOKUP($A186,EnrollData2324,'2324 Jun 24 Enroll'!S$1,FALSE),2)</f>
        <v>907.81</v>
      </c>
      <c r="AF186" s="6">
        <f>ROUND($Z186*CLS_Inc_Salary2324*VLOOKUP($A186,EnrollData2324,'2324 Jun 24 Enroll'!T$1,FALSE),2)-AE186</f>
        <v>33.580000000000041</v>
      </c>
      <c r="AG186">
        <f t="shared" si="48"/>
        <v>734.16</v>
      </c>
      <c r="AH186" s="69">
        <f t="shared" si="53"/>
        <v>68.700000000000045</v>
      </c>
      <c r="AI186">
        <f t="shared" si="49"/>
        <v>214.23</v>
      </c>
      <c r="AJ186">
        <f t="shared" si="54"/>
        <v>114.21000000000001</v>
      </c>
      <c r="AK186">
        <f t="shared" si="55"/>
        <v>805.27</v>
      </c>
      <c r="AL186">
        <f t="shared" si="56"/>
        <v>28.73</v>
      </c>
      <c r="AM186">
        <f t="shared" si="57"/>
        <v>200.26</v>
      </c>
      <c r="AN186">
        <f t="shared" si="58"/>
        <v>6.23</v>
      </c>
      <c r="AO186">
        <f>ROUND(($J186*CIS_Inc_Salary2324*(VLOOKUP($A186,EnrollData2324,'2324 Jun 24 Enroll'!T$1,FALSE)+VLOOKUP($A186,EnrollData2324,'2324 Jun 24 Enroll'!U$1,FALSE))/Apport_613Xpd)*Apport_614Xpd,2)</f>
        <v>69.8</v>
      </c>
      <c r="AP186">
        <f t="shared" si="59"/>
        <v>12.1</v>
      </c>
      <c r="AQ186">
        <f t="shared" si="60"/>
        <v>30.93</v>
      </c>
      <c r="AR186" s="6">
        <f>ROUND((VLOOKUP($A186,EnrollData2324,'2324 Jun 24 Enroll'!D$1,FALSE)*Apport_M802324+VLOOKUP($A186,EnrollData2324,'2324 Jun 24 Enroll'!M$1,FALSE)*Apport_M802324+(VLOOKUP($A186,EnrollData2324,'2324 Jun 24 Enroll'!P$1,FALSE)+VLOOKUP($A186,EnrollData2324,'2324 Jun 24 Enroll'!Q$1,FALSE)+VLOOKUP($A186,EnrollData2324,'2324 Jun 24 Enroll'!R$1,FALSE)+VLOOKUP($A186,EnrollData2324,'2324 Jun 24 Enroll'!I$1,FALSE)+VLOOKUP($A186,EnrollData2324,'2324 Jun 24 Enroll'!N$1,FALSE)+VLOOKUP($A186,EnrollData2324,'2324 Jun 24 Enroll'!O$1,FALSE)+VLOOKUP($A186,EnrollData2324,'2324 Jun 24 Enroll'!K$1,FALSE)+VLOOKUP($A186,EnrollData2324,'2324 Jun 24 Enroll'!L$1,FALSE))*Apport_M812324)/(VLOOKUP($A186,EnrollData2324,'2324 Jun 24 Enroll'!M$1,FALSE)+VLOOKUP($A186,EnrollData2324,'2324 Jun 24 Enroll'!D$1,FALSE)),2)</f>
        <v>1495.72</v>
      </c>
      <c r="AS186" s="7">
        <f t="shared" si="61"/>
        <v>9368.75</v>
      </c>
    </row>
    <row r="187" spans="1:45">
      <c r="A187" s="40" t="s">
        <v>657</v>
      </c>
      <c r="B187" s="40" t="s">
        <v>658</v>
      </c>
      <c r="C187" s="11">
        <f>ROUND((IFERROR((1/IF(VLOOKUP($A187,EnrollData2324,28,FALSE)='District Calculations'!$B$10,VLOOKUP($A187,EnrollData2324,28,FALSE),'District Calculations'!$B$10))*(1+Apport_Z315),0))+Apport_201A2324,6)</f>
        <v>7.3449E-2</v>
      </c>
      <c r="D187">
        <f>ROUND(IF(VLOOKUP($A187,EnrollData2324,'2324 Jun 24 Enroll'!D$1,FALSE)='District Calculations'!$B$11,VLOOKUP($A187,EnrollData2324,'2324 Jun 24 Enroll'!D$1,FALSE),'District Calculations'!$B$11)*C187,3)</f>
        <v>0</v>
      </c>
      <c r="E187">
        <f>ROUND(IF(VLOOKUP($A187,EnrollData2324,'2324 Jun 24 Enroll'!E$1,FALSE)='District Calculations'!$B$12,VLOOKUP($A187,EnrollData2324,'2324 Jun 24 Enroll'!E$1,FALSE),'District Calculations'!$B$12)*C187,3)</f>
        <v>59.53</v>
      </c>
      <c r="F187">
        <f>ROUND(IF(VLOOKUP($A187,EnrollData2324,'2324 Jun 24 Enroll'!F$1,FALSE)='District Calculations'!$B$13,VLOOKUP($A187,EnrollData2324,'2324 Jun 24 Enroll'!F$1,FALSE),'District Calculations'!$B$13)*Apport_222A2324,3)</f>
        <v>10.101000000000001</v>
      </c>
      <c r="G187">
        <f>ROUND(IF(VLOOKUP($A187,EnrollData2324,'2324 Jun 24 Enroll'!G$1,FALSE)='District Calculations'!$B$14,VLOOKUP($A187,EnrollData2324,'2324 Jun 24 Enroll'!G$1,FALSE),'District Calculations'!$B$14)*Apport_210A2324,3)</f>
        <v>22.395</v>
      </c>
      <c r="H187">
        <f>ROUND(IF(VLOOKUP($A187,EnrollData2324,'2324 Jun 24 Enroll'!H$1,FALSE)='District Calculations'!$B$15,VLOOKUP($A187,EnrollData2324,'2324 Jun 24 Enroll'!H$1,FALSE),'District Calculations'!$B$15)*Apport_213A2324,3)</f>
        <v>23.091999999999999</v>
      </c>
      <c r="I187">
        <f>ROUND(IF(VLOOKUP($A187,EnrollData2324,'2324 Jun 24 Enroll'!I$1,FALSE)+VLOOKUP($A187,EnrollData2324,'2324 Jun 24 Enroll'!M$1,FALSE)-VLOOKUP($A187,EnrollData2324,'2324 Jun 24 Enroll'!J$1,FALSE)='District Calculations'!$B$16+'District Calculations'!$B$25-'District Calculations'!$B$17,VLOOKUP($A187,EnrollData2324,'2324 Jun 24 Enroll'!I$1,FALSE)+VLOOKUP($A187,EnrollData2324,'2324 Jun 24 Enroll'!M$1,FALSE)-VLOOKUP($A187,EnrollData2324,'2324 Jun 24 Enroll'!J$1,FALSE),'District Calculations'!$B$16+'District Calculations'!$B$25-'District Calculations'!$B$17)*Apport_216A2324,3)</f>
        <v>58.183999999999997</v>
      </c>
      <c r="J187">
        <f>ROUND(SUM(D187:I187)/(IF(VLOOKUP($A187,EnrollData2324,'2324 Jun 24 Enroll'!M$1,FALSE)='District Calculations'!$B$25,VLOOKUP($A187,EnrollData2324,'2324 Jun 24 Enroll'!M$1,FALSE),'District Calculations'!$B$25)+IF(VLOOKUP($A187,EnrollData2324,'2324 Jun 24 Enroll'!D$1,FALSE)='District Calculations'!$B$11,VLOOKUP($A187,EnrollData2324,'2324 Jun 24 Enroll'!D$1,FALSE),'District Calculations'!$B$11)),5)</f>
        <v>5.5530000000000003E-2</v>
      </c>
      <c r="K187" s="11">
        <f t="shared" si="51"/>
        <v>4.365E-3</v>
      </c>
      <c r="L187">
        <f>ROUND(IF(VLOOKUP($A187,EnrollData2324,'2324 Jun 24 Enroll'!D$1,FALSE)='District Calculations'!$B$11,VLOOKUP($A187,EnrollData2324,'2324 Jun 24 Enroll'!D$1,FALSE),'District Calculations'!$B$11)*K187,3)</f>
        <v>0</v>
      </c>
      <c r="M187">
        <f>ROUND(IF(VLOOKUP($A187,EnrollData2324,'2324 Jun 24 Enroll'!E$1,FALSE)='District Calculations'!$B$12,VLOOKUP($A187,EnrollData2324,'2324 Jun 24 Enroll'!E$1,FALSE),'District Calculations'!$B$12)*K187,3)</f>
        <v>3.5379999999999998</v>
      </c>
      <c r="N187">
        <f>ROUND(IF(VLOOKUP($A187,EnrollData2324,'2324 Jun 24 Enroll'!F$1,FALSE)='District Calculations'!$B$13,VLOOKUP($A187,EnrollData2324,'2324 Jun 24 Enroll'!F$1,FALSE),'District Calculations'!$B$13)*Apport_223A2324,3)</f>
        <v>0.84199999999999997</v>
      </c>
      <c r="O187">
        <f>ROUND(IF(VLOOKUP($A187,EnrollData2324,'2324 Jun 24 Enroll'!G$1,FALSE)='District Calculations'!$B$14,VLOOKUP($A187,EnrollData2324,'2324 Jun 24 Enroll'!G$1,FALSE),'District Calculations'!$B$14)*Apport_211A2324,3)</f>
        <v>1.867</v>
      </c>
      <c r="P187">
        <f>ROUND(IF(VLOOKUP($A187,EnrollData2324,'2324 Jun 24 Enroll'!H$1,FALSE)='District Calculations'!$B$14,VLOOKUP($A187,EnrollData2324,'2324 Jun 24 Enroll'!H$1,FALSE),'District Calculations'!$B$14)*Apport_214A2324,3)</f>
        <v>1.8660000000000001</v>
      </c>
      <c r="Q187">
        <f>ROUND(IF(VLOOKUP($A187,EnrollData2324,'2324 Jun 24 Enroll'!I$1,FALSE)+VLOOKUP($A187,EnrollData2324,'2324 Jun 24 Enroll'!M$1,FALSE)-VLOOKUP($A187,EnrollData2324,'2324 Jun 24 Enroll'!J$1,FALSE)='District Calculations'!$B$16+'District Calculations'!$B$25-'District Calculations'!$B$17,VLOOKUP($A187,EnrollData2324,'2324 Jun 24 Enroll'!I$1,FALSE)+VLOOKUP($A187,EnrollData2324,'2324 Jun 24 Enroll'!M$1,FALSE)-VLOOKUP($A187,EnrollData2324,'2324 Jun 24 Enroll'!J$1,FALSE),'District Calculations'!$B$16+'District Calculations'!$B$25-'District Calculations'!$B$17)*Apport_217A2324,3)</f>
        <v>4.6980000000000004</v>
      </c>
      <c r="R187">
        <f>ROUND(SUM(L187:Q187)/IF(VLOOKUP($A187,EnrollData2324,'2324 Jun 24 Enroll'!M$1,FALSE)+VLOOKUP($A187,EnrollData2324,'2324 Jun 24 Enroll'!D$1,FALSE)='District Calculations'!$B$25+'District Calculations'!$B$11,VLOOKUP($A187,EnrollData2324,'2324 Jun 24 Enroll'!M$1,FALSE)+VLOOKUP($A187,EnrollData2324,'2324 Jun 24 Enroll'!D$1,FALSE),'District Calculations'!$B$25+'District Calculations'!$B$11),5)</f>
        <v>4.1000000000000003E-3</v>
      </c>
      <c r="S187" s="11">
        <f t="shared" si="52"/>
        <v>1.8294500000000002E-2</v>
      </c>
      <c r="T187">
        <f>ROUND(IF(VLOOKUP($A187,EnrollData2324,'2324 Jun 24 Enroll'!D$1,FALSE)='District Calculations'!$B$11,VLOOKUP($A187,EnrollData2324,'2324 Jun 24 Enroll'!D$1,FALSE),'District Calculations'!$B$11)*S187,3)</f>
        <v>0</v>
      </c>
      <c r="U187">
        <f>ROUND(IF(VLOOKUP($A187,EnrollData2324,'2324 Jun 24 Enroll'!E$1,FALSE)='District Calculations'!$B$12,VLOOKUP($A187,EnrollData2324,'2324 Jun 24 Enroll'!E$1,FALSE),'District Calculations'!$B$12)*S187,3)</f>
        <v>14.827999999999999</v>
      </c>
      <c r="V187">
        <f>ROUND(IF(VLOOKUP($A187,EnrollData2324,'2324 Jun 24 Enroll'!F$1,FALSE)='District Calculations'!$B$13,VLOOKUP($A187,EnrollData2324,'2324 Jun 24 Enroll'!F$1,FALSE),'District Calculations'!$B$13)*Apport_224A2324,3)</f>
        <v>3.6190000000000002</v>
      </c>
      <c r="W187">
        <f>ROUND(IF(VLOOKUP($A187,EnrollData2324,'2324 Jun 24 Enroll'!G$1,FALSE)='District Calculations'!$B$14,VLOOKUP($A187,EnrollData2324,'2324 Jun 24 Enroll'!G$1,FALSE),'District Calculations'!$B$14)*Apport_212A2324,3)</f>
        <v>8.0239999999999991</v>
      </c>
      <c r="X187">
        <f>ROUND(IF(VLOOKUP($A187,EnrollData2324,'2324 Jun 24 Enroll'!H$1,FALSE)='District Calculations'!$B$14,VLOOKUP($A187,EnrollData2324,'2324 Jun 24 Enroll'!H$1,FALSE),'District Calculations'!$B$14)*Apport_215A2324,3)</f>
        <v>7.9279999999999999</v>
      </c>
      <c r="Y187">
        <f>ROUND(IF(VLOOKUP($A187,EnrollData2324,'2324 Jun 24 Enroll'!I$1,FALSE)+VLOOKUP($A187,EnrollData2324,'2324 Jun 24 Enroll'!M$1,FALSE)-VLOOKUP($A187,EnrollData2324,'2324 Jun 24 Enroll'!J$1,FALSE)='District Calculations'!$B$16+'District Calculations'!$B$25-'District Calculations'!$B$17,VLOOKUP($A187,EnrollData2324,'2324 Jun 24 Enroll'!I$1,FALSE)+VLOOKUP($A187,EnrollData2324,'2324 Jun 24 Enroll'!M$1,FALSE)-VLOOKUP($A187,EnrollData2324,'2324 Jun 24 Enroll'!J$1,FALSE),'District Calculations'!$B$16+'District Calculations'!$B$25-'District Calculations'!$B$17)*Apport_218A2324,3)</f>
        <v>19.917999999999999</v>
      </c>
      <c r="Z187">
        <f>ROUND(SUM(T187:Y187)/IF(VLOOKUP($A187,EnrollData2324,'2324 Jun 24 Enroll'!M$1,FALSE)+VLOOKUP($A187,EnrollData2324,'2324 Jun 24 Enroll'!D$1,FALSE)='District Calculations'!$B$25+'District Calculations'!$B$11,VLOOKUP($A187,EnrollData2324,'2324 Jun 24 Enroll'!M$1,FALSE)+VLOOKUP($A187,EnrollData2324,'2324 Jun 24 Enroll'!D$1,FALSE),'District Calculations'!$B$25+'District Calculations'!$B$11),5)</f>
        <v>1.7399999999999999E-2</v>
      </c>
      <c r="AA187" s="6">
        <f>ROUND($J187*CIS_Base_Salary2324*VLOOKUP($A187,EnrollData2324,'2324 Jun 24 Enroll'!S$1,FALSE),2)</f>
        <v>4038.59</v>
      </c>
      <c r="AB187" s="6">
        <f>ROUND($J187*CIS_Inc_Salary2324*(VLOOKUP($A187,EnrollData2324,'2324 Jun 24 Enroll'!T$1,FALSE)+VLOOKUP($A187,EnrollData2324,'2324 Jun 24 Enroll'!U$1,FALSE)),2)-AA187</f>
        <v>149.43000000000029</v>
      </c>
      <c r="AC187" s="6">
        <f>ROUND($R187*CAS_Base_Salary2324*VLOOKUP($A187,EnrollData2324,'2324 Jun 24 Enroll'!S$1,FALSE),2)</f>
        <v>442.62</v>
      </c>
      <c r="AD187" s="6">
        <f>ROUND($R187*CAS_Inc_Salary2324*VLOOKUP($A187,EnrollData2324,'2324 Jun 24 Enroll'!T$1,FALSE),2)-AC187</f>
        <v>16.379999999999995</v>
      </c>
      <c r="AE187" s="6">
        <f>ROUND($Z187*CLS_Base_Salary2324*VLOOKUP($A187,EnrollData2324,'2324 Jun 24 Enroll'!S$1,FALSE),2)</f>
        <v>907.81</v>
      </c>
      <c r="AF187" s="6">
        <f>ROUND($Z187*CLS_Inc_Salary2324*VLOOKUP($A187,EnrollData2324,'2324 Jun 24 Enroll'!T$1,FALSE),2)-AE187</f>
        <v>33.580000000000041</v>
      </c>
      <c r="AG187">
        <f t="shared" si="48"/>
        <v>734.16</v>
      </c>
      <c r="AH187" s="69">
        <f t="shared" si="53"/>
        <v>68.700000000000045</v>
      </c>
      <c r="AI187">
        <f t="shared" si="49"/>
        <v>214.23</v>
      </c>
      <c r="AJ187">
        <f t="shared" si="54"/>
        <v>114.21000000000001</v>
      </c>
      <c r="AK187">
        <f t="shared" si="55"/>
        <v>805.27</v>
      </c>
      <c r="AL187">
        <f t="shared" si="56"/>
        <v>28.73</v>
      </c>
      <c r="AM187">
        <f t="shared" si="57"/>
        <v>200.26</v>
      </c>
      <c r="AN187">
        <f t="shared" si="58"/>
        <v>6.23</v>
      </c>
      <c r="AO187">
        <f>ROUND(($J187*CIS_Inc_Salary2324*(VLOOKUP($A187,EnrollData2324,'2324 Jun 24 Enroll'!T$1,FALSE)+VLOOKUP($A187,EnrollData2324,'2324 Jun 24 Enroll'!U$1,FALSE))/Apport_613Xpd)*Apport_614Xpd,2)</f>
        <v>69.8</v>
      </c>
      <c r="AP187">
        <f t="shared" si="59"/>
        <v>12.1</v>
      </c>
      <c r="AQ187">
        <f t="shared" si="60"/>
        <v>30.93</v>
      </c>
      <c r="AR187" s="6">
        <f>ROUND((VLOOKUP($A187,EnrollData2324,'2324 Jun 24 Enroll'!D$1,FALSE)*Apport_M802324+VLOOKUP($A187,EnrollData2324,'2324 Jun 24 Enroll'!M$1,FALSE)*Apport_M802324+(VLOOKUP($A187,EnrollData2324,'2324 Jun 24 Enroll'!P$1,FALSE)+VLOOKUP($A187,EnrollData2324,'2324 Jun 24 Enroll'!Q$1,FALSE)+VLOOKUP($A187,EnrollData2324,'2324 Jun 24 Enroll'!R$1,FALSE)+VLOOKUP($A187,EnrollData2324,'2324 Jun 24 Enroll'!I$1,FALSE)+VLOOKUP($A187,EnrollData2324,'2324 Jun 24 Enroll'!N$1,FALSE)+VLOOKUP($A187,EnrollData2324,'2324 Jun 24 Enroll'!O$1,FALSE)+VLOOKUP($A187,EnrollData2324,'2324 Jun 24 Enroll'!K$1,FALSE)+VLOOKUP($A187,EnrollData2324,'2324 Jun 24 Enroll'!L$1,FALSE))*Apport_M812324)/(VLOOKUP($A187,EnrollData2324,'2324 Jun 24 Enroll'!M$1,FALSE)+VLOOKUP($A187,EnrollData2324,'2324 Jun 24 Enroll'!D$1,FALSE)),2)</f>
        <v>1648.99</v>
      </c>
      <c r="AS187" s="7">
        <f t="shared" si="61"/>
        <v>9522.02</v>
      </c>
    </row>
    <row r="188" spans="1:45">
      <c r="A188" s="40" t="s">
        <v>655</v>
      </c>
      <c r="B188" s="40" t="s">
        <v>656</v>
      </c>
      <c r="C188" s="11">
        <f>ROUND((IFERROR((1/IF(VLOOKUP($A188,EnrollData2324,28,FALSE)='District Calculations'!$B$10,VLOOKUP($A188,EnrollData2324,28,FALSE),'District Calculations'!$B$10))*(1+Apport_Z315),0))+Apport_201A2324,6)</f>
        <v>7.3449E-2</v>
      </c>
      <c r="D188">
        <f>ROUND(IF(VLOOKUP($A188,EnrollData2324,'2324 Jun 24 Enroll'!D$1,FALSE)='District Calculations'!$B$11,VLOOKUP($A188,EnrollData2324,'2324 Jun 24 Enroll'!D$1,FALSE),'District Calculations'!$B$11)*C188,3)</f>
        <v>0</v>
      </c>
      <c r="E188">
        <f>ROUND(IF(VLOOKUP($A188,EnrollData2324,'2324 Jun 24 Enroll'!E$1,FALSE)='District Calculations'!$B$12,VLOOKUP($A188,EnrollData2324,'2324 Jun 24 Enroll'!E$1,FALSE),'District Calculations'!$B$12)*C188,3)</f>
        <v>59.53</v>
      </c>
      <c r="F188">
        <f>ROUND(IF(VLOOKUP($A188,EnrollData2324,'2324 Jun 24 Enroll'!F$1,FALSE)='District Calculations'!$B$13,VLOOKUP($A188,EnrollData2324,'2324 Jun 24 Enroll'!F$1,FALSE),'District Calculations'!$B$13)*Apport_222A2324,3)</f>
        <v>10.101000000000001</v>
      </c>
      <c r="G188">
        <f>ROUND(IF(VLOOKUP($A188,EnrollData2324,'2324 Jun 24 Enroll'!G$1,FALSE)='District Calculations'!$B$14,VLOOKUP($A188,EnrollData2324,'2324 Jun 24 Enroll'!G$1,FALSE),'District Calculations'!$B$14)*Apport_210A2324,3)</f>
        <v>22.395</v>
      </c>
      <c r="H188">
        <f>ROUND(IF(VLOOKUP($A188,EnrollData2324,'2324 Jun 24 Enroll'!H$1,FALSE)='District Calculations'!$B$15,VLOOKUP($A188,EnrollData2324,'2324 Jun 24 Enroll'!H$1,FALSE),'District Calculations'!$B$15)*Apport_213A2324,3)</f>
        <v>23.091999999999999</v>
      </c>
      <c r="I188">
        <f>ROUND(IF(VLOOKUP($A188,EnrollData2324,'2324 Jun 24 Enroll'!I$1,FALSE)+VLOOKUP($A188,EnrollData2324,'2324 Jun 24 Enroll'!M$1,FALSE)-VLOOKUP($A188,EnrollData2324,'2324 Jun 24 Enroll'!J$1,FALSE)='District Calculations'!$B$16+'District Calculations'!$B$25-'District Calculations'!$B$17,VLOOKUP($A188,EnrollData2324,'2324 Jun 24 Enroll'!I$1,FALSE)+VLOOKUP($A188,EnrollData2324,'2324 Jun 24 Enroll'!M$1,FALSE)-VLOOKUP($A188,EnrollData2324,'2324 Jun 24 Enroll'!J$1,FALSE),'District Calculations'!$B$16+'District Calculations'!$B$25-'District Calculations'!$B$17)*Apport_216A2324,3)</f>
        <v>58.183999999999997</v>
      </c>
      <c r="J188">
        <f>ROUND(SUM(D188:I188)/(IF(VLOOKUP($A188,EnrollData2324,'2324 Jun 24 Enroll'!M$1,FALSE)='District Calculations'!$B$25,VLOOKUP($A188,EnrollData2324,'2324 Jun 24 Enroll'!M$1,FALSE),'District Calculations'!$B$25)+IF(VLOOKUP($A188,EnrollData2324,'2324 Jun 24 Enroll'!D$1,FALSE)='District Calculations'!$B$11,VLOOKUP($A188,EnrollData2324,'2324 Jun 24 Enroll'!D$1,FALSE),'District Calculations'!$B$11)),5)</f>
        <v>5.5530000000000003E-2</v>
      </c>
      <c r="K188" s="11">
        <f t="shared" si="51"/>
        <v>4.365E-3</v>
      </c>
      <c r="L188">
        <f>ROUND(IF(VLOOKUP($A188,EnrollData2324,'2324 Jun 24 Enroll'!D$1,FALSE)='District Calculations'!$B$11,VLOOKUP($A188,EnrollData2324,'2324 Jun 24 Enroll'!D$1,FALSE),'District Calculations'!$B$11)*K188,3)</f>
        <v>0</v>
      </c>
      <c r="M188">
        <f>ROUND(IF(VLOOKUP($A188,EnrollData2324,'2324 Jun 24 Enroll'!E$1,FALSE)='District Calculations'!$B$12,VLOOKUP($A188,EnrollData2324,'2324 Jun 24 Enroll'!E$1,FALSE),'District Calculations'!$B$12)*K188,3)</f>
        <v>3.5379999999999998</v>
      </c>
      <c r="N188">
        <f>ROUND(IF(VLOOKUP($A188,EnrollData2324,'2324 Jun 24 Enroll'!F$1,FALSE)='District Calculations'!$B$13,VLOOKUP($A188,EnrollData2324,'2324 Jun 24 Enroll'!F$1,FALSE),'District Calculations'!$B$13)*Apport_223A2324,3)</f>
        <v>0.84199999999999997</v>
      </c>
      <c r="O188">
        <f>ROUND(IF(VLOOKUP($A188,EnrollData2324,'2324 Jun 24 Enroll'!G$1,FALSE)='District Calculations'!$B$14,VLOOKUP($A188,EnrollData2324,'2324 Jun 24 Enroll'!G$1,FALSE),'District Calculations'!$B$14)*Apport_211A2324,3)</f>
        <v>1.867</v>
      </c>
      <c r="P188">
        <f>ROUND(IF(VLOOKUP($A188,EnrollData2324,'2324 Jun 24 Enroll'!H$1,FALSE)='District Calculations'!$B$14,VLOOKUP($A188,EnrollData2324,'2324 Jun 24 Enroll'!H$1,FALSE),'District Calculations'!$B$14)*Apport_214A2324,3)</f>
        <v>1.8660000000000001</v>
      </c>
      <c r="Q188">
        <f>ROUND(IF(VLOOKUP($A188,EnrollData2324,'2324 Jun 24 Enroll'!I$1,FALSE)+VLOOKUP($A188,EnrollData2324,'2324 Jun 24 Enroll'!M$1,FALSE)-VLOOKUP($A188,EnrollData2324,'2324 Jun 24 Enroll'!J$1,FALSE)='District Calculations'!$B$16+'District Calculations'!$B$25-'District Calculations'!$B$17,VLOOKUP($A188,EnrollData2324,'2324 Jun 24 Enroll'!I$1,FALSE)+VLOOKUP($A188,EnrollData2324,'2324 Jun 24 Enroll'!M$1,FALSE)-VLOOKUP($A188,EnrollData2324,'2324 Jun 24 Enroll'!J$1,FALSE),'District Calculations'!$B$16+'District Calculations'!$B$25-'District Calculations'!$B$17)*Apport_217A2324,3)</f>
        <v>4.6980000000000004</v>
      </c>
      <c r="R188">
        <f>ROUND(SUM(L188:Q188)/IF(VLOOKUP($A188,EnrollData2324,'2324 Jun 24 Enroll'!M$1,FALSE)+VLOOKUP($A188,EnrollData2324,'2324 Jun 24 Enroll'!D$1,FALSE)='District Calculations'!$B$25+'District Calculations'!$B$11,VLOOKUP($A188,EnrollData2324,'2324 Jun 24 Enroll'!M$1,FALSE)+VLOOKUP($A188,EnrollData2324,'2324 Jun 24 Enroll'!D$1,FALSE),'District Calculations'!$B$25+'District Calculations'!$B$11),5)</f>
        <v>4.1000000000000003E-3</v>
      </c>
      <c r="S188" s="11">
        <f t="shared" si="52"/>
        <v>1.8294500000000002E-2</v>
      </c>
      <c r="T188">
        <f>ROUND(IF(VLOOKUP($A188,EnrollData2324,'2324 Jun 24 Enroll'!D$1,FALSE)='District Calculations'!$B$11,VLOOKUP($A188,EnrollData2324,'2324 Jun 24 Enroll'!D$1,FALSE),'District Calculations'!$B$11)*S188,3)</f>
        <v>0</v>
      </c>
      <c r="U188">
        <f>ROUND(IF(VLOOKUP($A188,EnrollData2324,'2324 Jun 24 Enroll'!E$1,FALSE)='District Calculations'!$B$12,VLOOKUP($A188,EnrollData2324,'2324 Jun 24 Enroll'!E$1,FALSE),'District Calculations'!$B$12)*S188,3)</f>
        <v>14.827999999999999</v>
      </c>
      <c r="V188">
        <f>ROUND(IF(VLOOKUP($A188,EnrollData2324,'2324 Jun 24 Enroll'!F$1,FALSE)='District Calculations'!$B$13,VLOOKUP($A188,EnrollData2324,'2324 Jun 24 Enroll'!F$1,FALSE),'District Calculations'!$B$13)*Apport_224A2324,3)</f>
        <v>3.6190000000000002</v>
      </c>
      <c r="W188">
        <f>ROUND(IF(VLOOKUP($A188,EnrollData2324,'2324 Jun 24 Enroll'!G$1,FALSE)='District Calculations'!$B$14,VLOOKUP($A188,EnrollData2324,'2324 Jun 24 Enroll'!G$1,FALSE),'District Calculations'!$B$14)*Apport_212A2324,3)</f>
        <v>8.0239999999999991</v>
      </c>
      <c r="X188">
        <f>ROUND(IF(VLOOKUP($A188,EnrollData2324,'2324 Jun 24 Enroll'!H$1,FALSE)='District Calculations'!$B$14,VLOOKUP($A188,EnrollData2324,'2324 Jun 24 Enroll'!H$1,FALSE),'District Calculations'!$B$14)*Apport_215A2324,3)</f>
        <v>7.9279999999999999</v>
      </c>
      <c r="Y188">
        <f>ROUND(IF(VLOOKUP($A188,EnrollData2324,'2324 Jun 24 Enroll'!I$1,FALSE)+VLOOKUP($A188,EnrollData2324,'2324 Jun 24 Enroll'!M$1,FALSE)-VLOOKUP($A188,EnrollData2324,'2324 Jun 24 Enroll'!J$1,FALSE)='District Calculations'!$B$16+'District Calculations'!$B$25-'District Calculations'!$B$17,VLOOKUP($A188,EnrollData2324,'2324 Jun 24 Enroll'!I$1,FALSE)+VLOOKUP($A188,EnrollData2324,'2324 Jun 24 Enroll'!M$1,FALSE)-VLOOKUP($A188,EnrollData2324,'2324 Jun 24 Enroll'!J$1,FALSE),'District Calculations'!$B$16+'District Calculations'!$B$25-'District Calculations'!$B$17)*Apport_218A2324,3)</f>
        <v>19.917999999999999</v>
      </c>
      <c r="Z188">
        <f>ROUND(SUM(T188:Y188)/IF(VLOOKUP($A188,EnrollData2324,'2324 Jun 24 Enroll'!M$1,FALSE)+VLOOKUP($A188,EnrollData2324,'2324 Jun 24 Enroll'!D$1,FALSE)='District Calculations'!$B$25+'District Calculations'!$B$11,VLOOKUP($A188,EnrollData2324,'2324 Jun 24 Enroll'!M$1,FALSE)+VLOOKUP($A188,EnrollData2324,'2324 Jun 24 Enroll'!D$1,FALSE),'District Calculations'!$B$25+'District Calculations'!$B$11),5)</f>
        <v>1.7399999999999999E-2</v>
      </c>
      <c r="AA188" s="6">
        <f>ROUND($J188*CIS_Base_Salary2324*VLOOKUP($A188,EnrollData2324,'2324 Jun 24 Enroll'!S$1,FALSE),2)</f>
        <v>4038.59</v>
      </c>
      <c r="AB188" s="6">
        <f>ROUND($J188*CIS_Inc_Salary2324*(VLOOKUP($A188,EnrollData2324,'2324 Jun 24 Enroll'!T$1,FALSE)+VLOOKUP($A188,EnrollData2324,'2324 Jun 24 Enroll'!U$1,FALSE)),2)-AA188</f>
        <v>233.1899999999996</v>
      </c>
      <c r="AC188" s="6">
        <f>ROUND($R188*CAS_Base_Salary2324*VLOOKUP($A188,EnrollData2324,'2324 Jun 24 Enroll'!S$1,FALSE),2)</f>
        <v>442.62</v>
      </c>
      <c r="AD188" s="6">
        <f>ROUND($R188*CAS_Inc_Salary2324*VLOOKUP($A188,EnrollData2324,'2324 Jun 24 Enroll'!T$1,FALSE),2)-AC188</f>
        <v>16.379999999999995</v>
      </c>
      <c r="AE188" s="6">
        <f>ROUND($Z188*CLS_Base_Salary2324*VLOOKUP($A188,EnrollData2324,'2324 Jun 24 Enroll'!S$1,FALSE),2)</f>
        <v>907.81</v>
      </c>
      <c r="AF188" s="6">
        <f>ROUND($Z188*CLS_Inc_Salary2324*VLOOKUP($A188,EnrollData2324,'2324 Jun 24 Enroll'!T$1,FALSE),2)-AE188</f>
        <v>33.580000000000041</v>
      </c>
      <c r="AG188">
        <f t="shared" si="48"/>
        <v>734.16</v>
      </c>
      <c r="AH188" s="69">
        <f t="shared" si="53"/>
        <v>68.700000000000045</v>
      </c>
      <c r="AI188">
        <f t="shared" si="49"/>
        <v>214.23</v>
      </c>
      <c r="AJ188">
        <f t="shared" si="54"/>
        <v>114.21000000000001</v>
      </c>
      <c r="AK188">
        <f t="shared" si="55"/>
        <v>805.27</v>
      </c>
      <c r="AL188">
        <f t="shared" si="56"/>
        <v>43.25</v>
      </c>
      <c r="AM188">
        <f t="shared" si="57"/>
        <v>200.26</v>
      </c>
      <c r="AN188">
        <f t="shared" si="58"/>
        <v>6.23</v>
      </c>
      <c r="AO188">
        <f>ROUND(($J188*CIS_Inc_Salary2324*(VLOOKUP($A188,EnrollData2324,'2324 Jun 24 Enroll'!T$1,FALSE)+VLOOKUP($A188,EnrollData2324,'2324 Jun 24 Enroll'!U$1,FALSE))/Apport_613Xpd)*Apport_614Xpd,2)</f>
        <v>71.2</v>
      </c>
      <c r="AP188">
        <f t="shared" si="59"/>
        <v>12.34</v>
      </c>
      <c r="AQ188">
        <f t="shared" si="60"/>
        <v>30.93</v>
      </c>
      <c r="AR188" s="6">
        <f>ROUND((VLOOKUP($A188,EnrollData2324,'2324 Jun 24 Enroll'!D$1,FALSE)*Apport_M802324+VLOOKUP($A188,EnrollData2324,'2324 Jun 24 Enroll'!M$1,FALSE)*Apport_M802324+(VLOOKUP($A188,EnrollData2324,'2324 Jun 24 Enroll'!P$1,FALSE)+VLOOKUP($A188,EnrollData2324,'2324 Jun 24 Enroll'!Q$1,FALSE)+VLOOKUP($A188,EnrollData2324,'2324 Jun 24 Enroll'!R$1,FALSE)+VLOOKUP($A188,EnrollData2324,'2324 Jun 24 Enroll'!I$1,FALSE)+VLOOKUP($A188,EnrollData2324,'2324 Jun 24 Enroll'!N$1,FALSE)+VLOOKUP($A188,EnrollData2324,'2324 Jun 24 Enroll'!O$1,FALSE)+VLOOKUP($A188,EnrollData2324,'2324 Jun 24 Enroll'!K$1,FALSE)+VLOOKUP($A188,EnrollData2324,'2324 Jun 24 Enroll'!L$1,FALSE))*Apport_M812324)/(VLOOKUP($A188,EnrollData2324,'2324 Jun 24 Enroll'!M$1,FALSE)+VLOOKUP($A188,EnrollData2324,'2324 Jun 24 Enroll'!D$1,FALSE)),2)</f>
        <v>1558.47</v>
      </c>
      <c r="AS188" s="7">
        <f t="shared" si="61"/>
        <v>9531.42</v>
      </c>
    </row>
    <row r="189" spans="1:45">
      <c r="A189" s="40" t="s">
        <v>349</v>
      </c>
      <c r="B189" s="40" t="s">
        <v>350</v>
      </c>
      <c r="C189" s="11">
        <f>ROUND((IFERROR((1/IF(VLOOKUP($A189,EnrollData2324,28,FALSE)='District Calculations'!$B$10,VLOOKUP($A189,EnrollData2324,28,FALSE),'District Calculations'!$B$10))*(1+Apport_Z315),0))+Apport_201A2324,6)</f>
        <v>7.3449E-2</v>
      </c>
      <c r="D189">
        <f>ROUND(IF(VLOOKUP($A189,EnrollData2324,'2324 Jun 24 Enroll'!D$1,FALSE)='District Calculations'!$B$11,VLOOKUP($A189,EnrollData2324,'2324 Jun 24 Enroll'!D$1,FALSE),'District Calculations'!$B$11)*C189,3)</f>
        <v>0</v>
      </c>
      <c r="E189">
        <f>ROUND(IF(VLOOKUP($A189,EnrollData2324,'2324 Jun 24 Enroll'!E$1,FALSE)='District Calculations'!$B$12,VLOOKUP($A189,EnrollData2324,'2324 Jun 24 Enroll'!E$1,FALSE),'District Calculations'!$B$12)*C189,3)</f>
        <v>59.53</v>
      </c>
      <c r="F189">
        <f>ROUND(IF(VLOOKUP($A189,EnrollData2324,'2324 Jun 24 Enroll'!F$1,FALSE)='District Calculations'!$B$13,VLOOKUP($A189,EnrollData2324,'2324 Jun 24 Enroll'!F$1,FALSE),'District Calculations'!$B$13)*Apport_222A2324,3)</f>
        <v>10.101000000000001</v>
      </c>
      <c r="G189">
        <f>ROUND(IF(VLOOKUP($A189,EnrollData2324,'2324 Jun 24 Enroll'!G$1,FALSE)='District Calculations'!$B$14,VLOOKUP($A189,EnrollData2324,'2324 Jun 24 Enroll'!G$1,FALSE),'District Calculations'!$B$14)*Apport_210A2324,3)</f>
        <v>22.395</v>
      </c>
      <c r="H189">
        <f>ROUND(IF(VLOOKUP($A189,EnrollData2324,'2324 Jun 24 Enroll'!H$1,FALSE)='District Calculations'!$B$15,VLOOKUP($A189,EnrollData2324,'2324 Jun 24 Enroll'!H$1,FALSE),'District Calculations'!$B$15)*Apport_213A2324,3)</f>
        <v>23.091999999999999</v>
      </c>
      <c r="I189">
        <f>ROUND(IF(VLOOKUP($A189,EnrollData2324,'2324 Jun 24 Enroll'!I$1,FALSE)+VLOOKUP($A189,EnrollData2324,'2324 Jun 24 Enroll'!M$1,FALSE)-VLOOKUP($A189,EnrollData2324,'2324 Jun 24 Enroll'!J$1,FALSE)='District Calculations'!$B$16+'District Calculations'!$B$25-'District Calculations'!$B$17,VLOOKUP($A189,EnrollData2324,'2324 Jun 24 Enroll'!I$1,FALSE)+VLOOKUP($A189,EnrollData2324,'2324 Jun 24 Enroll'!M$1,FALSE)-VLOOKUP($A189,EnrollData2324,'2324 Jun 24 Enroll'!J$1,FALSE),'District Calculations'!$B$16+'District Calculations'!$B$25-'District Calculations'!$B$17)*Apport_216A2324,3)</f>
        <v>58.183999999999997</v>
      </c>
      <c r="J189">
        <f>ROUND(SUM(D189:I189)/(IF(VLOOKUP($A189,EnrollData2324,'2324 Jun 24 Enroll'!M$1,FALSE)='District Calculations'!$B$25,VLOOKUP($A189,EnrollData2324,'2324 Jun 24 Enroll'!M$1,FALSE),'District Calculations'!$B$25)+IF(VLOOKUP($A189,EnrollData2324,'2324 Jun 24 Enroll'!D$1,FALSE)='District Calculations'!$B$11,VLOOKUP($A189,EnrollData2324,'2324 Jun 24 Enroll'!D$1,FALSE),'District Calculations'!$B$11)),5)</f>
        <v>5.5530000000000003E-2</v>
      </c>
      <c r="K189" s="11">
        <f t="shared" si="51"/>
        <v>4.365E-3</v>
      </c>
      <c r="L189">
        <f>ROUND(IF(VLOOKUP($A189,EnrollData2324,'2324 Jun 24 Enroll'!D$1,FALSE)='District Calculations'!$B$11,VLOOKUP($A189,EnrollData2324,'2324 Jun 24 Enroll'!D$1,FALSE),'District Calculations'!$B$11)*K189,3)</f>
        <v>0</v>
      </c>
      <c r="M189">
        <f>ROUND(IF(VLOOKUP($A189,EnrollData2324,'2324 Jun 24 Enroll'!E$1,FALSE)='District Calculations'!$B$12,VLOOKUP($A189,EnrollData2324,'2324 Jun 24 Enroll'!E$1,FALSE),'District Calculations'!$B$12)*K189,3)</f>
        <v>3.5379999999999998</v>
      </c>
      <c r="N189">
        <f>ROUND(IF(VLOOKUP($A189,EnrollData2324,'2324 Jun 24 Enroll'!F$1,FALSE)='District Calculations'!$B$13,VLOOKUP($A189,EnrollData2324,'2324 Jun 24 Enroll'!F$1,FALSE),'District Calculations'!$B$13)*Apport_223A2324,3)</f>
        <v>0.84199999999999997</v>
      </c>
      <c r="O189">
        <f>ROUND(IF(VLOOKUP($A189,EnrollData2324,'2324 Jun 24 Enroll'!G$1,FALSE)='District Calculations'!$B$14,VLOOKUP($A189,EnrollData2324,'2324 Jun 24 Enroll'!G$1,FALSE),'District Calculations'!$B$14)*Apport_211A2324,3)</f>
        <v>1.867</v>
      </c>
      <c r="P189">
        <f>ROUND(IF(VLOOKUP($A189,EnrollData2324,'2324 Jun 24 Enroll'!H$1,FALSE)='District Calculations'!$B$14,VLOOKUP($A189,EnrollData2324,'2324 Jun 24 Enroll'!H$1,FALSE),'District Calculations'!$B$14)*Apport_214A2324,3)</f>
        <v>1.8660000000000001</v>
      </c>
      <c r="Q189">
        <f>ROUND(IF(VLOOKUP($A189,EnrollData2324,'2324 Jun 24 Enroll'!I$1,FALSE)+VLOOKUP($A189,EnrollData2324,'2324 Jun 24 Enroll'!M$1,FALSE)-VLOOKUP($A189,EnrollData2324,'2324 Jun 24 Enroll'!J$1,FALSE)='District Calculations'!$B$16+'District Calculations'!$B$25-'District Calculations'!$B$17,VLOOKUP($A189,EnrollData2324,'2324 Jun 24 Enroll'!I$1,FALSE)+VLOOKUP($A189,EnrollData2324,'2324 Jun 24 Enroll'!M$1,FALSE)-VLOOKUP($A189,EnrollData2324,'2324 Jun 24 Enroll'!J$1,FALSE),'District Calculations'!$B$16+'District Calculations'!$B$25-'District Calculations'!$B$17)*Apport_217A2324,3)</f>
        <v>4.6980000000000004</v>
      </c>
      <c r="R189">
        <f>ROUND(SUM(L189:Q189)/IF(VLOOKUP($A189,EnrollData2324,'2324 Jun 24 Enroll'!M$1,FALSE)+VLOOKUP($A189,EnrollData2324,'2324 Jun 24 Enroll'!D$1,FALSE)='District Calculations'!$B$25+'District Calculations'!$B$11,VLOOKUP($A189,EnrollData2324,'2324 Jun 24 Enroll'!M$1,FALSE)+VLOOKUP($A189,EnrollData2324,'2324 Jun 24 Enroll'!D$1,FALSE),'District Calculations'!$B$25+'District Calculations'!$B$11),5)</f>
        <v>4.1000000000000003E-3</v>
      </c>
      <c r="S189" s="11">
        <f t="shared" si="52"/>
        <v>1.8294500000000002E-2</v>
      </c>
      <c r="T189">
        <f>ROUND(IF(VLOOKUP($A189,EnrollData2324,'2324 Jun 24 Enroll'!D$1,FALSE)='District Calculations'!$B$11,VLOOKUP($A189,EnrollData2324,'2324 Jun 24 Enroll'!D$1,FALSE),'District Calculations'!$B$11)*S189,3)</f>
        <v>0</v>
      </c>
      <c r="U189">
        <f>ROUND(IF(VLOOKUP($A189,EnrollData2324,'2324 Jun 24 Enroll'!E$1,FALSE)='District Calculations'!$B$12,VLOOKUP($A189,EnrollData2324,'2324 Jun 24 Enroll'!E$1,FALSE),'District Calculations'!$B$12)*S189,3)</f>
        <v>14.827999999999999</v>
      </c>
      <c r="V189">
        <f>ROUND(IF(VLOOKUP($A189,EnrollData2324,'2324 Jun 24 Enroll'!F$1,FALSE)='District Calculations'!$B$13,VLOOKUP($A189,EnrollData2324,'2324 Jun 24 Enroll'!F$1,FALSE),'District Calculations'!$B$13)*Apport_224A2324,3)</f>
        <v>3.6190000000000002</v>
      </c>
      <c r="W189">
        <f>ROUND(IF(VLOOKUP($A189,EnrollData2324,'2324 Jun 24 Enroll'!G$1,FALSE)='District Calculations'!$B$14,VLOOKUP($A189,EnrollData2324,'2324 Jun 24 Enroll'!G$1,FALSE),'District Calculations'!$B$14)*Apport_212A2324,3)</f>
        <v>8.0239999999999991</v>
      </c>
      <c r="X189">
        <f>ROUND(IF(VLOOKUP($A189,EnrollData2324,'2324 Jun 24 Enroll'!H$1,FALSE)='District Calculations'!$B$14,VLOOKUP($A189,EnrollData2324,'2324 Jun 24 Enroll'!H$1,FALSE),'District Calculations'!$B$14)*Apport_215A2324,3)</f>
        <v>7.9279999999999999</v>
      </c>
      <c r="Y189">
        <f>ROUND(IF(VLOOKUP($A189,EnrollData2324,'2324 Jun 24 Enroll'!I$1,FALSE)+VLOOKUP($A189,EnrollData2324,'2324 Jun 24 Enroll'!M$1,FALSE)-VLOOKUP($A189,EnrollData2324,'2324 Jun 24 Enroll'!J$1,FALSE)='District Calculations'!$B$16+'District Calculations'!$B$25-'District Calculations'!$B$17,VLOOKUP($A189,EnrollData2324,'2324 Jun 24 Enroll'!I$1,FALSE)+VLOOKUP($A189,EnrollData2324,'2324 Jun 24 Enroll'!M$1,FALSE)-VLOOKUP($A189,EnrollData2324,'2324 Jun 24 Enroll'!J$1,FALSE),'District Calculations'!$B$16+'District Calculations'!$B$25-'District Calculations'!$B$17)*Apport_218A2324,3)</f>
        <v>19.917999999999999</v>
      </c>
      <c r="Z189">
        <f>ROUND(SUM(T189:Y189)/IF(VLOOKUP($A189,EnrollData2324,'2324 Jun 24 Enroll'!M$1,FALSE)+VLOOKUP($A189,EnrollData2324,'2324 Jun 24 Enroll'!D$1,FALSE)='District Calculations'!$B$25+'District Calculations'!$B$11,VLOOKUP($A189,EnrollData2324,'2324 Jun 24 Enroll'!M$1,FALSE)+VLOOKUP($A189,EnrollData2324,'2324 Jun 24 Enroll'!D$1,FALSE),'District Calculations'!$B$25+'District Calculations'!$B$11),5)</f>
        <v>1.7399999999999999E-2</v>
      </c>
      <c r="AA189" s="6">
        <f>ROUND($J189*CIS_Base_Salary2324*VLOOKUP($A189,EnrollData2324,'2324 Jun 24 Enroll'!S$1,FALSE),2)</f>
        <v>4038.59</v>
      </c>
      <c r="AB189" s="6">
        <f>ROUND($J189*CIS_Inc_Salary2324*(VLOOKUP($A189,EnrollData2324,'2324 Jun 24 Enroll'!T$1,FALSE)+VLOOKUP($A189,EnrollData2324,'2324 Jun 24 Enroll'!U$1,FALSE)),2)-AA189</f>
        <v>149.43000000000029</v>
      </c>
      <c r="AC189" s="6">
        <f>ROUND($R189*CAS_Base_Salary2324*VLOOKUP($A189,EnrollData2324,'2324 Jun 24 Enroll'!S$1,FALSE),2)</f>
        <v>442.62</v>
      </c>
      <c r="AD189" s="6">
        <f>ROUND($R189*CAS_Inc_Salary2324*VLOOKUP($A189,EnrollData2324,'2324 Jun 24 Enroll'!T$1,FALSE),2)-AC189</f>
        <v>16.379999999999995</v>
      </c>
      <c r="AE189" s="6">
        <f>ROUND($Z189*CLS_Base_Salary2324*VLOOKUP($A189,EnrollData2324,'2324 Jun 24 Enroll'!S$1,FALSE),2)</f>
        <v>907.81</v>
      </c>
      <c r="AF189" s="6">
        <f>ROUND($Z189*CLS_Inc_Salary2324*VLOOKUP($A189,EnrollData2324,'2324 Jun 24 Enroll'!T$1,FALSE),2)-AE189</f>
        <v>33.580000000000041</v>
      </c>
      <c r="AG189">
        <f t="shared" si="48"/>
        <v>734.16</v>
      </c>
      <c r="AH189" s="69">
        <f t="shared" si="53"/>
        <v>68.700000000000045</v>
      </c>
      <c r="AI189">
        <f t="shared" si="49"/>
        <v>214.23</v>
      </c>
      <c r="AJ189">
        <f t="shared" si="54"/>
        <v>114.21000000000001</v>
      </c>
      <c r="AK189">
        <f t="shared" si="55"/>
        <v>805.27</v>
      </c>
      <c r="AL189">
        <f t="shared" si="56"/>
        <v>28.73</v>
      </c>
      <c r="AM189">
        <f t="shared" si="57"/>
        <v>200.26</v>
      </c>
      <c r="AN189">
        <f t="shared" si="58"/>
        <v>6.23</v>
      </c>
      <c r="AO189">
        <f>ROUND(($J189*CIS_Inc_Salary2324*(VLOOKUP($A189,EnrollData2324,'2324 Jun 24 Enroll'!T$1,FALSE)+VLOOKUP($A189,EnrollData2324,'2324 Jun 24 Enroll'!U$1,FALSE))/Apport_613Xpd)*Apport_614Xpd,2)</f>
        <v>69.8</v>
      </c>
      <c r="AP189">
        <f t="shared" si="59"/>
        <v>12.1</v>
      </c>
      <c r="AQ189">
        <f t="shared" si="60"/>
        <v>30.93</v>
      </c>
      <c r="AR189" s="6">
        <f>ROUND((VLOOKUP($A189,EnrollData2324,'2324 Jun 24 Enroll'!D$1,FALSE)*Apport_M802324+VLOOKUP($A189,EnrollData2324,'2324 Jun 24 Enroll'!M$1,FALSE)*Apport_M802324+(VLOOKUP($A189,EnrollData2324,'2324 Jun 24 Enroll'!P$1,FALSE)+VLOOKUP($A189,EnrollData2324,'2324 Jun 24 Enroll'!Q$1,FALSE)+VLOOKUP($A189,EnrollData2324,'2324 Jun 24 Enroll'!R$1,FALSE)+VLOOKUP($A189,EnrollData2324,'2324 Jun 24 Enroll'!I$1,FALSE)+VLOOKUP($A189,EnrollData2324,'2324 Jun 24 Enroll'!N$1,FALSE)+VLOOKUP($A189,EnrollData2324,'2324 Jun 24 Enroll'!O$1,FALSE)+VLOOKUP($A189,EnrollData2324,'2324 Jun 24 Enroll'!K$1,FALSE)+VLOOKUP($A189,EnrollData2324,'2324 Jun 24 Enroll'!L$1,FALSE))*Apport_M812324)/(VLOOKUP($A189,EnrollData2324,'2324 Jun 24 Enroll'!M$1,FALSE)+VLOOKUP($A189,EnrollData2324,'2324 Jun 24 Enroll'!D$1,FALSE)),2)</f>
        <v>1552.71</v>
      </c>
      <c r="AS189" s="7">
        <f t="shared" si="61"/>
        <v>9425.74</v>
      </c>
    </row>
    <row r="190" spans="1:45">
      <c r="A190" s="40" t="s">
        <v>683</v>
      </c>
      <c r="B190" s="40" t="s">
        <v>684</v>
      </c>
      <c r="C190" s="11">
        <f>ROUND((IFERROR((1/IF(VLOOKUP($A190,EnrollData2324,28,FALSE)='District Calculations'!$B$10,VLOOKUP($A190,EnrollData2324,28,FALSE),'District Calculations'!$B$10))*(1+Apport_Z315),0))+Apport_201A2324,6)</f>
        <v>7.3449E-2</v>
      </c>
      <c r="D190">
        <f>ROUND(IF(VLOOKUP($A190,EnrollData2324,'2324 Jun 24 Enroll'!D$1,FALSE)='District Calculations'!$B$11,VLOOKUP($A190,EnrollData2324,'2324 Jun 24 Enroll'!D$1,FALSE),'District Calculations'!$B$11)*C190,3)</f>
        <v>0</v>
      </c>
      <c r="E190">
        <f>ROUND(IF(VLOOKUP($A190,EnrollData2324,'2324 Jun 24 Enroll'!E$1,FALSE)='District Calculations'!$B$12,VLOOKUP($A190,EnrollData2324,'2324 Jun 24 Enroll'!E$1,FALSE),'District Calculations'!$B$12)*C190,3)</f>
        <v>59.53</v>
      </c>
      <c r="F190">
        <f>ROUND(IF(VLOOKUP($A190,EnrollData2324,'2324 Jun 24 Enroll'!F$1,FALSE)='District Calculations'!$B$13,VLOOKUP($A190,EnrollData2324,'2324 Jun 24 Enroll'!F$1,FALSE),'District Calculations'!$B$13)*Apport_222A2324,3)</f>
        <v>10.101000000000001</v>
      </c>
      <c r="G190">
        <f>ROUND(IF(VLOOKUP($A190,EnrollData2324,'2324 Jun 24 Enroll'!G$1,FALSE)='District Calculations'!$B$14,VLOOKUP($A190,EnrollData2324,'2324 Jun 24 Enroll'!G$1,FALSE),'District Calculations'!$B$14)*Apport_210A2324,3)</f>
        <v>22.395</v>
      </c>
      <c r="H190">
        <f>ROUND(IF(VLOOKUP($A190,EnrollData2324,'2324 Jun 24 Enroll'!H$1,FALSE)='District Calculations'!$B$15,VLOOKUP($A190,EnrollData2324,'2324 Jun 24 Enroll'!H$1,FALSE),'District Calculations'!$B$15)*Apport_213A2324,3)</f>
        <v>23.091999999999999</v>
      </c>
      <c r="I190">
        <f>ROUND(IF(VLOOKUP($A190,EnrollData2324,'2324 Jun 24 Enroll'!I$1,FALSE)+VLOOKUP($A190,EnrollData2324,'2324 Jun 24 Enroll'!M$1,FALSE)-VLOOKUP($A190,EnrollData2324,'2324 Jun 24 Enroll'!J$1,FALSE)='District Calculations'!$B$16+'District Calculations'!$B$25-'District Calculations'!$B$17,VLOOKUP($A190,EnrollData2324,'2324 Jun 24 Enroll'!I$1,FALSE)+VLOOKUP($A190,EnrollData2324,'2324 Jun 24 Enroll'!M$1,FALSE)-VLOOKUP($A190,EnrollData2324,'2324 Jun 24 Enroll'!J$1,FALSE),'District Calculations'!$B$16+'District Calculations'!$B$25-'District Calculations'!$B$17)*Apport_216A2324,3)</f>
        <v>58.183999999999997</v>
      </c>
      <c r="J190">
        <f>ROUND(SUM(D190:I190)/(IF(VLOOKUP($A190,EnrollData2324,'2324 Jun 24 Enroll'!M$1,FALSE)='District Calculations'!$B$25,VLOOKUP($A190,EnrollData2324,'2324 Jun 24 Enroll'!M$1,FALSE),'District Calculations'!$B$25)+IF(VLOOKUP($A190,EnrollData2324,'2324 Jun 24 Enroll'!D$1,FALSE)='District Calculations'!$B$11,VLOOKUP($A190,EnrollData2324,'2324 Jun 24 Enroll'!D$1,FALSE),'District Calculations'!$B$11)),5)</f>
        <v>5.5530000000000003E-2</v>
      </c>
      <c r="K190" s="11">
        <f t="shared" si="51"/>
        <v>4.365E-3</v>
      </c>
      <c r="L190">
        <f>ROUND(IF(VLOOKUP($A190,EnrollData2324,'2324 Jun 24 Enroll'!D$1,FALSE)='District Calculations'!$B$11,VLOOKUP($A190,EnrollData2324,'2324 Jun 24 Enroll'!D$1,FALSE),'District Calculations'!$B$11)*K190,3)</f>
        <v>0</v>
      </c>
      <c r="M190">
        <f>ROUND(IF(VLOOKUP($A190,EnrollData2324,'2324 Jun 24 Enroll'!E$1,FALSE)='District Calculations'!$B$12,VLOOKUP($A190,EnrollData2324,'2324 Jun 24 Enroll'!E$1,FALSE),'District Calculations'!$B$12)*K190,3)</f>
        <v>3.5379999999999998</v>
      </c>
      <c r="N190">
        <f>ROUND(IF(VLOOKUP($A190,EnrollData2324,'2324 Jun 24 Enroll'!F$1,FALSE)='District Calculations'!$B$13,VLOOKUP($A190,EnrollData2324,'2324 Jun 24 Enroll'!F$1,FALSE),'District Calculations'!$B$13)*Apport_223A2324,3)</f>
        <v>0.84199999999999997</v>
      </c>
      <c r="O190">
        <f>ROUND(IF(VLOOKUP($A190,EnrollData2324,'2324 Jun 24 Enroll'!G$1,FALSE)='District Calculations'!$B$14,VLOOKUP($A190,EnrollData2324,'2324 Jun 24 Enroll'!G$1,FALSE),'District Calculations'!$B$14)*Apport_211A2324,3)</f>
        <v>1.867</v>
      </c>
      <c r="P190">
        <f>ROUND(IF(VLOOKUP($A190,EnrollData2324,'2324 Jun 24 Enroll'!H$1,FALSE)='District Calculations'!$B$14,VLOOKUP($A190,EnrollData2324,'2324 Jun 24 Enroll'!H$1,FALSE),'District Calculations'!$B$14)*Apport_214A2324,3)</f>
        <v>1.8660000000000001</v>
      </c>
      <c r="Q190">
        <f>ROUND(IF(VLOOKUP($A190,EnrollData2324,'2324 Jun 24 Enroll'!I$1,FALSE)+VLOOKUP($A190,EnrollData2324,'2324 Jun 24 Enroll'!M$1,FALSE)-VLOOKUP($A190,EnrollData2324,'2324 Jun 24 Enroll'!J$1,FALSE)='District Calculations'!$B$16+'District Calculations'!$B$25-'District Calculations'!$B$17,VLOOKUP($A190,EnrollData2324,'2324 Jun 24 Enroll'!I$1,FALSE)+VLOOKUP($A190,EnrollData2324,'2324 Jun 24 Enroll'!M$1,FALSE)-VLOOKUP($A190,EnrollData2324,'2324 Jun 24 Enroll'!J$1,FALSE),'District Calculations'!$B$16+'District Calculations'!$B$25-'District Calculations'!$B$17)*Apport_217A2324,3)</f>
        <v>4.6980000000000004</v>
      </c>
      <c r="R190">
        <f>ROUND(SUM(L190:Q190)/IF(VLOOKUP($A190,EnrollData2324,'2324 Jun 24 Enroll'!M$1,FALSE)+VLOOKUP($A190,EnrollData2324,'2324 Jun 24 Enroll'!D$1,FALSE)='District Calculations'!$B$25+'District Calculations'!$B$11,VLOOKUP($A190,EnrollData2324,'2324 Jun 24 Enroll'!M$1,FALSE)+VLOOKUP($A190,EnrollData2324,'2324 Jun 24 Enroll'!D$1,FALSE),'District Calculations'!$B$25+'District Calculations'!$B$11),5)</f>
        <v>4.1000000000000003E-3</v>
      </c>
      <c r="S190" s="11">
        <f t="shared" si="52"/>
        <v>1.8294500000000002E-2</v>
      </c>
      <c r="T190">
        <f>ROUND(IF(VLOOKUP($A190,EnrollData2324,'2324 Jun 24 Enroll'!D$1,FALSE)='District Calculations'!$B$11,VLOOKUP($A190,EnrollData2324,'2324 Jun 24 Enroll'!D$1,FALSE),'District Calculations'!$B$11)*S190,3)</f>
        <v>0</v>
      </c>
      <c r="U190">
        <f>ROUND(IF(VLOOKUP($A190,EnrollData2324,'2324 Jun 24 Enroll'!E$1,FALSE)='District Calculations'!$B$12,VLOOKUP($A190,EnrollData2324,'2324 Jun 24 Enroll'!E$1,FALSE),'District Calculations'!$B$12)*S190,3)</f>
        <v>14.827999999999999</v>
      </c>
      <c r="V190">
        <f>ROUND(IF(VLOOKUP($A190,EnrollData2324,'2324 Jun 24 Enroll'!F$1,FALSE)='District Calculations'!$B$13,VLOOKUP($A190,EnrollData2324,'2324 Jun 24 Enroll'!F$1,FALSE),'District Calculations'!$B$13)*Apport_224A2324,3)</f>
        <v>3.6190000000000002</v>
      </c>
      <c r="W190">
        <f>ROUND(IF(VLOOKUP($A190,EnrollData2324,'2324 Jun 24 Enroll'!G$1,FALSE)='District Calculations'!$B$14,VLOOKUP($A190,EnrollData2324,'2324 Jun 24 Enroll'!G$1,FALSE),'District Calculations'!$B$14)*Apport_212A2324,3)</f>
        <v>8.0239999999999991</v>
      </c>
      <c r="X190">
        <f>ROUND(IF(VLOOKUP($A190,EnrollData2324,'2324 Jun 24 Enroll'!H$1,FALSE)='District Calculations'!$B$14,VLOOKUP($A190,EnrollData2324,'2324 Jun 24 Enroll'!H$1,FALSE),'District Calculations'!$B$14)*Apport_215A2324,3)</f>
        <v>7.9279999999999999</v>
      </c>
      <c r="Y190">
        <f>ROUND(IF(VLOOKUP($A190,EnrollData2324,'2324 Jun 24 Enroll'!I$1,FALSE)+VLOOKUP($A190,EnrollData2324,'2324 Jun 24 Enroll'!M$1,FALSE)-VLOOKUP($A190,EnrollData2324,'2324 Jun 24 Enroll'!J$1,FALSE)='District Calculations'!$B$16+'District Calculations'!$B$25-'District Calculations'!$B$17,VLOOKUP($A190,EnrollData2324,'2324 Jun 24 Enroll'!I$1,FALSE)+VLOOKUP($A190,EnrollData2324,'2324 Jun 24 Enroll'!M$1,FALSE)-VLOOKUP($A190,EnrollData2324,'2324 Jun 24 Enroll'!J$1,FALSE),'District Calculations'!$B$16+'District Calculations'!$B$25-'District Calculations'!$B$17)*Apport_218A2324,3)</f>
        <v>19.917999999999999</v>
      </c>
      <c r="Z190">
        <f>ROUND(SUM(T190:Y190)/IF(VLOOKUP($A190,EnrollData2324,'2324 Jun 24 Enroll'!M$1,FALSE)+VLOOKUP($A190,EnrollData2324,'2324 Jun 24 Enroll'!D$1,FALSE)='District Calculations'!$B$25+'District Calculations'!$B$11,VLOOKUP($A190,EnrollData2324,'2324 Jun 24 Enroll'!M$1,FALSE)+VLOOKUP($A190,EnrollData2324,'2324 Jun 24 Enroll'!D$1,FALSE),'District Calculations'!$B$25+'District Calculations'!$B$11),5)</f>
        <v>1.7399999999999999E-2</v>
      </c>
      <c r="AA190" s="6">
        <f>ROUND($J190*CIS_Base_Salary2324*VLOOKUP($A190,EnrollData2324,'2324 Jun 24 Enroll'!S$1,FALSE),2)</f>
        <v>4038.59</v>
      </c>
      <c r="AB190" s="6">
        <f>ROUND($J190*CIS_Inc_Salary2324*(VLOOKUP($A190,EnrollData2324,'2324 Jun 24 Enroll'!T$1,FALSE)+VLOOKUP($A190,EnrollData2324,'2324 Jun 24 Enroll'!U$1,FALSE)),2)-AA190</f>
        <v>233.1899999999996</v>
      </c>
      <c r="AC190" s="6">
        <f>ROUND($R190*CAS_Base_Salary2324*VLOOKUP($A190,EnrollData2324,'2324 Jun 24 Enroll'!S$1,FALSE),2)</f>
        <v>442.62</v>
      </c>
      <c r="AD190" s="6">
        <f>ROUND($R190*CAS_Inc_Salary2324*VLOOKUP($A190,EnrollData2324,'2324 Jun 24 Enroll'!T$1,FALSE),2)-AC190</f>
        <v>16.379999999999995</v>
      </c>
      <c r="AE190" s="6">
        <f>ROUND($Z190*CLS_Base_Salary2324*VLOOKUP($A190,EnrollData2324,'2324 Jun 24 Enroll'!S$1,FALSE),2)</f>
        <v>907.81</v>
      </c>
      <c r="AF190" s="6">
        <f>ROUND($Z190*CLS_Inc_Salary2324*VLOOKUP($A190,EnrollData2324,'2324 Jun 24 Enroll'!T$1,FALSE),2)-AE190</f>
        <v>33.580000000000041</v>
      </c>
      <c r="AG190">
        <f t="shared" si="48"/>
        <v>734.16</v>
      </c>
      <c r="AH190" s="69">
        <f t="shared" si="53"/>
        <v>68.700000000000045</v>
      </c>
      <c r="AI190">
        <f t="shared" si="49"/>
        <v>214.23</v>
      </c>
      <c r="AJ190">
        <f t="shared" si="54"/>
        <v>114.21000000000001</v>
      </c>
      <c r="AK190">
        <f t="shared" si="55"/>
        <v>805.27</v>
      </c>
      <c r="AL190">
        <f t="shared" si="56"/>
        <v>43.25</v>
      </c>
      <c r="AM190">
        <f t="shared" si="57"/>
        <v>200.26</v>
      </c>
      <c r="AN190">
        <f t="shared" si="58"/>
        <v>6.23</v>
      </c>
      <c r="AO190">
        <f>ROUND(($J190*CIS_Inc_Salary2324*(VLOOKUP($A190,EnrollData2324,'2324 Jun 24 Enroll'!T$1,FALSE)+VLOOKUP($A190,EnrollData2324,'2324 Jun 24 Enroll'!U$1,FALSE))/Apport_613Xpd)*Apport_614Xpd,2)</f>
        <v>71.2</v>
      </c>
      <c r="AP190">
        <f t="shared" si="59"/>
        <v>12.34</v>
      </c>
      <c r="AQ190">
        <f t="shared" si="60"/>
        <v>30.93</v>
      </c>
      <c r="AR190" s="6">
        <f>ROUND((VLOOKUP($A190,EnrollData2324,'2324 Jun 24 Enroll'!D$1,FALSE)*Apport_M802324+VLOOKUP($A190,EnrollData2324,'2324 Jun 24 Enroll'!M$1,FALSE)*Apport_M802324+(VLOOKUP($A190,EnrollData2324,'2324 Jun 24 Enroll'!P$1,FALSE)+VLOOKUP($A190,EnrollData2324,'2324 Jun 24 Enroll'!Q$1,FALSE)+VLOOKUP($A190,EnrollData2324,'2324 Jun 24 Enroll'!R$1,FALSE)+VLOOKUP($A190,EnrollData2324,'2324 Jun 24 Enroll'!I$1,FALSE)+VLOOKUP($A190,EnrollData2324,'2324 Jun 24 Enroll'!N$1,FALSE)+VLOOKUP($A190,EnrollData2324,'2324 Jun 24 Enroll'!O$1,FALSE)+VLOOKUP($A190,EnrollData2324,'2324 Jun 24 Enroll'!K$1,FALSE)+VLOOKUP($A190,EnrollData2324,'2324 Jun 24 Enroll'!L$1,FALSE))*Apport_M812324)/(VLOOKUP($A190,EnrollData2324,'2324 Jun 24 Enroll'!M$1,FALSE)+VLOOKUP($A190,EnrollData2324,'2324 Jun 24 Enroll'!D$1,FALSE)),2)</f>
        <v>1547.06</v>
      </c>
      <c r="AS190" s="7">
        <f t="shared" si="61"/>
        <v>9520.01</v>
      </c>
    </row>
    <row r="191" spans="1:45">
      <c r="A191" s="40" t="s">
        <v>823</v>
      </c>
      <c r="B191" s="40" t="s">
        <v>824</v>
      </c>
      <c r="C191" s="11">
        <f>ROUND((IFERROR((1/IF(VLOOKUP($A191,EnrollData2324,28,FALSE)='District Calculations'!$B$10,VLOOKUP($A191,EnrollData2324,28,FALSE),'District Calculations'!$B$10))*(1+Apport_Z315),0))+Apport_201A2324,6)</f>
        <v>7.3449E-2</v>
      </c>
      <c r="D191">
        <f>ROUND(IF(VLOOKUP($A191,EnrollData2324,'2324 Jun 24 Enroll'!D$1,FALSE)='District Calculations'!$B$11,VLOOKUP($A191,EnrollData2324,'2324 Jun 24 Enroll'!D$1,FALSE),'District Calculations'!$B$11)*C191,3)</f>
        <v>0</v>
      </c>
      <c r="E191">
        <f>ROUND(IF(VLOOKUP($A191,EnrollData2324,'2324 Jun 24 Enroll'!E$1,FALSE)='District Calculations'!$B$12,VLOOKUP($A191,EnrollData2324,'2324 Jun 24 Enroll'!E$1,FALSE),'District Calculations'!$B$12)*C191,3)</f>
        <v>59.53</v>
      </c>
      <c r="F191">
        <f>ROUND(IF(VLOOKUP($A191,EnrollData2324,'2324 Jun 24 Enroll'!F$1,FALSE)='District Calculations'!$B$13,VLOOKUP($A191,EnrollData2324,'2324 Jun 24 Enroll'!F$1,FALSE),'District Calculations'!$B$13)*Apport_222A2324,3)</f>
        <v>10.101000000000001</v>
      </c>
      <c r="G191">
        <f>ROUND(IF(VLOOKUP($A191,EnrollData2324,'2324 Jun 24 Enroll'!G$1,FALSE)='District Calculations'!$B$14,VLOOKUP($A191,EnrollData2324,'2324 Jun 24 Enroll'!G$1,FALSE),'District Calculations'!$B$14)*Apport_210A2324,3)</f>
        <v>22.395</v>
      </c>
      <c r="H191">
        <f>ROUND(IF(VLOOKUP($A191,EnrollData2324,'2324 Jun 24 Enroll'!H$1,FALSE)='District Calculations'!$B$15,VLOOKUP($A191,EnrollData2324,'2324 Jun 24 Enroll'!H$1,FALSE),'District Calculations'!$B$15)*Apport_213A2324,3)</f>
        <v>23.091999999999999</v>
      </c>
      <c r="I191">
        <f>ROUND(IF(VLOOKUP($A191,EnrollData2324,'2324 Jun 24 Enroll'!I$1,FALSE)+VLOOKUP($A191,EnrollData2324,'2324 Jun 24 Enroll'!M$1,FALSE)-VLOOKUP($A191,EnrollData2324,'2324 Jun 24 Enroll'!J$1,FALSE)='District Calculations'!$B$16+'District Calculations'!$B$25-'District Calculations'!$B$17,VLOOKUP($A191,EnrollData2324,'2324 Jun 24 Enroll'!I$1,FALSE)+VLOOKUP($A191,EnrollData2324,'2324 Jun 24 Enroll'!M$1,FALSE)-VLOOKUP($A191,EnrollData2324,'2324 Jun 24 Enroll'!J$1,FALSE),'District Calculations'!$B$16+'District Calculations'!$B$25-'District Calculations'!$B$17)*Apport_216A2324,3)</f>
        <v>58.183999999999997</v>
      </c>
      <c r="J191">
        <f>ROUND(SUM(D191:I191)/(IF(VLOOKUP($A191,EnrollData2324,'2324 Jun 24 Enroll'!M$1,FALSE)='District Calculations'!$B$25,VLOOKUP($A191,EnrollData2324,'2324 Jun 24 Enroll'!M$1,FALSE),'District Calculations'!$B$25)+IF(VLOOKUP($A191,EnrollData2324,'2324 Jun 24 Enroll'!D$1,FALSE)='District Calculations'!$B$11,VLOOKUP($A191,EnrollData2324,'2324 Jun 24 Enroll'!D$1,FALSE),'District Calculations'!$B$11)),5)</f>
        <v>5.5530000000000003E-2</v>
      </c>
      <c r="K191" s="11">
        <f t="shared" si="51"/>
        <v>4.365E-3</v>
      </c>
      <c r="L191">
        <f>ROUND(IF(VLOOKUP($A191,EnrollData2324,'2324 Jun 24 Enroll'!D$1,FALSE)='District Calculations'!$B$11,VLOOKUP($A191,EnrollData2324,'2324 Jun 24 Enroll'!D$1,FALSE),'District Calculations'!$B$11)*K191,3)</f>
        <v>0</v>
      </c>
      <c r="M191">
        <f>ROUND(IF(VLOOKUP($A191,EnrollData2324,'2324 Jun 24 Enroll'!E$1,FALSE)='District Calculations'!$B$12,VLOOKUP($A191,EnrollData2324,'2324 Jun 24 Enroll'!E$1,FALSE),'District Calculations'!$B$12)*K191,3)</f>
        <v>3.5379999999999998</v>
      </c>
      <c r="N191">
        <f>ROUND(IF(VLOOKUP($A191,EnrollData2324,'2324 Jun 24 Enroll'!F$1,FALSE)='District Calculations'!$B$13,VLOOKUP($A191,EnrollData2324,'2324 Jun 24 Enroll'!F$1,FALSE),'District Calculations'!$B$13)*Apport_223A2324,3)</f>
        <v>0.84199999999999997</v>
      </c>
      <c r="O191">
        <f>ROUND(IF(VLOOKUP($A191,EnrollData2324,'2324 Jun 24 Enroll'!G$1,FALSE)='District Calculations'!$B$14,VLOOKUP($A191,EnrollData2324,'2324 Jun 24 Enroll'!G$1,FALSE),'District Calculations'!$B$14)*Apport_211A2324,3)</f>
        <v>1.867</v>
      </c>
      <c r="P191">
        <f>ROUND(IF(VLOOKUP($A191,EnrollData2324,'2324 Jun 24 Enroll'!H$1,FALSE)='District Calculations'!$B$14,VLOOKUP($A191,EnrollData2324,'2324 Jun 24 Enroll'!H$1,FALSE),'District Calculations'!$B$14)*Apport_214A2324,3)</f>
        <v>1.8660000000000001</v>
      </c>
      <c r="Q191">
        <f>ROUND(IF(VLOOKUP($A191,EnrollData2324,'2324 Jun 24 Enroll'!I$1,FALSE)+VLOOKUP($A191,EnrollData2324,'2324 Jun 24 Enroll'!M$1,FALSE)-VLOOKUP($A191,EnrollData2324,'2324 Jun 24 Enroll'!J$1,FALSE)='District Calculations'!$B$16+'District Calculations'!$B$25-'District Calculations'!$B$17,VLOOKUP($A191,EnrollData2324,'2324 Jun 24 Enroll'!I$1,FALSE)+VLOOKUP($A191,EnrollData2324,'2324 Jun 24 Enroll'!M$1,FALSE)-VLOOKUP($A191,EnrollData2324,'2324 Jun 24 Enroll'!J$1,FALSE),'District Calculations'!$B$16+'District Calculations'!$B$25-'District Calculations'!$B$17)*Apport_217A2324,3)</f>
        <v>4.6980000000000004</v>
      </c>
      <c r="R191">
        <f>ROUND(SUM(L191:Q191)/IF(VLOOKUP($A191,EnrollData2324,'2324 Jun 24 Enroll'!M$1,FALSE)+VLOOKUP($A191,EnrollData2324,'2324 Jun 24 Enroll'!D$1,FALSE)='District Calculations'!$B$25+'District Calculations'!$B$11,VLOOKUP($A191,EnrollData2324,'2324 Jun 24 Enroll'!M$1,FALSE)+VLOOKUP($A191,EnrollData2324,'2324 Jun 24 Enroll'!D$1,FALSE),'District Calculations'!$B$25+'District Calculations'!$B$11),5)</f>
        <v>4.1000000000000003E-3</v>
      </c>
      <c r="S191" s="11">
        <f t="shared" si="52"/>
        <v>1.8294500000000002E-2</v>
      </c>
      <c r="T191">
        <f>ROUND(IF(VLOOKUP($A191,EnrollData2324,'2324 Jun 24 Enroll'!D$1,FALSE)='District Calculations'!$B$11,VLOOKUP($A191,EnrollData2324,'2324 Jun 24 Enroll'!D$1,FALSE),'District Calculations'!$B$11)*S191,3)</f>
        <v>0</v>
      </c>
      <c r="U191">
        <f>ROUND(IF(VLOOKUP($A191,EnrollData2324,'2324 Jun 24 Enroll'!E$1,FALSE)='District Calculations'!$B$12,VLOOKUP($A191,EnrollData2324,'2324 Jun 24 Enroll'!E$1,FALSE),'District Calculations'!$B$12)*S191,3)</f>
        <v>14.827999999999999</v>
      </c>
      <c r="V191">
        <f>ROUND(IF(VLOOKUP($A191,EnrollData2324,'2324 Jun 24 Enroll'!F$1,FALSE)='District Calculations'!$B$13,VLOOKUP($A191,EnrollData2324,'2324 Jun 24 Enroll'!F$1,FALSE),'District Calculations'!$B$13)*Apport_224A2324,3)</f>
        <v>3.6190000000000002</v>
      </c>
      <c r="W191">
        <f>ROUND(IF(VLOOKUP($A191,EnrollData2324,'2324 Jun 24 Enroll'!G$1,FALSE)='District Calculations'!$B$14,VLOOKUP($A191,EnrollData2324,'2324 Jun 24 Enroll'!G$1,FALSE),'District Calculations'!$B$14)*Apport_212A2324,3)</f>
        <v>8.0239999999999991</v>
      </c>
      <c r="X191">
        <f>ROUND(IF(VLOOKUP($A191,EnrollData2324,'2324 Jun 24 Enroll'!H$1,FALSE)='District Calculations'!$B$14,VLOOKUP($A191,EnrollData2324,'2324 Jun 24 Enroll'!H$1,FALSE),'District Calculations'!$B$14)*Apport_215A2324,3)</f>
        <v>7.9279999999999999</v>
      </c>
      <c r="Y191">
        <f>ROUND(IF(VLOOKUP($A191,EnrollData2324,'2324 Jun 24 Enroll'!I$1,FALSE)+VLOOKUP($A191,EnrollData2324,'2324 Jun 24 Enroll'!M$1,FALSE)-VLOOKUP($A191,EnrollData2324,'2324 Jun 24 Enroll'!J$1,FALSE)='District Calculations'!$B$16+'District Calculations'!$B$25-'District Calculations'!$B$17,VLOOKUP($A191,EnrollData2324,'2324 Jun 24 Enroll'!I$1,FALSE)+VLOOKUP($A191,EnrollData2324,'2324 Jun 24 Enroll'!M$1,FALSE)-VLOOKUP($A191,EnrollData2324,'2324 Jun 24 Enroll'!J$1,FALSE),'District Calculations'!$B$16+'District Calculations'!$B$25-'District Calculations'!$B$17)*Apport_218A2324,3)</f>
        <v>19.917999999999999</v>
      </c>
      <c r="Z191">
        <f>ROUND(SUM(T191:Y191)/IF(VLOOKUP($A191,EnrollData2324,'2324 Jun 24 Enroll'!M$1,FALSE)+VLOOKUP($A191,EnrollData2324,'2324 Jun 24 Enroll'!D$1,FALSE)='District Calculations'!$B$25+'District Calculations'!$B$11,VLOOKUP($A191,EnrollData2324,'2324 Jun 24 Enroll'!M$1,FALSE)+VLOOKUP($A191,EnrollData2324,'2324 Jun 24 Enroll'!D$1,FALSE),'District Calculations'!$B$25+'District Calculations'!$B$11),5)</f>
        <v>1.7399999999999999E-2</v>
      </c>
      <c r="AA191" s="6">
        <f>ROUND($J191*CIS_Base_Salary2324*VLOOKUP($A191,EnrollData2324,'2324 Jun 24 Enroll'!S$1,FALSE),2)</f>
        <v>4038.59</v>
      </c>
      <c r="AB191" s="6">
        <f>ROUND($J191*CIS_Inc_Salary2324*(VLOOKUP($A191,EnrollData2324,'2324 Jun 24 Enroll'!T$1,FALSE)+VLOOKUP($A191,EnrollData2324,'2324 Jun 24 Enroll'!U$1,FALSE)),2)-AA191</f>
        <v>149.43000000000029</v>
      </c>
      <c r="AC191" s="6">
        <f>ROUND($R191*CAS_Base_Salary2324*VLOOKUP($A191,EnrollData2324,'2324 Jun 24 Enroll'!S$1,FALSE),2)</f>
        <v>442.62</v>
      </c>
      <c r="AD191" s="6">
        <f>ROUND($R191*CAS_Inc_Salary2324*VLOOKUP($A191,EnrollData2324,'2324 Jun 24 Enroll'!T$1,FALSE),2)-AC191</f>
        <v>16.379999999999995</v>
      </c>
      <c r="AE191" s="6">
        <f>ROUND($Z191*CLS_Base_Salary2324*VLOOKUP($A191,EnrollData2324,'2324 Jun 24 Enroll'!S$1,FALSE),2)</f>
        <v>907.81</v>
      </c>
      <c r="AF191" s="6">
        <f>ROUND($Z191*CLS_Inc_Salary2324*VLOOKUP($A191,EnrollData2324,'2324 Jun 24 Enroll'!T$1,FALSE),2)-AE191</f>
        <v>33.580000000000041</v>
      </c>
      <c r="AG191">
        <f t="shared" si="48"/>
        <v>734.16</v>
      </c>
      <c r="AH191" s="69">
        <f t="shared" si="53"/>
        <v>68.700000000000045</v>
      </c>
      <c r="AI191">
        <f t="shared" si="49"/>
        <v>214.23</v>
      </c>
      <c r="AJ191">
        <f t="shared" si="54"/>
        <v>114.21000000000001</v>
      </c>
      <c r="AK191">
        <f t="shared" si="55"/>
        <v>805.27</v>
      </c>
      <c r="AL191">
        <f t="shared" si="56"/>
        <v>28.73</v>
      </c>
      <c r="AM191">
        <f t="shared" si="57"/>
        <v>200.26</v>
      </c>
      <c r="AN191">
        <f t="shared" si="58"/>
        <v>6.23</v>
      </c>
      <c r="AO191">
        <f>ROUND(($J191*CIS_Inc_Salary2324*(VLOOKUP($A191,EnrollData2324,'2324 Jun 24 Enroll'!T$1,FALSE)+VLOOKUP($A191,EnrollData2324,'2324 Jun 24 Enroll'!U$1,FALSE))/Apport_613Xpd)*Apport_614Xpd,2)</f>
        <v>69.8</v>
      </c>
      <c r="AP191">
        <f t="shared" si="59"/>
        <v>12.1</v>
      </c>
      <c r="AQ191">
        <f t="shared" si="60"/>
        <v>30.93</v>
      </c>
      <c r="AR191" s="6">
        <f>ROUND((VLOOKUP($A191,EnrollData2324,'2324 Jun 24 Enroll'!D$1,FALSE)*Apport_M802324+VLOOKUP($A191,EnrollData2324,'2324 Jun 24 Enroll'!M$1,FALSE)*Apport_M802324+(VLOOKUP($A191,EnrollData2324,'2324 Jun 24 Enroll'!P$1,FALSE)+VLOOKUP($A191,EnrollData2324,'2324 Jun 24 Enroll'!Q$1,FALSE)+VLOOKUP($A191,EnrollData2324,'2324 Jun 24 Enroll'!R$1,FALSE)+VLOOKUP($A191,EnrollData2324,'2324 Jun 24 Enroll'!I$1,FALSE)+VLOOKUP($A191,EnrollData2324,'2324 Jun 24 Enroll'!N$1,FALSE)+VLOOKUP($A191,EnrollData2324,'2324 Jun 24 Enroll'!O$1,FALSE)+VLOOKUP($A191,EnrollData2324,'2324 Jun 24 Enroll'!K$1,FALSE)+VLOOKUP($A191,EnrollData2324,'2324 Jun 24 Enroll'!L$1,FALSE))*Apport_M812324)/(VLOOKUP($A191,EnrollData2324,'2324 Jun 24 Enroll'!M$1,FALSE)+VLOOKUP($A191,EnrollData2324,'2324 Jun 24 Enroll'!D$1,FALSE)),2)</f>
        <v>1562.38</v>
      </c>
      <c r="AS191" s="7">
        <f t="shared" si="61"/>
        <v>9435.41</v>
      </c>
    </row>
    <row r="192" spans="1:45">
      <c r="A192" s="40" t="s">
        <v>671</v>
      </c>
      <c r="B192" s="40" t="s">
        <v>672</v>
      </c>
      <c r="C192" s="11">
        <f>ROUND((IFERROR((1/IF(VLOOKUP($A192,EnrollData2324,28,FALSE)='District Calculations'!$B$10,VLOOKUP($A192,EnrollData2324,28,FALSE),'District Calculations'!$B$10))*(1+Apport_Z315),0))+Apport_201A2324,6)</f>
        <v>7.3449E-2</v>
      </c>
      <c r="D192">
        <f>ROUND(IF(VLOOKUP($A192,EnrollData2324,'2324 Jun 24 Enroll'!D$1,FALSE)='District Calculations'!$B$11,VLOOKUP($A192,EnrollData2324,'2324 Jun 24 Enroll'!D$1,FALSE),'District Calculations'!$B$11)*C192,3)</f>
        <v>0</v>
      </c>
      <c r="E192">
        <f>ROUND(IF(VLOOKUP($A192,EnrollData2324,'2324 Jun 24 Enroll'!E$1,FALSE)='District Calculations'!$B$12,VLOOKUP($A192,EnrollData2324,'2324 Jun 24 Enroll'!E$1,FALSE),'District Calculations'!$B$12)*C192,3)</f>
        <v>59.53</v>
      </c>
      <c r="F192">
        <f>ROUND(IF(VLOOKUP($A192,EnrollData2324,'2324 Jun 24 Enroll'!F$1,FALSE)='District Calculations'!$B$13,VLOOKUP($A192,EnrollData2324,'2324 Jun 24 Enroll'!F$1,FALSE),'District Calculations'!$B$13)*Apport_222A2324,3)</f>
        <v>10.101000000000001</v>
      </c>
      <c r="G192">
        <f>ROUND(IF(VLOOKUP($A192,EnrollData2324,'2324 Jun 24 Enroll'!G$1,FALSE)='District Calculations'!$B$14,VLOOKUP($A192,EnrollData2324,'2324 Jun 24 Enroll'!G$1,FALSE),'District Calculations'!$B$14)*Apport_210A2324,3)</f>
        <v>22.395</v>
      </c>
      <c r="H192">
        <f>ROUND(IF(VLOOKUP($A192,EnrollData2324,'2324 Jun 24 Enroll'!H$1,FALSE)='District Calculations'!$B$15,VLOOKUP($A192,EnrollData2324,'2324 Jun 24 Enroll'!H$1,FALSE),'District Calculations'!$B$15)*Apport_213A2324,3)</f>
        <v>23.091999999999999</v>
      </c>
      <c r="I192">
        <f>ROUND(IF(VLOOKUP($A192,EnrollData2324,'2324 Jun 24 Enroll'!I$1,FALSE)+VLOOKUP($A192,EnrollData2324,'2324 Jun 24 Enroll'!M$1,FALSE)-VLOOKUP($A192,EnrollData2324,'2324 Jun 24 Enroll'!J$1,FALSE)='District Calculations'!$B$16+'District Calculations'!$B$25-'District Calculations'!$B$17,VLOOKUP($A192,EnrollData2324,'2324 Jun 24 Enroll'!I$1,FALSE)+VLOOKUP($A192,EnrollData2324,'2324 Jun 24 Enroll'!M$1,FALSE)-VLOOKUP($A192,EnrollData2324,'2324 Jun 24 Enroll'!J$1,FALSE),'District Calculations'!$B$16+'District Calculations'!$B$25-'District Calculations'!$B$17)*Apport_216A2324,3)</f>
        <v>58.183999999999997</v>
      </c>
      <c r="J192">
        <f>ROUND(SUM(D192:I192)/(IF(VLOOKUP($A192,EnrollData2324,'2324 Jun 24 Enroll'!M$1,FALSE)='District Calculations'!$B$25,VLOOKUP($A192,EnrollData2324,'2324 Jun 24 Enroll'!M$1,FALSE),'District Calculations'!$B$25)+IF(VLOOKUP($A192,EnrollData2324,'2324 Jun 24 Enroll'!D$1,FALSE)='District Calculations'!$B$11,VLOOKUP($A192,EnrollData2324,'2324 Jun 24 Enroll'!D$1,FALSE),'District Calculations'!$B$11)),5)</f>
        <v>5.5530000000000003E-2</v>
      </c>
      <c r="K192" s="11">
        <f t="shared" si="51"/>
        <v>4.365E-3</v>
      </c>
      <c r="L192">
        <f>ROUND(IF(VLOOKUP($A192,EnrollData2324,'2324 Jun 24 Enroll'!D$1,FALSE)='District Calculations'!$B$11,VLOOKUP($A192,EnrollData2324,'2324 Jun 24 Enroll'!D$1,FALSE),'District Calculations'!$B$11)*K192,3)</f>
        <v>0</v>
      </c>
      <c r="M192">
        <f>ROUND(IF(VLOOKUP($A192,EnrollData2324,'2324 Jun 24 Enroll'!E$1,FALSE)='District Calculations'!$B$12,VLOOKUP($A192,EnrollData2324,'2324 Jun 24 Enroll'!E$1,FALSE),'District Calculations'!$B$12)*K192,3)</f>
        <v>3.5379999999999998</v>
      </c>
      <c r="N192">
        <f>ROUND(IF(VLOOKUP($A192,EnrollData2324,'2324 Jun 24 Enroll'!F$1,FALSE)='District Calculations'!$B$13,VLOOKUP($A192,EnrollData2324,'2324 Jun 24 Enroll'!F$1,FALSE),'District Calculations'!$B$13)*Apport_223A2324,3)</f>
        <v>0.84199999999999997</v>
      </c>
      <c r="O192">
        <f>ROUND(IF(VLOOKUP($A192,EnrollData2324,'2324 Jun 24 Enroll'!G$1,FALSE)='District Calculations'!$B$14,VLOOKUP($A192,EnrollData2324,'2324 Jun 24 Enroll'!G$1,FALSE),'District Calculations'!$B$14)*Apport_211A2324,3)</f>
        <v>1.867</v>
      </c>
      <c r="P192">
        <f>ROUND(IF(VLOOKUP($A192,EnrollData2324,'2324 Jun 24 Enroll'!H$1,FALSE)='District Calculations'!$B$14,VLOOKUP($A192,EnrollData2324,'2324 Jun 24 Enroll'!H$1,FALSE),'District Calculations'!$B$14)*Apport_214A2324,3)</f>
        <v>1.8660000000000001</v>
      </c>
      <c r="Q192">
        <f>ROUND(IF(VLOOKUP($A192,EnrollData2324,'2324 Jun 24 Enroll'!I$1,FALSE)+VLOOKUP($A192,EnrollData2324,'2324 Jun 24 Enroll'!M$1,FALSE)-VLOOKUP($A192,EnrollData2324,'2324 Jun 24 Enroll'!J$1,FALSE)='District Calculations'!$B$16+'District Calculations'!$B$25-'District Calculations'!$B$17,VLOOKUP($A192,EnrollData2324,'2324 Jun 24 Enroll'!I$1,FALSE)+VLOOKUP($A192,EnrollData2324,'2324 Jun 24 Enroll'!M$1,FALSE)-VLOOKUP($A192,EnrollData2324,'2324 Jun 24 Enroll'!J$1,FALSE),'District Calculations'!$B$16+'District Calculations'!$B$25-'District Calculations'!$B$17)*Apport_217A2324,3)</f>
        <v>4.6980000000000004</v>
      </c>
      <c r="R192">
        <f>ROUND(SUM(L192:Q192)/IF(VLOOKUP($A192,EnrollData2324,'2324 Jun 24 Enroll'!M$1,FALSE)+VLOOKUP($A192,EnrollData2324,'2324 Jun 24 Enroll'!D$1,FALSE)='District Calculations'!$B$25+'District Calculations'!$B$11,VLOOKUP($A192,EnrollData2324,'2324 Jun 24 Enroll'!M$1,FALSE)+VLOOKUP($A192,EnrollData2324,'2324 Jun 24 Enroll'!D$1,FALSE),'District Calculations'!$B$25+'District Calculations'!$B$11),5)</f>
        <v>4.1000000000000003E-3</v>
      </c>
      <c r="S192" s="11">
        <f t="shared" si="52"/>
        <v>1.8294500000000002E-2</v>
      </c>
      <c r="T192">
        <f>ROUND(IF(VLOOKUP($A192,EnrollData2324,'2324 Jun 24 Enroll'!D$1,FALSE)='District Calculations'!$B$11,VLOOKUP($A192,EnrollData2324,'2324 Jun 24 Enroll'!D$1,FALSE),'District Calculations'!$B$11)*S192,3)</f>
        <v>0</v>
      </c>
      <c r="U192">
        <f>ROUND(IF(VLOOKUP($A192,EnrollData2324,'2324 Jun 24 Enroll'!E$1,FALSE)='District Calculations'!$B$12,VLOOKUP($A192,EnrollData2324,'2324 Jun 24 Enroll'!E$1,FALSE),'District Calculations'!$B$12)*S192,3)</f>
        <v>14.827999999999999</v>
      </c>
      <c r="V192">
        <f>ROUND(IF(VLOOKUP($A192,EnrollData2324,'2324 Jun 24 Enroll'!F$1,FALSE)='District Calculations'!$B$13,VLOOKUP($A192,EnrollData2324,'2324 Jun 24 Enroll'!F$1,FALSE),'District Calculations'!$B$13)*Apport_224A2324,3)</f>
        <v>3.6190000000000002</v>
      </c>
      <c r="W192">
        <f>ROUND(IF(VLOOKUP($A192,EnrollData2324,'2324 Jun 24 Enroll'!G$1,FALSE)='District Calculations'!$B$14,VLOOKUP($A192,EnrollData2324,'2324 Jun 24 Enroll'!G$1,FALSE),'District Calculations'!$B$14)*Apport_212A2324,3)</f>
        <v>8.0239999999999991</v>
      </c>
      <c r="X192">
        <f>ROUND(IF(VLOOKUP($A192,EnrollData2324,'2324 Jun 24 Enroll'!H$1,FALSE)='District Calculations'!$B$14,VLOOKUP($A192,EnrollData2324,'2324 Jun 24 Enroll'!H$1,FALSE),'District Calculations'!$B$14)*Apport_215A2324,3)</f>
        <v>7.9279999999999999</v>
      </c>
      <c r="Y192">
        <f>ROUND(IF(VLOOKUP($A192,EnrollData2324,'2324 Jun 24 Enroll'!I$1,FALSE)+VLOOKUP($A192,EnrollData2324,'2324 Jun 24 Enroll'!M$1,FALSE)-VLOOKUP($A192,EnrollData2324,'2324 Jun 24 Enroll'!J$1,FALSE)='District Calculations'!$B$16+'District Calculations'!$B$25-'District Calculations'!$B$17,VLOOKUP($A192,EnrollData2324,'2324 Jun 24 Enroll'!I$1,FALSE)+VLOOKUP($A192,EnrollData2324,'2324 Jun 24 Enroll'!M$1,FALSE)-VLOOKUP($A192,EnrollData2324,'2324 Jun 24 Enroll'!J$1,FALSE),'District Calculations'!$B$16+'District Calculations'!$B$25-'District Calculations'!$B$17)*Apport_218A2324,3)</f>
        <v>19.917999999999999</v>
      </c>
      <c r="Z192">
        <f>ROUND(SUM(T192:Y192)/IF(VLOOKUP($A192,EnrollData2324,'2324 Jun 24 Enroll'!M$1,FALSE)+VLOOKUP($A192,EnrollData2324,'2324 Jun 24 Enroll'!D$1,FALSE)='District Calculations'!$B$25+'District Calculations'!$B$11,VLOOKUP($A192,EnrollData2324,'2324 Jun 24 Enroll'!M$1,FALSE)+VLOOKUP($A192,EnrollData2324,'2324 Jun 24 Enroll'!D$1,FALSE),'District Calculations'!$B$25+'District Calculations'!$B$11),5)</f>
        <v>1.7399999999999999E-2</v>
      </c>
      <c r="AA192" s="6">
        <f>ROUND($J192*CIS_Base_Salary2324*VLOOKUP($A192,EnrollData2324,'2324 Jun 24 Enroll'!S$1,FALSE),2)</f>
        <v>4038.59</v>
      </c>
      <c r="AB192" s="6">
        <f>ROUND($J192*CIS_Inc_Salary2324*(VLOOKUP($A192,EnrollData2324,'2324 Jun 24 Enroll'!T$1,FALSE)+VLOOKUP($A192,EnrollData2324,'2324 Jun 24 Enroll'!U$1,FALSE)),2)-AA192</f>
        <v>149.43000000000029</v>
      </c>
      <c r="AC192" s="6">
        <f>ROUND($R192*CAS_Base_Salary2324*VLOOKUP($A192,EnrollData2324,'2324 Jun 24 Enroll'!S$1,FALSE),2)</f>
        <v>442.62</v>
      </c>
      <c r="AD192" s="6">
        <f>ROUND($R192*CAS_Inc_Salary2324*VLOOKUP($A192,EnrollData2324,'2324 Jun 24 Enroll'!T$1,FALSE),2)-AC192</f>
        <v>16.379999999999995</v>
      </c>
      <c r="AE192" s="6">
        <f>ROUND($Z192*CLS_Base_Salary2324*VLOOKUP($A192,EnrollData2324,'2324 Jun 24 Enroll'!S$1,FALSE),2)</f>
        <v>907.81</v>
      </c>
      <c r="AF192" s="6">
        <f>ROUND($Z192*CLS_Inc_Salary2324*VLOOKUP($A192,EnrollData2324,'2324 Jun 24 Enroll'!T$1,FALSE),2)-AE192</f>
        <v>33.580000000000041</v>
      </c>
      <c r="AG192">
        <f t="shared" si="48"/>
        <v>734.16</v>
      </c>
      <c r="AH192" s="69">
        <f t="shared" si="53"/>
        <v>68.700000000000045</v>
      </c>
      <c r="AI192">
        <f t="shared" si="49"/>
        <v>214.23</v>
      </c>
      <c r="AJ192">
        <f t="shared" si="54"/>
        <v>114.21000000000001</v>
      </c>
      <c r="AK192">
        <f t="shared" si="55"/>
        <v>805.27</v>
      </c>
      <c r="AL192">
        <f t="shared" si="56"/>
        <v>28.73</v>
      </c>
      <c r="AM192">
        <f t="shared" si="57"/>
        <v>200.26</v>
      </c>
      <c r="AN192">
        <f t="shared" si="58"/>
        <v>6.23</v>
      </c>
      <c r="AO192">
        <f>ROUND(($J192*CIS_Inc_Salary2324*(VLOOKUP($A192,EnrollData2324,'2324 Jun 24 Enroll'!T$1,FALSE)+VLOOKUP($A192,EnrollData2324,'2324 Jun 24 Enroll'!U$1,FALSE))/Apport_613Xpd)*Apport_614Xpd,2)</f>
        <v>69.8</v>
      </c>
      <c r="AP192">
        <f t="shared" si="59"/>
        <v>12.1</v>
      </c>
      <c r="AQ192">
        <f t="shared" si="60"/>
        <v>30.93</v>
      </c>
      <c r="AR192" s="6">
        <f>ROUND((VLOOKUP($A192,EnrollData2324,'2324 Jun 24 Enroll'!D$1,FALSE)*Apport_M802324+VLOOKUP($A192,EnrollData2324,'2324 Jun 24 Enroll'!M$1,FALSE)*Apport_M802324+(VLOOKUP($A192,EnrollData2324,'2324 Jun 24 Enroll'!P$1,FALSE)+VLOOKUP($A192,EnrollData2324,'2324 Jun 24 Enroll'!Q$1,FALSE)+VLOOKUP($A192,EnrollData2324,'2324 Jun 24 Enroll'!R$1,FALSE)+VLOOKUP($A192,EnrollData2324,'2324 Jun 24 Enroll'!I$1,FALSE)+VLOOKUP($A192,EnrollData2324,'2324 Jun 24 Enroll'!N$1,FALSE)+VLOOKUP($A192,EnrollData2324,'2324 Jun 24 Enroll'!O$1,FALSE)+VLOOKUP($A192,EnrollData2324,'2324 Jun 24 Enroll'!K$1,FALSE)+VLOOKUP($A192,EnrollData2324,'2324 Jun 24 Enroll'!L$1,FALSE))*Apport_M812324)/(VLOOKUP($A192,EnrollData2324,'2324 Jun 24 Enroll'!M$1,FALSE)+VLOOKUP($A192,EnrollData2324,'2324 Jun 24 Enroll'!D$1,FALSE)),2)</f>
        <v>1544.82</v>
      </c>
      <c r="AS192" s="7">
        <f t="shared" si="61"/>
        <v>9417.85</v>
      </c>
    </row>
    <row r="193" spans="1:46">
      <c r="A193" t="s">
        <v>1093</v>
      </c>
      <c r="B193" t="s">
        <v>1094</v>
      </c>
      <c r="C193" s="11">
        <f>ROUND((IFERROR((1/IF(VLOOKUP($A193,EnrollData2324,28,FALSE)='District Calculations'!$B$10,VLOOKUP($A193,EnrollData2324,28,FALSE),'District Calculations'!$B$10))*(1+Apport_Z315),0))+Apport_201A2324,6)</f>
        <v>7.3449E-2</v>
      </c>
      <c r="D193">
        <f>ROUND(IF(VLOOKUP($A193,EnrollData2324,'2324 Jun 24 Enroll'!D$1,FALSE)='District Calculations'!$B$11,VLOOKUP($A193,EnrollData2324,'2324 Jun 24 Enroll'!D$1,FALSE),'District Calculations'!$B$11)*C193,3)</f>
        <v>0</v>
      </c>
      <c r="E193">
        <f>ROUND(IF(VLOOKUP($A193,EnrollData2324,'2324 Jun 24 Enroll'!E$1,FALSE)='District Calculations'!$B$12,VLOOKUP($A193,EnrollData2324,'2324 Jun 24 Enroll'!E$1,FALSE),'District Calculations'!$B$12)*C193,3)</f>
        <v>59.53</v>
      </c>
      <c r="F193">
        <f>ROUND(IF(VLOOKUP($A193,EnrollData2324,'2324 Jun 24 Enroll'!F$1,FALSE)='District Calculations'!$B$13,VLOOKUP($A193,EnrollData2324,'2324 Jun 24 Enroll'!F$1,FALSE),'District Calculations'!$B$13)*Apport_222A2324,3)</f>
        <v>10.101000000000001</v>
      </c>
      <c r="G193">
        <f>ROUND(IF(VLOOKUP($A193,EnrollData2324,'2324 Jun 24 Enroll'!G$1,FALSE)='District Calculations'!$B$14,VLOOKUP($A193,EnrollData2324,'2324 Jun 24 Enroll'!G$1,FALSE),'District Calculations'!$B$14)*Apport_210A2324,3)</f>
        <v>22.395</v>
      </c>
      <c r="H193">
        <f>ROUND(IF(VLOOKUP($A193,EnrollData2324,'2324 Jun 24 Enroll'!H$1,FALSE)='District Calculations'!$B$15,VLOOKUP($A193,EnrollData2324,'2324 Jun 24 Enroll'!H$1,FALSE),'District Calculations'!$B$15)*Apport_213A2324,3)</f>
        <v>23.091999999999999</v>
      </c>
      <c r="I193">
        <f>ROUND(IF(VLOOKUP($A193,EnrollData2324,'2324 Jun 24 Enroll'!I$1,FALSE)+VLOOKUP($A193,EnrollData2324,'2324 Jun 24 Enroll'!M$1,FALSE)-VLOOKUP($A193,EnrollData2324,'2324 Jun 24 Enroll'!J$1,FALSE)='District Calculations'!$B$16+'District Calculations'!$B$25-'District Calculations'!$B$17,VLOOKUP($A193,EnrollData2324,'2324 Jun 24 Enroll'!I$1,FALSE)+VLOOKUP($A193,EnrollData2324,'2324 Jun 24 Enroll'!M$1,FALSE)-VLOOKUP($A193,EnrollData2324,'2324 Jun 24 Enroll'!J$1,FALSE),'District Calculations'!$B$16+'District Calculations'!$B$25-'District Calculations'!$B$17)*Apport_216A2324,3)</f>
        <v>58.183999999999997</v>
      </c>
      <c r="J193">
        <f>ROUND(SUM(D193:I193)/(IF(VLOOKUP($A193,EnrollData2324,'2324 Jun 24 Enroll'!M$1,FALSE)='District Calculations'!$B$25,VLOOKUP($A193,EnrollData2324,'2324 Jun 24 Enroll'!M$1,FALSE),'District Calculations'!$B$25)+IF(VLOOKUP($A193,EnrollData2324,'2324 Jun 24 Enroll'!D$1,FALSE)='District Calculations'!$B$11,VLOOKUP($A193,EnrollData2324,'2324 Jun 24 Enroll'!D$1,FALSE),'District Calculations'!$B$11)),5)</f>
        <v>5.5530000000000003E-2</v>
      </c>
      <c r="K193" s="11">
        <f t="shared" si="51"/>
        <v>4.365E-3</v>
      </c>
      <c r="L193">
        <f>ROUND(IF(VLOOKUP($A193,EnrollData2324,'2324 Jun 24 Enroll'!D$1,FALSE)='District Calculations'!$B$11,VLOOKUP($A193,EnrollData2324,'2324 Jun 24 Enroll'!D$1,FALSE),'District Calculations'!$B$11)*K193,3)</f>
        <v>0</v>
      </c>
      <c r="M193">
        <f>ROUND(IF(VLOOKUP($A193,EnrollData2324,'2324 Jun 24 Enroll'!E$1,FALSE)='District Calculations'!$B$12,VLOOKUP($A193,EnrollData2324,'2324 Jun 24 Enroll'!E$1,FALSE),'District Calculations'!$B$12)*K193,3)</f>
        <v>3.5379999999999998</v>
      </c>
      <c r="N193">
        <f>ROUND(IF(VLOOKUP($A193,EnrollData2324,'2324 Jun 24 Enroll'!F$1,FALSE)='District Calculations'!$B$13,VLOOKUP($A193,EnrollData2324,'2324 Jun 24 Enroll'!F$1,FALSE),'District Calculations'!$B$13)*Apport_223A2324,3)</f>
        <v>0.84199999999999997</v>
      </c>
      <c r="O193">
        <f>ROUND(IF(VLOOKUP($A193,EnrollData2324,'2324 Jun 24 Enroll'!G$1,FALSE)='District Calculations'!$B$14,VLOOKUP($A193,EnrollData2324,'2324 Jun 24 Enroll'!G$1,FALSE),'District Calculations'!$B$14)*Apport_211A2324,3)</f>
        <v>1.867</v>
      </c>
      <c r="P193">
        <f>ROUND(IF(VLOOKUP($A193,EnrollData2324,'2324 Jun 24 Enroll'!H$1,FALSE)='District Calculations'!$B$14,VLOOKUP($A193,EnrollData2324,'2324 Jun 24 Enroll'!H$1,FALSE),'District Calculations'!$B$14)*Apport_214A2324,3)</f>
        <v>1.8660000000000001</v>
      </c>
      <c r="Q193">
        <f>ROUND(IF(VLOOKUP($A193,EnrollData2324,'2324 Jun 24 Enroll'!I$1,FALSE)+VLOOKUP($A193,EnrollData2324,'2324 Jun 24 Enroll'!M$1,FALSE)-VLOOKUP($A193,EnrollData2324,'2324 Jun 24 Enroll'!J$1,FALSE)='District Calculations'!$B$16+'District Calculations'!$B$25-'District Calculations'!$B$17,VLOOKUP($A193,EnrollData2324,'2324 Jun 24 Enroll'!I$1,FALSE)+VLOOKUP($A193,EnrollData2324,'2324 Jun 24 Enroll'!M$1,FALSE)-VLOOKUP($A193,EnrollData2324,'2324 Jun 24 Enroll'!J$1,FALSE),'District Calculations'!$B$16+'District Calculations'!$B$25-'District Calculations'!$B$17)*Apport_217A2324,3)</f>
        <v>4.6980000000000004</v>
      </c>
      <c r="R193">
        <f>ROUND(SUM(L193:Q193)/IF(VLOOKUP($A193,EnrollData2324,'2324 Jun 24 Enroll'!M$1,FALSE)+VLOOKUP($A193,EnrollData2324,'2324 Jun 24 Enroll'!D$1,FALSE)='District Calculations'!$B$25+'District Calculations'!$B$11,VLOOKUP($A193,EnrollData2324,'2324 Jun 24 Enroll'!M$1,FALSE)+VLOOKUP($A193,EnrollData2324,'2324 Jun 24 Enroll'!D$1,FALSE),'District Calculations'!$B$25+'District Calculations'!$B$11),5)</f>
        <v>4.1000000000000003E-3</v>
      </c>
      <c r="S193" s="11">
        <f t="shared" si="52"/>
        <v>1.8294500000000002E-2</v>
      </c>
      <c r="T193">
        <f>ROUND(IF(VLOOKUP($A193,EnrollData2324,'2324 Jun 24 Enroll'!D$1,FALSE)='District Calculations'!$B$11,VLOOKUP($A193,EnrollData2324,'2324 Jun 24 Enroll'!D$1,FALSE),'District Calculations'!$B$11)*S193,3)</f>
        <v>0</v>
      </c>
      <c r="U193">
        <f>ROUND(IF(VLOOKUP($A193,EnrollData2324,'2324 Jun 24 Enroll'!E$1,FALSE)='District Calculations'!$B$12,VLOOKUP($A193,EnrollData2324,'2324 Jun 24 Enroll'!E$1,FALSE),'District Calculations'!$B$12)*S193,3)</f>
        <v>14.827999999999999</v>
      </c>
      <c r="V193">
        <f>ROUND(IF(VLOOKUP($A193,EnrollData2324,'2324 Jun 24 Enroll'!F$1,FALSE)='District Calculations'!$B$13,VLOOKUP($A193,EnrollData2324,'2324 Jun 24 Enroll'!F$1,FALSE),'District Calculations'!$B$13)*Apport_224A2324,3)</f>
        <v>3.6190000000000002</v>
      </c>
      <c r="W193">
        <f>ROUND(IF(VLOOKUP($A193,EnrollData2324,'2324 Jun 24 Enroll'!G$1,FALSE)='District Calculations'!$B$14,VLOOKUP($A193,EnrollData2324,'2324 Jun 24 Enroll'!G$1,FALSE),'District Calculations'!$B$14)*Apport_212A2324,3)</f>
        <v>8.0239999999999991</v>
      </c>
      <c r="X193">
        <f>ROUND(IF(VLOOKUP($A193,EnrollData2324,'2324 Jun 24 Enroll'!H$1,FALSE)='District Calculations'!$B$14,VLOOKUP($A193,EnrollData2324,'2324 Jun 24 Enroll'!H$1,FALSE),'District Calculations'!$B$14)*Apport_215A2324,3)</f>
        <v>7.9279999999999999</v>
      </c>
      <c r="Y193">
        <f>ROUND(IF(VLOOKUP($A193,EnrollData2324,'2324 Jun 24 Enroll'!I$1,FALSE)+VLOOKUP($A193,EnrollData2324,'2324 Jun 24 Enroll'!M$1,FALSE)-VLOOKUP($A193,EnrollData2324,'2324 Jun 24 Enroll'!J$1,FALSE)='District Calculations'!$B$16+'District Calculations'!$B$25-'District Calculations'!$B$17,VLOOKUP($A193,EnrollData2324,'2324 Jun 24 Enroll'!I$1,FALSE)+VLOOKUP($A193,EnrollData2324,'2324 Jun 24 Enroll'!M$1,FALSE)-VLOOKUP($A193,EnrollData2324,'2324 Jun 24 Enroll'!J$1,FALSE),'District Calculations'!$B$16+'District Calculations'!$B$25-'District Calculations'!$B$17)*Apport_218A2324,3)</f>
        <v>19.917999999999999</v>
      </c>
      <c r="Z193">
        <f>ROUND(SUM(T193:Y193)/IF(VLOOKUP($A193,EnrollData2324,'2324 Jun 24 Enroll'!M$1,FALSE)+VLOOKUP($A193,EnrollData2324,'2324 Jun 24 Enroll'!D$1,FALSE)='District Calculations'!$B$25+'District Calculations'!$B$11,VLOOKUP($A193,EnrollData2324,'2324 Jun 24 Enroll'!M$1,FALSE)+VLOOKUP($A193,EnrollData2324,'2324 Jun 24 Enroll'!D$1,FALSE),'District Calculations'!$B$25+'District Calculations'!$B$11),5)</f>
        <v>1.7399999999999999E-2</v>
      </c>
      <c r="AA193" s="6">
        <f>ROUND($J193*CIS_Base_Salary2324*VLOOKUP($A193,EnrollData2324,'2324 Jun 24 Enroll'!S$1,FALSE),2)</f>
        <v>4038.59</v>
      </c>
      <c r="AB193" s="6">
        <f>ROUND($J193*CIS_Inc_Salary2324*(VLOOKUP($A193,EnrollData2324,'2324 Jun 24 Enroll'!T$1,FALSE)+VLOOKUP($A193,EnrollData2324,'2324 Jun 24 Enroll'!U$1,FALSE)),2)-AA193</f>
        <v>149.43000000000029</v>
      </c>
      <c r="AC193" s="6">
        <f>ROUND($R193*CAS_Base_Salary2324*VLOOKUP($A193,EnrollData2324,'2324 Jun 24 Enroll'!S$1,FALSE),2)</f>
        <v>442.62</v>
      </c>
      <c r="AD193" s="6">
        <f>ROUND($R193*CAS_Inc_Salary2324*VLOOKUP($A193,EnrollData2324,'2324 Jun 24 Enroll'!T$1,FALSE),2)-AC193</f>
        <v>16.379999999999995</v>
      </c>
      <c r="AE193" s="6">
        <f>ROUND($Z193*CLS_Base_Salary2324*VLOOKUP($A193,EnrollData2324,'2324 Jun 24 Enroll'!S$1,FALSE),2)</f>
        <v>907.81</v>
      </c>
      <c r="AF193" s="6">
        <f>ROUND($Z193*CLS_Inc_Salary2324*VLOOKUP($A193,EnrollData2324,'2324 Jun 24 Enroll'!T$1,FALSE),2)-AE193</f>
        <v>33.580000000000041</v>
      </c>
      <c r="AG193">
        <f t="shared" si="48"/>
        <v>734.16</v>
      </c>
      <c r="AH193" s="69">
        <f t="shared" si="53"/>
        <v>68.700000000000045</v>
      </c>
      <c r="AI193">
        <f t="shared" si="49"/>
        <v>214.23</v>
      </c>
      <c r="AJ193">
        <f t="shared" si="54"/>
        <v>114.21000000000001</v>
      </c>
      <c r="AK193">
        <f t="shared" si="55"/>
        <v>805.27</v>
      </c>
      <c r="AL193">
        <f t="shared" si="56"/>
        <v>28.73</v>
      </c>
      <c r="AM193">
        <f t="shared" si="57"/>
        <v>200.26</v>
      </c>
      <c r="AN193">
        <f t="shared" si="58"/>
        <v>6.23</v>
      </c>
      <c r="AO193">
        <f>ROUND(($J193*CIS_Inc_Salary2324*(VLOOKUP($A193,EnrollData2324,'2324 Jun 24 Enroll'!T$1,FALSE)+VLOOKUP($A193,EnrollData2324,'2324 Jun 24 Enroll'!U$1,FALSE))/Apport_613Xpd)*Apport_614Xpd,2)</f>
        <v>69.8</v>
      </c>
      <c r="AP193">
        <f t="shared" si="59"/>
        <v>12.1</v>
      </c>
      <c r="AQ193">
        <f t="shared" si="60"/>
        <v>30.93</v>
      </c>
      <c r="AR193" s="6">
        <f>ROUND((VLOOKUP($A193,EnrollData2324,'2324 Jun 24 Enroll'!D$1,FALSE)*Apport_M802324+VLOOKUP($A193,EnrollData2324,'2324 Jun 24 Enroll'!M$1,FALSE)*Apport_M802324+(VLOOKUP($A193,EnrollData2324,'2324 Jun 24 Enroll'!P$1,FALSE)+VLOOKUP($A193,EnrollData2324,'2324 Jun 24 Enroll'!Q$1,FALSE)+VLOOKUP($A193,EnrollData2324,'2324 Jun 24 Enroll'!R$1,FALSE)+VLOOKUP($A193,EnrollData2324,'2324 Jun 24 Enroll'!I$1,FALSE)+VLOOKUP($A193,EnrollData2324,'2324 Jun 24 Enroll'!N$1,FALSE)+VLOOKUP($A193,EnrollData2324,'2324 Jun 24 Enroll'!O$1,FALSE)+VLOOKUP($A193,EnrollData2324,'2324 Jun 24 Enroll'!K$1,FALSE)+VLOOKUP($A193,EnrollData2324,'2324 Jun 24 Enroll'!L$1,FALSE))*Apport_M812324)/(VLOOKUP($A193,EnrollData2324,'2324 Jun 24 Enroll'!M$1,FALSE)+VLOOKUP($A193,EnrollData2324,'2324 Jun 24 Enroll'!D$1,FALSE)),2)</f>
        <v>1496.55</v>
      </c>
      <c r="AS193" s="7">
        <f t="shared" ref="AS193" si="62">SUM(AA193:AR193)</f>
        <v>9369.58</v>
      </c>
      <c r="AT193" s="6"/>
    </row>
    <row r="194" spans="1:46">
      <c r="A194" s="40" t="s">
        <v>717</v>
      </c>
      <c r="B194" s="40" t="s">
        <v>718</v>
      </c>
      <c r="C194" s="11">
        <f>ROUND((IFERROR((1/IF(VLOOKUP($A194,EnrollData2324,28,FALSE)='District Calculations'!$B$10,VLOOKUP($A194,EnrollData2324,28,FALSE),'District Calculations'!$B$10))*(1+Apport_Z315),0))+Apport_201A2324,6)</f>
        <v>7.3449E-2</v>
      </c>
      <c r="D194">
        <f>ROUND(IF(VLOOKUP($A194,EnrollData2324,'2324 Jun 24 Enroll'!D$1,FALSE)='District Calculations'!$B$11,VLOOKUP($A194,EnrollData2324,'2324 Jun 24 Enroll'!D$1,FALSE),'District Calculations'!$B$11)*C194,3)</f>
        <v>0</v>
      </c>
      <c r="E194">
        <f>ROUND(IF(VLOOKUP($A194,EnrollData2324,'2324 Jun 24 Enroll'!E$1,FALSE)='District Calculations'!$B$12,VLOOKUP($A194,EnrollData2324,'2324 Jun 24 Enroll'!E$1,FALSE),'District Calculations'!$B$12)*C194,3)</f>
        <v>59.53</v>
      </c>
      <c r="F194">
        <f>ROUND(IF(VLOOKUP($A194,EnrollData2324,'2324 Jun 24 Enroll'!F$1,FALSE)='District Calculations'!$B$13,VLOOKUP($A194,EnrollData2324,'2324 Jun 24 Enroll'!F$1,FALSE),'District Calculations'!$B$13)*Apport_222A2324,3)</f>
        <v>10.101000000000001</v>
      </c>
      <c r="G194">
        <f>ROUND(IF(VLOOKUP($A194,EnrollData2324,'2324 Jun 24 Enroll'!G$1,FALSE)='District Calculations'!$B$14,VLOOKUP($A194,EnrollData2324,'2324 Jun 24 Enroll'!G$1,FALSE),'District Calculations'!$B$14)*Apport_210A2324,3)</f>
        <v>22.395</v>
      </c>
      <c r="H194">
        <f>ROUND(IF(VLOOKUP($A194,EnrollData2324,'2324 Jun 24 Enroll'!H$1,FALSE)='District Calculations'!$B$15,VLOOKUP($A194,EnrollData2324,'2324 Jun 24 Enroll'!H$1,FALSE),'District Calculations'!$B$15)*Apport_213A2324,3)</f>
        <v>23.091999999999999</v>
      </c>
      <c r="I194">
        <f>ROUND(IF(VLOOKUP($A194,EnrollData2324,'2324 Jun 24 Enroll'!I$1,FALSE)+VLOOKUP($A194,EnrollData2324,'2324 Jun 24 Enroll'!M$1,FALSE)-VLOOKUP($A194,EnrollData2324,'2324 Jun 24 Enroll'!J$1,FALSE)='District Calculations'!$B$16+'District Calculations'!$B$25-'District Calculations'!$B$17,VLOOKUP($A194,EnrollData2324,'2324 Jun 24 Enroll'!I$1,FALSE)+VLOOKUP($A194,EnrollData2324,'2324 Jun 24 Enroll'!M$1,FALSE)-VLOOKUP($A194,EnrollData2324,'2324 Jun 24 Enroll'!J$1,FALSE),'District Calculations'!$B$16+'District Calculations'!$B$25-'District Calculations'!$B$17)*Apport_216A2324,3)</f>
        <v>58.183999999999997</v>
      </c>
      <c r="J194">
        <f>ROUND(SUM(D194:I194)/(IF(VLOOKUP($A194,EnrollData2324,'2324 Jun 24 Enroll'!M$1,FALSE)='District Calculations'!$B$25,VLOOKUP($A194,EnrollData2324,'2324 Jun 24 Enroll'!M$1,FALSE),'District Calculations'!$B$25)+IF(VLOOKUP($A194,EnrollData2324,'2324 Jun 24 Enroll'!D$1,FALSE)='District Calculations'!$B$11,VLOOKUP($A194,EnrollData2324,'2324 Jun 24 Enroll'!D$1,FALSE),'District Calculations'!$B$11)),5)</f>
        <v>5.5530000000000003E-2</v>
      </c>
      <c r="K194" s="11">
        <f t="shared" si="51"/>
        <v>4.365E-3</v>
      </c>
      <c r="L194">
        <f>ROUND(IF(VLOOKUP($A194,EnrollData2324,'2324 Jun 24 Enroll'!D$1,FALSE)='District Calculations'!$B$11,VLOOKUP($A194,EnrollData2324,'2324 Jun 24 Enroll'!D$1,FALSE),'District Calculations'!$B$11)*K194,3)</f>
        <v>0</v>
      </c>
      <c r="M194">
        <f>ROUND(IF(VLOOKUP($A194,EnrollData2324,'2324 Jun 24 Enroll'!E$1,FALSE)='District Calculations'!$B$12,VLOOKUP($A194,EnrollData2324,'2324 Jun 24 Enroll'!E$1,FALSE),'District Calculations'!$B$12)*K194,3)</f>
        <v>3.5379999999999998</v>
      </c>
      <c r="N194">
        <f>ROUND(IF(VLOOKUP($A194,EnrollData2324,'2324 Jun 24 Enroll'!F$1,FALSE)='District Calculations'!$B$13,VLOOKUP($A194,EnrollData2324,'2324 Jun 24 Enroll'!F$1,FALSE),'District Calculations'!$B$13)*Apport_223A2324,3)</f>
        <v>0.84199999999999997</v>
      </c>
      <c r="O194">
        <f>ROUND(IF(VLOOKUP($A194,EnrollData2324,'2324 Jun 24 Enroll'!G$1,FALSE)='District Calculations'!$B$14,VLOOKUP($A194,EnrollData2324,'2324 Jun 24 Enroll'!G$1,FALSE),'District Calculations'!$B$14)*Apport_211A2324,3)</f>
        <v>1.867</v>
      </c>
      <c r="P194">
        <f>ROUND(IF(VLOOKUP($A194,EnrollData2324,'2324 Jun 24 Enroll'!H$1,FALSE)='District Calculations'!$B$14,VLOOKUP($A194,EnrollData2324,'2324 Jun 24 Enroll'!H$1,FALSE),'District Calculations'!$B$14)*Apport_214A2324,3)</f>
        <v>1.8660000000000001</v>
      </c>
      <c r="Q194">
        <f>ROUND(IF(VLOOKUP($A194,EnrollData2324,'2324 Jun 24 Enroll'!I$1,FALSE)+VLOOKUP($A194,EnrollData2324,'2324 Jun 24 Enroll'!M$1,FALSE)-VLOOKUP($A194,EnrollData2324,'2324 Jun 24 Enroll'!J$1,FALSE)='District Calculations'!$B$16+'District Calculations'!$B$25-'District Calculations'!$B$17,VLOOKUP($A194,EnrollData2324,'2324 Jun 24 Enroll'!I$1,FALSE)+VLOOKUP($A194,EnrollData2324,'2324 Jun 24 Enroll'!M$1,FALSE)-VLOOKUP($A194,EnrollData2324,'2324 Jun 24 Enroll'!J$1,FALSE),'District Calculations'!$B$16+'District Calculations'!$B$25-'District Calculations'!$B$17)*Apport_217A2324,3)</f>
        <v>4.6980000000000004</v>
      </c>
      <c r="R194">
        <f>ROUND(SUM(L194:Q194)/IF(VLOOKUP($A194,EnrollData2324,'2324 Jun 24 Enroll'!M$1,FALSE)+VLOOKUP($A194,EnrollData2324,'2324 Jun 24 Enroll'!D$1,FALSE)='District Calculations'!$B$25+'District Calculations'!$B$11,VLOOKUP($A194,EnrollData2324,'2324 Jun 24 Enroll'!M$1,FALSE)+VLOOKUP($A194,EnrollData2324,'2324 Jun 24 Enroll'!D$1,FALSE),'District Calculations'!$B$25+'District Calculations'!$B$11),5)</f>
        <v>4.1000000000000003E-3</v>
      </c>
      <c r="S194" s="11">
        <f t="shared" si="52"/>
        <v>1.8294500000000002E-2</v>
      </c>
      <c r="T194">
        <f>ROUND(IF(VLOOKUP($A194,EnrollData2324,'2324 Jun 24 Enroll'!D$1,FALSE)='District Calculations'!$B$11,VLOOKUP($A194,EnrollData2324,'2324 Jun 24 Enroll'!D$1,FALSE),'District Calculations'!$B$11)*S194,3)</f>
        <v>0</v>
      </c>
      <c r="U194">
        <f>ROUND(IF(VLOOKUP($A194,EnrollData2324,'2324 Jun 24 Enroll'!E$1,FALSE)='District Calculations'!$B$12,VLOOKUP($A194,EnrollData2324,'2324 Jun 24 Enroll'!E$1,FALSE),'District Calculations'!$B$12)*S194,3)</f>
        <v>14.827999999999999</v>
      </c>
      <c r="V194">
        <f>ROUND(IF(VLOOKUP($A194,EnrollData2324,'2324 Jun 24 Enroll'!F$1,FALSE)='District Calculations'!$B$13,VLOOKUP($A194,EnrollData2324,'2324 Jun 24 Enroll'!F$1,FALSE),'District Calculations'!$B$13)*Apport_224A2324,3)</f>
        <v>3.6190000000000002</v>
      </c>
      <c r="W194">
        <f>ROUND(IF(VLOOKUP($A194,EnrollData2324,'2324 Jun 24 Enroll'!G$1,FALSE)='District Calculations'!$B$14,VLOOKUP($A194,EnrollData2324,'2324 Jun 24 Enroll'!G$1,FALSE),'District Calculations'!$B$14)*Apport_212A2324,3)</f>
        <v>8.0239999999999991</v>
      </c>
      <c r="X194">
        <f>ROUND(IF(VLOOKUP($A194,EnrollData2324,'2324 Jun 24 Enroll'!H$1,FALSE)='District Calculations'!$B$14,VLOOKUP($A194,EnrollData2324,'2324 Jun 24 Enroll'!H$1,FALSE),'District Calculations'!$B$14)*Apport_215A2324,3)</f>
        <v>7.9279999999999999</v>
      </c>
      <c r="Y194">
        <f>ROUND(IF(VLOOKUP($A194,EnrollData2324,'2324 Jun 24 Enroll'!I$1,FALSE)+VLOOKUP($A194,EnrollData2324,'2324 Jun 24 Enroll'!M$1,FALSE)-VLOOKUP($A194,EnrollData2324,'2324 Jun 24 Enroll'!J$1,FALSE)='District Calculations'!$B$16+'District Calculations'!$B$25-'District Calculations'!$B$17,VLOOKUP($A194,EnrollData2324,'2324 Jun 24 Enroll'!I$1,FALSE)+VLOOKUP($A194,EnrollData2324,'2324 Jun 24 Enroll'!M$1,FALSE)-VLOOKUP($A194,EnrollData2324,'2324 Jun 24 Enroll'!J$1,FALSE),'District Calculations'!$B$16+'District Calculations'!$B$25-'District Calculations'!$B$17)*Apport_218A2324,3)</f>
        <v>19.917999999999999</v>
      </c>
      <c r="Z194">
        <f>ROUND(SUM(T194:Y194)/IF(VLOOKUP($A194,EnrollData2324,'2324 Jun 24 Enroll'!M$1,FALSE)+VLOOKUP($A194,EnrollData2324,'2324 Jun 24 Enroll'!D$1,FALSE)='District Calculations'!$B$25+'District Calculations'!$B$11,VLOOKUP($A194,EnrollData2324,'2324 Jun 24 Enroll'!M$1,FALSE)+VLOOKUP($A194,EnrollData2324,'2324 Jun 24 Enroll'!D$1,FALSE),'District Calculations'!$B$25+'District Calculations'!$B$11),5)</f>
        <v>1.7399999999999999E-2</v>
      </c>
      <c r="AA194" s="6">
        <f>ROUND($J194*CIS_Base_Salary2324*VLOOKUP($A194,EnrollData2324,'2324 Jun 24 Enroll'!S$1,FALSE),2)</f>
        <v>4038.59</v>
      </c>
      <c r="AB194" s="6">
        <f>ROUND($J194*CIS_Inc_Salary2324*(VLOOKUP($A194,EnrollData2324,'2324 Jun 24 Enroll'!T$1,FALSE)+VLOOKUP($A194,EnrollData2324,'2324 Jun 24 Enroll'!U$1,FALSE)),2)-AA194</f>
        <v>149.43000000000029</v>
      </c>
      <c r="AC194" s="6">
        <f>ROUND($R194*CAS_Base_Salary2324*VLOOKUP($A194,EnrollData2324,'2324 Jun 24 Enroll'!S$1,FALSE),2)</f>
        <v>442.62</v>
      </c>
      <c r="AD194" s="6">
        <f>ROUND($R194*CAS_Inc_Salary2324*VLOOKUP($A194,EnrollData2324,'2324 Jun 24 Enroll'!T$1,FALSE),2)-AC194</f>
        <v>16.379999999999995</v>
      </c>
      <c r="AE194" s="6">
        <f>ROUND($Z194*CLS_Base_Salary2324*VLOOKUP($A194,EnrollData2324,'2324 Jun 24 Enroll'!S$1,FALSE),2)</f>
        <v>907.81</v>
      </c>
      <c r="AF194" s="6">
        <f>ROUND($Z194*CLS_Inc_Salary2324*VLOOKUP($A194,EnrollData2324,'2324 Jun 24 Enroll'!T$1,FALSE),2)-AE194</f>
        <v>33.580000000000041</v>
      </c>
      <c r="AG194">
        <f t="shared" si="48"/>
        <v>734.16</v>
      </c>
      <c r="AH194" s="69">
        <f t="shared" si="53"/>
        <v>68.700000000000045</v>
      </c>
      <c r="AI194">
        <f t="shared" si="49"/>
        <v>214.23</v>
      </c>
      <c r="AJ194">
        <f t="shared" si="54"/>
        <v>114.21000000000001</v>
      </c>
      <c r="AK194">
        <f t="shared" si="55"/>
        <v>805.27</v>
      </c>
      <c r="AL194">
        <f t="shared" si="56"/>
        <v>28.73</v>
      </c>
      <c r="AM194">
        <f t="shared" si="57"/>
        <v>200.26</v>
      </c>
      <c r="AN194">
        <f t="shared" si="58"/>
        <v>6.23</v>
      </c>
      <c r="AO194">
        <f>ROUND(($J194*CIS_Inc_Salary2324*(VLOOKUP($A194,EnrollData2324,'2324 Jun 24 Enroll'!T$1,FALSE)+VLOOKUP($A194,EnrollData2324,'2324 Jun 24 Enroll'!U$1,FALSE))/Apport_613Xpd)*Apport_614Xpd,2)</f>
        <v>69.8</v>
      </c>
      <c r="AP194">
        <f t="shared" si="59"/>
        <v>12.1</v>
      </c>
      <c r="AQ194">
        <f t="shared" si="60"/>
        <v>30.93</v>
      </c>
      <c r="AR194" s="6">
        <f>ROUND((VLOOKUP($A194,EnrollData2324,'2324 Jun 24 Enroll'!D$1,FALSE)*Apport_M802324+VLOOKUP($A194,EnrollData2324,'2324 Jun 24 Enroll'!M$1,FALSE)*Apport_M802324+(VLOOKUP($A194,EnrollData2324,'2324 Jun 24 Enroll'!P$1,FALSE)+VLOOKUP($A194,EnrollData2324,'2324 Jun 24 Enroll'!Q$1,FALSE)+VLOOKUP($A194,EnrollData2324,'2324 Jun 24 Enroll'!R$1,FALSE)+VLOOKUP($A194,EnrollData2324,'2324 Jun 24 Enroll'!I$1,FALSE)+VLOOKUP($A194,EnrollData2324,'2324 Jun 24 Enroll'!N$1,FALSE)+VLOOKUP($A194,EnrollData2324,'2324 Jun 24 Enroll'!O$1,FALSE)+VLOOKUP($A194,EnrollData2324,'2324 Jun 24 Enroll'!K$1,FALSE)+VLOOKUP($A194,EnrollData2324,'2324 Jun 24 Enroll'!L$1,FALSE))*Apport_M812324)/(VLOOKUP($A194,EnrollData2324,'2324 Jun 24 Enroll'!M$1,FALSE)+VLOOKUP($A194,EnrollData2324,'2324 Jun 24 Enroll'!D$1,FALSE)),2)</f>
        <v>1553.55</v>
      </c>
      <c r="AS194" s="7">
        <f t="shared" si="61"/>
        <v>9426.58</v>
      </c>
      <c r="AT194" s="6"/>
    </row>
    <row r="195" spans="1:46">
      <c r="A195" s="40" t="s">
        <v>773</v>
      </c>
      <c r="B195" s="40" t="s">
        <v>774</v>
      </c>
      <c r="C195" s="11">
        <f>ROUND((IFERROR((1/IF(VLOOKUP($A195,EnrollData2324,28,FALSE)='District Calculations'!$B$10,VLOOKUP($A195,EnrollData2324,28,FALSE),'District Calculations'!$B$10))*(1+Apport_Z315),0))+Apport_201A2324,6)</f>
        <v>7.3449E-2</v>
      </c>
      <c r="D195">
        <f>ROUND(IF(VLOOKUP($A195,EnrollData2324,'2324 Jun 24 Enroll'!D$1,FALSE)='District Calculations'!$B$11,VLOOKUP($A195,EnrollData2324,'2324 Jun 24 Enroll'!D$1,FALSE),'District Calculations'!$B$11)*C195,3)</f>
        <v>0</v>
      </c>
      <c r="E195">
        <f>ROUND(IF(VLOOKUP($A195,EnrollData2324,'2324 Jun 24 Enroll'!E$1,FALSE)='District Calculations'!$B$12,VLOOKUP($A195,EnrollData2324,'2324 Jun 24 Enroll'!E$1,FALSE),'District Calculations'!$B$12)*C195,3)</f>
        <v>59.53</v>
      </c>
      <c r="F195">
        <f>ROUND(IF(VLOOKUP($A195,EnrollData2324,'2324 Jun 24 Enroll'!F$1,FALSE)='District Calculations'!$B$13,VLOOKUP($A195,EnrollData2324,'2324 Jun 24 Enroll'!F$1,FALSE),'District Calculations'!$B$13)*Apport_222A2324,3)</f>
        <v>10.101000000000001</v>
      </c>
      <c r="G195">
        <f>ROUND(IF(VLOOKUP($A195,EnrollData2324,'2324 Jun 24 Enroll'!G$1,FALSE)='District Calculations'!$B$14,VLOOKUP($A195,EnrollData2324,'2324 Jun 24 Enroll'!G$1,FALSE),'District Calculations'!$B$14)*Apport_210A2324,3)</f>
        <v>22.395</v>
      </c>
      <c r="H195">
        <f>ROUND(IF(VLOOKUP($A195,EnrollData2324,'2324 Jun 24 Enroll'!H$1,FALSE)='District Calculations'!$B$15,VLOOKUP($A195,EnrollData2324,'2324 Jun 24 Enroll'!H$1,FALSE),'District Calculations'!$B$15)*Apport_213A2324,3)</f>
        <v>23.091999999999999</v>
      </c>
      <c r="I195">
        <f>ROUND(IF(VLOOKUP($A195,EnrollData2324,'2324 Jun 24 Enroll'!I$1,FALSE)+VLOOKUP($A195,EnrollData2324,'2324 Jun 24 Enroll'!M$1,FALSE)-VLOOKUP($A195,EnrollData2324,'2324 Jun 24 Enroll'!J$1,FALSE)='District Calculations'!$B$16+'District Calculations'!$B$25-'District Calculations'!$B$17,VLOOKUP($A195,EnrollData2324,'2324 Jun 24 Enroll'!I$1,FALSE)+VLOOKUP($A195,EnrollData2324,'2324 Jun 24 Enroll'!M$1,FALSE)-VLOOKUP($A195,EnrollData2324,'2324 Jun 24 Enroll'!J$1,FALSE),'District Calculations'!$B$16+'District Calculations'!$B$25-'District Calculations'!$B$17)*Apport_216A2324,3)</f>
        <v>58.183999999999997</v>
      </c>
      <c r="J195">
        <f>ROUND(SUM(D195:I195)/(IF(VLOOKUP($A195,EnrollData2324,'2324 Jun 24 Enroll'!M$1,FALSE)='District Calculations'!$B$25,VLOOKUP($A195,EnrollData2324,'2324 Jun 24 Enroll'!M$1,FALSE),'District Calculations'!$B$25)+IF(VLOOKUP($A195,EnrollData2324,'2324 Jun 24 Enroll'!D$1,FALSE)='District Calculations'!$B$11,VLOOKUP($A195,EnrollData2324,'2324 Jun 24 Enroll'!D$1,FALSE),'District Calculations'!$B$11)),5)</f>
        <v>5.5530000000000003E-2</v>
      </c>
      <c r="K195" s="11">
        <f t="shared" si="51"/>
        <v>4.365E-3</v>
      </c>
      <c r="L195">
        <f>ROUND(IF(VLOOKUP($A195,EnrollData2324,'2324 Jun 24 Enroll'!D$1,FALSE)='District Calculations'!$B$11,VLOOKUP($A195,EnrollData2324,'2324 Jun 24 Enroll'!D$1,FALSE),'District Calculations'!$B$11)*K195,3)</f>
        <v>0</v>
      </c>
      <c r="M195">
        <f>ROUND(IF(VLOOKUP($A195,EnrollData2324,'2324 Jun 24 Enroll'!E$1,FALSE)='District Calculations'!$B$12,VLOOKUP($A195,EnrollData2324,'2324 Jun 24 Enroll'!E$1,FALSE),'District Calculations'!$B$12)*K195,3)</f>
        <v>3.5379999999999998</v>
      </c>
      <c r="N195">
        <f>ROUND(IF(VLOOKUP($A195,EnrollData2324,'2324 Jun 24 Enroll'!F$1,FALSE)='District Calculations'!$B$13,VLOOKUP($A195,EnrollData2324,'2324 Jun 24 Enroll'!F$1,FALSE),'District Calculations'!$B$13)*Apport_223A2324,3)</f>
        <v>0.84199999999999997</v>
      </c>
      <c r="O195">
        <f>ROUND(IF(VLOOKUP($A195,EnrollData2324,'2324 Jun 24 Enroll'!G$1,FALSE)='District Calculations'!$B$14,VLOOKUP($A195,EnrollData2324,'2324 Jun 24 Enroll'!G$1,FALSE),'District Calculations'!$B$14)*Apport_211A2324,3)</f>
        <v>1.867</v>
      </c>
      <c r="P195">
        <f>ROUND(IF(VLOOKUP($A195,EnrollData2324,'2324 Jun 24 Enroll'!H$1,FALSE)='District Calculations'!$B$14,VLOOKUP($A195,EnrollData2324,'2324 Jun 24 Enroll'!H$1,FALSE),'District Calculations'!$B$14)*Apport_214A2324,3)</f>
        <v>1.8660000000000001</v>
      </c>
      <c r="Q195">
        <f>ROUND(IF(VLOOKUP($A195,EnrollData2324,'2324 Jun 24 Enroll'!I$1,FALSE)+VLOOKUP($A195,EnrollData2324,'2324 Jun 24 Enroll'!M$1,FALSE)-VLOOKUP($A195,EnrollData2324,'2324 Jun 24 Enroll'!J$1,FALSE)='District Calculations'!$B$16+'District Calculations'!$B$25-'District Calculations'!$B$17,VLOOKUP($A195,EnrollData2324,'2324 Jun 24 Enroll'!I$1,FALSE)+VLOOKUP($A195,EnrollData2324,'2324 Jun 24 Enroll'!M$1,FALSE)-VLOOKUP($A195,EnrollData2324,'2324 Jun 24 Enroll'!J$1,FALSE),'District Calculations'!$B$16+'District Calculations'!$B$25-'District Calculations'!$B$17)*Apport_217A2324,3)</f>
        <v>4.6980000000000004</v>
      </c>
      <c r="R195">
        <f>ROUND(SUM(L195:Q195)/IF(VLOOKUP($A195,EnrollData2324,'2324 Jun 24 Enroll'!M$1,FALSE)+VLOOKUP($A195,EnrollData2324,'2324 Jun 24 Enroll'!D$1,FALSE)='District Calculations'!$B$25+'District Calculations'!$B$11,VLOOKUP($A195,EnrollData2324,'2324 Jun 24 Enroll'!M$1,FALSE)+VLOOKUP($A195,EnrollData2324,'2324 Jun 24 Enroll'!D$1,FALSE),'District Calculations'!$B$25+'District Calculations'!$B$11),5)</f>
        <v>4.1000000000000003E-3</v>
      </c>
      <c r="S195" s="11">
        <f t="shared" si="52"/>
        <v>1.8294500000000002E-2</v>
      </c>
      <c r="T195">
        <f>ROUND(IF(VLOOKUP($A195,EnrollData2324,'2324 Jun 24 Enroll'!D$1,FALSE)='District Calculations'!$B$11,VLOOKUP($A195,EnrollData2324,'2324 Jun 24 Enroll'!D$1,FALSE),'District Calculations'!$B$11)*S195,3)</f>
        <v>0</v>
      </c>
      <c r="U195">
        <f>ROUND(IF(VLOOKUP($A195,EnrollData2324,'2324 Jun 24 Enroll'!E$1,FALSE)='District Calculations'!$B$12,VLOOKUP($A195,EnrollData2324,'2324 Jun 24 Enroll'!E$1,FALSE),'District Calculations'!$B$12)*S195,3)</f>
        <v>14.827999999999999</v>
      </c>
      <c r="V195">
        <f>ROUND(IF(VLOOKUP($A195,EnrollData2324,'2324 Jun 24 Enroll'!F$1,FALSE)='District Calculations'!$B$13,VLOOKUP($A195,EnrollData2324,'2324 Jun 24 Enroll'!F$1,FALSE),'District Calculations'!$B$13)*Apport_224A2324,3)</f>
        <v>3.6190000000000002</v>
      </c>
      <c r="W195">
        <f>ROUND(IF(VLOOKUP($A195,EnrollData2324,'2324 Jun 24 Enroll'!G$1,FALSE)='District Calculations'!$B$14,VLOOKUP($A195,EnrollData2324,'2324 Jun 24 Enroll'!G$1,FALSE),'District Calculations'!$B$14)*Apport_212A2324,3)</f>
        <v>8.0239999999999991</v>
      </c>
      <c r="X195">
        <f>ROUND(IF(VLOOKUP($A195,EnrollData2324,'2324 Jun 24 Enroll'!H$1,FALSE)='District Calculations'!$B$14,VLOOKUP($A195,EnrollData2324,'2324 Jun 24 Enroll'!H$1,FALSE),'District Calculations'!$B$14)*Apport_215A2324,3)</f>
        <v>7.9279999999999999</v>
      </c>
      <c r="Y195">
        <f>ROUND(IF(VLOOKUP($A195,EnrollData2324,'2324 Jun 24 Enroll'!I$1,FALSE)+VLOOKUP($A195,EnrollData2324,'2324 Jun 24 Enroll'!M$1,FALSE)-VLOOKUP($A195,EnrollData2324,'2324 Jun 24 Enroll'!J$1,FALSE)='District Calculations'!$B$16+'District Calculations'!$B$25-'District Calculations'!$B$17,VLOOKUP($A195,EnrollData2324,'2324 Jun 24 Enroll'!I$1,FALSE)+VLOOKUP($A195,EnrollData2324,'2324 Jun 24 Enroll'!M$1,FALSE)-VLOOKUP($A195,EnrollData2324,'2324 Jun 24 Enroll'!J$1,FALSE),'District Calculations'!$B$16+'District Calculations'!$B$25-'District Calculations'!$B$17)*Apport_218A2324,3)</f>
        <v>19.917999999999999</v>
      </c>
      <c r="Z195">
        <f>ROUND(SUM(T195:Y195)/IF(VLOOKUP($A195,EnrollData2324,'2324 Jun 24 Enroll'!M$1,FALSE)+VLOOKUP($A195,EnrollData2324,'2324 Jun 24 Enroll'!D$1,FALSE)='District Calculations'!$B$25+'District Calculations'!$B$11,VLOOKUP($A195,EnrollData2324,'2324 Jun 24 Enroll'!M$1,FALSE)+VLOOKUP($A195,EnrollData2324,'2324 Jun 24 Enroll'!D$1,FALSE),'District Calculations'!$B$25+'District Calculations'!$B$11),5)</f>
        <v>1.7399999999999999E-2</v>
      </c>
      <c r="AA195" s="6">
        <f>ROUND($J195*CIS_Base_Salary2324*VLOOKUP($A195,EnrollData2324,'2324 Jun 24 Enroll'!S$1,FALSE),2)</f>
        <v>4038.59</v>
      </c>
      <c r="AB195" s="6">
        <f>ROUND($J195*CIS_Inc_Salary2324*(VLOOKUP($A195,EnrollData2324,'2324 Jun 24 Enroll'!T$1,FALSE)+VLOOKUP($A195,EnrollData2324,'2324 Jun 24 Enroll'!U$1,FALSE)),2)-AA195</f>
        <v>149.43000000000029</v>
      </c>
      <c r="AC195" s="6">
        <f>ROUND($R195*CAS_Base_Salary2324*VLOOKUP($A195,EnrollData2324,'2324 Jun 24 Enroll'!S$1,FALSE),2)</f>
        <v>442.62</v>
      </c>
      <c r="AD195" s="6">
        <f>ROUND($R195*CAS_Inc_Salary2324*VLOOKUP($A195,EnrollData2324,'2324 Jun 24 Enroll'!T$1,FALSE),2)-AC195</f>
        <v>16.379999999999995</v>
      </c>
      <c r="AE195" s="6">
        <f>ROUND($Z195*CLS_Base_Salary2324*VLOOKUP($A195,EnrollData2324,'2324 Jun 24 Enroll'!S$1,FALSE),2)</f>
        <v>907.81</v>
      </c>
      <c r="AF195" s="6">
        <f>ROUND($Z195*CLS_Inc_Salary2324*VLOOKUP($A195,EnrollData2324,'2324 Jun 24 Enroll'!T$1,FALSE),2)-AE195</f>
        <v>33.580000000000041</v>
      </c>
      <c r="AG195">
        <f t="shared" si="48"/>
        <v>734.16</v>
      </c>
      <c r="AH195" s="69">
        <f t="shared" si="53"/>
        <v>68.700000000000045</v>
      </c>
      <c r="AI195">
        <f t="shared" si="49"/>
        <v>214.23</v>
      </c>
      <c r="AJ195">
        <f t="shared" si="54"/>
        <v>114.21000000000001</v>
      </c>
      <c r="AK195">
        <f t="shared" si="55"/>
        <v>805.27</v>
      </c>
      <c r="AL195">
        <f t="shared" si="56"/>
        <v>28.73</v>
      </c>
      <c r="AM195">
        <f t="shared" si="57"/>
        <v>200.26</v>
      </c>
      <c r="AN195">
        <f t="shared" si="58"/>
        <v>6.23</v>
      </c>
      <c r="AO195">
        <f>ROUND(($J195*CIS_Inc_Salary2324*(VLOOKUP($A195,EnrollData2324,'2324 Jun 24 Enroll'!T$1,FALSE)+VLOOKUP($A195,EnrollData2324,'2324 Jun 24 Enroll'!U$1,FALSE))/Apport_613Xpd)*Apport_614Xpd,2)</f>
        <v>69.8</v>
      </c>
      <c r="AP195">
        <f t="shared" si="59"/>
        <v>12.1</v>
      </c>
      <c r="AQ195">
        <f t="shared" si="60"/>
        <v>30.93</v>
      </c>
      <c r="AR195" s="6">
        <f>ROUND((VLOOKUP($A195,EnrollData2324,'2324 Jun 24 Enroll'!D$1,FALSE)*Apport_M802324+VLOOKUP($A195,EnrollData2324,'2324 Jun 24 Enroll'!M$1,FALSE)*Apport_M802324+(VLOOKUP($A195,EnrollData2324,'2324 Jun 24 Enroll'!P$1,FALSE)+VLOOKUP($A195,EnrollData2324,'2324 Jun 24 Enroll'!Q$1,FALSE)+VLOOKUP($A195,EnrollData2324,'2324 Jun 24 Enroll'!R$1,FALSE)+VLOOKUP($A195,EnrollData2324,'2324 Jun 24 Enroll'!I$1,FALSE)+VLOOKUP($A195,EnrollData2324,'2324 Jun 24 Enroll'!N$1,FALSE)+VLOOKUP($A195,EnrollData2324,'2324 Jun 24 Enroll'!O$1,FALSE)+VLOOKUP($A195,EnrollData2324,'2324 Jun 24 Enroll'!K$1,FALSE)+VLOOKUP($A195,EnrollData2324,'2324 Jun 24 Enroll'!L$1,FALSE))*Apport_M812324)/(VLOOKUP($A195,EnrollData2324,'2324 Jun 24 Enroll'!M$1,FALSE)+VLOOKUP($A195,EnrollData2324,'2324 Jun 24 Enroll'!D$1,FALSE)),2)</f>
        <v>1550.78</v>
      </c>
      <c r="AS195" s="7">
        <f t="shared" si="61"/>
        <v>9423.81</v>
      </c>
    </row>
    <row r="196" spans="1:46">
      <c r="A196" s="40" t="s">
        <v>879</v>
      </c>
      <c r="B196" s="40" t="s">
        <v>880</v>
      </c>
      <c r="C196" s="11">
        <f>ROUND((IFERROR((1/IF(VLOOKUP($A196,EnrollData2324,28,FALSE)='District Calculations'!$B$10,VLOOKUP($A196,EnrollData2324,28,FALSE),'District Calculations'!$B$10))*(1+Apport_Z315),0))+Apport_201A2324,6)</f>
        <v>7.3449E-2</v>
      </c>
      <c r="D196">
        <f>ROUND(IF(VLOOKUP($A196,EnrollData2324,'2324 Jun 24 Enroll'!D$1,FALSE)='District Calculations'!$B$11,VLOOKUP($A196,EnrollData2324,'2324 Jun 24 Enroll'!D$1,FALSE),'District Calculations'!$B$11)*C196,3)</f>
        <v>0</v>
      </c>
      <c r="E196">
        <f>ROUND(IF(VLOOKUP($A196,EnrollData2324,'2324 Jun 24 Enroll'!E$1,FALSE)='District Calculations'!$B$12,VLOOKUP($A196,EnrollData2324,'2324 Jun 24 Enroll'!E$1,FALSE),'District Calculations'!$B$12)*C196,3)</f>
        <v>59.53</v>
      </c>
      <c r="F196">
        <f>ROUND(IF(VLOOKUP($A196,EnrollData2324,'2324 Jun 24 Enroll'!F$1,FALSE)='District Calculations'!$B$13,VLOOKUP($A196,EnrollData2324,'2324 Jun 24 Enroll'!F$1,FALSE),'District Calculations'!$B$13)*Apport_222A2324,3)</f>
        <v>10.101000000000001</v>
      </c>
      <c r="G196">
        <f>ROUND(IF(VLOOKUP($A196,EnrollData2324,'2324 Jun 24 Enroll'!G$1,FALSE)='District Calculations'!$B$14,VLOOKUP($A196,EnrollData2324,'2324 Jun 24 Enroll'!G$1,FALSE),'District Calculations'!$B$14)*Apport_210A2324,3)</f>
        <v>22.395</v>
      </c>
      <c r="H196">
        <f>ROUND(IF(VLOOKUP($A196,EnrollData2324,'2324 Jun 24 Enroll'!H$1,FALSE)='District Calculations'!$B$15,VLOOKUP($A196,EnrollData2324,'2324 Jun 24 Enroll'!H$1,FALSE),'District Calculations'!$B$15)*Apport_213A2324,3)</f>
        <v>23.091999999999999</v>
      </c>
      <c r="I196">
        <f>ROUND(IF(VLOOKUP($A196,EnrollData2324,'2324 Jun 24 Enroll'!I$1,FALSE)+VLOOKUP($A196,EnrollData2324,'2324 Jun 24 Enroll'!M$1,FALSE)-VLOOKUP($A196,EnrollData2324,'2324 Jun 24 Enroll'!J$1,FALSE)='District Calculations'!$B$16+'District Calculations'!$B$25-'District Calculations'!$B$17,VLOOKUP($A196,EnrollData2324,'2324 Jun 24 Enroll'!I$1,FALSE)+VLOOKUP($A196,EnrollData2324,'2324 Jun 24 Enroll'!M$1,FALSE)-VLOOKUP($A196,EnrollData2324,'2324 Jun 24 Enroll'!J$1,FALSE),'District Calculations'!$B$16+'District Calculations'!$B$25-'District Calculations'!$B$17)*Apport_216A2324,3)</f>
        <v>58.183999999999997</v>
      </c>
      <c r="J196">
        <f>ROUND(SUM(D196:I196)/(IF(VLOOKUP($A196,EnrollData2324,'2324 Jun 24 Enroll'!M$1,FALSE)='District Calculations'!$B$25,VLOOKUP($A196,EnrollData2324,'2324 Jun 24 Enroll'!M$1,FALSE),'District Calculations'!$B$25)+IF(VLOOKUP($A196,EnrollData2324,'2324 Jun 24 Enroll'!D$1,FALSE)='District Calculations'!$B$11,VLOOKUP($A196,EnrollData2324,'2324 Jun 24 Enroll'!D$1,FALSE),'District Calculations'!$B$11)),5)</f>
        <v>5.5530000000000003E-2</v>
      </c>
      <c r="K196" s="11">
        <f t="shared" si="51"/>
        <v>4.365E-3</v>
      </c>
      <c r="L196">
        <f>ROUND(IF(VLOOKUP($A196,EnrollData2324,'2324 Jun 24 Enroll'!D$1,FALSE)='District Calculations'!$B$11,VLOOKUP($A196,EnrollData2324,'2324 Jun 24 Enroll'!D$1,FALSE),'District Calculations'!$B$11)*K196,3)</f>
        <v>0</v>
      </c>
      <c r="M196">
        <f>ROUND(IF(VLOOKUP($A196,EnrollData2324,'2324 Jun 24 Enroll'!E$1,FALSE)='District Calculations'!$B$12,VLOOKUP($A196,EnrollData2324,'2324 Jun 24 Enroll'!E$1,FALSE),'District Calculations'!$B$12)*K196,3)</f>
        <v>3.5379999999999998</v>
      </c>
      <c r="N196">
        <f>ROUND(IF(VLOOKUP($A196,EnrollData2324,'2324 Jun 24 Enroll'!F$1,FALSE)='District Calculations'!$B$13,VLOOKUP($A196,EnrollData2324,'2324 Jun 24 Enroll'!F$1,FALSE),'District Calculations'!$B$13)*Apport_223A2324,3)</f>
        <v>0.84199999999999997</v>
      </c>
      <c r="O196">
        <f>ROUND(IF(VLOOKUP($A196,EnrollData2324,'2324 Jun 24 Enroll'!G$1,FALSE)='District Calculations'!$B$14,VLOOKUP($A196,EnrollData2324,'2324 Jun 24 Enroll'!G$1,FALSE),'District Calculations'!$B$14)*Apport_211A2324,3)</f>
        <v>1.867</v>
      </c>
      <c r="P196">
        <f>ROUND(IF(VLOOKUP($A196,EnrollData2324,'2324 Jun 24 Enroll'!H$1,FALSE)='District Calculations'!$B$14,VLOOKUP($A196,EnrollData2324,'2324 Jun 24 Enroll'!H$1,FALSE),'District Calculations'!$B$14)*Apport_214A2324,3)</f>
        <v>1.8660000000000001</v>
      </c>
      <c r="Q196">
        <f>ROUND(IF(VLOOKUP($A196,EnrollData2324,'2324 Jun 24 Enroll'!I$1,FALSE)+VLOOKUP($A196,EnrollData2324,'2324 Jun 24 Enroll'!M$1,FALSE)-VLOOKUP($A196,EnrollData2324,'2324 Jun 24 Enroll'!J$1,FALSE)='District Calculations'!$B$16+'District Calculations'!$B$25-'District Calculations'!$B$17,VLOOKUP($A196,EnrollData2324,'2324 Jun 24 Enroll'!I$1,FALSE)+VLOOKUP($A196,EnrollData2324,'2324 Jun 24 Enroll'!M$1,FALSE)-VLOOKUP($A196,EnrollData2324,'2324 Jun 24 Enroll'!J$1,FALSE),'District Calculations'!$B$16+'District Calculations'!$B$25-'District Calculations'!$B$17)*Apport_217A2324,3)</f>
        <v>4.6980000000000004</v>
      </c>
      <c r="R196">
        <f>ROUND(SUM(L196:Q196)/IF(VLOOKUP($A196,EnrollData2324,'2324 Jun 24 Enroll'!M$1,FALSE)+VLOOKUP($A196,EnrollData2324,'2324 Jun 24 Enroll'!D$1,FALSE)='District Calculations'!$B$25+'District Calculations'!$B$11,VLOOKUP($A196,EnrollData2324,'2324 Jun 24 Enroll'!M$1,FALSE)+VLOOKUP($A196,EnrollData2324,'2324 Jun 24 Enroll'!D$1,FALSE),'District Calculations'!$B$25+'District Calculations'!$B$11),5)</f>
        <v>4.1000000000000003E-3</v>
      </c>
      <c r="S196" s="11">
        <f t="shared" si="52"/>
        <v>1.8294500000000002E-2</v>
      </c>
      <c r="T196">
        <f>ROUND(IF(VLOOKUP($A196,EnrollData2324,'2324 Jun 24 Enroll'!D$1,FALSE)='District Calculations'!$B$11,VLOOKUP($A196,EnrollData2324,'2324 Jun 24 Enroll'!D$1,FALSE),'District Calculations'!$B$11)*S196,3)</f>
        <v>0</v>
      </c>
      <c r="U196">
        <f>ROUND(IF(VLOOKUP($A196,EnrollData2324,'2324 Jun 24 Enroll'!E$1,FALSE)='District Calculations'!$B$12,VLOOKUP($A196,EnrollData2324,'2324 Jun 24 Enroll'!E$1,FALSE),'District Calculations'!$B$12)*S196,3)</f>
        <v>14.827999999999999</v>
      </c>
      <c r="V196">
        <f>ROUND(IF(VLOOKUP($A196,EnrollData2324,'2324 Jun 24 Enroll'!F$1,FALSE)='District Calculations'!$B$13,VLOOKUP($A196,EnrollData2324,'2324 Jun 24 Enroll'!F$1,FALSE),'District Calculations'!$B$13)*Apport_224A2324,3)</f>
        <v>3.6190000000000002</v>
      </c>
      <c r="W196">
        <f>ROUND(IF(VLOOKUP($A196,EnrollData2324,'2324 Jun 24 Enroll'!G$1,FALSE)='District Calculations'!$B$14,VLOOKUP($A196,EnrollData2324,'2324 Jun 24 Enroll'!G$1,FALSE),'District Calculations'!$B$14)*Apport_212A2324,3)</f>
        <v>8.0239999999999991</v>
      </c>
      <c r="X196">
        <f>ROUND(IF(VLOOKUP($A196,EnrollData2324,'2324 Jun 24 Enroll'!H$1,FALSE)='District Calculations'!$B$14,VLOOKUP($A196,EnrollData2324,'2324 Jun 24 Enroll'!H$1,FALSE),'District Calculations'!$B$14)*Apport_215A2324,3)</f>
        <v>7.9279999999999999</v>
      </c>
      <c r="Y196">
        <f>ROUND(IF(VLOOKUP($A196,EnrollData2324,'2324 Jun 24 Enroll'!I$1,FALSE)+VLOOKUP($A196,EnrollData2324,'2324 Jun 24 Enroll'!M$1,FALSE)-VLOOKUP($A196,EnrollData2324,'2324 Jun 24 Enroll'!J$1,FALSE)='District Calculations'!$B$16+'District Calculations'!$B$25-'District Calculations'!$B$17,VLOOKUP($A196,EnrollData2324,'2324 Jun 24 Enroll'!I$1,FALSE)+VLOOKUP($A196,EnrollData2324,'2324 Jun 24 Enroll'!M$1,FALSE)-VLOOKUP($A196,EnrollData2324,'2324 Jun 24 Enroll'!J$1,FALSE),'District Calculations'!$B$16+'District Calculations'!$B$25-'District Calculations'!$B$17)*Apport_218A2324,3)</f>
        <v>19.917999999999999</v>
      </c>
      <c r="Z196">
        <f>ROUND(SUM(T196:Y196)/IF(VLOOKUP($A196,EnrollData2324,'2324 Jun 24 Enroll'!M$1,FALSE)+VLOOKUP($A196,EnrollData2324,'2324 Jun 24 Enroll'!D$1,FALSE)='District Calculations'!$B$25+'District Calculations'!$B$11,VLOOKUP($A196,EnrollData2324,'2324 Jun 24 Enroll'!M$1,FALSE)+VLOOKUP($A196,EnrollData2324,'2324 Jun 24 Enroll'!D$1,FALSE),'District Calculations'!$B$25+'District Calculations'!$B$11),5)</f>
        <v>1.7399999999999999E-2</v>
      </c>
      <c r="AA196" s="6">
        <f>ROUND($J196*CIS_Base_Salary2324*VLOOKUP($A196,EnrollData2324,'2324 Jun 24 Enroll'!S$1,FALSE),2)</f>
        <v>4038.59</v>
      </c>
      <c r="AB196" s="6">
        <f>ROUND($J196*CIS_Inc_Salary2324*(VLOOKUP($A196,EnrollData2324,'2324 Jun 24 Enroll'!T$1,FALSE)+VLOOKUP($A196,EnrollData2324,'2324 Jun 24 Enroll'!U$1,FALSE)),2)-AA196</f>
        <v>149.43000000000029</v>
      </c>
      <c r="AC196" s="6">
        <f>ROUND($R196*CAS_Base_Salary2324*VLOOKUP($A196,EnrollData2324,'2324 Jun 24 Enroll'!S$1,FALSE),2)</f>
        <v>442.62</v>
      </c>
      <c r="AD196" s="6">
        <f>ROUND($R196*CAS_Inc_Salary2324*VLOOKUP($A196,EnrollData2324,'2324 Jun 24 Enroll'!T$1,FALSE),2)-AC196</f>
        <v>16.379999999999995</v>
      </c>
      <c r="AE196" s="6">
        <f>ROUND($Z196*CLS_Base_Salary2324*VLOOKUP($A196,EnrollData2324,'2324 Jun 24 Enroll'!S$1,FALSE),2)</f>
        <v>907.81</v>
      </c>
      <c r="AF196" s="6">
        <f>ROUND($Z196*CLS_Inc_Salary2324*VLOOKUP($A196,EnrollData2324,'2324 Jun 24 Enroll'!T$1,FALSE),2)-AE196</f>
        <v>33.580000000000041</v>
      </c>
      <c r="AG196">
        <f t="shared" si="48"/>
        <v>734.16</v>
      </c>
      <c r="AH196" s="69">
        <f t="shared" si="53"/>
        <v>68.700000000000045</v>
      </c>
      <c r="AI196">
        <f t="shared" si="49"/>
        <v>214.23</v>
      </c>
      <c r="AJ196">
        <f t="shared" si="54"/>
        <v>114.21000000000001</v>
      </c>
      <c r="AK196">
        <f t="shared" si="55"/>
        <v>805.27</v>
      </c>
      <c r="AL196">
        <f t="shared" si="56"/>
        <v>28.73</v>
      </c>
      <c r="AM196">
        <f t="shared" si="57"/>
        <v>200.26</v>
      </c>
      <c r="AN196">
        <f t="shared" si="58"/>
        <v>6.23</v>
      </c>
      <c r="AO196">
        <f>ROUND(($J196*CIS_Inc_Salary2324*(VLOOKUP($A196,EnrollData2324,'2324 Jun 24 Enroll'!T$1,FALSE)+VLOOKUP($A196,EnrollData2324,'2324 Jun 24 Enroll'!U$1,FALSE))/Apport_613Xpd)*Apport_614Xpd,2)</f>
        <v>69.8</v>
      </c>
      <c r="AP196">
        <f t="shared" si="59"/>
        <v>12.1</v>
      </c>
      <c r="AQ196">
        <f t="shared" si="60"/>
        <v>30.93</v>
      </c>
      <c r="AR196" s="6">
        <f>ROUND((VLOOKUP($A196,EnrollData2324,'2324 Jun 24 Enroll'!D$1,FALSE)*Apport_M802324+VLOOKUP($A196,EnrollData2324,'2324 Jun 24 Enroll'!M$1,FALSE)*Apport_M802324+(VLOOKUP($A196,EnrollData2324,'2324 Jun 24 Enroll'!P$1,FALSE)+VLOOKUP($A196,EnrollData2324,'2324 Jun 24 Enroll'!Q$1,FALSE)+VLOOKUP($A196,EnrollData2324,'2324 Jun 24 Enroll'!R$1,FALSE)+VLOOKUP($A196,EnrollData2324,'2324 Jun 24 Enroll'!I$1,FALSE)+VLOOKUP($A196,EnrollData2324,'2324 Jun 24 Enroll'!N$1,FALSE)+VLOOKUP($A196,EnrollData2324,'2324 Jun 24 Enroll'!O$1,FALSE)+VLOOKUP($A196,EnrollData2324,'2324 Jun 24 Enroll'!K$1,FALSE)+VLOOKUP($A196,EnrollData2324,'2324 Jun 24 Enroll'!L$1,FALSE))*Apport_M812324)/(VLOOKUP($A196,EnrollData2324,'2324 Jun 24 Enroll'!M$1,FALSE)+VLOOKUP($A196,EnrollData2324,'2324 Jun 24 Enroll'!D$1,FALSE)),2)</f>
        <v>1547.16</v>
      </c>
      <c r="AS196" s="7">
        <f t="shared" si="61"/>
        <v>9420.19</v>
      </c>
    </row>
    <row r="197" spans="1:46">
      <c r="A197" s="40" t="s">
        <v>635</v>
      </c>
      <c r="B197" s="40" t="s">
        <v>636</v>
      </c>
      <c r="C197" s="11">
        <f>ROUND((IFERROR((1/IF(VLOOKUP($A197,EnrollData2324,28,FALSE)='District Calculations'!$B$10,VLOOKUP($A197,EnrollData2324,28,FALSE),'District Calculations'!$B$10))*(1+Apport_Z315),0))+Apport_201A2324,6)</f>
        <v>7.3449E-2</v>
      </c>
      <c r="D197">
        <f>ROUND(IF(VLOOKUP($A197,EnrollData2324,'2324 Jun 24 Enroll'!D$1,FALSE)='District Calculations'!$B$11,VLOOKUP($A197,EnrollData2324,'2324 Jun 24 Enroll'!D$1,FALSE),'District Calculations'!$B$11)*C197,3)</f>
        <v>0</v>
      </c>
      <c r="E197">
        <f>ROUND(IF(VLOOKUP($A197,EnrollData2324,'2324 Jun 24 Enroll'!E$1,FALSE)='District Calculations'!$B$12,VLOOKUP($A197,EnrollData2324,'2324 Jun 24 Enroll'!E$1,FALSE),'District Calculations'!$B$12)*C197,3)</f>
        <v>59.53</v>
      </c>
      <c r="F197">
        <f>ROUND(IF(VLOOKUP($A197,EnrollData2324,'2324 Jun 24 Enroll'!F$1,FALSE)='District Calculations'!$B$13,VLOOKUP($A197,EnrollData2324,'2324 Jun 24 Enroll'!F$1,FALSE),'District Calculations'!$B$13)*Apport_222A2324,3)</f>
        <v>10.101000000000001</v>
      </c>
      <c r="G197">
        <f>ROUND(IF(VLOOKUP($A197,EnrollData2324,'2324 Jun 24 Enroll'!G$1,FALSE)='District Calculations'!$B$14,VLOOKUP($A197,EnrollData2324,'2324 Jun 24 Enroll'!G$1,FALSE),'District Calculations'!$B$14)*Apport_210A2324,3)</f>
        <v>22.395</v>
      </c>
      <c r="H197">
        <f>ROUND(IF(VLOOKUP($A197,EnrollData2324,'2324 Jun 24 Enroll'!H$1,FALSE)='District Calculations'!$B$15,VLOOKUP($A197,EnrollData2324,'2324 Jun 24 Enroll'!H$1,FALSE),'District Calculations'!$B$15)*Apport_213A2324,3)</f>
        <v>23.091999999999999</v>
      </c>
      <c r="I197">
        <f>ROUND(IF(VLOOKUP($A197,EnrollData2324,'2324 Jun 24 Enroll'!I$1,FALSE)+VLOOKUP($A197,EnrollData2324,'2324 Jun 24 Enroll'!M$1,FALSE)-VLOOKUP($A197,EnrollData2324,'2324 Jun 24 Enroll'!J$1,FALSE)='District Calculations'!$B$16+'District Calculations'!$B$25-'District Calculations'!$B$17,VLOOKUP($A197,EnrollData2324,'2324 Jun 24 Enroll'!I$1,FALSE)+VLOOKUP($A197,EnrollData2324,'2324 Jun 24 Enroll'!M$1,FALSE)-VLOOKUP($A197,EnrollData2324,'2324 Jun 24 Enroll'!J$1,FALSE),'District Calculations'!$B$16+'District Calculations'!$B$25-'District Calculations'!$B$17)*Apport_216A2324,3)</f>
        <v>58.183999999999997</v>
      </c>
      <c r="J197">
        <f>ROUND(SUM(D197:I197)/(IF(VLOOKUP($A197,EnrollData2324,'2324 Jun 24 Enroll'!M$1,FALSE)='District Calculations'!$B$25,VLOOKUP($A197,EnrollData2324,'2324 Jun 24 Enroll'!M$1,FALSE),'District Calculations'!$B$25)+IF(VLOOKUP($A197,EnrollData2324,'2324 Jun 24 Enroll'!D$1,FALSE)='District Calculations'!$B$11,VLOOKUP($A197,EnrollData2324,'2324 Jun 24 Enroll'!D$1,FALSE),'District Calculations'!$B$11)),5)</f>
        <v>5.5530000000000003E-2</v>
      </c>
      <c r="K197" s="11">
        <f t="shared" si="51"/>
        <v>4.365E-3</v>
      </c>
      <c r="L197">
        <f>ROUND(IF(VLOOKUP($A197,EnrollData2324,'2324 Jun 24 Enroll'!D$1,FALSE)='District Calculations'!$B$11,VLOOKUP($A197,EnrollData2324,'2324 Jun 24 Enroll'!D$1,FALSE),'District Calculations'!$B$11)*K197,3)</f>
        <v>0</v>
      </c>
      <c r="M197">
        <f>ROUND(IF(VLOOKUP($A197,EnrollData2324,'2324 Jun 24 Enroll'!E$1,FALSE)='District Calculations'!$B$12,VLOOKUP($A197,EnrollData2324,'2324 Jun 24 Enroll'!E$1,FALSE),'District Calculations'!$B$12)*K197,3)</f>
        <v>3.5379999999999998</v>
      </c>
      <c r="N197">
        <f>ROUND(IF(VLOOKUP($A197,EnrollData2324,'2324 Jun 24 Enroll'!F$1,FALSE)='District Calculations'!$B$13,VLOOKUP($A197,EnrollData2324,'2324 Jun 24 Enroll'!F$1,FALSE),'District Calculations'!$B$13)*Apport_223A2324,3)</f>
        <v>0.84199999999999997</v>
      </c>
      <c r="O197">
        <f>ROUND(IF(VLOOKUP($A197,EnrollData2324,'2324 Jun 24 Enroll'!G$1,FALSE)='District Calculations'!$B$14,VLOOKUP($A197,EnrollData2324,'2324 Jun 24 Enroll'!G$1,FALSE),'District Calculations'!$B$14)*Apport_211A2324,3)</f>
        <v>1.867</v>
      </c>
      <c r="P197">
        <f>ROUND(IF(VLOOKUP($A197,EnrollData2324,'2324 Jun 24 Enroll'!H$1,FALSE)='District Calculations'!$B$14,VLOOKUP($A197,EnrollData2324,'2324 Jun 24 Enroll'!H$1,FALSE),'District Calculations'!$B$14)*Apport_214A2324,3)</f>
        <v>1.8660000000000001</v>
      </c>
      <c r="Q197">
        <f>ROUND(IF(VLOOKUP($A197,EnrollData2324,'2324 Jun 24 Enroll'!I$1,FALSE)+VLOOKUP($A197,EnrollData2324,'2324 Jun 24 Enroll'!M$1,FALSE)-VLOOKUP($A197,EnrollData2324,'2324 Jun 24 Enroll'!J$1,FALSE)='District Calculations'!$B$16+'District Calculations'!$B$25-'District Calculations'!$B$17,VLOOKUP($A197,EnrollData2324,'2324 Jun 24 Enroll'!I$1,FALSE)+VLOOKUP($A197,EnrollData2324,'2324 Jun 24 Enroll'!M$1,FALSE)-VLOOKUP($A197,EnrollData2324,'2324 Jun 24 Enroll'!J$1,FALSE),'District Calculations'!$B$16+'District Calculations'!$B$25-'District Calculations'!$B$17)*Apport_217A2324,3)</f>
        <v>4.6980000000000004</v>
      </c>
      <c r="R197">
        <f>ROUND(SUM(L197:Q197)/IF(VLOOKUP($A197,EnrollData2324,'2324 Jun 24 Enroll'!M$1,FALSE)+VLOOKUP($A197,EnrollData2324,'2324 Jun 24 Enroll'!D$1,FALSE)='District Calculations'!$B$25+'District Calculations'!$B$11,VLOOKUP($A197,EnrollData2324,'2324 Jun 24 Enroll'!M$1,FALSE)+VLOOKUP($A197,EnrollData2324,'2324 Jun 24 Enroll'!D$1,FALSE),'District Calculations'!$B$25+'District Calculations'!$B$11),5)</f>
        <v>4.1000000000000003E-3</v>
      </c>
      <c r="S197" s="11">
        <f t="shared" si="52"/>
        <v>1.8294500000000002E-2</v>
      </c>
      <c r="T197">
        <f>ROUND(IF(VLOOKUP($A197,EnrollData2324,'2324 Jun 24 Enroll'!D$1,FALSE)='District Calculations'!$B$11,VLOOKUP($A197,EnrollData2324,'2324 Jun 24 Enroll'!D$1,FALSE),'District Calculations'!$B$11)*S197,3)</f>
        <v>0</v>
      </c>
      <c r="U197">
        <f>ROUND(IF(VLOOKUP($A197,EnrollData2324,'2324 Jun 24 Enroll'!E$1,FALSE)='District Calculations'!$B$12,VLOOKUP($A197,EnrollData2324,'2324 Jun 24 Enroll'!E$1,FALSE),'District Calculations'!$B$12)*S197,3)</f>
        <v>14.827999999999999</v>
      </c>
      <c r="V197">
        <f>ROUND(IF(VLOOKUP($A197,EnrollData2324,'2324 Jun 24 Enroll'!F$1,FALSE)='District Calculations'!$B$13,VLOOKUP($A197,EnrollData2324,'2324 Jun 24 Enroll'!F$1,FALSE),'District Calculations'!$B$13)*Apport_224A2324,3)</f>
        <v>3.6190000000000002</v>
      </c>
      <c r="W197">
        <f>ROUND(IF(VLOOKUP($A197,EnrollData2324,'2324 Jun 24 Enroll'!G$1,FALSE)='District Calculations'!$B$14,VLOOKUP($A197,EnrollData2324,'2324 Jun 24 Enroll'!G$1,FALSE),'District Calculations'!$B$14)*Apport_212A2324,3)</f>
        <v>8.0239999999999991</v>
      </c>
      <c r="X197">
        <f>ROUND(IF(VLOOKUP($A197,EnrollData2324,'2324 Jun 24 Enroll'!H$1,FALSE)='District Calculations'!$B$14,VLOOKUP($A197,EnrollData2324,'2324 Jun 24 Enroll'!H$1,FALSE),'District Calculations'!$B$14)*Apport_215A2324,3)</f>
        <v>7.9279999999999999</v>
      </c>
      <c r="Y197">
        <f>ROUND(IF(VLOOKUP($A197,EnrollData2324,'2324 Jun 24 Enroll'!I$1,FALSE)+VLOOKUP($A197,EnrollData2324,'2324 Jun 24 Enroll'!M$1,FALSE)-VLOOKUP($A197,EnrollData2324,'2324 Jun 24 Enroll'!J$1,FALSE)='District Calculations'!$B$16+'District Calculations'!$B$25-'District Calculations'!$B$17,VLOOKUP($A197,EnrollData2324,'2324 Jun 24 Enroll'!I$1,FALSE)+VLOOKUP($A197,EnrollData2324,'2324 Jun 24 Enroll'!M$1,FALSE)-VLOOKUP($A197,EnrollData2324,'2324 Jun 24 Enroll'!J$1,FALSE),'District Calculations'!$B$16+'District Calculations'!$B$25-'District Calculations'!$B$17)*Apport_218A2324,3)</f>
        <v>19.917999999999999</v>
      </c>
      <c r="Z197">
        <f>ROUND(SUM(T197:Y197)/IF(VLOOKUP($A197,EnrollData2324,'2324 Jun 24 Enroll'!M$1,FALSE)+VLOOKUP($A197,EnrollData2324,'2324 Jun 24 Enroll'!D$1,FALSE)='District Calculations'!$B$25+'District Calculations'!$B$11,VLOOKUP($A197,EnrollData2324,'2324 Jun 24 Enroll'!M$1,FALSE)+VLOOKUP($A197,EnrollData2324,'2324 Jun 24 Enroll'!D$1,FALSE),'District Calculations'!$B$25+'District Calculations'!$B$11),5)</f>
        <v>1.7399999999999999E-2</v>
      </c>
      <c r="AA197" s="6">
        <f>ROUND($J197*CIS_Base_Salary2324*VLOOKUP($A197,EnrollData2324,'2324 Jun 24 Enroll'!S$1,FALSE),2)</f>
        <v>4038.59</v>
      </c>
      <c r="AB197" s="6">
        <f>ROUND($J197*CIS_Inc_Salary2324*(VLOOKUP($A197,EnrollData2324,'2324 Jun 24 Enroll'!T$1,FALSE)+VLOOKUP($A197,EnrollData2324,'2324 Jun 24 Enroll'!U$1,FALSE)),2)-AA197</f>
        <v>149.43000000000029</v>
      </c>
      <c r="AC197" s="6">
        <f>ROUND($R197*CAS_Base_Salary2324*VLOOKUP($A197,EnrollData2324,'2324 Jun 24 Enroll'!S$1,FALSE),2)</f>
        <v>442.62</v>
      </c>
      <c r="AD197" s="6">
        <f>ROUND($R197*CAS_Inc_Salary2324*VLOOKUP($A197,EnrollData2324,'2324 Jun 24 Enroll'!T$1,FALSE),2)-AC197</f>
        <v>16.379999999999995</v>
      </c>
      <c r="AE197" s="6">
        <f>ROUND($Z197*CLS_Base_Salary2324*VLOOKUP($A197,EnrollData2324,'2324 Jun 24 Enroll'!S$1,FALSE),2)</f>
        <v>907.81</v>
      </c>
      <c r="AF197" s="6">
        <f>ROUND($Z197*CLS_Inc_Salary2324*VLOOKUP($A197,EnrollData2324,'2324 Jun 24 Enroll'!T$1,FALSE),2)-AE197</f>
        <v>33.580000000000041</v>
      </c>
      <c r="AG197">
        <f t="shared" si="48"/>
        <v>734.16</v>
      </c>
      <c r="AH197" s="69">
        <f t="shared" si="53"/>
        <v>68.700000000000045</v>
      </c>
      <c r="AI197">
        <f t="shared" si="49"/>
        <v>214.23</v>
      </c>
      <c r="AJ197">
        <f t="shared" si="54"/>
        <v>114.21000000000001</v>
      </c>
      <c r="AK197">
        <f t="shared" si="55"/>
        <v>805.27</v>
      </c>
      <c r="AL197">
        <f t="shared" si="56"/>
        <v>28.73</v>
      </c>
      <c r="AM197">
        <f t="shared" si="57"/>
        <v>200.26</v>
      </c>
      <c r="AN197">
        <f t="shared" si="58"/>
        <v>6.23</v>
      </c>
      <c r="AO197">
        <f>ROUND(($J197*CIS_Inc_Salary2324*(VLOOKUP($A197,EnrollData2324,'2324 Jun 24 Enroll'!T$1,FALSE)+VLOOKUP($A197,EnrollData2324,'2324 Jun 24 Enroll'!U$1,FALSE))/Apport_613Xpd)*Apport_614Xpd,2)</f>
        <v>69.8</v>
      </c>
      <c r="AP197">
        <f t="shared" si="59"/>
        <v>12.1</v>
      </c>
      <c r="AQ197">
        <f t="shared" si="60"/>
        <v>30.93</v>
      </c>
      <c r="AR197" s="6">
        <f>ROUND((VLOOKUP($A197,EnrollData2324,'2324 Jun 24 Enroll'!D$1,FALSE)*Apport_M802324+VLOOKUP($A197,EnrollData2324,'2324 Jun 24 Enroll'!M$1,FALSE)*Apport_M802324+(VLOOKUP($A197,EnrollData2324,'2324 Jun 24 Enroll'!P$1,FALSE)+VLOOKUP($A197,EnrollData2324,'2324 Jun 24 Enroll'!Q$1,FALSE)+VLOOKUP($A197,EnrollData2324,'2324 Jun 24 Enroll'!R$1,FALSE)+VLOOKUP($A197,EnrollData2324,'2324 Jun 24 Enroll'!I$1,FALSE)+VLOOKUP($A197,EnrollData2324,'2324 Jun 24 Enroll'!N$1,FALSE)+VLOOKUP($A197,EnrollData2324,'2324 Jun 24 Enroll'!O$1,FALSE)+VLOOKUP($A197,EnrollData2324,'2324 Jun 24 Enroll'!K$1,FALSE)+VLOOKUP($A197,EnrollData2324,'2324 Jun 24 Enroll'!L$1,FALSE))*Apport_M812324)/(VLOOKUP($A197,EnrollData2324,'2324 Jun 24 Enroll'!M$1,FALSE)+VLOOKUP($A197,EnrollData2324,'2324 Jun 24 Enroll'!D$1,FALSE)),2)</f>
        <v>1544.63</v>
      </c>
      <c r="AS197" s="7">
        <f t="shared" si="61"/>
        <v>9417.66</v>
      </c>
    </row>
    <row r="198" spans="1:46">
      <c r="A198" s="40" t="s">
        <v>621</v>
      </c>
      <c r="B198" s="40" t="s">
        <v>622</v>
      </c>
      <c r="C198" s="11">
        <f>ROUND((IFERROR((1/IF(VLOOKUP($A198,EnrollData2324,28,FALSE)='District Calculations'!$B$10,VLOOKUP($A198,EnrollData2324,28,FALSE),'District Calculations'!$B$10))*(1+Apport_Z315),0))+Apport_201A2324,6)</f>
        <v>7.3449E-2</v>
      </c>
      <c r="D198">
        <f>ROUND(IF(VLOOKUP($A198,EnrollData2324,'2324 Jun 24 Enroll'!D$1,FALSE)='District Calculations'!$B$11,VLOOKUP($A198,EnrollData2324,'2324 Jun 24 Enroll'!D$1,FALSE),'District Calculations'!$B$11)*C198,3)</f>
        <v>0</v>
      </c>
      <c r="E198">
        <f>ROUND(IF(VLOOKUP($A198,EnrollData2324,'2324 Jun 24 Enroll'!E$1,FALSE)='District Calculations'!$B$12,VLOOKUP($A198,EnrollData2324,'2324 Jun 24 Enroll'!E$1,FALSE),'District Calculations'!$B$12)*C198,3)</f>
        <v>59.53</v>
      </c>
      <c r="F198">
        <f>ROUND(IF(VLOOKUP($A198,EnrollData2324,'2324 Jun 24 Enroll'!F$1,FALSE)='District Calculations'!$B$13,VLOOKUP($A198,EnrollData2324,'2324 Jun 24 Enroll'!F$1,FALSE),'District Calculations'!$B$13)*Apport_222A2324,3)</f>
        <v>10.101000000000001</v>
      </c>
      <c r="G198">
        <f>ROUND(IF(VLOOKUP($A198,EnrollData2324,'2324 Jun 24 Enroll'!G$1,FALSE)='District Calculations'!$B$14,VLOOKUP($A198,EnrollData2324,'2324 Jun 24 Enroll'!G$1,FALSE),'District Calculations'!$B$14)*Apport_210A2324,3)</f>
        <v>22.395</v>
      </c>
      <c r="H198">
        <f>ROUND(IF(VLOOKUP($A198,EnrollData2324,'2324 Jun 24 Enroll'!H$1,FALSE)='District Calculations'!$B$15,VLOOKUP($A198,EnrollData2324,'2324 Jun 24 Enroll'!H$1,FALSE),'District Calculations'!$B$15)*Apport_213A2324,3)</f>
        <v>23.091999999999999</v>
      </c>
      <c r="I198">
        <f>ROUND(IF(VLOOKUP($A198,EnrollData2324,'2324 Jun 24 Enroll'!I$1,FALSE)+VLOOKUP($A198,EnrollData2324,'2324 Jun 24 Enroll'!M$1,FALSE)-VLOOKUP($A198,EnrollData2324,'2324 Jun 24 Enroll'!J$1,FALSE)='District Calculations'!$B$16+'District Calculations'!$B$25-'District Calculations'!$B$17,VLOOKUP($A198,EnrollData2324,'2324 Jun 24 Enroll'!I$1,FALSE)+VLOOKUP($A198,EnrollData2324,'2324 Jun 24 Enroll'!M$1,FALSE)-VLOOKUP($A198,EnrollData2324,'2324 Jun 24 Enroll'!J$1,FALSE),'District Calculations'!$B$16+'District Calculations'!$B$25-'District Calculations'!$B$17)*Apport_216A2324,3)</f>
        <v>58.183999999999997</v>
      </c>
      <c r="J198">
        <f>ROUND(SUM(D198:I198)/(IF(VLOOKUP($A198,EnrollData2324,'2324 Jun 24 Enroll'!M$1,FALSE)='District Calculations'!$B$25,VLOOKUP($A198,EnrollData2324,'2324 Jun 24 Enroll'!M$1,FALSE),'District Calculations'!$B$25)+IF(VLOOKUP($A198,EnrollData2324,'2324 Jun 24 Enroll'!D$1,FALSE)='District Calculations'!$B$11,VLOOKUP($A198,EnrollData2324,'2324 Jun 24 Enroll'!D$1,FALSE),'District Calculations'!$B$11)),5)</f>
        <v>5.5530000000000003E-2</v>
      </c>
      <c r="K198" s="11">
        <f t="shared" si="51"/>
        <v>4.365E-3</v>
      </c>
      <c r="L198">
        <f>ROUND(IF(VLOOKUP($A198,EnrollData2324,'2324 Jun 24 Enroll'!D$1,FALSE)='District Calculations'!$B$11,VLOOKUP($A198,EnrollData2324,'2324 Jun 24 Enroll'!D$1,FALSE),'District Calculations'!$B$11)*K198,3)</f>
        <v>0</v>
      </c>
      <c r="M198">
        <f>ROUND(IF(VLOOKUP($A198,EnrollData2324,'2324 Jun 24 Enroll'!E$1,FALSE)='District Calculations'!$B$12,VLOOKUP($A198,EnrollData2324,'2324 Jun 24 Enroll'!E$1,FALSE),'District Calculations'!$B$12)*K198,3)</f>
        <v>3.5379999999999998</v>
      </c>
      <c r="N198">
        <f>ROUND(IF(VLOOKUP($A198,EnrollData2324,'2324 Jun 24 Enroll'!F$1,FALSE)='District Calculations'!$B$13,VLOOKUP($A198,EnrollData2324,'2324 Jun 24 Enroll'!F$1,FALSE),'District Calculations'!$B$13)*Apport_223A2324,3)</f>
        <v>0.84199999999999997</v>
      </c>
      <c r="O198">
        <f>ROUND(IF(VLOOKUP($A198,EnrollData2324,'2324 Jun 24 Enroll'!G$1,FALSE)='District Calculations'!$B$14,VLOOKUP($A198,EnrollData2324,'2324 Jun 24 Enroll'!G$1,FALSE),'District Calculations'!$B$14)*Apport_211A2324,3)</f>
        <v>1.867</v>
      </c>
      <c r="P198">
        <f>ROUND(IF(VLOOKUP($A198,EnrollData2324,'2324 Jun 24 Enroll'!H$1,FALSE)='District Calculations'!$B$14,VLOOKUP($A198,EnrollData2324,'2324 Jun 24 Enroll'!H$1,FALSE),'District Calculations'!$B$14)*Apport_214A2324,3)</f>
        <v>1.8660000000000001</v>
      </c>
      <c r="Q198">
        <f>ROUND(IF(VLOOKUP($A198,EnrollData2324,'2324 Jun 24 Enroll'!I$1,FALSE)+VLOOKUP($A198,EnrollData2324,'2324 Jun 24 Enroll'!M$1,FALSE)-VLOOKUP($A198,EnrollData2324,'2324 Jun 24 Enroll'!J$1,FALSE)='District Calculations'!$B$16+'District Calculations'!$B$25-'District Calculations'!$B$17,VLOOKUP($A198,EnrollData2324,'2324 Jun 24 Enroll'!I$1,FALSE)+VLOOKUP($A198,EnrollData2324,'2324 Jun 24 Enroll'!M$1,FALSE)-VLOOKUP($A198,EnrollData2324,'2324 Jun 24 Enroll'!J$1,FALSE),'District Calculations'!$B$16+'District Calculations'!$B$25-'District Calculations'!$B$17)*Apport_217A2324,3)</f>
        <v>4.6980000000000004</v>
      </c>
      <c r="R198">
        <f>ROUND(SUM(L198:Q198)/IF(VLOOKUP($A198,EnrollData2324,'2324 Jun 24 Enroll'!M$1,FALSE)+VLOOKUP($A198,EnrollData2324,'2324 Jun 24 Enroll'!D$1,FALSE)='District Calculations'!$B$25+'District Calculations'!$B$11,VLOOKUP($A198,EnrollData2324,'2324 Jun 24 Enroll'!M$1,FALSE)+VLOOKUP($A198,EnrollData2324,'2324 Jun 24 Enroll'!D$1,FALSE),'District Calculations'!$B$25+'District Calculations'!$B$11),5)</f>
        <v>4.1000000000000003E-3</v>
      </c>
      <c r="S198" s="11">
        <f t="shared" si="52"/>
        <v>1.8294500000000002E-2</v>
      </c>
      <c r="T198">
        <f>ROUND(IF(VLOOKUP($A198,EnrollData2324,'2324 Jun 24 Enroll'!D$1,FALSE)='District Calculations'!$B$11,VLOOKUP($A198,EnrollData2324,'2324 Jun 24 Enroll'!D$1,FALSE),'District Calculations'!$B$11)*S198,3)</f>
        <v>0</v>
      </c>
      <c r="U198">
        <f>ROUND(IF(VLOOKUP($A198,EnrollData2324,'2324 Jun 24 Enroll'!E$1,FALSE)='District Calculations'!$B$12,VLOOKUP($A198,EnrollData2324,'2324 Jun 24 Enroll'!E$1,FALSE),'District Calculations'!$B$12)*S198,3)</f>
        <v>14.827999999999999</v>
      </c>
      <c r="V198">
        <f>ROUND(IF(VLOOKUP($A198,EnrollData2324,'2324 Jun 24 Enroll'!F$1,FALSE)='District Calculations'!$B$13,VLOOKUP($A198,EnrollData2324,'2324 Jun 24 Enroll'!F$1,FALSE),'District Calculations'!$B$13)*Apport_224A2324,3)</f>
        <v>3.6190000000000002</v>
      </c>
      <c r="W198">
        <f>ROUND(IF(VLOOKUP($A198,EnrollData2324,'2324 Jun 24 Enroll'!G$1,FALSE)='District Calculations'!$B$14,VLOOKUP($A198,EnrollData2324,'2324 Jun 24 Enroll'!G$1,FALSE),'District Calculations'!$B$14)*Apport_212A2324,3)</f>
        <v>8.0239999999999991</v>
      </c>
      <c r="X198">
        <f>ROUND(IF(VLOOKUP($A198,EnrollData2324,'2324 Jun 24 Enroll'!H$1,FALSE)='District Calculations'!$B$14,VLOOKUP($A198,EnrollData2324,'2324 Jun 24 Enroll'!H$1,FALSE),'District Calculations'!$B$14)*Apport_215A2324,3)</f>
        <v>7.9279999999999999</v>
      </c>
      <c r="Y198">
        <f>ROUND(IF(VLOOKUP($A198,EnrollData2324,'2324 Jun 24 Enroll'!I$1,FALSE)+VLOOKUP($A198,EnrollData2324,'2324 Jun 24 Enroll'!M$1,FALSE)-VLOOKUP($A198,EnrollData2324,'2324 Jun 24 Enroll'!J$1,FALSE)='District Calculations'!$B$16+'District Calculations'!$B$25-'District Calculations'!$B$17,VLOOKUP($A198,EnrollData2324,'2324 Jun 24 Enroll'!I$1,FALSE)+VLOOKUP($A198,EnrollData2324,'2324 Jun 24 Enroll'!M$1,FALSE)-VLOOKUP($A198,EnrollData2324,'2324 Jun 24 Enroll'!J$1,FALSE),'District Calculations'!$B$16+'District Calculations'!$B$25-'District Calculations'!$B$17)*Apport_218A2324,3)</f>
        <v>19.917999999999999</v>
      </c>
      <c r="Z198">
        <f>ROUND(SUM(T198:Y198)/IF(VLOOKUP($A198,EnrollData2324,'2324 Jun 24 Enroll'!M$1,FALSE)+VLOOKUP($A198,EnrollData2324,'2324 Jun 24 Enroll'!D$1,FALSE)='District Calculations'!$B$25+'District Calculations'!$B$11,VLOOKUP($A198,EnrollData2324,'2324 Jun 24 Enroll'!M$1,FALSE)+VLOOKUP($A198,EnrollData2324,'2324 Jun 24 Enroll'!D$1,FALSE),'District Calculations'!$B$25+'District Calculations'!$B$11),5)</f>
        <v>1.7399999999999999E-2</v>
      </c>
      <c r="AA198" s="6">
        <f>ROUND($J198*CIS_Base_Salary2324*VLOOKUP($A198,EnrollData2324,'2324 Jun 24 Enroll'!S$1,FALSE),2)</f>
        <v>4038.59</v>
      </c>
      <c r="AB198" s="6">
        <f>ROUND($J198*CIS_Inc_Salary2324*(VLOOKUP($A198,EnrollData2324,'2324 Jun 24 Enroll'!T$1,FALSE)+VLOOKUP($A198,EnrollData2324,'2324 Jun 24 Enroll'!U$1,FALSE)),2)-AA198</f>
        <v>149.43000000000029</v>
      </c>
      <c r="AC198" s="6">
        <f>ROUND($R198*CAS_Base_Salary2324*VLOOKUP($A198,EnrollData2324,'2324 Jun 24 Enroll'!S$1,FALSE),2)</f>
        <v>442.62</v>
      </c>
      <c r="AD198" s="6">
        <f>ROUND($R198*CAS_Inc_Salary2324*VLOOKUP($A198,EnrollData2324,'2324 Jun 24 Enroll'!T$1,FALSE),2)-AC198</f>
        <v>16.379999999999995</v>
      </c>
      <c r="AE198" s="6">
        <f>ROUND($Z198*CLS_Base_Salary2324*VLOOKUP($A198,EnrollData2324,'2324 Jun 24 Enroll'!S$1,FALSE),2)</f>
        <v>907.81</v>
      </c>
      <c r="AF198" s="6">
        <f>ROUND($Z198*CLS_Inc_Salary2324*VLOOKUP($A198,EnrollData2324,'2324 Jun 24 Enroll'!T$1,FALSE),2)-AE198</f>
        <v>33.580000000000041</v>
      </c>
      <c r="AG198">
        <f t="shared" si="48"/>
        <v>734.16</v>
      </c>
      <c r="AH198" s="69">
        <f t="shared" si="53"/>
        <v>68.700000000000045</v>
      </c>
      <c r="AI198">
        <f t="shared" si="49"/>
        <v>214.23</v>
      </c>
      <c r="AJ198">
        <f t="shared" si="54"/>
        <v>114.21000000000001</v>
      </c>
      <c r="AK198">
        <f t="shared" si="55"/>
        <v>805.27</v>
      </c>
      <c r="AL198">
        <f t="shared" si="56"/>
        <v>28.73</v>
      </c>
      <c r="AM198">
        <f t="shared" si="57"/>
        <v>200.26</v>
      </c>
      <c r="AN198">
        <f t="shared" si="58"/>
        <v>6.23</v>
      </c>
      <c r="AO198">
        <f>ROUND(($J198*CIS_Inc_Salary2324*(VLOOKUP($A198,EnrollData2324,'2324 Jun 24 Enroll'!T$1,FALSE)+VLOOKUP($A198,EnrollData2324,'2324 Jun 24 Enroll'!U$1,FALSE))/Apport_613Xpd)*Apport_614Xpd,2)</f>
        <v>69.8</v>
      </c>
      <c r="AP198">
        <f t="shared" si="59"/>
        <v>12.1</v>
      </c>
      <c r="AQ198">
        <f t="shared" si="60"/>
        <v>30.93</v>
      </c>
      <c r="AR198" s="6">
        <f>ROUND((VLOOKUP($A198,EnrollData2324,'2324 Jun 24 Enroll'!D$1,FALSE)*Apport_M802324+VLOOKUP($A198,EnrollData2324,'2324 Jun 24 Enroll'!M$1,FALSE)*Apport_M802324+(VLOOKUP($A198,EnrollData2324,'2324 Jun 24 Enroll'!P$1,FALSE)+VLOOKUP($A198,EnrollData2324,'2324 Jun 24 Enroll'!Q$1,FALSE)+VLOOKUP($A198,EnrollData2324,'2324 Jun 24 Enroll'!R$1,FALSE)+VLOOKUP($A198,EnrollData2324,'2324 Jun 24 Enroll'!I$1,FALSE)+VLOOKUP($A198,EnrollData2324,'2324 Jun 24 Enroll'!N$1,FALSE)+VLOOKUP($A198,EnrollData2324,'2324 Jun 24 Enroll'!O$1,FALSE)+VLOOKUP($A198,EnrollData2324,'2324 Jun 24 Enroll'!K$1,FALSE)+VLOOKUP($A198,EnrollData2324,'2324 Jun 24 Enroll'!L$1,FALSE))*Apport_M812324)/(VLOOKUP($A198,EnrollData2324,'2324 Jun 24 Enroll'!M$1,FALSE)+VLOOKUP($A198,EnrollData2324,'2324 Jun 24 Enroll'!D$1,FALSE)),2)</f>
        <v>1568.31</v>
      </c>
      <c r="AS198" s="7">
        <f t="shared" si="61"/>
        <v>9441.34</v>
      </c>
    </row>
    <row r="199" spans="1:46">
      <c r="A199" s="40" t="s">
        <v>418</v>
      </c>
      <c r="B199" s="40" t="s">
        <v>419</v>
      </c>
      <c r="C199" s="11">
        <f>ROUND((IFERROR((1/IF(VLOOKUP($A199,EnrollData2324,28,FALSE)='District Calculations'!$B$10,VLOOKUP($A199,EnrollData2324,28,FALSE),'District Calculations'!$B$10))*(1+Apport_Z315),0))+Apport_201A2324,6)</f>
        <v>7.3449E-2</v>
      </c>
      <c r="D199">
        <f>ROUND(IF(VLOOKUP($A199,EnrollData2324,'2324 Jun 24 Enroll'!D$1,FALSE)='District Calculations'!$B$11,VLOOKUP($A199,EnrollData2324,'2324 Jun 24 Enroll'!D$1,FALSE),'District Calculations'!$B$11)*C199,3)</f>
        <v>0</v>
      </c>
      <c r="E199">
        <f>ROUND(IF(VLOOKUP($A199,EnrollData2324,'2324 Jun 24 Enroll'!E$1,FALSE)='District Calculations'!$B$12,VLOOKUP($A199,EnrollData2324,'2324 Jun 24 Enroll'!E$1,FALSE),'District Calculations'!$B$12)*C199,3)</f>
        <v>59.53</v>
      </c>
      <c r="F199">
        <f>ROUND(IF(VLOOKUP($A199,EnrollData2324,'2324 Jun 24 Enroll'!F$1,FALSE)='District Calculations'!$B$13,VLOOKUP($A199,EnrollData2324,'2324 Jun 24 Enroll'!F$1,FALSE),'District Calculations'!$B$13)*Apport_222A2324,3)</f>
        <v>10.101000000000001</v>
      </c>
      <c r="G199">
        <f>ROUND(IF(VLOOKUP($A199,EnrollData2324,'2324 Jun 24 Enroll'!G$1,FALSE)='District Calculations'!$B$14,VLOOKUP($A199,EnrollData2324,'2324 Jun 24 Enroll'!G$1,FALSE),'District Calculations'!$B$14)*Apport_210A2324,3)</f>
        <v>22.395</v>
      </c>
      <c r="H199">
        <f>ROUND(IF(VLOOKUP($A199,EnrollData2324,'2324 Jun 24 Enroll'!H$1,FALSE)='District Calculations'!$B$15,VLOOKUP($A199,EnrollData2324,'2324 Jun 24 Enroll'!H$1,FALSE),'District Calculations'!$B$15)*Apport_213A2324,3)</f>
        <v>23.091999999999999</v>
      </c>
      <c r="I199">
        <f>ROUND(IF(VLOOKUP($A199,EnrollData2324,'2324 Jun 24 Enroll'!I$1,FALSE)+VLOOKUP($A199,EnrollData2324,'2324 Jun 24 Enroll'!M$1,FALSE)-VLOOKUP($A199,EnrollData2324,'2324 Jun 24 Enroll'!J$1,FALSE)='District Calculations'!$B$16+'District Calculations'!$B$25-'District Calculations'!$B$17,VLOOKUP($A199,EnrollData2324,'2324 Jun 24 Enroll'!I$1,FALSE)+VLOOKUP($A199,EnrollData2324,'2324 Jun 24 Enroll'!M$1,FALSE)-VLOOKUP($A199,EnrollData2324,'2324 Jun 24 Enroll'!J$1,FALSE),'District Calculations'!$B$16+'District Calculations'!$B$25-'District Calculations'!$B$17)*Apport_216A2324,3)</f>
        <v>58.183999999999997</v>
      </c>
      <c r="J199">
        <f>ROUND(SUM(D199:I199)/(IF(VLOOKUP($A199,EnrollData2324,'2324 Jun 24 Enroll'!M$1,FALSE)='District Calculations'!$B$25,VLOOKUP($A199,EnrollData2324,'2324 Jun 24 Enroll'!M$1,FALSE),'District Calculations'!$B$25)+IF(VLOOKUP($A199,EnrollData2324,'2324 Jun 24 Enroll'!D$1,FALSE)='District Calculations'!$B$11,VLOOKUP($A199,EnrollData2324,'2324 Jun 24 Enroll'!D$1,FALSE),'District Calculations'!$B$11)),5)</f>
        <v>5.5530000000000003E-2</v>
      </c>
      <c r="K199" s="11">
        <f t="shared" si="51"/>
        <v>4.365E-3</v>
      </c>
      <c r="L199">
        <f>ROUND(IF(VLOOKUP($A199,EnrollData2324,'2324 Jun 24 Enroll'!D$1,FALSE)='District Calculations'!$B$11,VLOOKUP($A199,EnrollData2324,'2324 Jun 24 Enroll'!D$1,FALSE),'District Calculations'!$B$11)*K199,3)</f>
        <v>0</v>
      </c>
      <c r="M199">
        <f>ROUND(IF(VLOOKUP($A199,EnrollData2324,'2324 Jun 24 Enroll'!E$1,FALSE)='District Calculations'!$B$12,VLOOKUP($A199,EnrollData2324,'2324 Jun 24 Enroll'!E$1,FALSE),'District Calculations'!$B$12)*K199,3)</f>
        <v>3.5379999999999998</v>
      </c>
      <c r="N199">
        <f>ROUND(IF(VLOOKUP($A199,EnrollData2324,'2324 Jun 24 Enroll'!F$1,FALSE)='District Calculations'!$B$13,VLOOKUP($A199,EnrollData2324,'2324 Jun 24 Enroll'!F$1,FALSE),'District Calculations'!$B$13)*Apport_223A2324,3)</f>
        <v>0.84199999999999997</v>
      </c>
      <c r="O199">
        <f>ROUND(IF(VLOOKUP($A199,EnrollData2324,'2324 Jun 24 Enroll'!G$1,FALSE)='District Calculations'!$B$14,VLOOKUP($A199,EnrollData2324,'2324 Jun 24 Enroll'!G$1,FALSE),'District Calculations'!$B$14)*Apport_211A2324,3)</f>
        <v>1.867</v>
      </c>
      <c r="P199">
        <f>ROUND(IF(VLOOKUP($A199,EnrollData2324,'2324 Jun 24 Enroll'!H$1,FALSE)='District Calculations'!$B$14,VLOOKUP($A199,EnrollData2324,'2324 Jun 24 Enroll'!H$1,FALSE),'District Calculations'!$B$14)*Apport_214A2324,3)</f>
        <v>1.8660000000000001</v>
      </c>
      <c r="Q199">
        <f>ROUND(IF(VLOOKUP($A199,EnrollData2324,'2324 Jun 24 Enroll'!I$1,FALSE)+VLOOKUP($A199,EnrollData2324,'2324 Jun 24 Enroll'!M$1,FALSE)-VLOOKUP($A199,EnrollData2324,'2324 Jun 24 Enroll'!J$1,FALSE)='District Calculations'!$B$16+'District Calculations'!$B$25-'District Calculations'!$B$17,VLOOKUP($A199,EnrollData2324,'2324 Jun 24 Enroll'!I$1,FALSE)+VLOOKUP($A199,EnrollData2324,'2324 Jun 24 Enroll'!M$1,FALSE)-VLOOKUP($A199,EnrollData2324,'2324 Jun 24 Enroll'!J$1,FALSE),'District Calculations'!$B$16+'District Calculations'!$B$25-'District Calculations'!$B$17)*Apport_217A2324,3)</f>
        <v>4.6980000000000004</v>
      </c>
      <c r="R199">
        <f>ROUND(SUM(L199:Q199)/IF(VLOOKUP($A199,EnrollData2324,'2324 Jun 24 Enroll'!M$1,FALSE)+VLOOKUP($A199,EnrollData2324,'2324 Jun 24 Enroll'!D$1,FALSE)='District Calculations'!$B$25+'District Calculations'!$B$11,VLOOKUP($A199,EnrollData2324,'2324 Jun 24 Enroll'!M$1,FALSE)+VLOOKUP($A199,EnrollData2324,'2324 Jun 24 Enroll'!D$1,FALSE),'District Calculations'!$B$25+'District Calculations'!$B$11),5)</f>
        <v>4.1000000000000003E-3</v>
      </c>
      <c r="S199" s="11">
        <f t="shared" si="52"/>
        <v>1.8294500000000002E-2</v>
      </c>
      <c r="T199">
        <f>ROUND(IF(VLOOKUP($A199,EnrollData2324,'2324 Jun 24 Enroll'!D$1,FALSE)='District Calculations'!$B$11,VLOOKUP($A199,EnrollData2324,'2324 Jun 24 Enroll'!D$1,FALSE),'District Calculations'!$B$11)*S199,3)</f>
        <v>0</v>
      </c>
      <c r="U199">
        <f>ROUND(IF(VLOOKUP($A199,EnrollData2324,'2324 Jun 24 Enroll'!E$1,FALSE)='District Calculations'!$B$12,VLOOKUP($A199,EnrollData2324,'2324 Jun 24 Enroll'!E$1,FALSE),'District Calculations'!$B$12)*S199,3)</f>
        <v>14.827999999999999</v>
      </c>
      <c r="V199">
        <f>ROUND(IF(VLOOKUP($A199,EnrollData2324,'2324 Jun 24 Enroll'!F$1,FALSE)='District Calculations'!$B$13,VLOOKUP($A199,EnrollData2324,'2324 Jun 24 Enroll'!F$1,FALSE),'District Calculations'!$B$13)*Apport_224A2324,3)</f>
        <v>3.6190000000000002</v>
      </c>
      <c r="W199">
        <f>ROUND(IF(VLOOKUP($A199,EnrollData2324,'2324 Jun 24 Enroll'!G$1,FALSE)='District Calculations'!$B$14,VLOOKUP($A199,EnrollData2324,'2324 Jun 24 Enroll'!G$1,FALSE),'District Calculations'!$B$14)*Apport_212A2324,3)</f>
        <v>8.0239999999999991</v>
      </c>
      <c r="X199">
        <f>ROUND(IF(VLOOKUP($A199,EnrollData2324,'2324 Jun 24 Enroll'!H$1,FALSE)='District Calculations'!$B$14,VLOOKUP($A199,EnrollData2324,'2324 Jun 24 Enroll'!H$1,FALSE),'District Calculations'!$B$14)*Apport_215A2324,3)</f>
        <v>7.9279999999999999</v>
      </c>
      <c r="Y199">
        <f>ROUND(IF(VLOOKUP($A199,EnrollData2324,'2324 Jun 24 Enroll'!I$1,FALSE)+VLOOKUP($A199,EnrollData2324,'2324 Jun 24 Enroll'!M$1,FALSE)-VLOOKUP($A199,EnrollData2324,'2324 Jun 24 Enroll'!J$1,FALSE)='District Calculations'!$B$16+'District Calculations'!$B$25-'District Calculations'!$B$17,VLOOKUP($A199,EnrollData2324,'2324 Jun 24 Enroll'!I$1,FALSE)+VLOOKUP($A199,EnrollData2324,'2324 Jun 24 Enroll'!M$1,FALSE)-VLOOKUP($A199,EnrollData2324,'2324 Jun 24 Enroll'!J$1,FALSE),'District Calculations'!$B$16+'District Calculations'!$B$25-'District Calculations'!$B$17)*Apport_218A2324,3)</f>
        <v>19.917999999999999</v>
      </c>
      <c r="Z199">
        <f>ROUND(SUM(T199:Y199)/IF(VLOOKUP($A199,EnrollData2324,'2324 Jun 24 Enroll'!M$1,FALSE)+VLOOKUP($A199,EnrollData2324,'2324 Jun 24 Enroll'!D$1,FALSE)='District Calculations'!$B$25+'District Calculations'!$B$11,VLOOKUP($A199,EnrollData2324,'2324 Jun 24 Enroll'!M$1,FALSE)+VLOOKUP($A199,EnrollData2324,'2324 Jun 24 Enroll'!D$1,FALSE),'District Calculations'!$B$25+'District Calculations'!$B$11),5)</f>
        <v>1.7399999999999999E-2</v>
      </c>
      <c r="AA199" s="6">
        <f>ROUND($J199*CIS_Base_Salary2324*VLOOKUP($A199,EnrollData2324,'2324 Jun 24 Enroll'!S$1,FALSE),2)</f>
        <v>4038.59</v>
      </c>
      <c r="AB199" s="6">
        <f>ROUND($J199*CIS_Inc_Salary2324*(VLOOKUP($A199,EnrollData2324,'2324 Jun 24 Enroll'!T$1,FALSE)+VLOOKUP($A199,EnrollData2324,'2324 Jun 24 Enroll'!U$1,FALSE)),2)-AA199</f>
        <v>149.43000000000029</v>
      </c>
      <c r="AC199" s="6">
        <f>ROUND($R199*CAS_Base_Salary2324*VLOOKUP($A199,EnrollData2324,'2324 Jun 24 Enroll'!S$1,FALSE),2)</f>
        <v>442.62</v>
      </c>
      <c r="AD199" s="6">
        <f>ROUND($R199*CAS_Inc_Salary2324*VLOOKUP($A199,EnrollData2324,'2324 Jun 24 Enroll'!T$1,FALSE),2)-AC199</f>
        <v>16.379999999999995</v>
      </c>
      <c r="AE199" s="6">
        <f>ROUND($Z199*CLS_Base_Salary2324*VLOOKUP($A199,EnrollData2324,'2324 Jun 24 Enroll'!S$1,FALSE),2)</f>
        <v>907.81</v>
      </c>
      <c r="AF199" s="6">
        <f>ROUND($Z199*CLS_Inc_Salary2324*VLOOKUP($A199,EnrollData2324,'2324 Jun 24 Enroll'!T$1,FALSE),2)-AE199</f>
        <v>33.580000000000041</v>
      </c>
      <c r="AG199">
        <f t="shared" ref="AG199:AG261" si="63">ROUND(($J199+$R199)*Apport_124X2324,2)</f>
        <v>734.16</v>
      </c>
      <c r="AH199" s="69">
        <f t="shared" si="53"/>
        <v>68.700000000000045</v>
      </c>
      <c r="AI199">
        <f t="shared" ref="AI199:AI261" si="64">ROUND($Z199*Apport_124X2324,2)</f>
        <v>214.23</v>
      </c>
      <c r="AJ199">
        <f t="shared" si="54"/>
        <v>114.21000000000001</v>
      </c>
      <c r="AK199">
        <f t="shared" si="55"/>
        <v>805.27</v>
      </c>
      <c r="AL199">
        <f t="shared" si="56"/>
        <v>28.73</v>
      </c>
      <c r="AM199">
        <f t="shared" si="57"/>
        <v>200.26</v>
      </c>
      <c r="AN199">
        <f t="shared" si="58"/>
        <v>6.23</v>
      </c>
      <c r="AO199">
        <f>ROUND(($J199*CIS_Inc_Salary2324*(VLOOKUP($A199,EnrollData2324,'2324 Jun 24 Enroll'!T$1,FALSE)+VLOOKUP($A199,EnrollData2324,'2324 Jun 24 Enroll'!U$1,FALSE))/Apport_613Xpd)*Apport_614Xpd,2)</f>
        <v>69.8</v>
      </c>
      <c r="AP199">
        <f t="shared" si="59"/>
        <v>12.1</v>
      </c>
      <c r="AQ199">
        <f t="shared" si="60"/>
        <v>30.93</v>
      </c>
      <c r="AR199" s="6">
        <f>ROUND((VLOOKUP($A199,EnrollData2324,'2324 Jun 24 Enroll'!D$1,FALSE)*Apport_M802324+VLOOKUP($A199,EnrollData2324,'2324 Jun 24 Enroll'!M$1,FALSE)*Apport_M802324+(VLOOKUP($A199,EnrollData2324,'2324 Jun 24 Enroll'!P$1,FALSE)+VLOOKUP($A199,EnrollData2324,'2324 Jun 24 Enroll'!Q$1,FALSE)+VLOOKUP($A199,EnrollData2324,'2324 Jun 24 Enroll'!R$1,FALSE)+VLOOKUP($A199,EnrollData2324,'2324 Jun 24 Enroll'!I$1,FALSE)+VLOOKUP($A199,EnrollData2324,'2324 Jun 24 Enroll'!N$1,FALSE)+VLOOKUP($A199,EnrollData2324,'2324 Jun 24 Enroll'!O$1,FALSE)+VLOOKUP($A199,EnrollData2324,'2324 Jun 24 Enroll'!K$1,FALSE)+VLOOKUP($A199,EnrollData2324,'2324 Jun 24 Enroll'!L$1,FALSE))*Apport_M812324)/(VLOOKUP($A199,EnrollData2324,'2324 Jun 24 Enroll'!M$1,FALSE)+VLOOKUP($A199,EnrollData2324,'2324 Jun 24 Enroll'!D$1,FALSE)),2)</f>
        <v>1586.8</v>
      </c>
      <c r="AS199" s="7">
        <f t="shared" si="61"/>
        <v>9459.83</v>
      </c>
    </row>
    <row r="200" spans="1:46">
      <c r="A200" s="40" t="s">
        <v>753</v>
      </c>
      <c r="B200" s="40" t="s">
        <v>754</v>
      </c>
      <c r="C200" s="11">
        <f>ROUND((IFERROR((1/IF(VLOOKUP($A200,EnrollData2324,28,FALSE)='District Calculations'!$B$10,VLOOKUP($A200,EnrollData2324,28,FALSE),'District Calculations'!$B$10))*(1+Apport_Z315),0))+Apport_201A2324,6)</f>
        <v>7.3449E-2</v>
      </c>
      <c r="D200">
        <f>ROUND(IF(VLOOKUP($A200,EnrollData2324,'2324 Jun 24 Enroll'!D$1,FALSE)='District Calculations'!$B$11,VLOOKUP($A200,EnrollData2324,'2324 Jun 24 Enroll'!D$1,FALSE),'District Calculations'!$B$11)*C200,3)</f>
        <v>0</v>
      </c>
      <c r="E200">
        <f>ROUND(IF(VLOOKUP($A200,EnrollData2324,'2324 Jun 24 Enroll'!E$1,FALSE)='District Calculations'!$B$12,VLOOKUP($A200,EnrollData2324,'2324 Jun 24 Enroll'!E$1,FALSE),'District Calculations'!$B$12)*C200,3)</f>
        <v>59.53</v>
      </c>
      <c r="F200">
        <f>ROUND(IF(VLOOKUP($A200,EnrollData2324,'2324 Jun 24 Enroll'!F$1,FALSE)='District Calculations'!$B$13,VLOOKUP($A200,EnrollData2324,'2324 Jun 24 Enroll'!F$1,FALSE),'District Calculations'!$B$13)*Apport_222A2324,3)</f>
        <v>10.101000000000001</v>
      </c>
      <c r="G200">
        <f>ROUND(IF(VLOOKUP($A200,EnrollData2324,'2324 Jun 24 Enroll'!G$1,FALSE)='District Calculations'!$B$14,VLOOKUP($A200,EnrollData2324,'2324 Jun 24 Enroll'!G$1,FALSE),'District Calculations'!$B$14)*Apport_210A2324,3)</f>
        <v>22.395</v>
      </c>
      <c r="H200">
        <f>ROUND(IF(VLOOKUP($A200,EnrollData2324,'2324 Jun 24 Enroll'!H$1,FALSE)='District Calculations'!$B$15,VLOOKUP($A200,EnrollData2324,'2324 Jun 24 Enroll'!H$1,FALSE),'District Calculations'!$B$15)*Apport_213A2324,3)</f>
        <v>23.091999999999999</v>
      </c>
      <c r="I200">
        <f>ROUND(IF(VLOOKUP($A200,EnrollData2324,'2324 Jun 24 Enroll'!I$1,FALSE)+VLOOKUP($A200,EnrollData2324,'2324 Jun 24 Enroll'!M$1,FALSE)-VLOOKUP($A200,EnrollData2324,'2324 Jun 24 Enroll'!J$1,FALSE)='District Calculations'!$B$16+'District Calculations'!$B$25-'District Calculations'!$B$17,VLOOKUP($A200,EnrollData2324,'2324 Jun 24 Enroll'!I$1,FALSE)+VLOOKUP($A200,EnrollData2324,'2324 Jun 24 Enroll'!M$1,FALSE)-VLOOKUP($A200,EnrollData2324,'2324 Jun 24 Enroll'!J$1,FALSE),'District Calculations'!$B$16+'District Calculations'!$B$25-'District Calculations'!$B$17)*Apport_216A2324,3)</f>
        <v>58.183999999999997</v>
      </c>
      <c r="J200">
        <f>ROUND(SUM(D200:I200)/(IF(VLOOKUP($A200,EnrollData2324,'2324 Jun 24 Enroll'!M$1,FALSE)='District Calculations'!$B$25,VLOOKUP($A200,EnrollData2324,'2324 Jun 24 Enroll'!M$1,FALSE),'District Calculations'!$B$25)+IF(VLOOKUP($A200,EnrollData2324,'2324 Jun 24 Enroll'!D$1,FALSE)='District Calculations'!$B$11,VLOOKUP($A200,EnrollData2324,'2324 Jun 24 Enroll'!D$1,FALSE),'District Calculations'!$B$11)),5)</f>
        <v>5.5530000000000003E-2</v>
      </c>
      <c r="K200" s="11">
        <f t="shared" si="51"/>
        <v>4.365E-3</v>
      </c>
      <c r="L200">
        <f>ROUND(IF(VLOOKUP($A200,EnrollData2324,'2324 Jun 24 Enroll'!D$1,FALSE)='District Calculations'!$B$11,VLOOKUP($A200,EnrollData2324,'2324 Jun 24 Enroll'!D$1,FALSE),'District Calculations'!$B$11)*K200,3)</f>
        <v>0</v>
      </c>
      <c r="M200">
        <f>ROUND(IF(VLOOKUP($A200,EnrollData2324,'2324 Jun 24 Enroll'!E$1,FALSE)='District Calculations'!$B$12,VLOOKUP($A200,EnrollData2324,'2324 Jun 24 Enroll'!E$1,FALSE),'District Calculations'!$B$12)*K200,3)</f>
        <v>3.5379999999999998</v>
      </c>
      <c r="N200">
        <f>ROUND(IF(VLOOKUP($A200,EnrollData2324,'2324 Jun 24 Enroll'!F$1,FALSE)='District Calculations'!$B$13,VLOOKUP($A200,EnrollData2324,'2324 Jun 24 Enroll'!F$1,FALSE),'District Calculations'!$B$13)*Apport_223A2324,3)</f>
        <v>0.84199999999999997</v>
      </c>
      <c r="O200">
        <f>ROUND(IF(VLOOKUP($A200,EnrollData2324,'2324 Jun 24 Enroll'!G$1,FALSE)='District Calculations'!$B$14,VLOOKUP($A200,EnrollData2324,'2324 Jun 24 Enroll'!G$1,FALSE),'District Calculations'!$B$14)*Apport_211A2324,3)</f>
        <v>1.867</v>
      </c>
      <c r="P200">
        <f>ROUND(IF(VLOOKUP($A200,EnrollData2324,'2324 Jun 24 Enroll'!H$1,FALSE)='District Calculations'!$B$14,VLOOKUP($A200,EnrollData2324,'2324 Jun 24 Enroll'!H$1,FALSE),'District Calculations'!$B$14)*Apport_214A2324,3)</f>
        <v>1.8660000000000001</v>
      </c>
      <c r="Q200">
        <f>ROUND(IF(VLOOKUP($A200,EnrollData2324,'2324 Jun 24 Enroll'!I$1,FALSE)+VLOOKUP($A200,EnrollData2324,'2324 Jun 24 Enroll'!M$1,FALSE)-VLOOKUP($A200,EnrollData2324,'2324 Jun 24 Enroll'!J$1,FALSE)='District Calculations'!$B$16+'District Calculations'!$B$25-'District Calculations'!$B$17,VLOOKUP($A200,EnrollData2324,'2324 Jun 24 Enroll'!I$1,FALSE)+VLOOKUP($A200,EnrollData2324,'2324 Jun 24 Enroll'!M$1,FALSE)-VLOOKUP($A200,EnrollData2324,'2324 Jun 24 Enroll'!J$1,FALSE),'District Calculations'!$B$16+'District Calculations'!$B$25-'District Calculations'!$B$17)*Apport_217A2324,3)</f>
        <v>4.6980000000000004</v>
      </c>
      <c r="R200">
        <f>ROUND(SUM(L200:Q200)/IF(VLOOKUP($A200,EnrollData2324,'2324 Jun 24 Enroll'!M$1,FALSE)+VLOOKUP($A200,EnrollData2324,'2324 Jun 24 Enroll'!D$1,FALSE)='District Calculations'!$B$25+'District Calculations'!$B$11,VLOOKUP($A200,EnrollData2324,'2324 Jun 24 Enroll'!M$1,FALSE)+VLOOKUP($A200,EnrollData2324,'2324 Jun 24 Enroll'!D$1,FALSE),'District Calculations'!$B$25+'District Calculations'!$B$11),5)</f>
        <v>4.1000000000000003E-3</v>
      </c>
      <c r="S200" s="11">
        <f t="shared" si="52"/>
        <v>1.8294500000000002E-2</v>
      </c>
      <c r="T200">
        <f>ROUND(IF(VLOOKUP($A200,EnrollData2324,'2324 Jun 24 Enroll'!D$1,FALSE)='District Calculations'!$B$11,VLOOKUP($A200,EnrollData2324,'2324 Jun 24 Enroll'!D$1,FALSE),'District Calculations'!$B$11)*S200,3)</f>
        <v>0</v>
      </c>
      <c r="U200">
        <f>ROUND(IF(VLOOKUP($A200,EnrollData2324,'2324 Jun 24 Enroll'!E$1,FALSE)='District Calculations'!$B$12,VLOOKUP($A200,EnrollData2324,'2324 Jun 24 Enroll'!E$1,FALSE),'District Calculations'!$B$12)*S200,3)</f>
        <v>14.827999999999999</v>
      </c>
      <c r="V200">
        <f>ROUND(IF(VLOOKUP($A200,EnrollData2324,'2324 Jun 24 Enroll'!F$1,FALSE)='District Calculations'!$B$13,VLOOKUP($A200,EnrollData2324,'2324 Jun 24 Enroll'!F$1,FALSE),'District Calculations'!$B$13)*Apport_224A2324,3)</f>
        <v>3.6190000000000002</v>
      </c>
      <c r="W200">
        <f>ROUND(IF(VLOOKUP($A200,EnrollData2324,'2324 Jun 24 Enroll'!G$1,FALSE)='District Calculations'!$B$14,VLOOKUP($A200,EnrollData2324,'2324 Jun 24 Enroll'!G$1,FALSE),'District Calculations'!$B$14)*Apport_212A2324,3)</f>
        <v>8.0239999999999991</v>
      </c>
      <c r="X200">
        <f>ROUND(IF(VLOOKUP($A200,EnrollData2324,'2324 Jun 24 Enroll'!H$1,FALSE)='District Calculations'!$B$14,VLOOKUP($A200,EnrollData2324,'2324 Jun 24 Enroll'!H$1,FALSE),'District Calculations'!$B$14)*Apport_215A2324,3)</f>
        <v>7.9279999999999999</v>
      </c>
      <c r="Y200">
        <f>ROUND(IF(VLOOKUP($A200,EnrollData2324,'2324 Jun 24 Enroll'!I$1,FALSE)+VLOOKUP($A200,EnrollData2324,'2324 Jun 24 Enroll'!M$1,FALSE)-VLOOKUP($A200,EnrollData2324,'2324 Jun 24 Enroll'!J$1,FALSE)='District Calculations'!$B$16+'District Calculations'!$B$25-'District Calculations'!$B$17,VLOOKUP($A200,EnrollData2324,'2324 Jun 24 Enroll'!I$1,FALSE)+VLOOKUP($A200,EnrollData2324,'2324 Jun 24 Enroll'!M$1,FALSE)-VLOOKUP($A200,EnrollData2324,'2324 Jun 24 Enroll'!J$1,FALSE),'District Calculations'!$B$16+'District Calculations'!$B$25-'District Calculations'!$B$17)*Apport_218A2324,3)</f>
        <v>19.917999999999999</v>
      </c>
      <c r="Z200">
        <f>ROUND(SUM(T200:Y200)/IF(VLOOKUP($A200,EnrollData2324,'2324 Jun 24 Enroll'!M$1,FALSE)+VLOOKUP($A200,EnrollData2324,'2324 Jun 24 Enroll'!D$1,FALSE)='District Calculations'!$B$25+'District Calculations'!$B$11,VLOOKUP($A200,EnrollData2324,'2324 Jun 24 Enroll'!M$1,FALSE)+VLOOKUP($A200,EnrollData2324,'2324 Jun 24 Enroll'!D$1,FALSE),'District Calculations'!$B$25+'District Calculations'!$B$11),5)</f>
        <v>1.7399999999999999E-2</v>
      </c>
      <c r="AA200" s="6">
        <f>ROUND($J200*CIS_Base_Salary2324*VLOOKUP($A200,EnrollData2324,'2324 Jun 24 Enroll'!S$1,FALSE),2)</f>
        <v>4038.59</v>
      </c>
      <c r="AB200" s="6">
        <f>ROUND($J200*CIS_Inc_Salary2324*(VLOOKUP($A200,EnrollData2324,'2324 Jun 24 Enroll'!T$1,FALSE)+VLOOKUP($A200,EnrollData2324,'2324 Jun 24 Enroll'!U$1,FALSE)),2)-AA200</f>
        <v>149.43000000000029</v>
      </c>
      <c r="AC200" s="6">
        <f>ROUND($R200*CAS_Base_Salary2324*VLOOKUP($A200,EnrollData2324,'2324 Jun 24 Enroll'!S$1,FALSE),2)</f>
        <v>442.62</v>
      </c>
      <c r="AD200" s="6">
        <f>ROUND($R200*CAS_Inc_Salary2324*VLOOKUP($A200,EnrollData2324,'2324 Jun 24 Enroll'!T$1,FALSE),2)-AC200</f>
        <v>16.379999999999995</v>
      </c>
      <c r="AE200" s="6">
        <f>ROUND($Z200*CLS_Base_Salary2324*VLOOKUP($A200,EnrollData2324,'2324 Jun 24 Enroll'!S$1,FALSE),2)</f>
        <v>907.81</v>
      </c>
      <c r="AF200" s="6">
        <f>ROUND($Z200*CLS_Inc_Salary2324*VLOOKUP($A200,EnrollData2324,'2324 Jun 24 Enroll'!T$1,FALSE),2)-AE200</f>
        <v>33.580000000000041</v>
      </c>
      <c r="AG200">
        <f t="shared" si="63"/>
        <v>734.16</v>
      </c>
      <c r="AH200" s="69">
        <f t="shared" si="53"/>
        <v>68.700000000000045</v>
      </c>
      <c r="AI200">
        <f t="shared" si="64"/>
        <v>214.23</v>
      </c>
      <c r="AJ200">
        <f t="shared" si="54"/>
        <v>114.21000000000001</v>
      </c>
      <c r="AK200">
        <f t="shared" si="55"/>
        <v>805.27</v>
      </c>
      <c r="AL200">
        <f t="shared" si="56"/>
        <v>28.73</v>
      </c>
      <c r="AM200">
        <f t="shared" si="57"/>
        <v>200.26</v>
      </c>
      <c r="AN200">
        <f t="shared" si="58"/>
        <v>6.23</v>
      </c>
      <c r="AO200">
        <f>ROUND(($J200*CIS_Inc_Salary2324*(VLOOKUP($A200,EnrollData2324,'2324 Jun 24 Enroll'!T$1,FALSE)+VLOOKUP($A200,EnrollData2324,'2324 Jun 24 Enroll'!U$1,FALSE))/Apport_613Xpd)*Apport_614Xpd,2)</f>
        <v>69.8</v>
      </c>
      <c r="AP200">
        <f t="shared" si="59"/>
        <v>12.1</v>
      </c>
      <c r="AQ200">
        <f t="shared" si="60"/>
        <v>30.93</v>
      </c>
      <c r="AR200" s="6">
        <f>ROUND((VLOOKUP($A200,EnrollData2324,'2324 Jun 24 Enroll'!D$1,FALSE)*Apport_M802324+VLOOKUP($A200,EnrollData2324,'2324 Jun 24 Enroll'!M$1,FALSE)*Apport_M802324+(VLOOKUP($A200,EnrollData2324,'2324 Jun 24 Enroll'!P$1,FALSE)+VLOOKUP($A200,EnrollData2324,'2324 Jun 24 Enroll'!Q$1,FALSE)+VLOOKUP($A200,EnrollData2324,'2324 Jun 24 Enroll'!R$1,FALSE)+VLOOKUP($A200,EnrollData2324,'2324 Jun 24 Enroll'!I$1,FALSE)+VLOOKUP($A200,EnrollData2324,'2324 Jun 24 Enroll'!N$1,FALSE)+VLOOKUP($A200,EnrollData2324,'2324 Jun 24 Enroll'!O$1,FALSE)+VLOOKUP($A200,EnrollData2324,'2324 Jun 24 Enroll'!K$1,FALSE)+VLOOKUP($A200,EnrollData2324,'2324 Jun 24 Enroll'!L$1,FALSE))*Apport_M812324)/(VLOOKUP($A200,EnrollData2324,'2324 Jun 24 Enroll'!M$1,FALSE)+VLOOKUP($A200,EnrollData2324,'2324 Jun 24 Enroll'!D$1,FALSE)),2)</f>
        <v>1541.67</v>
      </c>
      <c r="AS200" s="7">
        <f t="shared" si="61"/>
        <v>9414.7000000000007</v>
      </c>
    </row>
    <row r="201" spans="1:46">
      <c r="A201" s="40" t="s">
        <v>795</v>
      </c>
      <c r="B201" s="40" t="s">
        <v>796</v>
      </c>
      <c r="C201" s="11">
        <f>ROUND((IFERROR((1/IF(VLOOKUP($A201,EnrollData2324,28,FALSE)='District Calculations'!$B$10,VLOOKUP($A201,EnrollData2324,28,FALSE),'District Calculations'!$B$10))*(1+Apport_Z315),0))+Apport_201A2324,6)</f>
        <v>7.3449E-2</v>
      </c>
      <c r="D201">
        <f>ROUND(IF(VLOOKUP($A201,EnrollData2324,'2324 Jun 24 Enroll'!D$1,FALSE)='District Calculations'!$B$11,VLOOKUP($A201,EnrollData2324,'2324 Jun 24 Enroll'!D$1,FALSE),'District Calculations'!$B$11)*C201,3)</f>
        <v>0</v>
      </c>
      <c r="E201">
        <f>ROUND(IF(VLOOKUP($A201,EnrollData2324,'2324 Jun 24 Enroll'!E$1,FALSE)='District Calculations'!$B$12,VLOOKUP($A201,EnrollData2324,'2324 Jun 24 Enroll'!E$1,FALSE),'District Calculations'!$B$12)*C201,3)</f>
        <v>59.53</v>
      </c>
      <c r="F201">
        <f>ROUND(IF(VLOOKUP($A201,EnrollData2324,'2324 Jun 24 Enroll'!F$1,FALSE)='District Calculations'!$B$13,VLOOKUP($A201,EnrollData2324,'2324 Jun 24 Enroll'!F$1,FALSE),'District Calculations'!$B$13)*Apport_222A2324,3)</f>
        <v>10.101000000000001</v>
      </c>
      <c r="G201">
        <f>ROUND(IF(VLOOKUP($A201,EnrollData2324,'2324 Jun 24 Enroll'!G$1,FALSE)='District Calculations'!$B$14,VLOOKUP($A201,EnrollData2324,'2324 Jun 24 Enroll'!G$1,FALSE),'District Calculations'!$B$14)*Apport_210A2324,3)</f>
        <v>22.395</v>
      </c>
      <c r="H201">
        <f>ROUND(IF(VLOOKUP($A201,EnrollData2324,'2324 Jun 24 Enroll'!H$1,FALSE)='District Calculations'!$B$15,VLOOKUP($A201,EnrollData2324,'2324 Jun 24 Enroll'!H$1,FALSE),'District Calculations'!$B$15)*Apport_213A2324,3)</f>
        <v>23.091999999999999</v>
      </c>
      <c r="I201">
        <f>ROUND(IF(VLOOKUP($A201,EnrollData2324,'2324 Jun 24 Enroll'!I$1,FALSE)+VLOOKUP($A201,EnrollData2324,'2324 Jun 24 Enroll'!M$1,FALSE)-VLOOKUP($A201,EnrollData2324,'2324 Jun 24 Enroll'!J$1,FALSE)='District Calculations'!$B$16+'District Calculations'!$B$25-'District Calculations'!$B$17,VLOOKUP($A201,EnrollData2324,'2324 Jun 24 Enroll'!I$1,FALSE)+VLOOKUP($A201,EnrollData2324,'2324 Jun 24 Enroll'!M$1,FALSE)-VLOOKUP($A201,EnrollData2324,'2324 Jun 24 Enroll'!J$1,FALSE),'District Calculations'!$B$16+'District Calculations'!$B$25-'District Calculations'!$B$17)*Apport_216A2324,3)</f>
        <v>58.183999999999997</v>
      </c>
      <c r="J201">
        <f>ROUND(SUM(D201:I201)/(IF(VLOOKUP($A201,EnrollData2324,'2324 Jun 24 Enroll'!M$1,FALSE)='District Calculations'!$B$25,VLOOKUP($A201,EnrollData2324,'2324 Jun 24 Enroll'!M$1,FALSE),'District Calculations'!$B$25)+IF(VLOOKUP($A201,EnrollData2324,'2324 Jun 24 Enroll'!D$1,FALSE)='District Calculations'!$B$11,VLOOKUP($A201,EnrollData2324,'2324 Jun 24 Enroll'!D$1,FALSE),'District Calculations'!$B$11)),5)</f>
        <v>5.5530000000000003E-2</v>
      </c>
      <c r="K201" s="11">
        <f t="shared" si="51"/>
        <v>4.365E-3</v>
      </c>
      <c r="L201">
        <f>ROUND(IF(VLOOKUP($A201,EnrollData2324,'2324 Jun 24 Enroll'!D$1,FALSE)='District Calculations'!$B$11,VLOOKUP($A201,EnrollData2324,'2324 Jun 24 Enroll'!D$1,FALSE),'District Calculations'!$B$11)*K201,3)</f>
        <v>0</v>
      </c>
      <c r="M201">
        <f>ROUND(IF(VLOOKUP($A201,EnrollData2324,'2324 Jun 24 Enroll'!E$1,FALSE)='District Calculations'!$B$12,VLOOKUP($A201,EnrollData2324,'2324 Jun 24 Enroll'!E$1,FALSE),'District Calculations'!$B$12)*K201,3)</f>
        <v>3.5379999999999998</v>
      </c>
      <c r="N201">
        <f>ROUND(IF(VLOOKUP($A201,EnrollData2324,'2324 Jun 24 Enroll'!F$1,FALSE)='District Calculations'!$B$13,VLOOKUP($A201,EnrollData2324,'2324 Jun 24 Enroll'!F$1,FALSE),'District Calculations'!$B$13)*Apport_223A2324,3)</f>
        <v>0.84199999999999997</v>
      </c>
      <c r="O201">
        <f>ROUND(IF(VLOOKUP($A201,EnrollData2324,'2324 Jun 24 Enroll'!G$1,FALSE)='District Calculations'!$B$14,VLOOKUP($A201,EnrollData2324,'2324 Jun 24 Enroll'!G$1,FALSE),'District Calculations'!$B$14)*Apport_211A2324,3)</f>
        <v>1.867</v>
      </c>
      <c r="P201">
        <f>ROUND(IF(VLOOKUP($A201,EnrollData2324,'2324 Jun 24 Enroll'!H$1,FALSE)='District Calculations'!$B$14,VLOOKUP($A201,EnrollData2324,'2324 Jun 24 Enroll'!H$1,FALSE),'District Calculations'!$B$14)*Apport_214A2324,3)</f>
        <v>1.8660000000000001</v>
      </c>
      <c r="Q201">
        <f>ROUND(IF(VLOOKUP($A201,EnrollData2324,'2324 Jun 24 Enroll'!I$1,FALSE)+VLOOKUP($A201,EnrollData2324,'2324 Jun 24 Enroll'!M$1,FALSE)-VLOOKUP($A201,EnrollData2324,'2324 Jun 24 Enroll'!J$1,FALSE)='District Calculations'!$B$16+'District Calculations'!$B$25-'District Calculations'!$B$17,VLOOKUP($A201,EnrollData2324,'2324 Jun 24 Enroll'!I$1,FALSE)+VLOOKUP($A201,EnrollData2324,'2324 Jun 24 Enroll'!M$1,FALSE)-VLOOKUP($A201,EnrollData2324,'2324 Jun 24 Enroll'!J$1,FALSE),'District Calculations'!$B$16+'District Calculations'!$B$25-'District Calculations'!$B$17)*Apport_217A2324,3)</f>
        <v>4.6980000000000004</v>
      </c>
      <c r="R201">
        <f>ROUND(SUM(L201:Q201)/IF(VLOOKUP($A201,EnrollData2324,'2324 Jun 24 Enroll'!M$1,FALSE)+VLOOKUP($A201,EnrollData2324,'2324 Jun 24 Enroll'!D$1,FALSE)='District Calculations'!$B$25+'District Calculations'!$B$11,VLOOKUP($A201,EnrollData2324,'2324 Jun 24 Enroll'!M$1,FALSE)+VLOOKUP($A201,EnrollData2324,'2324 Jun 24 Enroll'!D$1,FALSE),'District Calculations'!$B$25+'District Calculations'!$B$11),5)</f>
        <v>4.1000000000000003E-3</v>
      </c>
      <c r="S201" s="11">
        <f t="shared" si="52"/>
        <v>1.8294500000000002E-2</v>
      </c>
      <c r="T201">
        <f>ROUND(IF(VLOOKUP($A201,EnrollData2324,'2324 Jun 24 Enroll'!D$1,FALSE)='District Calculations'!$B$11,VLOOKUP($A201,EnrollData2324,'2324 Jun 24 Enroll'!D$1,FALSE),'District Calculations'!$B$11)*S201,3)</f>
        <v>0</v>
      </c>
      <c r="U201">
        <f>ROUND(IF(VLOOKUP($A201,EnrollData2324,'2324 Jun 24 Enroll'!E$1,FALSE)='District Calculations'!$B$12,VLOOKUP($A201,EnrollData2324,'2324 Jun 24 Enroll'!E$1,FALSE),'District Calculations'!$B$12)*S201,3)</f>
        <v>14.827999999999999</v>
      </c>
      <c r="V201">
        <f>ROUND(IF(VLOOKUP($A201,EnrollData2324,'2324 Jun 24 Enroll'!F$1,FALSE)='District Calculations'!$B$13,VLOOKUP($A201,EnrollData2324,'2324 Jun 24 Enroll'!F$1,FALSE),'District Calculations'!$B$13)*Apport_224A2324,3)</f>
        <v>3.6190000000000002</v>
      </c>
      <c r="W201">
        <f>ROUND(IF(VLOOKUP($A201,EnrollData2324,'2324 Jun 24 Enroll'!G$1,FALSE)='District Calculations'!$B$14,VLOOKUP($A201,EnrollData2324,'2324 Jun 24 Enroll'!G$1,FALSE),'District Calculations'!$B$14)*Apport_212A2324,3)</f>
        <v>8.0239999999999991</v>
      </c>
      <c r="X201">
        <f>ROUND(IF(VLOOKUP($A201,EnrollData2324,'2324 Jun 24 Enroll'!H$1,FALSE)='District Calculations'!$B$14,VLOOKUP($A201,EnrollData2324,'2324 Jun 24 Enroll'!H$1,FALSE),'District Calculations'!$B$14)*Apport_215A2324,3)</f>
        <v>7.9279999999999999</v>
      </c>
      <c r="Y201">
        <f>ROUND(IF(VLOOKUP($A201,EnrollData2324,'2324 Jun 24 Enroll'!I$1,FALSE)+VLOOKUP($A201,EnrollData2324,'2324 Jun 24 Enroll'!M$1,FALSE)-VLOOKUP($A201,EnrollData2324,'2324 Jun 24 Enroll'!J$1,FALSE)='District Calculations'!$B$16+'District Calculations'!$B$25-'District Calculations'!$B$17,VLOOKUP($A201,EnrollData2324,'2324 Jun 24 Enroll'!I$1,FALSE)+VLOOKUP($A201,EnrollData2324,'2324 Jun 24 Enroll'!M$1,FALSE)-VLOOKUP($A201,EnrollData2324,'2324 Jun 24 Enroll'!J$1,FALSE),'District Calculations'!$B$16+'District Calculations'!$B$25-'District Calculations'!$B$17)*Apport_218A2324,3)</f>
        <v>19.917999999999999</v>
      </c>
      <c r="Z201">
        <f>ROUND(SUM(T201:Y201)/IF(VLOOKUP($A201,EnrollData2324,'2324 Jun 24 Enroll'!M$1,FALSE)+VLOOKUP($A201,EnrollData2324,'2324 Jun 24 Enroll'!D$1,FALSE)='District Calculations'!$B$25+'District Calculations'!$B$11,VLOOKUP($A201,EnrollData2324,'2324 Jun 24 Enroll'!M$1,FALSE)+VLOOKUP($A201,EnrollData2324,'2324 Jun 24 Enroll'!D$1,FALSE),'District Calculations'!$B$25+'District Calculations'!$B$11),5)</f>
        <v>1.7399999999999999E-2</v>
      </c>
      <c r="AA201" s="6">
        <f>ROUND($J201*CIS_Base_Salary2324*VLOOKUP($A201,EnrollData2324,'2324 Jun 24 Enroll'!S$1,FALSE),2)</f>
        <v>4280.8999999999996</v>
      </c>
      <c r="AB201" s="6">
        <f>ROUND($J201*CIS_Inc_Salary2324*(VLOOKUP($A201,EnrollData2324,'2324 Jun 24 Enroll'!T$1,FALSE)+VLOOKUP($A201,EnrollData2324,'2324 Jun 24 Enroll'!U$1,FALSE)),2)-AA201</f>
        <v>158.40000000000055</v>
      </c>
      <c r="AC201" s="6">
        <f>ROUND($R201*CAS_Base_Salary2324*VLOOKUP($A201,EnrollData2324,'2324 Jun 24 Enroll'!S$1,FALSE),2)</f>
        <v>469.17</v>
      </c>
      <c r="AD201" s="6">
        <f>ROUND($R201*CAS_Inc_Salary2324*VLOOKUP($A201,EnrollData2324,'2324 Jun 24 Enroll'!T$1,FALSE),2)-AC201</f>
        <v>17.359999999999957</v>
      </c>
      <c r="AE201" s="6">
        <f>ROUND($Z201*CLS_Base_Salary2324*VLOOKUP($A201,EnrollData2324,'2324 Jun 24 Enroll'!S$1,FALSE),2)</f>
        <v>962.28</v>
      </c>
      <c r="AF201" s="6">
        <f>ROUND($Z201*CLS_Inc_Salary2324*VLOOKUP($A201,EnrollData2324,'2324 Jun 24 Enroll'!T$1,FALSE),2)-AE201</f>
        <v>35.600000000000023</v>
      </c>
      <c r="AG201">
        <f t="shared" si="63"/>
        <v>734.16</v>
      </c>
      <c r="AH201" s="69">
        <f t="shared" si="53"/>
        <v>68.700000000000045</v>
      </c>
      <c r="AI201">
        <f t="shared" si="64"/>
        <v>214.23</v>
      </c>
      <c r="AJ201">
        <f t="shared" si="54"/>
        <v>114.21000000000001</v>
      </c>
      <c r="AK201">
        <f t="shared" si="55"/>
        <v>853.59</v>
      </c>
      <c r="AL201">
        <f t="shared" si="56"/>
        <v>30.46</v>
      </c>
      <c r="AM201">
        <f t="shared" si="57"/>
        <v>212.28</v>
      </c>
      <c r="AN201">
        <f t="shared" si="58"/>
        <v>6.61</v>
      </c>
      <c r="AO201">
        <f>ROUND(($J201*CIS_Inc_Salary2324*(VLOOKUP($A201,EnrollData2324,'2324 Jun 24 Enroll'!T$1,FALSE)+VLOOKUP($A201,EnrollData2324,'2324 Jun 24 Enroll'!U$1,FALSE))/Apport_613Xpd)*Apport_614Xpd,2)</f>
        <v>73.989999999999995</v>
      </c>
      <c r="AP201">
        <f t="shared" si="59"/>
        <v>12.82</v>
      </c>
      <c r="AQ201">
        <f t="shared" si="60"/>
        <v>30.93</v>
      </c>
      <c r="AR201" s="6">
        <f>ROUND((VLOOKUP($A201,EnrollData2324,'2324 Jun 24 Enroll'!D$1,FALSE)*Apport_M802324+VLOOKUP($A201,EnrollData2324,'2324 Jun 24 Enroll'!M$1,FALSE)*Apport_M802324+(VLOOKUP($A201,EnrollData2324,'2324 Jun 24 Enroll'!P$1,FALSE)+VLOOKUP($A201,EnrollData2324,'2324 Jun 24 Enroll'!Q$1,FALSE)+VLOOKUP($A201,EnrollData2324,'2324 Jun 24 Enroll'!R$1,FALSE)+VLOOKUP($A201,EnrollData2324,'2324 Jun 24 Enroll'!I$1,FALSE)+VLOOKUP($A201,EnrollData2324,'2324 Jun 24 Enroll'!N$1,FALSE)+VLOOKUP($A201,EnrollData2324,'2324 Jun 24 Enroll'!O$1,FALSE)+VLOOKUP($A201,EnrollData2324,'2324 Jun 24 Enroll'!K$1,FALSE)+VLOOKUP($A201,EnrollData2324,'2324 Jun 24 Enroll'!L$1,FALSE))*Apport_M812324)/(VLOOKUP($A201,EnrollData2324,'2324 Jun 24 Enroll'!M$1,FALSE)+VLOOKUP($A201,EnrollData2324,'2324 Jun 24 Enroll'!D$1,FALSE)),2)</f>
        <v>1548.07</v>
      </c>
      <c r="AS201" s="7">
        <f t="shared" si="61"/>
        <v>9823.7599999999984</v>
      </c>
    </row>
    <row r="202" spans="1:46">
      <c r="A202" s="40" t="s">
        <v>705</v>
      </c>
      <c r="B202" s="40" t="s">
        <v>706</v>
      </c>
      <c r="C202" s="11">
        <f>ROUND((IFERROR((1/IF(VLOOKUP($A202,EnrollData2324,28,FALSE)='District Calculations'!$B$10,VLOOKUP($A202,EnrollData2324,28,FALSE),'District Calculations'!$B$10))*(1+Apport_Z315),0))+Apport_201A2324,6)</f>
        <v>7.3449E-2</v>
      </c>
      <c r="D202">
        <f>ROUND(IF(VLOOKUP($A202,EnrollData2324,'2324 Jun 24 Enroll'!D$1,FALSE)='District Calculations'!$B$11,VLOOKUP($A202,EnrollData2324,'2324 Jun 24 Enroll'!D$1,FALSE),'District Calculations'!$B$11)*C202,3)</f>
        <v>0</v>
      </c>
      <c r="E202">
        <f>ROUND(IF(VLOOKUP($A202,EnrollData2324,'2324 Jun 24 Enroll'!E$1,FALSE)='District Calculations'!$B$12,VLOOKUP($A202,EnrollData2324,'2324 Jun 24 Enroll'!E$1,FALSE),'District Calculations'!$B$12)*C202,3)</f>
        <v>59.53</v>
      </c>
      <c r="F202">
        <f>ROUND(IF(VLOOKUP($A202,EnrollData2324,'2324 Jun 24 Enroll'!F$1,FALSE)='District Calculations'!$B$13,VLOOKUP($A202,EnrollData2324,'2324 Jun 24 Enroll'!F$1,FALSE),'District Calculations'!$B$13)*Apport_222A2324,3)</f>
        <v>10.101000000000001</v>
      </c>
      <c r="G202">
        <f>ROUND(IF(VLOOKUP($A202,EnrollData2324,'2324 Jun 24 Enroll'!G$1,FALSE)='District Calculations'!$B$14,VLOOKUP($A202,EnrollData2324,'2324 Jun 24 Enroll'!G$1,FALSE),'District Calculations'!$B$14)*Apport_210A2324,3)</f>
        <v>22.395</v>
      </c>
      <c r="H202">
        <f>ROUND(IF(VLOOKUP($A202,EnrollData2324,'2324 Jun 24 Enroll'!H$1,FALSE)='District Calculations'!$B$15,VLOOKUP($A202,EnrollData2324,'2324 Jun 24 Enroll'!H$1,FALSE),'District Calculations'!$B$15)*Apport_213A2324,3)</f>
        <v>23.091999999999999</v>
      </c>
      <c r="I202">
        <f>ROUND(IF(VLOOKUP($A202,EnrollData2324,'2324 Jun 24 Enroll'!I$1,FALSE)+VLOOKUP($A202,EnrollData2324,'2324 Jun 24 Enroll'!M$1,FALSE)-VLOOKUP($A202,EnrollData2324,'2324 Jun 24 Enroll'!J$1,FALSE)='District Calculations'!$B$16+'District Calculations'!$B$25-'District Calculations'!$B$17,VLOOKUP($A202,EnrollData2324,'2324 Jun 24 Enroll'!I$1,FALSE)+VLOOKUP($A202,EnrollData2324,'2324 Jun 24 Enroll'!M$1,FALSE)-VLOOKUP($A202,EnrollData2324,'2324 Jun 24 Enroll'!J$1,FALSE),'District Calculations'!$B$16+'District Calculations'!$B$25-'District Calculations'!$B$17)*Apport_216A2324,3)</f>
        <v>58.183999999999997</v>
      </c>
      <c r="J202">
        <f>ROUND(SUM(D202:I202)/(IF(VLOOKUP($A202,EnrollData2324,'2324 Jun 24 Enroll'!M$1,FALSE)='District Calculations'!$B$25,VLOOKUP($A202,EnrollData2324,'2324 Jun 24 Enroll'!M$1,FALSE),'District Calculations'!$B$25)+IF(VLOOKUP($A202,EnrollData2324,'2324 Jun 24 Enroll'!D$1,FALSE)='District Calculations'!$B$11,VLOOKUP($A202,EnrollData2324,'2324 Jun 24 Enroll'!D$1,FALSE),'District Calculations'!$B$11)),5)</f>
        <v>5.5530000000000003E-2</v>
      </c>
      <c r="K202" s="11">
        <f t="shared" si="51"/>
        <v>4.365E-3</v>
      </c>
      <c r="L202">
        <f>ROUND(IF(VLOOKUP($A202,EnrollData2324,'2324 Jun 24 Enroll'!D$1,FALSE)='District Calculations'!$B$11,VLOOKUP($A202,EnrollData2324,'2324 Jun 24 Enroll'!D$1,FALSE),'District Calculations'!$B$11)*K202,3)</f>
        <v>0</v>
      </c>
      <c r="M202">
        <f>ROUND(IF(VLOOKUP($A202,EnrollData2324,'2324 Jun 24 Enroll'!E$1,FALSE)='District Calculations'!$B$12,VLOOKUP($A202,EnrollData2324,'2324 Jun 24 Enroll'!E$1,FALSE),'District Calculations'!$B$12)*K202,3)</f>
        <v>3.5379999999999998</v>
      </c>
      <c r="N202">
        <f>ROUND(IF(VLOOKUP($A202,EnrollData2324,'2324 Jun 24 Enroll'!F$1,FALSE)='District Calculations'!$B$13,VLOOKUP($A202,EnrollData2324,'2324 Jun 24 Enroll'!F$1,FALSE),'District Calculations'!$B$13)*Apport_223A2324,3)</f>
        <v>0.84199999999999997</v>
      </c>
      <c r="O202">
        <f>ROUND(IF(VLOOKUP($A202,EnrollData2324,'2324 Jun 24 Enroll'!G$1,FALSE)='District Calculations'!$B$14,VLOOKUP($A202,EnrollData2324,'2324 Jun 24 Enroll'!G$1,FALSE),'District Calculations'!$B$14)*Apport_211A2324,3)</f>
        <v>1.867</v>
      </c>
      <c r="P202">
        <f>ROUND(IF(VLOOKUP($A202,EnrollData2324,'2324 Jun 24 Enroll'!H$1,FALSE)='District Calculations'!$B$14,VLOOKUP($A202,EnrollData2324,'2324 Jun 24 Enroll'!H$1,FALSE),'District Calculations'!$B$14)*Apport_214A2324,3)</f>
        <v>1.8660000000000001</v>
      </c>
      <c r="Q202">
        <f>ROUND(IF(VLOOKUP($A202,EnrollData2324,'2324 Jun 24 Enroll'!I$1,FALSE)+VLOOKUP($A202,EnrollData2324,'2324 Jun 24 Enroll'!M$1,FALSE)-VLOOKUP($A202,EnrollData2324,'2324 Jun 24 Enroll'!J$1,FALSE)='District Calculations'!$B$16+'District Calculations'!$B$25-'District Calculations'!$B$17,VLOOKUP($A202,EnrollData2324,'2324 Jun 24 Enroll'!I$1,FALSE)+VLOOKUP($A202,EnrollData2324,'2324 Jun 24 Enroll'!M$1,FALSE)-VLOOKUP($A202,EnrollData2324,'2324 Jun 24 Enroll'!J$1,FALSE),'District Calculations'!$B$16+'District Calculations'!$B$25-'District Calculations'!$B$17)*Apport_217A2324,3)</f>
        <v>4.6980000000000004</v>
      </c>
      <c r="R202">
        <f>ROUND(SUM(L202:Q202)/IF(VLOOKUP($A202,EnrollData2324,'2324 Jun 24 Enroll'!M$1,FALSE)+VLOOKUP($A202,EnrollData2324,'2324 Jun 24 Enroll'!D$1,FALSE)='District Calculations'!$B$25+'District Calculations'!$B$11,VLOOKUP($A202,EnrollData2324,'2324 Jun 24 Enroll'!M$1,FALSE)+VLOOKUP($A202,EnrollData2324,'2324 Jun 24 Enroll'!D$1,FALSE),'District Calculations'!$B$25+'District Calculations'!$B$11),5)</f>
        <v>4.1000000000000003E-3</v>
      </c>
      <c r="S202" s="11">
        <f t="shared" si="52"/>
        <v>1.8294500000000002E-2</v>
      </c>
      <c r="T202">
        <f>ROUND(IF(VLOOKUP($A202,EnrollData2324,'2324 Jun 24 Enroll'!D$1,FALSE)='District Calculations'!$B$11,VLOOKUP($A202,EnrollData2324,'2324 Jun 24 Enroll'!D$1,FALSE),'District Calculations'!$B$11)*S202,3)</f>
        <v>0</v>
      </c>
      <c r="U202">
        <f>ROUND(IF(VLOOKUP($A202,EnrollData2324,'2324 Jun 24 Enroll'!E$1,FALSE)='District Calculations'!$B$12,VLOOKUP($A202,EnrollData2324,'2324 Jun 24 Enroll'!E$1,FALSE),'District Calculations'!$B$12)*S202,3)</f>
        <v>14.827999999999999</v>
      </c>
      <c r="V202">
        <f>ROUND(IF(VLOOKUP($A202,EnrollData2324,'2324 Jun 24 Enroll'!F$1,FALSE)='District Calculations'!$B$13,VLOOKUP($A202,EnrollData2324,'2324 Jun 24 Enroll'!F$1,FALSE),'District Calculations'!$B$13)*Apport_224A2324,3)</f>
        <v>3.6190000000000002</v>
      </c>
      <c r="W202">
        <f>ROUND(IF(VLOOKUP($A202,EnrollData2324,'2324 Jun 24 Enroll'!G$1,FALSE)='District Calculations'!$B$14,VLOOKUP($A202,EnrollData2324,'2324 Jun 24 Enroll'!G$1,FALSE),'District Calculations'!$B$14)*Apport_212A2324,3)</f>
        <v>8.0239999999999991</v>
      </c>
      <c r="X202">
        <f>ROUND(IF(VLOOKUP($A202,EnrollData2324,'2324 Jun 24 Enroll'!H$1,FALSE)='District Calculations'!$B$14,VLOOKUP($A202,EnrollData2324,'2324 Jun 24 Enroll'!H$1,FALSE),'District Calculations'!$B$14)*Apport_215A2324,3)</f>
        <v>7.9279999999999999</v>
      </c>
      <c r="Y202">
        <f>ROUND(IF(VLOOKUP($A202,EnrollData2324,'2324 Jun 24 Enroll'!I$1,FALSE)+VLOOKUP($A202,EnrollData2324,'2324 Jun 24 Enroll'!M$1,FALSE)-VLOOKUP($A202,EnrollData2324,'2324 Jun 24 Enroll'!J$1,FALSE)='District Calculations'!$B$16+'District Calculations'!$B$25-'District Calculations'!$B$17,VLOOKUP($A202,EnrollData2324,'2324 Jun 24 Enroll'!I$1,FALSE)+VLOOKUP($A202,EnrollData2324,'2324 Jun 24 Enroll'!M$1,FALSE)-VLOOKUP($A202,EnrollData2324,'2324 Jun 24 Enroll'!J$1,FALSE),'District Calculations'!$B$16+'District Calculations'!$B$25-'District Calculations'!$B$17)*Apport_218A2324,3)</f>
        <v>19.917999999999999</v>
      </c>
      <c r="Z202">
        <f>ROUND(SUM(T202:Y202)/IF(VLOOKUP($A202,EnrollData2324,'2324 Jun 24 Enroll'!M$1,FALSE)+VLOOKUP($A202,EnrollData2324,'2324 Jun 24 Enroll'!D$1,FALSE)='District Calculations'!$B$25+'District Calculations'!$B$11,VLOOKUP($A202,EnrollData2324,'2324 Jun 24 Enroll'!M$1,FALSE)+VLOOKUP($A202,EnrollData2324,'2324 Jun 24 Enroll'!D$1,FALSE),'District Calculations'!$B$25+'District Calculations'!$B$11),5)</f>
        <v>1.7399999999999999E-2</v>
      </c>
      <c r="AA202" s="6">
        <f>ROUND($J202*CIS_Base_Salary2324*VLOOKUP($A202,EnrollData2324,'2324 Jun 24 Enroll'!S$1,FALSE),2)</f>
        <v>4523.22</v>
      </c>
      <c r="AB202" s="6">
        <f>ROUND($J202*CIS_Inc_Salary2324*(VLOOKUP($A202,EnrollData2324,'2324 Jun 24 Enroll'!T$1,FALSE)+VLOOKUP($A202,EnrollData2324,'2324 Jun 24 Enroll'!U$1,FALSE)),2)-AA202</f>
        <v>167.35999999999967</v>
      </c>
      <c r="AC202" s="6">
        <f>ROUND($R202*CAS_Base_Salary2324*VLOOKUP($A202,EnrollData2324,'2324 Jun 24 Enroll'!S$1,FALSE),2)</f>
        <v>495.73</v>
      </c>
      <c r="AD202" s="6">
        <f>ROUND($R202*CAS_Inc_Salary2324*VLOOKUP($A202,EnrollData2324,'2324 Jun 24 Enroll'!T$1,FALSE),2)-AC202</f>
        <v>18.340000000000032</v>
      </c>
      <c r="AE202" s="6">
        <f>ROUND($Z202*CLS_Base_Salary2324*VLOOKUP($A202,EnrollData2324,'2324 Jun 24 Enroll'!S$1,FALSE),2)</f>
        <v>1016.75</v>
      </c>
      <c r="AF202" s="6">
        <f>ROUND($Z202*CLS_Inc_Salary2324*VLOOKUP($A202,EnrollData2324,'2324 Jun 24 Enroll'!T$1,FALSE),2)-AE202</f>
        <v>37.6099999999999</v>
      </c>
      <c r="AG202">
        <f t="shared" si="63"/>
        <v>734.16</v>
      </c>
      <c r="AH202" s="69">
        <f t="shared" si="53"/>
        <v>68.700000000000045</v>
      </c>
      <c r="AI202">
        <f t="shared" si="64"/>
        <v>214.23</v>
      </c>
      <c r="AJ202">
        <f t="shared" si="54"/>
        <v>114.21000000000001</v>
      </c>
      <c r="AK202">
        <f t="shared" si="55"/>
        <v>901.91</v>
      </c>
      <c r="AL202">
        <f t="shared" si="56"/>
        <v>32.18</v>
      </c>
      <c r="AM202">
        <f t="shared" si="57"/>
        <v>224.3</v>
      </c>
      <c r="AN202">
        <f t="shared" si="58"/>
        <v>6.98</v>
      </c>
      <c r="AO202">
        <f>ROUND(($J202*CIS_Inc_Salary2324*(VLOOKUP($A202,EnrollData2324,'2324 Jun 24 Enroll'!T$1,FALSE)+VLOOKUP($A202,EnrollData2324,'2324 Jun 24 Enroll'!U$1,FALSE))/Apport_613Xpd)*Apport_614Xpd,2)</f>
        <v>78.180000000000007</v>
      </c>
      <c r="AP202">
        <f t="shared" si="59"/>
        <v>13.55</v>
      </c>
      <c r="AQ202">
        <f t="shared" si="60"/>
        <v>30.93</v>
      </c>
      <c r="AR202" s="6">
        <f>ROUND((VLOOKUP($A202,EnrollData2324,'2324 Jun 24 Enroll'!D$1,FALSE)*Apport_M802324+VLOOKUP($A202,EnrollData2324,'2324 Jun 24 Enroll'!M$1,FALSE)*Apport_M802324+(VLOOKUP($A202,EnrollData2324,'2324 Jun 24 Enroll'!P$1,FALSE)+VLOOKUP($A202,EnrollData2324,'2324 Jun 24 Enroll'!Q$1,FALSE)+VLOOKUP($A202,EnrollData2324,'2324 Jun 24 Enroll'!R$1,FALSE)+VLOOKUP($A202,EnrollData2324,'2324 Jun 24 Enroll'!I$1,FALSE)+VLOOKUP($A202,EnrollData2324,'2324 Jun 24 Enroll'!N$1,FALSE)+VLOOKUP($A202,EnrollData2324,'2324 Jun 24 Enroll'!O$1,FALSE)+VLOOKUP($A202,EnrollData2324,'2324 Jun 24 Enroll'!K$1,FALSE)+VLOOKUP($A202,EnrollData2324,'2324 Jun 24 Enroll'!L$1,FALSE))*Apport_M812324)/(VLOOKUP($A202,EnrollData2324,'2324 Jun 24 Enroll'!M$1,FALSE)+VLOOKUP($A202,EnrollData2324,'2324 Jun 24 Enroll'!D$1,FALSE)),2)</f>
        <v>1548.47</v>
      </c>
      <c r="AS202" s="7">
        <f t="shared" si="61"/>
        <v>10226.809999999998</v>
      </c>
    </row>
    <row r="203" spans="1:46">
      <c r="A203" s="40" t="s">
        <v>809</v>
      </c>
      <c r="B203" s="40" t="s">
        <v>810</v>
      </c>
      <c r="C203" s="11">
        <f>ROUND((IFERROR((1/IF(VLOOKUP($A203,EnrollData2324,28,FALSE)='District Calculations'!$B$10,VLOOKUP($A203,EnrollData2324,28,FALSE),'District Calculations'!$B$10))*(1+Apport_Z315),0))+Apport_201A2324,6)</f>
        <v>7.3449E-2</v>
      </c>
      <c r="D203">
        <f>ROUND(IF(VLOOKUP($A203,EnrollData2324,'2324 Jun 24 Enroll'!D$1,FALSE)='District Calculations'!$B$11,VLOOKUP($A203,EnrollData2324,'2324 Jun 24 Enroll'!D$1,FALSE),'District Calculations'!$B$11)*C203,3)</f>
        <v>0</v>
      </c>
      <c r="E203">
        <f>ROUND(IF(VLOOKUP($A203,EnrollData2324,'2324 Jun 24 Enroll'!E$1,FALSE)='District Calculations'!$B$12,VLOOKUP($A203,EnrollData2324,'2324 Jun 24 Enroll'!E$1,FALSE),'District Calculations'!$B$12)*C203,3)</f>
        <v>59.53</v>
      </c>
      <c r="F203">
        <f>ROUND(IF(VLOOKUP($A203,EnrollData2324,'2324 Jun 24 Enroll'!F$1,FALSE)='District Calculations'!$B$13,VLOOKUP($A203,EnrollData2324,'2324 Jun 24 Enroll'!F$1,FALSE),'District Calculations'!$B$13)*Apport_222A2324,3)</f>
        <v>10.101000000000001</v>
      </c>
      <c r="G203">
        <f>ROUND(IF(VLOOKUP($A203,EnrollData2324,'2324 Jun 24 Enroll'!G$1,FALSE)='District Calculations'!$B$14,VLOOKUP($A203,EnrollData2324,'2324 Jun 24 Enroll'!G$1,FALSE),'District Calculations'!$B$14)*Apport_210A2324,3)</f>
        <v>22.395</v>
      </c>
      <c r="H203">
        <f>ROUND(IF(VLOOKUP($A203,EnrollData2324,'2324 Jun 24 Enroll'!H$1,FALSE)='District Calculations'!$B$15,VLOOKUP($A203,EnrollData2324,'2324 Jun 24 Enroll'!H$1,FALSE),'District Calculations'!$B$15)*Apport_213A2324,3)</f>
        <v>23.091999999999999</v>
      </c>
      <c r="I203">
        <f>ROUND(IF(VLOOKUP($A203,EnrollData2324,'2324 Jun 24 Enroll'!I$1,FALSE)+VLOOKUP($A203,EnrollData2324,'2324 Jun 24 Enroll'!M$1,FALSE)-VLOOKUP($A203,EnrollData2324,'2324 Jun 24 Enroll'!J$1,FALSE)='District Calculations'!$B$16+'District Calculations'!$B$25-'District Calculations'!$B$17,VLOOKUP($A203,EnrollData2324,'2324 Jun 24 Enroll'!I$1,FALSE)+VLOOKUP($A203,EnrollData2324,'2324 Jun 24 Enroll'!M$1,FALSE)-VLOOKUP($A203,EnrollData2324,'2324 Jun 24 Enroll'!J$1,FALSE),'District Calculations'!$B$16+'District Calculations'!$B$25-'District Calculations'!$B$17)*Apport_216A2324,3)</f>
        <v>58.183999999999997</v>
      </c>
      <c r="J203">
        <f>ROUND(SUM(D203:I203)/(IF(VLOOKUP($A203,EnrollData2324,'2324 Jun 24 Enroll'!M$1,FALSE)='District Calculations'!$B$25,VLOOKUP($A203,EnrollData2324,'2324 Jun 24 Enroll'!M$1,FALSE),'District Calculations'!$B$25)+IF(VLOOKUP($A203,EnrollData2324,'2324 Jun 24 Enroll'!D$1,FALSE)='District Calculations'!$B$11,VLOOKUP($A203,EnrollData2324,'2324 Jun 24 Enroll'!D$1,FALSE),'District Calculations'!$B$11)),5)</f>
        <v>5.5530000000000003E-2</v>
      </c>
      <c r="K203" s="11">
        <f t="shared" si="51"/>
        <v>4.365E-3</v>
      </c>
      <c r="L203">
        <f>ROUND(IF(VLOOKUP($A203,EnrollData2324,'2324 Jun 24 Enroll'!D$1,FALSE)='District Calculations'!$B$11,VLOOKUP($A203,EnrollData2324,'2324 Jun 24 Enroll'!D$1,FALSE),'District Calculations'!$B$11)*K203,3)</f>
        <v>0</v>
      </c>
      <c r="M203">
        <f>ROUND(IF(VLOOKUP($A203,EnrollData2324,'2324 Jun 24 Enroll'!E$1,FALSE)='District Calculations'!$B$12,VLOOKUP($A203,EnrollData2324,'2324 Jun 24 Enroll'!E$1,FALSE),'District Calculations'!$B$12)*K203,3)</f>
        <v>3.5379999999999998</v>
      </c>
      <c r="N203">
        <f>ROUND(IF(VLOOKUP($A203,EnrollData2324,'2324 Jun 24 Enroll'!F$1,FALSE)='District Calculations'!$B$13,VLOOKUP($A203,EnrollData2324,'2324 Jun 24 Enroll'!F$1,FALSE),'District Calculations'!$B$13)*Apport_223A2324,3)</f>
        <v>0.84199999999999997</v>
      </c>
      <c r="O203">
        <f>ROUND(IF(VLOOKUP($A203,EnrollData2324,'2324 Jun 24 Enroll'!G$1,FALSE)='District Calculations'!$B$14,VLOOKUP($A203,EnrollData2324,'2324 Jun 24 Enroll'!G$1,FALSE),'District Calculations'!$B$14)*Apport_211A2324,3)</f>
        <v>1.867</v>
      </c>
      <c r="P203">
        <f>ROUND(IF(VLOOKUP($A203,EnrollData2324,'2324 Jun 24 Enroll'!H$1,FALSE)='District Calculations'!$B$14,VLOOKUP($A203,EnrollData2324,'2324 Jun 24 Enroll'!H$1,FALSE),'District Calculations'!$B$14)*Apport_214A2324,3)</f>
        <v>1.8660000000000001</v>
      </c>
      <c r="Q203">
        <f>ROUND(IF(VLOOKUP($A203,EnrollData2324,'2324 Jun 24 Enroll'!I$1,FALSE)+VLOOKUP($A203,EnrollData2324,'2324 Jun 24 Enroll'!M$1,FALSE)-VLOOKUP($A203,EnrollData2324,'2324 Jun 24 Enroll'!J$1,FALSE)='District Calculations'!$B$16+'District Calculations'!$B$25-'District Calculations'!$B$17,VLOOKUP($A203,EnrollData2324,'2324 Jun 24 Enroll'!I$1,FALSE)+VLOOKUP($A203,EnrollData2324,'2324 Jun 24 Enroll'!M$1,FALSE)-VLOOKUP($A203,EnrollData2324,'2324 Jun 24 Enroll'!J$1,FALSE),'District Calculations'!$B$16+'District Calculations'!$B$25-'District Calculations'!$B$17)*Apport_217A2324,3)</f>
        <v>4.6980000000000004</v>
      </c>
      <c r="R203">
        <f>ROUND(SUM(L203:Q203)/IF(VLOOKUP($A203,EnrollData2324,'2324 Jun 24 Enroll'!M$1,FALSE)+VLOOKUP($A203,EnrollData2324,'2324 Jun 24 Enroll'!D$1,FALSE)='District Calculations'!$B$25+'District Calculations'!$B$11,VLOOKUP($A203,EnrollData2324,'2324 Jun 24 Enroll'!M$1,FALSE)+VLOOKUP($A203,EnrollData2324,'2324 Jun 24 Enroll'!D$1,FALSE),'District Calculations'!$B$25+'District Calculations'!$B$11),5)</f>
        <v>4.1000000000000003E-3</v>
      </c>
      <c r="S203" s="11">
        <f t="shared" si="52"/>
        <v>1.8294500000000002E-2</v>
      </c>
      <c r="T203">
        <f>ROUND(IF(VLOOKUP($A203,EnrollData2324,'2324 Jun 24 Enroll'!D$1,FALSE)='District Calculations'!$B$11,VLOOKUP($A203,EnrollData2324,'2324 Jun 24 Enroll'!D$1,FALSE),'District Calculations'!$B$11)*S203,3)</f>
        <v>0</v>
      </c>
      <c r="U203">
        <f>ROUND(IF(VLOOKUP($A203,EnrollData2324,'2324 Jun 24 Enroll'!E$1,FALSE)='District Calculations'!$B$12,VLOOKUP($A203,EnrollData2324,'2324 Jun 24 Enroll'!E$1,FALSE),'District Calculations'!$B$12)*S203,3)</f>
        <v>14.827999999999999</v>
      </c>
      <c r="V203">
        <f>ROUND(IF(VLOOKUP($A203,EnrollData2324,'2324 Jun 24 Enroll'!F$1,FALSE)='District Calculations'!$B$13,VLOOKUP($A203,EnrollData2324,'2324 Jun 24 Enroll'!F$1,FALSE),'District Calculations'!$B$13)*Apport_224A2324,3)</f>
        <v>3.6190000000000002</v>
      </c>
      <c r="W203">
        <f>ROUND(IF(VLOOKUP($A203,EnrollData2324,'2324 Jun 24 Enroll'!G$1,FALSE)='District Calculations'!$B$14,VLOOKUP($A203,EnrollData2324,'2324 Jun 24 Enroll'!G$1,FALSE),'District Calculations'!$B$14)*Apport_212A2324,3)</f>
        <v>8.0239999999999991</v>
      </c>
      <c r="X203">
        <f>ROUND(IF(VLOOKUP($A203,EnrollData2324,'2324 Jun 24 Enroll'!H$1,FALSE)='District Calculations'!$B$14,VLOOKUP($A203,EnrollData2324,'2324 Jun 24 Enroll'!H$1,FALSE),'District Calculations'!$B$14)*Apport_215A2324,3)</f>
        <v>7.9279999999999999</v>
      </c>
      <c r="Y203">
        <f>ROUND(IF(VLOOKUP($A203,EnrollData2324,'2324 Jun 24 Enroll'!I$1,FALSE)+VLOOKUP($A203,EnrollData2324,'2324 Jun 24 Enroll'!M$1,FALSE)-VLOOKUP($A203,EnrollData2324,'2324 Jun 24 Enroll'!J$1,FALSE)='District Calculations'!$B$16+'District Calculations'!$B$25-'District Calculations'!$B$17,VLOOKUP($A203,EnrollData2324,'2324 Jun 24 Enroll'!I$1,FALSE)+VLOOKUP($A203,EnrollData2324,'2324 Jun 24 Enroll'!M$1,FALSE)-VLOOKUP($A203,EnrollData2324,'2324 Jun 24 Enroll'!J$1,FALSE),'District Calculations'!$B$16+'District Calculations'!$B$25-'District Calculations'!$B$17)*Apport_218A2324,3)</f>
        <v>19.917999999999999</v>
      </c>
      <c r="Z203">
        <f>ROUND(SUM(T203:Y203)/IF(VLOOKUP($A203,EnrollData2324,'2324 Jun 24 Enroll'!M$1,FALSE)+VLOOKUP($A203,EnrollData2324,'2324 Jun 24 Enroll'!D$1,FALSE)='District Calculations'!$B$25+'District Calculations'!$B$11,VLOOKUP($A203,EnrollData2324,'2324 Jun 24 Enroll'!M$1,FALSE)+VLOOKUP($A203,EnrollData2324,'2324 Jun 24 Enroll'!D$1,FALSE),'District Calculations'!$B$25+'District Calculations'!$B$11),5)</f>
        <v>1.7399999999999999E-2</v>
      </c>
      <c r="AA203" s="6">
        <f>ROUND($J203*CIS_Base_Salary2324*VLOOKUP($A203,EnrollData2324,'2324 Jun 24 Enroll'!S$1,FALSE),2)</f>
        <v>4523.22</v>
      </c>
      <c r="AB203" s="6">
        <f>ROUND($J203*CIS_Inc_Salary2324*(VLOOKUP($A203,EnrollData2324,'2324 Jun 24 Enroll'!T$1,FALSE)+VLOOKUP($A203,EnrollData2324,'2324 Jun 24 Enroll'!U$1,FALSE)),2)-AA203</f>
        <v>167.35999999999967</v>
      </c>
      <c r="AC203" s="6">
        <f>ROUND($R203*CAS_Base_Salary2324*VLOOKUP($A203,EnrollData2324,'2324 Jun 24 Enroll'!S$1,FALSE),2)</f>
        <v>495.73</v>
      </c>
      <c r="AD203" s="6">
        <f>ROUND($R203*CAS_Inc_Salary2324*VLOOKUP($A203,EnrollData2324,'2324 Jun 24 Enroll'!T$1,FALSE),2)-AC203</f>
        <v>18.340000000000032</v>
      </c>
      <c r="AE203" s="6">
        <f>ROUND($Z203*CLS_Base_Salary2324*VLOOKUP($A203,EnrollData2324,'2324 Jun 24 Enroll'!S$1,FALSE),2)</f>
        <v>1016.75</v>
      </c>
      <c r="AF203" s="6">
        <f>ROUND($Z203*CLS_Inc_Salary2324*VLOOKUP($A203,EnrollData2324,'2324 Jun 24 Enroll'!T$1,FALSE),2)-AE203</f>
        <v>37.6099999999999</v>
      </c>
      <c r="AG203">
        <f t="shared" si="63"/>
        <v>734.16</v>
      </c>
      <c r="AH203" s="69">
        <f t="shared" si="53"/>
        <v>68.700000000000045</v>
      </c>
      <c r="AI203">
        <f t="shared" si="64"/>
        <v>214.23</v>
      </c>
      <c r="AJ203">
        <f t="shared" si="54"/>
        <v>114.21000000000001</v>
      </c>
      <c r="AK203">
        <f t="shared" si="55"/>
        <v>901.91</v>
      </c>
      <c r="AL203">
        <f t="shared" si="56"/>
        <v>32.18</v>
      </c>
      <c r="AM203">
        <f t="shared" si="57"/>
        <v>224.3</v>
      </c>
      <c r="AN203">
        <f t="shared" si="58"/>
        <v>6.98</v>
      </c>
      <c r="AO203">
        <f>ROUND(($J203*CIS_Inc_Salary2324*(VLOOKUP($A203,EnrollData2324,'2324 Jun 24 Enroll'!T$1,FALSE)+VLOOKUP($A203,EnrollData2324,'2324 Jun 24 Enroll'!U$1,FALSE))/Apport_613Xpd)*Apport_614Xpd,2)</f>
        <v>78.180000000000007</v>
      </c>
      <c r="AP203">
        <f t="shared" si="59"/>
        <v>13.55</v>
      </c>
      <c r="AQ203">
        <f t="shared" si="60"/>
        <v>30.93</v>
      </c>
      <c r="AR203" s="6">
        <f>ROUND((VLOOKUP($A203,EnrollData2324,'2324 Jun 24 Enroll'!D$1,FALSE)*Apport_M802324+VLOOKUP($A203,EnrollData2324,'2324 Jun 24 Enroll'!M$1,FALSE)*Apport_M802324+(VLOOKUP($A203,EnrollData2324,'2324 Jun 24 Enroll'!P$1,FALSE)+VLOOKUP($A203,EnrollData2324,'2324 Jun 24 Enroll'!Q$1,FALSE)+VLOOKUP($A203,EnrollData2324,'2324 Jun 24 Enroll'!R$1,FALSE)+VLOOKUP($A203,EnrollData2324,'2324 Jun 24 Enroll'!I$1,FALSE)+VLOOKUP($A203,EnrollData2324,'2324 Jun 24 Enroll'!N$1,FALSE)+VLOOKUP($A203,EnrollData2324,'2324 Jun 24 Enroll'!O$1,FALSE)+VLOOKUP($A203,EnrollData2324,'2324 Jun 24 Enroll'!K$1,FALSE)+VLOOKUP($A203,EnrollData2324,'2324 Jun 24 Enroll'!L$1,FALSE))*Apport_M812324)/(VLOOKUP($A203,EnrollData2324,'2324 Jun 24 Enroll'!M$1,FALSE)+VLOOKUP($A203,EnrollData2324,'2324 Jun 24 Enroll'!D$1,FALSE)),2)</f>
        <v>1550.54</v>
      </c>
      <c r="AS203" s="7">
        <f t="shared" si="61"/>
        <v>10228.879999999997</v>
      </c>
    </row>
    <row r="204" spans="1:46">
      <c r="A204" s="40" t="s">
        <v>361</v>
      </c>
      <c r="B204" s="40" t="s">
        <v>362</v>
      </c>
      <c r="C204" s="11">
        <f>ROUND((IFERROR((1/IF(VLOOKUP($A204,EnrollData2324,28,FALSE)='District Calculations'!$B$10,VLOOKUP($A204,EnrollData2324,28,FALSE),'District Calculations'!$B$10))*(1+Apport_Z315),0))+Apport_201A2324,6)</f>
        <v>7.3449E-2</v>
      </c>
      <c r="D204">
        <f>ROUND(IF(VLOOKUP($A204,EnrollData2324,'2324 Jun 24 Enroll'!D$1,FALSE)='District Calculations'!$B$11,VLOOKUP($A204,EnrollData2324,'2324 Jun 24 Enroll'!D$1,FALSE),'District Calculations'!$B$11)*C204,3)</f>
        <v>0</v>
      </c>
      <c r="E204">
        <f>ROUND(IF(VLOOKUP($A204,EnrollData2324,'2324 Jun 24 Enroll'!E$1,FALSE)='District Calculations'!$B$12,VLOOKUP($A204,EnrollData2324,'2324 Jun 24 Enroll'!E$1,FALSE),'District Calculations'!$B$12)*C204,3)</f>
        <v>59.53</v>
      </c>
      <c r="F204">
        <f>ROUND(IF(VLOOKUP($A204,EnrollData2324,'2324 Jun 24 Enroll'!F$1,FALSE)='District Calculations'!$B$13,VLOOKUP($A204,EnrollData2324,'2324 Jun 24 Enroll'!F$1,FALSE),'District Calculations'!$B$13)*Apport_222A2324,3)</f>
        <v>10.101000000000001</v>
      </c>
      <c r="G204">
        <f>ROUND(IF(VLOOKUP($A204,EnrollData2324,'2324 Jun 24 Enroll'!G$1,FALSE)='District Calculations'!$B$14,VLOOKUP($A204,EnrollData2324,'2324 Jun 24 Enroll'!G$1,FALSE),'District Calculations'!$B$14)*Apport_210A2324,3)</f>
        <v>22.395</v>
      </c>
      <c r="H204">
        <f>ROUND(IF(VLOOKUP($A204,EnrollData2324,'2324 Jun 24 Enroll'!H$1,FALSE)='District Calculations'!$B$15,VLOOKUP($A204,EnrollData2324,'2324 Jun 24 Enroll'!H$1,FALSE),'District Calculations'!$B$15)*Apport_213A2324,3)</f>
        <v>23.091999999999999</v>
      </c>
      <c r="I204">
        <f>ROUND(IF(VLOOKUP($A204,EnrollData2324,'2324 Jun 24 Enroll'!I$1,FALSE)+VLOOKUP($A204,EnrollData2324,'2324 Jun 24 Enroll'!M$1,FALSE)-VLOOKUP($A204,EnrollData2324,'2324 Jun 24 Enroll'!J$1,FALSE)='District Calculations'!$B$16+'District Calculations'!$B$25-'District Calculations'!$B$17,VLOOKUP($A204,EnrollData2324,'2324 Jun 24 Enroll'!I$1,FALSE)+VLOOKUP($A204,EnrollData2324,'2324 Jun 24 Enroll'!M$1,FALSE)-VLOOKUP($A204,EnrollData2324,'2324 Jun 24 Enroll'!J$1,FALSE),'District Calculations'!$B$16+'District Calculations'!$B$25-'District Calculations'!$B$17)*Apport_216A2324,3)</f>
        <v>58.183999999999997</v>
      </c>
      <c r="J204">
        <f>ROUND(SUM(D204:I204)/(IF(VLOOKUP($A204,EnrollData2324,'2324 Jun 24 Enroll'!M$1,FALSE)='District Calculations'!$B$25,VLOOKUP($A204,EnrollData2324,'2324 Jun 24 Enroll'!M$1,FALSE),'District Calculations'!$B$25)+IF(VLOOKUP($A204,EnrollData2324,'2324 Jun 24 Enroll'!D$1,FALSE)='District Calculations'!$B$11,VLOOKUP($A204,EnrollData2324,'2324 Jun 24 Enroll'!D$1,FALSE),'District Calculations'!$B$11)),5)</f>
        <v>5.5530000000000003E-2</v>
      </c>
      <c r="K204" s="11">
        <f t="shared" si="51"/>
        <v>4.365E-3</v>
      </c>
      <c r="L204">
        <f>ROUND(IF(VLOOKUP($A204,EnrollData2324,'2324 Jun 24 Enroll'!D$1,FALSE)='District Calculations'!$B$11,VLOOKUP($A204,EnrollData2324,'2324 Jun 24 Enroll'!D$1,FALSE),'District Calculations'!$B$11)*K204,3)</f>
        <v>0</v>
      </c>
      <c r="M204">
        <f>ROUND(IF(VLOOKUP($A204,EnrollData2324,'2324 Jun 24 Enroll'!E$1,FALSE)='District Calculations'!$B$12,VLOOKUP($A204,EnrollData2324,'2324 Jun 24 Enroll'!E$1,FALSE),'District Calculations'!$B$12)*K204,3)</f>
        <v>3.5379999999999998</v>
      </c>
      <c r="N204">
        <f>ROUND(IF(VLOOKUP($A204,EnrollData2324,'2324 Jun 24 Enroll'!F$1,FALSE)='District Calculations'!$B$13,VLOOKUP($A204,EnrollData2324,'2324 Jun 24 Enroll'!F$1,FALSE),'District Calculations'!$B$13)*Apport_223A2324,3)</f>
        <v>0.84199999999999997</v>
      </c>
      <c r="O204">
        <f>ROUND(IF(VLOOKUP($A204,EnrollData2324,'2324 Jun 24 Enroll'!G$1,FALSE)='District Calculations'!$B$14,VLOOKUP($A204,EnrollData2324,'2324 Jun 24 Enroll'!G$1,FALSE),'District Calculations'!$B$14)*Apport_211A2324,3)</f>
        <v>1.867</v>
      </c>
      <c r="P204">
        <f>ROUND(IF(VLOOKUP($A204,EnrollData2324,'2324 Jun 24 Enroll'!H$1,FALSE)='District Calculations'!$B$14,VLOOKUP($A204,EnrollData2324,'2324 Jun 24 Enroll'!H$1,FALSE),'District Calculations'!$B$14)*Apport_214A2324,3)</f>
        <v>1.8660000000000001</v>
      </c>
      <c r="Q204">
        <f>ROUND(IF(VLOOKUP($A204,EnrollData2324,'2324 Jun 24 Enroll'!I$1,FALSE)+VLOOKUP($A204,EnrollData2324,'2324 Jun 24 Enroll'!M$1,FALSE)-VLOOKUP($A204,EnrollData2324,'2324 Jun 24 Enroll'!J$1,FALSE)='District Calculations'!$B$16+'District Calculations'!$B$25-'District Calculations'!$B$17,VLOOKUP($A204,EnrollData2324,'2324 Jun 24 Enroll'!I$1,FALSE)+VLOOKUP($A204,EnrollData2324,'2324 Jun 24 Enroll'!M$1,FALSE)-VLOOKUP($A204,EnrollData2324,'2324 Jun 24 Enroll'!J$1,FALSE),'District Calculations'!$B$16+'District Calculations'!$B$25-'District Calculations'!$B$17)*Apport_217A2324,3)</f>
        <v>4.6980000000000004</v>
      </c>
      <c r="R204">
        <f>ROUND(SUM(L204:Q204)/IF(VLOOKUP($A204,EnrollData2324,'2324 Jun 24 Enroll'!M$1,FALSE)+VLOOKUP($A204,EnrollData2324,'2324 Jun 24 Enroll'!D$1,FALSE)='District Calculations'!$B$25+'District Calculations'!$B$11,VLOOKUP($A204,EnrollData2324,'2324 Jun 24 Enroll'!M$1,FALSE)+VLOOKUP($A204,EnrollData2324,'2324 Jun 24 Enroll'!D$1,FALSE),'District Calculations'!$B$25+'District Calculations'!$B$11),5)</f>
        <v>4.1000000000000003E-3</v>
      </c>
      <c r="S204" s="11">
        <f t="shared" si="52"/>
        <v>1.8294500000000002E-2</v>
      </c>
      <c r="T204">
        <f>ROUND(IF(VLOOKUP($A204,EnrollData2324,'2324 Jun 24 Enroll'!D$1,FALSE)='District Calculations'!$B$11,VLOOKUP($A204,EnrollData2324,'2324 Jun 24 Enroll'!D$1,FALSE),'District Calculations'!$B$11)*S204,3)</f>
        <v>0</v>
      </c>
      <c r="U204">
        <f>ROUND(IF(VLOOKUP($A204,EnrollData2324,'2324 Jun 24 Enroll'!E$1,FALSE)='District Calculations'!$B$12,VLOOKUP($A204,EnrollData2324,'2324 Jun 24 Enroll'!E$1,FALSE),'District Calculations'!$B$12)*S204,3)</f>
        <v>14.827999999999999</v>
      </c>
      <c r="V204">
        <f>ROUND(IF(VLOOKUP($A204,EnrollData2324,'2324 Jun 24 Enroll'!F$1,FALSE)='District Calculations'!$B$13,VLOOKUP($A204,EnrollData2324,'2324 Jun 24 Enroll'!F$1,FALSE),'District Calculations'!$B$13)*Apport_224A2324,3)</f>
        <v>3.6190000000000002</v>
      </c>
      <c r="W204">
        <f>ROUND(IF(VLOOKUP($A204,EnrollData2324,'2324 Jun 24 Enroll'!G$1,FALSE)='District Calculations'!$B$14,VLOOKUP($A204,EnrollData2324,'2324 Jun 24 Enroll'!G$1,FALSE),'District Calculations'!$B$14)*Apport_212A2324,3)</f>
        <v>8.0239999999999991</v>
      </c>
      <c r="X204">
        <f>ROUND(IF(VLOOKUP($A204,EnrollData2324,'2324 Jun 24 Enroll'!H$1,FALSE)='District Calculations'!$B$14,VLOOKUP($A204,EnrollData2324,'2324 Jun 24 Enroll'!H$1,FALSE),'District Calculations'!$B$14)*Apport_215A2324,3)</f>
        <v>7.9279999999999999</v>
      </c>
      <c r="Y204">
        <f>ROUND(IF(VLOOKUP($A204,EnrollData2324,'2324 Jun 24 Enroll'!I$1,FALSE)+VLOOKUP($A204,EnrollData2324,'2324 Jun 24 Enroll'!M$1,FALSE)-VLOOKUP($A204,EnrollData2324,'2324 Jun 24 Enroll'!J$1,FALSE)='District Calculations'!$B$16+'District Calculations'!$B$25-'District Calculations'!$B$17,VLOOKUP($A204,EnrollData2324,'2324 Jun 24 Enroll'!I$1,FALSE)+VLOOKUP($A204,EnrollData2324,'2324 Jun 24 Enroll'!M$1,FALSE)-VLOOKUP($A204,EnrollData2324,'2324 Jun 24 Enroll'!J$1,FALSE),'District Calculations'!$B$16+'District Calculations'!$B$25-'District Calculations'!$B$17)*Apport_218A2324,3)</f>
        <v>19.917999999999999</v>
      </c>
      <c r="Z204">
        <f>ROUND(SUM(T204:Y204)/IF(VLOOKUP($A204,EnrollData2324,'2324 Jun 24 Enroll'!M$1,FALSE)+VLOOKUP($A204,EnrollData2324,'2324 Jun 24 Enroll'!D$1,FALSE)='District Calculations'!$B$25+'District Calculations'!$B$11,VLOOKUP($A204,EnrollData2324,'2324 Jun 24 Enroll'!M$1,FALSE)+VLOOKUP($A204,EnrollData2324,'2324 Jun 24 Enroll'!D$1,FALSE),'District Calculations'!$B$25+'District Calculations'!$B$11),5)</f>
        <v>1.7399999999999999E-2</v>
      </c>
      <c r="AA204" s="6">
        <f>ROUND($J204*CIS_Base_Salary2324*VLOOKUP($A204,EnrollData2324,'2324 Jun 24 Enroll'!S$1,FALSE),2)</f>
        <v>4280.8999999999996</v>
      </c>
      <c r="AB204" s="6">
        <f>ROUND($J204*CIS_Inc_Salary2324*(VLOOKUP($A204,EnrollData2324,'2324 Jun 24 Enroll'!T$1,FALSE)+VLOOKUP($A204,EnrollData2324,'2324 Jun 24 Enroll'!U$1,FALSE)),2)-AA204</f>
        <v>242.16000000000076</v>
      </c>
      <c r="AC204" s="6">
        <f>ROUND($R204*CAS_Base_Salary2324*VLOOKUP($A204,EnrollData2324,'2324 Jun 24 Enroll'!S$1,FALSE),2)</f>
        <v>469.17</v>
      </c>
      <c r="AD204" s="6">
        <f>ROUND($R204*CAS_Inc_Salary2324*VLOOKUP($A204,EnrollData2324,'2324 Jun 24 Enroll'!T$1,FALSE),2)-AC204</f>
        <v>17.359999999999957</v>
      </c>
      <c r="AE204" s="6">
        <f>ROUND($Z204*CLS_Base_Salary2324*VLOOKUP($A204,EnrollData2324,'2324 Jun 24 Enroll'!S$1,FALSE),2)</f>
        <v>962.28</v>
      </c>
      <c r="AF204" s="6">
        <f>ROUND($Z204*CLS_Inc_Salary2324*VLOOKUP($A204,EnrollData2324,'2324 Jun 24 Enroll'!T$1,FALSE),2)-AE204</f>
        <v>35.600000000000023</v>
      </c>
      <c r="AG204">
        <f t="shared" si="63"/>
        <v>734.16</v>
      </c>
      <c r="AH204" s="69">
        <f t="shared" si="53"/>
        <v>68.700000000000045</v>
      </c>
      <c r="AI204">
        <f t="shared" si="64"/>
        <v>214.23</v>
      </c>
      <c r="AJ204">
        <f t="shared" si="54"/>
        <v>114.21000000000001</v>
      </c>
      <c r="AK204">
        <f t="shared" si="55"/>
        <v>853.59</v>
      </c>
      <c r="AL204">
        <f t="shared" si="56"/>
        <v>44.97</v>
      </c>
      <c r="AM204">
        <f t="shared" si="57"/>
        <v>212.28</v>
      </c>
      <c r="AN204">
        <f t="shared" si="58"/>
        <v>6.61</v>
      </c>
      <c r="AO204">
        <f>ROUND(($J204*CIS_Inc_Salary2324*(VLOOKUP($A204,EnrollData2324,'2324 Jun 24 Enroll'!T$1,FALSE)+VLOOKUP($A204,EnrollData2324,'2324 Jun 24 Enroll'!U$1,FALSE))/Apport_613Xpd)*Apport_614Xpd,2)</f>
        <v>75.38</v>
      </c>
      <c r="AP204">
        <f t="shared" si="59"/>
        <v>13.06</v>
      </c>
      <c r="AQ204">
        <f t="shared" si="60"/>
        <v>30.93</v>
      </c>
      <c r="AR204" s="6">
        <f>ROUND((VLOOKUP($A204,EnrollData2324,'2324 Jun 24 Enroll'!D$1,FALSE)*Apport_M802324+VLOOKUP($A204,EnrollData2324,'2324 Jun 24 Enroll'!M$1,FALSE)*Apport_M802324+(VLOOKUP($A204,EnrollData2324,'2324 Jun 24 Enroll'!P$1,FALSE)+VLOOKUP($A204,EnrollData2324,'2324 Jun 24 Enroll'!Q$1,FALSE)+VLOOKUP($A204,EnrollData2324,'2324 Jun 24 Enroll'!R$1,FALSE)+VLOOKUP($A204,EnrollData2324,'2324 Jun 24 Enroll'!I$1,FALSE)+VLOOKUP($A204,EnrollData2324,'2324 Jun 24 Enroll'!N$1,FALSE)+VLOOKUP($A204,EnrollData2324,'2324 Jun 24 Enroll'!O$1,FALSE)+VLOOKUP($A204,EnrollData2324,'2324 Jun 24 Enroll'!K$1,FALSE)+VLOOKUP($A204,EnrollData2324,'2324 Jun 24 Enroll'!L$1,FALSE))*Apport_M812324)/(VLOOKUP($A204,EnrollData2324,'2324 Jun 24 Enroll'!M$1,FALSE)+VLOOKUP($A204,EnrollData2324,'2324 Jun 24 Enroll'!D$1,FALSE)),2)</f>
        <v>1483.44</v>
      </c>
      <c r="AS204" s="7">
        <f t="shared" si="61"/>
        <v>9859.0300000000007</v>
      </c>
    </row>
    <row r="205" spans="1:46">
      <c r="A205" s="40" t="s">
        <v>837</v>
      </c>
      <c r="B205" s="40" t="s">
        <v>838</v>
      </c>
      <c r="C205" s="11">
        <f>ROUND((IFERROR((1/IF(VLOOKUP($A205,EnrollData2324,28,FALSE)='District Calculations'!$B$10,VLOOKUP($A205,EnrollData2324,28,FALSE),'District Calculations'!$B$10))*(1+Apport_Z315),0))+Apport_201A2324,6)</f>
        <v>7.3449E-2</v>
      </c>
      <c r="D205">
        <f>ROUND(IF(VLOOKUP($A205,EnrollData2324,'2324 Jun 24 Enroll'!D$1,FALSE)='District Calculations'!$B$11,VLOOKUP($A205,EnrollData2324,'2324 Jun 24 Enroll'!D$1,FALSE),'District Calculations'!$B$11)*C205,3)</f>
        <v>0</v>
      </c>
      <c r="E205">
        <f>ROUND(IF(VLOOKUP($A205,EnrollData2324,'2324 Jun 24 Enroll'!E$1,FALSE)='District Calculations'!$B$12,VLOOKUP($A205,EnrollData2324,'2324 Jun 24 Enroll'!E$1,FALSE),'District Calculations'!$B$12)*C205,3)</f>
        <v>59.53</v>
      </c>
      <c r="F205">
        <f>ROUND(IF(VLOOKUP($A205,EnrollData2324,'2324 Jun 24 Enroll'!F$1,FALSE)='District Calculations'!$B$13,VLOOKUP($A205,EnrollData2324,'2324 Jun 24 Enroll'!F$1,FALSE),'District Calculations'!$B$13)*Apport_222A2324,3)</f>
        <v>10.101000000000001</v>
      </c>
      <c r="G205">
        <f>ROUND(IF(VLOOKUP($A205,EnrollData2324,'2324 Jun 24 Enroll'!G$1,FALSE)='District Calculations'!$B$14,VLOOKUP($A205,EnrollData2324,'2324 Jun 24 Enroll'!G$1,FALSE),'District Calculations'!$B$14)*Apport_210A2324,3)</f>
        <v>22.395</v>
      </c>
      <c r="H205">
        <f>ROUND(IF(VLOOKUP($A205,EnrollData2324,'2324 Jun 24 Enroll'!H$1,FALSE)='District Calculations'!$B$15,VLOOKUP($A205,EnrollData2324,'2324 Jun 24 Enroll'!H$1,FALSE),'District Calculations'!$B$15)*Apport_213A2324,3)</f>
        <v>23.091999999999999</v>
      </c>
      <c r="I205">
        <f>ROUND(IF(VLOOKUP($A205,EnrollData2324,'2324 Jun 24 Enroll'!I$1,FALSE)+VLOOKUP($A205,EnrollData2324,'2324 Jun 24 Enroll'!M$1,FALSE)-VLOOKUP($A205,EnrollData2324,'2324 Jun 24 Enroll'!J$1,FALSE)='District Calculations'!$B$16+'District Calculations'!$B$25-'District Calculations'!$B$17,VLOOKUP($A205,EnrollData2324,'2324 Jun 24 Enroll'!I$1,FALSE)+VLOOKUP($A205,EnrollData2324,'2324 Jun 24 Enroll'!M$1,FALSE)-VLOOKUP($A205,EnrollData2324,'2324 Jun 24 Enroll'!J$1,FALSE),'District Calculations'!$B$16+'District Calculations'!$B$25-'District Calculations'!$B$17)*Apport_216A2324,3)</f>
        <v>58.183999999999997</v>
      </c>
      <c r="J205">
        <f>ROUND(SUM(D205:I205)/(IF(VLOOKUP($A205,EnrollData2324,'2324 Jun 24 Enroll'!M$1,FALSE)='District Calculations'!$B$25,VLOOKUP($A205,EnrollData2324,'2324 Jun 24 Enroll'!M$1,FALSE),'District Calculations'!$B$25)+IF(VLOOKUP($A205,EnrollData2324,'2324 Jun 24 Enroll'!D$1,FALSE)='District Calculations'!$B$11,VLOOKUP($A205,EnrollData2324,'2324 Jun 24 Enroll'!D$1,FALSE),'District Calculations'!$B$11)),5)</f>
        <v>5.5530000000000003E-2</v>
      </c>
      <c r="K205" s="11">
        <f t="shared" si="51"/>
        <v>4.365E-3</v>
      </c>
      <c r="L205">
        <f>ROUND(IF(VLOOKUP($A205,EnrollData2324,'2324 Jun 24 Enroll'!D$1,FALSE)='District Calculations'!$B$11,VLOOKUP($A205,EnrollData2324,'2324 Jun 24 Enroll'!D$1,FALSE),'District Calculations'!$B$11)*K205,3)</f>
        <v>0</v>
      </c>
      <c r="M205">
        <f>ROUND(IF(VLOOKUP($A205,EnrollData2324,'2324 Jun 24 Enroll'!E$1,FALSE)='District Calculations'!$B$12,VLOOKUP($A205,EnrollData2324,'2324 Jun 24 Enroll'!E$1,FALSE),'District Calculations'!$B$12)*K205,3)</f>
        <v>3.5379999999999998</v>
      </c>
      <c r="N205">
        <f>ROUND(IF(VLOOKUP($A205,EnrollData2324,'2324 Jun 24 Enroll'!F$1,FALSE)='District Calculations'!$B$13,VLOOKUP($A205,EnrollData2324,'2324 Jun 24 Enroll'!F$1,FALSE),'District Calculations'!$B$13)*Apport_223A2324,3)</f>
        <v>0.84199999999999997</v>
      </c>
      <c r="O205">
        <f>ROUND(IF(VLOOKUP($A205,EnrollData2324,'2324 Jun 24 Enroll'!G$1,FALSE)='District Calculations'!$B$14,VLOOKUP($A205,EnrollData2324,'2324 Jun 24 Enroll'!G$1,FALSE),'District Calculations'!$B$14)*Apport_211A2324,3)</f>
        <v>1.867</v>
      </c>
      <c r="P205">
        <f>ROUND(IF(VLOOKUP($A205,EnrollData2324,'2324 Jun 24 Enroll'!H$1,FALSE)='District Calculations'!$B$14,VLOOKUP($A205,EnrollData2324,'2324 Jun 24 Enroll'!H$1,FALSE),'District Calculations'!$B$14)*Apport_214A2324,3)</f>
        <v>1.8660000000000001</v>
      </c>
      <c r="Q205">
        <f>ROUND(IF(VLOOKUP($A205,EnrollData2324,'2324 Jun 24 Enroll'!I$1,FALSE)+VLOOKUP($A205,EnrollData2324,'2324 Jun 24 Enroll'!M$1,FALSE)-VLOOKUP($A205,EnrollData2324,'2324 Jun 24 Enroll'!J$1,FALSE)='District Calculations'!$B$16+'District Calculations'!$B$25-'District Calculations'!$B$17,VLOOKUP($A205,EnrollData2324,'2324 Jun 24 Enroll'!I$1,FALSE)+VLOOKUP($A205,EnrollData2324,'2324 Jun 24 Enroll'!M$1,FALSE)-VLOOKUP($A205,EnrollData2324,'2324 Jun 24 Enroll'!J$1,FALSE),'District Calculations'!$B$16+'District Calculations'!$B$25-'District Calculations'!$B$17)*Apport_217A2324,3)</f>
        <v>4.6980000000000004</v>
      </c>
      <c r="R205">
        <f>ROUND(SUM(L205:Q205)/IF(VLOOKUP($A205,EnrollData2324,'2324 Jun 24 Enroll'!M$1,FALSE)+VLOOKUP($A205,EnrollData2324,'2324 Jun 24 Enroll'!D$1,FALSE)='District Calculations'!$B$25+'District Calculations'!$B$11,VLOOKUP($A205,EnrollData2324,'2324 Jun 24 Enroll'!M$1,FALSE)+VLOOKUP($A205,EnrollData2324,'2324 Jun 24 Enroll'!D$1,FALSE),'District Calculations'!$B$25+'District Calculations'!$B$11),5)</f>
        <v>4.1000000000000003E-3</v>
      </c>
      <c r="S205" s="11">
        <f t="shared" si="52"/>
        <v>1.8294500000000002E-2</v>
      </c>
      <c r="T205">
        <f>ROUND(IF(VLOOKUP($A205,EnrollData2324,'2324 Jun 24 Enroll'!D$1,FALSE)='District Calculations'!$B$11,VLOOKUP($A205,EnrollData2324,'2324 Jun 24 Enroll'!D$1,FALSE),'District Calculations'!$B$11)*S205,3)</f>
        <v>0</v>
      </c>
      <c r="U205">
        <f>ROUND(IF(VLOOKUP($A205,EnrollData2324,'2324 Jun 24 Enroll'!E$1,FALSE)='District Calculations'!$B$12,VLOOKUP($A205,EnrollData2324,'2324 Jun 24 Enroll'!E$1,FALSE),'District Calculations'!$B$12)*S205,3)</f>
        <v>14.827999999999999</v>
      </c>
      <c r="V205">
        <f>ROUND(IF(VLOOKUP($A205,EnrollData2324,'2324 Jun 24 Enroll'!F$1,FALSE)='District Calculations'!$B$13,VLOOKUP($A205,EnrollData2324,'2324 Jun 24 Enroll'!F$1,FALSE),'District Calculations'!$B$13)*Apport_224A2324,3)</f>
        <v>3.6190000000000002</v>
      </c>
      <c r="W205">
        <f>ROUND(IF(VLOOKUP($A205,EnrollData2324,'2324 Jun 24 Enroll'!G$1,FALSE)='District Calculations'!$B$14,VLOOKUP($A205,EnrollData2324,'2324 Jun 24 Enroll'!G$1,FALSE),'District Calculations'!$B$14)*Apport_212A2324,3)</f>
        <v>8.0239999999999991</v>
      </c>
      <c r="X205">
        <f>ROUND(IF(VLOOKUP($A205,EnrollData2324,'2324 Jun 24 Enroll'!H$1,FALSE)='District Calculations'!$B$14,VLOOKUP($A205,EnrollData2324,'2324 Jun 24 Enroll'!H$1,FALSE),'District Calculations'!$B$14)*Apport_215A2324,3)</f>
        <v>7.9279999999999999</v>
      </c>
      <c r="Y205">
        <f>ROUND(IF(VLOOKUP($A205,EnrollData2324,'2324 Jun 24 Enroll'!I$1,FALSE)+VLOOKUP($A205,EnrollData2324,'2324 Jun 24 Enroll'!M$1,FALSE)-VLOOKUP($A205,EnrollData2324,'2324 Jun 24 Enroll'!J$1,FALSE)='District Calculations'!$B$16+'District Calculations'!$B$25-'District Calculations'!$B$17,VLOOKUP($A205,EnrollData2324,'2324 Jun 24 Enroll'!I$1,FALSE)+VLOOKUP($A205,EnrollData2324,'2324 Jun 24 Enroll'!M$1,FALSE)-VLOOKUP($A205,EnrollData2324,'2324 Jun 24 Enroll'!J$1,FALSE),'District Calculations'!$B$16+'District Calculations'!$B$25-'District Calculations'!$B$17)*Apport_218A2324,3)</f>
        <v>19.917999999999999</v>
      </c>
      <c r="Z205">
        <f>ROUND(SUM(T205:Y205)/IF(VLOOKUP($A205,EnrollData2324,'2324 Jun 24 Enroll'!M$1,FALSE)+VLOOKUP($A205,EnrollData2324,'2324 Jun 24 Enroll'!D$1,FALSE)='District Calculations'!$B$25+'District Calculations'!$B$11,VLOOKUP($A205,EnrollData2324,'2324 Jun 24 Enroll'!M$1,FALSE)+VLOOKUP($A205,EnrollData2324,'2324 Jun 24 Enroll'!D$1,FALSE),'District Calculations'!$B$25+'District Calculations'!$B$11),5)</f>
        <v>1.7399999999999999E-2</v>
      </c>
      <c r="AA205" s="6">
        <f>ROUND($J205*CIS_Base_Salary2324*VLOOKUP($A205,EnrollData2324,'2324 Jun 24 Enroll'!S$1,FALSE),2)</f>
        <v>4280.8999999999996</v>
      </c>
      <c r="AB205" s="6">
        <f>ROUND($J205*CIS_Inc_Salary2324*(VLOOKUP($A205,EnrollData2324,'2324 Jun 24 Enroll'!T$1,FALSE)+VLOOKUP($A205,EnrollData2324,'2324 Jun 24 Enroll'!U$1,FALSE)),2)-AA205</f>
        <v>325.92000000000007</v>
      </c>
      <c r="AC205" s="6">
        <f>ROUND($R205*CAS_Base_Salary2324*VLOOKUP($A205,EnrollData2324,'2324 Jun 24 Enroll'!S$1,FALSE),2)</f>
        <v>469.17</v>
      </c>
      <c r="AD205" s="6">
        <f>ROUND($R205*CAS_Inc_Salary2324*VLOOKUP($A205,EnrollData2324,'2324 Jun 24 Enroll'!T$1,FALSE),2)-AC205</f>
        <v>17.359999999999957</v>
      </c>
      <c r="AE205" s="6">
        <f>ROUND($Z205*CLS_Base_Salary2324*VLOOKUP($A205,EnrollData2324,'2324 Jun 24 Enroll'!S$1,FALSE),2)</f>
        <v>962.28</v>
      </c>
      <c r="AF205" s="6">
        <f>ROUND($Z205*CLS_Inc_Salary2324*VLOOKUP($A205,EnrollData2324,'2324 Jun 24 Enroll'!T$1,FALSE),2)-AE205</f>
        <v>35.600000000000023</v>
      </c>
      <c r="AG205">
        <f t="shared" si="63"/>
        <v>734.16</v>
      </c>
      <c r="AH205" s="69">
        <f t="shared" si="53"/>
        <v>68.700000000000045</v>
      </c>
      <c r="AI205">
        <f t="shared" si="64"/>
        <v>214.23</v>
      </c>
      <c r="AJ205">
        <f t="shared" si="54"/>
        <v>114.21000000000001</v>
      </c>
      <c r="AK205">
        <f t="shared" si="55"/>
        <v>853.59</v>
      </c>
      <c r="AL205">
        <f t="shared" si="56"/>
        <v>59.49</v>
      </c>
      <c r="AM205">
        <f t="shared" si="57"/>
        <v>212.28</v>
      </c>
      <c r="AN205">
        <f t="shared" si="58"/>
        <v>6.61</v>
      </c>
      <c r="AO205">
        <f>ROUND(($J205*CIS_Inc_Salary2324*(VLOOKUP($A205,EnrollData2324,'2324 Jun 24 Enroll'!T$1,FALSE)+VLOOKUP($A205,EnrollData2324,'2324 Jun 24 Enroll'!U$1,FALSE))/Apport_613Xpd)*Apport_614Xpd,2)</f>
        <v>76.78</v>
      </c>
      <c r="AP205">
        <f t="shared" si="59"/>
        <v>13.31</v>
      </c>
      <c r="AQ205">
        <f t="shared" si="60"/>
        <v>30.93</v>
      </c>
      <c r="AR205" s="6">
        <f>ROUND((VLOOKUP($A205,EnrollData2324,'2324 Jun 24 Enroll'!D$1,FALSE)*Apport_M802324+VLOOKUP($A205,EnrollData2324,'2324 Jun 24 Enroll'!M$1,FALSE)*Apport_M802324+(VLOOKUP($A205,EnrollData2324,'2324 Jun 24 Enroll'!P$1,FALSE)+VLOOKUP($A205,EnrollData2324,'2324 Jun 24 Enroll'!Q$1,FALSE)+VLOOKUP($A205,EnrollData2324,'2324 Jun 24 Enroll'!R$1,FALSE)+VLOOKUP($A205,EnrollData2324,'2324 Jun 24 Enroll'!I$1,FALSE)+VLOOKUP($A205,EnrollData2324,'2324 Jun 24 Enroll'!N$1,FALSE)+VLOOKUP($A205,EnrollData2324,'2324 Jun 24 Enroll'!O$1,FALSE)+VLOOKUP($A205,EnrollData2324,'2324 Jun 24 Enroll'!K$1,FALSE)+VLOOKUP($A205,EnrollData2324,'2324 Jun 24 Enroll'!L$1,FALSE))*Apport_M812324)/(VLOOKUP($A205,EnrollData2324,'2324 Jun 24 Enroll'!M$1,FALSE)+VLOOKUP($A205,EnrollData2324,'2324 Jun 24 Enroll'!D$1,FALSE)),2)</f>
        <v>1547.85</v>
      </c>
      <c r="AS205" s="7">
        <f t="shared" si="61"/>
        <v>10023.370000000001</v>
      </c>
    </row>
    <row r="206" spans="1:46">
      <c r="A206" s="40" t="s">
        <v>805</v>
      </c>
      <c r="B206" s="40" t="s">
        <v>806</v>
      </c>
      <c r="C206" s="11">
        <f>ROUND((IFERROR((1/IF(VLOOKUP($A206,EnrollData2324,28,FALSE)='District Calculations'!$B$10,VLOOKUP($A206,EnrollData2324,28,FALSE),'District Calculations'!$B$10))*(1+Apport_Z315),0))+Apport_201A2324,6)</f>
        <v>7.3449E-2</v>
      </c>
      <c r="D206">
        <f>ROUND(IF(VLOOKUP($A206,EnrollData2324,'2324 Jun 24 Enroll'!D$1,FALSE)='District Calculations'!$B$11,VLOOKUP($A206,EnrollData2324,'2324 Jun 24 Enroll'!D$1,FALSE),'District Calculations'!$B$11)*C206,3)</f>
        <v>0</v>
      </c>
      <c r="E206">
        <f>ROUND(IF(VLOOKUP($A206,EnrollData2324,'2324 Jun 24 Enroll'!E$1,FALSE)='District Calculations'!$B$12,VLOOKUP($A206,EnrollData2324,'2324 Jun 24 Enroll'!E$1,FALSE),'District Calculations'!$B$12)*C206,3)</f>
        <v>59.53</v>
      </c>
      <c r="F206">
        <f>ROUND(IF(VLOOKUP($A206,EnrollData2324,'2324 Jun 24 Enroll'!F$1,FALSE)='District Calculations'!$B$13,VLOOKUP($A206,EnrollData2324,'2324 Jun 24 Enroll'!F$1,FALSE),'District Calculations'!$B$13)*Apport_222A2324,3)</f>
        <v>10.101000000000001</v>
      </c>
      <c r="G206">
        <f>ROUND(IF(VLOOKUP($A206,EnrollData2324,'2324 Jun 24 Enroll'!G$1,FALSE)='District Calculations'!$B$14,VLOOKUP($A206,EnrollData2324,'2324 Jun 24 Enroll'!G$1,FALSE),'District Calculations'!$B$14)*Apport_210A2324,3)</f>
        <v>22.395</v>
      </c>
      <c r="H206">
        <f>ROUND(IF(VLOOKUP($A206,EnrollData2324,'2324 Jun 24 Enroll'!H$1,FALSE)='District Calculations'!$B$15,VLOOKUP($A206,EnrollData2324,'2324 Jun 24 Enroll'!H$1,FALSE),'District Calculations'!$B$15)*Apport_213A2324,3)</f>
        <v>23.091999999999999</v>
      </c>
      <c r="I206">
        <f>ROUND(IF(VLOOKUP($A206,EnrollData2324,'2324 Jun 24 Enroll'!I$1,FALSE)+VLOOKUP($A206,EnrollData2324,'2324 Jun 24 Enroll'!M$1,FALSE)-VLOOKUP($A206,EnrollData2324,'2324 Jun 24 Enroll'!J$1,FALSE)='District Calculations'!$B$16+'District Calculations'!$B$25-'District Calculations'!$B$17,VLOOKUP($A206,EnrollData2324,'2324 Jun 24 Enroll'!I$1,FALSE)+VLOOKUP($A206,EnrollData2324,'2324 Jun 24 Enroll'!M$1,FALSE)-VLOOKUP($A206,EnrollData2324,'2324 Jun 24 Enroll'!J$1,FALSE),'District Calculations'!$B$16+'District Calculations'!$B$25-'District Calculations'!$B$17)*Apport_216A2324,3)</f>
        <v>58.183999999999997</v>
      </c>
      <c r="J206">
        <f>ROUND(SUM(D206:I206)/(IF(VLOOKUP($A206,EnrollData2324,'2324 Jun 24 Enroll'!M$1,FALSE)='District Calculations'!$B$25,VLOOKUP($A206,EnrollData2324,'2324 Jun 24 Enroll'!M$1,FALSE),'District Calculations'!$B$25)+IF(VLOOKUP($A206,EnrollData2324,'2324 Jun 24 Enroll'!D$1,FALSE)='District Calculations'!$B$11,VLOOKUP($A206,EnrollData2324,'2324 Jun 24 Enroll'!D$1,FALSE),'District Calculations'!$B$11)),5)</f>
        <v>5.5530000000000003E-2</v>
      </c>
      <c r="K206" s="11">
        <f t="shared" si="51"/>
        <v>4.365E-3</v>
      </c>
      <c r="L206">
        <f>ROUND(IF(VLOOKUP($A206,EnrollData2324,'2324 Jun 24 Enroll'!D$1,FALSE)='District Calculations'!$B$11,VLOOKUP($A206,EnrollData2324,'2324 Jun 24 Enroll'!D$1,FALSE),'District Calculations'!$B$11)*K206,3)</f>
        <v>0</v>
      </c>
      <c r="M206">
        <f>ROUND(IF(VLOOKUP($A206,EnrollData2324,'2324 Jun 24 Enroll'!E$1,FALSE)='District Calculations'!$B$12,VLOOKUP($A206,EnrollData2324,'2324 Jun 24 Enroll'!E$1,FALSE),'District Calculations'!$B$12)*K206,3)</f>
        <v>3.5379999999999998</v>
      </c>
      <c r="N206">
        <f>ROUND(IF(VLOOKUP($A206,EnrollData2324,'2324 Jun 24 Enroll'!F$1,FALSE)='District Calculations'!$B$13,VLOOKUP($A206,EnrollData2324,'2324 Jun 24 Enroll'!F$1,FALSE),'District Calculations'!$B$13)*Apport_223A2324,3)</f>
        <v>0.84199999999999997</v>
      </c>
      <c r="O206">
        <f>ROUND(IF(VLOOKUP($A206,EnrollData2324,'2324 Jun 24 Enroll'!G$1,FALSE)='District Calculations'!$B$14,VLOOKUP($A206,EnrollData2324,'2324 Jun 24 Enroll'!G$1,FALSE),'District Calculations'!$B$14)*Apport_211A2324,3)</f>
        <v>1.867</v>
      </c>
      <c r="P206">
        <f>ROUND(IF(VLOOKUP($A206,EnrollData2324,'2324 Jun 24 Enroll'!H$1,FALSE)='District Calculations'!$B$14,VLOOKUP($A206,EnrollData2324,'2324 Jun 24 Enroll'!H$1,FALSE),'District Calculations'!$B$14)*Apport_214A2324,3)</f>
        <v>1.8660000000000001</v>
      </c>
      <c r="Q206">
        <f>ROUND(IF(VLOOKUP($A206,EnrollData2324,'2324 Jun 24 Enroll'!I$1,FALSE)+VLOOKUP($A206,EnrollData2324,'2324 Jun 24 Enroll'!M$1,FALSE)-VLOOKUP($A206,EnrollData2324,'2324 Jun 24 Enroll'!J$1,FALSE)='District Calculations'!$B$16+'District Calculations'!$B$25-'District Calculations'!$B$17,VLOOKUP($A206,EnrollData2324,'2324 Jun 24 Enroll'!I$1,FALSE)+VLOOKUP($A206,EnrollData2324,'2324 Jun 24 Enroll'!M$1,FALSE)-VLOOKUP($A206,EnrollData2324,'2324 Jun 24 Enroll'!J$1,FALSE),'District Calculations'!$B$16+'District Calculations'!$B$25-'District Calculations'!$B$17)*Apport_217A2324,3)</f>
        <v>4.6980000000000004</v>
      </c>
      <c r="R206">
        <f>ROUND(SUM(L206:Q206)/IF(VLOOKUP($A206,EnrollData2324,'2324 Jun 24 Enroll'!M$1,FALSE)+VLOOKUP($A206,EnrollData2324,'2324 Jun 24 Enroll'!D$1,FALSE)='District Calculations'!$B$25+'District Calculations'!$B$11,VLOOKUP($A206,EnrollData2324,'2324 Jun 24 Enroll'!M$1,FALSE)+VLOOKUP($A206,EnrollData2324,'2324 Jun 24 Enroll'!D$1,FALSE),'District Calculations'!$B$25+'District Calculations'!$B$11),5)</f>
        <v>4.1000000000000003E-3</v>
      </c>
      <c r="S206" s="11">
        <f t="shared" si="52"/>
        <v>1.8294500000000002E-2</v>
      </c>
      <c r="T206">
        <f>ROUND(IF(VLOOKUP($A206,EnrollData2324,'2324 Jun 24 Enroll'!D$1,FALSE)='District Calculations'!$B$11,VLOOKUP($A206,EnrollData2324,'2324 Jun 24 Enroll'!D$1,FALSE),'District Calculations'!$B$11)*S206,3)</f>
        <v>0</v>
      </c>
      <c r="U206">
        <f>ROUND(IF(VLOOKUP($A206,EnrollData2324,'2324 Jun 24 Enroll'!E$1,FALSE)='District Calculations'!$B$12,VLOOKUP($A206,EnrollData2324,'2324 Jun 24 Enroll'!E$1,FALSE),'District Calculations'!$B$12)*S206,3)</f>
        <v>14.827999999999999</v>
      </c>
      <c r="V206">
        <f>ROUND(IF(VLOOKUP($A206,EnrollData2324,'2324 Jun 24 Enroll'!F$1,FALSE)='District Calculations'!$B$13,VLOOKUP($A206,EnrollData2324,'2324 Jun 24 Enroll'!F$1,FALSE),'District Calculations'!$B$13)*Apport_224A2324,3)</f>
        <v>3.6190000000000002</v>
      </c>
      <c r="W206">
        <f>ROUND(IF(VLOOKUP($A206,EnrollData2324,'2324 Jun 24 Enroll'!G$1,FALSE)='District Calculations'!$B$14,VLOOKUP($A206,EnrollData2324,'2324 Jun 24 Enroll'!G$1,FALSE),'District Calculations'!$B$14)*Apport_212A2324,3)</f>
        <v>8.0239999999999991</v>
      </c>
      <c r="X206">
        <f>ROUND(IF(VLOOKUP($A206,EnrollData2324,'2324 Jun 24 Enroll'!H$1,FALSE)='District Calculations'!$B$14,VLOOKUP($A206,EnrollData2324,'2324 Jun 24 Enroll'!H$1,FALSE),'District Calculations'!$B$14)*Apport_215A2324,3)</f>
        <v>7.9279999999999999</v>
      </c>
      <c r="Y206">
        <f>ROUND(IF(VLOOKUP($A206,EnrollData2324,'2324 Jun 24 Enroll'!I$1,FALSE)+VLOOKUP($A206,EnrollData2324,'2324 Jun 24 Enroll'!M$1,FALSE)-VLOOKUP($A206,EnrollData2324,'2324 Jun 24 Enroll'!J$1,FALSE)='District Calculations'!$B$16+'District Calculations'!$B$25-'District Calculations'!$B$17,VLOOKUP($A206,EnrollData2324,'2324 Jun 24 Enroll'!I$1,FALSE)+VLOOKUP($A206,EnrollData2324,'2324 Jun 24 Enroll'!M$1,FALSE)-VLOOKUP($A206,EnrollData2324,'2324 Jun 24 Enroll'!J$1,FALSE),'District Calculations'!$B$16+'District Calculations'!$B$25-'District Calculations'!$B$17)*Apport_218A2324,3)</f>
        <v>19.917999999999999</v>
      </c>
      <c r="Z206">
        <f>ROUND(SUM(T206:Y206)/IF(VLOOKUP($A206,EnrollData2324,'2324 Jun 24 Enroll'!M$1,FALSE)+VLOOKUP($A206,EnrollData2324,'2324 Jun 24 Enroll'!D$1,FALSE)='District Calculations'!$B$25+'District Calculations'!$B$11,VLOOKUP($A206,EnrollData2324,'2324 Jun 24 Enroll'!M$1,FALSE)+VLOOKUP($A206,EnrollData2324,'2324 Jun 24 Enroll'!D$1,FALSE),'District Calculations'!$B$25+'District Calculations'!$B$11),5)</f>
        <v>1.7399999999999999E-2</v>
      </c>
      <c r="AA206" s="6">
        <f>ROUND($J206*CIS_Base_Salary2324*VLOOKUP($A206,EnrollData2324,'2324 Jun 24 Enroll'!S$1,FALSE),2)</f>
        <v>4523.22</v>
      </c>
      <c r="AB206" s="6">
        <f>ROUND($J206*CIS_Inc_Salary2324*(VLOOKUP($A206,EnrollData2324,'2324 Jun 24 Enroll'!T$1,FALSE)+VLOOKUP($A206,EnrollData2324,'2324 Jun 24 Enroll'!U$1,FALSE)),2)-AA206</f>
        <v>167.35999999999967</v>
      </c>
      <c r="AC206" s="6">
        <f>ROUND($R206*CAS_Base_Salary2324*VLOOKUP($A206,EnrollData2324,'2324 Jun 24 Enroll'!S$1,FALSE),2)</f>
        <v>495.73</v>
      </c>
      <c r="AD206" s="6">
        <f>ROUND($R206*CAS_Inc_Salary2324*VLOOKUP($A206,EnrollData2324,'2324 Jun 24 Enroll'!T$1,FALSE),2)-AC206</f>
        <v>18.340000000000032</v>
      </c>
      <c r="AE206" s="6">
        <f>ROUND($Z206*CLS_Base_Salary2324*VLOOKUP($A206,EnrollData2324,'2324 Jun 24 Enroll'!S$1,FALSE),2)</f>
        <v>1016.75</v>
      </c>
      <c r="AF206" s="6">
        <f>ROUND($Z206*CLS_Inc_Salary2324*VLOOKUP($A206,EnrollData2324,'2324 Jun 24 Enroll'!T$1,FALSE),2)-AE206</f>
        <v>37.6099999999999</v>
      </c>
      <c r="AG206">
        <f t="shared" si="63"/>
        <v>734.16</v>
      </c>
      <c r="AH206" s="69">
        <f t="shared" si="53"/>
        <v>68.700000000000045</v>
      </c>
      <c r="AI206">
        <f t="shared" si="64"/>
        <v>214.23</v>
      </c>
      <c r="AJ206">
        <f t="shared" si="54"/>
        <v>114.21000000000001</v>
      </c>
      <c r="AK206">
        <f t="shared" si="55"/>
        <v>901.91</v>
      </c>
      <c r="AL206">
        <f t="shared" si="56"/>
        <v>32.18</v>
      </c>
      <c r="AM206">
        <f t="shared" si="57"/>
        <v>224.3</v>
      </c>
      <c r="AN206">
        <f t="shared" si="58"/>
        <v>6.98</v>
      </c>
      <c r="AO206">
        <f>ROUND(($J206*CIS_Inc_Salary2324*(VLOOKUP($A206,EnrollData2324,'2324 Jun 24 Enroll'!T$1,FALSE)+VLOOKUP($A206,EnrollData2324,'2324 Jun 24 Enroll'!U$1,FALSE))/Apport_613Xpd)*Apport_614Xpd,2)</f>
        <v>78.180000000000007</v>
      </c>
      <c r="AP206">
        <f t="shared" si="59"/>
        <v>13.55</v>
      </c>
      <c r="AQ206">
        <f t="shared" si="60"/>
        <v>30.93</v>
      </c>
      <c r="AR206" s="6">
        <f>ROUND((VLOOKUP($A206,EnrollData2324,'2324 Jun 24 Enroll'!D$1,FALSE)*Apport_M802324+VLOOKUP($A206,EnrollData2324,'2324 Jun 24 Enroll'!M$1,FALSE)*Apport_M802324+(VLOOKUP($A206,EnrollData2324,'2324 Jun 24 Enroll'!P$1,FALSE)+VLOOKUP($A206,EnrollData2324,'2324 Jun 24 Enroll'!Q$1,FALSE)+VLOOKUP($A206,EnrollData2324,'2324 Jun 24 Enroll'!R$1,FALSE)+VLOOKUP($A206,EnrollData2324,'2324 Jun 24 Enroll'!I$1,FALSE)+VLOOKUP($A206,EnrollData2324,'2324 Jun 24 Enroll'!N$1,FALSE)+VLOOKUP($A206,EnrollData2324,'2324 Jun 24 Enroll'!O$1,FALSE)+VLOOKUP($A206,EnrollData2324,'2324 Jun 24 Enroll'!K$1,FALSE)+VLOOKUP($A206,EnrollData2324,'2324 Jun 24 Enroll'!L$1,FALSE))*Apport_M812324)/(VLOOKUP($A206,EnrollData2324,'2324 Jun 24 Enroll'!M$1,FALSE)+VLOOKUP($A206,EnrollData2324,'2324 Jun 24 Enroll'!D$1,FALSE)),2)</f>
        <v>1552.06</v>
      </c>
      <c r="AS206" s="7">
        <f t="shared" si="61"/>
        <v>10230.399999999998</v>
      </c>
    </row>
    <row r="207" spans="1:46">
      <c r="A207" s="40" t="s">
        <v>430</v>
      </c>
      <c r="B207" s="40" t="s">
        <v>431</v>
      </c>
      <c r="C207" s="11">
        <f>ROUND((IFERROR((1/IF(VLOOKUP($A207,EnrollData2324,28,FALSE)='District Calculations'!$B$10,VLOOKUP($A207,EnrollData2324,28,FALSE),'District Calculations'!$B$10))*(1+Apport_Z315),0))+Apport_201A2324,6)</f>
        <v>7.3449E-2</v>
      </c>
      <c r="D207">
        <f>ROUND(IF(VLOOKUP($A207,EnrollData2324,'2324 Jun 24 Enroll'!D$1,FALSE)='District Calculations'!$B$11,VLOOKUP($A207,EnrollData2324,'2324 Jun 24 Enroll'!D$1,FALSE),'District Calculations'!$B$11)*C207,3)</f>
        <v>0</v>
      </c>
      <c r="E207">
        <f>ROUND(IF(VLOOKUP($A207,EnrollData2324,'2324 Jun 24 Enroll'!E$1,FALSE)='District Calculations'!$B$12,VLOOKUP($A207,EnrollData2324,'2324 Jun 24 Enroll'!E$1,FALSE),'District Calculations'!$B$12)*C207,3)</f>
        <v>59.53</v>
      </c>
      <c r="F207">
        <f>ROUND(IF(VLOOKUP($A207,EnrollData2324,'2324 Jun 24 Enroll'!F$1,FALSE)='District Calculations'!$B$13,VLOOKUP($A207,EnrollData2324,'2324 Jun 24 Enroll'!F$1,FALSE),'District Calculations'!$B$13)*Apport_222A2324,3)</f>
        <v>10.101000000000001</v>
      </c>
      <c r="G207">
        <f>ROUND(IF(VLOOKUP($A207,EnrollData2324,'2324 Jun 24 Enroll'!G$1,FALSE)='District Calculations'!$B$14,VLOOKUP($A207,EnrollData2324,'2324 Jun 24 Enroll'!G$1,FALSE),'District Calculations'!$B$14)*Apport_210A2324,3)</f>
        <v>22.395</v>
      </c>
      <c r="H207">
        <f>ROUND(IF(VLOOKUP($A207,EnrollData2324,'2324 Jun 24 Enroll'!H$1,FALSE)='District Calculations'!$B$15,VLOOKUP($A207,EnrollData2324,'2324 Jun 24 Enroll'!H$1,FALSE),'District Calculations'!$B$15)*Apport_213A2324,3)</f>
        <v>23.091999999999999</v>
      </c>
      <c r="I207">
        <f>ROUND(IF(VLOOKUP($A207,EnrollData2324,'2324 Jun 24 Enroll'!I$1,FALSE)+VLOOKUP($A207,EnrollData2324,'2324 Jun 24 Enroll'!M$1,FALSE)-VLOOKUP($A207,EnrollData2324,'2324 Jun 24 Enroll'!J$1,FALSE)='District Calculations'!$B$16+'District Calculations'!$B$25-'District Calculations'!$B$17,VLOOKUP($A207,EnrollData2324,'2324 Jun 24 Enroll'!I$1,FALSE)+VLOOKUP($A207,EnrollData2324,'2324 Jun 24 Enroll'!M$1,FALSE)-VLOOKUP($A207,EnrollData2324,'2324 Jun 24 Enroll'!J$1,FALSE),'District Calculations'!$B$16+'District Calculations'!$B$25-'District Calculations'!$B$17)*Apport_216A2324,3)</f>
        <v>58.183999999999997</v>
      </c>
      <c r="J207">
        <f>ROUND(SUM(D207:I207)/(IF(VLOOKUP($A207,EnrollData2324,'2324 Jun 24 Enroll'!M$1,FALSE)='District Calculations'!$B$25,VLOOKUP($A207,EnrollData2324,'2324 Jun 24 Enroll'!M$1,FALSE),'District Calculations'!$B$25)+IF(VLOOKUP($A207,EnrollData2324,'2324 Jun 24 Enroll'!D$1,FALSE)='District Calculations'!$B$11,VLOOKUP($A207,EnrollData2324,'2324 Jun 24 Enroll'!D$1,FALSE),'District Calculations'!$B$11)),5)</f>
        <v>5.5530000000000003E-2</v>
      </c>
      <c r="K207" s="11">
        <f t="shared" si="51"/>
        <v>4.365E-3</v>
      </c>
      <c r="L207">
        <f>ROUND(IF(VLOOKUP($A207,EnrollData2324,'2324 Jun 24 Enroll'!D$1,FALSE)='District Calculations'!$B$11,VLOOKUP($A207,EnrollData2324,'2324 Jun 24 Enroll'!D$1,FALSE),'District Calculations'!$B$11)*K207,3)</f>
        <v>0</v>
      </c>
      <c r="M207">
        <f>ROUND(IF(VLOOKUP($A207,EnrollData2324,'2324 Jun 24 Enroll'!E$1,FALSE)='District Calculations'!$B$12,VLOOKUP($A207,EnrollData2324,'2324 Jun 24 Enroll'!E$1,FALSE),'District Calculations'!$B$12)*K207,3)</f>
        <v>3.5379999999999998</v>
      </c>
      <c r="N207">
        <f>ROUND(IF(VLOOKUP($A207,EnrollData2324,'2324 Jun 24 Enroll'!F$1,FALSE)='District Calculations'!$B$13,VLOOKUP($A207,EnrollData2324,'2324 Jun 24 Enroll'!F$1,FALSE),'District Calculations'!$B$13)*Apport_223A2324,3)</f>
        <v>0.84199999999999997</v>
      </c>
      <c r="O207">
        <f>ROUND(IF(VLOOKUP($A207,EnrollData2324,'2324 Jun 24 Enroll'!G$1,FALSE)='District Calculations'!$B$14,VLOOKUP($A207,EnrollData2324,'2324 Jun 24 Enroll'!G$1,FALSE),'District Calculations'!$B$14)*Apport_211A2324,3)</f>
        <v>1.867</v>
      </c>
      <c r="P207">
        <f>ROUND(IF(VLOOKUP($A207,EnrollData2324,'2324 Jun 24 Enroll'!H$1,FALSE)='District Calculations'!$B$14,VLOOKUP($A207,EnrollData2324,'2324 Jun 24 Enroll'!H$1,FALSE),'District Calculations'!$B$14)*Apport_214A2324,3)</f>
        <v>1.8660000000000001</v>
      </c>
      <c r="Q207">
        <f>ROUND(IF(VLOOKUP($A207,EnrollData2324,'2324 Jun 24 Enroll'!I$1,FALSE)+VLOOKUP($A207,EnrollData2324,'2324 Jun 24 Enroll'!M$1,FALSE)-VLOOKUP($A207,EnrollData2324,'2324 Jun 24 Enroll'!J$1,FALSE)='District Calculations'!$B$16+'District Calculations'!$B$25-'District Calculations'!$B$17,VLOOKUP($A207,EnrollData2324,'2324 Jun 24 Enroll'!I$1,FALSE)+VLOOKUP($A207,EnrollData2324,'2324 Jun 24 Enroll'!M$1,FALSE)-VLOOKUP($A207,EnrollData2324,'2324 Jun 24 Enroll'!J$1,FALSE),'District Calculations'!$B$16+'District Calculations'!$B$25-'District Calculations'!$B$17)*Apport_217A2324,3)</f>
        <v>4.6980000000000004</v>
      </c>
      <c r="R207">
        <f>ROUND(SUM(L207:Q207)/IF(VLOOKUP($A207,EnrollData2324,'2324 Jun 24 Enroll'!M$1,FALSE)+VLOOKUP($A207,EnrollData2324,'2324 Jun 24 Enroll'!D$1,FALSE)='District Calculations'!$B$25+'District Calculations'!$B$11,VLOOKUP($A207,EnrollData2324,'2324 Jun 24 Enroll'!M$1,FALSE)+VLOOKUP($A207,EnrollData2324,'2324 Jun 24 Enroll'!D$1,FALSE),'District Calculations'!$B$25+'District Calculations'!$B$11),5)</f>
        <v>4.1000000000000003E-3</v>
      </c>
      <c r="S207" s="11">
        <f t="shared" si="52"/>
        <v>1.8294500000000002E-2</v>
      </c>
      <c r="T207">
        <f>ROUND(IF(VLOOKUP($A207,EnrollData2324,'2324 Jun 24 Enroll'!D$1,FALSE)='District Calculations'!$B$11,VLOOKUP($A207,EnrollData2324,'2324 Jun 24 Enroll'!D$1,FALSE),'District Calculations'!$B$11)*S207,3)</f>
        <v>0</v>
      </c>
      <c r="U207">
        <f>ROUND(IF(VLOOKUP($A207,EnrollData2324,'2324 Jun 24 Enroll'!E$1,FALSE)='District Calculations'!$B$12,VLOOKUP($A207,EnrollData2324,'2324 Jun 24 Enroll'!E$1,FALSE),'District Calculations'!$B$12)*S207,3)</f>
        <v>14.827999999999999</v>
      </c>
      <c r="V207">
        <f>ROUND(IF(VLOOKUP($A207,EnrollData2324,'2324 Jun 24 Enroll'!F$1,FALSE)='District Calculations'!$B$13,VLOOKUP($A207,EnrollData2324,'2324 Jun 24 Enroll'!F$1,FALSE),'District Calculations'!$B$13)*Apport_224A2324,3)</f>
        <v>3.6190000000000002</v>
      </c>
      <c r="W207">
        <f>ROUND(IF(VLOOKUP($A207,EnrollData2324,'2324 Jun 24 Enroll'!G$1,FALSE)='District Calculations'!$B$14,VLOOKUP($A207,EnrollData2324,'2324 Jun 24 Enroll'!G$1,FALSE),'District Calculations'!$B$14)*Apport_212A2324,3)</f>
        <v>8.0239999999999991</v>
      </c>
      <c r="X207">
        <f>ROUND(IF(VLOOKUP($A207,EnrollData2324,'2324 Jun 24 Enroll'!H$1,FALSE)='District Calculations'!$B$14,VLOOKUP($A207,EnrollData2324,'2324 Jun 24 Enroll'!H$1,FALSE),'District Calculations'!$B$14)*Apport_215A2324,3)</f>
        <v>7.9279999999999999</v>
      </c>
      <c r="Y207">
        <f>ROUND(IF(VLOOKUP($A207,EnrollData2324,'2324 Jun 24 Enroll'!I$1,FALSE)+VLOOKUP($A207,EnrollData2324,'2324 Jun 24 Enroll'!M$1,FALSE)-VLOOKUP($A207,EnrollData2324,'2324 Jun 24 Enroll'!J$1,FALSE)='District Calculations'!$B$16+'District Calculations'!$B$25-'District Calculations'!$B$17,VLOOKUP($A207,EnrollData2324,'2324 Jun 24 Enroll'!I$1,FALSE)+VLOOKUP($A207,EnrollData2324,'2324 Jun 24 Enroll'!M$1,FALSE)-VLOOKUP($A207,EnrollData2324,'2324 Jun 24 Enroll'!J$1,FALSE),'District Calculations'!$B$16+'District Calculations'!$B$25-'District Calculations'!$B$17)*Apport_218A2324,3)</f>
        <v>19.917999999999999</v>
      </c>
      <c r="Z207">
        <f>ROUND(SUM(T207:Y207)/IF(VLOOKUP($A207,EnrollData2324,'2324 Jun 24 Enroll'!M$1,FALSE)+VLOOKUP($A207,EnrollData2324,'2324 Jun 24 Enroll'!D$1,FALSE)='District Calculations'!$B$25+'District Calculations'!$B$11,VLOOKUP($A207,EnrollData2324,'2324 Jun 24 Enroll'!M$1,FALSE)+VLOOKUP($A207,EnrollData2324,'2324 Jun 24 Enroll'!D$1,FALSE),'District Calculations'!$B$25+'District Calculations'!$B$11),5)</f>
        <v>1.7399999999999999E-2</v>
      </c>
      <c r="AA207" s="6">
        <f>ROUND($J207*CIS_Base_Salary2324*VLOOKUP($A207,EnrollData2324,'2324 Jun 24 Enroll'!S$1,FALSE),2)</f>
        <v>4523.22</v>
      </c>
      <c r="AB207" s="6">
        <f>ROUND($J207*CIS_Inc_Salary2324*(VLOOKUP($A207,EnrollData2324,'2324 Jun 24 Enroll'!T$1,FALSE)+VLOOKUP($A207,EnrollData2324,'2324 Jun 24 Enroll'!U$1,FALSE)),2)-AA207</f>
        <v>334.88000000000011</v>
      </c>
      <c r="AC207" s="6">
        <f>ROUND($R207*CAS_Base_Salary2324*VLOOKUP($A207,EnrollData2324,'2324 Jun 24 Enroll'!S$1,FALSE),2)</f>
        <v>495.73</v>
      </c>
      <c r="AD207" s="6">
        <f>ROUND($R207*CAS_Inc_Salary2324*VLOOKUP($A207,EnrollData2324,'2324 Jun 24 Enroll'!T$1,FALSE),2)-AC207</f>
        <v>18.340000000000032</v>
      </c>
      <c r="AE207" s="6">
        <f>ROUND($Z207*CLS_Base_Salary2324*VLOOKUP($A207,EnrollData2324,'2324 Jun 24 Enroll'!S$1,FALSE),2)</f>
        <v>1016.75</v>
      </c>
      <c r="AF207" s="6">
        <f>ROUND($Z207*CLS_Inc_Salary2324*VLOOKUP($A207,EnrollData2324,'2324 Jun 24 Enroll'!T$1,FALSE),2)-AE207</f>
        <v>37.6099999999999</v>
      </c>
      <c r="AG207">
        <f t="shared" si="63"/>
        <v>734.16</v>
      </c>
      <c r="AH207" s="69">
        <f t="shared" si="53"/>
        <v>68.700000000000045</v>
      </c>
      <c r="AI207">
        <f t="shared" si="64"/>
        <v>214.23</v>
      </c>
      <c r="AJ207">
        <f t="shared" si="54"/>
        <v>114.21000000000001</v>
      </c>
      <c r="AK207">
        <f t="shared" si="55"/>
        <v>901.91</v>
      </c>
      <c r="AL207">
        <f t="shared" si="56"/>
        <v>61.21</v>
      </c>
      <c r="AM207">
        <f t="shared" si="57"/>
        <v>224.3</v>
      </c>
      <c r="AN207">
        <f t="shared" si="58"/>
        <v>6.98</v>
      </c>
      <c r="AO207">
        <f>ROUND(($J207*CIS_Inc_Salary2324*(VLOOKUP($A207,EnrollData2324,'2324 Jun 24 Enroll'!T$1,FALSE)+VLOOKUP($A207,EnrollData2324,'2324 Jun 24 Enroll'!U$1,FALSE))/Apport_613Xpd)*Apport_614Xpd,2)</f>
        <v>80.97</v>
      </c>
      <c r="AP207">
        <f t="shared" si="59"/>
        <v>14.03</v>
      </c>
      <c r="AQ207">
        <f t="shared" si="60"/>
        <v>30.93</v>
      </c>
      <c r="AR207" s="6">
        <f>ROUND((VLOOKUP($A207,EnrollData2324,'2324 Jun 24 Enroll'!D$1,FALSE)*Apport_M802324+VLOOKUP($A207,EnrollData2324,'2324 Jun 24 Enroll'!M$1,FALSE)*Apport_M802324+(VLOOKUP($A207,EnrollData2324,'2324 Jun 24 Enroll'!P$1,FALSE)+VLOOKUP($A207,EnrollData2324,'2324 Jun 24 Enroll'!Q$1,FALSE)+VLOOKUP($A207,EnrollData2324,'2324 Jun 24 Enroll'!R$1,FALSE)+VLOOKUP($A207,EnrollData2324,'2324 Jun 24 Enroll'!I$1,FALSE)+VLOOKUP($A207,EnrollData2324,'2324 Jun 24 Enroll'!N$1,FALSE)+VLOOKUP($A207,EnrollData2324,'2324 Jun 24 Enroll'!O$1,FALSE)+VLOOKUP($A207,EnrollData2324,'2324 Jun 24 Enroll'!K$1,FALSE)+VLOOKUP($A207,EnrollData2324,'2324 Jun 24 Enroll'!L$1,FALSE))*Apport_M812324)/(VLOOKUP($A207,EnrollData2324,'2324 Jun 24 Enroll'!M$1,FALSE)+VLOOKUP($A207,EnrollData2324,'2324 Jun 24 Enroll'!D$1,FALSE)),2)</f>
        <v>1483.44</v>
      </c>
      <c r="AS207" s="7">
        <f t="shared" si="61"/>
        <v>10361.599999999999</v>
      </c>
    </row>
    <row r="208" spans="1:46">
      <c r="A208" s="40" t="s">
        <v>673</v>
      </c>
      <c r="B208" s="40" t="s">
        <v>674</v>
      </c>
      <c r="C208" s="11">
        <f>ROUND((IFERROR((1/IF(VLOOKUP($A208,EnrollData2324,28,FALSE)='District Calculations'!$B$10,VLOOKUP($A208,EnrollData2324,28,FALSE),'District Calculations'!$B$10))*(1+Apport_Z315),0))+Apport_201A2324,6)</f>
        <v>7.3449E-2</v>
      </c>
      <c r="D208">
        <f>ROUND(IF(VLOOKUP($A208,EnrollData2324,'2324 Jun 24 Enroll'!D$1,FALSE)='District Calculations'!$B$11,VLOOKUP($A208,EnrollData2324,'2324 Jun 24 Enroll'!D$1,FALSE),'District Calculations'!$B$11)*C208,3)</f>
        <v>0</v>
      </c>
      <c r="E208">
        <f>ROUND(IF(VLOOKUP($A208,EnrollData2324,'2324 Jun 24 Enroll'!E$1,FALSE)='District Calculations'!$B$12,VLOOKUP($A208,EnrollData2324,'2324 Jun 24 Enroll'!E$1,FALSE),'District Calculations'!$B$12)*C208,3)</f>
        <v>59.53</v>
      </c>
      <c r="F208">
        <f>ROUND(IF(VLOOKUP($A208,EnrollData2324,'2324 Jun 24 Enroll'!F$1,FALSE)='District Calculations'!$B$13,VLOOKUP($A208,EnrollData2324,'2324 Jun 24 Enroll'!F$1,FALSE),'District Calculations'!$B$13)*Apport_222A2324,3)</f>
        <v>10.101000000000001</v>
      </c>
      <c r="G208">
        <f>ROUND(IF(VLOOKUP($A208,EnrollData2324,'2324 Jun 24 Enroll'!G$1,FALSE)='District Calculations'!$B$14,VLOOKUP($A208,EnrollData2324,'2324 Jun 24 Enroll'!G$1,FALSE),'District Calculations'!$B$14)*Apport_210A2324,3)</f>
        <v>22.395</v>
      </c>
      <c r="H208">
        <f>ROUND(IF(VLOOKUP($A208,EnrollData2324,'2324 Jun 24 Enroll'!H$1,FALSE)='District Calculations'!$B$15,VLOOKUP($A208,EnrollData2324,'2324 Jun 24 Enroll'!H$1,FALSE),'District Calculations'!$B$15)*Apport_213A2324,3)</f>
        <v>23.091999999999999</v>
      </c>
      <c r="I208">
        <f>ROUND(IF(VLOOKUP($A208,EnrollData2324,'2324 Jun 24 Enroll'!I$1,FALSE)+VLOOKUP($A208,EnrollData2324,'2324 Jun 24 Enroll'!M$1,FALSE)-VLOOKUP($A208,EnrollData2324,'2324 Jun 24 Enroll'!J$1,FALSE)='District Calculations'!$B$16+'District Calculations'!$B$25-'District Calculations'!$B$17,VLOOKUP($A208,EnrollData2324,'2324 Jun 24 Enroll'!I$1,FALSE)+VLOOKUP($A208,EnrollData2324,'2324 Jun 24 Enroll'!M$1,FALSE)-VLOOKUP($A208,EnrollData2324,'2324 Jun 24 Enroll'!J$1,FALSE),'District Calculations'!$B$16+'District Calculations'!$B$25-'District Calculations'!$B$17)*Apport_216A2324,3)</f>
        <v>58.183999999999997</v>
      </c>
      <c r="J208">
        <f>ROUND(SUM(D208:I208)/(IF(VLOOKUP($A208,EnrollData2324,'2324 Jun 24 Enroll'!M$1,FALSE)='District Calculations'!$B$25,VLOOKUP($A208,EnrollData2324,'2324 Jun 24 Enroll'!M$1,FALSE),'District Calculations'!$B$25)+IF(VLOOKUP($A208,EnrollData2324,'2324 Jun 24 Enroll'!D$1,FALSE)='District Calculations'!$B$11,VLOOKUP($A208,EnrollData2324,'2324 Jun 24 Enroll'!D$1,FALSE),'District Calculations'!$B$11)),5)</f>
        <v>5.5530000000000003E-2</v>
      </c>
      <c r="K208" s="11">
        <f t="shared" si="51"/>
        <v>4.365E-3</v>
      </c>
      <c r="L208">
        <f>ROUND(IF(VLOOKUP($A208,EnrollData2324,'2324 Jun 24 Enroll'!D$1,FALSE)='District Calculations'!$B$11,VLOOKUP($A208,EnrollData2324,'2324 Jun 24 Enroll'!D$1,FALSE),'District Calculations'!$B$11)*K208,3)</f>
        <v>0</v>
      </c>
      <c r="M208">
        <f>ROUND(IF(VLOOKUP($A208,EnrollData2324,'2324 Jun 24 Enroll'!E$1,FALSE)='District Calculations'!$B$12,VLOOKUP($A208,EnrollData2324,'2324 Jun 24 Enroll'!E$1,FALSE),'District Calculations'!$B$12)*K208,3)</f>
        <v>3.5379999999999998</v>
      </c>
      <c r="N208">
        <f>ROUND(IF(VLOOKUP($A208,EnrollData2324,'2324 Jun 24 Enroll'!F$1,FALSE)='District Calculations'!$B$13,VLOOKUP($A208,EnrollData2324,'2324 Jun 24 Enroll'!F$1,FALSE),'District Calculations'!$B$13)*Apport_223A2324,3)</f>
        <v>0.84199999999999997</v>
      </c>
      <c r="O208">
        <f>ROUND(IF(VLOOKUP($A208,EnrollData2324,'2324 Jun 24 Enroll'!G$1,FALSE)='District Calculations'!$B$14,VLOOKUP($A208,EnrollData2324,'2324 Jun 24 Enroll'!G$1,FALSE),'District Calculations'!$B$14)*Apport_211A2324,3)</f>
        <v>1.867</v>
      </c>
      <c r="P208">
        <f>ROUND(IF(VLOOKUP($A208,EnrollData2324,'2324 Jun 24 Enroll'!H$1,FALSE)='District Calculations'!$B$14,VLOOKUP($A208,EnrollData2324,'2324 Jun 24 Enroll'!H$1,FALSE),'District Calculations'!$B$14)*Apport_214A2324,3)</f>
        <v>1.8660000000000001</v>
      </c>
      <c r="Q208">
        <f>ROUND(IF(VLOOKUP($A208,EnrollData2324,'2324 Jun 24 Enroll'!I$1,FALSE)+VLOOKUP($A208,EnrollData2324,'2324 Jun 24 Enroll'!M$1,FALSE)-VLOOKUP($A208,EnrollData2324,'2324 Jun 24 Enroll'!J$1,FALSE)='District Calculations'!$B$16+'District Calculations'!$B$25-'District Calculations'!$B$17,VLOOKUP($A208,EnrollData2324,'2324 Jun 24 Enroll'!I$1,FALSE)+VLOOKUP($A208,EnrollData2324,'2324 Jun 24 Enroll'!M$1,FALSE)-VLOOKUP($A208,EnrollData2324,'2324 Jun 24 Enroll'!J$1,FALSE),'District Calculations'!$B$16+'District Calculations'!$B$25-'District Calculations'!$B$17)*Apport_217A2324,3)</f>
        <v>4.6980000000000004</v>
      </c>
      <c r="R208">
        <f>ROUND(SUM(L208:Q208)/IF(VLOOKUP($A208,EnrollData2324,'2324 Jun 24 Enroll'!M$1,FALSE)+VLOOKUP($A208,EnrollData2324,'2324 Jun 24 Enroll'!D$1,FALSE)='District Calculations'!$B$25+'District Calculations'!$B$11,VLOOKUP($A208,EnrollData2324,'2324 Jun 24 Enroll'!M$1,FALSE)+VLOOKUP($A208,EnrollData2324,'2324 Jun 24 Enroll'!D$1,FALSE),'District Calculations'!$B$25+'District Calculations'!$B$11),5)</f>
        <v>4.1000000000000003E-3</v>
      </c>
      <c r="S208" s="11">
        <f t="shared" si="52"/>
        <v>1.8294500000000002E-2</v>
      </c>
      <c r="T208">
        <f>ROUND(IF(VLOOKUP($A208,EnrollData2324,'2324 Jun 24 Enroll'!D$1,FALSE)='District Calculations'!$B$11,VLOOKUP($A208,EnrollData2324,'2324 Jun 24 Enroll'!D$1,FALSE),'District Calculations'!$B$11)*S208,3)</f>
        <v>0</v>
      </c>
      <c r="U208">
        <f>ROUND(IF(VLOOKUP($A208,EnrollData2324,'2324 Jun 24 Enroll'!E$1,FALSE)='District Calculations'!$B$12,VLOOKUP($A208,EnrollData2324,'2324 Jun 24 Enroll'!E$1,FALSE),'District Calculations'!$B$12)*S208,3)</f>
        <v>14.827999999999999</v>
      </c>
      <c r="V208">
        <f>ROUND(IF(VLOOKUP($A208,EnrollData2324,'2324 Jun 24 Enroll'!F$1,FALSE)='District Calculations'!$B$13,VLOOKUP($A208,EnrollData2324,'2324 Jun 24 Enroll'!F$1,FALSE),'District Calculations'!$B$13)*Apport_224A2324,3)</f>
        <v>3.6190000000000002</v>
      </c>
      <c r="W208">
        <f>ROUND(IF(VLOOKUP($A208,EnrollData2324,'2324 Jun 24 Enroll'!G$1,FALSE)='District Calculations'!$B$14,VLOOKUP($A208,EnrollData2324,'2324 Jun 24 Enroll'!G$1,FALSE),'District Calculations'!$B$14)*Apport_212A2324,3)</f>
        <v>8.0239999999999991</v>
      </c>
      <c r="X208">
        <f>ROUND(IF(VLOOKUP($A208,EnrollData2324,'2324 Jun 24 Enroll'!H$1,FALSE)='District Calculations'!$B$14,VLOOKUP($A208,EnrollData2324,'2324 Jun 24 Enroll'!H$1,FALSE),'District Calculations'!$B$14)*Apport_215A2324,3)</f>
        <v>7.9279999999999999</v>
      </c>
      <c r="Y208">
        <f>ROUND(IF(VLOOKUP($A208,EnrollData2324,'2324 Jun 24 Enroll'!I$1,FALSE)+VLOOKUP($A208,EnrollData2324,'2324 Jun 24 Enroll'!M$1,FALSE)-VLOOKUP($A208,EnrollData2324,'2324 Jun 24 Enroll'!J$1,FALSE)='District Calculations'!$B$16+'District Calculations'!$B$25-'District Calculations'!$B$17,VLOOKUP($A208,EnrollData2324,'2324 Jun 24 Enroll'!I$1,FALSE)+VLOOKUP($A208,EnrollData2324,'2324 Jun 24 Enroll'!M$1,FALSE)-VLOOKUP($A208,EnrollData2324,'2324 Jun 24 Enroll'!J$1,FALSE),'District Calculations'!$B$16+'District Calculations'!$B$25-'District Calculations'!$B$17)*Apport_218A2324,3)</f>
        <v>19.917999999999999</v>
      </c>
      <c r="Z208">
        <f>ROUND(SUM(T208:Y208)/IF(VLOOKUP($A208,EnrollData2324,'2324 Jun 24 Enroll'!M$1,FALSE)+VLOOKUP($A208,EnrollData2324,'2324 Jun 24 Enroll'!D$1,FALSE)='District Calculations'!$B$25+'District Calculations'!$B$11,VLOOKUP($A208,EnrollData2324,'2324 Jun 24 Enroll'!M$1,FALSE)+VLOOKUP($A208,EnrollData2324,'2324 Jun 24 Enroll'!D$1,FALSE),'District Calculations'!$B$25+'District Calculations'!$B$11),5)</f>
        <v>1.7399999999999999E-2</v>
      </c>
      <c r="AA208" s="6">
        <f>ROUND($J208*CIS_Base_Salary2324*VLOOKUP($A208,EnrollData2324,'2324 Jun 24 Enroll'!S$1,FALSE),2)</f>
        <v>4280.8999999999996</v>
      </c>
      <c r="AB208" s="6">
        <f>ROUND($J208*CIS_Inc_Salary2324*(VLOOKUP($A208,EnrollData2324,'2324 Jun 24 Enroll'!T$1,FALSE)+VLOOKUP($A208,EnrollData2324,'2324 Jun 24 Enroll'!U$1,FALSE)),2)-AA208</f>
        <v>158.40000000000055</v>
      </c>
      <c r="AC208" s="6">
        <f>ROUND($R208*CAS_Base_Salary2324*VLOOKUP($A208,EnrollData2324,'2324 Jun 24 Enroll'!S$1,FALSE),2)</f>
        <v>469.17</v>
      </c>
      <c r="AD208" s="6">
        <f>ROUND($R208*CAS_Inc_Salary2324*VLOOKUP($A208,EnrollData2324,'2324 Jun 24 Enroll'!T$1,FALSE),2)-AC208</f>
        <v>17.359999999999957</v>
      </c>
      <c r="AE208" s="6">
        <f>ROUND($Z208*CLS_Base_Salary2324*VLOOKUP($A208,EnrollData2324,'2324 Jun 24 Enroll'!S$1,FALSE),2)</f>
        <v>962.28</v>
      </c>
      <c r="AF208" s="6">
        <f>ROUND($Z208*CLS_Inc_Salary2324*VLOOKUP($A208,EnrollData2324,'2324 Jun 24 Enroll'!T$1,FALSE),2)-AE208</f>
        <v>35.600000000000023</v>
      </c>
      <c r="AG208">
        <f t="shared" si="63"/>
        <v>734.16</v>
      </c>
      <c r="AH208" s="69">
        <f t="shared" si="53"/>
        <v>68.700000000000045</v>
      </c>
      <c r="AI208">
        <f t="shared" si="64"/>
        <v>214.23</v>
      </c>
      <c r="AJ208">
        <f t="shared" si="54"/>
        <v>114.21000000000001</v>
      </c>
      <c r="AK208">
        <f t="shared" si="55"/>
        <v>853.59</v>
      </c>
      <c r="AL208">
        <f t="shared" si="56"/>
        <v>30.46</v>
      </c>
      <c r="AM208">
        <f t="shared" si="57"/>
        <v>212.28</v>
      </c>
      <c r="AN208">
        <f t="shared" si="58"/>
        <v>6.61</v>
      </c>
      <c r="AO208">
        <f>ROUND(($J208*CIS_Inc_Salary2324*(VLOOKUP($A208,EnrollData2324,'2324 Jun 24 Enroll'!T$1,FALSE)+VLOOKUP($A208,EnrollData2324,'2324 Jun 24 Enroll'!U$1,FALSE))/Apport_613Xpd)*Apport_614Xpd,2)</f>
        <v>73.989999999999995</v>
      </c>
      <c r="AP208">
        <f t="shared" si="59"/>
        <v>12.82</v>
      </c>
      <c r="AQ208">
        <f t="shared" si="60"/>
        <v>30.93</v>
      </c>
      <c r="AR208" s="6">
        <f>ROUND((VLOOKUP($A208,EnrollData2324,'2324 Jun 24 Enroll'!D$1,FALSE)*Apport_M802324+VLOOKUP($A208,EnrollData2324,'2324 Jun 24 Enroll'!M$1,FALSE)*Apport_M802324+(VLOOKUP($A208,EnrollData2324,'2324 Jun 24 Enroll'!P$1,FALSE)+VLOOKUP($A208,EnrollData2324,'2324 Jun 24 Enroll'!Q$1,FALSE)+VLOOKUP($A208,EnrollData2324,'2324 Jun 24 Enroll'!R$1,FALSE)+VLOOKUP($A208,EnrollData2324,'2324 Jun 24 Enroll'!I$1,FALSE)+VLOOKUP($A208,EnrollData2324,'2324 Jun 24 Enroll'!N$1,FALSE)+VLOOKUP($A208,EnrollData2324,'2324 Jun 24 Enroll'!O$1,FALSE)+VLOOKUP($A208,EnrollData2324,'2324 Jun 24 Enroll'!K$1,FALSE)+VLOOKUP($A208,EnrollData2324,'2324 Jun 24 Enroll'!L$1,FALSE))*Apport_M812324)/(VLOOKUP($A208,EnrollData2324,'2324 Jun 24 Enroll'!M$1,FALSE)+VLOOKUP($A208,EnrollData2324,'2324 Jun 24 Enroll'!D$1,FALSE)),2)</f>
        <v>1547.35</v>
      </c>
      <c r="AS208" s="7">
        <f t="shared" si="61"/>
        <v>9823.0399999999991</v>
      </c>
    </row>
    <row r="209" spans="1:45">
      <c r="A209" s="40" t="s">
        <v>388</v>
      </c>
      <c r="B209" s="40" t="s">
        <v>389</v>
      </c>
      <c r="C209" s="11">
        <f>ROUND((IFERROR((1/IF(VLOOKUP($A209,EnrollData2324,28,FALSE)='District Calculations'!$B$10,VLOOKUP($A209,EnrollData2324,28,FALSE),'District Calculations'!$B$10))*(1+Apport_Z315),0))+Apport_201A2324,6)</f>
        <v>7.3449E-2</v>
      </c>
      <c r="D209">
        <f>ROUND(IF(VLOOKUP($A209,EnrollData2324,'2324 Jun 24 Enroll'!D$1,FALSE)='District Calculations'!$B$11,VLOOKUP($A209,EnrollData2324,'2324 Jun 24 Enroll'!D$1,FALSE),'District Calculations'!$B$11)*C209,3)</f>
        <v>0</v>
      </c>
      <c r="E209">
        <f>ROUND(IF(VLOOKUP($A209,EnrollData2324,'2324 Jun 24 Enroll'!E$1,FALSE)='District Calculations'!$B$12,VLOOKUP($A209,EnrollData2324,'2324 Jun 24 Enroll'!E$1,FALSE),'District Calculations'!$B$12)*C209,3)</f>
        <v>59.53</v>
      </c>
      <c r="F209">
        <f>ROUND(IF(VLOOKUP($A209,EnrollData2324,'2324 Jun 24 Enroll'!F$1,FALSE)='District Calculations'!$B$13,VLOOKUP($A209,EnrollData2324,'2324 Jun 24 Enroll'!F$1,FALSE),'District Calculations'!$B$13)*Apport_222A2324,3)</f>
        <v>10.101000000000001</v>
      </c>
      <c r="G209">
        <f>ROUND(IF(VLOOKUP($A209,EnrollData2324,'2324 Jun 24 Enroll'!G$1,FALSE)='District Calculations'!$B$14,VLOOKUP($A209,EnrollData2324,'2324 Jun 24 Enroll'!G$1,FALSE),'District Calculations'!$B$14)*Apport_210A2324,3)</f>
        <v>22.395</v>
      </c>
      <c r="H209">
        <f>ROUND(IF(VLOOKUP($A209,EnrollData2324,'2324 Jun 24 Enroll'!H$1,FALSE)='District Calculations'!$B$15,VLOOKUP($A209,EnrollData2324,'2324 Jun 24 Enroll'!H$1,FALSE),'District Calculations'!$B$15)*Apport_213A2324,3)</f>
        <v>23.091999999999999</v>
      </c>
      <c r="I209">
        <f>ROUND(IF(VLOOKUP($A209,EnrollData2324,'2324 Jun 24 Enroll'!I$1,FALSE)+VLOOKUP($A209,EnrollData2324,'2324 Jun 24 Enroll'!M$1,FALSE)-VLOOKUP($A209,EnrollData2324,'2324 Jun 24 Enroll'!J$1,FALSE)='District Calculations'!$B$16+'District Calculations'!$B$25-'District Calculations'!$B$17,VLOOKUP($A209,EnrollData2324,'2324 Jun 24 Enroll'!I$1,FALSE)+VLOOKUP($A209,EnrollData2324,'2324 Jun 24 Enroll'!M$1,FALSE)-VLOOKUP($A209,EnrollData2324,'2324 Jun 24 Enroll'!J$1,FALSE),'District Calculations'!$B$16+'District Calculations'!$B$25-'District Calculations'!$B$17)*Apport_216A2324,3)</f>
        <v>58.183999999999997</v>
      </c>
      <c r="J209">
        <f>ROUND(SUM(D209:I209)/(IF(VLOOKUP($A209,EnrollData2324,'2324 Jun 24 Enroll'!M$1,FALSE)='District Calculations'!$B$25,VLOOKUP($A209,EnrollData2324,'2324 Jun 24 Enroll'!M$1,FALSE),'District Calculations'!$B$25)+IF(VLOOKUP($A209,EnrollData2324,'2324 Jun 24 Enroll'!D$1,FALSE)='District Calculations'!$B$11,VLOOKUP($A209,EnrollData2324,'2324 Jun 24 Enroll'!D$1,FALSE),'District Calculations'!$B$11)),5)</f>
        <v>5.5530000000000003E-2</v>
      </c>
      <c r="K209" s="11">
        <f t="shared" si="51"/>
        <v>4.365E-3</v>
      </c>
      <c r="L209">
        <f>ROUND(IF(VLOOKUP($A209,EnrollData2324,'2324 Jun 24 Enroll'!D$1,FALSE)='District Calculations'!$B$11,VLOOKUP($A209,EnrollData2324,'2324 Jun 24 Enroll'!D$1,FALSE),'District Calculations'!$B$11)*K209,3)</f>
        <v>0</v>
      </c>
      <c r="M209">
        <f>ROUND(IF(VLOOKUP($A209,EnrollData2324,'2324 Jun 24 Enroll'!E$1,FALSE)='District Calculations'!$B$12,VLOOKUP($A209,EnrollData2324,'2324 Jun 24 Enroll'!E$1,FALSE),'District Calculations'!$B$12)*K209,3)</f>
        <v>3.5379999999999998</v>
      </c>
      <c r="N209">
        <f>ROUND(IF(VLOOKUP($A209,EnrollData2324,'2324 Jun 24 Enroll'!F$1,FALSE)='District Calculations'!$B$13,VLOOKUP($A209,EnrollData2324,'2324 Jun 24 Enroll'!F$1,FALSE),'District Calculations'!$B$13)*Apport_223A2324,3)</f>
        <v>0.84199999999999997</v>
      </c>
      <c r="O209">
        <f>ROUND(IF(VLOOKUP($A209,EnrollData2324,'2324 Jun 24 Enroll'!G$1,FALSE)='District Calculations'!$B$14,VLOOKUP($A209,EnrollData2324,'2324 Jun 24 Enroll'!G$1,FALSE),'District Calculations'!$B$14)*Apport_211A2324,3)</f>
        <v>1.867</v>
      </c>
      <c r="P209">
        <f>ROUND(IF(VLOOKUP($A209,EnrollData2324,'2324 Jun 24 Enroll'!H$1,FALSE)='District Calculations'!$B$14,VLOOKUP($A209,EnrollData2324,'2324 Jun 24 Enroll'!H$1,FALSE),'District Calculations'!$B$14)*Apport_214A2324,3)</f>
        <v>1.8660000000000001</v>
      </c>
      <c r="Q209">
        <f>ROUND(IF(VLOOKUP($A209,EnrollData2324,'2324 Jun 24 Enroll'!I$1,FALSE)+VLOOKUP($A209,EnrollData2324,'2324 Jun 24 Enroll'!M$1,FALSE)-VLOOKUP($A209,EnrollData2324,'2324 Jun 24 Enroll'!J$1,FALSE)='District Calculations'!$B$16+'District Calculations'!$B$25-'District Calculations'!$B$17,VLOOKUP($A209,EnrollData2324,'2324 Jun 24 Enroll'!I$1,FALSE)+VLOOKUP($A209,EnrollData2324,'2324 Jun 24 Enroll'!M$1,FALSE)-VLOOKUP($A209,EnrollData2324,'2324 Jun 24 Enroll'!J$1,FALSE),'District Calculations'!$B$16+'District Calculations'!$B$25-'District Calculations'!$B$17)*Apport_217A2324,3)</f>
        <v>4.6980000000000004</v>
      </c>
      <c r="R209">
        <f>ROUND(SUM(L209:Q209)/IF(VLOOKUP($A209,EnrollData2324,'2324 Jun 24 Enroll'!M$1,FALSE)+VLOOKUP($A209,EnrollData2324,'2324 Jun 24 Enroll'!D$1,FALSE)='District Calculations'!$B$25+'District Calculations'!$B$11,VLOOKUP($A209,EnrollData2324,'2324 Jun 24 Enroll'!M$1,FALSE)+VLOOKUP($A209,EnrollData2324,'2324 Jun 24 Enroll'!D$1,FALSE),'District Calculations'!$B$25+'District Calculations'!$B$11),5)</f>
        <v>4.1000000000000003E-3</v>
      </c>
      <c r="S209" s="11">
        <f t="shared" si="52"/>
        <v>1.8294500000000002E-2</v>
      </c>
      <c r="T209">
        <f>ROUND(IF(VLOOKUP($A209,EnrollData2324,'2324 Jun 24 Enroll'!D$1,FALSE)='District Calculations'!$B$11,VLOOKUP($A209,EnrollData2324,'2324 Jun 24 Enroll'!D$1,FALSE),'District Calculations'!$B$11)*S209,3)</f>
        <v>0</v>
      </c>
      <c r="U209">
        <f>ROUND(IF(VLOOKUP($A209,EnrollData2324,'2324 Jun 24 Enroll'!E$1,FALSE)='District Calculations'!$B$12,VLOOKUP($A209,EnrollData2324,'2324 Jun 24 Enroll'!E$1,FALSE),'District Calculations'!$B$12)*S209,3)</f>
        <v>14.827999999999999</v>
      </c>
      <c r="V209">
        <f>ROUND(IF(VLOOKUP($A209,EnrollData2324,'2324 Jun 24 Enroll'!F$1,FALSE)='District Calculations'!$B$13,VLOOKUP($A209,EnrollData2324,'2324 Jun 24 Enroll'!F$1,FALSE),'District Calculations'!$B$13)*Apport_224A2324,3)</f>
        <v>3.6190000000000002</v>
      </c>
      <c r="W209">
        <f>ROUND(IF(VLOOKUP($A209,EnrollData2324,'2324 Jun 24 Enroll'!G$1,FALSE)='District Calculations'!$B$14,VLOOKUP($A209,EnrollData2324,'2324 Jun 24 Enroll'!G$1,FALSE),'District Calculations'!$B$14)*Apport_212A2324,3)</f>
        <v>8.0239999999999991</v>
      </c>
      <c r="X209">
        <f>ROUND(IF(VLOOKUP($A209,EnrollData2324,'2324 Jun 24 Enroll'!H$1,FALSE)='District Calculations'!$B$14,VLOOKUP($A209,EnrollData2324,'2324 Jun 24 Enroll'!H$1,FALSE),'District Calculations'!$B$14)*Apport_215A2324,3)</f>
        <v>7.9279999999999999</v>
      </c>
      <c r="Y209">
        <f>ROUND(IF(VLOOKUP($A209,EnrollData2324,'2324 Jun 24 Enroll'!I$1,FALSE)+VLOOKUP($A209,EnrollData2324,'2324 Jun 24 Enroll'!M$1,FALSE)-VLOOKUP($A209,EnrollData2324,'2324 Jun 24 Enroll'!J$1,FALSE)='District Calculations'!$B$16+'District Calculations'!$B$25-'District Calculations'!$B$17,VLOOKUP($A209,EnrollData2324,'2324 Jun 24 Enroll'!I$1,FALSE)+VLOOKUP($A209,EnrollData2324,'2324 Jun 24 Enroll'!M$1,FALSE)-VLOOKUP($A209,EnrollData2324,'2324 Jun 24 Enroll'!J$1,FALSE),'District Calculations'!$B$16+'District Calculations'!$B$25-'District Calculations'!$B$17)*Apport_218A2324,3)</f>
        <v>19.917999999999999</v>
      </c>
      <c r="Z209">
        <f>ROUND(SUM(T209:Y209)/IF(VLOOKUP($A209,EnrollData2324,'2324 Jun 24 Enroll'!M$1,FALSE)+VLOOKUP($A209,EnrollData2324,'2324 Jun 24 Enroll'!D$1,FALSE)='District Calculations'!$B$25+'District Calculations'!$B$11,VLOOKUP($A209,EnrollData2324,'2324 Jun 24 Enroll'!M$1,FALSE)+VLOOKUP($A209,EnrollData2324,'2324 Jun 24 Enroll'!D$1,FALSE),'District Calculations'!$B$25+'District Calculations'!$B$11),5)</f>
        <v>1.7399999999999999E-2</v>
      </c>
      <c r="AA209" s="6">
        <f>ROUND($J209*CIS_Base_Salary2324*VLOOKUP($A209,EnrollData2324,'2324 Jun 24 Enroll'!S$1,FALSE),2)</f>
        <v>4280.8999999999996</v>
      </c>
      <c r="AB209" s="6">
        <f>ROUND($J209*CIS_Inc_Salary2324*(VLOOKUP($A209,EnrollData2324,'2324 Jun 24 Enroll'!T$1,FALSE)+VLOOKUP($A209,EnrollData2324,'2324 Jun 24 Enroll'!U$1,FALSE)),2)-AA209</f>
        <v>158.40000000000055</v>
      </c>
      <c r="AC209" s="6">
        <f>ROUND($R209*CAS_Base_Salary2324*VLOOKUP($A209,EnrollData2324,'2324 Jun 24 Enroll'!S$1,FALSE),2)</f>
        <v>469.17</v>
      </c>
      <c r="AD209" s="6">
        <f>ROUND($R209*CAS_Inc_Salary2324*VLOOKUP($A209,EnrollData2324,'2324 Jun 24 Enroll'!T$1,FALSE),2)-AC209</f>
        <v>17.359999999999957</v>
      </c>
      <c r="AE209" s="6">
        <f>ROUND($Z209*CLS_Base_Salary2324*VLOOKUP($A209,EnrollData2324,'2324 Jun 24 Enroll'!S$1,FALSE),2)</f>
        <v>962.28</v>
      </c>
      <c r="AF209" s="6">
        <f>ROUND($Z209*CLS_Inc_Salary2324*VLOOKUP($A209,EnrollData2324,'2324 Jun 24 Enroll'!T$1,FALSE),2)-AE209</f>
        <v>35.600000000000023</v>
      </c>
      <c r="AG209">
        <f t="shared" si="63"/>
        <v>734.16</v>
      </c>
      <c r="AH209" s="69">
        <f t="shared" si="53"/>
        <v>68.700000000000045</v>
      </c>
      <c r="AI209">
        <f t="shared" si="64"/>
        <v>214.23</v>
      </c>
      <c r="AJ209">
        <f t="shared" si="54"/>
        <v>114.21000000000001</v>
      </c>
      <c r="AK209">
        <f t="shared" si="55"/>
        <v>853.59</v>
      </c>
      <c r="AL209">
        <f t="shared" si="56"/>
        <v>30.46</v>
      </c>
      <c r="AM209">
        <f t="shared" si="57"/>
        <v>212.28</v>
      </c>
      <c r="AN209">
        <f t="shared" si="58"/>
        <v>6.61</v>
      </c>
      <c r="AO209">
        <f>ROUND(($J209*CIS_Inc_Salary2324*(VLOOKUP($A209,EnrollData2324,'2324 Jun 24 Enroll'!T$1,FALSE)+VLOOKUP($A209,EnrollData2324,'2324 Jun 24 Enroll'!U$1,FALSE))/Apport_613Xpd)*Apport_614Xpd,2)</f>
        <v>73.989999999999995</v>
      </c>
      <c r="AP209">
        <f t="shared" si="59"/>
        <v>12.82</v>
      </c>
      <c r="AQ209">
        <f t="shared" si="60"/>
        <v>30.93</v>
      </c>
      <c r="AR209" s="6">
        <f>ROUND((VLOOKUP($A209,EnrollData2324,'2324 Jun 24 Enroll'!D$1,FALSE)*Apport_M802324+VLOOKUP($A209,EnrollData2324,'2324 Jun 24 Enroll'!M$1,FALSE)*Apport_M802324+(VLOOKUP($A209,EnrollData2324,'2324 Jun 24 Enroll'!P$1,FALSE)+VLOOKUP($A209,EnrollData2324,'2324 Jun 24 Enroll'!Q$1,FALSE)+VLOOKUP($A209,EnrollData2324,'2324 Jun 24 Enroll'!R$1,FALSE)+VLOOKUP($A209,EnrollData2324,'2324 Jun 24 Enroll'!I$1,FALSE)+VLOOKUP($A209,EnrollData2324,'2324 Jun 24 Enroll'!N$1,FALSE)+VLOOKUP($A209,EnrollData2324,'2324 Jun 24 Enroll'!O$1,FALSE)+VLOOKUP($A209,EnrollData2324,'2324 Jun 24 Enroll'!K$1,FALSE)+VLOOKUP($A209,EnrollData2324,'2324 Jun 24 Enroll'!L$1,FALSE))*Apport_M812324)/(VLOOKUP($A209,EnrollData2324,'2324 Jun 24 Enroll'!M$1,FALSE)+VLOOKUP($A209,EnrollData2324,'2324 Jun 24 Enroll'!D$1,FALSE)),2)</f>
        <v>1536.76</v>
      </c>
      <c r="AS209" s="7">
        <f t="shared" si="61"/>
        <v>9812.4499999999989</v>
      </c>
    </row>
    <row r="210" spans="1:45">
      <c r="A210" s="40" t="s">
        <v>689</v>
      </c>
      <c r="B210" s="40" t="s">
        <v>690</v>
      </c>
      <c r="C210" s="11">
        <f>ROUND((IFERROR((1/IF(VLOOKUP($A210,EnrollData2324,28,FALSE)='District Calculations'!$B$10,VLOOKUP($A210,EnrollData2324,28,FALSE),'District Calculations'!$B$10))*(1+Apport_Z315),0))+Apport_201A2324,6)</f>
        <v>7.3449E-2</v>
      </c>
      <c r="D210">
        <f>ROUND(IF(VLOOKUP($A210,EnrollData2324,'2324 Jun 24 Enroll'!D$1,FALSE)='District Calculations'!$B$11,VLOOKUP($A210,EnrollData2324,'2324 Jun 24 Enroll'!D$1,FALSE),'District Calculations'!$B$11)*C210,3)</f>
        <v>0</v>
      </c>
      <c r="E210">
        <f>ROUND(IF(VLOOKUP($A210,EnrollData2324,'2324 Jun 24 Enroll'!E$1,FALSE)='District Calculations'!$B$12,VLOOKUP($A210,EnrollData2324,'2324 Jun 24 Enroll'!E$1,FALSE),'District Calculations'!$B$12)*C210,3)</f>
        <v>59.53</v>
      </c>
      <c r="F210">
        <f>ROUND(IF(VLOOKUP($A210,EnrollData2324,'2324 Jun 24 Enroll'!F$1,FALSE)='District Calculations'!$B$13,VLOOKUP($A210,EnrollData2324,'2324 Jun 24 Enroll'!F$1,FALSE),'District Calculations'!$B$13)*Apport_222A2324,3)</f>
        <v>10.101000000000001</v>
      </c>
      <c r="G210">
        <f>ROUND(IF(VLOOKUP($A210,EnrollData2324,'2324 Jun 24 Enroll'!G$1,FALSE)='District Calculations'!$B$14,VLOOKUP($A210,EnrollData2324,'2324 Jun 24 Enroll'!G$1,FALSE),'District Calculations'!$B$14)*Apport_210A2324,3)</f>
        <v>22.395</v>
      </c>
      <c r="H210">
        <f>ROUND(IF(VLOOKUP($A210,EnrollData2324,'2324 Jun 24 Enroll'!H$1,FALSE)='District Calculations'!$B$15,VLOOKUP($A210,EnrollData2324,'2324 Jun 24 Enroll'!H$1,FALSE),'District Calculations'!$B$15)*Apport_213A2324,3)</f>
        <v>23.091999999999999</v>
      </c>
      <c r="I210">
        <f>ROUND(IF(VLOOKUP($A210,EnrollData2324,'2324 Jun 24 Enroll'!I$1,FALSE)+VLOOKUP($A210,EnrollData2324,'2324 Jun 24 Enroll'!M$1,FALSE)-VLOOKUP($A210,EnrollData2324,'2324 Jun 24 Enroll'!J$1,FALSE)='District Calculations'!$B$16+'District Calculations'!$B$25-'District Calculations'!$B$17,VLOOKUP($A210,EnrollData2324,'2324 Jun 24 Enroll'!I$1,FALSE)+VLOOKUP($A210,EnrollData2324,'2324 Jun 24 Enroll'!M$1,FALSE)-VLOOKUP($A210,EnrollData2324,'2324 Jun 24 Enroll'!J$1,FALSE),'District Calculations'!$B$16+'District Calculations'!$B$25-'District Calculations'!$B$17)*Apport_216A2324,3)</f>
        <v>58.183999999999997</v>
      </c>
      <c r="J210">
        <f>ROUND(SUM(D210:I210)/(IF(VLOOKUP($A210,EnrollData2324,'2324 Jun 24 Enroll'!M$1,FALSE)='District Calculations'!$B$25,VLOOKUP($A210,EnrollData2324,'2324 Jun 24 Enroll'!M$1,FALSE),'District Calculations'!$B$25)+IF(VLOOKUP($A210,EnrollData2324,'2324 Jun 24 Enroll'!D$1,FALSE)='District Calculations'!$B$11,VLOOKUP($A210,EnrollData2324,'2324 Jun 24 Enroll'!D$1,FALSE),'District Calculations'!$B$11)),5)</f>
        <v>5.5530000000000003E-2</v>
      </c>
      <c r="K210" s="11">
        <f t="shared" si="51"/>
        <v>4.365E-3</v>
      </c>
      <c r="L210">
        <f>ROUND(IF(VLOOKUP($A210,EnrollData2324,'2324 Jun 24 Enroll'!D$1,FALSE)='District Calculations'!$B$11,VLOOKUP($A210,EnrollData2324,'2324 Jun 24 Enroll'!D$1,FALSE),'District Calculations'!$B$11)*K210,3)</f>
        <v>0</v>
      </c>
      <c r="M210">
        <f>ROUND(IF(VLOOKUP($A210,EnrollData2324,'2324 Jun 24 Enroll'!E$1,FALSE)='District Calculations'!$B$12,VLOOKUP($A210,EnrollData2324,'2324 Jun 24 Enroll'!E$1,FALSE),'District Calculations'!$B$12)*K210,3)</f>
        <v>3.5379999999999998</v>
      </c>
      <c r="N210">
        <f>ROUND(IF(VLOOKUP($A210,EnrollData2324,'2324 Jun 24 Enroll'!F$1,FALSE)='District Calculations'!$B$13,VLOOKUP($A210,EnrollData2324,'2324 Jun 24 Enroll'!F$1,FALSE),'District Calculations'!$B$13)*Apport_223A2324,3)</f>
        <v>0.84199999999999997</v>
      </c>
      <c r="O210">
        <f>ROUND(IF(VLOOKUP($A210,EnrollData2324,'2324 Jun 24 Enroll'!G$1,FALSE)='District Calculations'!$B$14,VLOOKUP($A210,EnrollData2324,'2324 Jun 24 Enroll'!G$1,FALSE),'District Calculations'!$B$14)*Apport_211A2324,3)</f>
        <v>1.867</v>
      </c>
      <c r="P210">
        <f>ROUND(IF(VLOOKUP($A210,EnrollData2324,'2324 Jun 24 Enroll'!H$1,FALSE)='District Calculations'!$B$14,VLOOKUP($A210,EnrollData2324,'2324 Jun 24 Enroll'!H$1,FALSE),'District Calculations'!$B$14)*Apport_214A2324,3)</f>
        <v>1.8660000000000001</v>
      </c>
      <c r="Q210">
        <f>ROUND(IF(VLOOKUP($A210,EnrollData2324,'2324 Jun 24 Enroll'!I$1,FALSE)+VLOOKUP($A210,EnrollData2324,'2324 Jun 24 Enroll'!M$1,FALSE)-VLOOKUP($A210,EnrollData2324,'2324 Jun 24 Enroll'!J$1,FALSE)='District Calculations'!$B$16+'District Calculations'!$B$25-'District Calculations'!$B$17,VLOOKUP($A210,EnrollData2324,'2324 Jun 24 Enroll'!I$1,FALSE)+VLOOKUP($A210,EnrollData2324,'2324 Jun 24 Enroll'!M$1,FALSE)-VLOOKUP($A210,EnrollData2324,'2324 Jun 24 Enroll'!J$1,FALSE),'District Calculations'!$B$16+'District Calculations'!$B$25-'District Calculations'!$B$17)*Apport_217A2324,3)</f>
        <v>4.6980000000000004</v>
      </c>
      <c r="R210">
        <f>ROUND(SUM(L210:Q210)/IF(VLOOKUP($A210,EnrollData2324,'2324 Jun 24 Enroll'!M$1,FALSE)+VLOOKUP($A210,EnrollData2324,'2324 Jun 24 Enroll'!D$1,FALSE)='District Calculations'!$B$25+'District Calculations'!$B$11,VLOOKUP($A210,EnrollData2324,'2324 Jun 24 Enroll'!M$1,FALSE)+VLOOKUP($A210,EnrollData2324,'2324 Jun 24 Enroll'!D$1,FALSE),'District Calculations'!$B$25+'District Calculations'!$B$11),5)</f>
        <v>4.1000000000000003E-3</v>
      </c>
      <c r="S210" s="11">
        <f t="shared" si="52"/>
        <v>1.8294500000000002E-2</v>
      </c>
      <c r="T210">
        <f>ROUND(IF(VLOOKUP($A210,EnrollData2324,'2324 Jun 24 Enroll'!D$1,FALSE)='District Calculations'!$B$11,VLOOKUP($A210,EnrollData2324,'2324 Jun 24 Enroll'!D$1,FALSE),'District Calculations'!$B$11)*S210,3)</f>
        <v>0</v>
      </c>
      <c r="U210">
        <f>ROUND(IF(VLOOKUP($A210,EnrollData2324,'2324 Jun 24 Enroll'!E$1,FALSE)='District Calculations'!$B$12,VLOOKUP($A210,EnrollData2324,'2324 Jun 24 Enroll'!E$1,FALSE),'District Calculations'!$B$12)*S210,3)</f>
        <v>14.827999999999999</v>
      </c>
      <c r="V210">
        <f>ROUND(IF(VLOOKUP($A210,EnrollData2324,'2324 Jun 24 Enroll'!F$1,FALSE)='District Calculations'!$B$13,VLOOKUP($A210,EnrollData2324,'2324 Jun 24 Enroll'!F$1,FALSE),'District Calculations'!$B$13)*Apport_224A2324,3)</f>
        <v>3.6190000000000002</v>
      </c>
      <c r="W210">
        <f>ROUND(IF(VLOOKUP($A210,EnrollData2324,'2324 Jun 24 Enroll'!G$1,FALSE)='District Calculations'!$B$14,VLOOKUP($A210,EnrollData2324,'2324 Jun 24 Enroll'!G$1,FALSE),'District Calculations'!$B$14)*Apport_212A2324,3)</f>
        <v>8.0239999999999991</v>
      </c>
      <c r="X210">
        <f>ROUND(IF(VLOOKUP($A210,EnrollData2324,'2324 Jun 24 Enroll'!H$1,FALSE)='District Calculations'!$B$14,VLOOKUP($A210,EnrollData2324,'2324 Jun 24 Enroll'!H$1,FALSE),'District Calculations'!$B$14)*Apport_215A2324,3)</f>
        <v>7.9279999999999999</v>
      </c>
      <c r="Y210">
        <f>ROUND(IF(VLOOKUP($A210,EnrollData2324,'2324 Jun 24 Enroll'!I$1,FALSE)+VLOOKUP($A210,EnrollData2324,'2324 Jun 24 Enroll'!M$1,FALSE)-VLOOKUP($A210,EnrollData2324,'2324 Jun 24 Enroll'!J$1,FALSE)='District Calculations'!$B$16+'District Calculations'!$B$25-'District Calculations'!$B$17,VLOOKUP($A210,EnrollData2324,'2324 Jun 24 Enroll'!I$1,FALSE)+VLOOKUP($A210,EnrollData2324,'2324 Jun 24 Enroll'!M$1,FALSE)-VLOOKUP($A210,EnrollData2324,'2324 Jun 24 Enroll'!J$1,FALSE),'District Calculations'!$B$16+'District Calculations'!$B$25-'District Calculations'!$B$17)*Apport_218A2324,3)</f>
        <v>19.917999999999999</v>
      </c>
      <c r="Z210">
        <f>ROUND(SUM(T210:Y210)/IF(VLOOKUP($A210,EnrollData2324,'2324 Jun 24 Enroll'!M$1,FALSE)+VLOOKUP($A210,EnrollData2324,'2324 Jun 24 Enroll'!D$1,FALSE)='District Calculations'!$B$25+'District Calculations'!$B$11,VLOOKUP($A210,EnrollData2324,'2324 Jun 24 Enroll'!M$1,FALSE)+VLOOKUP($A210,EnrollData2324,'2324 Jun 24 Enroll'!D$1,FALSE),'District Calculations'!$B$25+'District Calculations'!$B$11),5)</f>
        <v>1.7399999999999999E-2</v>
      </c>
      <c r="AA210" s="6">
        <f>ROUND($J210*CIS_Base_Salary2324*VLOOKUP($A210,EnrollData2324,'2324 Jun 24 Enroll'!S$1,FALSE),2)</f>
        <v>4523.22</v>
      </c>
      <c r="AB210" s="6">
        <f>ROUND($J210*CIS_Inc_Salary2324*(VLOOKUP($A210,EnrollData2324,'2324 Jun 24 Enroll'!T$1,FALSE)+VLOOKUP($A210,EnrollData2324,'2324 Jun 24 Enroll'!U$1,FALSE)),2)-AA210</f>
        <v>251.11999999999989</v>
      </c>
      <c r="AC210" s="6">
        <f>ROUND($R210*CAS_Base_Salary2324*VLOOKUP($A210,EnrollData2324,'2324 Jun 24 Enroll'!S$1,FALSE),2)</f>
        <v>495.73</v>
      </c>
      <c r="AD210" s="6">
        <f>ROUND($R210*CAS_Inc_Salary2324*VLOOKUP($A210,EnrollData2324,'2324 Jun 24 Enroll'!T$1,FALSE),2)-AC210</f>
        <v>18.340000000000032</v>
      </c>
      <c r="AE210" s="6">
        <f>ROUND($Z210*CLS_Base_Salary2324*VLOOKUP($A210,EnrollData2324,'2324 Jun 24 Enroll'!S$1,FALSE),2)</f>
        <v>1016.75</v>
      </c>
      <c r="AF210" s="6">
        <f>ROUND($Z210*CLS_Inc_Salary2324*VLOOKUP($A210,EnrollData2324,'2324 Jun 24 Enroll'!T$1,FALSE),2)-AE210</f>
        <v>37.6099999999999</v>
      </c>
      <c r="AG210">
        <f t="shared" si="63"/>
        <v>734.16</v>
      </c>
      <c r="AH210" s="69">
        <f t="shared" si="53"/>
        <v>68.700000000000045</v>
      </c>
      <c r="AI210">
        <f t="shared" si="64"/>
        <v>214.23</v>
      </c>
      <c r="AJ210">
        <f t="shared" si="54"/>
        <v>114.21000000000001</v>
      </c>
      <c r="AK210">
        <f t="shared" si="55"/>
        <v>901.91</v>
      </c>
      <c r="AL210">
        <f t="shared" si="56"/>
        <v>46.7</v>
      </c>
      <c r="AM210">
        <f t="shared" si="57"/>
        <v>224.3</v>
      </c>
      <c r="AN210">
        <f t="shared" si="58"/>
        <v>6.98</v>
      </c>
      <c r="AO210">
        <f>ROUND(($J210*CIS_Inc_Salary2324*(VLOOKUP($A210,EnrollData2324,'2324 Jun 24 Enroll'!T$1,FALSE)+VLOOKUP($A210,EnrollData2324,'2324 Jun 24 Enroll'!U$1,FALSE))/Apport_613Xpd)*Apport_614Xpd,2)</f>
        <v>79.569999999999993</v>
      </c>
      <c r="AP210">
        <f t="shared" si="59"/>
        <v>13.79</v>
      </c>
      <c r="AQ210">
        <f t="shared" si="60"/>
        <v>30.93</v>
      </c>
      <c r="AR210" s="6">
        <f>ROUND((VLOOKUP($A210,EnrollData2324,'2324 Jun 24 Enroll'!D$1,FALSE)*Apport_M802324+VLOOKUP($A210,EnrollData2324,'2324 Jun 24 Enroll'!M$1,FALSE)*Apport_M802324+(VLOOKUP($A210,EnrollData2324,'2324 Jun 24 Enroll'!P$1,FALSE)+VLOOKUP($A210,EnrollData2324,'2324 Jun 24 Enroll'!Q$1,FALSE)+VLOOKUP($A210,EnrollData2324,'2324 Jun 24 Enroll'!R$1,FALSE)+VLOOKUP($A210,EnrollData2324,'2324 Jun 24 Enroll'!I$1,FALSE)+VLOOKUP($A210,EnrollData2324,'2324 Jun 24 Enroll'!N$1,FALSE)+VLOOKUP($A210,EnrollData2324,'2324 Jun 24 Enroll'!O$1,FALSE)+VLOOKUP($A210,EnrollData2324,'2324 Jun 24 Enroll'!K$1,FALSE)+VLOOKUP($A210,EnrollData2324,'2324 Jun 24 Enroll'!L$1,FALSE))*Apport_M812324)/(VLOOKUP($A210,EnrollData2324,'2324 Jun 24 Enroll'!M$1,FALSE)+VLOOKUP($A210,EnrollData2324,'2324 Jun 24 Enroll'!D$1,FALSE)),2)</f>
        <v>1548.2</v>
      </c>
      <c r="AS210" s="7">
        <f t="shared" si="61"/>
        <v>10326.450000000001</v>
      </c>
    </row>
    <row r="211" spans="1:45">
      <c r="A211" s="40" t="s">
        <v>472</v>
      </c>
      <c r="B211" s="40" t="s">
        <v>473</v>
      </c>
      <c r="C211" s="11">
        <f>ROUND((IFERROR((1/IF(VLOOKUP($A211,EnrollData2324,28,FALSE)='District Calculations'!$B$10,VLOOKUP($A211,EnrollData2324,28,FALSE),'District Calculations'!$B$10))*(1+Apport_Z315),0))+Apport_201A2324,6)</f>
        <v>7.3449E-2</v>
      </c>
      <c r="D211">
        <f>ROUND(IF(VLOOKUP($A211,EnrollData2324,'2324 Jun 24 Enroll'!D$1,FALSE)='District Calculations'!$B$11,VLOOKUP($A211,EnrollData2324,'2324 Jun 24 Enroll'!D$1,FALSE),'District Calculations'!$B$11)*C211,3)</f>
        <v>0</v>
      </c>
      <c r="E211">
        <f>ROUND(IF(VLOOKUP($A211,EnrollData2324,'2324 Jun 24 Enroll'!E$1,FALSE)='District Calculations'!$B$12,VLOOKUP($A211,EnrollData2324,'2324 Jun 24 Enroll'!E$1,FALSE),'District Calculations'!$B$12)*C211,3)</f>
        <v>59.53</v>
      </c>
      <c r="F211">
        <f>ROUND(IF(VLOOKUP($A211,EnrollData2324,'2324 Jun 24 Enroll'!F$1,FALSE)='District Calculations'!$B$13,VLOOKUP($A211,EnrollData2324,'2324 Jun 24 Enroll'!F$1,FALSE),'District Calculations'!$B$13)*Apport_222A2324,3)</f>
        <v>10.101000000000001</v>
      </c>
      <c r="G211">
        <f>ROUND(IF(VLOOKUP($A211,EnrollData2324,'2324 Jun 24 Enroll'!G$1,FALSE)='District Calculations'!$B$14,VLOOKUP($A211,EnrollData2324,'2324 Jun 24 Enroll'!G$1,FALSE),'District Calculations'!$B$14)*Apport_210A2324,3)</f>
        <v>22.395</v>
      </c>
      <c r="H211">
        <f>ROUND(IF(VLOOKUP($A211,EnrollData2324,'2324 Jun 24 Enroll'!H$1,FALSE)='District Calculations'!$B$15,VLOOKUP($A211,EnrollData2324,'2324 Jun 24 Enroll'!H$1,FALSE),'District Calculations'!$B$15)*Apport_213A2324,3)</f>
        <v>23.091999999999999</v>
      </c>
      <c r="I211">
        <f>ROUND(IF(VLOOKUP($A211,EnrollData2324,'2324 Jun 24 Enroll'!I$1,FALSE)+VLOOKUP($A211,EnrollData2324,'2324 Jun 24 Enroll'!M$1,FALSE)-VLOOKUP($A211,EnrollData2324,'2324 Jun 24 Enroll'!J$1,FALSE)='District Calculations'!$B$16+'District Calculations'!$B$25-'District Calculations'!$B$17,VLOOKUP($A211,EnrollData2324,'2324 Jun 24 Enroll'!I$1,FALSE)+VLOOKUP($A211,EnrollData2324,'2324 Jun 24 Enroll'!M$1,FALSE)-VLOOKUP($A211,EnrollData2324,'2324 Jun 24 Enroll'!J$1,FALSE),'District Calculations'!$B$16+'District Calculations'!$B$25-'District Calculations'!$B$17)*Apport_216A2324,3)</f>
        <v>58.183999999999997</v>
      </c>
      <c r="J211">
        <f>ROUND(SUM(D211:I211)/(IF(VLOOKUP($A211,EnrollData2324,'2324 Jun 24 Enroll'!M$1,FALSE)='District Calculations'!$B$25,VLOOKUP($A211,EnrollData2324,'2324 Jun 24 Enroll'!M$1,FALSE),'District Calculations'!$B$25)+IF(VLOOKUP($A211,EnrollData2324,'2324 Jun 24 Enroll'!D$1,FALSE)='District Calculations'!$B$11,VLOOKUP($A211,EnrollData2324,'2324 Jun 24 Enroll'!D$1,FALSE),'District Calculations'!$B$11)),5)</f>
        <v>5.5530000000000003E-2</v>
      </c>
      <c r="K211" s="11">
        <f t="shared" si="51"/>
        <v>4.365E-3</v>
      </c>
      <c r="L211">
        <f>ROUND(IF(VLOOKUP($A211,EnrollData2324,'2324 Jun 24 Enroll'!D$1,FALSE)='District Calculations'!$B$11,VLOOKUP($A211,EnrollData2324,'2324 Jun 24 Enroll'!D$1,FALSE),'District Calculations'!$B$11)*K211,3)</f>
        <v>0</v>
      </c>
      <c r="M211">
        <f>ROUND(IF(VLOOKUP($A211,EnrollData2324,'2324 Jun 24 Enroll'!E$1,FALSE)='District Calculations'!$B$12,VLOOKUP($A211,EnrollData2324,'2324 Jun 24 Enroll'!E$1,FALSE),'District Calculations'!$B$12)*K211,3)</f>
        <v>3.5379999999999998</v>
      </c>
      <c r="N211">
        <f>ROUND(IF(VLOOKUP($A211,EnrollData2324,'2324 Jun 24 Enroll'!F$1,FALSE)='District Calculations'!$B$13,VLOOKUP($A211,EnrollData2324,'2324 Jun 24 Enroll'!F$1,FALSE),'District Calculations'!$B$13)*Apport_223A2324,3)</f>
        <v>0.84199999999999997</v>
      </c>
      <c r="O211">
        <f>ROUND(IF(VLOOKUP($A211,EnrollData2324,'2324 Jun 24 Enroll'!G$1,FALSE)='District Calculations'!$B$14,VLOOKUP($A211,EnrollData2324,'2324 Jun 24 Enroll'!G$1,FALSE),'District Calculations'!$B$14)*Apport_211A2324,3)</f>
        <v>1.867</v>
      </c>
      <c r="P211">
        <f>ROUND(IF(VLOOKUP($A211,EnrollData2324,'2324 Jun 24 Enroll'!H$1,FALSE)='District Calculations'!$B$14,VLOOKUP($A211,EnrollData2324,'2324 Jun 24 Enroll'!H$1,FALSE),'District Calculations'!$B$14)*Apport_214A2324,3)</f>
        <v>1.8660000000000001</v>
      </c>
      <c r="Q211">
        <f>ROUND(IF(VLOOKUP($A211,EnrollData2324,'2324 Jun 24 Enroll'!I$1,FALSE)+VLOOKUP($A211,EnrollData2324,'2324 Jun 24 Enroll'!M$1,FALSE)-VLOOKUP($A211,EnrollData2324,'2324 Jun 24 Enroll'!J$1,FALSE)='District Calculations'!$B$16+'District Calculations'!$B$25-'District Calculations'!$B$17,VLOOKUP($A211,EnrollData2324,'2324 Jun 24 Enroll'!I$1,FALSE)+VLOOKUP($A211,EnrollData2324,'2324 Jun 24 Enroll'!M$1,FALSE)-VLOOKUP($A211,EnrollData2324,'2324 Jun 24 Enroll'!J$1,FALSE),'District Calculations'!$B$16+'District Calculations'!$B$25-'District Calculations'!$B$17)*Apport_217A2324,3)</f>
        <v>4.6980000000000004</v>
      </c>
      <c r="R211">
        <f>ROUND(SUM(L211:Q211)/IF(VLOOKUP($A211,EnrollData2324,'2324 Jun 24 Enroll'!M$1,FALSE)+VLOOKUP($A211,EnrollData2324,'2324 Jun 24 Enroll'!D$1,FALSE)='District Calculations'!$B$25+'District Calculations'!$B$11,VLOOKUP($A211,EnrollData2324,'2324 Jun 24 Enroll'!M$1,FALSE)+VLOOKUP($A211,EnrollData2324,'2324 Jun 24 Enroll'!D$1,FALSE),'District Calculations'!$B$25+'District Calculations'!$B$11),5)</f>
        <v>4.1000000000000003E-3</v>
      </c>
      <c r="S211" s="11">
        <f t="shared" si="52"/>
        <v>1.8294500000000002E-2</v>
      </c>
      <c r="T211">
        <f>ROUND(IF(VLOOKUP($A211,EnrollData2324,'2324 Jun 24 Enroll'!D$1,FALSE)='District Calculations'!$B$11,VLOOKUP($A211,EnrollData2324,'2324 Jun 24 Enroll'!D$1,FALSE),'District Calculations'!$B$11)*S211,3)</f>
        <v>0</v>
      </c>
      <c r="U211">
        <f>ROUND(IF(VLOOKUP($A211,EnrollData2324,'2324 Jun 24 Enroll'!E$1,FALSE)='District Calculations'!$B$12,VLOOKUP($A211,EnrollData2324,'2324 Jun 24 Enroll'!E$1,FALSE),'District Calculations'!$B$12)*S211,3)</f>
        <v>14.827999999999999</v>
      </c>
      <c r="V211">
        <f>ROUND(IF(VLOOKUP($A211,EnrollData2324,'2324 Jun 24 Enroll'!F$1,FALSE)='District Calculations'!$B$13,VLOOKUP($A211,EnrollData2324,'2324 Jun 24 Enroll'!F$1,FALSE),'District Calculations'!$B$13)*Apport_224A2324,3)</f>
        <v>3.6190000000000002</v>
      </c>
      <c r="W211">
        <f>ROUND(IF(VLOOKUP($A211,EnrollData2324,'2324 Jun 24 Enroll'!G$1,FALSE)='District Calculations'!$B$14,VLOOKUP($A211,EnrollData2324,'2324 Jun 24 Enroll'!G$1,FALSE),'District Calculations'!$B$14)*Apport_212A2324,3)</f>
        <v>8.0239999999999991</v>
      </c>
      <c r="X211">
        <f>ROUND(IF(VLOOKUP($A211,EnrollData2324,'2324 Jun 24 Enroll'!H$1,FALSE)='District Calculations'!$B$14,VLOOKUP($A211,EnrollData2324,'2324 Jun 24 Enroll'!H$1,FALSE),'District Calculations'!$B$14)*Apport_215A2324,3)</f>
        <v>7.9279999999999999</v>
      </c>
      <c r="Y211">
        <f>ROUND(IF(VLOOKUP($A211,EnrollData2324,'2324 Jun 24 Enroll'!I$1,FALSE)+VLOOKUP($A211,EnrollData2324,'2324 Jun 24 Enroll'!M$1,FALSE)-VLOOKUP($A211,EnrollData2324,'2324 Jun 24 Enroll'!J$1,FALSE)='District Calculations'!$B$16+'District Calculations'!$B$25-'District Calculations'!$B$17,VLOOKUP($A211,EnrollData2324,'2324 Jun 24 Enroll'!I$1,FALSE)+VLOOKUP($A211,EnrollData2324,'2324 Jun 24 Enroll'!M$1,FALSE)-VLOOKUP($A211,EnrollData2324,'2324 Jun 24 Enroll'!J$1,FALSE),'District Calculations'!$B$16+'District Calculations'!$B$25-'District Calculations'!$B$17)*Apport_218A2324,3)</f>
        <v>19.917999999999999</v>
      </c>
      <c r="Z211">
        <f>ROUND(SUM(T211:Y211)/IF(VLOOKUP($A211,EnrollData2324,'2324 Jun 24 Enroll'!M$1,FALSE)+VLOOKUP($A211,EnrollData2324,'2324 Jun 24 Enroll'!D$1,FALSE)='District Calculations'!$B$25+'District Calculations'!$B$11,VLOOKUP($A211,EnrollData2324,'2324 Jun 24 Enroll'!M$1,FALSE)+VLOOKUP($A211,EnrollData2324,'2324 Jun 24 Enroll'!D$1,FALSE),'District Calculations'!$B$25+'District Calculations'!$B$11),5)</f>
        <v>1.7399999999999999E-2</v>
      </c>
      <c r="AA211" s="6">
        <f>ROUND($J211*CIS_Base_Salary2324*VLOOKUP($A211,EnrollData2324,'2324 Jun 24 Enroll'!S$1,FALSE),2)</f>
        <v>4280.8999999999996</v>
      </c>
      <c r="AB211" s="6">
        <f>ROUND($J211*CIS_Inc_Salary2324*(VLOOKUP($A211,EnrollData2324,'2324 Jun 24 Enroll'!T$1,FALSE)+VLOOKUP($A211,EnrollData2324,'2324 Jun 24 Enroll'!U$1,FALSE)),2)-AA211</f>
        <v>158.40000000000055</v>
      </c>
      <c r="AC211" s="6">
        <f>ROUND($R211*CAS_Base_Salary2324*VLOOKUP($A211,EnrollData2324,'2324 Jun 24 Enroll'!S$1,FALSE),2)</f>
        <v>469.17</v>
      </c>
      <c r="AD211" s="6">
        <f>ROUND($R211*CAS_Inc_Salary2324*VLOOKUP($A211,EnrollData2324,'2324 Jun 24 Enroll'!T$1,FALSE),2)-AC211</f>
        <v>17.359999999999957</v>
      </c>
      <c r="AE211" s="6">
        <f>ROUND($Z211*CLS_Base_Salary2324*VLOOKUP($A211,EnrollData2324,'2324 Jun 24 Enroll'!S$1,FALSE),2)</f>
        <v>962.28</v>
      </c>
      <c r="AF211" s="6">
        <f>ROUND($Z211*CLS_Inc_Salary2324*VLOOKUP($A211,EnrollData2324,'2324 Jun 24 Enroll'!T$1,FALSE),2)-AE211</f>
        <v>35.600000000000023</v>
      </c>
      <c r="AG211">
        <f t="shared" si="63"/>
        <v>734.16</v>
      </c>
      <c r="AH211" s="69">
        <f t="shared" si="53"/>
        <v>68.700000000000045</v>
      </c>
      <c r="AI211">
        <f t="shared" si="64"/>
        <v>214.23</v>
      </c>
      <c r="AJ211">
        <f t="shared" si="54"/>
        <v>114.21000000000001</v>
      </c>
      <c r="AK211">
        <f t="shared" si="55"/>
        <v>853.59</v>
      </c>
      <c r="AL211">
        <f t="shared" si="56"/>
        <v>30.46</v>
      </c>
      <c r="AM211">
        <f t="shared" si="57"/>
        <v>212.28</v>
      </c>
      <c r="AN211">
        <f t="shared" si="58"/>
        <v>6.61</v>
      </c>
      <c r="AO211">
        <f>ROUND(($J211*CIS_Inc_Salary2324*(VLOOKUP($A211,EnrollData2324,'2324 Jun 24 Enroll'!T$1,FALSE)+VLOOKUP($A211,EnrollData2324,'2324 Jun 24 Enroll'!U$1,FALSE))/Apport_613Xpd)*Apport_614Xpd,2)</f>
        <v>73.989999999999995</v>
      </c>
      <c r="AP211">
        <f t="shared" si="59"/>
        <v>12.82</v>
      </c>
      <c r="AQ211">
        <f t="shared" si="60"/>
        <v>30.93</v>
      </c>
      <c r="AR211" s="6">
        <f>ROUND((VLOOKUP($A211,EnrollData2324,'2324 Jun 24 Enroll'!D$1,FALSE)*Apport_M802324+VLOOKUP($A211,EnrollData2324,'2324 Jun 24 Enroll'!M$1,FALSE)*Apport_M802324+(VLOOKUP($A211,EnrollData2324,'2324 Jun 24 Enroll'!P$1,FALSE)+VLOOKUP($A211,EnrollData2324,'2324 Jun 24 Enroll'!Q$1,FALSE)+VLOOKUP($A211,EnrollData2324,'2324 Jun 24 Enroll'!R$1,FALSE)+VLOOKUP($A211,EnrollData2324,'2324 Jun 24 Enroll'!I$1,FALSE)+VLOOKUP($A211,EnrollData2324,'2324 Jun 24 Enroll'!N$1,FALSE)+VLOOKUP($A211,EnrollData2324,'2324 Jun 24 Enroll'!O$1,FALSE)+VLOOKUP($A211,EnrollData2324,'2324 Jun 24 Enroll'!K$1,FALSE)+VLOOKUP($A211,EnrollData2324,'2324 Jun 24 Enroll'!L$1,FALSE))*Apport_M812324)/(VLOOKUP($A211,EnrollData2324,'2324 Jun 24 Enroll'!M$1,FALSE)+VLOOKUP($A211,EnrollData2324,'2324 Jun 24 Enroll'!D$1,FALSE)),2)</f>
        <v>1545.64</v>
      </c>
      <c r="AS211" s="7">
        <f t="shared" si="61"/>
        <v>9821.3299999999981</v>
      </c>
    </row>
    <row r="212" spans="1:45">
      <c r="A212" s="40" t="s">
        <v>339</v>
      </c>
      <c r="B212" s="40" t="s">
        <v>340</v>
      </c>
      <c r="C212" s="11">
        <f>ROUND((IFERROR((1/IF(VLOOKUP($A212,EnrollData2324,28,FALSE)='District Calculations'!$B$10,VLOOKUP($A212,EnrollData2324,28,FALSE),'District Calculations'!$B$10))*(1+Apport_Z315),0))+Apport_201A2324,6)</f>
        <v>7.3449E-2</v>
      </c>
      <c r="D212">
        <f>ROUND(IF(VLOOKUP($A212,EnrollData2324,'2324 Jun 24 Enroll'!D$1,FALSE)='District Calculations'!$B$11,VLOOKUP($A212,EnrollData2324,'2324 Jun 24 Enroll'!D$1,FALSE),'District Calculations'!$B$11)*C212,3)</f>
        <v>0</v>
      </c>
      <c r="E212">
        <f>ROUND(IF(VLOOKUP($A212,EnrollData2324,'2324 Jun 24 Enroll'!E$1,FALSE)='District Calculations'!$B$12,VLOOKUP($A212,EnrollData2324,'2324 Jun 24 Enroll'!E$1,FALSE),'District Calculations'!$B$12)*C212,3)</f>
        <v>59.53</v>
      </c>
      <c r="F212">
        <f>ROUND(IF(VLOOKUP($A212,EnrollData2324,'2324 Jun 24 Enroll'!F$1,FALSE)='District Calculations'!$B$13,VLOOKUP($A212,EnrollData2324,'2324 Jun 24 Enroll'!F$1,FALSE),'District Calculations'!$B$13)*Apport_222A2324,3)</f>
        <v>10.101000000000001</v>
      </c>
      <c r="G212">
        <f>ROUND(IF(VLOOKUP($A212,EnrollData2324,'2324 Jun 24 Enroll'!G$1,FALSE)='District Calculations'!$B$14,VLOOKUP($A212,EnrollData2324,'2324 Jun 24 Enroll'!G$1,FALSE),'District Calculations'!$B$14)*Apport_210A2324,3)</f>
        <v>22.395</v>
      </c>
      <c r="H212">
        <f>ROUND(IF(VLOOKUP($A212,EnrollData2324,'2324 Jun 24 Enroll'!H$1,FALSE)='District Calculations'!$B$15,VLOOKUP($A212,EnrollData2324,'2324 Jun 24 Enroll'!H$1,FALSE),'District Calculations'!$B$15)*Apport_213A2324,3)</f>
        <v>23.091999999999999</v>
      </c>
      <c r="I212">
        <f>ROUND(IF(VLOOKUP($A212,EnrollData2324,'2324 Jun 24 Enroll'!I$1,FALSE)+VLOOKUP($A212,EnrollData2324,'2324 Jun 24 Enroll'!M$1,FALSE)-VLOOKUP($A212,EnrollData2324,'2324 Jun 24 Enroll'!J$1,FALSE)='District Calculations'!$B$16+'District Calculations'!$B$25-'District Calculations'!$B$17,VLOOKUP($A212,EnrollData2324,'2324 Jun 24 Enroll'!I$1,FALSE)+VLOOKUP($A212,EnrollData2324,'2324 Jun 24 Enroll'!M$1,FALSE)-VLOOKUP($A212,EnrollData2324,'2324 Jun 24 Enroll'!J$1,FALSE),'District Calculations'!$B$16+'District Calculations'!$B$25-'District Calculations'!$B$17)*Apport_216A2324,3)</f>
        <v>58.183999999999997</v>
      </c>
      <c r="J212">
        <f>ROUND(SUM(D212:I212)/(IF(VLOOKUP($A212,EnrollData2324,'2324 Jun 24 Enroll'!M$1,FALSE)='District Calculations'!$B$25,VLOOKUP($A212,EnrollData2324,'2324 Jun 24 Enroll'!M$1,FALSE),'District Calculations'!$B$25)+IF(VLOOKUP($A212,EnrollData2324,'2324 Jun 24 Enroll'!D$1,FALSE)='District Calculations'!$B$11,VLOOKUP($A212,EnrollData2324,'2324 Jun 24 Enroll'!D$1,FALSE),'District Calculations'!$B$11)),5)</f>
        <v>5.5530000000000003E-2</v>
      </c>
      <c r="K212" s="11">
        <f t="shared" si="51"/>
        <v>4.365E-3</v>
      </c>
      <c r="L212">
        <f>ROUND(IF(VLOOKUP($A212,EnrollData2324,'2324 Jun 24 Enroll'!D$1,FALSE)='District Calculations'!$B$11,VLOOKUP($A212,EnrollData2324,'2324 Jun 24 Enroll'!D$1,FALSE),'District Calculations'!$B$11)*K212,3)</f>
        <v>0</v>
      </c>
      <c r="M212">
        <f>ROUND(IF(VLOOKUP($A212,EnrollData2324,'2324 Jun 24 Enroll'!E$1,FALSE)='District Calculations'!$B$12,VLOOKUP($A212,EnrollData2324,'2324 Jun 24 Enroll'!E$1,FALSE),'District Calculations'!$B$12)*K212,3)</f>
        <v>3.5379999999999998</v>
      </c>
      <c r="N212">
        <f>ROUND(IF(VLOOKUP($A212,EnrollData2324,'2324 Jun 24 Enroll'!F$1,FALSE)='District Calculations'!$B$13,VLOOKUP($A212,EnrollData2324,'2324 Jun 24 Enroll'!F$1,FALSE),'District Calculations'!$B$13)*Apport_223A2324,3)</f>
        <v>0.84199999999999997</v>
      </c>
      <c r="O212">
        <f>ROUND(IF(VLOOKUP($A212,EnrollData2324,'2324 Jun 24 Enroll'!G$1,FALSE)='District Calculations'!$B$14,VLOOKUP($A212,EnrollData2324,'2324 Jun 24 Enroll'!G$1,FALSE),'District Calculations'!$B$14)*Apport_211A2324,3)</f>
        <v>1.867</v>
      </c>
      <c r="P212">
        <f>ROUND(IF(VLOOKUP($A212,EnrollData2324,'2324 Jun 24 Enroll'!H$1,FALSE)='District Calculations'!$B$14,VLOOKUP($A212,EnrollData2324,'2324 Jun 24 Enroll'!H$1,FALSE),'District Calculations'!$B$14)*Apport_214A2324,3)</f>
        <v>1.8660000000000001</v>
      </c>
      <c r="Q212">
        <f>ROUND(IF(VLOOKUP($A212,EnrollData2324,'2324 Jun 24 Enroll'!I$1,FALSE)+VLOOKUP($A212,EnrollData2324,'2324 Jun 24 Enroll'!M$1,FALSE)-VLOOKUP($A212,EnrollData2324,'2324 Jun 24 Enroll'!J$1,FALSE)='District Calculations'!$B$16+'District Calculations'!$B$25-'District Calculations'!$B$17,VLOOKUP($A212,EnrollData2324,'2324 Jun 24 Enroll'!I$1,FALSE)+VLOOKUP($A212,EnrollData2324,'2324 Jun 24 Enroll'!M$1,FALSE)-VLOOKUP($A212,EnrollData2324,'2324 Jun 24 Enroll'!J$1,FALSE),'District Calculations'!$B$16+'District Calculations'!$B$25-'District Calculations'!$B$17)*Apport_217A2324,3)</f>
        <v>4.6980000000000004</v>
      </c>
      <c r="R212">
        <f>ROUND(SUM(L212:Q212)/IF(VLOOKUP($A212,EnrollData2324,'2324 Jun 24 Enroll'!M$1,FALSE)+VLOOKUP($A212,EnrollData2324,'2324 Jun 24 Enroll'!D$1,FALSE)='District Calculations'!$B$25+'District Calculations'!$B$11,VLOOKUP($A212,EnrollData2324,'2324 Jun 24 Enroll'!M$1,FALSE)+VLOOKUP($A212,EnrollData2324,'2324 Jun 24 Enroll'!D$1,FALSE),'District Calculations'!$B$25+'District Calculations'!$B$11),5)</f>
        <v>4.1000000000000003E-3</v>
      </c>
      <c r="S212" s="11">
        <f t="shared" si="52"/>
        <v>1.8294500000000002E-2</v>
      </c>
      <c r="T212">
        <f>ROUND(IF(VLOOKUP($A212,EnrollData2324,'2324 Jun 24 Enroll'!D$1,FALSE)='District Calculations'!$B$11,VLOOKUP($A212,EnrollData2324,'2324 Jun 24 Enroll'!D$1,FALSE),'District Calculations'!$B$11)*S212,3)</f>
        <v>0</v>
      </c>
      <c r="U212">
        <f>ROUND(IF(VLOOKUP($A212,EnrollData2324,'2324 Jun 24 Enroll'!E$1,FALSE)='District Calculations'!$B$12,VLOOKUP($A212,EnrollData2324,'2324 Jun 24 Enroll'!E$1,FALSE),'District Calculations'!$B$12)*S212,3)</f>
        <v>14.827999999999999</v>
      </c>
      <c r="V212">
        <f>ROUND(IF(VLOOKUP($A212,EnrollData2324,'2324 Jun 24 Enroll'!F$1,FALSE)='District Calculations'!$B$13,VLOOKUP($A212,EnrollData2324,'2324 Jun 24 Enroll'!F$1,FALSE),'District Calculations'!$B$13)*Apport_224A2324,3)</f>
        <v>3.6190000000000002</v>
      </c>
      <c r="W212">
        <f>ROUND(IF(VLOOKUP($A212,EnrollData2324,'2324 Jun 24 Enroll'!G$1,FALSE)='District Calculations'!$B$14,VLOOKUP($A212,EnrollData2324,'2324 Jun 24 Enroll'!G$1,FALSE),'District Calculations'!$B$14)*Apport_212A2324,3)</f>
        <v>8.0239999999999991</v>
      </c>
      <c r="X212">
        <f>ROUND(IF(VLOOKUP($A212,EnrollData2324,'2324 Jun 24 Enroll'!H$1,FALSE)='District Calculations'!$B$14,VLOOKUP($A212,EnrollData2324,'2324 Jun 24 Enroll'!H$1,FALSE),'District Calculations'!$B$14)*Apport_215A2324,3)</f>
        <v>7.9279999999999999</v>
      </c>
      <c r="Y212">
        <f>ROUND(IF(VLOOKUP($A212,EnrollData2324,'2324 Jun 24 Enroll'!I$1,FALSE)+VLOOKUP($A212,EnrollData2324,'2324 Jun 24 Enroll'!M$1,FALSE)-VLOOKUP($A212,EnrollData2324,'2324 Jun 24 Enroll'!J$1,FALSE)='District Calculations'!$B$16+'District Calculations'!$B$25-'District Calculations'!$B$17,VLOOKUP($A212,EnrollData2324,'2324 Jun 24 Enroll'!I$1,FALSE)+VLOOKUP($A212,EnrollData2324,'2324 Jun 24 Enroll'!M$1,FALSE)-VLOOKUP($A212,EnrollData2324,'2324 Jun 24 Enroll'!J$1,FALSE),'District Calculations'!$B$16+'District Calculations'!$B$25-'District Calculations'!$B$17)*Apport_218A2324,3)</f>
        <v>19.917999999999999</v>
      </c>
      <c r="Z212">
        <f>ROUND(SUM(T212:Y212)/IF(VLOOKUP($A212,EnrollData2324,'2324 Jun 24 Enroll'!M$1,FALSE)+VLOOKUP($A212,EnrollData2324,'2324 Jun 24 Enroll'!D$1,FALSE)='District Calculations'!$B$25+'District Calculations'!$B$11,VLOOKUP($A212,EnrollData2324,'2324 Jun 24 Enroll'!M$1,FALSE)+VLOOKUP($A212,EnrollData2324,'2324 Jun 24 Enroll'!D$1,FALSE),'District Calculations'!$B$25+'District Calculations'!$B$11),5)</f>
        <v>1.7399999999999999E-2</v>
      </c>
      <c r="AA212" s="6">
        <f>ROUND($J212*CIS_Base_Salary2324*VLOOKUP($A212,EnrollData2324,'2324 Jun 24 Enroll'!S$1,FALSE),2)</f>
        <v>4280.8999999999996</v>
      </c>
      <c r="AB212" s="6">
        <f>ROUND($J212*CIS_Inc_Salary2324*(VLOOKUP($A212,EnrollData2324,'2324 Jun 24 Enroll'!T$1,FALSE)+VLOOKUP($A212,EnrollData2324,'2324 Jun 24 Enroll'!U$1,FALSE)),2)-AA212</f>
        <v>158.40000000000055</v>
      </c>
      <c r="AC212" s="6">
        <f>ROUND($R212*CAS_Base_Salary2324*VLOOKUP($A212,EnrollData2324,'2324 Jun 24 Enroll'!S$1,FALSE),2)</f>
        <v>469.17</v>
      </c>
      <c r="AD212" s="6">
        <f>ROUND($R212*CAS_Inc_Salary2324*VLOOKUP($A212,EnrollData2324,'2324 Jun 24 Enroll'!T$1,FALSE),2)-AC212</f>
        <v>17.359999999999957</v>
      </c>
      <c r="AE212" s="6">
        <f>ROUND($Z212*CLS_Base_Salary2324*VLOOKUP($A212,EnrollData2324,'2324 Jun 24 Enroll'!S$1,FALSE),2)</f>
        <v>962.28</v>
      </c>
      <c r="AF212" s="6">
        <f>ROUND($Z212*CLS_Inc_Salary2324*VLOOKUP($A212,EnrollData2324,'2324 Jun 24 Enroll'!T$1,FALSE),2)-AE212</f>
        <v>35.600000000000023</v>
      </c>
      <c r="AG212">
        <f t="shared" si="63"/>
        <v>734.16</v>
      </c>
      <c r="AH212" s="69">
        <f t="shared" si="53"/>
        <v>68.700000000000045</v>
      </c>
      <c r="AI212">
        <f t="shared" si="64"/>
        <v>214.23</v>
      </c>
      <c r="AJ212">
        <f t="shared" si="54"/>
        <v>114.21000000000001</v>
      </c>
      <c r="AK212">
        <f t="shared" si="55"/>
        <v>853.59</v>
      </c>
      <c r="AL212">
        <f t="shared" si="56"/>
        <v>30.46</v>
      </c>
      <c r="AM212">
        <f t="shared" si="57"/>
        <v>212.28</v>
      </c>
      <c r="AN212">
        <f t="shared" si="58"/>
        <v>6.61</v>
      </c>
      <c r="AO212">
        <f>ROUND(($J212*CIS_Inc_Salary2324*(VLOOKUP($A212,EnrollData2324,'2324 Jun 24 Enroll'!T$1,FALSE)+VLOOKUP($A212,EnrollData2324,'2324 Jun 24 Enroll'!U$1,FALSE))/Apport_613Xpd)*Apport_614Xpd,2)</f>
        <v>73.989999999999995</v>
      </c>
      <c r="AP212">
        <f t="shared" si="59"/>
        <v>12.82</v>
      </c>
      <c r="AQ212">
        <f t="shared" si="60"/>
        <v>30.93</v>
      </c>
      <c r="AR212" s="6">
        <f>ROUND((VLOOKUP($A212,EnrollData2324,'2324 Jun 24 Enroll'!D$1,FALSE)*Apport_M802324+VLOOKUP($A212,EnrollData2324,'2324 Jun 24 Enroll'!M$1,FALSE)*Apport_M802324+(VLOOKUP($A212,EnrollData2324,'2324 Jun 24 Enroll'!P$1,FALSE)+VLOOKUP($A212,EnrollData2324,'2324 Jun 24 Enroll'!Q$1,FALSE)+VLOOKUP($A212,EnrollData2324,'2324 Jun 24 Enroll'!R$1,FALSE)+VLOOKUP($A212,EnrollData2324,'2324 Jun 24 Enroll'!I$1,FALSE)+VLOOKUP($A212,EnrollData2324,'2324 Jun 24 Enroll'!N$1,FALSE)+VLOOKUP($A212,EnrollData2324,'2324 Jun 24 Enroll'!O$1,FALSE)+VLOOKUP($A212,EnrollData2324,'2324 Jun 24 Enroll'!K$1,FALSE)+VLOOKUP($A212,EnrollData2324,'2324 Jun 24 Enroll'!L$1,FALSE))*Apport_M812324)/(VLOOKUP($A212,EnrollData2324,'2324 Jun 24 Enroll'!M$1,FALSE)+VLOOKUP($A212,EnrollData2324,'2324 Jun 24 Enroll'!D$1,FALSE)),2)</f>
        <v>1550.86</v>
      </c>
      <c r="AS212" s="7">
        <f t="shared" si="61"/>
        <v>9826.5499999999993</v>
      </c>
    </row>
    <row r="213" spans="1:45">
      <c r="A213" s="40" t="s">
        <v>442</v>
      </c>
      <c r="B213" s="40" t="s">
        <v>443</v>
      </c>
      <c r="C213" s="11">
        <f>ROUND((IFERROR((1/IF(VLOOKUP($A213,EnrollData2324,28,FALSE)='District Calculations'!$B$10,VLOOKUP($A213,EnrollData2324,28,FALSE),'District Calculations'!$B$10))*(1+Apport_Z315),0))+Apport_201A2324,6)</f>
        <v>7.3449E-2</v>
      </c>
      <c r="D213">
        <f>ROUND(IF(VLOOKUP($A213,EnrollData2324,'2324 Jun 24 Enroll'!D$1,FALSE)='District Calculations'!$B$11,VLOOKUP($A213,EnrollData2324,'2324 Jun 24 Enroll'!D$1,FALSE),'District Calculations'!$B$11)*C213,3)</f>
        <v>0</v>
      </c>
      <c r="E213">
        <f>ROUND(IF(VLOOKUP($A213,EnrollData2324,'2324 Jun 24 Enroll'!E$1,FALSE)='District Calculations'!$B$12,VLOOKUP($A213,EnrollData2324,'2324 Jun 24 Enroll'!E$1,FALSE),'District Calculations'!$B$12)*C213,3)</f>
        <v>59.53</v>
      </c>
      <c r="F213">
        <f>ROUND(IF(VLOOKUP($A213,EnrollData2324,'2324 Jun 24 Enroll'!F$1,FALSE)='District Calculations'!$B$13,VLOOKUP($A213,EnrollData2324,'2324 Jun 24 Enroll'!F$1,FALSE),'District Calculations'!$B$13)*Apport_222A2324,3)</f>
        <v>10.101000000000001</v>
      </c>
      <c r="G213">
        <f>ROUND(IF(VLOOKUP($A213,EnrollData2324,'2324 Jun 24 Enroll'!G$1,FALSE)='District Calculations'!$B$14,VLOOKUP($A213,EnrollData2324,'2324 Jun 24 Enroll'!G$1,FALSE),'District Calculations'!$B$14)*Apport_210A2324,3)</f>
        <v>22.395</v>
      </c>
      <c r="H213">
        <f>ROUND(IF(VLOOKUP($A213,EnrollData2324,'2324 Jun 24 Enroll'!H$1,FALSE)='District Calculations'!$B$15,VLOOKUP($A213,EnrollData2324,'2324 Jun 24 Enroll'!H$1,FALSE),'District Calculations'!$B$15)*Apport_213A2324,3)</f>
        <v>23.091999999999999</v>
      </c>
      <c r="I213">
        <f>ROUND(IF(VLOOKUP($A213,EnrollData2324,'2324 Jun 24 Enroll'!I$1,FALSE)+VLOOKUP($A213,EnrollData2324,'2324 Jun 24 Enroll'!M$1,FALSE)-VLOOKUP($A213,EnrollData2324,'2324 Jun 24 Enroll'!J$1,FALSE)='District Calculations'!$B$16+'District Calculations'!$B$25-'District Calculations'!$B$17,VLOOKUP($A213,EnrollData2324,'2324 Jun 24 Enroll'!I$1,FALSE)+VLOOKUP($A213,EnrollData2324,'2324 Jun 24 Enroll'!M$1,FALSE)-VLOOKUP($A213,EnrollData2324,'2324 Jun 24 Enroll'!J$1,FALSE),'District Calculations'!$B$16+'District Calculations'!$B$25-'District Calculations'!$B$17)*Apport_216A2324,3)</f>
        <v>58.183999999999997</v>
      </c>
      <c r="J213">
        <f>ROUND(SUM(D213:I213)/(IF(VLOOKUP($A213,EnrollData2324,'2324 Jun 24 Enroll'!M$1,FALSE)='District Calculations'!$B$25,VLOOKUP($A213,EnrollData2324,'2324 Jun 24 Enroll'!M$1,FALSE),'District Calculations'!$B$25)+IF(VLOOKUP($A213,EnrollData2324,'2324 Jun 24 Enroll'!D$1,FALSE)='District Calculations'!$B$11,VLOOKUP($A213,EnrollData2324,'2324 Jun 24 Enroll'!D$1,FALSE),'District Calculations'!$B$11)),5)</f>
        <v>5.5530000000000003E-2</v>
      </c>
      <c r="K213" s="11">
        <f t="shared" si="51"/>
        <v>4.365E-3</v>
      </c>
      <c r="L213">
        <f>ROUND(IF(VLOOKUP($A213,EnrollData2324,'2324 Jun 24 Enroll'!D$1,FALSE)='District Calculations'!$B$11,VLOOKUP($A213,EnrollData2324,'2324 Jun 24 Enroll'!D$1,FALSE),'District Calculations'!$B$11)*K213,3)</f>
        <v>0</v>
      </c>
      <c r="M213">
        <f>ROUND(IF(VLOOKUP($A213,EnrollData2324,'2324 Jun 24 Enroll'!E$1,FALSE)='District Calculations'!$B$12,VLOOKUP($A213,EnrollData2324,'2324 Jun 24 Enroll'!E$1,FALSE),'District Calculations'!$B$12)*K213,3)</f>
        <v>3.5379999999999998</v>
      </c>
      <c r="N213">
        <f>ROUND(IF(VLOOKUP($A213,EnrollData2324,'2324 Jun 24 Enroll'!F$1,FALSE)='District Calculations'!$B$13,VLOOKUP($A213,EnrollData2324,'2324 Jun 24 Enroll'!F$1,FALSE),'District Calculations'!$B$13)*Apport_223A2324,3)</f>
        <v>0.84199999999999997</v>
      </c>
      <c r="O213">
        <f>ROUND(IF(VLOOKUP($A213,EnrollData2324,'2324 Jun 24 Enroll'!G$1,FALSE)='District Calculations'!$B$14,VLOOKUP($A213,EnrollData2324,'2324 Jun 24 Enroll'!G$1,FALSE),'District Calculations'!$B$14)*Apport_211A2324,3)</f>
        <v>1.867</v>
      </c>
      <c r="P213">
        <f>ROUND(IF(VLOOKUP($A213,EnrollData2324,'2324 Jun 24 Enroll'!H$1,FALSE)='District Calculations'!$B$14,VLOOKUP($A213,EnrollData2324,'2324 Jun 24 Enroll'!H$1,FALSE),'District Calculations'!$B$14)*Apport_214A2324,3)</f>
        <v>1.8660000000000001</v>
      </c>
      <c r="Q213">
        <f>ROUND(IF(VLOOKUP($A213,EnrollData2324,'2324 Jun 24 Enroll'!I$1,FALSE)+VLOOKUP($A213,EnrollData2324,'2324 Jun 24 Enroll'!M$1,FALSE)-VLOOKUP($A213,EnrollData2324,'2324 Jun 24 Enroll'!J$1,FALSE)='District Calculations'!$B$16+'District Calculations'!$B$25-'District Calculations'!$B$17,VLOOKUP($A213,EnrollData2324,'2324 Jun 24 Enroll'!I$1,FALSE)+VLOOKUP($A213,EnrollData2324,'2324 Jun 24 Enroll'!M$1,FALSE)-VLOOKUP($A213,EnrollData2324,'2324 Jun 24 Enroll'!J$1,FALSE),'District Calculations'!$B$16+'District Calculations'!$B$25-'District Calculations'!$B$17)*Apport_217A2324,3)</f>
        <v>4.6980000000000004</v>
      </c>
      <c r="R213">
        <f>ROUND(SUM(L213:Q213)/IF(VLOOKUP($A213,EnrollData2324,'2324 Jun 24 Enroll'!M$1,FALSE)+VLOOKUP($A213,EnrollData2324,'2324 Jun 24 Enroll'!D$1,FALSE)='District Calculations'!$B$25+'District Calculations'!$B$11,VLOOKUP($A213,EnrollData2324,'2324 Jun 24 Enroll'!M$1,FALSE)+VLOOKUP($A213,EnrollData2324,'2324 Jun 24 Enroll'!D$1,FALSE),'District Calculations'!$B$25+'District Calculations'!$B$11),5)</f>
        <v>4.1000000000000003E-3</v>
      </c>
      <c r="S213" s="11">
        <f t="shared" si="52"/>
        <v>1.8294500000000002E-2</v>
      </c>
      <c r="T213">
        <f>ROUND(IF(VLOOKUP($A213,EnrollData2324,'2324 Jun 24 Enroll'!D$1,FALSE)='District Calculations'!$B$11,VLOOKUP($A213,EnrollData2324,'2324 Jun 24 Enroll'!D$1,FALSE),'District Calculations'!$B$11)*S213,3)</f>
        <v>0</v>
      </c>
      <c r="U213">
        <f>ROUND(IF(VLOOKUP($A213,EnrollData2324,'2324 Jun 24 Enroll'!E$1,FALSE)='District Calculations'!$B$12,VLOOKUP($A213,EnrollData2324,'2324 Jun 24 Enroll'!E$1,FALSE),'District Calculations'!$B$12)*S213,3)</f>
        <v>14.827999999999999</v>
      </c>
      <c r="V213">
        <f>ROUND(IF(VLOOKUP($A213,EnrollData2324,'2324 Jun 24 Enroll'!F$1,FALSE)='District Calculations'!$B$13,VLOOKUP($A213,EnrollData2324,'2324 Jun 24 Enroll'!F$1,FALSE),'District Calculations'!$B$13)*Apport_224A2324,3)</f>
        <v>3.6190000000000002</v>
      </c>
      <c r="W213">
        <f>ROUND(IF(VLOOKUP($A213,EnrollData2324,'2324 Jun 24 Enroll'!G$1,FALSE)='District Calculations'!$B$14,VLOOKUP($A213,EnrollData2324,'2324 Jun 24 Enroll'!G$1,FALSE),'District Calculations'!$B$14)*Apport_212A2324,3)</f>
        <v>8.0239999999999991</v>
      </c>
      <c r="X213">
        <f>ROUND(IF(VLOOKUP($A213,EnrollData2324,'2324 Jun 24 Enroll'!H$1,FALSE)='District Calculations'!$B$14,VLOOKUP($A213,EnrollData2324,'2324 Jun 24 Enroll'!H$1,FALSE),'District Calculations'!$B$14)*Apport_215A2324,3)</f>
        <v>7.9279999999999999</v>
      </c>
      <c r="Y213">
        <f>ROUND(IF(VLOOKUP($A213,EnrollData2324,'2324 Jun 24 Enroll'!I$1,FALSE)+VLOOKUP($A213,EnrollData2324,'2324 Jun 24 Enroll'!M$1,FALSE)-VLOOKUP($A213,EnrollData2324,'2324 Jun 24 Enroll'!J$1,FALSE)='District Calculations'!$B$16+'District Calculations'!$B$25-'District Calculations'!$B$17,VLOOKUP($A213,EnrollData2324,'2324 Jun 24 Enroll'!I$1,FALSE)+VLOOKUP($A213,EnrollData2324,'2324 Jun 24 Enroll'!M$1,FALSE)-VLOOKUP($A213,EnrollData2324,'2324 Jun 24 Enroll'!J$1,FALSE),'District Calculations'!$B$16+'District Calculations'!$B$25-'District Calculations'!$B$17)*Apport_218A2324,3)</f>
        <v>19.917999999999999</v>
      </c>
      <c r="Z213">
        <f>ROUND(SUM(T213:Y213)/IF(VLOOKUP($A213,EnrollData2324,'2324 Jun 24 Enroll'!M$1,FALSE)+VLOOKUP($A213,EnrollData2324,'2324 Jun 24 Enroll'!D$1,FALSE)='District Calculations'!$B$25+'District Calculations'!$B$11,VLOOKUP($A213,EnrollData2324,'2324 Jun 24 Enroll'!M$1,FALSE)+VLOOKUP($A213,EnrollData2324,'2324 Jun 24 Enroll'!D$1,FALSE),'District Calculations'!$B$25+'District Calculations'!$B$11),5)</f>
        <v>1.7399999999999999E-2</v>
      </c>
      <c r="AA213" s="6">
        <f>ROUND($J213*CIS_Base_Salary2324*VLOOKUP($A213,EnrollData2324,'2324 Jun 24 Enroll'!S$1,FALSE),2)</f>
        <v>4038.59</v>
      </c>
      <c r="AB213" s="6">
        <f>ROUND($J213*CIS_Inc_Salary2324*(VLOOKUP($A213,EnrollData2324,'2324 Jun 24 Enroll'!T$1,FALSE)+VLOOKUP($A213,EnrollData2324,'2324 Jun 24 Enroll'!U$1,FALSE)),2)-AA213</f>
        <v>149.43000000000029</v>
      </c>
      <c r="AC213" s="6">
        <f>ROUND($R213*CAS_Base_Salary2324*VLOOKUP($A213,EnrollData2324,'2324 Jun 24 Enroll'!S$1,FALSE),2)</f>
        <v>442.62</v>
      </c>
      <c r="AD213" s="6">
        <f>ROUND($R213*CAS_Inc_Salary2324*VLOOKUP($A213,EnrollData2324,'2324 Jun 24 Enroll'!T$1,FALSE),2)-AC213</f>
        <v>16.379999999999995</v>
      </c>
      <c r="AE213" s="6">
        <f>ROUND($Z213*CLS_Base_Salary2324*VLOOKUP($A213,EnrollData2324,'2324 Jun 24 Enroll'!S$1,FALSE),2)</f>
        <v>907.81</v>
      </c>
      <c r="AF213" s="6">
        <f>ROUND($Z213*CLS_Inc_Salary2324*VLOOKUP($A213,EnrollData2324,'2324 Jun 24 Enroll'!T$1,FALSE),2)-AE213</f>
        <v>33.580000000000041</v>
      </c>
      <c r="AG213">
        <f t="shared" si="63"/>
        <v>734.16</v>
      </c>
      <c r="AH213" s="69">
        <f t="shared" si="53"/>
        <v>68.700000000000045</v>
      </c>
      <c r="AI213">
        <f t="shared" si="64"/>
        <v>214.23</v>
      </c>
      <c r="AJ213">
        <f t="shared" si="54"/>
        <v>114.21000000000001</v>
      </c>
      <c r="AK213">
        <f t="shared" si="55"/>
        <v>805.27</v>
      </c>
      <c r="AL213">
        <f t="shared" si="56"/>
        <v>28.73</v>
      </c>
      <c r="AM213">
        <f t="shared" si="57"/>
        <v>200.26</v>
      </c>
      <c r="AN213">
        <f t="shared" si="58"/>
        <v>6.23</v>
      </c>
      <c r="AO213">
        <f>ROUND(($J213*CIS_Inc_Salary2324*(VLOOKUP($A213,EnrollData2324,'2324 Jun 24 Enroll'!T$1,FALSE)+VLOOKUP($A213,EnrollData2324,'2324 Jun 24 Enroll'!U$1,FALSE))/Apport_613Xpd)*Apport_614Xpd,2)</f>
        <v>69.8</v>
      </c>
      <c r="AP213">
        <f t="shared" si="59"/>
        <v>12.1</v>
      </c>
      <c r="AQ213">
        <f t="shared" si="60"/>
        <v>30.93</v>
      </c>
      <c r="AR213" s="6">
        <f>ROUND((VLOOKUP($A213,EnrollData2324,'2324 Jun 24 Enroll'!D$1,FALSE)*Apport_M802324+VLOOKUP($A213,EnrollData2324,'2324 Jun 24 Enroll'!M$1,FALSE)*Apport_M802324+(VLOOKUP($A213,EnrollData2324,'2324 Jun 24 Enroll'!P$1,FALSE)+VLOOKUP($A213,EnrollData2324,'2324 Jun 24 Enroll'!Q$1,FALSE)+VLOOKUP($A213,EnrollData2324,'2324 Jun 24 Enroll'!R$1,FALSE)+VLOOKUP($A213,EnrollData2324,'2324 Jun 24 Enroll'!I$1,FALSE)+VLOOKUP($A213,EnrollData2324,'2324 Jun 24 Enroll'!N$1,FALSE)+VLOOKUP($A213,EnrollData2324,'2324 Jun 24 Enroll'!O$1,FALSE)+VLOOKUP($A213,EnrollData2324,'2324 Jun 24 Enroll'!K$1,FALSE)+VLOOKUP($A213,EnrollData2324,'2324 Jun 24 Enroll'!L$1,FALSE))*Apport_M812324)/(VLOOKUP($A213,EnrollData2324,'2324 Jun 24 Enroll'!M$1,FALSE)+VLOOKUP($A213,EnrollData2324,'2324 Jun 24 Enroll'!D$1,FALSE)),2)</f>
        <v>1548.01</v>
      </c>
      <c r="AS213" s="7">
        <f t="shared" si="61"/>
        <v>9421.0399999999991</v>
      </c>
    </row>
    <row r="214" spans="1:45">
      <c r="A214" s="40" t="s">
        <v>873</v>
      </c>
      <c r="B214" s="40" t="s">
        <v>874</v>
      </c>
      <c r="C214" s="11">
        <f>ROUND((IFERROR((1/IF(VLOOKUP($A214,EnrollData2324,28,FALSE)='District Calculations'!$B$10,VLOOKUP($A214,EnrollData2324,28,FALSE),'District Calculations'!$B$10))*(1+Apport_Z315),0))+Apport_201A2324,6)</f>
        <v>7.3449E-2</v>
      </c>
      <c r="D214">
        <f>ROUND(IF(VLOOKUP($A214,EnrollData2324,'2324 Jun 24 Enroll'!D$1,FALSE)='District Calculations'!$B$11,VLOOKUP($A214,EnrollData2324,'2324 Jun 24 Enroll'!D$1,FALSE),'District Calculations'!$B$11)*C214,3)</f>
        <v>0</v>
      </c>
      <c r="E214">
        <f>ROUND(IF(VLOOKUP($A214,EnrollData2324,'2324 Jun 24 Enroll'!E$1,FALSE)='District Calculations'!$B$12,VLOOKUP($A214,EnrollData2324,'2324 Jun 24 Enroll'!E$1,FALSE),'District Calculations'!$B$12)*C214,3)</f>
        <v>59.53</v>
      </c>
      <c r="F214">
        <f>ROUND(IF(VLOOKUP($A214,EnrollData2324,'2324 Jun 24 Enroll'!F$1,FALSE)='District Calculations'!$B$13,VLOOKUP($A214,EnrollData2324,'2324 Jun 24 Enroll'!F$1,FALSE),'District Calculations'!$B$13)*Apport_222A2324,3)</f>
        <v>10.101000000000001</v>
      </c>
      <c r="G214">
        <f>ROUND(IF(VLOOKUP($A214,EnrollData2324,'2324 Jun 24 Enroll'!G$1,FALSE)='District Calculations'!$B$14,VLOOKUP($A214,EnrollData2324,'2324 Jun 24 Enroll'!G$1,FALSE),'District Calculations'!$B$14)*Apport_210A2324,3)</f>
        <v>22.395</v>
      </c>
      <c r="H214">
        <f>ROUND(IF(VLOOKUP($A214,EnrollData2324,'2324 Jun 24 Enroll'!H$1,FALSE)='District Calculations'!$B$15,VLOOKUP($A214,EnrollData2324,'2324 Jun 24 Enroll'!H$1,FALSE),'District Calculations'!$B$15)*Apport_213A2324,3)</f>
        <v>23.091999999999999</v>
      </c>
      <c r="I214">
        <f>ROUND(IF(VLOOKUP($A214,EnrollData2324,'2324 Jun 24 Enroll'!I$1,FALSE)+VLOOKUP($A214,EnrollData2324,'2324 Jun 24 Enroll'!M$1,FALSE)-VLOOKUP($A214,EnrollData2324,'2324 Jun 24 Enroll'!J$1,FALSE)='District Calculations'!$B$16+'District Calculations'!$B$25-'District Calculations'!$B$17,VLOOKUP($A214,EnrollData2324,'2324 Jun 24 Enroll'!I$1,FALSE)+VLOOKUP($A214,EnrollData2324,'2324 Jun 24 Enroll'!M$1,FALSE)-VLOOKUP($A214,EnrollData2324,'2324 Jun 24 Enroll'!J$1,FALSE),'District Calculations'!$B$16+'District Calculations'!$B$25-'District Calculations'!$B$17)*Apport_216A2324,3)</f>
        <v>58.183999999999997</v>
      </c>
      <c r="J214">
        <f>ROUND(SUM(D214:I214)/(IF(VLOOKUP($A214,EnrollData2324,'2324 Jun 24 Enroll'!M$1,FALSE)='District Calculations'!$B$25,VLOOKUP($A214,EnrollData2324,'2324 Jun 24 Enroll'!M$1,FALSE),'District Calculations'!$B$25)+IF(VLOOKUP($A214,EnrollData2324,'2324 Jun 24 Enroll'!D$1,FALSE)='District Calculations'!$B$11,VLOOKUP($A214,EnrollData2324,'2324 Jun 24 Enroll'!D$1,FALSE),'District Calculations'!$B$11)),5)</f>
        <v>5.5530000000000003E-2</v>
      </c>
      <c r="K214" s="11">
        <f t="shared" si="51"/>
        <v>4.365E-3</v>
      </c>
      <c r="L214">
        <f>ROUND(IF(VLOOKUP($A214,EnrollData2324,'2324 Jun 24 Enroll'!D$1,FALSE)='District Calculations'!$B$11,VLOOKUP($A214,EnrollData2324,'2324 Jun 24 Enroll'!D$1,FALSE),'District Calculations'!$B$11)*K214,3)</f>
        <v>0</v>
      </c>
      <c r="M214">
        <f>ROUND(IF(VLOOKUP($A214,EnrollData2324,'2324 Jun 24 Enroll'!E$1,FALSE)='District Calculations'!$B$12,VLOOKUP($A214,EnrollData2324,'2324 Jun 24 Enroll'!E$1,FALSE),'District Calculations'!$B$12)*K214,3)</f>
        <v>3.5379999999999998</v>
      </c>
      <c r="N214">
        <f>ROUND(IF(VLOOKUP($A214,EnrollData2324,'2324 Jun 24 Enroll'!F$1,FALSE)='District Calculations'!$B$13,VLOOKUP($A214,EnrollData2324,'2324 Jun 24 Enroll'!F$1,FALSE),'District Calculations'!$B$13)*Apport_223A2324,3)</f>
        <v>0.84199999999999997</v>
      </c>
      <c r="O214">
        <f>ROUND(IF(VLOOKUP($A214,EnrollData2324,'2324 Jun 24 Enroll'!G$1,FALSE)='District Calculations'!$B$14,VLOOKUP($A214,EnrollData2324,'2324 Jun 24 Enroll'!G$1,FALSE),'District Calculations'!$B$14)*Apport_211A2324,3)</f>
        <v>1.867</v>
      </c>
      <c r="P214">
        <f>ROUND(IF(VLOOKUP($A214,EnrollData2324,'2324 Jun 24 Enroll'!H$1,FALSE)='District Calculations'!$B$14,VLOOKUP($A214,EnrollData2324,'2324 Jun 24 Enroll'!H$1,FALSE),'District Calculations'!$B$14)*Apport_214A2324,3)</f>
        <v>1.8660000000000001</v>
      </c>
      <c r="Q214">
        <f>ROUND(IF(VLOOKUP($A214,EnrollData2324,'2324 Jun 24 Enroll'!I$1,FALSE)+VLOOKUP($A214,EnrollData2324,'2324 Jun 24 Enroll'!M$1,FALSE)-VLOOKUP($A214,EnrollData2324,'2324 Jun 24 Enroll'!J$1,FALSE)='District Calculations'!$B$16+'District Calculations'!$B$25-'District Calculations'!$B$17,VLOOKUP($A214,EnrollData2324,'2324 Jun 24 Enroll'!I$1,FALSE)+VLOOKUP($A214,EnrollData2324,'2324 Jun 24 Enroll'!M$1,FALSE)-VLOOKUP($A214,EnrollData2324,'2324 Jun 24 Enroll'!J$1,FALSE),'District Calculations'!$B$16+'District Calculations'!$B$25-'District Calculations'!$B$17)*Apport_217A2324,3)</f>
        <v>4.6980000000000004</v>
      </c>
      <c r="R214">
        <f>ROUND(SUM(L214:Q214)/IF(VLOOKUP($A214,EnrollData2324,'2324 Jun 24 Enroll'!M$1,FALSE)+VLOOKUP($A214,EnrollData2324,'2324 Jun 24 Enroll'!D$1,FALSE)='District Calculations'!$B$25+'District Calculations'!$B$11,VLOOKUP($A214,EnrollData2324,'2324 Jun 24 Enroll'!M$1,FALSE)+VLOOKUP($A214,EnrollData2324,'2324 Jun 24 Enroll'!D$1,FALSE),'District Calculations'!$B$25+'District Calculations'!$B$11),5)</f>
        <v>4.1000000000000003E-3</v>
      </c>
      <c r="S214" s="11">
        <f t="shared" si="52"/>
        <v>1.8294500000000002E-2</v>
      </c>
      <c r="T214">
        <f>ROUND(IF(VLOOKUP($A214,EnrollData2324,'2324 Jun 24 Enroll'!D$1,FALSE)='District Calculations'!$B$11,VLOOKUP($A214,EnrollData2324,'2324 Jun 24 Enroll'!D$1,FALSE),'District Calculations'!$B$11)*S214,3)</f>
        <v>0</v>
      </c>
      <c r="U214">
        <f>ROUND(IF(VLOOKUP($A214,EnrollData2324,'2324 Jun 24 Enroll'!E$1,FALSE)='District Calculations'!$B$12,VLOOKUP($A214,EnrollData2324,'2324 Jun 24 Enroll'!E$1,FALSE),'District Calculations'!$B$12)*S214,3)</f>
        <v>14.827999999999999</v>
      </c>
      <c r="V214">
        <f>ROUND(IF(VLOOKUP($A214,EnrollData2324,'2324 Jun 24 Enroll'!F$1,FALSE)='District Calculations'!$B$13,VLOOKUP($A214,EnrollData2324,'2324 Jun 24 Enroll'!F$1,FALSE),'District Calculations'!$B$13)*Apport_224A2324,3)</f>
        <v>3.6190000000000002</v>
      </c>
      <c r="W214">
        <f>ROUND(IF(VLOOKUP($A214,EnrollData2324,'2324 Jun 24 Enroll'!G$1,FALSE)='District Calculations'!$B$14,VLOOKUP($A214,EnrollData2324,'2324 Jun 24 Enroll'!G$1,FALSE),'District Calculations'!$B$14)*Apport_212A2324,3)</f>
        <v>8.0239999999999991</v>
      </c>
      <c r="X214">
        <f>ROUND(IF(VLOOKUP($A214,EnrollData2324,'2324 Jun 24 Enroll'!H$1,FALSE)='District Calculations'!$B$14,VLOOKUP($A214,EnrollData2324,'2324 Jun 24 Enroll'!H$1,FALSE),'District Calculations'!$B$14)*Apport_215A2324,3)</f>
        <v>7.9279999999999999</v>
      </c>
      <c r="Y214">
        <f>ROUND(IF(VLOOKUP($A214,EnrollData2324,'2324 Jun 24 Enroll'!I$1,FALSE)+VLOOKUP($A214,EnrollData2324,'2324 Jun 24 Enroll'!M$1,FALSE)-VLOOKUP($A214,EnrollData2324,'2324 Jun 24 Enroll'!J$1,FALSE)='District Calculations'!$B$16+'District Calculations'!$B$25-'District Calculations'!$B$17,VLOOKUP($A214,EnrollData2324,'2324 Jun 24 Enroll'!I$1,FALSE)+VLOOKUP($A214,EnrollData2324,'2324 Jun 24 Enroll'!M$1,FALSE)-VLOOKUP($A214,EnrollData2324,'2324 Jun 24 Enroll'!J$1,FALSE),'District Calculations'!$B$16+'District Calculations'!$B$25-'District Calculations'!$B$17)*Apport_218A2324,3)</f>
        <v>19.917999999999999</v>
      </c>
      <c r="Z214">
        <f>ROUND(SUM(T214:Y214)/IF(VLOOKUP($A214,EnrollData2324,'2324 Jun 24 Enroll'!M$1,FALSE)+VLOOKUP($A214,EnrollData2324,'2324 Jun 24 Enroll'!D$1,FALSE)='District Calculations'!$B$25+'District Calculations'!$B$11,VLOOKUP($A214,EnrollData2324,'2324 Jun 24 Enroll'!M$1,FALSE)+VLOOKUP($A214,EnrollData2324,'2324 Jun 24 Enroll'!D$1,FALSE),'District Calculations'!$B$25+'District Calculations'!$B$11),5)</f>
        <v>1.7399999999999999E-2</v>
      </c>
      <c r="AA214" s="6">
        <f>ROUND($J214*CIS_Base_Salary2324*VLOOKUP($A214,EnrollData2324,'2324 Jun 24 Enroll'!S$1,FALSE),2)</f>
        <v>4280.8999999999996</v>
      </c>
      <c r="AB214" s="6">
        <f>ROUND($J214*CIS_Inc_Salary2324*(VLOOKUP($A214,EnrollData2324,'2324 Jun 24 Enroll'!T$1,FALSE)+VLOOKUP($A214,EnrollData2324,'2324 Jun 24 Enroll'!U$1,FALSE)),2)-AA214</f>
        <v>158.40000000000055</v>
      </c>
      <c r="AC214" s="6">
        <f>ROUND($R214*CAS_Base_Salary2324*VLOOKUP($A214,EnrollData2324,'2324 Jun 24 Enroll'!S$1,FALSE),2)</f>
        <v>469.17</v>
      </c>
      <c r="AD214" s="6">
        <f>ROUND($R214*CAS_Inc_Salary2324*VLOOKUP($A214,EnrollData2324,'2324 Jun 24 Enroll'!T$1,FALSE),2)-AC214</f>
        <v>17.359999999999957</v>
      </c>
      <c r="AE214" s="6">
        <f>ROUND($Z214*CLS_Base_Salary2324*VLOOKUP($A214,EnrollData2324,'2324 Jun 24 Enroll'!S$1,FALSE),2)</f>
        <v>962.28</v>
      </c>
      <c r="AF214" s="6">
        <f>ROUND($Z214*CLS_Inc_Salary2324*VLOOKUP($A214,EnrollData2324,'2324 Jun 24 Enroll'!T$1,FALSE),2)-AE214</f>
        <v>35.600000000000023</v>
      </c>
      <c r="AG214">
        <f t="shared" si="63"/>
        <v>734.16</v>
      </c>
      <c r="AH214" s="69">
        <f t="shared" si="53"/>
        <v>68.700000000000045</v>
      </c>
      <c r="AI214">
        <f t="shared" si="64"/>
        <v>214.23</v>
      </c>
      <c r="AJ214">
        <f t="shared" si="54"/>
        <v>114.21000000000001</v>
      </c>
      <c r="AK214">
        <f t="shared" si="55"/>
        <v>853.59</v>
      </c>
      <c r="AL214">
        <f t="shared" si="56"/>
        <v>30.46</v>
      </c>
      <c r="AM214">
        <f t="shared" si="57"/>
        <v>212.28</v>
      </c>
      <c r="AN214">
        <f t="shared" si="58"/>
        <v>6.61</v>
      </c>
      <c r="AO214">
        <f>ROUND(($J214*CIS_Inc_Salary2324*(VLOOKUP($A214,EnrollData2324,'2324 Jun 24 Enroll'!T$1,FALSE)+VLOOKUP($A214,EnrollData2324,'2324 Jun 24 Enroll'!U$1,FALSE))/Apport_613Xpd)*Apport_614Xpd,2)</f>
        <v>73.989999999999995</v>
      </c>
      <c r="AP214">
        <f t="shared" si="59"/>
        <v>12.82</v>
      </c>
      <c r="AQ214">
        <f t="shared" si="60"/>
        <v>30.93</v>
      </c>
      <c r="AR214" s="6">
        <f>ROUND((VLOOKUP($A214,EnrollData2324,'2324 Jun 24 Enroll'!D$1,FALSE)*Apport_M802324+VLOOKUP($A214,EnrollData2324,'2324 Jun 24 Enroll'!M$1,FALSE)*Apport_M802324+(VLOOKUP($A214,EnrollData2324,'2324 Jun 24 Enroll'!P$1,FALSE)+VLOOKUP($A214,EnrollData2324,'2324 Jun 24 Enroll'!Q$1,FALSE)+VLOOKUP($A214,EnrollData2324,'2324 Jun 24 Enroll'!R$1,FALSE)+VLOOKUP($A214,EnrollData2324,'2324 Jun 24 Enroll'!I$1,FALSE)+VLOOKUP($A214,EnrollData2324,'2324 Jun 24 Enroll'!N$1,FALSE)+VLOOKUP($A214,EnrollData2324,'2324 Jun 24 Enroll'!O$1,FALSE)+VLOOKUP($A214,EnrollData2324,'2324 Jun 24 Enroll'!K$1,FALSE)+VLOOKUP($A214,EnrollData2324,'2324 Jun 24 Enroll'!L$1,FALSE))*Apport_M812324)/(VLOOKUP($A214,EnrollData2324,'2324 Jun 24 Enroll'!M$1,FALSE)+VLOOKUP($A214,EnrollData2324,'2324 Jun 24 Enroll'!D$1,FALSE)),2)</f>
        <v>1547.17</v>
      </c>
      <c r="AS214" s="7">
        <f t="shared" si="61"/>
        <v>9822.8599999999988</v>
      </c>
    </row>
    <row r="215" spans="1:45">
      <c r="A215" s="40" t="s">
        <v>468</v>
      </c>
      <c r="B215" s="40" t="s">
        <v>469</v>
      </c>
      <c r="C215" s="11">
        <f>ROUND((IFERROR((1/IF(VLOOKUP($A215,EnrollData2324,28,FALSE)='District Calculations'!$B$10,VLOOKUP($A215,EnrollData2324,28,FALSE),'District Calculations'!$B$10))*(1+Apport_Z315),0))+Apport_201A2324,6)</f>
        <v>7.3449E-2</v>
      </c>
      <c r="D215">
        <f>ROUND(IF(VLOOKUP($A215,EnrollData2324,'2324 Jun 24 Enroll'!D$1,FALSE)='District Calculations'!$B$11,VLOOKUP($A215,EnrollData2324,'2324 Jun 24 Enroll'!D$1,FALSE),'District Calculations'!$B$11)*C215,3)</f>
        <v>0</v>
      </c>
      <c r="E215">
        <f>ROUND(IF(VLOOKUP($A215,EnrollData2324,'2324 Jun 24 Enroll'!E$1,FALSE)='District Calculations'!$B$12,VLOOKUP($A215,EnrollData2324,'2324 Jun 24 Enroll'!E$1,FALSE),'District Calculations'!$B$12)*C215,3)</f>
        <v>59.53</v>
      </c>
      <c r="F215">
        <f>ROUND(IF(VLOOKUP($A215,EnrollData2324,'2324 Jun 24 Enroll'!F$1,FALSE)='District Calculations'!$B$13,VLOOKUP($A215,EnrollData2324,'2324 Jun 24 Enroll'!F$1,FALSE),'District Calculations'!$B$13)*Apport_222A2324,3)</f>
        <v>10.101000000000001</v>
      </c>
      <c r="G215">
        <f>ROUND(IF(VLOOKUP($A215,EnrollData2324,'2324 Jun 24 Enroll'!G$1,FALSE)='District Calculations'!$B$14,VLOOKUP($A215,EnrollData2324,'2324 Jun 24 Enroll'!G$1,FALSE),'District Calculations'!$B$14)*Apport_210A2324,3)</f>
        <v>22.395</v>
      </c>
      <c r="H215">
        <f>ROUND(IF(VLOOKUP($A215,EnrollData2324,'2324 Jun 24 Enroll'!H$1,FALSE)='District Calculations'!$B$15,VLOOKUP($A215,EnrollData2324,'2324 Jun 24 Enroll'!H$1,FALSE),'District Calculations'!$B$15)*Apport_213A2324,3)</f>
        <v>23.091999999999999</v>
      </c>
      <c r="I215">
        <f>ROUND(IF(VLOOKUP($A215,EnrollData2324,'2324 Jun 24 Enroll'!I$1,FALSE)+VLOOKUP($A215,EnrollData2324,'2324 Jun 24 Enroll'!M$1,FALSE)-VLOOKUP($A215,EnrollData2324,'2324 Jun 24 Enroll'!J$1,FALSE)='District Calculations'!$B$16+'District Calculations'!$B$25-'District Calculations'!$B$17,VLOOKUP($A215,EnrollData2324,'2324 Jun 24 Enroll'!I$1,FALSE)+VLOOKUP($A215,EnrollData2324,'2324 Jun 24 Enroll'!M$1,FALSE)-VLOOKUP($A215,EnrollData2324,'2324 Jun 24 Enroll'!J$1,FALSE),'District Calculations'!$B$16+'District Calculations'!$B$25-'District Calculations'!$B$17)*Apport_216A2324,3)</f>
        <v>58.183999999999997</v>
      </c>
      <c r="J215">
        <f>ROUND(SUM(D215:I215)/(IF(VLOOKUP($A215,EnrollData2324,'2324 Jun 24 Enroll'!M$1,FALSE)='District Calculations'!$B$25,VLOOKUP($A215,EnrollData2324,'2324 Jun 24 Enroll'!M$1,FALSE),'District Calculations'!$B$25)+IF(VLOOKUP($A215,EnrollData2324,'2324 Jun 24 Enroll'!D$1,FALSE)='District Calculations'!$B$11,VLOOKUP($A215,EnrollData2324,'2324 Jun 24 Enroll'!D$1,FALSE),'District Calculations'!$B$11)),5)</f>
        <v>5.5530000000000003E-2</v>
      </c>
      <c r="K215" s="11">
        <f t="shared" si="51"/>
        <v>4.365E-3</v>
      </c>
      <c r="L215">
        <f>ROUND(IF(VLOOKUP($A215,EnrollData2324,'2324 Jun 24 Enroll'!D$1,FALSE)='District Calculations'!$B$11,VLOOKUP($A215,EnrollData2324,'2324 Jun 24 Enroll'!D$1,FALSE),'District Calculations'!$B$11)*K215,3)</f>
        <v>0</v>
      </c>
      <c r="M215">
        <f>ROUND(IF(VLOOKUP($A215,EnrollData2324,'2324 Jun 24 Enroll'!E$1,FALSE)='District Calculations'!$B$12,VLOOKUP($A215,EnrollData2324,'2324 Jun 24 Enroll'!E$1,FALSE),'District Calculations'!$B$12)*K215,3)</f>
        <v>3.5379999999999998</v>
      </c>
      <c r="N215">
        <f>ROUND(IF(VLOOKUP($A215,EnrollData2324,'2324 Jun 24 Enroll'!F$1,FALSE)='District Calculations'!$B$13,VLOOKUP($A215,EnrollData2324,'2324 Jun 24 Enroll'!F$1,FALSE),'District Calculations'!$B$13)*Apport_223A2324,3)</f>
        <v>0.84199999999999997</v>
      </c>
      <c r="O215">
        <f>ROUND(IF(VLOOKUP($A215,EnrollData2324,'2324 Jun 24 Enroll'!G$1,FALSE)='District Calculations'!$B$14,VLOOKUP($A215,EnrollData2324,'2324 Jun 24 Enroll'!G$1,FALSE),'District Calculations'!$B$14)*Apport_211A2324,3)</f>
        <v>1.867</v>
      </c>
      <c r="P215">
        <f>ROUND(IF(VLOOKUP($A215,EnrollData2324,'2324 Jun 24 Enroll'!H$1,FALSE)='District Calculations'!$B$14,VLOOKUP($A215,EnrollData2324,'2324 Jun 24 Enroll'!H$1,FALSE),'District Calculations'!$B$14)*Apport_214A2324,3)</f>
        <v>1.8660000000000001</v>
      </c>
      <c r="Q215">
        <f>ROUND(IF(VLOOKUP($A215,EnrollData2324,'2324 Jun 24 Enroll'!I$1,FALSE)+VLOOKUP($A215,EnrollData2324,'2324 Jun 24 Enroll'!M$1,FALSE)-VLOOKUP($A215,EnrollData2324,'2324 Jun 24 Enroll'!J$1,FALSE)='District Calculations'!$B$16+'District Calculations'!$B$25-'District Calculations'!$B$17,VLOOKUP($A215,EnrollData2324,'2324 Jun 24 Enroll'!I$1,FALSE)+VLOOKUP($A215,EnrollData2324,'2324 Jun 24 Enroll'!M$1,FALSE)-VLOOKUP($A215,EnrollData2324,'2324 Jun 24 Enroll'!J$1,FALSE),'District Calculations'!$B$16+'District Calculations'!$B$25-'District Calculations'!$B$17)*Apport_217A2324,3)</f>
        <v>4.6980000000000004</v>
      </c>
      <c r="R215">
        <f>ROUND(SUM(L215:Q215)/IF(VLOOKUP($A215,EnrollData2324,'2324 Jun 24 Enroll'!M$1,FALSE)+VLOOKUP($A215,EnrollData2324,'2324 Jun 24 Enroll'!D$1,FALSE)='District Calculations'!$B$25+'District Calculations'!$B$11,VLOOKUP($A215,EnrollData2324,'2324 Jun 24 Enroll'!M$1,FALSE)+VLOOKUP($A215,EnrollData2324,'2324 Jun 24 Enroll'!D$1,FALSE),'District Calculations'!$B$25+'District Calculations'!$B$11),5)</f>
        <v>4.1000000000000003E-3</v>
      </c>
      <c r="S215" s="11">
        <f t="shared" si="52"/>
        <v>1.8294500000000002E-2</v>
      </c>
      <c r="T215">
        <f>ROUND(IF(VLOOKUP($A215,EnrollData2324,'2324 Jun 24 Enroll'!D$1,FALSE)='District Calculations'!$B$11,VLOOKUP($A215,EnrollData2324,'2324 Jun 24 Enroll'!D$1,FALSE),'District Calculations'!$B$11)*S215,3)</f>
        <v>0</v>
      </c>
      <c r="U215">
        <f>ROUND(IF(VLOOKUP($A215,EnrollData2324,'2324 Jun 24 Enroll'!E$1,FALSE)='District Calculations'!$B$12,VLOOKUP($A215,EnrollData2324,'2324 Jun 24 Enroll'!E$1,FALSE),'District Calculations'!$B$12)*S215,3)</f>
        <v>14.827999999999999</v>
      </c>
      <c r="V215">
        <f>ROUND(IF(VLOOKUP($A215,EnrollData2324,'2324 Jun 24 Enroll'!F$1,FALSE)='District Calculations'!$B$13,VLOOKUP($A215,EnrollData2324,'2324 Jun 24 Enroll'!F$1,FALSE),'District Calculations'!$B$13)*Apport_224A2324,3)</f>
        <v>3.6190000000000002</v>
      </c>
      <c r="W215">
        <f>ROUND(IF(VLOOKUP($A215,EnrollData2324,'2324 Jun 24 Enroll'!G$1,FALSE)='District Calculations'!$B$14,VLOOKUP($A215,EnrollData2324,'2324 Jun 24 Enroll'!G$1,FALSE),'District Calculations'!$B$14)*Apport_212A2324,3)</f>
        <v>8.0239999999999991</v>
      </c>
      <c r="X215">
        <f>ROUND(IF(VLOOKUP($A215,EnrollData2324,'2324 Jun 24 Enroll'!H$1,FALSE)='District Calculations'!$B$14,VLOOKUP($A215,EnrollData2324,'2324 Jun 24 Enroll'!H$1,FALSE),'District Calculations'!$B$14)*Apport_215A2324,3)</f>
        <v>7.9279999999999999</v>
      </c>
      <c r="Y215">
        <f>ROUND(IF(VLOOKUP($A215,EnrollData2324,'2324 Jun 24 Enroll'!I$1,FALSE)+VLOOKUP($A215,EnrollData2324,'2324 Jun 24 Enroll'!M$1,FALSE)-VLOOKUP($A215,EnrollData2324,'2324 Jun 24 Enroll'!J$1,FALSE)='District Calculations'!$B$16+'District Calculations'!$B$25-'District Calculations'!$B$17,VLOOKUP($A215,EnrollData2324,'2324 Jun 24 Enroll'!I$1,FALSE)+VLOOKUP($A215,EnrollData2324,'2324 Jun 24 Enroll'!M$1,FALSE)-VLOOKUP($A215,EnrollData2324,'2324 Jun 24 Enroll'!J$1,FALSE),'District Calculations'!$B$16+'District Calculations'!$B$25-'District Calculations'!$B$17)*Apport_218A2324,3)</f>
        <v>19.917999999999999</v>
      </c>
      <c r="Z215">
        <f>ROUND(SUM(T215:Y215)/IF(VLOOKUP($A215,EnrollData2324,'2324 Jun 24 Enroll'!M$1,FALSE)+VLOOKUP($A215,EnrollData2324,'2324 Jun 24 Enroll'!D$1,FALSE)='District Calculations'!$B$25+'District Calculations'!$B$11,VLOOKUP($A215,EnrollData2324,'2324 Jun 24 Enroll'!M$1,FALSE)+VLOOKUP($A215,EnrollData2324,'2324 Jun 24 Enroll'!D$1,FALSE),'District Calculations'!$B$25+'District Calculations'!$B$11),5)</f>
        <v>1.7399999999999999E-2</v>
      </c>
      <c r="AA215" s="6">
        <f>ROUND($J215*CIS_Base_Salary2324*VLOOKUP($A215,EnrollData2324,'2324 Jun 24 Enroll'!S$1,FALSE),2)</f>
        <v>4523.22</v>
      </c>
      <c r="AB215" s="6">
        <f>ROUND($J215*CIS_Inc_Salary2324*(VLOOKUP($A215,EnrollData2324,'2324 Jun 24 Enroll'!T$1,FALSE)+VLOOKUP($A215,EnrollData2324,'2324 Jun 24 Enroll'!U$1,FALSE)),2)-AA215</f>
        <v>167.35999999999967</v>
      </c>
      <c r="AC215" s="6">
        <f>ROUND($R215*CAS_Base_Salary2324*VLOOKUP($A215,EnrollData2324,'2324 Jun 24 Enroll'!S$1,FALSE),2)</f>
        <v>495.73</v>
      </c>
      <c r="AD215" s="6">
        <f>ROUND($R215*CAS_Inc_Salary2324*VLOOKUP($A215,EnrollData2324,'2324 Jun 24 Enroll'!T$1,FALSE),2)-AC215</f>
        <v>18.340000000000032</v>
      </c>
      <c r="AE215" s="6">
        <f>ROUND($Z215*CLS_Base_Salary2324*VLOOKUP($A215,EnrollData2324,'2324 Jun 24 Enroll'!S$1,FALSE),2)</f>
        <v>1016.75</v>
      </c>
      <c r="AF215" s="6">
        <f>ROUND($Z215*CLS_Inc_Salary2324*VLOOKUP($A215,EnrollData2324,'2324 Jun 24 Enroll'!T$1,FALSE),2)-AE215</f>
        <v>37.6099999999999</v>
      </c>
      <c r="AG215">
        <f t="shared" si="63"/>
        <v>734.16</v>
      </c>
      <c r="AH215" s="69">
        <f t="shared" si="53"/>
        <v>68.700000000000045</v>
      </c>
      <c r="AI215">
        <f t="shared" si="64"/>
        <v>214.23</v>
      </c>
      <c r="AJ215">
        <f t="shared" si="54"/>
        <v>114.21000000000001</v>
      </c>
      <c r="AK215">
        <f t="shared" si="55"/>
        <v>901.91</v>
      </c>
      <c r="AL215">
        <f t="shared" si="56"/>
        <v>32.18</v>
      </c>
      <c r="AM215">
        <f t="shared" si="57"/>
        <v>224.3</v>
      </c>
      <c r="AN215">
        <f t="shared" si="58"/>
        <v>6.98</v>
      </c>
      <c r="AO215">
        <f>ROUND(($J215*CIS_Inc_Salary2324*(VLOOKUP($A215,EnrollData2324,'2324 Jun 24 Enroll'!T$1,FALSE)+VLOOKUP($A215,EnrollData2324,'2324 Jun 24 Enroll'!U$1,FALSE))/Apport_613Xpd)*Apport_614Xpd,2)</f>
        <v>78.180000000000007</v>
      </c>
      <c r="AP215">
        <f t="shared" si="59"/>
        <v>13.55</v>
      </c>
      <c r="AQ215">
        <f t="shared" si="60"/>
        <v>30.93</v>
      </c>
      <c r="AR215" s="6">
        <f>ROUND((VLOOKUP($A215,EnrollData2324,'2324 Jun 24 Enroll'!D$1,FALSE)*Apport_M802324+VLOOKUP($A215,EnrollData2324,'2324 Jun 24 Enroll'!M$1,FALSE)*Apport_M802324+(VLOOKUP($A215,EnrollData2324,'2324 Jun 24 Enroll'!P$1,FALSE)+VLOOKUP($A215,EnrollData2324,'2324 Jun 24 Enroll'!Q$1,FALSE)+VLOOKUP($A215,EnrollData2324,'2324 Jun 24 Enroll'!R$1,FALSE)+VLOOKUP($A215,EnrollData2324,'2324 Jun 24 Enroll'!I$1,FALSE)+VLOOKUP($A215,EnrollData2324,'2324 Jun 24 Enroll'!N$1,FALSE)+VLOOKUP($A215,EnrollData2324,'2324 Jun 24 Enroll'!O$1,FALSE)+VLOOKUP($A215,EnrollData2324,'2324 Jun 24 Enroll'!K$1,FALSE)+VLOOKUP($A215,EnrollData2324,'2324 Jun 24 Enroll'!L$1,FALSE))*Apport_M812324)/(VLOOKUP($A215,EnrollData2324,'2324 Jun 24 Enroll'!M$1,FALSE)+VLOOKUP($A215,EnrollData2324,'2324 Jun 24 Enroll'!D$1,FALSE)),2)</f>
        <v>1544.9</v>
      </c>
      <c r="AS215" s="7">
        <f t="shared" si="61"/>
        <v>10223.239999999998</v>
      </c>
    </row>
    <row r="216" spans="1:45">
      <c r="A216" s="40" t="s">
        <v>995</v>
      </c>
      <c r="B216" s="40" t="s">
        <v>996</v>
      </c>
      <c r="C216" s="11">
        <f>ROUND((IFERROR((1/IF(VLOOKUP($A216,EnrollData2324,28,FALSE)='District Calculations'!$B$10,VLOOKUP($A216,EnrollData2324,28,FALSE),'District Calculations'!$B$10))*(1+Apport_Z315),0))+Apport_201A2324,6)</f>
        <v>7.3449E-2</v>
      </c>
      <c r="D216">
        <f>ROUND(IF(VLOOKUP($A216,EnrollData2324,'2324 Jun 24 Enroll'!D$1,FALSE)='District Calculations'!$B$11,VLOOKUP($A216,EnrollData2324,'2324 Jun 24 Enroll'!D$1,FALSE),'District Calculations'!$B$11)*C216,3)</f>
        <v>0</v>
      </c>
      <c r="E216">
        <f>ROUND(IF(VLOOKUP($A216,EnrollData2324,'2324 Jun 24 Enroll'!E$1,FALSE)='District Calculations'!$B$12,VLOOKUP($A216,EnrollData2324,'2324 Jun 24 Enroll'!E$1,FALSE),'District Calculations'!$B$12)*C216,3)</f>
        <v>59.53</v>
      </c>
      <c r="F216">
        <f>ROUND(IF(VLOOKUP($A216,EnrollData2324,'2324 Jun 24 Enroll'!F$1,FALSE)='District Calculations'!$B$13,VLOOKUP($A216,EnrollData2324,'2324 Jun 24 Enroll'!F$1,FALSE),'District Calculations'!$B$13)*Apport_222A2324,3)</f>
        <v>10.101000000000001</v>
      </c>
      <c r="G216">
        <f>ROUND(IF(VLOOKUP($A216,EnrollData2324,'2324 Jun 24 Enroll'!G$1,FALSE)='District Calculations'!$B$14,VLOOKUP($A216,EnrollData2324,'2324 Jun 24 Enroll'!G$1,FALSE),'District Calculations'!$B$14)*Apport_210A2324,3)</f>
        <v>22.395</v>
      </c>
      <c r="H216">
        <f>ROUND(IF(VLOOKUP($A216,EnrollData2324,'2324 Jun 24 Enroll'!H$1,FALSE)='District Calculations'!$B$15,VLOOKUP($A216,EnrollData2324,'2324 Jun 24 Enroll'!H$1,FALSE),'District Calculations'!$B$15)*Apport_213A2324,3)</f>
        <v>23.091999999999999</v>
      </c>
      <c r="I216">
        <f>ROUND(IF(VLOOKUP($A216,EnrollData2324,'2324 Jun 24 Enroll'!I$1,FALSE)+VLOOKUP($A216,EnrollData2324,'2324 Jun 24 Enroll'!M$1,FALSE)-VLOOKUP($A216,EnrollData2324,'2324 Jun 24 Enroll'!J$1,FALSE)='District Calculations'!$B$16+'District Calculations'!$B$25-'District Calculations'!$B$17,VLOOKUP($A216,EnrollData2324,'2324 Jun 24 Enroll'!I$1,FALSE)+VLOOKUP($A216,EnrollData2324,'2324 Jun 24 Enroll'!M$1,FALSE)-VLOOKUP($A216,EnrollData2324,'2324 Jun 24 Enroll'!J$1,FALSE),'District Calculations'!$B$16+'District Calculations'!$B$25-'District Calculations'!$B$17)*Apport_216A2324,3)</f>
        <v>58.183999999999997</v>
      </c>
      <c r="J216">
        <f>ROUND(SUM(D216:I216)/(IF(VLOOKUP($A216,EnrollData2324,'2324 Jun 24 Enroll'!M$1,FALSE)='District Calculations'!$B$25,VLOOKUP($A216,EnrollData2324,'2324 Jun 24 Enroll'!M$1,FALSE),'District Calculations'!$B$25)+IF(VLOOKUP($A216,EnrollData2324,'2324 Jun 24 Enroll'!D$1,FALSE)='District Calculations'!$B$11,VLOOKUP($A216,EnrollData2324,'2324 Jun 24 Enroll'!D$1,FALSE),'District Calculations'!$B$11)),5)</f>
        <v>5.5530000000000003E-2</v>
      </c>
      <c r="K216" s="11">
        <f t="shared" si="51"/>
        <v>4.365E-3</v>
      </c>
      <c r="L216">
        <f>ROUND(IF(VLOOKUP($A216,EnrollData2324,'2324 Jun 24 Enroll'!D$1,FALSE)='District Calculations'!$B$11,VLOOKUP($A216,EnrollData2324,'2324 Jun 24 Enroll'!D$1,FALSE),'District Calculations'!$B$11)*K216,3)</f>
        <v>0</v>
      </c>
      <c r="M216">
        <f>ROUND(IF(VLOOKUP($A216,EnrollData2324,'2324 Jun 24 Enroll'!E$1,FALSE)='District Calculations'!$B$12,VLOOKUP($A216,EnrollData2324,'2324 Jun 24 Enroll'!E$1,FALSE),'District Calculations'!$B$12)*K216,3)</f>
        <v>3.5379999999999998</v>
      </c>
      <c r="N216">
        <f>ROUND(IF(VLOOKUP($A216,EnrollData2324,'2324 Jun 24 Enroll'!F$1,FALSE)='District Calculations'!$B$13,VLOOKUP($A216,EnrollData2324,'2324 Jun 24 Enroll'!F$1,FALSE),'District Calculations'!$B$13)*Apport_223A2324,3)</f>
        <v>0.84199999999999997</v>
      </c>
      <c r="O216">
        <f>ROUND(IF(VLOOKUP($A216,EnrollData2324,'2324 Jun 24 Enroll'!G$1,FALSE)='District Calculations'!$B$14,VLOOKUP($A216,EnrollData2324,'2324 Jun 24 Enroll'!G$1,FALSE),'District Calculations'!$B$14)*Apport_211A2324,3)</f>
        <v>1.867</v>
      </c>
      <c r="P216">
        <f>ROUND(IF(VLOOKUP($A216,EnrollData2324,'2324 Jun 24 Enroll'!H$1,FALSE)='District Calculations'!$B$14,VLOOKUP($A216,EnrollData2324,'2324 Jun 24 Enroll'!H$1,FALSE),'District Calculations'!$B$14)*Apport_214A2324,3)</f>
        <v>1.8660000000000001</v>
      </c>
      <c r="Q216">
        <f>ROUND(IF(VLOOKUP($A216,EnrollData2324,'2324 Jun 24 Enroll'!I$1,FALSE)+VLOOKUP($A216,EnrollData2324,'2324 Jun 24 Enroll'!M$1,FALSE)-VLOOKUP($A216,EnrollData2324,'2324 Jun 24 Enroll'!J$1,FALSE)='District Calculations'!$B$16+'District Calculations'!$B$25-'District Calculations'!$B$17,VLOOKUP($A216,EnrollData2324,'2324 Jun 24 Enroll'!I$1,FALSE)+VLOOKUP($A216,EnrollData2324,'2324 Jun 24 Enroll'!M$1,FALSE)-VLOOKUP($A216,EnrollData2324,'2324 Jun 24 Enroll'!J$1,FALSE),'District Calculations'!$B$16+'District Calculations'!$B$25-'District Calculations'!$B$17)*Apport_217A2324,3)</f>
        <v>4.6980000000000004</v>
      </c>
      <c r="R216">
        <f>ROUND(SUM(L216:Q216)/IF(VLOOKUP($A216,EnrollData2324,'2324 Jun 24 Enroll'!M$1,FALSE)+VLOOKUP($A216,EnrollData2324,'2324 Jun 24 Enroll'!D$1,FALSE)='District Calculations'!$B$25+'District Calculations'!$B$11,VLOOKUP($A216,EnrollData2324,'2324 Jun 24 Enroll'!M$1,FALSE)+VLOOKUP($A216,EnrollData2324,'2324 Jun 24 Enroll'!D$1,FALSE),'District Calculations'!$B$25+'District Calculations'!$B$11),5)</f>
        <v>4.1000000000000003E-3</v>
      </c>
      <c r="S216" s="11">
        <f t="shared" si="52"/>
        <v>1.8294500000000002E-2</v>
      </c>
      <c r="T216">
        <f>ROUND(IF(VLOOKUP($A216,EnrollData2324,'2324 Jun 24 Enroll'!D$1,FALSE)='District Calculations'!$B$11,VLOOKUP($A216,EnrollData2324,'2324 Jun 24 Enroll'!D$1,FALSE),'District Calculations'!$B$11)*S216,3)</f>
        <v>0</v>
      </c>
      <c r="U216">
        <f>ROUND(IF(VLOOKUP($A216,EnrollData2324,'2324 Jun 24 Enroll'!E$1,FALSE)='District Calculations'!$B$12,VLOOKUP($A216,EnrollData2324,'2324 Jun 24 Enroll'!E$1,FALSE),'District Calculations'!$B$12)*S216,3)</f>
        <v>14.827999999999999</v>
      </c>
      <c r="V216">
        <f>ROUND(IF(VLOOKUP($A216,EnrollData2324,'2324 Jun 24 Enroll'!F$1,FALSE)='District Calculations'!$B$13,VLOOKUP($A216,EnrollData2324,'2324 Jun 24 Enroll'!F$1,FALSE),'District Calculations'!$B$13)*Apport_224A2324,3)</f>
        <v>3.6190000000000002</v>
      </c>
      <c r="W216">
        <f>ROUND(IF(VLOOKUP($A216,EnrollData2324,'2324 Jun 24 Enroll'!G$1,FALSE)='District Calculations'!$B$14,VLOOKUP($A216,EnrollData2324,'2324 Jun 24 Enroll'!G$1,FALSE),'District Calculations'!$B$14)*Apport_212A2324,3)</f>
        <v>8.0239999999999991</v>
      </c>
      <c r="X216">
        <f>ROUND(IF(VLOOKUP($A216,EnrollData2324,'2324 Jun 24 Enroll'!H$1,FALSE)='District Calculations'!$B$14,VLOOKUP($A216,EnrollData2324,'2324 Jun 24 Enroll'!H$1,FALSE),'District Calculations'!$B$14)*Apport_215A2324,3)</f>
        <v>7.9279999999999999</v>
      </c>
      <c r="Y216">
        <f>ROUND(IF(VLOOKUP($A216,EnrollData2324,'2324 Jun 24 Enroll'!I$1,FALSE)+VLOOKUP($A216,EnrollData2324,'2324 Jun 24 Enroll'!M$1,FALSE)-VLOOKUP($A216,EnrollData2324,'2324 Jun 24 Enroll'!J$1,FALSE)='District Calculations'!$B$16+'District Calculations'!$B$25-'District Calculations'!$B$17,VLOOKUP($A216,EnrollData2324,'2324 Jun 24 Enroll'!I$1,FALSE)+VLOOKUP($A216,EnrollData2324,'2324 Jun 24 Enroll'!M$1,FALSE)-VLOOKUP($A216,EnrollData2324,'2324 Jun 24 Enroll'!J$1,FALSE),'District Calculations'!$B$16+'District Calculations'!$B$25-'District Calculations'!$B$17)*Apport_218A2324,3)</f>
        <v>19.917999999999999</v>
      </c>
      <c r="Z216">
        <f>ROUND(SUM(T216:Y216)/IF(VLOOKUP($A216,EnrollData2324,'2324 Jun 24 Enroll'!M$1,FALSE)+VLOOKUP($A216,EnrollData2324,'2324 Jun 24 Enroll'!D$1,FALSE)='District Calculations'!$B$25+'District Calculations'!$B$11,VLOOKUP($A216,EnrollData2324,'2324 Jun 24 Enroll'!M$1,FALSE)+VLOOKUP($A216,EnrollData2324,'2324 Jun 24 Enroll'!D$1,FALSE),'District Calculations'!$B$25+'District Calculations'!$B$11),5)</f>
        <v>1.7399999999999999E-2</v>
      </c>
      <c r="AA216" s="6">
        <f>ROUND($J216*CIS_Base_Salary2324*VLOOKUP($A216,EnrollData2324,'2324 Jun 24 Enroll'!S$1,FALSE),2)</f>
        <v>4523.22</v>
      </c>
      <c r="AB216" s="6">
        <f>ROUND($J216*CIS_Inc_Salary2324*(VLOOKUP($A216,EnrollData2324,'2324 Jun 24 Enroll'!T$1,FALSE)+VLOOKUP($A216,EnrollData2324,'2324 Jun 24 Enroll'!U$1,FALSE)),2)-AA216</f>
        <v>167.35999999999967</v>
      </c>
      <c r="AC216" s="6">
        <f>ROUND($R216*CAS_Base_Salary2324*VLOOKUP($A216,EnrollData2324,'2324 Jun 24 Enroll'!S$1,FALSE),2)</f>
        <v>495.73</v>
      </c>
      <c r="AD216" s="6">
        <f>ROUND($R216*CAS_Inc_Salary2324*VLOOKUP($A216,EnrollData2324,'2324 Jun 24 Enroll'!T$1,FALSE),2)-AC216</f>
        <v>18.340000000000032</v>
      </c>
      <c r="AE216" s="6">
        <f>ROUND($Z216*CLS_Base_Salary2324*VLOOKUP($A216,EnrollData2324,'2324 Jun 24 Enroll'!S$1,FALSE),2)</f>
        <v>1016.75</v>
      </c>
      <c r="AF216" s="6">
        <f>ROUND($Z216*CLS_Inc_Salary2324*VLOOKUP($A216,EnrollData2324,'2324 Jun 24 Enroll'!T$1,FALSE),2)-AE216</f>
        <v>37.6099999999999</v>
      </c>
      <c r="AG216">
        <f t="shared" si="63"/>
        <v>734.16</v>
      </c>
      <c r="AH216" s="69">
        <f t="shared" si="53"/>
        <v>68.700000000000045</v>
      </c>
      <c r="AI216">
        <f t="shared" si="64"/>
        <v>214.23</v>
      </c>
      <c r="AJ216">
        <f t="shared" si="54"/>
        <v>114.21000000000001</v>
      </c>
      <c r="AK216">
        <f t="shared" si="55"/>
        <v>901.91</v>
      </c>
      <c r="AL216">
        <f t="shared" si="56"/>
        <v>32.18</v>
      </c>
      <c r="AM216">
        <f t="shared" si="57"/>
        <v>224.3</v>
      </c>
      <c r="AN216">
        <f t="shared" si="58"/>
        <v>6.98</v>
      </c>
      <c r="AO216">
        <f>ROUND(($J216*CIS_Inc_Salary2324*(VLOOKUP($A216,EnrollData2324,'2324 Jun 24 Enroll'!T$1,FALSE)+VLOOKUP($A216,EnrollData2324,'2324 Jun 24 Enroll'!U$1,FALSE))/Apport_613Xpd)*Apport_614Xpd,2)</f>
        <v>78.180000000000007</v>
      </c>
      <c r="AP216">
        <f t="shared" si="59"/>
        <v>13.55</v>
      </c>
      <c r="AQ216">
        <f t="shared" si="60"/>
        <v>30.93</v>
      </c>
      <c r="AR216" s="6">
        <f>ROUND((VLOOKUP($A216,EnrollData2324,'2324 Jun 24 Enroll'!D$1,FALSE)*Apport_M802324+VLOOKUP($A216,EnrollData2324,'2324 Jun 24 Enroll'!M$1,FALSE)*Apport_M802324+(VLOOKUP($A216,EnrollData2324,'2324 Jun 24 Enroll'!P$1,FALSE)+VLOOKUP($A216,EnrollData2324,'2324 Jun 24 Enroll'!Q$1,FALSE)+VLOOKUP($A216,EnrollData2324,'2324 Jun 24 Enroll'!R$1,FALSE)+VLOOKUP($A216,EnrollData2324,'2324 Jun 24 Enroll'!I$1,FALSE)+VLOOKUP($A216,EnrollData2324,'2324 Jun 24 Enroll'!N$1,FALSE)+VLOOKUP($A216,EnrollData2324,'2324 Jun 24 Enroll'!O$1,FALSE)+VLOOKUP($A216,EnrollData2324,'2324 Jun 24 Enroll'!K$1,FALSE)+VLOOKUP($A216,EnrollData2324,'2324 Jun 24 Enroll'!L$1,FALSE))*Apport_M812324)/(VLOOKUP($A216,EnrollData2324,'2324 Jun 24 Enroll'!M$1,FALSE)+VLOOKUP($A216,EnrollData2324,'2324 Jun 24 Enroll'!D$1,FALSE)),2)</f>
        <v>1544.78</v>
      </c>
      <c r="AS216" s="7">
        <f t="shared" si="61"/>
        <v>10223.119999999999</v>
      </c>
    </row>
    <row r="217" spans="1:45">
      <c r="A217" s="40" t="s">
        <v>1033</v>
      </c>
      <c r="B217" s="40" t="s">
        <v>1034</v>
      </c>
      <c r="C217" s="11">
        <f>ROUND((IFERROR((1/IF(VLOOKUP($A217,EnrollData2324,28,FALSE)='District Calculations'!$B$10,VLOOKUP($A217,EnrollData2324,28,FALSE),'District Calculations'!$B$10))*(1+Apport_Z315),0))+Apport_201A2324,6)</f>
        <v>7.3449E-2</v>
      </c>
      <c r="D217">
        <f>ROUND(IF(VLOOKUP($A217,EnrollData2324,'2324 Jun 24 Enroll'!D$1,FALSE)='District Calculations'!$B$11,VLOOKUP($A217,EnrollData2324,'2324 Jun 24 Enroll'!D$1,FALSE),'District Calculations'!$B$11)*C217,3)</f>
        <v>0</v>
      </c>
      <c r="E217">
        <f>ROUND(IF(VLOOKUP($A217,EnrollData2324,'2324 Jun 24 Enroll'!E$1,FALSE)='District Calculations'!$B$12,VLOOKUP($A217,EnrollData2324,'2324 Jun 24 Enroll'!E$1,FALSE),'District Calculations'!$B$12)*C217,3)</f>
        <v>59.53</v>
      </c>
      <c r="F217">
        <f>ROUND(IF(VLOOKUP($A217,EnrollData2324,'2324 Jun 24 Enroll'!F$1,FALSE)='District Calculations'!$B$13,VLOOKUP($A217,EnrollData2324,'2324 Jun 24 Enroll'!F$1,FALSE),'District Calculations'!$B$13)*Apport_222A2324,3)</f>
        <v>10.101000000000001</v>
      </c>
      <c r="G217">
        <f>ROUND(IF(VLOOKUP($A217,EnrollData2324,'2324 Jun 24 Enroll'!G$1,FALSE)='District Calculations'!$B$14,VLOOKUP($A217,EnrollData2324,'2324 Jun 24 Enroll'!G$1,FALSE),'District Calculations'!$B$14)*Apport_210A2324,3)</f>
        <v>22.395</v>
      </c>
      <c r="H217">
        <f>ROUND(IF(VLOOKUP($A217,EnrollData2324,'2324 Jun 24 Enroll'!H$1,FALSE)='District Calculations'!$B$15,VLOOKUP($A217,EnrollData2324,'2324 Jun 24 Enroll'!H$1,FALSE),'District Calculations'!$B$15)*Apport_213A2324,3)</f>
        <v>23.091999999999999</v>
      </c>
      <c r="I217">
        <f>ROUND(IF(VLOOKUP($A217,EnrollData2324,'2324 Jun 24 Enroll'!I$1,FALSE)+VLOOKUP($A217,EnrollData2324,'2324 Jun 24 Enroll'!M$1,FALSE)-VLOOKUP($A217,EnrollData2324,'2324 Jun 24 Enroll'!J$1,FALSE)='District Calculations'!$B$16+'District Calculations'!$B$25-'District Calculations'!$B$17,VLOOKUP($A217,EnrollData2324,'2324 Jun 24 Enroll'!I$1,FALSE)+VLOOKUP($A217,EnrollData2324,'2324 Jun 24 Enroll'!M$1,FALSE)-VLOOKUP($A217,EnrollData2324,'2324 Jun 24 Enroll'!J$1,FALSE),'District Calculations'!$B$16+'District Calculations'!$B$25-'District Calculations'!$B$17)*Apport_216A2324,3)</f>
        <v>58.183999999999997</v>
      </c>
      <c r="J217">
        <f>ROUND(SUM(D217:I217)/(IF(VLOOKUP($A217,EnrollData2324,'2324 Jun 24 Enroll'!M$1,FALSE)='District Calculations'!$B$25,VLOOKUP($A217,EnrollData2324,'2324 Jun 24 Enroll'!M$1,FALSE),'District Calculations'!$B$25)+IF(VLOOKUP($A217,EnrollData2324,'2324 Jun 24 Enroll'!D$1,FALSE)='District Calculations'!$B$11,VLOOKUP($A217,EnrollData2324,'2324 Jun 24 Enroll'!D$1,FALSE),'District Calculations'!$B$11)),5)</f>
        <v>5.5530000000000003E-2</v>
      </c>
      <c r="K217" s="11">
        <f t="shared" si="51"/>
        <v>4.365E-3</v>
      </c>
      <c r="L217">
        <f>ROUND(IF(VLOOKUP($A217,EnrollData2324,'2324 Jun 24 Enroll'!D$1,FALSE)='District Calculations'!$B$11,VLOOKUP($A217,EnrollData2324,'2324 Jun 24 Enroll'!D$1,FALSE),'District Calculations'!$B$11)*K217,3)</f>
        <v>0</v>
      </c>
      <c r="M217">
        <f>ROUND(IF(VLOOKUP($A217,EnrollData2324,'2324 Jun 24 Enroll'!E$1,FALSE)='District Calculations'!$B$12,VLOOKUP($A217,EnrollData2324,'2324 Jun 24 Enroll'!E$1,FALSE),'District Calculations'!$B$12)*K217,3)</f>
        <v>3.5379999999999998</v>
      </c>
      <c r="N217">
        <f>ROUND(IF(VLOOKUP($A217,EnrollData2324,'2324 Jun 24 Enroll'!F$1,FALSE)='District Calculations'!$B$13,VLOOKUP($A217,EnrollData2324,'2324 Jun 24 Enroll'!F$1,FALSE),'District Calculations'!$B$13)*Apport_223A2324,3)</f>
        <v>0.84199999999999997</v>
      </c>
      <c r="O217">
        <f>ROUND(IF(VLOOKUP($A217,EnrollData2324,'2324 Jun 24 Enroll'!G$1,FALSE)='District Calculations'!$B$14,VLOOKUP($A217,EnrollData2324,'2324 Jun 24 Enroll'!G$1,FALSE),'District Calculations'!$B$14)*Apport_211A2324,3)</f>
        <v>1.867</v>
      </c>
      <c r="P217">
        <f>ROUND(IF(VLOOKUP($A217,EnrollData2324,'2324 Jun 24 Enroll'!H$1,FALSE)='District Calculations'!$B$14,VLOOKUP($A217,EnrollData2324,'2324 Jun 24 Enroll'!H$1,FALSE),'District Calculations'!$B$14)*Apport_214A2324,3)</f>
        <v>1.8660000000000001</v>
      </c>
      <c r="Q217">
        <f>ROUND(IF(VLOOKUP($A217,EnrollData2324,'2324 Jun 24 Enroll'!I$1,FALSE)+VLOOKUP($A217,EnrollData2324,'2324 Jun 24 Enroll'!M$1,FALSE)-VLOOKUP($A217,EnrollData2324,'2324 Jun 24 Enroll'!J$1,FALSE)='District Calculations'!$B$16+'District Calculations'!$B$25-'District Calculations'!$B$17,VLOOKUP($A217,EnrollData2324,'2324 Jun 24 Enroll'!I$1,FALSE)+VLOOKUP($A217,EnrollData2324,'2324 Jun 24 Enroll'!M$1,FALSE)-VLOOKUP($A217,EnrollData2324,'2324 Jun 24 Enroll'!J$1,FALSE),'District Calculations'!$B$16+'District Calculations'!$B$25-'District Calculations'!$B$17)*Apport_217A2324,3)</f>
        <v>4.6980000000000004</v>
      </c>
      <c r="R217">
        <f>ROUND(SUM(L217:Q217)/IF(VLOOKUP($A217,EnrollData2324,'2324 Jun 24 Enroll'!M$1,FALSE)+VLOOKUP($A217,EnrollData2324,'2324 Jun 24 Enroll'!D$1,FALSE)='District Calculations'!$B$25+'District Calculations'!$B$11,VLOOKUP($A217,EnrollData2324,'2324 Jun 24 Enroll'!M$1,FALSE)+VLOOKUP($A217,EnrollData2324,'2324 Jun 24 Enroll'!D$1,FALSE),'District Calculations'!$B$25+'District Calculations'!$B$11),5)</f>
        <v>4.1000000000000003E-3</v>
      </c>
      <c r="S217" s="11">
        <f t="shared" si="52"/>
        <v>1.8294500000000002E-2</v>
      </c>
      <c r="T217">
        <f>ROUND(IF(VLOOKUP($A217,EnrollData2324,'2324 Jun 24 Enroll'!D$1,FALSE)='District Calculations'!$B$11,VLOOKUP($A217,EnrollData2324,'2324 Jun 24 Enroll'!D$1,FALSE),'District Calculations'!$B$11)*S217,3)</f>
        <v>0</v>
      </c>
      <c r="U217">
        <f>ROUND(IF(VLOOKUP($A217,EnrollData2324,'2324 Jun 24 Enroll'!E$1,FALSE)='District Calculations'!$B$12,VLOOKUP($A217,EnrollData2324,'2324 Jun 24 Enroll'!E$1,FALSE),'District Calculations'!$B$12)*S217,3)</f>
        <v>14.827999999999999</v>
      </c>
      <c r="V217">
        <f>ROUND(IF(VLOOKUP($A217,EnrollData2324,'2324 Jun 24 Enroll'!F$1,FALSE)='District Calculations'!$B$13,VLOOKUP($A217,EnrollData2324,'2324 Jun 24 Enroll'!F$1,FALSE),'District Calculations'!$B$13)*Apport_224A2324,3)</f>
        <v>3.6190000000000002</v>
      </c>
      <c r="W217">
        <f>ROUND(IF(VLOOKUP($A217,EnrollData2324,'2324 Jun 24 Enroll'!G$1,FALSE)='District Calculations'!$B$14,VLOOKUP($A217,EnrollData2324,'2324 Jun 24 Enroll'!G$1,FALSE),'District Calculations'!$B$14)*Apport_212A2324,3)</f>
        <v>8.0239999999999991</v>
      </c>
      <c r="X217">
        <f>ROUND(IF(VLOOKUP($A217,EnrollData2324,'2324 Jun 24 Enroll'!H$1,FALSE)='District Calculations'!$B$14,VLOOKUP($A217,EnrollData2324,'2324 Jun 24 Enroll'!H$1,FALSE),'District Calculations'!$B$14)*Apport_215A2324,3)</f>
        <v>7.9279999999999999</v>
      </c>
      <c r="Y217">
        <f>ROUND(IF(VLOOKUP($A217,EnrollData2324,'2324 Jun 24 Enroll'!I$1,FALSE)+VLOOKUP($A217,EnrollData2324,'2324 Jun 24 Enroll'!M$1,FALSE)-VLOOKUP($A217,EnrollData2324,'2324 Jun 24 Enroll'!J$1,FALSE)='District Calculations'!$B$16+'District Calculations'!$B$25-'District Calculations'!$B$17,VLOOKUP($A217,EnrollData2324,'2324 Jun 24 Enroll'!I$1,FALSE)+VLOOKUP($A217,EnrollData2324,'2324 Jun 24 Enroll'!M$1,FALSE)-VLOOKUP($A217,EnrollData2324,'2324 Jun 24 Enroll'!J$1,FALSE),'District Calculations'!$B$16+'District Calculations'!$B$25-'District Calculations'!$B$17)*Apport_218A2324,3)</f>
        <v>19.917999999999999</v>
      </c>
      <c r="Z217">
        <f>ROUND(SUM(T217:Y217)/IF(VLOOKUP($A217,EnrollData2324,'2324 Jun 24 Enroll'!M$1,FALSE)+VLOOKUP($A217,EnrollData2324,'2324 Jun 24 Enroll'!D$1,FALSE)='District Calculations'!$B$25+'District Calculations'!$B$11,VLOOKUP($A217,EnrollData2324,'2324 Jun 24 Enroll'!M$1,FALSE)+VLOOKUP($A217,EnrollData2324,'2324 Jun 24 Enroll'!D$1,FALSE),'District Calculations'!$B$25+'District Calculations'!$B$11),5)</f>
        <v>1.7399999999999999E-2</v>
      </c>
      <c r="AA217" s="6">
        <f>ROUND($J217*CIS_Base_Salary2324*VLOOKUP($A217,EnrollData2324,'2324 Jun 24 Enroll'!S$1,FALSE),2)</f>
        <v>4523.22</v>
      </c>
      <c r="AB217" s="6">
        <f>ROUND($J217*CIS_Inc_Salary2324*(VLOOKUP($A217,EnrollData2324,'2324 Jun 24 Enroll'!T$1,FALSE)+VLOOKUP($A217,EnrollData2324,'2324 Jun 24 Enroll'!U$1,FALSE)),2)-AA217</f>
        <v>167.35999999999967</v>
      </c>
      <c r="AC217" s="6">
        <f>ROUND($R217*CAS_Base_Salary2324*VLOOKUP($A217,EnrollData2324,'2324 Jun 24 Enroll'!S$1,FALSE),2)</f>
        <v>495.73</v>
      </c>
      <c r="AD217" s="6">
        <f>ROUND($R217*CAS_Inc_Salary2324*VLOOKUP($A217,EnrollData2324,'2324 Jun 24 Enroll'!T$1,FALSE),2)-AC217</f>
        <v>18.340000000000032</v>
      </c>
      <c r="AE217" s="6">
        <f>ROUND($Z217*CLS_Base_Salary2324*VLOOKUP($A217,EnrollData2324,'2324 Jun 24 Enroll'!S$1,FALSE),2)</f>
        <v>1016.75</v>
      </c>
      <c r="AF217" s="6">
        <f>ROUND($Z217*CLS_Inc_Salary2324*VLOOKUP($A217,EnrollData2324,'2324 Jun 24 Enroll'!T$1,FALSE),2)-AE217</f>
        <v>37.6099999999999</v>
      </c>
      <c r="AG217">
        <f t="shared" si="63"/>
        <v>734.16</v>
      </c>
      <c r="AH217" s="69">
        <f t="shared" si="53"/>
        <v>68.700000000000045</v>
      </c>
      <c r="AI217">
        <f t="shared" si="64"/>
        <v>214.23</v>
      </c>
      <c r="AJ217">
        <f t="shared" si="54"/>
        <v>114.21000000000001</v>
      </c>
      <c r="AK217">
        <f t="shared" si="55"/>
        <v>901.91</v>
      </c>
      <c r="AL217">
        <f t="shared" si="56"/>
        <v>32.18</v>
      </c>
      <c r="AM217">
        <f t="shared" si="57"/>
        <v>224.3</v>
      </c>
      <c r="AN217">
        <f t="shared" si="58"/>
        <v>6.98</v>
      </c>
      <c r="AO217">
        <f>ROUND(($J217*CIS_Inc_Salary2324*(VLOOKUP($A217,EnrollData2324,'2324 Jun 24 Enroll'!T$1,FALSE)+VLOOKUP($A217,EnrollData2324,'2324 Jun 24 Enroll'!U$1,FALSE))/Apport_613Xpd)*Apport_614Xpd,2)</f>
        <v>78.180000000000007</v>
      </c>
      <c r="AP217">
        <f t="shared" si="59"/>
        <v>13.55</v>
      </c>
      <c r="AQ217">
        <f t="shared" si="60"/>
        <v>30.93</v>
      </c>
      <c r="AR217" s="6">
        <f>ROUND((VLOOKUP($A217,EnrollData2324,'2324 Jun 24 Enroll'!D$1,FALSE)*Apport_M802324+VLOOKUP($A217,EnrollData2324,'2324 Jun 24 Enroll'!M$1,FALSE)*Apport_M802324+(VLOOKUP($A217,EnrollData2324,'2324 Jun 24 Enroll'!P$1,FALSE)+VLOOKUP($A217,EnrollData2324,'2324 Jun 24 Enroll'!Q$1,FALSE)+VLOOKUP($A217,EnrollData2324,'2324 Jun 24 Enroll'!R$1,FALSE)+VLOOKUP($A217,EnrollData2324,'2324 Jun 24 Enroll'!I$1,FALSE)+VLOOKUP($A217,EnrollData2324,'2324 Jun 24 Enroll'!N$1,FALSE)+VLOOKUP($A217,EnrollData2324,'2324 Jun 24 Enroll'!O$1,FALSE)+VLOOKUP($A217,EnrollData2324,'2324 Jun 24 Enroll'!K$1,FALSE)+VLOOKUP($A217,EnrollData2324,'2324 Jun 24 Enroll'!L$1,FALSE))*Apport_M812324)/(VLOOKUP($A217,EnrollData2324,'2324 Jun 24 Enroll'!M$1,FALSE)+VLOOKUP($A217,EnrollData2324,'2324 Jun 24 Enroll'!D$1,FALSE)),2)</f>
        <v>1483.44</v>
      </c>
      <c r="AS217" s="7">
        <f t="shared" si="61"/>
        <v>10161.779999999999</v>
      </c>
    </row>
    <row r="218" spans="1:45">
      <c r="A218" s="40" t="s">
        <v>910</v>
      </c>
      <c r="B218" s="40" t="s">
        <v>905</v>
      </c>
      <c r="C218" s="11">
        <f>ROUND((IFERROR((1/IF(VLOOKUP($A218,EnrollData2324,28,FALSE)='District Calculations'!$B$10,VLOOKUP($A218,EnrollData2324,28,FALSE),'District Calculations'!$B$10))*(1+Apport_Z315),0))+Apport_201A2324,6)</f>
        <v>7.3449E-2</v>
      </c>
      <c r="D218">
        <f>ROUND(IF(VLOOKUP($A218,EnrollData2324,'2324 Jun 24 Enroll'!D$1,FALSE)='District Calculations'!$B$11,VLOOKUP($A218,EnrollData2324,'2324 Jun 24 Enroll'!D$1,FALSE),'District Calculations'!$B$11)*C218,3)</f>
        <v>0</v>
      </c>
      <c r="E218">
        <f>ROUND(IF(VLOOKUP($A218,EnrollData2324,'2324 Jun 24 Enroll'!E$1,FALSE)='District Calculations'!$B$12,VLOOKUP($A218,EnrollData2324,'2324 Jun 24 Enroll'!E$1,FALSE),'District Calculations'!$B$12)*C218,3)</f>
        <v>59.53</v>
      </c>
      <c r="F218">
        <f>ROUND(IF(VLOOKUP($A218,EnrollData2324,'2324 Jun 24 Enroll'!F$1,FALSE)='District Calculations'!$B$13,VLOOKUP($A218,EnrollData2324,'2324 Jun 24 Enroll'!F$1,FALSE),'District Calculations'!$B$13)*Apport_222A2324,3)</f>
        <v>10.101000000000001</v>
      </c>
      <c r="G218">
        <f>ROUND(IF(VLOOKUP($A218,EnrollData2324,'2324 Jun 24 Enroll'!G$1,FALSE)='District Calculations'!$B$14,VLOOKUP($A218,EnrollData2324,'2324 Jun 24 Enroll'!G$1,FALSE),'District Calculations'!$B$14)*Apport_210A2324,3)</f>
        <v>22.395</v>
      </c>
      <c r="H218">
        <f>ROUND(IF(VLOOKUP($A218,EnrollData2324,'2324 Jun 24 Enroll'!H$1,FALSE)='District Calculations'!$B$15,VLOOKUP($A218,EnrollData2324,'2324 Jun 24 Enroll'!H$1,FALSE),'District Calculations'!$B$15)*Apport_213A2324,3)</f>
        <v>23.091999999999999</v>
      </c>
      <c r="I218">
        <f>ROUND(IF(VLOOKUP($A218,EnrollData2324,'2324 Jun 24 Enroll'!I$1,FALSE)+VLOOKUP($A218,EnrollData2324,'2324 Jun 24 Enroll'!M$1,FALSE)-VLOOKUP($A218,EnrollData2324,'2324 Jun 24 Enroll'!J$1,FALSE)='District Calculations'!$B$16+'District Calculations'!$B$25-'District Calculations'!$B$17,VLOOKUP($A218,EnrollData2324,'2324 Jun 24 Enroll'!I$1,FALSE)+VLOOKUP($A218,EnrollData2324,'2324 Jun 24 Enroll'!M$1,FALSE)-VLOOKUP($A218,EnrollData2324,'2324 Jun 24 Enroll'!J$1,FALSE),'District Calculations'!$B$16+'District Calculations'!$B$25-'District Calculations'!$B$17)*Apport_216A2324,3)</f>
        <v>58.183999999999997</v>
      </c>
      <c r="J218">
        <f>ROUND(SUM(D218:I218)/(IF(VLOOKUP($A218,EnrollData2324,'2324 Jun 24 Enroll'!M$1,FALSE)='District Calculations'!$B$25,VLOOKUP($A218,EnrollData2324,'2324 Jun 24 Enroll'!M$1,FALSE),'District Calculations'!$B$25)+IF(VLOOKUP($A218,EnrollData2324,'2324 Jun 24 Enroll'!D$1,FALSE)='District Calculations'!$B$11,VLOOKUP($A218,EnrollData2324,'2324 Jun 24 Enroll'!D$1,FALSE),'District Calculations'!$B$11)),5)</f>
        <v>5.5530000000000003E-2</v>
      </c>
      <c r="K218" s="11">
        <f t="shared" si="51"/>
        <v>4.365E-3</v>
      </c>
      <c r="L218">
        <f>ROUND(IF(VLOOKUP($A218,EnrollData2324,'2324 Jun 24 Enroll'!D$1,FALSE)='District Calculations'!$B$11,VLOOKUP($A218,EnrollData2324,'2324 Jun 24 Enroll'!D$1,FALSE),'District Calculations'!$B$11)*K218,3)</f>
        <v>0</v>
      </c>
      <c r="M218">
        <f>ROUND(IF(VLOOKUP($A218,EnrollData2324,'2324 Jun 24 Enroll'!E$1,FALSE)='District Calculations'!$B$12,VLOOKUP($A218,EnrollData2324,'2324 Jun 24 Enroll'!E$1,FALSE),'District Calculations'!$B$12)*K218,3)</f>
        <v>3.5379999999999998</v>
      </c>
      <c r="N218">
        <f>ROUND(IF(VLOOKUP($A218,EnrollData2324,'2324 Jun 24 Enroll'!F$1,FALSE)='District Calculations'!$B$13,VLOOKUP($A218,EnrollData2324,'2324 Jun 24 Enroll'!F$1,FALSE),'District Calculations'!$B$13)*Apport_223A2324,3)</f>
        <v>0.84199999999999997</v>
      </c>
      <c r="O218">
        <f>ROUND(IF(VLOOKUP($A218,EnrollData2324,'2324 Jun 24 Enroll'!G$1,FALSE)='District Calculations'!$B$14,VLOOKUP($A218,EnrollData2324,'2324 Jun 24 Enroll'!G$1,FALSE),'District Calculations'!$B$14)*Apport_211A2324,3)</f>
        <v>1.867</v>
      </c>
      <c r="P218">
        <f>ROUND(IF(VLOOKUP($A218,EnrollData2324,'2324 Jun 24 Enroll'!H$1,FALSE)='District Calculations'!$B$14,VLOOKUP($A218,EnrollData2324,'2324 Jun 24 Enroll'!H$1,FALSE),'District Calculations'!$B$14)*Apport_214A2324,3)</f>
        <v>1.8660000000000001</v>
      </c>
      <c r="Q218">
        <f>ROUND(IF(VLOOKUP($A218,EnrollData2324,'2324 Jun 24 Enroll'!I$1,FALSE)+VLOOKUP($A218,EnrollData2324,'2324 Jun 24 Enroll'!M$1,FALSE)-VLOOKUP($A218,EnrollData2324,'2324 Jun 24 Enroll'!J$1,FALSE)='District Calculations'!$B$16+'District Calculations'!$B$25-'District Calculations'!$B$17,VLOOKUP($A218,EnrollData2324,'2324 Jun 24 Enroll'!I$1,FALSE)+VLOOKUP($A218,EnrollData2324,'2324 Jun 24 Enroll'!M$1,FALSE)-VLOOKUP($A218,EnrollData2324,'2324 Jun 24 Enroll'!J$1,FALSE),'District Calculations'!$B$16+'District Calculations'!$B$25-'District Calculations'!$B$17)*Apport_217A2324,3)</f>
        <v>4.6980000000000004</v>
      </c>
      <c r="R218">
        <f>ROUND(SUM(L218:Q218)/IF(VLOOKUP($A218,EnrollData2324,'2324 Jun 24 Enroll'!M$1,FALSE)+VLOOKUP($A218,EnrollData2324,'2324 Jun 24 Enroll'!D$1,FALSE)='District Calculations'!$B$25+'District Calculations'!$B$11,VLOOKUP($A218,EnrollData2324,'2324 Jun 24 Enroll'!M$1,FALSE)+VLOOKUP($A218,EnrollData2324,'2324 Jun 24 Enroll'!D$1,FALSE),'District Calculations'!$B$25+'District Calculations'!$B$11),5)</f>
        <v>4.1000000000000003E-3</v>
      </c>
      <c r="S218" s="11">
        <f t="shared" si="52"/>
        <v>1.8294500000000002E-2</v>
      </c>
      <c r="T218">
        <f>ROUND(IF(VLOOKUP($A218,EnrollData2324,'2324 Jun 24 Enroll'!D$1,FALSE)='District Calculations'!$B$11,VLOOKUP($A218,EnrollData2324,'2324 Jun 24 Enroll'!D$1,FALSE),'District Calculations'!$B$11)*S218,3)</f>
        <v>0</v>
      </c>
      <c r="U218">
        <f>ROUND(IF(VLOOKUP($A218,EnrollData2324,'2324 Jun 24 Enroll'!E$1,FALSE)='District Calculations'!$B$12,VLOOKUP($A218,EnrollData2324,'2324 Jun 24 Enroll'!E$1,FALSE),'District Calculations'!$B$12)*S218,3)</f>
        <v>14.827999999999999</v>
      </c>
      <c r="V218">
        <f>ROUND(IF(VLOOKUP($A218,EnrollData2324,'2324 Jun 24 Enroll'!F$1,FALSE)='District Calculations'!$B$13,VLOOKUP($A218,EnrollData2324,'2324 Jun 24 Enroll'!F$1,FALSE),'District Calculations'!$B$13)*Apport_224A2324,3)</f>
        <v>3.6190000000000002</v>
      </c>
      <c r="W218">
        <f>ROUND(IF(VLOOKUP($A218,EnrollData2324,'2324 Jun 24 Enroll'!G$1,FALSE)='District Calculations'!$B$14,VLOOKUP($A218,EnrollData2324,'2324 Jun 24 Enroll'!G$1,FALSE),'District Calculations'!$B$14)*Apport_212A2324,3)</f>
        <v>8.0239999999999991</v>
      </c>
      <c r="X218">
        <f>ROUND(IF(VLOOKUP($A218,EnrollData2324,'2324 Jun 24 Enroll'!H$1,FALSE)='District Calculations'!$B$14,VLOOKUP($A218,EnrollData2324,'2324 Jun 24 Enroll'!H$1,FALSE),'District Calculations'!$B$14)*Apport_215A2324,3)</f>
        <v>7.9279999999999999</v>
      </c>
      <c r="Y218">
        <f>ROUND(IF(VLOOKUP($A218,EnrollData2324,'2324 Jun 24 Enroll'!I$1,FALSE)+VLOOKUP($A218,EnrollData2324,'2324 Jun 24 Enroll'!M$1,FALSE)-VLOOKUP($A218,EnrollData2324,'2324 Jun 24 Enroll'!J$1,FALSE)='District Calculations'!$B$16+'District Calculations'!$B$25-'District Calculations'!$B$17,VLOOKUP($A218,EnrollData2324,'2324 Jun 24 Enroll'!I$1,FALSE)+VLOOKUP($A218,EnrollData2324,'2324 Jun 24 Enroll'!M$1,FALSE)-VLOOKUP($A218,EnrollData2324,'2324 Jun 24 Enroll'!J$1,FALSE),'District Calculations'!$B$16+'District Calculations'!$B$25-'District Calculations'!$B$17)*Apport_218A2324,3)</f>
        <v>19.917999999999999</v>
      </c>
      <c r="Z218">
        <f>ROUND(SUM(T218:Y218)/IF(VLOOKUP($A218,EnrollData2324,'2324 Jun 24 Enroll'!M$1,FALSE)+VLOOKUP($A218,EnrollData2324,'2324 Jun 24 Enroll'!D$1,FALSE)='District Calculations'!$B$25+'District Calculations'!$B$11,VLOOKUP($A218,EnrollData2324,'2324 Jun 24 Enroll'!M$1,FALSE)+VLOOKUP($A218,EnrollData2324,'2324 Jun 24 Enroll'!D$1,FALSE),'District Calculations'!$B$25+'District Calculations'!$B$11),5)</f>
        <v>1.7399999999999999E-2</v>
      </c>
      <c r="AA218" s="6">
        <f>ROUND($J218*CIS_Base_Salary2324*VLOOKUP($A218,EnrollData2324,'2324 Jun 24 Enroll'!S$1,FALSE),2)</f>
        <v>4523.22</v>
      </c>
      <c r="AB218" s="6">
        <f>ROUND($J218*CIS_Inc_Salary2324*(VLOOKUP($A218,EnrollData2324,'2324 Jun 24 Enroll'!T$1,FALSE)+VLOOKUP($A218,EnrollData2324,'2324 Jun 24 Enroll'!U$1,FALSE)),2)-AA218</f>
        <v>167.35999999999967</v>
      </c>
      <c r="AC218" s="6">
        <f>ROUND($R218*CAS_Base_Salary2324*VLOOKUP($A218,EnrollData2324,'2324 Jun 24 Enroll'!S$1,FALSE),2)</f>
        <v>495.73</v>
      </c>
      <c r="AD218" s="6">
        <f>ROUND($R218*CAS_Inc_Salary2324*VLOOKUP($A218,EnrollData2324,'2324 Jun 24 Enroll'!T$1,FALSE),2)-AC218</f>
        <v>18.340000000000032</v>
      </c>
      <c r="AE218" s="6">
        <f>ROUND($Z218*CLS_Base_Salary2324*VLOOKUP($A218,EnrollData2324,'2324 Jun 24 Enroll'!S$1,FALSE),2)</f>
        <v>1016.75</v>
      </c>
      <c r="AF218" s="6">
        <f>ROUND($Z218*CLS_Inc_Salary2324*VLOOKUP($A218,EnrollData2324,'2324 Jun 24 Enroll'!T$1,FALSE),2)-AE218</f>
        <v>37.6099999999999</v>
      </c>
      <c r="AG218">
        <f t="shared" si="63"/>
        <v>734.16</v>
      </c>
      <c r="AH218" s="69">
        <f t="shared" si="53"/>
        <v>68.700000000000045</v>
      </c>
      <c r="AI218">
        <f t="shared" si="64"/>
        <v>214.23</v>
      </c>
      <c r="AJ218">
        <f t="shared" si="54"/>
        <v>114.21000000000001</v>
      </c>
      <c r="AK218">
        <f t="shared" si="55"/>
        <v>901.91</v>
      </c>
      <c r="AL218">
        <f t="shared" si="56"/>
        <v>32.18</v>
      </c>
      <c r="AM218">
        <f t="shared" si="57"/>
        <v>224.3</v>
      </c>
      <c r="AN218">
        <f t="shared" si="58"/>
        <v>6.98</v>
      </c>
      <c r="AO218">
        <f>ROUND(($J218*CIS_Inc_Salary2324*(VLOOKUP($A218,EnrollData2324,'2324 Jun 24 Enroll'!T$1,FALSE)+VLOOKUP($A218,EnrollData2324,'2324 Jun 24 Enroll'!U$1,FALSE))/Apport_613Xpd)*Apport_614Xpd,2)</f>
        <v>78.180000000000007</v>
      </c>
      <c r="AP218">
        <f t="shared" si="59"/>
        <v>13.55</v>
      </c>
      <c r="AQ218">
        <f t="shared" si="60"/>
        <v>30.93</v>
      </c>
      <c r="AR218" s="6">
        <f>ROUND((VLOOKUP($A218,EnrollData2324,'2324 Jun 24 Enroll'!D$1,FALSE)*Apport_M802324+VLOOKUP($A218,EnrollData2324,'2324 Jun 24 Enroll'!M$1,FALSE)*Apport_M802324+(VLOOKUP($A218,EnrollData2324,'2324 Jun 24 Enroll'!P$1,FALSE)+VLOOKUP($A218,EnrollData2324,'2324 Jun 24 Enroll'!Q$1,FALSE)+VLOOKUP($A218,EnrollData2324,'2324 Jun 24 Enroll'!R$1,FALSE)+VLOOKUP($A218,EnrollData2324,'2324 Jun 24 Enroll'!I$1,FALSE)+VLOOKUP($A218,EnrollData2324,'2324 Jun 24 Enroll'!N$1,FALSE)+VLOOKUP($A218,EnrollData2324,'2324 Jun 24 Enroll'!O$1,FALSE)+VLOOKUP($A218,EnrollData2324,'2324 Jun 24 Enroll'!K$1,FALSE)+VLOOKUP($A218,EnrollData2324,'2324 Jun 24 Enroll'!L$1,FALSE))*Apport_M812324)/(VLOOKUP($A218,EnrollData2324,'2324 Jun 24 Enroll'!M$1,FALSE)+VLOOKUP($A218,EnrollData2324,'2324 Jun 24 Enroll'!D$1,FALSE)),2)</f>
        <v>1683.67</v>
      </c>
      <c r="AS218" s="7">
        <f t="shared" si="61"/>
        <v>10362.009999999998</v>
      </c>
    </row>
    <row r="219" spans="1:45">
      <c r="A219" s="40" t="s">
        <v>757</v>
      </c>
      <c r="B219" s="40" t="s">
        <v>758</v>
      </c>
      <c r="C219" s="11">
        <f>ROUND((IFERROR((1/IF(VLOOKUP($A219,EnrollData2324,28,FALSE)='District Calculations'!$B$10,VLOOKUP($A219,EnrollData2324,28,FALSE),'District Calculations'!$B$10))*(1+Apport_Z315),0))+Apport_201A2324,6)</f>
        <v>7.3449E-2</v>
      </c>
      <c r="D219">
        <f>ROUND(IF(VLOOKUP($A219,EnrollData2324,'2324 Jun 24 Enroll'!D$1,FALSE)='District Calculations'!$B$11,VLOOKUP($A219,EnrollData2324,'2324 Jun 24 Enroll'!D$1,FALSE),'District Calculations'!$B$11)*C219,3)</f>
        <v>0</v>
      </c>
      <c r="E219">
        <f>ROUND(IF(VLOOKUP($A219,EnrollData2324,'2324 Jun 24 Enroll'!E$1,FALSE)='District Calculations'!$B$12,VLOOKUP($A219,EnrollData2324,'2324 Jun 24 Enroll'!E$1,FALSE),'District Calculations'!$B$12)*C219,3)</f>
        <v>59.53</v>
      </c>
      <c r="F219">
        <f>ROUND(IF(VLOOKUP($A219,EnrollData2324,'2324 Jun 24 Enroll'!F$1,FALSE)='District Calculations'!$B$13,VLOOKUP($A219,EnrollData2324,'2324 Jun 24 Enroll'!F$1,FALSE),'District Calculations'!$B$13)*Apport_222A2324,3)</f>
        <v>10.101000000000001</v>
      </c>
      <c r="G219">
        <f>ROUND(IF(VLOOKUP($A219,EnrollData2324,'2324 Jun 24 Enroll'!G$1,FALSE)='District Calculations'!$B$14,VLOOKUP($A219,EnrollData2324,'2324 Jun 24 Enroll'!G$1,FALSE),'District Calculations'!$B$14)*Apport_210A2324,3)</f>
        <v>22.395</v>
      </c>
      <c r="H219">
        <f>ROUND(IF(VLOOKUP($A219,EnrollData2324,'2324 Jun 24 Enroll'!H$1,FALSE)='District Calculations'!$B$15,VLOOKUP($A219,EnrollData2324,'2324 Jun 24 Enroll'!H$1,FALSE),'District Calculations'!$B$15)*Apport_213A2324,3)</f>
        <v>23.091999999999999</v>
      </c>
      <c r="I219">
        <f>ROUND(IF(VLOOKUP($A219,EnrollData2324,'2324 Jun 24 Enroll'!I$1,FALSE)+VLOOKUP($A219,EnrollData2324,'2324 Jun 24 Enroll'!M$1,FALSE)-VLOOKUP($A219,EnrollData2324,'2324 Jun 24 Enroll'!J$1,FALSE)='District Calculations'!$B$16+'District Calculations'!$B$25-'District Calculations'!$B$17,VLOOKUP($A219,EnrollData2324,'2324 Jun 24 Enroll'!I$1,FALSE)+VLOOKUP($A219,EnrollData2324,'2324 Jun 24 Enroll'!M$1,FALSE)-VLOOKUP($A219,EnrollData2324,'2324 Jun 24 Enroll'!J$1,FALSE),'District Calculations'!$B$16+'District Calculations'!$B$25-'District Calculations'!$B$17)*Apport_216A2324,3)</f>
        <v>58.183999999999997</v>
      </c>
      <c r="J219">
        <f>ROUND(SUM(D219:I219)/(IF(VLOOKUP($A219,EnrollData2324,'2324 Jun 24 Enroll'!M$1,FALSE)='District Calculations'!$B$25,VLOOKUP($A219,EnrollData2324,'2324 Jun 24 Enroll'!M$1,FALSE),'District Calculations'!$B$25)+IF(VLOOKUP($A219,EnrollData2324,'2324 Jun 24 Enroll'!D$1,FALSE)='District Calculations'!$B$11,VLOOKUP($A219,EnrollData2324,'2324 Jun 24 Enroll'!D$1,FALSE),'District Calculations'!$B$11)),5)</f>
        <v>5.5530000000000003E-2</v>
      </c>
      <c r="K219" s="11">
        <f t="shared" si="51"/>
        <v>4.365E-3</v>
      </c>
      <c r="L219">
        <f>ROUND(IF(VLOOKUP($A219,EnrollData2324,'2324 Jun 24 Enroll'!D$1,FALSE)='District Calculations'!$B$11,VLOOKUP($A219,EnrollData2324,'2324 Jun 24 Enroll'!D$1,FALSE),'District Calculations'!$B$11)*K219,3)</f>
        <v>0</v>
      </c>
      <c r="M219">
        <f>ROUND(IF(VLOOKUP($A219,EnrollData2324,'2324 Jun 24 Enroll'!E$1,FALSE)='District Calculations'!$B$12,VLOOKUP($A219,EnrollData2324,'2324 Jun 24 Enroll'!E$1,FALSE),'District Calculations'!$B$12)*K219,3)</f>
        <v>3.5379999999999998</v>
      </c>
      <c r="N219">
        <f>ROUND(IF(VLOOKUP($A219,EnrollData2324,'2324 Jun 24 Enroll'!F$1,FALSE)='District Calculations'!$B$13,VLOOKUP($A219,EnrollData2324,'2324 Jun 24 Enroll'!F$1,FALSE),'District Calculations'!$B$13)*Apport_223A2324,3)</f>
        <v>0.84199999999999997</v>
      </c>
      <c r="O219">
        <f>ROUND(IF(VLOOKUP($A219,EnrollData2324,'2324 Jun 24 Enroll'!G$1,FALSE)='District Calculations'!$B$14,VLOOKUP($A219,EnrollData2324,'2324 Jun 24 Enroll'!G$1,FALSE),'District Calculations'!$B$14)*Apport_211A2324,3)</f>
        <v>1.867</v>
      </c>
      <c r="P219">
        <f>ROUND(IF(VLOOKUP($A219,EnrollData2324,'2324 Jun 24 Enroll'!H$1,FALSE)='District Calculations'!$B$14,VLOOKUP($A219,EnrollData2324,'2324 Jun 24 Enroll'!H$1,FALSE),'District Calculations'!$B$14)*Apport_214A2324,3)</f>
        <v>1.8660000000000001</v>
      </c>
      <c r="Q219">
        <f>ROUND(IF(VLOOKUP($A219,EnrollData2324,'2324 Jun 24 Enroll'!I$1,FALSE)+VLOOKUP($A219,EnrollData2324,'2324 Jun 24 Enroll'!M$1,FALSE)-VLOOKUP($A219,EnrollData2324,'2324 Jun 24 Enroll'!J$1,FALSE)='District Calculations'!$B$16+'District Calculations'!$B$25-'District Calculations'!$B$17,VLOOKUP($A219,EnrollData2324,'2324 Jun 24 Enroll'!I$1,FALSE)+VLOOKUP($A219,EnrollData2324,'2324 Jun 24 Enroll'!M$1,FALSE)-VLOOKUP($A219,EnrollData2324,'2324 Jun 24 Enroll'!J$1,FALSE),'District Calculations'!$B$16+'District Calculations'!$B$25-'District Calculations'!$B$17)*Apport_217A2324,3)</f>
        <v>4.6980000000000004</v>
      </c>
      <c r="R219">
        <f>ROUND(SUM(L219:Q219)/IF(VLOOKUP($A219,EnrollData2324,'2324 Jun 24 Enroll'!M$1,FALSE)+VLOOKUP($A219,EnrollData2324,'2324 Jun 24 Enroll'!D$1,FALSE)='District Calculations'!$B$25+'District Calculations'!$B$11,VLOOKUP($A219,EnrollData2324,'2324 Jun 24 Enroll'!M$1,FALSE)+VLOOKUP($A219,EnrollData2324,'2324 Jun 24 Enroll'!D$1,FALSE),'District Calculations'!$B$25+'District Calculations'!$B$11),5)</f>
        <v>4.1000000000000003E-3</v>
      </c>
      <c r="S219" s="11">
        <f t="shared" si="52"/>
        <v>1.8294500000000002E-2</v>
      </c>
      <c r="T219">
        <f>ROUND(IF(VLOOKUP($A219,EnrollData2324,'2324 Jun 24 Enroll'!D$1,FALSE)='District Calculations'!$B$11,VLOOKUP($A219,EnrollData2324,'2324 Jun 24 Enroll'!D$1,FALSE),'District Calculations'!$B$11)*S219,3)</f>
        <v>0</v>
      </c>
      <c r="U219">
        <f>ROUND(IF(VLOOKUP($A219,EnrollData2324,'2324 Jun 24 Enroll'!E$1,FALSE)='District Calculations'!$B$12,VLOOKUP($A219,EnrollData2324,'2324 Jun 24 Enroll'!E$1,FALSE),'District Calculations'!$B$12)*S219,3)</f>
        <v>14.827999999999999</v>
      </c>
      <c r="V219">
        <f>ROUND(IF(VLOOKUP($A219,EnrollData2324,'2324 Jun 24 Enroll'!F$1,FALSE)='District Calculations'!$B$13,VLOOKUP($A219,EnrollData2324,'2324 Jun 24 Enroll'!F$1,FALSE),'District Calculations'!$B$13)*Apport_224A2324,3)</f>
        <v>3.6190000000000002</v>
      </c>
      <c r="W219">
        <f>ROUND(IF(VLOOKUP($A219,EnrollData2324,'2324 Jun 24 Enroll'!G$1,FALSE)='District Calculations'!$B$14,VLOOKUP($A219,EnrollData2324,'2324 Jun 24 Enroll'!G$1,FALSE),'District Calculations'!$B$14)*Apport_212A2324,3)</f>
        <v>8.0239999999999991</v>
      </c>
      <c r="X219">
        <f>ROUND(IF(VLOOKUP($A219,EnrollData2324,'2324 Jun 24 Enroll'!H$1,FALSE)='District Calculations'!$B$14,VLOOKUP($A219,EnrollData2324,'2324 Jun 24 Enroll'!H$1,FALSE),'District Calculations'!$B$14)*Apport_215A2324,3)</f>
        <v>7.9279999999999999</v>
      </c>
      <c r="Y219">
        <f>ROUND(IF(VLOOKUP($A219,EnrollData2324,'2324 Jun 24 Enroll'!I$1,FALSE)+VLOOKUP($A219,EnrollData2324,'2324 Jun 24 Enroll'!M$1,FALSE)-VLOOKUP($A219,EnrollData2324,'2324 Jun 24 Enroll'!J$1,FALSE)='District Calculations'!$B$16+'District Calculations'!$B$25-'District Calculations'!$B$17,VLOOKUP($A219,EnrollData2324,'2324 Jun 24 Enroll'!I$1,FALSE)+VLOOKUP($A219,EnrollData2324,'2324 Jun 24 Enroll'!M$1,FALSE)-VLOOKUP($A219,EnrollData2324,'2324 Jun 24 Enroll'!J$1,FALSE),'District Calculations'!$B$16+'District Calculations'!$B$25-'District Calculations'!$B$17)*Apport_218A2324,3)</f>
        <v>19.917999999999999</v>
      </c>
      <c r="Z219">
        <f>ROUND(SUM(T219:Y219)/IF(VLOOKUP($A219,EnrollData2324,'2324 Jun 24 Enroll'!M$1,FALSE)+VLOOKUP($A219,EnrollData2324,'2324 Jun 24 Enroll'!D$1,FALSE)='District Calculations'!$B$25+'District Calculations'!$B$11,VLOOKUP($A219,EnrollData2324,'2324 Jun 24 Enroll'!M$1,FALSE)+VLOOKUP($A219,EnrollData2324,'2324 Jun 24 Enroll'!D$1,FALSE),'District Calculations'!$B$25+'District Calculations'!$B$11),5)</f>
        <v>1.7399999999999999E-2</v>
      </c>
      <c r="AA219" s="6">
        <f>ROUND($J219*CIS_Base_Salary2324*VLOOKUP($A219,EnrollData2324,'2324 Jun 24 Enroll'!S$1,FALSE),2)</f>
        <v>4765.53</v>
      </c>
      <c r="AB219" s="6">
        <f>ROUND($J219*CIS_Inc_Salary2324*(VLOOKUP($A219,EnrollData2324,'2324 Jun 24 Enroll'!T$1,FALSE)+VLOOKUP($A219,EnrollData2324,'2324 Jun 24 Enroll'!U$1,FALSE)),2)-AA219</f>
        <v>176.32999999999993</v>
      </c>
      <c r="AC219" s="6">
        <f>ROUND($R219*CAS_Base_Salary2324*VLOOKUP($A219,EnrollData2324,'2324 Jun 24 Enroll'!S$1,FALSE),2)</f>
        <v>522.29</v>
      </c>
      <c r="AD219" s="6">
        <f>ROUND($R219*CAS_Inc_Salary2324*VLOOKUP($A219,EnrollData2324,'2324 Jun 24 Enroll'!T$1,FALSE),2)-AC219</f>
        <v>19.32000000000005</v>
      </c>
      <c r="AE219" s="6">
        <f>ROUND($Z219*CLS_Base_Salary2324*VLOOKUP($A219,EnrollData2324,'2324 Jun 24 Enroll'!S$1,FALSE),2)</f>
        <v>1071.22</v>
      </c>
      <c r="AF219" s="6">
        <f>ROUND($Z219*CLS_Inc_Salary2324*VLOOKUP($A219,EnrollData2324,'2324 Jun 24 Enroll'!T$1,FALSE),2)-AE219</f>
        <v>39.619999999999891</v>
      </c>
      <c r="AG219">
        <f t="shared" si="63"/>
        <v>734.16</v>
      </c>
      <c r="AH219" s="69">
        <f t="shared" si="53"/>
        <v>68.700000000000045</v>
      </c>
      <c r="AI219">
        <f t="shared" si="64"/>
        <v>214.23</v>
      </c>
      <c r="AJ219">
        <f t="shared" si="54"/>
        <v>114.21000000000001</v>
      </c>
      <c r="AK219">
        <f t="shared" si="55"/>
        <v>950.22</v>
      </c>
      <c r="AL219">
        <f t="shared" si="56"/>
        <v>33.909999999999997</v>
      </c>
      <c r="AM219">
        <f t="shared" si="57"/>
        <v>236.31</v>
      </c>
      <c r="AN219">
        <f t="shared" si="58"/>
        <v>7.35</v>
      </c>
      <c r="AO219">
        <f>ROUND(($J219*CIS_Inc_Salary2324*(VLOOKUP($A219,EnrollData2324,'2324 Jun 24 Enroll'!T$1,FALSE)+VLOOKUP($A219,EnrollData2324,'2324 Jun 24 Enroll'!U$1,FALSE))/Apport_613Xpd)*Apport_614Xpd,2)</f>
        <v>82.36</v>
      </c>
      <c r="AP219">
        <f t="shared" si="59"/>
        <v>14.27</v>
      </c>
      <c r="AQ219">
        <f t="shared" si="60"/>
        <v>30.93</v>
      </c>
      <c r="AR219" s="6">
        <f>ROUND((VLOOKUP($A219,EnrollData2324,'2324 Jun 24 Enroll'!D$1,FALSE)*Apport_M802324+VLOOKUP($A219,EnrollData2324,'2324 Jun 24 Enroll'!M$1,FALSE)*Apport_M802324+(VLOOKUP($A219,EnrollData2324,'2324 Jun 24 Enroll'!P$1,FALSE)+VLOOKUP($A219,EnrollData2324,'2324 Jun 24 Enroll'!Q$1,FALSE)+VLOOKUP($A219,EnrollData2324,'2324 Jun 24 Enroll'!R$1,FALSE)+VLOOKUP($A219,EnrollData2324,'2324 Jun 24 Enroll'!I$1,FALSE)+VLOOKUP($A219,EnrollData2324,'2324 Jun 24 Enroll'!N$1,FALSE)+VLOOKUP($A219,EnrollData2324,'2324 Jun 24 Enroll'!O$1,FALSE)+VLOOKUP($A219,EnrollData2324,'2324 Jun 24 Enroll'!K$1,FALSE)+VLOOKUP($A219,EnrollData2324,'2324 Jun 24 Enroll'!L$1,FALSE))*Apport_M812324)/(VLOOKUP($A219,EnrollData2324,'2324 Jun 24 Enroll'!M$1,FALSE)+VLOOKUP($A219,EnrollData2324,'2324 Jun 24 Enroll'!D$1,FALSE)),2)</f>
        <v>1483.44</v>
      </c>
      <c r="AS219" s="7">
        <f t="shared" si="61"/>
        <v>10564.4</v>
      </c>
    </row>
    <row r="220" spans="1:45">
      <c r="A220" s="40" t="s">
        <v>663</v>
      </c>
      <c r="B220" s="40" t="s">
        <v>664</v>
      </c>
      <c r="C220" s="11">
        <f>ROUND((IFERROR((1/IF(VLOOKUP($A220,EnrollData2324,28,FALSE)='District Calculations'!$B$10,VLOOKUP($A220,EnrollData2324,28,FALSE),'District Calculations'!$B$10))*(1+Apport_Z315),0))+Apport_201A2324,6)</f>
        <v>7.3449E-2</v>
      </c>
      <c r="D220">
        <f>ROUND(IF(VLOOKUP($A220,EnrollData2324,'2324 Jun 24 Enroll'!D$1,FALSE)='District Calculations'!$B$11,VLOOKUP($A220,EnrollData2324,'2324 Jun 24 Enroll'!D$1,FALSE),'District Calculations'!$B$11)*C220,3)</f>
        <v>0</v>
      </c>
      <c r="E220">
        <f>ROUND(IF(VLOOKUP($A220,EnrollData2324,'2324 Jun 24 Enroll'!E$1,FALSE)='District Calculations'!$B$12,VLOOKUP($A220,EnrollData2324,'2324 Jun 24 Enroll'!E$1,FALSE),'District Calculations'!$B$12)*C220,3)</f>
        <v>59.53</v>
      </c>
      <c r="F220">
        <f>ROUND(IF(VLOOKUP($A220,EnrollData2324,'2324 Jun 24 Enroll'!F$1,FALSE)='District Calculations'!$B$13,VLOOKUP($A220,EnrollData2324,'2324 Jun 24 Enroll'!F$1,FALSE),'District Calculations'!$B$13)*Apport_222A2324,3)</f>
        <v>10.101000000000001</v>
      </c>
      <c r="G220">
        <f>ROUND(IF(VLOOKUP($A220,EnrollData2324,'2324 Jun 24 Enroll'!G$1,FALSE)='District Calculations'!$B$14,VLOOKUP($A220,EnrollData2324,'2324 Jun 24 Enroll'!G$1,FALSE),'District Calculations'!$B$14)*Apport_210A2324,3)</f>
        <v>22.395</v>
      </c>
      <c r="H220">
        <f>ROUND(IF(VLOOKUP($A220,EnrollData2324,'2324 Jun 24 Enroll'!H$1,FALSE)='District Calculations'!$B$15,VLOOKUP($A220,EnrollData2324,'2324 Jun 24 Enroll'!H$1,FALSE),'District Calculations'!$B$15)*Apport_213A2324,3)</f>
        <v>23.091999999999999</v>
      </c>
      <c r="I220">
        <f>ROUND(IF(VLOOKUP($A220,EnrollData2324,'2324 Jun 24 Enroll'!I$1,FALSE)+VLOOKUP($A220,EnrollData2324,'2324 Jun 24 Enroll'!M$1,FALSE)-VLOOKUP($A220,EnrollData2324,'2324 Jun 24 Enroll'!J$1,FALSE)='District Calculations'!$B$16+'District Calculations'!$B$25-'District Calculations'!$B$17,VLOOKUP($A220,EnrollData2324,'2324 Jun 24 Enroll'!I$1,FALSE)+VLOOKUP($A220,EnrollData2324,'2324 Jun 24 Enroll'!M$1,FALSE)-VLOOKUP($A220,EnrollData2324,'2324 Jun 24 Enroll'!J$1,FALSE),'District Calculations'!$B$16+'District Calculations'!$B$25-'District Calculations'!$B$17)*Apport_216A2324,3)</f>
        <v>58.183999999999997</v>
      </c>
      <c r="J220">
        <f>ROUND(SUM(D220:I220)/(IF(VLOOKUP($A220,EnrollData2324,'2324 Jun 24 Enroll'!M$1,FALSE)='District Calculations'!$B$25,VLOOKUP($A220,EnrollData2324,'2324 Jun 24 Enroll'!M$1,FALSE),'District Calculations'!$B$25)+IF(VLOOKUP($A220,EnrollData2324,'2324 Jun 24 Enroll'!D$1,FALSE)='District Calculations'!$B$11,VLOOKUP($A220,EnrollData2324,'2324 Jun 24 Enroll'!D$1,FALSE),'District Calculations'!$B$11)),5)</f>
        <v>5.5530000000000003E-2</v>
      </c>
      <c r="K220" s="11">
        <f t="shared" si="51"/>
        <v>4.365E-3</v>
      </c>
      <c r="L220">
        <f>ROUND(IF(VLOOKUP($A220,EnrollData2324,'2324 Jun 24 Enroll'!D$1,FALSE)='District Calculations'!$B$11,VLOOKUP($A220,EnrollData2324,'2324 Jun 24 Enroll'!D$1,FALSE),'District Calculations'!$B$11)*K220,3)</f>
        <v>0</v>
      </c>
      <c r="M220">
        <f>ROUND(IF(VLOOKUP($A220,EnrollData2324,'2324 Jun 24 Enroll'!E$1,FALSE)='District Calculations'!$B$12,VLOOKUP($A220,EnrollData2324,'2324 Jun 24 Enroll'!E$1,FALSE),'District Calculations'!$B$12)*K220,3)</f>
        <v>3.5379999999999998</v>
      </c>
      <c r="N220">
        <f>ROUND(IF(VLOOKUP($A220,EnrollData2324,'2324 Jun 24 Enroll'!F$1,FALSE)='District Calculations'!$B$13,VLOOKUP($A220,EnrollData2324,'2324 Jun 24 Enroll'!F$1,FALSE),'District Calculations'!$B$13)*Apport_223A2324,3)</f>
        <v>0.84199999999999997</v>
      </c>
      <c r="O220">
        <f>ROUND(IF(VLOOKUP($A220,EnrollData2324,'2324 Jun 24 Enroll'!G$1,FALSE)='District Calculations'!$B$14,VLOOKUP($A220,EnrollData2324,'2324 Jun 24 Enroll'!G$1,FALSE),'District Calculations'!$B$14)*Apport_211A2324,3)</f>
        <v>1.867</v>
      </c>
      <c r="P220">
        <f>ROUND(IF(VLOOKUP($A220,EnrollData2324,'2324 Jun 24 Enroll'!H$1,FALSE)='District Calculations'!$B$14,VLOOKUP($A220,EnrollData2324,'2324 Jun 24 Enroll'!H$1,FALSE),'District Calculations'!$B$14)*Apport_214A2324,3)</f>
        <v>1.8660000000000001</v>
      </c>
      <c r="Q220">
        <f>ROUND(IF(VLOOKUP($A220,EnrollData2324,'2324 Jun 24 Enroll'!I$1,FALSE)+VLOOKUP($A220,EnrollData2324,'2324 Jun 24 Enroll'!M$1,FALSE)-VLOOKUP($A220,EnrollData2324,'2324 Jun 24 Enroll'!J$1,FALSE)='District Calculations'!$B$16+'District Calculations'!$B$25-'District Calculations'!$B$17,VLOOKUP($A220,EnrollData2324,'2324 Jun 24 Enroll'!I$1,FALSE)+VLOOKUP($A220,EnrollData2324,'2324 Jun 24 Enroll'!M$1,FALSE)-VLOOKUP($A220,EnrollData2324,'2324 Jun 24 Enroll'!J$1,FALSE),'District Calculations'!$B$16+'District Calculations'!$B$25-'District Calculations'!$B$17)*Apport_217A2324,3)</f>
        <v>4.6980000000000004</v>
      </c>
      <c r="R220">
        <f>ROUND(SUM(L220:Q220)/IF(VLOOKUP($A220,EnrollData2324,'2324 Jun 24 Enroll'!M$1,FALSE)+VLOOKUP($A220,EnrollData2324,'2324 Jun 24 Enroll'!D$1,FALSE)='District Calculations'!$B$25+'District Calculations'!$B$11,VLOOKUP($A220,EnrollData2324,'2324 Jun 24 Enroll'!M$1,FALSE)+VLOOKUP($A220,EnrollData2324,'2324 Jun 24 Enroll'!D$1,FALSE),'District Calculations'!$B$25+'District Calculations'!$B$11),5)</f>
        <v>4.1000000000000003E-3</v>
      </c>
      <c r="S220" s="11">
        <f t="shared" si="52"/>
        <v>1.8294500000000002E-2</v>
      </c>
      <c r="T220">
        <f>ROUND(IF(VLOOKUP($A220,EnrollData2324,'2324 Jun 24 Enroll'!D$1,FALSE)='District Calculations'!$B$11,VLOOKUP($A220,EnrollData2324,'2324 Jun 24 Enroll'!D$1,FALSE),'District Calculations'!$B$11)*S220,3)</f>
        <v>0</v>
      </c>
      <c r="U220">
        <f>ROUND(IF(VLOOKUP($A220,EnrollData2324,'2324 Jun 24 Enroll'!E$1,FALSE)='District Calculations'!$B$12,VLOOKUP($A220,EnrollData2324,'2324 Jun 24 Enroll'!E$1,FALSE),'District Calculations'!$B$12)*S220,3)</f>
        <v>14.827999999999999</v>
      </c>
      <c r="V220">
        <f>ROUND(IF(VLOOKUP($A220,EnrollData2324,'2324 Jun 24 Enroll'!F$1,FALSE)='District Calculations'!$B$13,VLOOKUP($A220,EnrollData2324,'2324 Jun 24 Enroll'!F$1,FALSE),'District Calculations'!$B$13)*Apport_224A2324,3)</f>
        <v>3.6190000000000002</v>
      </c>
      <c r="W220">
        <f>ROUND(IF(VLOOKUP($A220,EnrollData2324,'2324 Jun 24 Enroll'!G$1,FALSE)='District Calculations'!$B$14,VLOOKUP($A220,EnrollData2324,'2324 Jun 24 Enroll'!G$1,FALSE),'District Calculations'!$B$14)*Apport_212A2324,3)</f>
        <v>8.0239999999999991</v>
      </c>
      <c r="X220">
        <f>ROUND(IF(VLOOKUP($A220,EnrollData2324,'2324 Jun 24 Enroll'!H$1,FALSE)='District Calculations'!$B$14,VLOOKUP($A220,EnrollData2324,'2324 Jun 24 Enroll'!H$1,FALSE),'District Calculations'!$B$14)*Apport_215A2324,3)</f>
        <v>7.9279999999999999</v>
      </c>
      <c r="Y220">
        <f>ROUND(IF(VLOOKUP($A220,EnrollData2324,'2324 Jun 24 Enroll'!I$1,FALSE)+VLOOKUP($A220,EnrollData2324,'2324 Jun 24 Enroll'!M$1,FALSE)-VLOOKUP($A220,EnrollData2324,'2324 Jun 24 Enroll'!J$1,FALSE)='District Calculations'!$B$16+'District Calculations'!$B$25-'District Calculations'!$B$17,VLOOKUP($A220,EnrollData2324,'2324 Jun 24 Enroll'!I$1,FALSE)+VLOOKUP($A220,EnrollData2324,'2324 Jun 24 Enroll'!M$1,FALSE)-VLOOKUP($A220,EnrollData2324,'2324 Jun 24 Enroll'!J$1,FALSE),'District Calculations'!$B$16+'District Calculations'!$B$25-'District Calculations'!$B$17)*Apport_218A2324,3)</f>
        <v>19.917999999999999</v>
      </c>
      <c r="Z220">
        <f>ROUND(SUM(T220:Y220)/IF(VLOOKUP($A220,EnrollData2324,'2324 Jun 24 Enroll'!M$1,FALSE)+VLOOKUP($A220,EnrollData2324,'2324 Jun 24 Enroll'!D$1,FALSE)='District Calculations'!$B$25+'District Calculations'!$B$11,VLOOKUP($A220,EnrollData2324,'2324 Jun 24 Enroll'!M$1,FALSE)+VLOOKUP($A220,EnrollData2324,'2324 Jun 24 Enroll'!D$1,FALSE),'District Calculations'!$B$25+'District Calculations'!$B$11),5)</f>
        <v>1.7399999999999999E-2</v>
      </c>
      <c r="AA220" s="6">
        <f>ROUND($J220*CIS_Base_Salary2324*VLOOKUP($A220,EnrollData2324,'2324 Jun 24 Enroll'!S$1,FALSE),2)</f>
        <v>4523.22</v>
      </c>
      <c r="AB220" s="6">
        <f>ROUND($J220*CIS_Inc_Salary2324*(VLOOKUP($A220,EnrollData2324,'2324 Jun 24 Enroll'!T$1,FALSE)+VLOOKUP($A220,EnrollData2324,'2324 Jun 24 Enroll'!U$1,FALSE)),2)-AA220</f>
        <v>167.35999999999967</v>
      </c>
      <c r="AC220" s="6">
        <f>ROUND($R220*CAS_Base_Salary2324*VLOOKUP($A220,EnrollData2324,'2324 Jun 24 Enroll'!S$1,FALSE),2)</f>
        <v>495.73</v>
      </c>
      <c r="AD220" s="6">
        <f>ROUND($R220*CAS_Inc_Salary2324*VLOOKUP($A220,EnrollData2324,'2324 Jun 24 Enroll'!T$1,FALSE),2)-AC220</f>
        <v>18.340000000000032</v>
      </c>
      <c r="AE220" s="6">
        <f>ROUND($Z220*CLS_Base_Salary2324*VLOOKUP($A220,EnrollData2324,'2324 Jun 24 Enroll'!S$1,FALSE),2)</f>
        <v>1016.75</v>
      </c>
      <c r="AF220" s="6">
        <f>ROUND($Z220*CLS_Inc_Salary2324*VLOOKUP($A220,EnrollData2324,'2324 Jun 24 Enroll'!T$1,FALSE),2)-AE220</f>
        <v>37.6099999999999</v>
      </c>
      <c r="AG220">
        <f t="shared" si="63"/>
        <v>734.16</v>
      </c>
      <c r="AH220" s="69">
        <f t="shared" si="53"/>
        <v>68.700000000000045</v>
      </c>
      <c r="AI220">
        <f t="shared" si="64"/>
        <v>214.23</v>
      </c>
      <c r="AJ220">
        <f t="shared" si="54"/>
        <v>114.21000000000001</v>
      </c>
      <c r="AK220">
        <f t="shared" si="55"/>
        <v>901.91</v>
      </c>
      <c r="AL220">
        <f t="shared" si="56"/>
        <v>32.18</v>
      </c>
      <c r="AM220">
        <f t="shared" si="57"/>
        <v>224.3</v>
      </c>
      <c r="AN220">
        <f t="shared" si="58"/>
        <v>6.98</v>
      </c>
      <c r="AO220">
        <f>ROUND(($J220*CIS_Inc_Salary2324*(VLOOKUP($A220,EnrollData2324,'2324 Jun 24 Enroll'!T$1,FALSE)+VLOOKUP($A220,EnrollData2324,'2324 Jun 24 Enroll'!U$1,FALSE))/Apport_613Xpd)*Apport_614Xpd,2)</f>
        <v>78.180000000000007</v>
      </c>
      <c r="AP220">
        <f t="shared" si="59"/>
        <v>13.55</v>
      </c>
      <c r="AQ220">
        <f t="shared" si="60"/>
        <v>30.93</v>
      </c>
      <c r="AR220" s="6">
        <f>ROUND((VLOOKUP($A220,EnrollData2324,'2324 Jun 24 Enroll'!D$1,FALSE)*Apport_M802324+VLOOKUP($A220,EnrollData2324,'2324 Jun 24 Enroll'!M$1,FALSE)*Apport_M802324+(VLOOKUP($A220,EnrollData2324,'2324 Jun 24 Enroll'!P$1,FALSE)+VLOOKUP($A220,EnrollData2324,'2324 Jun 24 Enroll'!Q$1,FALSE)+VLOOKUP($A220,EnrollData2324,'2324 Jun 24 Enroll'!R$1,FALSE)+VLOOKUP($A220,EnrollData2324,'2324 Jun 24 Enroll'!I$1,FALSE)+VLOOKUP($A220,EnrollData2324,'2324 Jun 24 Enroll'!N$1,FALSE)+VLOOKUP($A220,EnrollData2324,'2324 Jun 24 Enroll'!O$1,FALSE)+VLOOKUP($A220,EnrollData2324,'2324 Jun 24 Enroll'!K$1,FALSE)+VLOOKUP($A220,EnrollData2324,'2324 Jun 24 Enroll'!L$1,FALSE))*Apport_M812324)/(VLOOKUP($A220,EnrollData2324,'2324 Jun 24 Enroll'!M$1,FALSE)+VLOOKUP($A220,EnrollData2324,'2324 Jun 24 Enroll'!D$1,FALSE)),2)</f>
        <v>1612.87</v>
      </c>
      <c r="AS220" s="7">
        <f t="shared" si="61"/>
        <v>10291.209999999999</v>
      </c>
    </row>
    <row r="221" spans="1:45">
      <c r="A221" s="40" t="s">
        <v>562</v>
      </c>
      <c r="B221" s="40" t="s">
        <v>563</v>
      </c>
      <c r="C221" s="11">
        <f>ROUND((IFERROR((1/IF(VLOOKUP($A221,EnrollData2324,28,FALSE)='District Calculations'!$B$10,VLOOKUP($A221,EnrollData2324,28,FALSE),'District Calculations'!$B$10))*(1+Apport_Z315),0))+Apport_201A2324,6)</f>
        <v>7.3449E-2</v>
      </c>
      <c r="D221">
        <f>ROUND(IF(VLOOKUP($A221,EnrollData2324,'2324 Jun 24 Enroll'!D$1,FALSE)='District Calculations'!$B$11,VLOOKUP($A221,EnrollData2324,'2324 Jun 24 Enroll'!D$1,FALSE),'District Calculations'!$B$11)*C221,3)</f>
        <v>0</v>
      </c>
      <c r="E221">
        <f>ROUND(IF(VLOOKUP($A221,EnrollData2324,'2324 Jun 24 Enroll'!E$1,FALSE)='District Calculations'!$B$12,VLOOKUP($A221,EnrollData2324,'2324 Jun 24 Enroll'!E$1,FALSE),'District Calculations'!$B$12)*C221,3)</f>
        <v>59.53</v>
      </c>
      <c r="F221">
        <f>ROUND(IF(VLOOKUP($A221,EnrollData2324,'2324 Jun 24 Enroll'!F$1,FALSE)='District Calculations'!$B$13,VLOOKUP($A221,EnrollData2324,'2324 Jun 24 Enroll'!F$1,FALSE),'District Calculations'!$B$13)*Apport_222A2324,3)</f>
        <v>10.101000000000001</v>
      </c>
      <c r="G221">
        <f>ROUND(IF(VLOOKUP($A221,EnrollData2324,'2324 Jun 24 Enroll'!G$1,FALSE)='District Calculations'!$B$14,VLOOKUP($A221,EnrollData2324,'2324 Jun 24 Enroll'!G$1,FALSE),'District Calculations'!$B$14)*Apport_210A2324,3)</f>
        <v>22.395</v>
      </c>
      <c r="H221">
        <f>ROUND(IF(VLOOKUP($A221,EnrollData2324,'2324 Jun 24 Enroll'!H$1,FALSE)='District Calculations'!$B$15,VLOOKUP($A221,EnrollData2324,'2324 Jun 24 Enroll'!H$1,FALSE),'District Calculations'!$B$15)*Apport_213A2324,3)</f>
        <v>23.091999999999999</v>
      </c>
      <c r="I221">
        <f>ROUND(IF(VLOOKUP($A221,EnrollData2324,'2324 Jun 24 Enroll'!I$1,FALSE)+VLOOKUP($A221,EnrollData2324,'2324 Jun 24 Enroll'!M$1,FALSE)-VLOOKUP($A221,EnrollData2324,'2324 Jun 24 Enroll'!J$1,FALSE)='District Calculations'!$B$16+'District Calculations'!$B$25-'District Calculations'!$B$17,VLOOKUP($A221,EnrollData2324,'2324 Jun 24 Enroll'!I$1,FALSE)+VLOOKUP($A221,EnrollData2324,'2324 Jun 24 Enroll'!M$1,FALSE)-VLOOKUP($A221,EnrollData2324,'2324 Jun 24 Enroll'!J$1,FALSE),'District Calculations'!$B$16+'District Calculations'!$B$25-'District Calculations'!$B$17)*Apport_216A2324,3)</f>
        <v>58.183999999999997</v>
      </c>
      <c r="J221">
        <f>ROUND(SUM(D221:I221)/(IF(VLOOKUP($A221,EnrollData2324,'2324 Jun 24 Enroll'!M$1,FALSE)='District Calculations'!$B$25,VLOOKUP($A221,EnrollData2324,'2324 Jun 24 Enroll'!M$1,FALSE),'District Calculations'!$B$25)+IF(VLOOKUP($A221,EnrollData2324,'2324 Jun 24 Enroll'!D$1,FALSE)='District Calculations'!$B$11,VLOOKUP($A221,EnrollData2324,'2324 Jun 24 Enroll'!D$1,FALSE),'District Calculations'!$B$11)),5)</f>
        <v>5.5530000000000003E-2</v>
      </c>
      <c r="K221" s="11">
        <f t="shared" si="51"/>
        <v>4.365E-3</v>
      </c>
      <c r="L221">
        <f>ROUND(IF(VLOOKUP($A221,EnrollData2324,'2324 Jun 24 Enroll'!D$1,FALSE)='District Calculations'!$B$11,VLOOKUP($A221,EnrollData2324,'2324 Jun 24 Enroll'!D$1,FALSE),'District Calculations'!$B$11)*K221,3)</f>
        <v>0</v>
      </c>
      <c r="M221">
        <f>ROUND(IF(VLOOKUP($A221,EnrollData2324,'2324 Jun 24 Enroll'!E$1,FALSE)='District Calculations'!$B$12,VLOOKUP($A221,EnrollData2324,'2324 Jun 24 Enroll'!E$1,FALSE),'District Calculations'!$B$12)*K221,3)</f>
        <v>3.5379999999999998</v>
      </c>
      <c r="N221">
        <f>ROUND(IF(VLOOKUP($A221,EnrollData2324,'2324 Jun 24 Enroll'!F$1,FALSE)='District Calculations'!$B$13,VLOOKUP($A221,EnrollData2324,'2324 Jun 24 Enroll'!F$1,FALSE),'District Calculations'!$B$13)*Apport_223A2324,3)</f>
        <v>0.84199999999999997</v>
      </c>
      <c r="O221">
        <f>ROUND(IF(VLOOKUP($A221,EnrollData2324,'2324 Jun 24 Enroll'!G$1,FALSE)='District Calculations'!$B$14,VLOOKUP($A221,EnrollData2324,'2324 Jun 24 Enroll'!G$1,FALSE),'District Calculations'!$B$14)*Apport_211A2324,3)</f>
        <v>1.867</v>
      </c>
      <c r="P221">
        <f>ROUND(IF(VLOOKUP($A221,EnrollData2324,'2324 Jun 24 Enroll'!H$1,FALSE)='District Calculations'!$B$14,VLOOKUP($A221,EnrollData2324,'2324 Jun 24 Enroll'!H$1,FALSE),'District Calculations'!$B$14)*Apport_214A2324,3)</f>
        <v>1.8660000000000001</v>
      </c>
      <c r="Q221">
        <f>ROUND(IF(VLOOKUP($A221,EnrollData2324,'2324 Jun 24 Enroll'!I$1,FALSE)+VLOOKUP($A221,EnrollData2324,'2324 Jun 24 Enroll'!M$1,FALSE)-VLOOKUP($A221,EnrollData2324,'2324 Jun 24 Enroll'!J$1,FALSE)='District Calculations'!$B$16+'District Calculations'!$B$25-'District Calculations'!$B$17,VLOOKUP($A221,EnrollData2324,'2324 Jun 24 Enroll'!I$1,FALSE)+VLOOKUP($A221,EnrollData2324,'2324 Jun 24 Enroll'!M$1,FALSE)-VLOOKUP($A221,EnrollData2324,'2324 Jun 24 Enroll'!J$1,FALSE),'District Calculations'!$B$16+'District Calculations'!$B$25-'District Calculations'!$B$17)*Apport_217A2324,3)</f>
        <v>4.6980000000000004</v>
      </c>
      <c r="R221">
        <f>ROUND(SUM(L221:Q221)/IF(VLOOKUP($A221,EnrollData2324,'2324 Jun 24 Enroll'!M$1,FALSE)+VLOOKUP($A221,EnrollData2324,'2324 Jun 24 Enroll'!D$1,FALSE)='District Calculations'!$B$25+'District Calculations'!$B$11,VLOOKUP($A221,EnrollData2324,'2324 Jun 24 Enroll'!M$1,FALSE)+VLOOKUP($A221,EnrollData2324,'2324 Jun 24 Enroll'!D$1,FALSE),'District Calculations'!$B$25+'District Calculations'!$B$11),5)</f>
        <v>4.1000000000000003E-3</v>
      </c>
      <c r="S221" s="11">
        <f t="shared" si="52"/>
        <v>1.8294500000000002E-2</v>
      </c>
      <c r="T221">
        <f>ROUND(IF(VLOOKUP($A221,EnrollData2324,'2324 Jun 24 Enroll'!D$1,FALSE)='District Calculations'!$B$11,VLOOKUP($A221,EnrollData2324,'2324 Jun 24 Enroll'!D$1,FALSE),'District Calculations'!$B$11)*S221,3)</f>
        <v>0</v>
      </c>
      <c r="U221">
        <f>ROUND(IF(VLOOKUP($A221,EnrollData2324,'2324 Jun 24 Enroll'!E$1,FALSE)='District Calculations'!$B$12,VLOOKUP($A221,EnrollData2324,'2324 Jun 24 Enroll'!E$1,FALSE),'District Calculations'!$B$12)*S221,3)</f>
        <v>14.827999999999999</v>
      </c>
      <c r="V221">
        <f>ROUND(IF(VLOOKUP($A221,EnrollData2324,'2324 Jun 24 Enroll'!F$1,FALSE)='District Calculations'!$B$13,VLOOKUP($A221,EnrollData2324,'2324 Jun 24 Enroll'!F$1,FALSE),'District Calculations'!$B$13)*Apport_224A2324,3)</f>
        <v>3.6190000000000002</v>
      </c>
      <c r="W221">
        <f>ROUND(IF(VLOOKUP($A221,EnrollData2324,'2324 Jun 24 Enroll'!G$1,FALSE)='District Calculations'!$B$14,VLOOKUP($A221,EnrollData2324,'2324 Jun 24 Enroll'!G$1,FALSE),'District Calculations'!$B$14)*Apport_212A2324,3)</f>
        <v>8.0239999999999991</v>
      </c>
      <c r="X221">
        <f>ROUND(IF(VLOOKUP($A221,EnrollData2324,'2324 Jun 24 Enroll'!H$1,FALSE)='District Calculations'!$B$14,VLOOKUP($A221,EnrollData2324,'2324 Jun 24 Enroll'!H$1,FALSE),'District Calculations'!$B$14)*Apport_215A2324,3)</f>
        <v>7.9279999999999999</v>
      </c>
      <c r="Y221">
        <f>ROUND(IF(VLOOKUP($A221,EnrollData2324,'2324 Jun 24 Enroll'!I$1,FALSE)+VLOOKUP($A221,EnrollData2324,'2324 Jun 24 Enroll'!M$1,FALSE)-VLOOKUP($A221,EnrollData2324,'2324 Jun 24 Enroll'!J$1,FALSE)='District Calculations'!$B$16+'District Calculations'!$B$25-'District Calculations'!$B$17,VLOOKUP($A221,EnrollData2324,'2324 Jun 24 Enroll'!I$1,FALSE)+VLOOKUP($A221,EnrollData2324,'2324 Jun 24 Enroll'!M$1,FALSE)-VLOOKUP($A221,EnrollData2324,'2324 Jun 24 Enroll'!J$1,FALSE),'District Calculations'!$B$16+'District Calculations'!$B$25-'District Calculations'!$B$17)*Apport_218A2324,3)</f>
        <v>19.917999999999999</v>
      </c>
      <c r="Z221">
        <f>ROUND(SUM(T221:Y221)/IF(VLOOKUP($A221,EnrollData2324,'2324 Jun 24 Enroll'!M$1,FALSE)+VLOOKUP($A221,EnrollData2324,'2324 Jun 24 Enroll'!D$1,FALSE)='District Calculations'!$B$25+'District Calculations'!$B$11,VLOOKUP($A221,EnrollData2324,'2324 Jun 24 Enroll'!M$1,FALSE)+VLOOKUP($A221,EnrollData2324,'2324 Jun 24 Enroll'!D$1,FALSE),'District Calculations'!$B$25+'District Calculations'!$B$11),5)</f>
        <v>1.7399999999999999E-2</v>
      </c>
      <c r="AA221" s="6">
        <f>ROUND($J221*CIS_Base_Salary2324*VLOOKUP($A221,EnrollData2324,'2324 Jun 24 Enroll'!S$1,FALSE),2)</f>
        <v>4523.22</v>
      </c>
      <c r="AB221" s="6">
        <f>ROUND($J221*CIS_Inc_Salary2324*(VLOOKUP($A221,EnrollData2324,'2324 Jun 24 Enroll'!T$1,FALSE)+VLOOKUP($A221,EnrollData2324,'2324 Jun 24 Enroll'!U$1,FALSE)),2)-AA221</f>
        <v>167.35999999999967</v>
      </c>
      <c r="AC221" s="6">
        <f>ROUND($R221*CAS_Base_Salary2324*VLOOKUP($A221,EnrollData2324,'2324 Jun 24 Enroll'!S$1,FALSE),2)</f>
        <v>495.73</v>
      </c>
      <c r="AD221" s="6">
        <f>ROUND($R221*CAS_Inc_Salary2324*VLOOKUP($A221,EnrollData2324,'2324 Jun 24 Enroll'!T$1,FALSE),2)-AC221</f>
        <v>18.340000000000032</v>
      </c>
      <c r="AE221" s="6">
        <f>ROUND($Z221*CLS_Base_Salary2324*VLOOKUP($A221,EnrollData2324,'2324 Jun 24 Enroll'!S$1,FALSE),2)</f>
        <v>1016.75</v>
      </c>
      <c r="AF221" s="6">
        <f>ROUND($Z221*CLS_Inc_Salary2324*VLOOKUP($A221,EnrollData2324,'2324 Jun 24 Enroll'!T$1,FALSE),2)-AE221</f>
        <v>37.6099999999999</v>
      </c>
      <c r="AG221">
        <f t="shared" si="63"/>
        <v>734.16</v>
      </c>
      <c r="AH221" s="69">
        <f t="shared" si="53"/>
        <v>68.700000000000045</v>
      </c>
      <c r="AI221">
        <f t="shared" si="64"/>
        <v>214.23</v>
      </c>
      <c r="AJ221">
        <f t="shared" si="54"/>
        <v>114.21000000000001</v>
      </c>
      <c r="AK221">
        <f t="shared" si="55"/>
        <v>901.91</v>
      </c>
      <c r="AL221">
        <f t="shared" si="56"/>
        <v>32.18</v>
      </c>
      <c r="AM221">
        <f t="shared" si="57"/>
        <v>224.3</v>
      </c>
      <c r="AN221">
        <f t="shared" si="58"/>
        <v>6.98</v>
      </c>
      <c r="AO221">
        <f>ROUND(($J221*CIS_Inc_Salary2324*(VLOOKUP($A221,EnrollData2324,'2324 Jun 24 Enroll'!T$1,FALSE)+VLOOKUP($A221,EnrollData2324,'2324 Jun 24 Enroll'!U$1,FALSE))/Apport_613Xpd)*Apport_614Xpd,2)</f>
        <v>78.180000000000007</v>
      </c>
      <c r="AP221">
        <f t="shared" si="59"/>
        <v>13.55</v>
      </c>
      <c r="AQ221">
        <f t="shared" si="60"/>
        <v>30.93</v>
      </c>
      <c r="AR221" s="6">
        <f>ROUND((VLOOKUP($A221,EnrollData2324,'2324 Jun 24 Enroll'!D$1,FALSE)*Apport_M802324+VLOOKUP($A221,EnrollData2324,'2324 Jun 24 Enroll'!M$1,FALSE)*Apport_M802324+(VLOOKUP($A221,EnrollData2324,'2324 Jun 24 Enroll'!P$1,FALSE)+VLOOKUP($A221,EnrollData2324,'2324 Jun 24 Enroll'!Q$1,FALSE)+VLOOKUP($A221,EnrollData2324,'2324 Jun 24 Enroll'!R$1,FALSE)+VLOOKUP($A221,EnrollData2324,'2324 Jun 24 Enroll'!I$1,FALSE)+VLOOKUP($A221,EnrollData2324,'2324 Jun 24 Enroll'!N$1,FALSE)+VLOOKUP($A221,EnrollData2324,'2324 Jun 24 Enroll'!O$1,FALSE)+VLOOKUP($A221,EnrollData2324,'2324 Jun 24 Enroll'!K$1,FALSE)+VLOOKUP($A221,EnrollData2324,'2324 Jun 24 Enroll'!L$1,FALSE))*Apport_M812324)/(VLOOKUP($A221,EnrollData2324,'2324 Jun 24 Enroll'!M$1,FALSE)+VLOOKUP($A221,EnrollData2324,'2324 Jun 24 Enroll'!D$1,FALSE)),2)</f>
        <v>1560.42</v>
      </c>
      <c r="AS221" s="7">
        <f t="shared" si="61"/>
        <v>10238.759999999998</v>
      </c>
    </row>
    <row r="222" spans="1:45">
      <c r="A222" s="40" t="s">
        <v>743</v>
      </c>
      <c r="B222" s="40" t="s">
        <v>744</v>
      </c>
      <c r="C222" s="11">
        <f>ROUND((IFERROR((1/IF(VLOOKUP($A222,EnrollData2324,28,FALSE)='District Calculations'!$B$10,VLOOKUP($A222,EnrollData2324,28,FALSE),'District Calculations'!$B$10))*(1+Apport_Z315),0))+Apport_201A2324,6)</f>
        <v>7.3449E-2</v>
      </c>
      <c r="D222">
        <f>ROUND(IF(VLOOKUP($A222,EnrollData2324,'2324 Jun 24 Enroll'!D$1,FALSE)='District Calculations'!$B$11,VLOOKUP($A222,EnrollData2324,'2324 Jun 24 Enroll'!D$1,FALSE),'District Calculations'!$B$11)*C222,3)</f>
        <v>0</v>
      </c>
      <c r="E222">
        <f>ROUND(IF(VLOOKUP($A222,EnrollData2324,'2324 Jun 24 Enroll'!E$1,FALSE)='District Calculations'!$B$12,VLOOKUP($A222,EnrollData2324,'2324 Jun 24 Enroll'!E$1,FALSE),'District Calculations'!$B$12)*C222,3)</f>
        <v>59.53</v>
      </c>
      <c r="F222">
        <f>ROUND(IF(VLOOKUP($A222,EnrollData2324,'2324 Jun 24 Enroll'!F$1,FALSE)='District Calculations'!$B$13,VLOOKUP($A222,EnrollData2324,'2324 Jun 24 Enroll'!F$1,FALSE),'District Calculations'!$B$13)*Apport_222A2324,3)</f>
        <v>10.101000000000001</v>
      </c>
      <c r="G222">
        <f>ROUND(IF(VLOOKUP($A222,EnrollData2324,'2324 Jun 24 Enroll'!G$1,FALSE)='District Calculations'!$B$14,VLOOKUP($A222,EnrollData2324,'2324 Jun 24 Enroll'!G$1,FALSE),'District Calculations'!$B$14)*Apport_210A2324,3)</f>
        <v>22.395</v>
      </c>
      <c r="H222">
        <f>ROUND(IF(VLOOKUP($A222,EnrollData2324,'2324 Jun 24 Enroll'!H$1,FALSE)='District Calculations'!$B$15,VLOOKUP($A222,EnrollData2324,'2324 Jun 24 Enroll'!H$1,FALSE),'District Calculations'!$B$15)*Apport_213A2324,3)</f>
        <v>23.091999999999999</v>
      </c>
      <c r="I222">
        <f>ROUND(IF(VLOOKUP($A222,EnrollData2324,'2324 Jun 24 Enroll'!I$1,FALSE)+VLOOKUP($A222,EnrollData2324,'2324 Jun 24 Enroll'!M$1,FALSE)-VLOOKUP($A222,EnrollData2324,'2324 Jun 24 Enroll'!J$1,FALSE)='District Calculations'!$B$16+'District Calculations'!$B$25-'District Calculations'!$B$17,VLOOKUP($A222,EnrollData2324,'2324 Jun 24 Enroll'!I$1,FALSE)+VLOOKUP($A222,EnrollData2324,'2324 Jun 24 Enroll'!M$1,FALSE)-VLOOKUP($A222,EnrollData2324,'2324 Jun 24 Enroll'!J$1,FALSE),'District Calculations'!$B$16+'District Calculations'!$B$25-'District Calculations'!$B$17)*Apport_216A2324,3)</f>
        <v>58.183999999999997</v>
      </c>
      <c r="J222">
        <f>ROUND(SUM(D222:I222)/(IF(VLOOKUP($A222,EnrollData2324,'2324 Jun 24 Enroll'!M$1,FALSE)='District Calculations'!$B$25,VLOOKUP($A222,EnrollData2324,'2324 Jun 24 Enroll'!M$1,FALSE),'District Calculations'!$B$25)+IF(VLOOKUP($A222,EnrollData2324,'2324 Jun 24 Enroll'!D$1,FALSE)='District Calculations'!$B$11,VLOOKUP($A222,EnrollData2324,'2324 Jun 24 Enroll'!D$1,FALSE),'District Calculations'!$B$11)),5)</f>
        <v>5.5530000000000003E-2</v>
      </c>
      <c r="K222" s="11">
        <f t="shared" si="51"/>
        <v>4.365E-3</v>
      </c>
      <c r="L222">
        <f>ROUND(IF(VLOOKUP($A222,EnrollData2324,'2324 Jun 24 Enroll'!D$1,FALSE)='District Calculations'!$B$11,VLOOKUP($A222,EnrollData2324,'2324 Jun 24 Enroll'!D$1,FALSE),'District Calculations'!$B$11)*K222,3)</f>
        <v>0</v>
      </c>
      <c r="M222">
        <f>ROUND(IF(VLOOKUP($A222,EnrollData2324,'2324 Jun 24 Enroll'!E$1,FALSE)='District Calculations'!$B$12,VLOOKUP($A222,EnrollData2324,'2324 Jun 24 Enroll'!E$1,FALSE),'District Calculations'!$B$12)*K222,3)</f>
        <v>3.5379999999999998</v>
      </c>
      <c r="N222">
        <f>ROUND(IF(VLOOKUP($A222,EnrollData2324,'2324 Jun 24 Enroll'!F$1,FALSE)='District Calculations'!$B$13,VLOOKUP($A222,EnrollData2324,'2324 Jun 24 Enroll'!F$1,FALSE),'District Calculations'!$B$13)*Apport_223A2324,3)</f>
        <v>0.84199999999999997</v>
      </c>
      <c r="O222">
        <f>ROUND(IF(VLOOKUP($A222,EnrollData2324,'2324 Jun 24 Enroll'!G$1,FALSE)='District Calculations'!$B$14,VLOOKUP($A222,EnrollData2324,'2324 Jun 24 Enroll'!G$1,FALSE),'District Calculations'!$B$14)*Apport_211A2324,3)</f>
        <v>1.867</v>
      </c>
      <c r="P222">
        <f>ROUND(IF(VLOOKUP($A222,EnrollData2324,'2324 Jun 24 Enroll'!H$1,FALSE)='District Calculations'!$B$14,VLOOKUP($A222,EnrollData2324,'2324 Jun 24 Enroll'!H$1,FALSE),'District Calculations'!$B$14)*Apport_214A2324,3)</f>
        <v>1.8660000000000001</v>
      </c>
      <c r="Q222">
        <f>ROUND(IF(VLOOKUP($A222,EnrollData2324,'2324 Jun 24 Enroll'!I$1,FALSE)+VLOOKUP($A222,EnrollData2324,'2324 Jun 24 Enroll'!M$1,FALSE)-VLOOKUP($A222,EnrollData2324,'2324 Jun 24 Enroll'!J$1,FALSE)='District Calculations'!$B$16+'District Calculations'!$B$25-'District Calculations'!$B$17,VLOOKUP($A222,EnrollData2324,'2324 Jun 24 Enroll'!I$1,FALSE)+VLOOKUP($A222,EnrollData2324,'2324 Jun 24 Enroll'!M$1,FALSE)-VLOOKUP($A222,EnrollData2324,'2324 Jun 24 Enroll'!J$1,FALSE),'District Calculations'!$B$16+'District Calculations'!$B$25-'District Calculations'!$B$17)*Apport_217A2324,3)</f>
        <v>4.6980000000000004</v>
      </c>
      <c r="R222">
        <f>ROUND(SUM(L222:Q222)/IF(VLOOKUP($A222,EnrollData2324,'2324 Jun 24 Enroll'!M$1,FALSE)+VLOOKUP($A222,EnrollData2324,'2324 Jun 24 Enroll'!D$1,FALSE)='District Calculations'!$B$25+'District Calculations'!$B$11,VLOOKUP($A222,EnrollData2324,'2324 Jun 24 Enroll'!M$1,FALSE)+VLOOKUP($A222,EnrollData2324,'2324 Jun 24 Enroll'!D$1,FALSE),'District Calculations'!$B$25+'District Calculations'!$B$11),5)</f>
        <v>4.1000000000000003E-3</v>
      </c>
      <c r="S222" s="11">
        <f t="shared" si="52"/>
        <v>1.8294500000000002E-2</v>
      </c>
      <c r="T222">
        <f>ROUND(IF(VLOOKUP($A222,EnrollData2324,'2324 Jun 24 Enroll'!D$1,FALSE)='District Calculations'!$B$11,VLOOKUP($A222,EnrollData2324,'2324 Jun 24 Enroll'!D$1,FALSE),'District Calculations'!$B$11)*S222,3)</f>
        <v>0</v>
      </c>
      <c r="U222">
        <f>ROUND(IF(VLOOKUP($A222,EnrollData2324,'2324 Jun 24 Enroll'!E$1,FALSE)='District Calculations'!$B$12,VLOOKUP($A222,EnrollData2324,'2324 Jun 24 Enroll'!E$1,FALSE),'District Calculations'!$B$12)*S222,3)</f>
        <v>14.827999999999999</v>
      </c>
      <c r="V222">
        <f>ROUND(IF(VLOOKUP($A222,EnrollData2324,'2324 Jun 24 Enroll'!F$1,FALSE)='District Calculations'!$B$13,VLOOKUP($A222,EnrollData2324,'2324 Jun 24 Enroll'!F$1,FALSE),'District Calculations'!$B$13)*Apport_224A2324,3)</f>
        <v>3.6190000000000002</v>
      </c>
      <c r="W222">
        <f>ROUND(IF(VLOOKUP($A222,EnrollData2324,'2324 Jun 24 Enroll'!G$1,FALSE)='District Calculations'!$B$14,VLOOKUP($A222,EnrollData2324,'2324 Jun 24 Enroll'!G$1,FALSE),'District Calculations'!$B$14)*Apport_212A2324,3)</f>
        <v>8.0239999999999991</v>
      </c>
      <c r="X222">
        <f>ROUND(IF(VLOOKUP($A222,EnrollData2324,'2324 Jun 24 Enroll'!H$1,FALSE)='District Calculations'!$B$14,VLOOKUP($A222,EnrollData2324,'2324 Jun 24 Enroll'!H$1,FALSE),'District Calculations'!$B$14)*Apport_215A2324,3)</f>
        <v>7.9279999999999999</v>
      </c>
      <c r="Y222">
        <f>ROUND(IF(VLOOKUP($A222,EnrollData2324,'2324 Jun 24 Enroll'!I$1,FALSE)+VLOOKUP($A222,EnrollData2324,'2324 Jun 24 Enroll'!M$1,FALSE)-VLOOKUP($A222,EnrollData2324,'2324 Jun 24 Enroll'!J$1,FALSE)='District Calculations'!$B$16+'District Calculations'!$B$25-'District Calculations'!$B$17,VLOOKUP($A222,EnrollData2324,'2324 Jun 24 Enroll'!I$1,FALSE)+VLOOKUP($A222,EnrollData2324,'2324 Jun 24 Enroll'!M$1,FALSE)-VLOOKUP($A222,EnrollData2324,'2324 Jun 24 Enroll'!J$1,FALSE),'District Calculations'!$B$16+'District Calculations'!$B$25-'District Calculations'!$B$17)*Apport_218A2324,3)</f>
        <v>19.917999999999999</v>
      </c>
      <c r="Z222">
        <f>ROUND(SUM(T222:Y222)/IF(VLOOKUP($A222,EnrollData2324,'2324 Jun 24 Enroll'!M$1,FALSE)+VLOOKUP($A222,EnrollData2324,'2324 Jun 24 Enroll'!D$1,FALSE)='District Calculations'!$B$25+'District Calculations'!$B$11,VLOOKUP($A222,EnrollData2324,'2324 Jun 24 Enroll'!M$1,FALSE)+VLOOKUP($A222,EnrollData2324,'2324 Jun 24 Enroll'!D$1,FALSE),'District Calculations'!$B$25+'District Calculations'!$B$11),5)</f>
        <v>1.7399999999999999E-2</v>
      </c>
      <c r="AA222" s="6">
        <f>ROUND($J222*CIS_Base_Salary2324*VLOOKUP($A222,EnrollData2324,'2324 Jun 24 Enroll'!S$1,FALSE),2)</f>
        <v>4523.22</v>
      </c>
      <c r="AB222" s="6">
        <f>ROUND($J222*CIS_Inc_Salary2324*(VLOOKUP($A222,EnrollData2324,'2324 Jun 24 Enroll'!T$1,FALSE)+VLOOKUP($A222,EnrollData2324,'2324 Jun 24 Enroll'!U$1,FALSE)),2)-AA222</f>
        <v>167.35999999999967</v>
      </c>
      <c r="AC222" s="6">
        <f>ROUND($R222*CAS_Base_Salary2324*VLOOKUP($A222,EnrollData2324,'2324 Jun 24 Enroll'!S$1,FALSE),2)</f>
        <v>495.73</v>
      </c>
      <c r="AD222" s="6">
        <f>ROUND($R222*CAS_Inc_Salary2324*VLOOKUP($A222,EnrollData2324,'2324 Jun 24 Enroll'!T$1,FALSE),2)-AC222</f>
        <v>18.340000000000032</v>
      </c>
      <c r="AE222" s="6">
        <f>ROUND($Z222*CLS_Base_Salary2324*VLOOKUP($A222,EnrollData2324,'2324 Jun 24 Enroll'!S$1,FALSE),2)</f>
        <v>1016.75</v>
      </c>
      <c r="AF222" s="6">
        <f>ROUND($Z222*CLS_Inc_Salary2324*VLOOKUP($A222,EnrollData2324,'2324 Jun 24 Enroll'!T$1,FALSE),2)-AE222</f>
        <v>37.6099999999999</v>
      </c>
      <c r="AG222">
        <f t="shared" si="63"/>
        <v>734.16</v>
      </c>
      <c r="AH222" s="69">
        <f t="shared" si="53"/>
        <v>68.700000000000045</v>
      </c>
      <c r="AI222">
        <f t="shared" si="64"/>
        <v>214.23</v>
      </c>
      <c r="AJ222">
        <f t="shared" si="54"/>
        <v>114.21000000000001</v>
      </c>
      <c r="AK222">
        <f t="shared" si="55"/>
        <v>901.91</v>
      </c>
      <c r="AL222">
        <f t="shared" si="56"/>
        <v>32.18</v>
      </c>
      <c r="AM222">
        <f t="shared" si="57"/>
        <v>224.3</v>
      </c>
      <c r="AN222">
        <f t="shared" si="58"/>
        <v>6.98</v>
      </c>
      <c r="AO222">
        <f>ROUND(($J222*CIS_Inc_Salary2324*(VLOOKUP($A222,EnrollData2324,'2324 Jun 24 Enroll'!T$1,FALSE)+VLOOKUP($A222,EnrollData2324,'2324 Jun 24 Enroll'!U$1,FALSE))/Apport_613Xpd)*Apport_614Xpd,2)</f>
        <v>78.180000000000007</v>
      </c>
      <c r="AP222">
        <f t="shared" si="59"/>
        <v>13.55</v>
      </c>
      <c r="AQ222">
        <f t="shared" si="60"/>
        <v>30.93</v>
      </c>
      <c r="AR222" s="6">
        <f>ROUND((VLOOKUP($A222,EnrollData2324,'2324 Jun 24 Enroll'!D$1,FALSE)*Apport_M802324+VLOOKUP($A222,EnrollData2324,'2324 Jun 24 Enroll'!M$1,FALSE)*Apport_M802324+(VLOOKUP($A222,EnrollData2324,'2324 Jun 24 Enroll'!P$1,FALSE)+VLOOKUP($A222,EnrollData2324,'2324 Jun 24 Enroll'!Q$1,FALSE)+VLOOKUP($A222,EnrollData2324,'2324 Jun 24 Enroll'!R$1,FALSE)+VLOOKUP($A222,EnrollData2324,'2324 Jun 24 Enroll'!I$1,FALSE)+VLOOKUP($A222,EnrollData2324,'2324 Jun 24 Enroll'!N$1,FALSE)+VLOOKUP($A222,EnrollData2324,'2324 Jun 24 Enroll'!O$1,FALSE)+VLOOKUP($A222,EnrollData2324,'2324 Jun 24 Enroll'!K$1,FALSE)+VLOOKUP($A222,EnrollData2324,'2324 Jun 24 Enroll'!L$1,FALSE))*Apport_M812324)/(VLOOKUP($A222,EnrollData2324,'2324 Jun 24 Enroll'!M$1,FALSE)+VLOOKUP($A222,EnrollData2324,'2324 Jun 24 Enroll'!D$1,FALSE)),2)</f>
        <v>1558.8</v>
      </c>
      <c r="AS222" s="7">
        <f t="shared" si="61"/>
        <v>10237.139999999998</v>
      </c>
    </row>
    <row r="223" spans="1:45">
      <c r="A223" s="40" t="s">
        <v>402</v>
      </c>
      <c r="B223" s="40" t="s">
        <v>403</v>
      </c>
      <c r="C223" s="11">
        <f>ROUND((IFERROR((1/IF(VLOOKUP($A223,EnrollData2324,28,FALSE)='District Calculations'!$B$10,VLOOKUP($A223,EnrollData2324,28,FALSE),'District Calculations'!$B$10))*(1+Apport_Z315),0))+Apport_201A2324,6)</f>
        <v>7.3449E-2</v>
      </c>
      <c r="D223">
        <f>ROUND(IF(VLOOKUP($A223,EnrollData2324,'2324 Jun 24 Enroll'!D$1,FALSE)='District Calculations'!$B$11,VLOOKUP($A223,EnrollData2324,'2324 Jun 24 Enroll'!D$1,FALSE),'District Calculations'!$B$11)*C223,3)</f>
        <v>0</v>
      </c>
      <c r="E223">
        <f>ROUND(IF(VLOOKUP($A223,EnrollData2324,'2324 Jun 24 Enroll'!E$1,FALSE)='District Calculations'!$B$12,VLOOKUP($A223,EnrollData2324,'2324 Jun 24 Enroll'!E$1,FALSE),'District Calculations'!$B$12)*C223,3)</f>
        <v>59.53</v>
      </c>
      <c r="F223">
        <f>ROUND(IF(VLOOKUP($A223,EnrollData2324,'2324 Jun 24 Enroll'!F$1,FALSE)='District Calculations'!$B$13,VLOOKUP($A223,EnrollData2324,'2324 Jun 24 Enroll'!F$1,FALSE),'District Calculations'!$B$13)*Apport_222A2324,3)</f>
        <v>10.101000000000001</v>
      </c>
      <c r="G223">
        <f>ROUND(IF(VLOOKUP($A223,EnrollData2324,'2324 Jun 24 Enroll'!G$1,FALSE)='District Calculations'!$B$14,VLOOKUP($A223,EnrollData2324,'2324 Jun 24 Enroll'!G$1,FALSE),'District Calculations'!$B$14)*Apport_210A2324,3)</f>
        <v>22.395</v>
      </c>
      <c r="H223">
        <f>ROUND(IF(VLOOKUP($A223,EnrollData2324,'2324 Jun 24 Enroll'!H$1,FALSE)='District Calculations'!$B$15,VLOOKUP($A223,EnrollData2324,'2324 Jun 24 Enroll'!H$1,FALSE),'District Calculations'!$B$15)*Apport_213A2324,3)</f>
        <v>23.091999999999999</v>
      </c>
      <c r="I223">
        <f>ROUND(IF(VLOOKUP($A223,EnrollData2324,'2324 Jun 24 Enroll'!I$1,FALSE)+VLOOKUP($A223,EnrollData2324,'2324 Jun 24 Enroll'!M$1,FALSE)-VLOOKUP($A223,EnrollData2324,'2324 Jun 24 Enroll'!J$1,FALSE)='District Calculations'!$B$16+'District Calculations'!$B$25-'District Calculations'!$B$17,VLOOKUP($A223,EnrollData2324,'2324 Jun 24 Enroll'!I$1,FALSE)+VLOOKUP($A223,EnrollData2324,'2324 Jun 24 Enroll'!M$1,FALSE)-VLOOKUP($A223,EnrollData2324,'2324 Jun 24 Enroll'!J$1,FALSE),'District Calculations'!$B$16+'District Calculations'!$B$25-'District Calculations'!$B$17)*Apport_216A2324,3)</f>
        <v>58.183999999999997</v>
      </c>
      <c r="J223">
        <f>ROUND(SUM(D223:I223)/(IF(VLOOKUP($A223,EnrollData2324,'2324 Jun 24 Enroll'!M$1,FALSE)='District Calculations'!$B$25,VLOOKUP($A223,EnrollData2324,'2324 Jun 24 Enroll'!M$1,FALSE),'District Calculations'!$B$25)+IF(VLOOKUP($A223,EnrollData2324,'2324 Jun 24 Enroll'!D$1,FALSE)='District Calculations'!$B$11,VLOOKUP($A223,EnrollData2324,'2324 Jun 24 Enroll'!D$1,FALSE),'District Calculations'!$B$11)),5)</f>
        <v>5.5530000000000003E-2</v>
      </c>
      <c r="K223" s="11">
        <f t="shared" si="51"/>
        <v>4.365E-3</v>
      </c>
      <c r="L223">
        <f>ROUND(IF(VLOOKUP($A223,EnrollData2324,'2324 Jun 24 Enroll'!D$1,FALSE)='District Calculations'!$B$11,VLOOKUP($A223,EnrollData2324,'2324 Jun 24 Enroll'!D$1,FALSE),'District Calculations'!$B$11)*K223,3)</f>
        <v>0</v>
      </c>
      <c r="M223">
        <f>ROUND(IF(VLOOKUP($A223,EnrollData2324,'2324 Jun 24 Enroll'!E$1,FALSE)='District Calculations'!$B$12,VLOOKUP($A223,EnrollData2324,'2324 Jun 24 Enroll'!E$1,FALSE),'District Calculations'!$B$12)*K223,3)</f>
        <v>3.5379999999999998</v>
      </c>
      <c r="N223">
        <f>ROUND(IF(VLOOKUP($A223,EnrollData2324,'2324 Jun 24 Enroll'!F$1,FALSE)='District Calculations'!$B$13,VLOOKUP($A223,EnrollData2324,'2324 Jun 24 Enroll'!F$1,FALSE),'District Calculations'!$B$13)*Apport_223A2324,3)</f>
        <v>0.84199999999999997</v>
      </c>
      <c r="O223">
        <f>ROUND(IF(VLOOKUP($A223,EnrollData2324,'2324 Jun 24 Enroll'!G$1,FALSE)='District Calculations'!$B$14,VLOOKUP($A223,EnrollData2324,'2324 Jun 24 Enroll'!G$1,FALSE),'District Calculations'!$B$14)*Apport_211A2324,3)</f>
        <v>1.867</v>
      </c>
      <c r="P223">
        <f>ROUND(IF(VLOOKUP($A223,EnrollData2324,'2324 Jun 24 Enroll'!H$1,FALSE)='District Calculations'!$B$14,VLOOKUP($A223,EnrollData2324,'2324 Jun 24 Enroll'!H$1,FALSE),'District Calculations'!$B$14)*Apport_214A2324,3)</f>
        <v>1.8660000000000001</v>
      </c>
      <c r="Q223">
        <f>ROUND(IF(VLOOKUP($A223,EnrollData2324,'2324 Jun 24 Enroll'!I$1,FALSE)+VLOOKUP($A223,EnrollData2324,'2324 Jun 24 Enroll'!M$1,FALSE)-VLOOKUP($A223,EnrollData2324,'2324 Jun 24 Enroll'!J$1,FALSE)='District Calculations'!$B$16+'District Calculations'!$B$25-'District Calculations'!$B$17,VLOOKUP($A223,EnrollData2324,'2324 Jun 24 Enroll'!I$1,FALSE)+VLOOKUP($A223,EnrollData2324,'2324 Jun 24 Enroll'!M$1,FALSE)-VLOOKUP($A223,EnrollData2324,'2324 Jun 24 Enroll'!J$1,FALSE),'District Calculations'!$B$16+'District Calculations'!$B$25-'District Calculations'!$B$17)*Apport_217A2324,3)</f>
        <v>4.6980000000000004</v>
      </c>
      <c r="R223">
        <f>ROUND(SUM(L223:Q223)/IF(VLOOKUP($A223,EnrollData2324,'2324 Jun 24 Enroll'!M$1,FALSE)+VLOOKUP($A223,EnrollData2324,'2324 Jun 24 Enroll'!D$1,FALSE)='District Calculations'!$B$25+'District Calculations'!$B$11,VLOOKUP($A223,EnrollData2324,'2324 Jun 24 Enroll'!M$1,FALSE)+VLOOKUP($A223,EnrollData2324,'2324 Jun 24 Enroll'!D$1,FALSE),'District Calculations'!$B$25+'District Calculations'!$B$11),5)</f>
        <v>4.1000000000000003E-3</v>
      </c>
      <c r="S223" s="11">
        <f t="shared" si="52"/>
        <v>1.8294500000000002E-2</v>
      </c>
      <c r="T223">
        <f>ROUND(IF(VLOOKUP($A223,EnrollData2324,'2324 Jun 24 Enroll'!D$1,FALSE)='District Calculations'!$B$11,VLOOKUP($A223,EnrollData2324,'2324 Jun 24 Enroll'!D$1,FALSE),'District Calculations'!$B$11)*S223,3)</f>
        <v>0</v>
      </c>
      <c r="U223">
        <f>ROUND(IF(VLOOKUP($A223,EnrollData2324,'2324 Jun 24 Enroll'!E$1,FALSE)='District Calculations'!$B$12,VLOOKUP($A223,EnrollData2324,'2324 Jun 24 Enroll'!E$1,FALSE),'District Calculations'!$B$12)*S223,3)</f>
        <v>14.827999999999999</v>
      </c>
      <c r="V223">
        <f>ROUND(IF(VLOOKUP($A223,EnrollData2324,'2324 Jun 24 Enroll'!F$1,FALSE)='District Calculations'!$B$13,VLOOKUP($A223,EnrollData2324,'2324 Jun 24 Enroll'!F$1,FALSE),'District Calculations'!$B$13)*Apport_224A2324,3)</f>
        <v>3.6190000000000002</v>
      </c>
      <c r="W223">
        <f>ROUND(IF(VLOOKUP($A223,EnrollData2324,'2324 Jun 24 Enroll'!G$1,FALSE)='District Calculations'!$B$14,VLOOKUP($A223,EnrollData2324,'2324 Jun 24 Enroll'!G$1,FALSE),'District Calculations'!$B$14)*Apport_212A2324,3)</f>
        <v>8.0239999999999991</v>
      </c>
      <c r="X223">
        <f>ROUND(IF(VLOOKUP($A223,EnrollData2324,'2324 Jun 24 Enroll'!H$1,FALSE)='District Calculations'!$B$14,VLOOKUP($A223,EnrollData2324,'2324 Jun 24 Enroll'!H$1,FALSE),'District Calculations'!$B$14)*Apport_215A2324,3)</f>
        <v>7.9279999999999999</v>
      </c>
      <c r="Y223">
        <f>ROUND(IF(VLOOKUP($A223,EnrollData2324,'2324 Jun 24 Enroll'!I$1,FALSE)+VLOOKUP($A223,EnrollData2324,'2324 Jun 24 Enroll'!M$1,FALSE)-VLOOKUP($A223,EnrollData2324,'2324 Jun 24 Enroll'!J$1,FALSE)='District Calculations'!$B$16+'District Calculations'!$B$25-'District Calculations'!$B$17,VLOOKUP($A223,EnrollData2324,'2324 Jun 24 Enroll'!I$1,FALSE)+VLOOKUP($A223,EnrollData2324,'2324 Jun 24 Enroll'!M$1,FALSE)-VLOOKUP($A223,EnrollData2324,'2324 Jun 24 Enroll'!J$1,FALSE),'District Calculations'!$B$16+'District Calculations'!$B$25-'District Calculations'!$B$17)*Apport_218A2324,3)</f>
        <v>19.917999999999999</v>
      </c>
      <c r="Z223">
        <f>ROUND(SUM(T223:Y223)/IF(VLOOKUP($A223,EnrollData2324,'2324 Jun 24 Enroll'!M$1,FALSE)+VLOOKUP($A223,EnrollData2324,'2324 Jun 24 Enroll'!D$1,FALSE)='District Calculations'!$B$25+'District Calculations'!$B$11,VLOOKUP($A223,EnrollData2324,'2324 Jun 24 Enroll'!M$1,FALSE)+VLOOKUP($A223,EnrollData2324,'2324 Jun 24 Enroll'!D$1,FALSE),'District Calculations'!$B$25+'District Calculations'!$B$11),5)</f>
        <v>1.7399999999999999E-2</v>
      </c>
      <c r="AA223" s="6">
        <f>ROUND($J223*CIS_Base_Salary2324*VLOOKUP($A223,EnrollData2324,'2324 Jun 24 Enroll'!S$1,FALSE),2)</f>
        <v>4402.0600000000004</v>
      </c>
      <c r="AB223" s="6">
        <f>ROUND($J223*CIS_Inc_Salary2324*(VLOOKUP($A223,EnrollData2324,'2324 Jun 24 Enroll'!T$1,FALSE)+VLOOKUP($A223,EnrollData2324,'2324 Jun 24 Enroll'!U$1,FALSE)),2)-AA223</f>
        <v>162.8799999999992</v>
      </c>
      <c r="AC223" s="6">
        <f>ROUND($R223*CAS_Base_Salary2324*VLOOKUP($A223,EnrollData2324,'2324 Jun 24 Enroll'!S$1,FALSE),2)</f>
        <v>482.45</v>
      </c>
      <c r="AD223" s="6">
        <f>ROUND($R223*CAS_Inc_Salary2324*VLOOKUP($A223,EnrollData2324,'2324 Jun 24 Enroll'!T$1,FALSE),2)-AC223</f>
        <v>17.850000000000023</v>
      </c>
      <c r="AE223" s="6">
        <f>ROUND($Z223*CLS_Base_Salary2324*VLOOKUP($A223,EnrollData2324,'2324 Jun 24 Enroll'!S$1,FALSE),2)</f>
        <v>989.51</v>
      </c>
      <c r="AF223" s="6">
        <f>ROUND($Z223*CLS_Inc_Salary2324*VLOOKUP($A223,EnrollData2324,'2324 Jun 24 Enroll'!T$1,FALSE),2)-AE223</f>
        <v>36.6099999999999</v>
      </c>
      <c r="AG223">
        <f t="shared" si="63"/>
        <v>734.16</v>
      </c>
      <c r="AH223" s="69">
        <f t="shared" si="53"/>
        <v>68.700000000000045</v>
      </c>
      <c r="AI223">
        <f t="shared" si="64"/>
        <v>214.23</v>
      </c>
      <c r="AJ223">
        <f t="shared" si="54"/>
        <v>114.21000000000001</v>
      </c>
      <c r="AK223">
        <f t="shared" si="55"/>
        <v>877.75</v>
      </c>
      <c r="AL223">
        <f t="shared" si="56"/>
        <v>31.32</v>
      </c>
      <c r="AM223">
        <f t="shared" si="57"/>
        <v>218.29</v>
      </c>
      <c r="AN223">
        <f t="shared" si="58"/>
        <v>6.79</v>
      </c>
      <c r="AO223">
        <f>ROUND(($J223*CIS_Inc_Salary2324*(VLOOKUP($A223,EnrollData2324,'2324 Jun 24 Enroll'!T$1,FALSE)+VLOOKUP($A223,EnrollData2324,'2324 Jun 24 Enroll'!U$1,FALSE))/Apport_613Xpd)*Apport_614Xpd,2)</f>
        <v>76.08</v>
      </c>
      <c r="AP223">
        <f t="shared" si="59"/>
        <v>13.18</v>
      </c>
      <c r="AQ223">
        <f t="shared" si="60"/>
        <v>30.93</v>
      </c>
      <c r="AR223" s="6">
        <f>ROUND((VLOOKUP($A223,EnrollData2324,'2324 Jun 24 Enroll'!D$1,FALSE)*Apport_M802324+VLOOKUP($A223,EnrollData2324,'2324 Jun 24 Enroll'!M$1,FALSE)*Apport_M802324+(VLOOKUP($A223,EnrollData2324,'2324 Jun 24 Enroll'!P$1,FALSE)+VLOOKUP($A223,EnrollData2324,'2324 Jun 24 Enroll'!Q$1,FALSE)+VLOOKUP($A223,EnrollData2324,'2324 Jun 24 Enroll'!R$1,FALSE)+VLOOKUP($A223,EnrollData2324,'2324 Jun 24 Enroll'!I$1,FALSE)+VLOOKUP($A223,EnrollData2324,'2324 Jun 24 Enroll'!N$1,FALSE)+VLOOKUP($A223,EnrollData2324,'2324 Jun 24 Enroll'!O$1,FALSE)+VLOOKUP($A223,EnrollData2324,'2324 Jun 24 Enroll'!K$1,FALSE)+VLOOKUP($A223,EnrollData2324,'2324 Jun 24 Enroll'!L$1,FALSE))*Apport_M812324)/(VLOOKUP($A223,EnrollData2324,'2324 Jun 24 Enroll'!M$1,FALSE)+VLOOKUP($A223,EnrollData2324,'2324 Jun 24 Enroll'!D$1,FALSE)),2)</f>
        <v>1535.56</v>
      </c>
      <c r="AS223" s="7">
        <f t="shared" si="61"/>
        <v>10012.56</v>
      </c>
    </row>
    <row r="224" spans="1:45">
      <c r="A224" s="40" t="s">
        <v>355</v>
      </c>
      <c r="B224" s="40" t="s">
        <v>356</v>
      </c>
      <c r="C224" s="11">
        <f>ROUND((IFERROR((1/IF(VLOOKUP($A224,EnrollData2324,28,FALSE)='District Calculations'!$B$10,VLOOKUP($A224,EnrollData2324,28,FALSE),'District Calculations'!$B$10))*(1+Apport_Z315),0))+Apport_201A2324,6)</f>
        <v>7.3449E-2</v>
      </c>
      <c r="D224">
        <f>ROUND(IF(VLOOKUP($A224,EnrollData2324,'2324 Jun 24 Enroll'!D$1,FALSE)='District Calculations'!$B$11,VLOOKUP($A224,EnrollData2324,'2324 Jun 24 Enroll'!D$1,FALSE),'District Calculations'!$B$11)*C224,3)</f>
        <v>0</v>
      </c>
      <c r="E224">
        <f>ROUND(IF(VLOOKUP($A224,EnrollData2324,'2324 Jun 24 Enroll'!E$1,FALSE)='District Calculations'!$B$12,VLOOKUP($A224,EnrollData2324,'2324 Jun 24 Enroll'!E$1,FALSE),'District Calculations'!$B$12)*C224,3)</f>
        <v>59.53</v>
      </c>
      <c r="F224">
        <f>ROUND(IF(VLOOKUP($A224,EnrollData2324,'2324 Jun 24 Enroll'!F$1,FALSE)='District Calculations'!$B$13,VLOOKUP($A224,EnrollData2324,'2324 Jun 24 Enroll'!F$1,FALSE),'District Calculations'!$B$13)*Apport_222A2324,3)</f>
        <v>10.101000000000001</v>
      </c>
      <c r="G224">
        <f>ROUND(IF(VLOOKUP($A224,EnrollData2324,'2324 Jun 24 Enroll'!G$1,FALSE)='District Calculations'!$B$14,VLOOKUP($A224,EnrollData2324,'2324 Jun 24 Enroll'!G$1,FALSE),'District Calculations'!$B$14)*Apport_210A2324,3)</f>
        <v>22.395</v>
      </c>
      <c r="H224">
        <f>ROUND(IF(VLOOKUP($A224,EnrollData2324,'2324 Jun 24 Enroll'!H$1,FALSE)='District Calculations'!$B$15,VLOOKUP($A224,EnrollData2324,'2324 Jun 24 Enroll'!H$1,FALSE),'District Calculations'!$B$15)*Apport_213A2324,3)</f>
        <v>23.091999999999999</v>
      </c>
      <c r="I224">
        <f>ROUND(IF(VLOOKUP($A224,EnrollData2324,'2324 Jun 24 Enroll'!I$1,FALSE)+VLOOKUP($A224,EnrollData2324,'2324 Jun 24 Enroll'!M$1,FALSE)-VLOOKUP($A224,EnrollData2324,'2324 Jun 24 Enroll'!J$1,FALSE)='District Calculations'!$B$16+'District Calculations'!$B$25-'District Calculations'!$B$17,VLOOKUP($A224,EnrollData2324,'2324 Jun 24 Enroll'!I$1,FALSE)+VLOOKUP($A224,EnrollData2324,'2324 Jun 24 Enroll'!M$1,FALSE)-VLOOKUP($A224,EnrollData2324,'2324 Jun 24 Enroll'!J$1,FALSE),'District Calculations'!$B$16+'District Calculations'!$B$25-'District Calculations'!$B$17)*Apport_216A2324,3)</f>
        <v>58.183999999999997</v>
      </c>
      <c r="J224">
        <f>ROUND(SUM(D224:I224)/(IF(VLOOKUP($A224,EnrollData2324,'2324 Jun 24 Enroll'!M$1,FALSE)='District Calculations'!$B$25,VLOOKUP($A224,EnrollData2324,'2324 Jun 24 Enroll'!M$1,FALSE),'District Calculations'!$B$25)+IF(VLOOKUP($A224,EnrollData2324,'2324 Jun 24 Enroll'!D$1,FALSE)='District Calculations'!$B$11,VLOOKUP($A224,EnrollData2324,'2324 Jun 24 Enroll'!D$1,FALSE),'District Calculations'!$B$11)),5)</f>
        <v>5.5530000000000003E-2</v>
      </c>
      <c r="K224" s="11">
        <f t="shared" si="51"/>
        <v>4.365E-3</v>
      </c>
      <c r="L224">
        <f>ROUND(IF(VLOOKUP($A224,EnrollData2324,'2324 Jun 24 Enroll'!D$1,FALSE)='District Calculations'!$B$11,VLOOKUP($A224,EnrollData2324,'2324 Jun 24 Enroll'!D$1,FALSE),'District Calculations'!$B$11)*K224,3)</f>
        <v>0</v>
      </c>
      <c r="M224">
        <f>ROUND(IF(VLOOKUP($A224,EnrollData2324,'2324 Jun 24 Enroll'!E$1,FALSE)='District Calculations'!$B$12,VLOOKUP($A224,EnrollData2324,'2324 Jun 24 Enroll'!E$1,FALSE),'District Calculations'!$B$12)*K224,3)</f>
        <v>3.5379999999999998</v>
      </c>
      <c r="N224">
        <f>ROUND(IF(VLOOKUP($A224,EnrollData2324,'2324 Jun 24 Enroll'!F$1,FALSE)='District Calculations'!$B$13,VLOOKUP($A224,EnrollData2324,'2324 Jun 24 Enroll'!F$1,FALSE),'District Calculations'!$B$13)*Apport_223A2324,3)</f>
        <v>0.84199999999999997</v>
      </c>
      <c r="O224">
        <f>ROUND(IF(VLOOKUP($A224,EnrollData2324,'2324 Jun 24 Enroll'!G$1,FALSE)='District Calculations'!$B$14,VLOOKUP($A224,EnrollData2324,'2324 Jun 24 Enroll'!G$1,FALSE),'District Calculations'!$B$14)*Apport_211A2324,3)</f>
        <v>1.867</v>
      </c>
      <c r="P224">
        <f>ROUND(IF(VLOOKUP($A224,EnrollData2324,'2324 Jun 24 Enroll'!H$1,FALSE)='District Calculations'!$B$14,VLOOKUP($A224,EnrollData2324,'2324 Jun 24 Enroll'!H$1,FALSE),'District Calculations'!$B$14)*Apport_214A2324,3)</f>
        <v>1.8660000000000001</v>
      </c>
      <c r="Q224">
        <f>ROUND(IF(VLOOKUP($A224,EnrollData2324,'2324 Jun 24 Enroll'!I$1,FALSE)+VLOOKUP($A224,EnrollData2324,'2324 Jun 24 Enroll'!M$1,FALSE)-VLOOKUP($A224,EnrollData2324,'2324 Jun 24 Enroll'!J$1,FALSE)='District Calculations'!$B$16+'District Calculations'!$B$25-'District Calculations'!$B$17,VLOOKUP($A224,EnrollData2324,'2324 Jun 24 Enroll'!I$1,FALSE)+VLOOKUP($A224,EnrollData2324,'2324 Jun 24 Enroll'!M$1,FALSE)-VLOOKUP($A224,EnrollData2324,'2324 Jun 24 Enroll'!J$1,FALSE),'District Calculations'!$B$16+'District Calculations'!$B$25-'District Calculations'!$B$17)*Apport_217A2324,3)</f>
        <v>4.6980000000000004</v>
      </c>
      <c r="R224">
        <f>ROUND(SUM(L224:Q224)/IF(VLOOKUP($A224,EnrollData2324,'2324 Jun 24 Enroll'!M$1,FALSE)+VLOOKUP($A224,EnrollData2324,'2324 Jun 24 Enroll'!D$1,FALSE)='District Calculations'!$B$25+'District Calculations'!$B$11,VLOOKUP($A224,EnrollData2324,'2324 Jun 24 Enroll'!M$1,FALSE)+VLOOKUP($A224,EnrollData2324,'2324 Jun 24 Enroll'!D$1,FALSE),'District Calculations'!$B$25+'District Calculations'!$B$11),5)</f>
        <v>4.1000000000000003E-3</v>
      </c>
      <c r="S224" s="11">
        <f t="shared" si="52"/>
        <v>1.8294500000000002E-2</v>
      </c>
      <c r="T224">
        <f>ROUND(IF(VLOOKUP($A224,EnrollData2324,'2324 Jun 24 Enroll'!D$1,FALSE)='District Calculations'!$B$11,VLOOKUP($A224,EnrollData2324,'2324 Jun 24 Enroll'!D$1,FALSE),'District Calculations'!$B$11)*S224,3)</f>
        <v>0</v>
      </c>
      <c r="U224">
        <f>ROUND(IF(VLOOKUP($A224,EnrollData2324,'2324 Jun 24 Enroll'!E$1,FALSE)='District Calculations'!$B$12,VLOOKUP($A224,EnrollData2324,'2324 Jun 24 Enroll'!E$1,FALSE),'District Calculations'!$B$12)*S224,3)</f>
        <v>14.827999999999999</v>
      </c>
      <c r="V224">
        <f>ROUND(IF(VLOOKUP($A224,EnrollData2324,'2324 Jun 24 Enroll'!F$1,FALSE)='District Calculations'!$B$13,VLOOKUP($A224,EnrollData2324,'2324 Jun 24 Enroll'!F$1,FALSE),'District Calculations'!$B$13)*Apport_224A2324,3)</f>
        <v>3.6190000000000002</v>
      </c>
      <c r="W224">
        <f>ROUND(IF(VLOOKUP($A224,EnrollData2324,'2324 Jun 24 Enroll'!G$1,FALSE)='District Calculations'!$B$14,VLOOKUP($A224,EnrollData2324,'2324 Jun 24 Enroll'!G$1,FALSE),'District Calculations'!$B$14)*Apport_212A2324,3)</f>
        <v>8.0239999999999991</v>
      </c>
      <c r="X224">
        <f>ROUND(IF(VLOOKUP($A224,EnrollData2324,'2324 Jun 24 Enroll'!H$1,FALSE)='District Calculations'!$B$14,VLOOKUP($A224,EnrollData2324,'2324 Jun 24 Enroll'!H$1,FALSE),'District Calculations'!$B$14)*Apport_215A2324,3)</f>
        <v>7.9279999999999999</v>
      </c>
      <c r="Y224">
        <f>ROUND(IF(VLOOKUP($A224,EnrollData2324,'2324 Jun 24 Enroll'!I$1,FALSE)+VLOOKUP($A224,EnrollData2324,'2324 Jun 24 Enroll'!M$1,FALSE)-VLOOKUP($A224,EnrollData2324,'2324 Jun 24 Enroll'!J$1,FALSE)='District Calculations'!$B$16+'District Calculations'!$B$25-'District Calculations'!$B$17,VLOOKUP($A224,EnrollData2324,'2324 Jun 24 Enroll'!I$1,FALSE)+VLOOKUP($A224,EnrollData2324,'2324 Jun 24 Enroll'!M$1,FALSE)-VLOOKUP($A224,EnrollData2324,'2324 Jun 24 Enroll'!J$1,FALSE),'District Calculations'!$B$16+'District Calculations'!$B$25-'District Calculations'!$B$17)*Apport_218A2324,3)</f>
        <v>19.917999999999999</v>
      </c>
      <c r="Z224">
        <f>ROUND(SUM(T224:Y224)/IF(VLOOKUP($A224,EnrollData2324,'2324 Jun 24 Enroll'!M$1,FALSE)+VLOOKUP($A224,EnrollData2324,'2324 Jun 24 Enroll'!D$1,FALSE)='District Calculations'!$B$25+'District Calculations'!$B$11,VLOOKUP($A224,EnrollData2324,'2324 Jun 24 Enroll'!M$1,FALSE)+VLOOKUP($A224,EnrollData2324,'2324 Jun 24 Enroll'!D$1,FALSE),'District Calculations'!$B$25+'District Calculations'!$B$11),5)</f>
        <v>1.7399999999999999E-2</v>
      </c>
      <c r="AA224" s="6">
        <f>ROUND($J224*CIS_Base_Salary2324*VLOOKUP($A224,EnrollData2324,'2324 Jun 24 Enroll'!S$1,FALSE),2)</f>
        <v>4583.79</v>
      </c>
      <c r="AB224" s="6">
        <f>ROUND($J224*CIS_Inc_Salary2324*(VLOOKUP($A224,EnrollData2324,'2324 Jun 24 Enroll'!T$1,FALSE)+VLOOKUP($A224,EnrollData2324,'2324 Jun 24 Enroll'!U$1,FALSE)),2)-AA224</f>
        <v>169.60999999999967</v>
      </c>
      <c r="AC224" s="6">
        <f>ROUND($R224*CAS_Base_Salary2324*VLOOKUP($A224,EnrollData2324,'2324 Jun 24 Enroll'!S$1,FALSE),2)</f>
        <v>502.37</v>
      </c>
      <c r="AD224" s="6">
        <f>ROUND($R224*CAS_Inc_Salary2324*VLOOKUP($A224,EnrollData2324,'2324 Jun 24 Enroll'!T$1,FALSE),2)-AC224</f>
        <v>18.590000000000032</v>
      </c>
      <c r="AE224" s="6">
        <f>ROUND($Z224*CLS_Base_Salary2324*VLOOKUP($A224,EnrollData2324,'2324 Jun 24 Enroll'!S$1,FALSE),2)</f>
        <v>1030.3599999999999</v>
      </c>
      <c r="AF224" s="6">
        <f>ROUND($Z224*CLS_Inc_Salary2324*VLOOKUP($A224,EnrollData2324,'2324 Jun 24 Enroll'!T$1,FALSE),2)-AE224</f>
        <v>38.120000000000118</v>
      </c>
      <c r="AG224">
        <f t="shared" si="63"/>
        <v>734.16</v>
      </c>
      <c r="AH224" s="69">
        <f t="shared" si="53"/>
        <v>68.700000000000045</v>
      </c>
      <c r="AI224">
        <f t="shared" si="64"/>
        <v>214.23</v>
      </c>
      <c r="AJ224">
        <f t="shared" si="54"/>
        <v>114.21000000000001</v>
      </c>
      <c r="AK224">
        <f t="shared" si="55"/>
        <v>913.98</v>
      </c>
      <c r="AL224">
        <f t="shared" si="56"/>
        <v>32.619999999999997</v>
      </c>
      <c r="AM224">
        <f t="shared" si="57"/>
        <v>227.3</v>
      </c>
      <c r="AN224">
        <f t="shared" si="58"/>
        <v>7.08</v>
      </c>
      <c r="AO224">
        <f>ROUND(($J224*CIS_Inc_Salary2324*(VLOOKUP($A224,EnrollData2324,'2324 Jun 24 Enroll'!T$1,FALSE)+VLOOKUP($A224,EnrollData2324,'2324 Jun 24 Enroll'!U$1,FALSE))/Apport_613Xpd)*Apport_614Xpd,2)</f>
        <v>79.22</v>
      </c>
      <c r="AP224">
        <f t="shared" si="59"/>
        <v>13.73</v>
      </c>
      <c r="AQ224">
        <f t="shared" si="60"/>
        <v>30.93</v>
      </c>
      <c r="AR224" s="6">
        <f>ROUND((VLOOKUP($A224,EnrollData2324,'2324 Jun 24 Enroll'!D$1,FALSE)*Apport_M802324+VLOOKUP($A224,EnrollData2324,'2324 Jun 24 Enroll'!M$1,FALSE)*Apport_M802324+(VLOOKUP($A224,EnrollData2324,'2324 Jun 24 Enroll'!P$1,FALSE)+VLOOKUP($A224,EnrollData2324,'2324 Jun 24 Enroll'!Q$1,FALSE)+VLOOKUP($A224,EnrollData2324,'2324 Jun 24 Enroll'!R$1,FALSE)+VLOOKUP($A224,EnrollData2324,'2324 Jun 24 Enroll'!I$1,FALSE)+VLOOKUP($A224,EnrollData2324,'2324 Jun 24 Enroll'!N$1,FALSE)+VLOOKUP($A224,EnrollData2324,'2324 Jun 24 Enroll'!O$1,FALSE)+VLOOKUP($A224,EnrollData2324,'2324 Jun 24 Enroll'!K$1,FALSE)+VLOOKUP($A224,EnrollData2324,'2324 Jun 24 Enroll'!L$1,FALSE))*Apport_M812324)/(VLOOKUP($A224,EnrollData2324,'2324 Jun 24 Enroll'!M$1,FALSE)+VLOOKUP($A224,EnrollData2324,'2324 Jun 24 Enroll'!D$1,FALSE)),2)</f>
        <v>1550.37</v>
      </c>
      <c r="AS224" s="7">
        <f t="shared" si="61"/>
        <v>10329.369999999999</v>
      </c>
    </row>
    <row r="225" spans="1:45">
      <c r="A225" s="40" t="s">
        <v>749</v>
      </c>
      <c r="B225" s="40" t="s">
        <v>750</v>
      </c>
      <c r="C225" s="11">
        <f>ROUND((IFERROR((1/IF(VLOOKUP($A225,EnrollData2324,28,FALSE)='District Calculations'!$B$10,VLOOKUP($A225,EnrollData2324,28,FALSE),'District Calculations'!$B$10))*(1+Apport_Z315),0))+Apport_201A2324,6)</f>
        <v>7.3449E-2</v>
      </c>
      <c r="D225">
        <f>ROUND(IF(VLOOKUP($A225,EnrollData2324,'2324 Jun 24 Enroll'!D$1,FALSE)='District Calculations'!$B$11,VLOOKUP($A225,EnrollData2324,'2324 Jun 24 Enroll'!D$1,FALSE),'District Calculations'!$B$11)*C225,3)</f>
        <v>0</v>
      </c>
      <c r="E225">
        <f>ROUND(IF(VLOOKUP($A225,EnrollData2324,'2324 Jun 24 Enroll'!E$1,FALSE)='District Calculations'!$B$12,VLOOKUP($A225,EnrollData2324,'2324 Jun 24 Enroll'!E$1,FALSE),'District Calculations'!$B$12)*C225,3)</f>
        <v>59.53</v>
      </c>
      <c r="F225">
        <f>ROUND(IF(VLOOKUP($A225,EnrollData2324,'2324 Jun 24 Enroll'!F$1,FALSE)='District Calculations'!$B$13,VLOOKUP($A225,EnrollData2324,'2324 Jun 24 Enroll'!F$1,FALSE),'District Calculations'!$B$13)*Apport_222A2324,3)</f>
        <v>10.101000000000001</v>
      </c>
      <c r="G225">
        <f>ROUND(IF(VLOOKUP($A225,EnrollData2324,'2324 Jun 24 Enroll'!G$1,FALSE)='District Calculations'!$B$14,VLOOKUP($A225,EnrollData2324,'2324 Jun 24 Enroll'!G$1,FALSE),'District Calculations'!$B$14)*Apport_210A2324,3)</f>
        <v>22.395</v>
      </c>
      <c r="H225">
        <f>ROUND(IF(VLOOKUP($A225,EnrollData2324,'2324 Jun 24 Enroll'!H$1,FALSE)='District Calculations'!$B$15,VLOOKUP($A225,EnrollData2324,'2324 Jun 24 Enroll'!H$1,FALSE),'District Calculations'!$B$15)*Apport_213A2324,3)</f>
        <v>23.091999999999999</v>
      </c>
      <c r="I225">
        <f>ROUND(IF(VLOOKUP($A225,EnrollData2324,'2324 Jun 24 Enroll'!I$1,FALSE)+VLOOKUP($A225,EnrollData2324,'2324 Jun 24 Enroll'!M$1,FALSE)-VLOOKUP($A225,EnrollData2324,'2324 Jun 24 Enroll'!J$1,FALSE)='District Calculations'!$B$16+'District Calculations'!$B$25-'District Calculations'!$B$17,VLOOKUP($A225,EnrollData2324,'2324 Jun 24 Enroll'!I$1,FALSE)+VLOOKUP($A225,EnrollData2324,'2324 Jun 24 Enroll'!M$1,FALSE)-VLOOKUP($A225,EnrollData2324,'2324 Jun 24 Enroll'!J$1,FALSE),'District Calculations'!$B$16+'District Calculations'!$B$25-'District Calculations'!$B$17)*Apport_216A2324,3)</f>
        <v>58.183999999999997</v>
      </c>
      <c r="J225">
        <f>ROUND(SUM(D225:I225)/(IF(VLOOKUP($A225,EnrollData2324,'2324 Jun 24 Enroll'!M$1,FALSE)='District Calculations'!$B$25,VLOOKUP($A225,EnrollData2324,'2324 Jun 24 Enroll'!M$1,FALSE),'District Calculations'!$B$25)+IF(VLOOKUP($A225,EnrollData2324,'2324 Jun 24 Enroll'!D$1,FALSE)='District Calculations'!$B$11,VLOOKUP($A225,EnrollData2324,'2324 Jun 24 Enroll'!D$1,FALSE),'District Calculations'!$B$11)),5)</f>
        <v>5.5530000000000003E-2</v>
      </c>
      <c r="K225" s="11">
        <f t="shared" si="51"/>
        <v>4.365E-3</v>
      </c>
      <c r="L225">
        <f>ROUND(IF(VLOOKUP($A225,EnrollData2324,'2324 Jun 24 Enroll'!D$1,FALSE)='District Calculations'!$B$11,VLOOKUP($A225,EnrollData2324,'2324 Jun 24 Enroll'!D$1,FALSE),'District Calculations'!$B$11)*K225,3)</f>
        <v>0</v>
      </c>
      <c r="M225">
        <f>ROUND(IF(VLOOKUP($A225,EnrollData2324,'2324 Jun 24 Enroll'!E$1,FALSE)='District Calculations'!$B$12,VLOOKUP($A225,EnrollData2324,'2324 Jun 24 Enroll'!E$1,FALSE),'District Calculations'!$B$12)*K225,3)</f>
        <v>3.5379999999999998</v>
      </c>
      <c r="N225">
        <f>ROUND(IF(VLOOKUP($A225,EnrollData2324,'2324 Jun 24 Enroll'!F$1,FALSE)='District Calculations'!$B$13,VLOOKUP($A225,EnrollData2324,'2324 Jun 24 Enroll'!F$1,FALSE),'District Calculations'!$B$13)*Apport_223A2324,3)</f>
        <v>0.84199999999999997</v>
      </c>
      <c r="O225">
        <f>ROUND(IF(VLOOKUP($A225,EnrollData2324,'2324 Jun 24 Enroll'!G$1,FALSE)='District Calculations'!$B$14,VLOOKUP($A225,EnrollData2324,'2324 Jun 24 Enroll'!G$1,FALSE),'District Calculations'!$B$14)*Apport_211A2324,3)</f>
        <v>1.867</v>
      </c>
      <c r="P225">
        <f>ROUND(IF(VLOOKUP($A225,EnrollData2324,'2324 Jun 24 Enroll'!H$1,FALSE)='District Calculations'!$B$14,VLOOKUP($A225,EnrollData2324,'2324 Jun 24 Enroll'!H$1,FALSE),'District Calculations'!$B$14)*Apport_214A2324,3)</f>
        <v>1.8660000000000001</v>
      </c>
      <c r="Q225">
        <f>ROUND(IF(VLOOKUP($A225,EnrollData2324,'2324 Jun 24 Enroll'!I$1,FALSE)+VLOOKUP($A225,EnrollData2324,'2324 Jun 24 Enroll'!M$1,FALSE)-VLOOKUP($A225,EnrollData2324,'2324 Jun 24 Enroll'!J$1,FALSE)='District Calculations'!$B$16+'District Calculations'!$B$25-'District Calculations'!$B$17,VLOOKUP($A225,EnrollData2324,'2324 Jun 24 Enroll'!I$1,FALSE)+VLOOKUP($A225,EnrollData2324,'2324 Jun 24 Enroll'!M$1,FALSE)-VLOOKUP($A225,EnrollData2324,'2324 Jun 24 Enroll'!J$1,FALSE),'District Calculations'!$B$16+'District Calculations'!$B$25-'District Calculations'!$B$17)*Apport_217A2324,3)</f>
        <v>4.6980000000000004</v>
      </c>
      <c r="R225">
        <f>ROUND(SUM(L225:Q225)/IF(VLOOKUP($A225,EnrollData2324,'2324 Jun 24 Enroll'!M$1,FALSE)+VLOOKUP($A225,EnrollData2324,'2324 Jun 24 Enroll'!D$1,FALSE)='District Calculations'!$B$25+'District Calculations'!$B$11,VLOOKUP($A225,EnrollData2324,'2324 Jun 24 Enroll'!M$1,FALSE)+VLOOKUP($A225,EnrollData2324,'2324 Jun 24 Enroll'!D$1,FALSE),'District Calculations'!$B$25+'District Calculations'!$B$11),5)</f>
        <v>4.1000000000000003E-3</v>
      </c>
      <c r="S225" s="11">
        <f t="shared" si="52"/>
        <v>1.8294500000000002E-2</v>
      </c>
      <c r="T225">
        <f>ROUND(IF(VLOOKUP($A225,EnrollData2324,'2324 Jun 24 Enroll'!D$1,FALSE)='District Calculations'!$B$11,VLOOKUP($A225,EnrollData2324,'2324 Jun 24 Enroll'!D$1,FALSE),'District Calculations'!$B$11)*S225,3)</f>
        <v>0</v>
      </c>
      <c r="U225">
        <f>ROUND(IF(VLOOKUP($A225,EnrollData2324,'2324 Jun 24 Enroll'!E$1,FALSE)='District Calculations'!$B$12,VLOOKUP($A225,EnrollData2324,'2324 Jun 24 Enroll'!E$1,FALSE),'District Calculations'!$B$12)*S225,3)</f>
        <v>14.827999999999999</v>
      </c>
      <c r="V225">
        <f>ROUND(IF(VLOOKUP($A225,EnrollData2324,'2324 Jun 24 Enroll'!F$1,FALSE)='District Calculations'!$B$13,VLOOKUP($A225,EnrollData2324,'2324 Jun 24 Enroll'!F$1,FALSE),'District Calculations'!$B$13)*Apport_224A2324,3)</f>
        <v>3.6190000000000002</v>
      </c>
      <c r="W225">
        <f>ROUND(IF(VLOOKUP($A225,EnrollData2324,'2324 Jun 24 Enroll'!G$1,FALSE)='District Calculations'!$B$14,VLOOKUP($A225,EnrollData2324,'2324 Jun 24 Enroll'!G$1,FALSE),'District Calculations'!$B$14)*Apport_212A2324,3)</f>
        <v>8.0239999999999991</v>
      </c>
      <c r="X225">
        <f>ROUND(IF(VLOOKUP($A225,EnrollData2324,'2324 Jun 24 Enroll'!H$1,FALSE)='District Calculations'!$B$14,VLOOKUP($A225,EnrollData2324,'2324 Jun 24 Enroll'!H$1,FALSE),'District Calculations'!$B$14)*Apport_215A2324,3)</f>
        <v>7.9279999999999999</v>
      </c>
      <c r="Y225">
        <f>ROUND(IF(VLOOKUP($A225,EnrollData2324,'2324 Jun 24 Enroll'!I$1,FALSE)+VLOOKUP($A225,EnrollData2324,'2324 Jun 24 Enroll'!M$1,FALSE)-VLOOKUP($A225,EnrollData2324,'2324 Jun 24 Enroll'!J$1,FALSE)='District Calculations'!$B$16+'District Calculations'!$B$25-'District Calculations'!$B$17,VLOOKUP($A225,EnrollData2324,'2324 Jun 24 Enroll'!I$1,FALSE)+VLOOKUP($A225,EnrollData2324,'2324 Jun 24 Enroll'!M$1,FALSE)-VLOOKUP($A225,EnrollData2324,'2324 Jun 24 Enroll'!J$1,FALSE),'District Calculations'!$B$16+'District Calculations'!$B$25-'District Calculations'!$B$17)*Apport_218A2324,3)</f>
        <v>19.917999999999999</v>
      </c>
      <c r="Z225">
        <f>ROUND(SUM(T225:Y225)/IF(VLOOKUP($A225,EnrollData2324,'2324 Jun 24 Enroll'!M$1,FALSE)+VLOOKUP($A225,EnrollData2324,'2324 Jun 24 Enroll'!D$1,FALSE)='District Calculations'!$B$25+'District Calculations'!$B$11,VLOOKUP($A225,EnrollData2324,'2324 Jun 24 Enroll'!M$1,FALSE)+VLOOKUP($A225,EnrollData2324,'2324 Jun 24 Enroll'!D$1,FALSE),'District Calculations'!$B$25+'District Calculations'!$B$11),5)</f>
        <v>1.7399999999999999E-2</v>
      </c>
      <c r="AA225" s="6">
        <f>ROUND($J225*CIS_Base_Salary2324*VLOOKUP($A225,EnrollData2324,'2324 Jun 24 Enroll'!S$1,FALSE),2)</f>
        <v>4523.22</v>
      </c>
      <c r="AB225" s="6">
        <f>ROUND($J225*CIS_Inc_Salary2324*(VLOOKUP($A225,EnrollData2324,'2324 Jun 24 Enroll'!T$1,FALSE)+VLOOKUP($A225,EnrollData2324,'2324 Jun 24 Enroll'!U$1,FALSE)),2)-AA225</f>
        <v>167.35999999999967</v>
      </c>
      <c r="AC225" s="6">
        <f>ROUND($R225*CAS_Base_Salary2324*VLOOKUP($A225,EnrollData2324,'2324 Jun 24 Enroll'!S$1,FALSE),2)</f>
        <v>495.73</v>
      </c>
      <c r="AD225" s="6">
        <f>ROUND($R225*CAS_Inc_Salary2324*VLOOKUP($A225,EnrollData2324,'2324 Jun 24 Enroll'!T$1,FALSE),2)-AC225</f>
        <v>18.340000000000032</v>
      </c>
      <c r="AE225" s="6">
        <f>ROUND($Z225*CLS_Base_Salary2324*VLOOKUP($A225,EnrollData2324,'2324 Jun 24 Enroll'!S$1,FALSE),2)</f>
        <v>1016.75</v>
      </c>
      <c r="AF225" s="6">
        <f>ROUND($Z225*CLS_Inc_Salary2324*VLOOKUP($A225,EnrollData2324,'2324 Jun 24 Enroll'!T$1,FALSE),2)-AE225</f>
        <v>37.6099999999999</v>
      </c>
      <c r="AG225">
        <f t="shared" si="63"/>
        <v>734.16</v>
      </c>
      <c r="AH225" s="69">
        <f t="shared" si="53"/>
        <v>68.700000000000045</v>
      </c>
      <c r="AI225">
        <f t="shared" si="64"/>
        <v>214.23</v>
      </c>
      <c r="AJ225">
        <f t="shared" si="54"/>
        <v>114.21000000000001</v>
      </c>
      <c r="AK225">
        <f t="shared" si="55"/>
        <v>901.91</v>
      </c>
      <c r="AL225">
        <f t="shared" si="56"/>
        <v>32.18</v>
      </c>
      <c r="AM225">
        <f t="shared" si="57"/>
        <v>224.3</v>
      </c>
      <c r="AN225">
        <f t="shared" si="58"/>
        <v>6.98</v>
      </c>
      <c r="AO225">
        <f>ROUND(($J225*CIS_Inc_Salary2324*(VLOOKUP($A225,EnrollData2324,'2324 Jun 24 Enroll'!T$1,FALSE)+VLOOKUP($A225,EnrollData2324,'2324 Jun 24 Enroll'!U$1,FALSE))/Apport_613Xpd)*Apport_614Xpd,2)</f>
        <v>78.180000000000007</v>
      </c>
      <c r="AP225">
        <f t="shared" si="59"/>
        <v>13.55</v>
      </c>
      <c r="AQ225">
        <f t="shared" si="60"/>
        <v>30.93</v>
      </c>
      <c r="AR225" s="6">
        <f>ROUND((VLOOKUP($A225,EnrollData2324,'2324 Jun 24 Enroll'!D$1,FALSE)*Apport_M802324+VLOOKUP($A225,EnrollData2324,'2324 Jun 24 Enroll'!M$1,FALSE)*Apport_M802324+(VLOOKUP($A225,EnrollData2324,'2324 Jun 24 Enroll'!P$1,FALSE)+VLOOKUP($A225,EnrollData2324,'2324 Jun 24 Enroll'!Q$1,FALSE)+VLOOKUP($A225,EnrollData2324,'2324 Jun 24 Enroll'!R$1,FALSE)+VLOOKUP($A225,EnrollData2324,'2324 Jun 24 Enroll'!I$1,FALSE)+VLOOKUP($A225,EnrollData2324,'2324 Jun 24 Enroll'!N$1,FALSE)+VLOOKUP($A225,EnrollData2324,'2324 Jun 24 Enroll'!O$1,FALSE)+VLOOKUP($A225,EnrollData2324,'2324 Jun 24 Enroll'!K$1,FALSE)+VLOOKUP($A225,EnrollData2324,'2324 Jun 24 Enroll'!L$1,FALSE))*Apport_M812324)/(VLOOKUP($A225,EnrollData2324,'2324 Jun 24 Enroll'!M$1,FALSE)+VLOOKUP($A225,EnrollData2324,'2324 Jun 24 Enroll'!D$1,FALSE)),2)</f>
        <v>1544.39</v>
      </c>
      <c r="AS225" s="7">
        <f t="shared" si="61"/>
        <v>10222.729999999998</v>
      </c>
    </row>
    <row r="226" spans="1:45">
      <c r="A226" s="40" t="s">
        <v>321</v>
      </c>
      <c r="B226" s="40" t="s">
        <v>322</v>
      </c>
      <c r="C226" s="11">
        <f>ROUND((IFERROR((1/IF(VLOOKUP($A226,EnrollData2324,28,FALSE)='District Calculations'!$B$10,VLOOKUP($A226,EnrollData2324,28,FALSE),'District Calculations'!$B$10))*(1+Apport_Z315),0))+Apport_201A2324,6)</f>
        <v>7.3449E-2</v>
      </c>
      <c r="D226">
        <f>ROUND(IF(VLOOKUP($A226,EnrollData2324,'2324 Jun 24 Enroll'!D$1,FALSE)='District Calculations'!$B$11,VLOOKUP($A226,EnrollData2324,'2324 Jun 24 Enroll'!D$1,FALSE),'District Calculations'!$B$11)*C226,3)</f>
        <v>0</v>
      </c>
      <c r="E226">
        <f>ROUND(IF(VLOOKUP($A226,EnrollData2324,'2324 Jun 24 Enroll'!E$1,FALSE)='District Calculations'!$B$12,VLOOKUP($A226,EnrollData2324,'2324 Jun 24 Enroll'!E$1,FALSE),'District Calculations'!$B$12)*C226,3)</f>
        <v>59.53</v>
      </c>
      <c r="F226">
        <f>ROUND(IF(VLOOKUP($A226,EnrollData2324,'2324 Jun 24 Enroll'!F$1,FALSE)='District Calculations'!$B$13,VLOOKUP($A226,EnrollData2324,'2324 Jun 24 Enroll'!F$1,FALSE),'District Calculations'!$B$13)*Apport_222A2324,3)</f>
        <v>10.101000000000001</v>
      </c>
      <c r="G226">
        <f>ROUND(IF(VLOOKUP($A226,EnrollData2324,'2324 Jun 24 Enroll'!G$1,FALSE)='District Calculations'!$B$14,VLOOKUP($A226,EnrollData2324,'2324 Jun 24 Enroll'!G$1,FALSE),'District Calculations'!$B$14)*Apport_210A2324,3)</f>
        <v>22.395</v>
      </c>
      <c r="H226">
        <f>ROUND(IF(VLOOKUP($A226,EnrollData2324,'2324 Jun 24 Enroll'!H$1,FALSE)='District Calculations'!$B$15,VLOOKUP($A226,EnrollData2324,'2324 Jun 24 Enroll'!H$1,FALSE),'District Calculations'!$B$15)*Apport_213A2324,3)</f>
        <v>23.091999999999999</v>
      </c>
      <c r="I226">
        <f>ROUND(IF(VLOOKUP($A226,EnrollData2324,'2324 Jun 24 Enroll'!I$1,FALSE)+VLOOKUP($A226,EnrollData2324,'2324 Jun 24 Enroll'!M$1,FALSE)-VLOOKUP($A226,EnrollData2324,'2324 Jun 24 Enroll'!J$1,FALSE)='District Calculations'!$B$16+'District Calculations'!$B$25-'District Calculations'!$B$17,VLOOKUP($A226,EnrollData2324,'2324 Jun 24 Enroll'!I$1,FALSE)+VLOOKUP($A226,EnrollData2324,'2324 Jun 24 Enroll'!M$1,FALSE)-VLOOKUP($A226,EnrollData2324,'2324 Jun 24 Enroll'!J$1,FALSE),'District Calculations'!$B$16+'District Calculations'!$B$25-'District Calculations'!$B$17)*Apport_216A2324,3)</f>
        <v>58.183999999999997</v>
      </c>
      <c r="J226">
        <f>ROUND(SUM(D226:I226)/(IF(VLOOKUP($A226,EnrollData2324,'2324 Jun 24 Enroll'!M$1,FALSE)='District Calculations'!$B$25,VLOOKUP($A226,EnrollData2324,'2324 Jun 24 Enroll'!M$1,FALSE),'District Calculations'!$B$25)+IF(VLOOKUP($A226,EnrollData2324,'2324 Jun 24 Enroll'!D$1,FALSE)='District Calculations'!$B$11,VLOOKUP($A226,EnrollData2324,'2324 Jun 24 Enroll'!D$1,FALSE),'District Calculations'!$B$11)),5)</f>
        <v>5.5530000000000003E-2</v>
      </c>
      <c r="K226" s="11">
        <f t="shared" si="51"/>
        <v>4.365E-3</v>
      </c>
      <c r="L226">
        <f>ROUND(IF(VLOOKUP($A226,EnrollData2324,'2324 Jun 24 Enroll'!D$1,FALSE)='District Calculations'!$B$11,VLOOKUP($A226,EnrollData2324,'2324 Jun 24 Enroll'!D$1,FALSE),'District Calculations'!$B$11)*K226,3)</f>
        <v>0</v>
      </c>
      <c r="M226">
        <f>ROUND(IF(VLOOKUP($A226,EnrollData2324,'2324 Jun 24 Enroll'!E$1,FALSE)='District Calculations'!$B$12,VLOOKUP($A226,EnrollData2324,'2324 Jun 24 Enroll'!E$1,FALSE),'District Calculations'!$B$12)*K226,3)</f>
        <v>3.5379999999999998</v>
      </c>
      <c r="N226">
        <f>ROUND(IF(VLOOKUP($A226,EnrollData2324,'2324 Jun 24 Enroll'!F$1,FALSE)='District Calculations'!$B$13,VLOOKUP($A226,EnrollData2324,'2324 Jun 24 Enroll'!F$1,FALSE),'District Calculations'!$B$13)*Apport_223A2324,3)</f>
        <v>0.84199999999999997</v>
      </c>
      <c r="O226">
        <f>ROUND(IF(VLOOKUP($A226,EnrollData2324,'2324 Jun 24 Enroll'!G$1,FALSE)='District Calculations'!$B$14,VLOOKUP($A226,EnrollData2324,'2324 Jun 24 Enroll'!G$1,FALSE),'District Calculations'!$B$14)*Apport_211A2324,3)</f>
        <v>1.867</v>
      </c>
      <c r="P226">
        <f>ROUND(IF(VLOOKUP($A226,EnrollData2324,'2324 Jun 24 Enroll'!H$1,FALSE)='District Calculations'!$B$14,VLOOKUP($A226,EnrollData2324,'2324 Jun 24 Enroll'!H$1,FALSE),'District Calculations'!$B$14)*Apport_214A2324,3)</f>
        <v>1.8660000000000001</v>
      </c>
      <c r="Q226">
        <f>ROUND(IF(VLOOKUP($A226,EnrollData2324,'2324 Jun 24 Enroll'!I$1,FALSE)+VLOOKUP($A226,EnrollData2324,'2324 Jun 24 Enroll'!M$1,FALSE)-VLOOKUP($A226,EnrollData2324,'2324 Jun 24 Enroll'!J$1,FALSE)='District Calculations'!$B$16+'District Calculations'!$B$25-'District Calculations'!$B$17,VLOOKUP($A226,EnrollData2324,'2324 Jun 24 Enroll'!I$1,FALSE)+VLOOKUP($A226,EnrollData2324,'2324 Jun 24 Enroll'!M$1,FALSE)-VLOOKUP($A226,EnrollData2324,'2324 Jun 24 Enroll'!J$1,FALSE),'District Calculations'!$B$16+'District Calculations'!$B$25-'District Calculations'!$B$17)*Apport_217A2324,3)</f>
        <v>4.6980000000000004</v>
      </c>
      <c r="R226">
        <f>ROUND(SUM(L226:Q226)/IF(VLOOKUP($A226,EnrollData2324,'2324 Jun 24 Enroll'!M$1,FALSE)+VLOOKUP($A226,EnrollData2324,'2324 Jun 24 Enroll'!D$1,FALSE)='District Calculations'!$B$25+'District Calculations'!$B$11,VLOOKUP($A226,EnrollData2324,'2324 Jun 24 Enroll'!M$1,FALSE)+VLOOKUP($A226,EnrollData2324,'2324 Jun 24 Enroll'!D$1,FALSE),'District Calculations'!$B$25+'District Calculations'!$B$11),5)</f>
        <v>4.1000000000000003E-3</v>
      </c>
      <c r="S226" s="11">
        <f t="shared" si="52"/>
        <v>1.8294500000000002E-2</v>
      </c>
      <c r="T226">
        <f>ROUND(IF(VLOOKUP($A226,EnrollData2324,'2324 Jun 24 Enroll'!D$1,FALSE)='District Calculations'!$B$11,VLOOKUP($A226,EnrollData2324,'2324 Jun 24 Enroll'!D$1,FALSE),'District Calculations'!$B$11)*S226,3)</f>
        <v>0</v>
      </c>
      <c r="U226">
        <f>ROUND(IF(VLOOKUP($A226,EnrollData2324,'2324 Jun 24 Enroll'!E$1,FALSE)='District Calculations'!$B$12,VLOOKUP($A226,EnrollData2324,'2324 Jun 24 Enroll'!E$1,FALSE),'District Calculations'!$B$12)*S226,3)</f>
        <v>14.827999999999999</v>
      </c>
      <c r="V226">
        <f>ROUND(IF(VLOOKUP($A226,EnrollData2324,'2324 Jun 24 Enroll'!F$1,FALSE)='District Calculations'!$B$13,VLOOKUP($A226,EnrollData2324,'2324 Jun 24 Enroll'!F$1,FALSE),'District Calculations'!$B$13)*Apport_224A2324,3)</f>
        <v>3.6190000000000002</v>
      </c>
      <c r="W226">
        <f>ROUND(IF(VLOOKUP($A226,EnrollData2324,'2324 Jun 24 Enroll'!G$1,FALSE)='District Calculations'!$B$14,VLOOKUP($A226,EnrollData2324,'2324 Jun 24 Enroll'!G$1,FALSE),'District Calculations'!$B$14)*Apport_212A2324,3)</f>
        <v>8.0239999999999991</v>
      </c>
      <c r="X226">
        <f>ROUND(IF(VLOOKUP($A226,EnrollData2324,'2324 Jun 24 Enroll'!H$1,FALSE)='District Calculations'!$B$14,VLOOKUP($A226,EnrollData2324,'2324 Jun 24 Enroll'!H$1,FALSE),'District Calculations'!$B$14)*Apport_215A2324,3)</f>
        <v>7.9279999999999999</v>
      </c>
      <c r="Y226">
        <f>ROUND(IF(VLOOKUP($A226,EnrollData2324,'2324 Jun 24 Enroll'!I$1,FALSE)+VLOOKUP($A226,EnrollData2324,'2324 Jun 24 Enroll'!M$1,FALSE)-VLOOKUP($A226,EnrollData2324,'2324 Jun 24 Enroll'!J$1,FALSE)='District Calculations'!$B$16+'District Calculations'!$B$25-'District Calculations'!$B$17,VLOOKUP($A226,EnrollData2324,'2324 Jun 24 Enroll'!I$1,FALSE)+VLOOKUP($A226,EnrollData2324,'2324 Jun 24 Enroll'!M$1,FALSE)-VLOOKUP($A226,EnrollData2324,'2324 Jun 24 Enroll'!J$1,FALSE),'District Calculations'!$B$16+'District Calculations'!$B$25-'District Calculations'!$B$17)*Apport_218A2324,3)</f>
        <v>19.917999999999999</v>
      </c>
      <c r="Z226">
        <f>ROUND(SUM(T226:Y226)/IF(VLOOKUP($A226,EnrollData2324,'2324 Jun 24 Enroll'!M$1,FALSE)+VLOOKUP($A226,EnrollData2324,'2324 Jun 24 Enroll'!D$1,FALSE)='District Calculations'!$B$25+'District Calculations'!$B$11,VLOOKUP($A226,EnrollData2324,'2324 Jun 24 Enroll'!M$1,FALSE)+VLOOKUP($A226,EnrollData2324,'2324 Jun 24 Enroll'!D$1,FALSE),'District Calculations'!$B$25+'District Calculations'!$B$11),5)</f>
        <v>1.7399999999999999E-2</v>
      </c>
      <c r="AA226" s="6">
        <f>ROUND($J226*CIS_Base_Salary2324*VLOOKUP($A226,EnrollData2324,'2324 Jun 24 Enroll'!S$1,FALSE),2)</f>
        <v>4523.22</v>
      </c>
      <c r="AB226" s="6">
        <f>ROUND($J226*CIS_Inc_Salary2324*(VLOOKUP($A226,EnrollData2324,'2324 Jun 24 Enroll'!T$1,FALSE)+VLOOKUP($A226,EnrollData2324,'2324 Jun 24 Enroll'!U$1,FALSE)),2)-AA226</f>
        <v>334.88000000000011</v>
      </c>
      <c r="AC226" s="6">
        <f>ROUND($R226*CAS_Base_Salary2324*VLOOKUP($A226,EnrollData2324,'2324 Jun 24 Enroll'!S$1,FALSE),2)</f>
        <v>495.73</v>
      </c>
      <c r="AD226" s="6">
        <f>ROUND($R226*CAS_Inc_Salary2324*VLOOKUP($A226,EnrollData2324,'2324 Jun 24 Enroll'!T$1,FALSE),2)-AC226</f>
        <v>18.340000000000032</v>
      </c>
      <c r="AE226" s="6">
        <f>ROUND($Z226*CLS_Base_Salary2324*VLOOKUP($A226,EnrollData2324,'2324 Jun 24 Enroll'!S$1,FALSE),2)</f>
        <v>1016.75</v>
      </c>
      <c r="AF226" s="6">
        <f>ROUND($Z226*CLS_Inc_Salary2324*VLOOKUP($A226,EnrollData2324,'2324 Jun 24 Enroll'!T$1,FALSE),2)-AE226</f>
        <v>37.6099999999999</v>
      </c>
      <c r="AG226">
        <f t="shared" si="63"/>
        <v>734.16</v>
      </c>
      <c r="AH226" s="69">
        <f t="shared" si="53"/>
        <v>68.700000000000045</v>
      </c>
      <c r="AI226">
        <f t="shared" si="64"/>
        <v>214.23</v>
      </c>
      <c r="AJ226">
        <f t="shared" si="54"/>
        <v>114.21000000000001</v>
      </c>
      <c r="AK226">
        <f t="shared" si="55"/>
        <v>901.91</v>
      </c>
      <c r="AL226">
        <f t="shared" si="56"/>
        <v>61.21</v>
      </c>
      <c r="AM226">
        <f t="shared" si="57"/>
        <v>224.3</v>
      </c>
      <c r="AN226">
        <f t="shared" si="58"/>
        <v>6.98</v>
      </c>
      <c r="AO226">
        <f>ROUND(($J226*CIS_Inc_Salary2324*(VLOOKUP($A226,EnrollData2324,'2324 Jun 24 Enroll'!T$1,FALSE)+VLOOKUP($A226,EnrollData2324,'2324 Jun 24 Enroll'!U$1,FALSE))/Apport_613Xpd)*Apport_614Xpd,2)</f>
        <v>80.97</v>
      </c>
      <c r="AP226">
        <f t="shared" si="59"/>
        <v>14.03</v>
      </c>
      <c r="AQ226">
        <f t="shared" si="60"/>
        <v>30.93</v>
      </c>
      <c r="AR226" s="6">
        <f>ROUND((VLOOKUP($A226,EnrollData2324,'2324 Jun 24 Enroll'!D$1,FALSE)*Apport_M802324+VLOOKUP($A226,EnrollData2324,'2324 Jun 24 Enroll'!M$1,FALSE)*Apport_M802324+(VLOOKUP($A226,EnrollData2324,'2324 Jun 24 Enroll'!P$1,FALSE)+VLOOKUP($A226,EnrollData2324,'2324 Jun 24 Enroll'!Q$1,FALSE)+VLOOKUP($A226,EnrollData2324,'2324 Jun 24 Enroll'!R$1,FALSE)+VLOOKUP($A226,EnrollData2324,'2324 Jun 24 Enroll'!I$1,FALSE)+VLOOKUP($A226,EnrollData2324,'2324 Jun 24 Enroll'!N$1,FALSE)+VLOOKUP($A226,EnrollData2324,'2324 Jun 24 Enroll'!O$1,FALSE)+VLOOKUP($A226,EnrollData2324,'2324 Jun 24 Enroll'!K$1,FALSE)+VLOOKUP($A226,EnrollData2324,'2324 Jun 24 Enroll'!L$1,FALSE))*Apport_M812324)/(VLOOKUP($A226,EnrollData2324,'2324 Jun 24 Enroll'!M$1,FALSE)+VLOOKUP($A226,EnrollData2324,'2324 Jun 24 Enroll'!D$1,FALSE)),2)</f>
        <v>1544.72</v>
      </c>
      <c r="AS226" s="7">
        <f t="shared" si="61"/>
        <v>10422.879999999997</v>
      </c>
    </row>
    <row r="227" spans="1:45">
      <c r="A227" s="40" t="s">
        <v>538</v>
      </c>
      <c r="B227" s="40" t="s">
        <v>539</v>
      </c>
      <c r="C227" s="11">
        <f>ROUND((IFERROR((1/IF(VLOOKUP($A227,EnrollData2324,28,FALSE)='District Calculations'!$B$10,VLOOKUP($A227,EnrollData2324,28,FALSE),'District Calculations'!$B$10))*(1+Apport_Z315),0))+Apport_201A2324,6)</f>
        <v>7.3449E-2</v>
      </c>
      <c r="D227">
        <f>ROUND(IF(VLOOKUP($A227,EnrollData2324,'2324 Jun 24 Enroll'!D$1,FALSE)='District Calculations'!$B$11,VLOOKUP($A227,EnrollData2324,'2324 Jun 24 Enroll'!D$1,FALSE),'District Calculations'!$B$11)*C227,3)</f>
        <v>0</v>
      </c>
      <c r="E227">
        <f>ROUND(IF(VLOOKUP($A227,EnrollData2324,'2324 Jun 24 Enroll'!E$1,FALSE)='District Calculations'!$B$12,VLOOKUP($A227,EnrollData2324,'2324 Jun 24 Enroll'!E$1,FALSE),'District Calculations'!$B$12)*C227,3)</f>
        <v>59.53</v>
      </c>
      <c r="F227">
        <f>ROUND(IF(VLOOKUP($A227,EnrollData2324,'2324 Jun 24 Enroll'!F$1,FALSE)='District Calculations'!$B$13,VLOOKUP($A227,EnrollData2324,'2324 Jun 24 Enroll'!F$1,FALSE),'District Calculations'!$B$13)*Apport_222A2324,3)</f>
        <v>10.101000000000001</v>
      </c>
      <c r="G227">
        <f>ROUND(IF(VLOOKUP($A227,EnrollData2324,'2324 Jun 24 Enroll'!G$1,FALSE)='District Calculations'!$B$14,VLOOKUP($A227,EnrollData2324,'2324 Jun 24 Enroll'!G$1,FALSE),'District Calculations'!$B$14)*Apport_210A2324,3)</f>
        <v>22.395</v>
      </c>
      <c r="H227">
        <f>ROUND(IF(VLOOKUP($A227,EnrollData2324,'2324 Jun 24 Enroll'!H$1,FALSE)='District Calculations'!$B$15,VLOOKUP($A227,EnrollData2324,'2324 Jun 24 Enroll'!H$1,FALSE),'District Calculations'!$B$15)*Apport_213A2324,3)</f>
        <v>23.091999999999999</v>
      </c>
      <c r="I227">
        <f>ROUND(IF(VLOOKUP($A227,EnrollData2324,'2324 Jun 24 Enroll'!I$1,FALSE)+VLOOKUP($A227,EnrollData2324,'2324 Jun 24 Enroll'!M$1,FALSE)-VLOOKUP($A227,EnrollData2324,'2324 Jun 24 Enroll'!J$1,FALSE)='District Calculations'!$B$16+'District Calculations'!$B$25-'District Calculations'!$B$17,VLOOKUP($A227,EnrollData2324,'2324 Jun 24 Enroll'!I$1,FALSE)+VLOOKUP($A227,EnrollData2324,'2324 Jun 24 Enroll'!M$1,FALSE)-VLOOKUP($A227,EnrollData2324,'2324 Jun 24 Enroll'!J$1,FALSE),'District Calculations'!$B$16+'District Calculations'!$B$25-'District Calculations'!$B$17)*Apport_216A2324,3)</f>
        <v>58.183999999999997</v>
      </c>
      <c r="J227">
        <f>ROUND(SUM(D227:I227)/(IF(VLOOKUP($A227,EnrollData2324,'2324 Jun 24 Enroll'!M$1,FALSE)='District Calculations'!$B$25,VLOOKUP($A227,EnrollData2324,'2324 Jun 24 Enroll'!M$1,FALSE),'District Calculations'!$B$25)+IF(VLOOKUP($A227,EnrollData2324,'2324 Jun 24 Enroll'!D$1,FALSE)='District Calculations'!$B$11,VLOOKUP($A227,EnrollData2324,'2324 Jun 24 Enroll'!D$1,FALSE),'District Calculations'!$B$11)),5)</f>
        <v>5.5530000000000003E-2</v>
      </c>
      <c r="K227" s="11">
        <f t="shared" ref="K227:K286" si="65">ROUND(((($C227+Apport_203A2324+Apport_202A2324)*Apport_557X)*Apport_558X)+Apport_202A2324,6)</f>
        <v>4.365E-3</v>
      </c>
      <c r="L227">
        <f>ROUND(IF(VLOOKUP($A227,EnrollData2324,'2324 Jun 24 Enroll'!D$1,FALSE)='District Calculations'!$B$11,VLOOKUP($A227,EnrollData2324,'2324 Jun 24 Enroll'!D$1,FALSE),'District Calculations'!$B$11)*K227,3)</f>
        <v>0</v>
      </c>
      <c r="M227">
        <f>ROUND(IF(VLOOKUP($A227,EnrollData2324,'2324 Jun 24 Enroll'!E$1,FALSE)='District Calculations'!$B$12,VLOOKUP($A227,EnrollData2324,'2324 Jun 24 Enroll'!E$1,FALSE),'District Calculations'!$B$12)*K227,3)</f>
        <v>3.5379999999999998</v>
      </c>
      <c r="N227">
        <f>ROUND(IF(VLOOKUP($A227,EnrollData2324,'2324 Jun 24 Enroll'!F$1,FALSE)='District Calculations'!$B$13,VLOOKUP($A227,EnrollData2324,'2324 Jun 24 Enroll'!F$1,FALSE),'District Calculations'!$B$13)*Apport_223A2324,3)</f>
        <v>0.84199999999999997</v>
      </c>
      <c r="O227">
        <f>ROUND(IF(VLOOKUP($A227,EnrollData2324,'2324 Jun 24 Enroll'!G$1,FALSE)='District Calculations'!$B$14,VLOOKUP($A227,EnrollData2324,'2324 Jun 24 Enroll'!G$1,FALSE),'District Calculations'!$B$14)*Apport_211A2324,3)</f>
        <v>1.867</v>
      </c>
      <c r="P227">
        <f>ROUND(IF(VLOOKUP($A227,EnrollData2324,'2324 Jun 24 Enroll'!H$1,FALSE)='District Calculations'!$B$14,VLOOKUP($A227,EnrollData2324,'2324 Jun 24 Enroll'!H$1,FALSE),'District Calculations'!$B$14)*Apport_214A2324,3)</f>
        <v>1.8660000000000001</v>
      </c>
      <c r="Q227">
        <f>ROUND(IF(VLOOKUP($A227,EnrollData2324,'2324 Jun 24 Enroll'!I$1,FALSE)+VLOOKUP($A227,EnrollData2324,'2324 Jun 24 Enroll'!M$1,FALSE)-VLOOKUP($A227,EnrollData2324,'2324 Jun 24 Enroll'!J$1,FALSE)='District Calculations'!$B$16+'District Calculations'!$B$25-'District Calculations'!$B$17,VLOOKUP($A227,EnrollData2324,'2324 Jun 24 Enroll'!I$1,FALSE)+VLOOKUP($A227,EnrollData2324,'2324 Jun 24 Enroll'!M$1,FALSE)-VLOOKUP($A227,EnrollData2324,'2324 Jun 24 Enroll'!J$1,FALSE),'District Calculations'!$B$16+'District Calculations'!$B$25-'District Calculations'!$B$17)*Apport_217A2324,3)</f>
        <v>4.6980000000000004</v>
      </c>
      <c r="R227">
        <f>ROUND(SUM(L227:Q227)/IF(VLOOKUP($A227,EnrollData2324,'2324 Jun 24 Enroll'!M$1,FALSE)+VLOOKUP($A227,EnrollData2324,'2324 Jun 24 Enroll'!D$1,FALSE)='District Calculations'!$B$25+'District Calculations'!$B$11,VLOOKUP($A227,EnrollData2324,'2324 Jun 24 Enroll'!M$1,FALSE)+VLOOKUP($A227,EnrollData2324,'2324 Jun 24 Enroll'!D$1,FALSE),'District Calculations'!$B$25+'District Calculations'!$B$11),5)</f>
        <v>4.1000000000000003E-3</v>
      </c>
      <c r="S227" s="11">
        <f t="shared" ref="S227:S286" si="66">ROUND(((($C227+Apport_203A2324+Apport_202A2324)*Apport_557X)*Apport_559X)+Apport_203A2324,7)</f>
        <v>1.8294500000000002E-2</v>
      </c>
      <c r="T227">
        <f>ROUND(IF(VLOOKUP($A227,EnrollData2324,'2324 Jun 24 Enroll'!D$1,FALSE)='District Calculations'!$B$11,VLOOKUP($A227,EnrollData2324,'2324 Jun 24 Enroll'!D$1,FALSE),'District Calculations'!$B$11)*S227,3)</f>
        <v>0</v>
      </c>
      <c r="U227">
        <f>ROUND(IF(VLOOKUP($A227,EnrollData2324,'2324 Jun 24 Enroll'!E$1,FALSE)='District Calculations'!$B$12,VLOOKUP($A227,EnrollData2324,'2324 Jun 24 Enroll'!E$1,FALSE),'District Calculations'!$B$12)*S227,3)</f>
        <v>14.827999999999999</v>
      </c>
      <c r="V227">
        <f>ROUND(IF(VLOOKUP($A227,EnrollData2324,'2324 Jun 24 Enroll'!F$1,FALSE)='District Calculations'!$B$13,VLOOKUP($A227,EnrollData2324,'2324 Jun 24 Enroll'!F$1,FALSE),'District Calculations'!$B$13)*Apport_224A2324,3)</f>
        <v>3.6190000000000002</v>
      </c>
      <c r="W227">
        <f>ROUND(IF(VLOOKUP($A227,EnrollData2324,'2324 Jun 24 Enroll'!G$1,FALSE)='District Calculations'!$B$14,VLOOKUP($A227,EnrollData2324,'2324 Jun 24 Enroll'!G$1,FALSE),'District Calculations'!$B$14)*Apport_212A2324,3)</f>
        <v>8.0239999999999991</v>
      </c>
      <c r="X227">
        <f>ROUND(IF(VLOOKUP($A227,EnrollData2324,'2324 Jun 24 Enroll'!H$1,FALSE)='District Calculations'!$B$14,VLOOKUP($A227,EnrollData2324,'2324 Jun 24 Enroll'!H$1,FALSE),'District Calculations'!$B$14)*Apport_215A2324,3)</f>
        <v>7.9279999999999999</v>
      </c>
      <c r="Y227">
        <f>ROUND(IF(VLOOKUP($A227,EnrollData2324,'2324 Jun 24 Enroll'!I$1,FALSE)+VLOOKUP($A227,EnrollData2324,'2324 Jun 24 Enroll'!M$1,FALSE)-VLOOKUP($A227,EnrollData2324,'2324 Jun 24 Enroll'!J$1,FALSE)='District Calculations'!$B$16+'District Calculations'!$B$25-'District Calculations'!$B$17,VLOOKUP($A227,EnrollData2324,'2324 Jun 24 Enroll'!I$1,FALSE)+VLOOKUP($A227,EnrollData2324,'2324 Jun 24 Enroll'!M$1,FALSE)-VLOOKUP($A227,EnrollData2324,'2324 Jun 24 Enroll'!J$1,FALSE),'District Calculations'!$B$16+'District Calculations'!$B$25-'District Calculations'!$B$17)*Apport_218A2324,3)</f>
        <v>19.917999999999999</v>
      </c>
      <c r="Z227">
        <f>ROUND(SUM(T227:Y227)/IF(VLOOKUP($A227,EnrollData2324,'2324 Jun 24 Enroll'!M$1,FALSE)+VLOOKUP($A227,EnrollData2324,'2324 Jun 24 Enroll'!D$1,FALSE)='District Calculations'!$B$25+'District Calculations'!$B$11,VLOOKUP($A227,EnrollData2324,'2324 Jun 24 Enroll'!M$1,FALSE)+VLOOKUP($A227,EnrollData2324,'2324 Jun 24 Enroll'!D$1,FALSE),'District Calculations'!$B$25+'District Calculations'!$B$11),5)</f>
        <v>1.7399999999999999E-2</v>
      </c>
      <c r="AA227" s="6">
        <f>ROUND($J227*CIS_Base_Salary2324*VLOOKUP($A227,EnrollData2324,'2324 Jun 24 Enroll'!S$1,FALSE),2)</f>
        <v>4523.22</v>
      </c>
      <c r="AB227" s="6">
        <f>ROUND($J227*CIS_Inc_Salary2324*(VLOOKUP($A227,EnrollData2324,'2324 Jun 24 Enroll'!T$1,FALSE)+VLOOKUP($A227,EnrollData2324,'2324 Jun 24 Enroll'!U$1,FALSE)),2)-AA227</f>
        <v>251.11999999999989</v>
      </c>
      <c r="AC227" s="6">
        <f>ROUND($R227*CAS_Base_Salary2324*VLOOKUP($A227,EnrollData2324,'2324 Jun 24 Enroll'!S$1,FALSE),2)</f>
        <v>495.73</v>
      </c>
      <c r="AD227" s="6">
        <f>ROUND($R227*CAS_Inc_Salary2324*VLOOKUP($A227,EnrollData2324,'2324 Jun 24 Enroll'!T$1,FALSE),2)-AC227</f>
        <v>18.340000000000032</v>
      </c>
      <c r="AE227" s="6">
        <f>ROUND($Z227*CLS_Base_Salary2324*VLOOKUP($A227,EnrollData2324,'2324 Jun 24 Enroll'!S$1,FALSE),2)</f>
        <v>1016.75</v>
      </c>
      <c r="AF227" s="6">
        <f>ROUND($Z227*CLS_Inc_Salary2324*VLOOKUP($A227,EnrollData2324,'2324 Jun 24 Enroll'!T$1,FALSE),2)-AE227</f>
        <v>37.6099999999999</v>
      </c>
      <c r="AG227">
        <f t="shared" si="63"/>
        <v>734.16</v>
      </c>
      <c r="AH227" s="69">
        <f t="shared" ref="AH227:AH286" si="67">ROUND(($J227+$R227)*Apport_621X2324*Apport_125XC2324,2)-AG227</f>
        <v>68.700000000000045</v>
      </c>
      <c r="AI227">
        <f t="shared" si="64"/>
        <v>214.23</v>
      </c>
      <c r="AJ227">
        <f t="shared" ref="AJ227:AJ286" si="68">ROUND($Z227*Apport_621X2324*Apport_125X2324,2)-AI227</f>
        <v>114.21000000000001</v>
      </c>
      <c r="AK227">
        <f t="shared" ref="AK227:AK286" si="69">ROUND((AA227+AC227)*Apport_126X2324,2)</f>
        <v>901.91</v>
      </c>
      <c r="AL227">
        <f t="shared" ref="AL227:AL286" si="70">ROUND((AB227+AD227)*Apport_127X2324,2)</f>
        <v>46.7</v>
      </c>
      <c r="AM227">
        <f t="shared" ref="AM227:AM286" si="71">ROUND(AE227*Apport_128X2324,2)</f>
        <v>224.3</v>
      </c>
      <c r="AN227">
        <f t="shared" ref="AN227:AN286" si="72">ROUND(AF227*Apport_129X2324,2)</f>
        <v>6.98</v>
      </c>
      <c r="AO227">
        <f>ROUND(($J227*CIS_Inc_Salary2324*(VLOOKUP($A227,EnrollData2324,'2324 Jun 24 Enroll'!T$1,FALSE)+VLOOKUP($A227,EnrollData2324,'2324 Jun 24 Enroll'!U$1,FALSE))/Apport_613Xpd)*Apport_614Xpd,2)</f>
        <v>79.569999999999993</v>
      </c>
      <c r="AP227">
        <f t="shared" ref="AP227:AP286" si="73">ROUND(AO227*Apport_127X2324,2)</f>
        <v>13.79</v>
      </c>
      <c r="AQ227">
        <f t="shared" si="60"/>
        <v>30.93</v>
      </c>
      <c r="AR227" s="6">
        <f>ROUND((VLOOKUP($A227,EnrollData2324,'2324 Jun 24 Enroll'!D$1,FALSE)*Apport_M802324+VLOOKUP($A227,EnrollData2324,'2324 Jun 24 Enroll'!M$1,FALSE)*Apport_M802324+(VLOOKUP($A227,EnrollData2324,'2324 Jun 24 Enroll'!P$1,FALSE)+VLOOKUP($A227,EnrollData2324,'2324 Jun 24 Enroll'!Q$1,FALSE)+VLOOKUP($A227,EnrollData2324,'2324 Jun 24 Enroll'!R$1,FALSE)+VLOOKUP($A227,EnrollData2324,'2324 Jun 24 Enroll'!I$1,FALSE)+VLOOKUP($A227,EnrollData2324,'2324 Jun 24 Enroll'!N$1,FALSE)+VLOOKUP($A227,EnrollData2324,'2324 Jun 24 Enroll'!O$1,FALSE)+VLOOKUP($A227,EnrollData2324,'2324 Jun 24 Enroll'!K$1,FALSE)+VLOOKUP($A227,EnrollData2324,'2324 Jun 24 Enroll'!L$1,FALSE))*Apport_M812324)/(VLOOKUP($A227,EnrollData2324,'2324 Jun 24 Enroll'!M$1,FALSE)+VLOOKUP($A227,EnrollData2324,'2324 Jun 24 Enroll'!D$1,FALSE)),2)</f>
        <v>1549.41</v>
      </c>
      <c r="AS227" s="7">
        <f t="shared" si="61"/>
        <v>10327.66</v>
      </c>
    </row>
    <row r="228" spans="1:45">
      <c r="A228" s="40" t="s">
        <v>404</v>
      </c>
      <c r="B228" s="40" t="s">
        <v>405</v>
      </c>
      <c r="C228" s="11">
        <f>ROUND((IFERROR((1/IF(VLOOKUP($A228,EnrollData2324,28,FALSE)='District Calculations'!$B$10,VLOOKUP($A228,EnrollData2324,28,FALSE),'District Calculations'!$B$10))*(1+Apport_Z315),0))+Apport_201A2324,6)</f>
        <v>7.3449E-2</v>
      </c>
      <c r="D228">
        <f>ROUND(IF(VLOOKUP($A228,EnrollData2324,'2324 Jun 24 Enroll'!D$1,FALSE)='District Calculations'!$B$11,VLOOKUP($A228,EnrollData2324,'2324 Jun 24 Enroll'!D$1,FALSE),'District Calculations'!$B$11)*C228,3)</f>
        <v>0</v>
      </c>
      <c r="E228">
        <f>ROUND(IF(VLOOKUP($A228,EnrollData2324,'2324 Jun 24 Enroll'!E$1,FALSE)='District Calculations'!$B$12,VLOOKUP($A228,EnrollData2324,'2324 Jun 24 Enroll'!E$1,FALSE),'District Calculations'!$B$12)*C228,3)</f>
        <v>59.53</v>
      </c>
      <c r="F228">
        <f>ROUND(IF(VLOOKUP($A228,EnrollData2324,'2324 Jun 24 Enroll'!F$1,FALSE)='District Calculations'!$B$13,VLOOKUP($A228,EnrollData2324,'2324 Jun 24 Enroll'!F$1,FALSE),'District Calculations'!$B$13)*Apport_222A2324,3)</f>
        <v>10.101000000000001</v>
      </c>
      <c r="G228">
        <f>ROUND(IF(VLOOKUP($A228,EnrollData2324,'2324 Jun 24 Enroll'!G$1,FALSE)='District Calculations'!$B$14,VLOOKUP($A228,EnrollData2324,'2324 Jun 24 Enroll'!G$1,FALSE),'District Calculations'!$B$14)*Apport_210A2324,3)</f>
        <v>22.395</v>
      </c>
      <c r="H228">
        <f>ROUND(IF(VLOOKUP($A228,EnrollData2324,'2324 Jun 24 Enroll'!H$1,FALSE)='District Calculations'!$B$15,VLOOKUP($A228,EnrollData2324,'2324 Jun 24 Enroll'!H$1,FALSE),'District Calculations'!$B$15)*Apport_213A2324,3)</f>
        <v>23.091999999999999</v>
      </c>
      <c r="I228">
        <f>ROUND(IF(VLOOKUP($A228,EnrollData2324,'2324 Jun 24 Enroll'!I$1,FALSE)+VLOOKUP($A228,EnrollData2324,'2324 Jun 24 Enroll'!M$1,FALSE)-VLOOKUP($A228,EnrollData2324,'2324 Jun 24 Enroll'!J$1,FALSE)='District Calculations'!$B$16+'District Calculations'!$B$25-'District Calculations'!$B$17,VLOOKUP($A228,EnrollData2324,'2324 Jun 24 Enroll'!I$1,FALSE)+VLOOKUP($A228,EnrollData2324,'2324 Jun 24 Enroll'!M$1,FALSE)-VLOOKUP($A228,EnrollData2324,'2324 Jun 24 Enroll'!J$1,FALSE),'District Calculations'!$B$16+'District Calculations'!$B$25-'District Calculations'!$B$17)*Apport_216A2324,3)</f>
        <v>58.183999999999997</v>
      </c>
      <c r="J228">
        <f>ROUND(SUM(D228:I228)/(IF(VLOOKUP($A228,EnrollData2324,'2324 Jun 24 Enroll'!M$1,FALSE)='District Calculations'!$B$25,VLOOKUP($A228,EnrollData2324,'2324 Jun 24 Enroll'!M$1,FALSE),'District Calculations'!$B$25)+IF(VLOOKUP($A228,EnrollData2324,'2324 Jun 24 Enroll'!D$1,FALSE)='District Calculations'!$B$11,VLOOKUP($A228,EnrollData2324,'2324 Jun 24 Enroll'!D$1,FALSE),'District Calculations'!$B$11)),5)</f>
        <v>5.5530000000000003E-2</v>
      </c>
      <c r="K228" s="11">
        <f t="shared" si="65"/>
        <v>4.365E-3</v>
      </c>
      <c r="L228">
        <f>ROUND(IF(VLOOKUP($A228,EnrollData2324,'2324 Jun 24 Enroll'!D$1,FALSE)='District Calculations'!$B$11,VLOOKUP($A228,EnrollData2324,'2324 Jun 24 Enroll'!D$1,FALSE),'District Calculations'!$B$11)*K228,3)</f>
        <v>0</v>
      </c>
      <c r="M228">
        <f>ROUND(IF(VLOOKUP($A228,EnrollData2324,'2324 Jun 24 Enroll'!E$1,FALSE)='District Calculations'!$B$12,VLOOKUP($A228,EnrollData2324,'2324 Jun 24 Enroll'!E$1,FALSE),'District Calculations'!$B$12)*K228,3)</f>
        <v>3.5379999999999998</v>
      </c>
      <c r="N228">
        <f>ROUND(IF(VLOOKUP($A228,EnrollData2324,'2324 Jun 24 Enroll'!F$1,FALSE)='District Calculations'!$B$13,VLOOKUP($A228,EnrollData2324,'2324 Jun 24 Enroll'!F$1,FALSE),'District Calculations'!$B$13)*Apport_223A2324,3)</f>
        <v>0.84199999999999997</v>
      </c>
      <c r="O228">
        <f>ROUND(IF(VLOOKUP($A228,EnrollData2324,'2324 Jun 24 Enroll'!G$1,FALSE)='District Calculations'!$B$14,VLOOKUP($A228,EnrollData2324,'2324 Jun 24 Enroll'!G$1,FALSE),'District Calculations'!$B$14)*Apport_211A2324,3)</f>
        <v>1.867</v>
      </c>
      <c r="P228">
        <f>ROUND(IF(VLOOKUP($A228,EnrollData2324,'2324 Jun 24 Enroll'!H$1,FALSE)='District Calculations'!$B$14,VLOOKUP($A228,EnrollData2324,'2324 Jun 24 Enroll'!H$1,FALSE),'District Calculations'!$B$14)*Apport_214A2324,3)</f>
        <v>1.8660000000000001</v>
      </c>
      <c r="Q228">
        <f>ROUND(IF(VLOOKUP($A228,EnrollData2324,'2324 Jun 24 Enroll'!I$1,FALSE)+VLOOKUP($A228,EnrollData2324,'2324 Jun 24 Enroll'!M$1,FALSE)-VLOOKUP($A228,EnrollData2324,'2324 Jun 24 Enroll'!J$1,FALSE)='District Calculations'!$B$16+'District Calculations'!$B$25-'District Calculations'!$B$17,VLOOKUP($A228,EnrollData2324,'2324 Jun 24 Enroll'!I$1,FALSE)+VLOOKUP($A228,EnrollData2324,'2324 Jun 24 Enroll'!M$1,FALSE)-VLOOKUP($A228,EnrollData2324,'2324 Jun 24 Enroll'!J$1,FALSE),'District Calculations'!$B$16+'District Calculations'!$B$25-'District Calculations'!$B$17)*Apport_217A2324,3)</f>
        <v>4.6980000000000004</v>
      </c>
      <c r="R228">
        <f>ROUND(SUM(L228:Q228)/IF(VLOOKUP($A228,EnrollData2324,'2324 Jun 24 Enroll'!M$1,FALSE)+VLOOKUP($A228,EnrollData2324,'2324 Jun 24 Enroll'!D$1,FALSE)='District Calculations'!$B$25+'District Calculations'!$B$11,VLOOKUP($A228,EnrollData2324,'2324 Jun 24 Enroll'!M$1,FALSE)+VLOOKUP($A228,EnrollData2324,'2324 Jun 24 Enroll'!D$1,FALSE),'District Calculations'!$B$25+'District Calculations'!$B$11),5)</f>
        <v>4.1000000000000003E-3</v>
      </c>
      <c r="S228" s="11">
        <f t="shared" si="66"/>
        <v>1.8294500000000002E-2</v>
      </c>
      <c r="T228">
        <f>ROUND(IF(VLOOKUP($A228,EnrollData2324,'2324 Jun 24 Enroll'!D$1,FALSE)='District Calculations'!$B$11,VLOOKUP($A228,EnrollData2324,'2324 Jun 24 Enroll'!D$1,FALSE),'District Calculations'!$B$11)*S228,3)</f>
        <v>0</v>
      </c>
      <c r="U228">
        <f>ROUND(IF(VLOOKUP($A228,EnrollData2324,'2324 Jun 24 Enroll'!E$1,FALSE)='District Calculations'!$B$12,VLOOKUP($A228,EnrollData2324,'2324 Jun 24 Enroll'!E$1,FALSE),'District Calculations'!$B$12)*S228,3)</f>
        <v>14.827999999999999</v>
      </c>
      <c r="V228">
        <f>ROUND(IF(VLOOKUP($A228,EnrollData2324,'2324 Jun 24 Enroll'!F$1,FALSE)='District Calculations'!$B$13,VLOOKUP($A228,EnrollData2324,'2324 Jun 24 Enroll'!F$1,FALSE),'District Calculations'!$B$13)*Apport_224A2324,3)</f>
        <v>3.6190000000000002</v>
      </c>
      <c r="W228">
        <f>ROUND(IF(VLOOKUP($A228,EnrollData2324,'2324 Jun 24 Enroll'!G$1,FALSE)='District Calculations'!$B$14,VLOOKUP($A228,EnrollData2324,'2324 Jun 24 Enroll'!G$1,FALSE),'District Calculations'!$B$14)*Apport_212A2324,3)</f>
        <v>8.0239999999999991</v>
      </c>
      <c r="X228">
        <f>ROUND(IF(VLOOKUP($A228,EnrollData2324,'2324 Jun 24 Enroll'!H$1,FALSE)='District Calculations'!$B$14,VLOOKUP($A228,EnrollData2324,'2324 Jun 24 Enroll'!H$1,FALSE),'District Calculations'!$B$14)*Apport_215A2324,3)</f>
        <v>7.9279999999999999</v>
      </c>
      <c r="Y228">
        <f>ROUND(IF(VLOOKUP($A228,EnrollData2324,'2324 Jun 24 Enroll'!I$1,FALSE)+VLOOKUP($A228,EnrollData2324,'2324 Jun 24 Enroll'!M$1,FALSE)-VLOOKUP($A228,EnrollData2324,'2324 Jun 24 Enroll'!J$1,FALSE)='District Calculations'!$B$16+'District Calculations'!$B$25-'District Calculations'!$B$17,VLOOKUP($A228,EnrollData2324,'2324 Jun 24 Enroll'!I$1,FALSE)+VLOOKUP($A228,EnrollData2324,'2324 Jun 24 Enroll'!M$1,FALSE)-VLOOKUP($A228,EnrollData2324,'2324 Jun 24 Enroll'!J$1,FALSE),'District Calculations'!$B$16+'District Calculations'!$B$25-'District Calculations'!$B$17)*Apport_218A2324,3)</f>
        <v>19.917999999999999</v>
      </c>
      <c r="Z228">
        <f>ROUND(SUM(T228:Y228)/IF(VLOOKUP($A228,EnrollData2324,'2324 Jun 24 Enroll'!M$1,FALSE)+VLOOKUP($A228,EnrollData2324,'2324 Jun 24 Enroll'!D$1,FALSE)='District Calculations'!$B$25+'District Calculations'!$B$11,VLOOKUP($A228,EnrollData2324,'2324 Jun 24 Enroll'!M$1,FALSE)+VLOOKUP($A228,EnrollData2324,'2324 Jun 24 Enroll'!D$1,FALSE),'District Calculations'!$B$25+'District Calculations'!$B$11),5)</f>
        <v>1.7399999999999999E-2</v>
      </c>
      <c r="AA228" s="6">
        <f>ROUND($J228*CIS_Base_Salary2324*VLOOKUP($A228,EnrollData2324,'2324 Jun 24 Enroll'!S$1,FALSE),2)</f>
        <v>4523.22</v>
      </c>
      <c r="AB228" s="6">
        <f>ROUND($J228*CIS_Inc_Salary2324*(VLOOKUP($A228,EnrollData2324,'2324 Jun 24 Enroll'!T$1,FALSE)+VLOOKUP($A228,EnrollData2324,'2324 Jun 24 Enroll'!U$1,FALSE)),2)-AA228</f>
        <v>334.88000000000011</v>
      </c>
      <c r="AC228" s="6">
        <f>ROUND($R228*CAS_Base_Salary2324*VLOOKUP($A228,EnrollData2324,'2324 Jun 24 Enroll'!S$1,FALSE),2)</f>
        <v>495.73</v>
      </c>
      <c r="AD228" s="6">
        <f>ROUND($R228*CAS_Inc_Salary2324*VLOOKUP($A228,EnrollData2324,'2324 Jun 24 Enroll'!T$1,FALSE),2)-AC228</f>
        <v>18.340000000000032</v>
      </c>
      <c r="AE228" s="6">
        <f>ROUND($Z228*CLS_Base_Salary2324*VLOOKUP($A228,EnrollData2324,'2324 Jun 24 Enroll'!S$1,FALSE),2)</f>
        <v>1016.75</v>
      </c>
      <c r="AF228" s="6">
        <f>ROUND($Z228*CLS_Inc_Salary2324*VLOOKUP($A228,EnrollData2324,'2324 Jun 24 Enroll'!T$1,FALSE),2)-AE228</f>
        <v>37.6099999999999</v>
      </c>
      <c r="AG228">
        <f t="shared" si="63"/>
        <v>734.16</v>
      </c>
      <c r="AH228" s="69">
        <f t="shared" si="67"/>
        <v>68.700000000000045</v>
      </c>
      <c r="AI228">
        <f t="shared" si="64"/>
        <v>214.23</v>
      </c>
      <c r="AJ228">
        <f t="shared" si="68"/>
        <v>114.21000000000001</v>
      </c>
      <c r="AK228">
        <f t="shared" si="69"/>
        <v>901.91</v>
      </c>
      <c r="AL228">
        <f t="shared" si="70"/>
        <v>61.21</v>
      </c>
      <c r="AM228">
        <f t="shared" si="71"/>
        <v>224.3</v>
      </c>
      <c r="AN228">
        <f t="shared" si="72"/>
        <v>6.98</v>
      </c>
      <c r="AO228">
        <f>ROUND(($J228*CIS_Inc_Salary2324*(VLOOKUP($A228,EnrollData2324,'2324 Jun 24 Enroll'!T$1,FALSE)+VLOOKUP($A228,EnrollData2324,'2324 Jun 24 Enroll'!U$1,FALSE))/Apport_613Xpd)*Apport_614Xpd,2)</f>
        <v>80.97</v>
      </c>
      <c r="AP228">
        <f t="shared" si="73"/>
        <v>14.03</v>
      </c>
      <c r="AQ228">
        <f t="shared" ref="AQ228:AQ287" si="74">ROUND((J228*Apport_581X)*(Apport_116X*Apport_132X),2)</f>
        <v>30.93</v>
      </c>
      <c r="AR228" s="6">
        <f>ROUND((VLOOKUP($A228,EnrollData2324,'2324 Jun 24 Enroll'!D$1,FALSE)*Apport_M802324+VLOOKUP($A228,EnrollData2324,'2324 Jun 24 Enroll'!M$1,FALSE)*Apport_M802324+(VLOOKUP($A228,EnrollData2324,'2324 Jun 24 Enroll'!P$1,FALSE)+VLOOKUP($A228,EnrollData2324,'2324 Jun 24 Enroll'!Q$1,FALSE)+VLOOKUP($A228,EnrollData2324,'2324 Jun 24 Enroll'!R$1,FALSE)+VLOOKUP($A228,EnrollData2324,'2324 Jun 24 Enroll'!I$1,FALSE)+VLOOKUP($A228,EnrollData2324,'2324 Jun 24 Enroll'!N$1,FALSE)+VLOOKUP($A228,EnrollData2324,'2324 Jun 24 Enroll'!O$1,FALSE)+VLOOKUP($A228,EnrollData2324,'2324 Jun 24 Enroll'!K$1,FALSE)+VLOOKUP($A228,EnrollData2324,'2324 Jun 24 Enroll'!L$1,FALSE))*Apport_M812324)/(VLOOKUP($A228,EnrollData2324,'2324 Jun 24 Enroll'!M$1,FALSE)+VLOOKUP($A228,EnrollData2324,'2324 Jun 24 Enroll'!D$1,FALSE)),2)</f>
        <v>1484.94</v>
      </c>
      <c r="AS228" s="7">
        <f t="shared" si="61"/>
        <v>10363.099999999999</v>
      </c>
    </row>
    <row r="229" spans="1:45">
      <c r="A229" s="40" t="s">
        <v>610</v>
      </c>
      <c r="B229" s="40" t="s">
        <v>611</v>
      </c>
      <c r="C229" s="11">
        <f>ROUND((IFERROR((1/IF(VLOOKUP($A229,EnrollData2324,28,FALSE)='District Calculations'!$B$10,VLOOKUP($A229,EnrollData2324,28,FALSE),'District Calculations'!$B$10))*(1+Apport_Z315),0))+Apport_201A2324,6)</f>
        <v>7.3449E-2</v>
      </c>
      <c r="D229">
        <f>ROUND(IF(VLOOKUP($A229,EnrollData2324,'2324 Jun 24 Enroll'!D$1,FALSE)='District Calculations'!$B$11,VLOOKUP($A229,EnrollData2324,'2324 Jun 24 Enroll'!D$1,FALSE),'District Calculations'!$B$11)*C229,3)</f>
        <v>0</v>
      </c>
      <c r="E229">
        <f>ROUND(IF(VLOOKUP($A229,EnrollData2324,'2324 Jun 24 Enroll'!E$1,FALSE)='District Calculations'!$B$12,VLOOKUP($A229,EnrollData2324,'2324 Jun 24 Enroll'!E$1,FALSE),'District Calculations'!$B$12)*C229,3)</f>
        <v>59.53</v>
      </c>
      <c r="F229">
        <f>ROUND(IF(VLOOKUP($A229,EnrollData2324,'2324 Jun 24 Enroll'!F$1,FALSE)='District Calculations'!$B$13,VLOOKUP($A229,EnrollData2324,'2324 Jun 24 Enroll'!F$1,FALSE),'District Calculations'!$B$13)*Apport_222A2324,3)</f>
        <v>10.101000000000001</v>
      </c>
      <c r="G229">
        <f>ROUND(IF(VLOOKUP($A229,EnrollData2324,'2324 Jun 24 Enroll'!G$1,FALSE)='District Calculations'!$B$14,VLOOKUP($A229,EnrollData2324,'2324 Jun 24 Enroll'!G$1,FALSE),'District Calculations'!$B$14)*Apport_210A2324,3)</f>
        <v>22.395</v>
      </c>
      <c r="H229">
        <f>ROUND(IF(VLOOKUP($A229,EnrollData2324,'2324 Jun 24 Enroll'!H$1,FALSE)='District Calculations'!$B$15,VLOOKUP($A229,EnrollData2324,'2324 Jun 24 Enroll'!H$1,FALSE),'District Calculations'!$B$15)*Apport_213A2324,3)</f>
        <v>23.091999999999999</v>
      </c>
      <c r="I229">
        <f>ROUND(IF(VLOOKUP($A229,EnrollData2324,'2324 Jun 24 Enroll'!I$1,FALSE)+VLOOKUP($A229,EnrollData2324,'2324 Jun 24 Enroll'!M$1,FALSE)-VLOOKUP($A229,EnrollData2324,'2324 Jun 24 Enroll'!J$1,FALSE)='District Calculations'!$B$16+'District Calculations'!$B$25-'District Calculations'!$B$17,VLOOKUP($A229,EnrollData2324,'2324 Jun 24 Enroll'!I$1,FALSE)+VLOOKUP($A229,EnrollData2324,'2324 Jun 24 Enroll'!M$1,FALSE)-VLOOKUP($A229,EnrollData2324,'2324 Jun 24 Enroll'!J$1,FALSE),'District Calculations'!$B$16+'District Calculations'!$B$25-'District Calculations'!$B$17)*Apport_216A2324,3)</f>
        <v>58.183999999999997</v>
      </c>
      <c r="J229">
        <f>ROUND(SUM(D229:I229)/(IF(VLOOKUP($A229,EnrollData2324,'2324 Jun 24 Enroll'!M$1,FALSE)='District Calculations'!$B$25,VLOOKUP($A229,EnrollData2324,'2324 Jun 24 Enroll'!M$1,FALSE),'District Calculations'!$B$25)+IF(VLOOKUP($A229,EnrollData2324,'2324 Jun 24 Enroll'!D$1,FALSE)='District Calculations'!$B$11,VLOOKUP($A229,EnrollData2324,'2324 Jun 24 Enroll'!D$1,FALSE),'District Calculations'!$B$11)),5)</f>
        <v>5.5530000000000003E-2</v>
      </c>
      <c r="K229" s="11">
        <f t="shared" si="65"/>
        <v>4.365E-3</v>
      </c>
      <c r="L229">
        <f>ROUND(IF(VLOOKUP($A229,EnrollData2324,'2324 Jun 24 Enroll'!D$1,FALSE)='District Calculations'!$B$11,VLOOKUP($A229,EnrollData2324,'2324 Jun 24 Enroll'!D$1,FALSE),'District Calculations'!$B$11)*K229,3)</f>
        <v>0</v>
      </c>
      <c r="M229">
        <f>ROUND(IF(VLOOKUP($A229,EnrollData2324,'2324 Jun 24 Enroll'!E$1,FALSE)='District Calculations'!$B$12,VLOOKUP($A229,EnrollData2324,'2324 Jun 24 Enroll'!E$1,FALSE),'District Calculations'!$B$12)*K229,3)</f>
        <v>3.5379999999999998</v>
      </c>
      <c r="N229">
        <f>ROUND(IF(VLOOKUP($A229,EnrollData2324,'2324 Jun 24 Enroll'!F$1,FALSE)='District Calculations'!$B$13,VLOOKUP($A229,EnrollData2324,'2324 Jun 24 Enroll'!F$1,FALSE),'District Calculations'!$B$13)*Apport_223A2324,3)</f>
        <v>0.84199999999999997</v>
      </c>
      <c r="O229">
        <f>ROUND(IF(VLOOKUP($A229,EnrollData2324,'2324 Jun 24 Enroll'!G$1,FALSE)='District Calculations'!$B$14,VLOOKUP($A229,EnrollData2324,'2324 Jun 24 Enroll'!G$1,FALSE),'District Calculations'!$B$14)*Apport_211A2324,3)</f>
        <v>1.867</v>
      </c>
      <c r="P229">
        <f>ROUND(IF(VLOOKUP($A229,EnrollData2324,'2324 Jun 24 Enroll'!H$1,FALSE)='District Calculations'!$B$14,VLOOKUP($A229,EnrollData2324,'2324 Jun 24 Enroll'!H$1,FALSE),'District Calculations'!$B$14)*Apport_214A2324,3)</f>
        <v>1.8660000000000001</v>
      </c>
      <c r="Q229">
        <f>ROUND(IF(VLOOKUP($A229,EnrollData2324,'2324 Jun 24 Enroll'!I$1,FALSE)+VLOOKUP($A229,EnrollData2324,'2324 Jun 24 Enroll'!M$1,FALSE)-VLOOKUP($A229,EnrollData2324,'2324 Jun 24 Enroll'!J$1,FALSE)='District Calculations'!$B$16+'District Calculations'!$B$25-'District Calculations'!$B$17,VLOOKUP($A229,EnrollData2324,'2324 Jun 24 Enroll'!I$1,FALSE)+VLOOKUP($A229,EnrollData2324,'2324 Jun 24 Enroll'!M$1,FALSE)-VLOOKUP($A229,EnrollData2324,'2324 Jun 24 Enroll'!J$1,FALSE),'District Calculations'!$B$16+'District Calculations'!$B$25-'District Calculations'!$B$17)*Apport_217A2324,3)</f>
        <v>4.6980000000000004</v>
      </c>
      <c r="R229">
        <f>ROUND(SUM(L229:Q229)/IF(VLOOKUP($A229,EnrollData2324,'2324 Jun 24 Enroll'!M$1,FALSE)+VLOOKUP($A229,EnrollData2324,'2324 Jun 24 Enroll'!D$1,FALSE)='District Calculations'!$B$25+'District Calculations'!$B$11,VLOOKUP($A229,EnrollData2324,'2324 Jun 24 Enroll'!M$1,FALSE)+VLOOKUP($A229,EnrollData2324,'2324 Jun 24 Enroll'!D$1,FALSE),'District Calculations'!$B$25+'District Calculations'!$B$11),5)</f>
        <v>4.1000000000000003E-3</v>
      </c>
      <c r="S229" s="11">
        <f t="shared" si="66"/>
        <v>1.8294500000000002E-2</v>
      </c>
      <c r="T229">
        <f>ROUND(IF(VLOOKUP($A229,EnrollData2324,'2324 Jun 24 Enroll'!D$1,FALSE)='District Calculations'!$B$11,VLOOKUP($A229,EnrollData2324,'2324 Jun 24 Enroll'!D$1,FALSE),'District Calculations'!$B$11)*S229,3)</f>
        <v>0</v>
      </c>
      <c r="U229">
        <f>ROUND(IF(VLOOKUP($A229,EnrollData2324,'2324 Jun 24 Enroll'!E$1,FALSE)='District Calculations'!$B$12,VLOOKUP($A229,EnrollData2324,'2324 Jun 24 Enroll'!E$1,FALSE),'District Calculations'!$B$12)*S229,3)</f>
        <v>14.827999999999999</v>
      </c>
      <c r="V229">
        <f>ROUND(IF(VLOOKUP($A229,EnrollData2324,'2324 Jun 24 Enroll'!F$1,FALSE)='District Calculations'!$B$13,VLOOKUP($A229,EnrollData2324,'2324 Jun 24 Enroll'!F$1,FALSE),'District Calculations'!$B$13)*Apport_224A2324,3)</f>
        <v>3.6190000000000002</v>
      </c>
      <c r="W229">
        <f>ROUND(IF(VLOOKUP($A229,EnrollData2324,'2324 Jun 24 Enroll'!G$1,FALSE)='District Calculations'!$B$14,VLOOKUP($A229,EnrollData2324,'2324 Jun 24 Enroll'!G$1,FALSE),'District Calculations'!$B$14)*Apport_212A2324,3)</f>
        <v>8.0239999999999991</v>
      </c>
      <c r="X229">
        <f>ROUND(IF(VLOOKUP($A229,EnrollData2324,'2324 Jun 24 Enroll'!H$1,FALSE)='District Calculations'!$B$14,VLOOKUP($A229,EnrollData2324,'2324 Jun 24 Enroll'!H$1,FALSE),'District Calculations'!$B$14)*Apport_215A2324,3)</f>
        <v>7.9279999999999999</v>
      </c>
      <c r="Y229">
        <f>ROUND(IF(VLOOKUP($A229,EnrollData2324,'2324 Jun 24 Enroll'!I$1,FALSE)+VLOOKUP($A229,EnrollData2324,'2324 Jun 24 Enroll'!M$1,FALSE)-VLOOKUP($A229,EnrollData2324,'2324 Jun 24 Enroll'!J$1,FALSE)='District Calculations'!$B$16+'District Calculations'!$B$25-'District Calculations'!$B$17,VLOOKUP($A229,EnrollData2324,'2324 Jun 24 Enroll'!I$1,FALSE)+VLOOKUP($A229,EnrollData2324,'2324 Jun 24 Enroll'!M$1,FALSE)-VLOOKUP($A229,EnrollData2324,'2324 Jun 24 Enroll'!J$1,FALSE),'District Calculations'!$B$16+'District Calculations'!$B$25-'District Calculations'!$B$17)*Apport_218A2324,3)</f>
        <v>19.917999999999999</v>
      </c>
      <c r="Z229">
        <f>ROUND(SUM(T229:Y229)/IF(VLOOKUP($A229,EnrollData2324,'2324 Jun 24 Enroll'!M$1,FALSE)+VLOOKUP($A229,EnrollData2324,'2324 Jun 24 Enroll'!D$1,FALSE)='District Calculations'!$B$25+'District Calculations'!$B$11,VLOOKUP($A229,EnrollData2324,'2324 Jun 24 Enroll'!M$1,FALSE)+VLOOKUP($A229,EnrollData2324,'2324 Jun 24 Enroll'!D$1,FALSE),'District Calculations'!$B$25+'District Calculations'!$B$11),5)</f>
        <v>1.7399999999999999E-2</v>
      </c>
      <c r="AA229" s="6">
        <f>ROUND($J229*CIS_Base_Salary2324*VLOOKUP($A229,EnrollData2324,'2324 Jun 24 Enroll'!S$1,FALSE),2)</f>
        <v>4523.22</v>
      </c>
      <c r="AB229" s="6">
        <f>ROUND($J229*CIS_Inc_Salary2324*(VLOOKUP($A229,EnrollData2324,'2324 Jun 24 Enroll'!T$1,FALSE)+VLOOKUP($A229,EnrollData2324,'2324 Jun 24 Enroll'!U$1,FALSE)),2)-AA229</f>
        <v>167.35999999999967</v>
      </c>
      <c r="AC229" s="6">
        <f>ROUND($R229*CAS_Base_Salary2324*VLOOKUP($A229,EnrollData2324,'2324 Jun 24 Enroll'!S$1,FALSE),2)</f>
        <v>495.73</v>
      </c>
      <c r="AD229" s="6">
        <f>ROUND($R229*CAS_Inc_Salary2324*VLOOKUP($A229,EnrollData2324,'2324 Jun 24 Enroll'!T$1,FALSE),2)-AC229</f>
        <v>18.340000000000032</v>
      </c>
      <c r="AE229" s="6">
        <f>ROUND($Z229*CLS_Base_Salary2324*VLOOKUP($A229,EnrollData2324,'2324 Jun 24 Enroll'!S$1,FALSE),2)</f>
        <v>1016.75</v>
      </c>
      <c r="AF229" s="6">
        <f>ROUND($Z229*CLS_Inc_Salary2324*VLOOKUP($A229,EnrollData2324,'2324 Jun 24 Enroll'!T$1,FALSE),2)-AE229</f>
        <v>37.6099999999999</v>
      </c>
      <c r="AG229">
        <f t="shared" si="63"/>
        <v>734.16</v>
      </c>
      <c r="AH229" s="69">
        <f t="shared" si="67"/>
        <v>68.700000000000045</v>
      </c>
      <c r="AI229">
        <f t="shared" si="64"/>
        <v>214.23</v>
      </c>
      <c r="AJ229">
        <f t="shared" si="68"/>
        <v>114.21000000000001</v>
      </c>
      <c r="AK229">
        <f t="shared" si="69"/>
        <v>901.91</v>
      </c>
      <c r="AL229">
        <f t="shared" si="70"/>
        <v>32.18</v>
      </c>
      <c r="AM229">
        <f t="shared" si="71"/>
        <v>224.3</v>
      </c>
      <c r="AN229">
        <f t="shared" si="72"/>
        <v>6.98</v>
      </c>
      <c r="AO229">
        <f>ROUND(($J229*CIS_Inc_Salary2324*(VLOOKUP($A229,EnrollData2324,'2324 Jun 24 Enroll'!T$1,FALSE)+VLOOKUP($A229,EnrollData2324,'2324 Jun 24 Enroll'!U$1,FALSE))/Apport_613Xpd)*Apport_614Xpd,2)</f>
        <v>78.180000000000007</v>
      </c>
      <c r="AP229">
        <f t="shared" si="73"/>
        <v>13.55</v>
      </c>
      <c r="AQ229">
        <f t="shared" si="74"/>
        <v>30.93</v>
      </c>
      <c r="AR229" s="6">
        <f>ROUND((VLOOKUP($A229,EnrollData2324,'2324 Jun 24 Enroll'!D$1,FALSE)*Apport_M802324+VLOOKUP($A229,EnrollData2324,'2324 Jun 24 Enroll'!M$1,FALSE)*Apport_M802324+(VLOOKUP($A229,EnrollData2324,'2324 Jun 24 Enroll'!P$1,FALSE)+VLOOKUP($A229,EnrollData2324,'2324 Jun 24 Enroll'!Q$1,FALSE)+VLOOKUP($A229,EnrollData2324,'2324 Jun 24 Enroll'!R$1,FALSE)+VLOOKUP($A229,EnrollData2324,'2324 Jun 24 Enroll'!I$1,FALSE)+VLOOKUP($A229,EnrollData2324,'2324 Jun 24 Enroll'!N$1,FALSE)+VLOOKUP($A229,EnrollData2324,'2324 Jun 24 Enroll'!O$1,FALSE)+VLOOKUP($A229,EnrollData2324,'2324 Jun 24 Enroll'!K$1,FALSE)+VLOOKUP($A229,EnrollData2324,'2324 Jun 24 Enroll'!L$1,FALSE))*Apport_M812324)/(VLOOKUP($A229,EnrollData2324,'2324 Jun 24 Enroll'!M$1,FALSE)+VLOOKUP($A229,EnrollData2324,'2324 Jun 24 Enroll'!D$1,FALSE)),2)</f>
        <v>1563.67</v>
      </c>
      <c r="AS229" s="7">
        <f t="shared" si="61"/>
        <v>10242.009999999998</v>
      </c>
    </row>
    <row r="230" spans="1:45">
      <c r="A230" s="40" t="s">
        <v>458</v>
      </c>
      <c r="B230" s="40" t="s">
        <v>459</v>
      </c>
      <c r="C230" s="11">
        <f>ROUND((IFERROR((1/IF(VLOOKUP($A230,EnrollData2324,28,FALSE)='District Calculations'!$B$10,VLOOKUP($A230,EnrollData2324,28,FALSE),'District Calculations'!$B$10))*(1+Apport_Z315),0))+Apport_201A2324,6)</f>
        <v>7.3449E-2</v>
      </c>
      <c r="D230">
        <f>ROUND(IF(VLOOKUP($A230,EnrollData2324,'2324 Jun 24 Enroll'!D$1,FALSE)='District Calculations'!$B$11,VLOOKUP($A230,EnrollData2324,'2324 Jun 24 Enroll'!D$1,FALSE),'District Calculations'!$B$11)*C230,3)</f>
        <v>0</v>
      </c>
      <c r="E230">
        <f>ROUND(IF(VLOOKUP($A230,EnrollData2324,'2324 Jun 24 Enroll'!E$1,FALSE)='District Calculations'!$B$12,VLOOKUP($A230,EnrollData2324,'2324 Jun 24 Enroll'!E$1,FALSE),'District Calculations'!$B$12)*C230,3)</f>
        <v>59.53</v>
      </c>
      <c r="F230">
        <f>ROUND(IF(VLOOKUP($A230,EnrollData2324,'2324 Jun 24 Enroll'!F$1,FALSE)='District Calculations'!$B$13,VLOOKUP($A230,EnrollData2324,'2324 Jun 24 Enroll'!F$1,FALSE),'District Calculations'!$B$13)*Apport_222A2324,3)</f>
        <v>10.101000000000001</v>
      </c>
      <c r="G230">
        <f>ROUND(IF(VLOOKUP($A230,EnrollData2324,'2324 Jun 24 Enroll'!G$1,FALSE)='District Calculations'!$B$14,VLOOKUP($A230,EnrollData2324,'2324 Jun 24 Enroll'!G$1,FALSE),'District Calculations'!$B$14)*Apport_210A2324,3)</f>
        <v>22.395</v>
      </c>
      <c r="H230">
        <f>ROUND(IF(VLOOKUP($A230,EnrollData2324,'2324 Jun 24 Enroll'!H$1,FALSE)='District Calculations'!$B$15,VLOOKUP($A230,EnrollData2324,'2324 Jun 24 Enroll'!H$1,FALSE),'District Calculations'!$B$15)*Apport_213A2324,3)</f>
        <v>23.091999999999999</v>
      </c>
      <c r="I230">
        <f>ROUND(IF(VLOOKUP($A230,EnrollData2324,'2324 Jun 24 Enroll'!I$1,FALSE)+VLOOKUP($A230,EnrollData2324,'2324 Jun 24 Enroll'!M$1,FALSE)-VLOOKUP($A230,EnrollData2324,'2324 Jun 24 Enroll'!J$1,FALSE)='District Calculations'!$B$16+'District Calculations'!$B$25-'District Calculations'!$B$17,VLOOKUP($A230,EnrollData2324,'2324 Jun 24 Enroll'!I$1,FALSE)+VLOOKUP($A230,EnrollData2324,'2324 Jun 24 Enroll'!M$1,FALSE)-VLOOKUP($A230,EnrollData2324,'2324 Jun 24 Enroll'!J$1,FALSE),'District Calculations'!$B$16+'District Calculations'!$B$25-'District Calculations'!$B$17)*Apport_216A2324,3)</f>
        <v>58.183999999999997</v>
      </c>
      <c r="J230">
        <f>ROUND(SUM(D230:I230)/(IF(VLOOKUP($A230,EnrollData2324,'2324 Jun 24 Enroll'!M$1,FALSE)='District Calculations'!$B$25,VLOOKUP($A230,EnrollData2324,'2324 Jun 24 Enroll'!M$1,FALSE),'District Calculations'!$B$25)+IF(VLOOKUP($A230,EnrollData2324,'2324 Jun 24 Enroll'!D$1,FALSE)='District Calculations'!$B$11,VLOOKUP($A230,EnrollData2324,'2324 Jun 24 Enroll'!D$1,FALSE),'District Calculations'!$B$11)),5)</f>
        <v>5.5530000000000003E-2</v>
      </c>
      <c r="K230" s="11">
        <f t="shared" si="65"/>
        <v>4.365E-3</v>
      </c>
      <c r="L230">
        <f>ROUND(IF(VLOOKUP($A230,EnrollData2324,'2324 Jun 24 Enroll'!D$1,FALSE)='District Calculations'!$B$11,VLOOKUP($A230,EnrollData2324,'2324 Jun 24 Enroll'!D$1,FALSE),'District Calculations'!$B$11)*K230,3)</f>
        <v>0</v>
      </c>
      <c r="M230">
        <f>ROUND(IF(VLOOKUP($A230,EnrollData2324,'2324 Jun 24 Enroll'!E$1,FALSE)='District Calculations'!$B$12,VLOOKUP($A230,EnrollData2324,'2324 Jun 24 Enroll'!E$1,FALSE),'District Calculations'!$B$12)*K230,3)</f>
        <v>3.5379999999999998</v>
      </c>
      <c r="N230">
        <f>ROUND(IF(VLOOKUP($A230,EnrollData2324,'2324 Jun 24 Enroll'!F$1,FALSE)='District Calculations'!$B$13,VLOOKUP($A230,EnrollData2324,'2324 Jun 24 Enroll'!F$1,FALSE),'District Calculations'!$B$13)*Apport_223A2324,3)</f>
        <v>0.84199999999999997</v>
      </c>
      <c r="O230">
        <f>ROUND(IF(VLOOKUP($A230,EnrollData2324,'2324 Jun 24 Enroll'!G$1,FALSE)='District Calculations'!$B$14,VLOOKUP($A230,EnrollData2324,'2324 Jun 24 Enroll'!G$1,FALSE),'District Calculations'!$B$14)*Apport_211A2324,3)</f>
        <v>1.867</v>
      </c>
      <c r="P230">
        <f>ROUND(IF(VLOOKUP($A230,EnrollData2324,'2324 Jun 24 Enroll'!H$1,FALSE)='District Calculations'!$B$14,VLOOKUP($A230,EnrollData2324,'2324 Jun 24 Enroll'!H$1,FALSE),'District Calculations'!$B$14)*Apport_214A2324,3)</f>
        <v>1.8660000000000001</v>
      </c>
      <c r="Q230">
        <f>ROUND(IF(VLOOKUP($A230,EnrollData2324,'2324 Jun 24 Enroll'!I$1,FALSE)+VLOOKUP($A230,EnrollData2324,'2324 Jun 24 Enroll'!M$1,FALSE)-VLOOKUP($A230,EnrollData2324,'2324 Jun 24 Enroll'!J$1,FALSE)='District Calculations'!$B$16+'District Calculations'!$B$25-'District Calculations'!$B$17,VLOOKUP($A230,EnrollData2324,'2324 Jun 24 Enroll'!I$1,FALSE)+VLOOKUP($A230,EnrollData2324,'2324 Jun 24 Enroll'!M$1,FALSE)-VLOOKUP($A230,EnrollData2324,'2324 Jun 24 Enroll'!J$1,FALSE),'District Calculations'!$B$16+'District Calculations'!$B$25-'District Calculations'!$B$17)*Apport_217A2324,3)</f>
        <v>4.6980000000000004</v>
      </c>
      <c r="R230">
        <f>ROUND(SUM(L230:Q230)/IF(VLOOKUP($A230,EnrollData2324,'2324 Jun 24 Enroll'!M$1,FALSE)+VLOOKUP($A230,EnrollData2324,'2324 Jun 24 Enroll'!D$1,FALSE)='District Calculations'!$B$25+'District Calculations'!$B$11,VLOOKUP($A230,EnrollData2324,'2324 Jun 24 Enroll'!M$1,FALSE)+VLOOKUP($A230,EnrollData2324,'2324 Jun 24 Enroll'!D$1,FALSE),'District Calculations'!$B$25+'District Calculations'!$B$11),5)</f>
        <v>4.1000000000000003E-3</v>
      </c>
      <c r="S230" s="11">
        <f t="shared" si="66"/>
        <v>1.8294500000000002E-2</v>
      </c>
      <c r="T230">
        <f>ROUND(IF(VLOOKUP($A230,EnrollData2324,'2324 Jun 24 Enroll'!D$1,FALSE)='District Calculations'!$B$11,VLOOKUP($A230,EnrollData2324,'2324 Jun 24 Enroll'!D$1,FALSE),'District Calculations'!$B$11)*S230,3)</f>
        <v>0</v>
      </c>
      <c r="U230">
        <f>ROUND(IF(VLOOKUP($A230,EnrollData2324,'2324 Jun 24 Enroll'!E$1,FALSE)='District Calculations'!$B$12,VLOOKUP($A230,EnrollData2324,'2324 Jun 24 Enroll'!E$1,FALSE),'District Calculations'!$B$12)*S230,3)</f>
        <v>14.827999999999999</v>
      </c>
      <c r="V230">
        <f>ROUND(IF(VLOOKUP($A230,EnrollData2324,'2324 Jun 24 Enroll'!F$1,FALSE)='District Calculations'!$B$13,VLOOKUP($A230,EnrollData2324,'2324 Jun 24 Enroll'!F$1,FALSE),'District Calculations'!$B$13)*Apport_224A2324,3)</f>
        <v>3.6190000000000002</v>
      </c>
      <c r="W230">
        <f>ROUND(IF(VLOOKUP($A230,EnrollData2324,'2324 Jun 24 Enroll'!G$1,FALSE)='District Calculations'!$B$14,VLOOKUP($A230,EnrollData2324,'2324 Jun 24 Enroll'!G$1,FALSE),'District Calculations'!$B$14)*Apport_212A2324,3)</f>
        <v>8.0239999999999991</v>
      </c>
      <c r="X230">
        <f>ROUND(IF(VLOOKUP($A230,EnrollData2324,'2324 Jun 24 Enroll'!H$1,FALSE)='District Calculations'!$B$14,VLOOKUP($A230,EnrollData2324,'2324 Jun 24 Enroll'!H$1,FALSE),'District Calculations'!$B$14)*Apport_215A2324,3)</f>
        <v>7.9279999999999999</v>
      </c>
      <c r="Y230">
        <f>ROUND(IF(VLOOKUP($A230,EnrollData2324,'2324 Jun 24 Enroll'!I$1,FALSE)+VLOOKUP($A230,EnrollData2324,'2324 Jun 24 Enroll'!M$1,FALSE)-VLOOKUP($A230,EnrollData2324,'2324 Jun 24 Enroll'!J$1,FALSE)='District Calculations'!$B$16+'District Calculations'!$B$25-'District Calculations'!$B$17,VLOOKUP($A230,EnrollData2324,'2324 Jun 24 Enroll'!I$1,FALSE)+VLOOKUP($A230,EnrollData2324,'2324 Jun 24 Enroll'!M$1,FALSE)-VLOOKUP($A230,EnrollData2324,'2324 Jun 24 Enroll'!J$1,FALSE),'District Calculations'!$B$16+'District Calculations'!$B$25-'District Calculations'!$B$17)*Apport_218A2324,3)</f>
        <v>19.917999999999999</v>
      </c>
      <c r="Z230">
        <f>ROUND(SUM(T230:Y230)/IF(VLOOKUP($A230,EnrollData2324,'2324 Jun 24 Enroll'!M$1,FALSE)+VLOOKUP($A230,EnrollData2324,'2324 Jun 24 Enroll'!D$1,FALSE)='District Calculations'!$B$25+'District Calculations'!$B$11,VLOOKUP($A230,EnrollData2324,'2324 Jun 24 Enroll'!M$1,FALSE)+VLOOKUP($A230,EnrollData2324,'2324 Jun 24 Enroll'!D$1,FALSE),'District Calculations'!$B$25+'District Calculations'!$B$11),5)</f>
        <v>1.7399999999999999E-2</v>
      </c>
      <c r="AA230" s="6">
        <f>ROUND($J230*CIS_Base_Salary2324*VLOOKUP($A230,EnrollData2324,'2324 Jun 24 Enroll'!S$1,FALSE),2)</f>
        <v>4765.53</v>
      </c>
      <c r="AB230" s="6">
        <f>ROUND($J230*CIS_Inc_Salary2324*(VLOOKUP($A230,EnrollData2324,'2324 Jun 24 Enroll'!T$1,FALSE)+VLOOKUP($A230,EnrollData2324,'2324 Jun 24 Enroll'!U$1,FALSE)),2)-AA230</f>
        <v>176.32999999999993</v>
      </c>
      <c r="AC230" s="6">
        <f>ROUND($R230*CAS_Base_Salary2324*VLOOKUP($A230,EnrollData2324,'2324 Jun 24 Enroll'!S$1,FALSE),2)</f>
        <v>522.29</v>
      </c>
      <c r="AD230" s="6">
        <f>ROUND($R230*CAS_Inc_Salary2324*VLOOKUP($A230,EnrollData2324,'2324 Jun 24 Enroll'!T$1,FALSE),2)-AC230</f>
        <v>19.32000000000005</v>
      </c>
      <c r="AE230" s="6">
        <f>ROUND($Z230*CLS_Base_Salary2324*VLOOKUP($A230,EnrollData2324,'2324 Jun 24 Enroll'!S$1,FALSE),2)</f>
        <v>1071.22</v>
      </c>
      <c r="AF230" s="6">
        <f>ROUND($Z230*CLS_Inc_Salary2324*VLOOKUP($A230,EnrollData2324,'2324 Jun 24 Enroll'!T$1,FALSE),2)-AE230</f>
        <v>39.619999999999891</v>
      </c>
      <c r="AG230">
        <f t="shared" si="63"/>
        <v>734.16</v>
      </c>
      <c r="AH230" s="69">
        <f t="shared" si="67"/>
        <v>68.700000000000045</v>
      </c>
      <c r="AI230">
        <f t="shared" si="64"/>
        <v>214.23</v>
      </c>
      <c r="AJ230">
        <f t="shared" si="68"/>
        <v>114.21000000000001</v>
      </c>
      <c r="AK230">
        <f t="shared" si="69"/>
        <v>950.22</v>
      </c>
      <c r="AL230">
        <f t="shared" si="70"/>
        <v>33.909999999999997</v>
      </c>
      <c r="AM230">
        <f t="shared" si="71"/>
        <v>236.31</v>
      </c>
      <c r="AN230">
        <f t="shared" si="72"/>
        <v>7.35</v>
      </c>
      <c r="AO230">
        <f>ROUND(($J230*CIS_Inc_Salary2324*(VLOOKUP($A230,EnrollData2324,'2324 Jun 24 Enroll'!T$1,FALSE)+VLOOKUP($A230,EnrollData2324,'2324 Jun 24 Enroll'!U$1,FALSE))/Apport_613Xpd)*Apport_614Xpd,2)</f>
        <v>82.36</v>
      </c>
      <c r="AP230">
        <f t="shared" si="73"/>
        <v>14.27</v>
      </c>
      <c r="AQ230">
        <f t="shared" si="74"/>
        <v>30.93</v>
      </c>
      <c r="AR230" s="6">
        <f>ROUND((VLOOKUP($A230,EnrollData2324,'2324 Jun 24 Enroll'!D$1,FALSE)*Apport_M802324+VLOOKUP($A230,EnrollData2324,'2324 Jun 24 Enroll'!M$1,FALSE)*Apport_M802324+(VLOOKUP($A230,EnrollData2324,'2324 Jun 24 Enroll'!P$1,FALSE)+VLOOKUP($A230,EnrollData2324,'2324 Jun 24 Enroll'!Q$1,FALSE)+VLOOKUP($A230,EnrollData2324,'2324 Jun 24 Enroll'!R$1,FALSE)+VLOOKUP($A230,EnrollData2324,'2324 Jun 24 Enroll'!I$1,FALSE)+VLOOKUP($A230,EnrollData2324,'2324 Jun 24 Enroll'!N$1,FALSE)+VLOOKUP($A230,EnrollData2324,'2324 Jun 24 Enroll'!O$1,FALSE)+VLOOKUP($A230,EnrollData2324,'2324 Jun 24 Enroll'!K$1,FALSE)+VLOOKUP($A230,EnrollData2324,'2324 Jun 24 Enroll'!L$1,FALSE))*Apport_M812324)/(VLOOKUP($A230,EnrollData2324,'2324 Jun 24 Enroll'!M$1,FALSE)+VLOOKUP($A230,EnrollData2324,'2324 Jun 24 Enroll'!D$1,FALSE)),2)</f>
        <v>1541.68</v>
      </c>
      <c r="AS230" s="7">
        <f t="shared" si="61"/>
        <v>10622.64</v>
      </c>
    </row>
    <row r="231" spans="1:45">
      <c r="A231" s="40" t="s">
        <v>546</v>
      </c>
      <c r="B231" s="40" t="s">
        <v>547</v>
      </c>
      <c r="C231" s="11">
        <f>ROUND((IFERROR((1/IF(VLOOKUP($A231,EnrollData2324,28,FALSE)='District Calculations'!$B$10,VLOOKUP($A231,EnrollData2324,28,FALSE),'District Calculations'!$B$10))*(1+Apport_Z315),0))+Apport_201A2324,6)</f>
        <v>7.3449E-2</v>
      </c>
      <c r="D231">
        <f>ROUND(IF(VLOOKUP($A231,EnrollData2324,'2324 Jun 24 Enroll'!D$1,FALSE)='District Calculations'!$B$11,VLOOKUP($A231,EnrollData2324,'2324 Jun 24 Enroll'!D$1,FALSE),'District Calculations'!$B$11)*C231,3)</f>
        <v>0</v>
      </c>
      <c r="E231">
        <f>ROUND(IF(VLOOKUP($A231,EnrollData2324,'2324 Jun 24 Enroll'!E$1,FALSE)='District Calculations'!$B$12,VLOOKUP($A231,EnrollData2324,'2324 Jun 24 Enroll'!E$1,FALSE),'District Calculations'!$B$12)*C231,3)</f>
        <v>59.53</v>
      </c>
      <c r="F231">
        <f>ROUND(IF(VLOOKUP($A231,EnrollData2324,'2324 Jun 24 Enroll'!F$1,FALSE)='District Calculations'!$B$13,VLOOKUP($A231,EnrollData2324,'2324 Jun 24 Enroll'!F$1,FALSE),'District Calculations'!$B$13)*Apport_222A2324,3)</f>
        <v>10.101000000000001</v>
      </c>
      <c r="G231">
        <f>ROUND(IF(VLOOKUP($A231,EnrollData2324,'2324 Jun 24 Enroll'!G$1,FALSE)='District Calculations'!$B$14,VLOOKUP($A231,EnrollData2324,'2324 Jun 24 Enroll'!G$1,FALSE),'District Calculations'!$B$14)*Apport_210A2324,3)</f>
        <v>22.395</v>
      </c>
      <c r="H231">
        <f>ROUND(IF(VLOOKUP($A231,EnrollData2324,'2324 Jun 24 Enroll'!H$1,FALSE)='District Calculations'!$B$15,VLOOKUP($A231,EnrollData2324,'2324 Jun 24 Enroll'!H$1,FALSE),'District Calculations'!$B$15)*Apport_213A2324,3)</f>
        <v>23.091999999999999</v>
      </c>
      <c r="I231">
        <f>ROUND(IF(VLOOKUP($A231,EnrollData2324,'2324 Jun 24 Enroll'!I$1,FALSE)+VLOOKUP($A231,EnrollData2324,'2324 Jun 24 Enroll'!M$1,FALSE)-VLOOKUP($A231,EnrollData2324,'2324 Jun 24 Enroll'!J$1,FALSE)='District Calculations'!$B$16+'District Calculations'!$B$25-'District Calculations'!$B$17,VLOOKUP($A231,EnrollData2324,'2324 Jun 24 Enroll'!I$1,FALSE)+VLOOKUP($A231,EnrollData2324,'2324 Jun 24 Enroll'!M$1,FALSE)-VLOOKUP($A231,EnrollData2324,'2324 Jun 24 Enroll'!J$1,FALSE),'District Calculations'!$B$16+'District Calculations'!$B$25-'District Calculations'!$B$17)*Apport_216A2324,3)</f>
        <v>58.183999999999997</v>
      </c>
      <c r="J231">
        <f>ROUND(SUM(D231:I231)/(IF(VLOOKUP($A231,EnrollData2324,'2324 Jun 24 Enroll'!M$1,FALSE)='District Calculations'!$B$25,VLOOKUP($A231,EnrollData2324,'2324 Jun 24 Enroll'!M$1,FALSE),'District Calculations'!$B$25)+IF(VLOOKUP($A231,EnrollData2324,'2324 Jun 24 Enroll'!D$1,FALSE)='District Calculations'!$B$11,VLOOKUP($A231,EnrollData2324,'2324 Jun 24 Enroll'!D$1,FALSE),'District Calculations'!$B$11)),5)</f>
        <v>5.5530000000000003E-2</v>
      </c>
      <c r="K231" s="11">
        <f t="shared" si="65"/>
        <v>4.365E-3</v>
      </c>
      <c r="L231">
        <f>ROUND(IF(VLOOKUP($A231,EnrollData2324,'2324 Jun 24 Enroll'!D$1,FALSE)='District Calculations'!$B$11,VLOOKUP($A231,EnrollData2324,'2324 Jun 24 Enroll'!D$1,FALSE),'District Calculations'!$B$11)*K231,3)</f>
        <v>0</v>
      </c>
      <c r="M231">
        <f>ROUND(IF(VLOOKUP($A231,EnrollData2324,'2324 Jun 24 Enroll'!E$1,FALSE)='District Calculations'!$B$12,VLOOKUP($A231,EnrollData2324,'2324 Jun 24 Enroll'!E$1,FALSE),'District Calculations'!$B$12)*K231,3)</f>
        <v>3.5379999999999998</v>
      </c>
      <c r="N231">
        <f>ROUND(IF(VLOOKUP($A231,EnrollData2324,'2324 Jun 24 Enroll'!F$1,FALSE)='District Calculations'!$B$13,VLOOKUP($A231,EnrollData2324,'2324 Jun 24 Enroll'!F$1,FALSE),'District Calculations'!$B$13)*Apport_223A2324,3)</f>
        <v>0.84199999999999997</v>
      </c>
      <c r="O231">
        <f>ROUND(IF(VLOOKUP($A231,EnrollData2324,'2324 Jun 24 Enroll'!G$1,FALSE)='District Calculations'!$B$14,VLOOKUP($A231,EnrollData2324,'2324 Jun 24 Enroll'!G$1,FALSE),'District Calculations'!$B$14)*Apport_211A2324,3)</f>
        <v>1.867</v>
      </c>
      <c r="P231">
        <f>ROUND(IF(VLOOKUP($A231,EnrollData2324,'2324 Jun 24 Enroll'!H$1,FALSE)='District Calculations'!$B$14,VLOOKUP($A231,EnrollData2324,'2324 Jun 24 Enroll'!H$1,FALSE),'District Calculations'!$B$14)*Apport_214A2324,3)</f>
        <v>1.8660000000000001</v>
      </c>
      <c r="Q231">
        <f>ROUND(IF(VLOOKUP($A231,EnrollData2324,'2324 Jun 24 Enroll'!I$1,FALSE)+VLOOKUP($A231,EnrollData2324,'2324 Jun 24 Enroll'!M$1,FALSE)-VLOOKUP($A231,EnrollData2324,'2324 Jun 24 Enroll'!J$1,FALSE)='District Calculations'!$B$16+'District Calculations'!$B$25-'District Calculations'!$B$17,VLOOKUP($A231,EnrollData2324,'2324 Jun 24 Enroll'!I$1,FALSE)+VLOOKUP($A231,EnrollData2324,'2324 Jun 24 Enroll'!M$1,FALSE)-VLOOKUP($A231,EnrollData2324,'2324 Jun 24 Enroll'!J$1,FALSE),'District Calculations'!$B$16+'District Calculations'!$B$25-'District Calculations'!$B$17)*Apport_217A2324,3)</f>
        <v>4.6980000000000004</v>
      </c>
      <c r="R231">
        <f>ROUND(SUM(L231:Q231)/IF(VLOOKUP($A231,EnrollData2324,'2324 Jun 24 Enroll'!M$1,FALSE)+VLOOKUP($A231,EnrollData2324,'2324 Jun 24 Enroll'!D$1,FALSE)='District Calculations'!$B$25+'District Calculations'!$B$11,VLOOKUP($A231,EnrollData2324,'2324 Jun 24 Enroll'!M$1,FALSE)+VLOOKUP($A231,EnrollData2324,'2324 Jun 24 Enroll'!D$1,FALSE),'District Calculations'!$B$25+'District Calculations'!$B$11),5)</f>
        <v>4.1000000000000003E-3</v>
      </c>
      <c r="S231" s="11">
        <f t="shared" si="66"/>
        <v>1.8294500000000002E-2</v>
      </c>
      <c r="T231">
        <f>ROUND(IF(VLOOKUP($A231,EnrollData2324,'2324 Jun 24 Enroll'!D$1,FALSE)='District Calculations'!$B$11,VLOOKUP($A231,EnrollData2324,'2324 Jun 24 Enroll'!D$1,FALSE),'District Calculations'!$B$11)*S231,3)</f>
        <v>0</v>
      </c>
      <c r="U231">
        <f>ROUND(IF(VLOOKUP($A231,EnrollData2324,'2324 Jun 24 Enroll'!E$1,FALSE)='District Calculations'!$B$12,VLOOKUP($A231,EnrollData2324,'2324 Jun 24 Enroll'!E$1,FALSE),'District Calculations'!$B$12)*S231,3)</f>
        <v>14.827999999999999</v>
      </c>
      <c r="V231">
        <f>ROUND(IF(VLOOKUP($A231,EnrollData2324,'2324 Jun 24 Enroll'!F$1,FALSE)='District Calculations'!$B$13,VLOOKUP($A231,EnrollData2324,'2324 Jun 24 Enroll'!F$1,FALSE),'District Calculations'!$B$13)*Apport_224A2324,3)</f>
        <v>3.6190000000000002</v>
      </c>
      <c r="W231">
        <f>ROUND(IF(VLOOKUP($A231,EnrollData2324,'2324 Jun 24 Enroll'!G$1,FALSE)='District Calculations'!$B$14,VLOOKUP($A231,EnrollData2324,'2324 Jun 24 Enroll'!G$1,FALSE),'District Calculations'!$B$14)*Apport_212A2324,3)</f>
        <v>8.0239999999999991</v>
      </c>
      <c r="X231">
        <f>ROUND(IF(VLOOKUP($A231,EnrollData2324,'2324 Jun 24 Enroll'!H$1,FALSE)='District Calculations'!$B$14,VLOOKUP($A231,EnrollData2324,'2324 Jun 24 Enroll'!H$1,FALSE),'District Calculations'!$B$14)*Apport_215A2324,3)</f>
        <v>7.9279999999999999</v>
      </c>
      <c r="Y231">
        <f>ROUND(IF(VLOOKUP($A231,EnrollData2324,'2324 Jun 24 Enroll'!I$1,FALSE)+VLOOKUP($A231,EnrollData2324,'2324 Jun 24 Enroll'!M$1,FALSE)-VLOOKUP($A231,EnrollData2324,'2324 Jun 24 Enroll'!J$1,FALSE)='District Calculations'!$B$16+'District Calculations'!$B$25-'District Calculations'!$B$17,VLOOKUP($A231,EnrollData2324,'2324 Jun 24 Enroll'!I$1,FALSE)+VLOOKUP($A231,EnrollData2324,'2324 Jun 24 Enroll'!M$1,FALSE)-VLOOKUP($A231,EnrollData2324,'2324 Jun 24 Enroll'!J$1,FALSE),'District Calculations'!$B$16+'District Calculations'!$B$25-'District Calculations'!$B$17)*Apport_218A2324,3)</f>
        <v>19.917999999999999</v>
      </c>
      <c r="Z231">
        <f>ROUND(SUM(T231:Y231)/IF(VLOOKUP($A231,EnrollData2324,'2324 Jun 24 Enroll'!M$1,FALSE)+VLOOKUP($A231,EnrollData2324,'2324 Jun 24 Enroll'!D$1,FALSE)='District Calculations'!$B$25+'District Calculations'!$B$11,VLOOKUP($A231,EnrollData2324,'2324 Jun 24 Enroll'!M$1,FALSE)+VLOOKUP($A231,EnrollData2324,'2324 Jun 24 Enroll'!D$1,FALSE),'District Calculations'!$B$25+'District Calculations'!$B$11),5)</f>
        <v>1.7399999999999999E-2</v>
      </c>
      <c r="AA231" s="6">
        <f>ROUND($J231*CIS_Base_Salary2324*VLOOKUP($A231,EnrollData2324,'2324 Jun 24 Enroll'!S$1,FALSE),2)</f>
        <v>4765.53</v>
      </c>
      <c r="AB231" s="6">
        <f>ROUND($J231*CIS_Inc_Salary2324*(VLOOKUP($A231,EnrollData2324,'2324 Jun 24 Enroll'!T$1,FALSE)+VLOOKUP($A231,EnrollData2324,'2324 Jun 24 Enroll'!U$1,FALSE)),2)-AA231</f>
        <v>176.32999999999993</v>
      </c>
      <c r="AC231" s="6">
        <f>ROUND($R231*CAS_Base_Salary2324*VLOOKUP($A231,EnrollData2324,'2324 Jun 24 Enroll'!S$1,FALSE),2)</f>
        <v>522.29</v>
      </c>
      <c r="AD231" s="6">
        <f>ROUND($R231*CAS_Inc_Salary2324*VLOOKUP($A231,EnrollData2324,'2324 Jun 24 Enroll'!T$1,FALSE),2)-AC231</f>
        <v>19.32000000000005</v>
      </c>
      <c r="AE231" s="6">
        <f>ROUND($Z231*CLS_Base_Salary2324*VLOOKUP($A231,EnrollData2324,'2324 Jun 24 Enroll'!S$1,FALSE),2)</f>
        <v>1071.22</v>
      </c>
      <c r="AF231" s="6">
        <f>ROUND($Z231*CLS_Inc_Salary2324*VLOOKUP($A231,EnrollData2324,'2324 Jun 24 Enroll'!T$1,FALSE),2)-AE231</f>
        <v>39.619999999999891</v>
      </c>
      <c r="AG231">
        <f t="shared" si="63"/>
        <v>734.16</v>
      </c>
      <c r="AH231" s="69">
        <f t="shared" si="67"/>
        <v>68.700000000000045</v>
      </c>
      <c r="AI231">
        <f t="shared" si="64"/>
        <v>214.23</v>
      </c>
      <c r="AJ231">
        <f t="shared" si="68"/>
        <v>114.21000000000001</v>
      </c>
      <c r="AK231">
        <f t="shared" si="69"/>
        <v>950.22</v>
      </c>
      <c r="AL231">
        <f t="shared" si="70"/>
        <v>33.909999999999997</v>
      </c>
      <c r="AM231">
        <f t="shared" si="71"/>
        <v>236.31</v>
      </c>
      <c r="AN231">
        <f t="shared" si="72"/>
        <v>7.35</v>
      </c>
      <c r="AO231">
        <f>ROUND(($J231*CIS_Inc_Salary2324*(VLOOKUP($A231,EnrollData2324,'2324 Jun 24 Enroll'!T$1,FALSE)+VLOOKUP($A231,EnrollData2324,'2324 Jun 24 Enroll'!U$1,FALSE))/Apport_613Xpd)*Apport_614Xpd,2)</f>
        <v>82.36</v>
      </c>
      <c r="AP231">
        <f t="shared" si="73"/>
        <v>14.27</v>
      </c>
      <c r="AQ231">
        <f t="shared" si="74"/>
        <v>30.93</v>
      </c>
      <c r="AR231" s="6">
        <f>ROUND((VLOOKUP($A231,EnrollData2324,'2324 Jun 24 Enroll'!D$1,FALSE)*Apport_M802324+VLOOKUP($A231,EnrollData2324,'2324 Jun 24 Enroll'!M$1,FALSE)*Apport_M802324+(VLOOKUP($A231,EnrollData2324,'2324 Jun 24 Enroll'!P$1,FALSE)+VLOOKUP($A231,EnrollData2324,'2324 Jun 24 Enroll'!Q$1,FALSE)+VLOOKUP($A231,EnrollData2324,'2324 Jun 24 Enroll'!R$1,FALSE)+VLOOKUP($A231,EnrollData2324,'2324 Jun 24 Enroll'!I$1,FALSE)+VLOOKUP($A231,EnrollData2324,'2324 Jun 24 Enroll'!N$1,FALSE)+VLOOKUP($A231,EnrollData2324,'2324 Jun 24 Enroll'!O$1,FALSE)+VLOOKUP($A231,EnrollData2324,'2324 Jun 24 Enroll'!K$1,FALSE)+VLOOKUP($A231,EnrollData2324,'2324 Jun 24 Enroll'!L$1,FALSE))*Apport_M812324)/(VLOOKUP($A231,EnrollData2324,'2324 Jun 24 Enroll'!M$1,FALSE)+VLOOKUP($A231,EnrollData2324,'2324 Jun 24 Enroll'!D$1,FALSE)),2)</f>
        <v>1544.05</v>
      </c>
      <c r="AS231" s="7">
        <f t="shared" ref="AS231:AS290" si="75">SUM(AA231:AR231)</f>
        <v>10625.009999999998</v>
      </c>
    </row>
    <row r="232" spans="1:45">
      <c r="A232" s="40" t="s">
        <v>612</v>
      </c>
      <c r="B232" s="40" t="s">
        <v>613</v>
      </c>
      <c r="C232" s="11">
        <f>ROUND((IFERROR((1/IF(VLOOKUP($A232,EnrollData2324,28,FALSE)='District Calculations'!$B$10,VLOOKUP($A232,EnrollData2324,28,FALSE),'District Calculations'!$B$10))*(1+Apport_Z315),0))+Apport_201A2324,6)</f>
        <v>7.3449E-2</v>
      </c>
      <c r="D232">
        <f>ROUND(IF(VLOOKUP($A232,EnrollData2324,'2324 Jun 24 Enroll'!D$1,FALSE)='District Calculations'!$B$11,VLOOKUP($A232,EnrollData2324,'2324 Jun 24 Enroll'!D$1,FALSE),'District Calculations'!$B$11)*C232,3)</f>
        <v>0</v>
      </c>
      <c r="E232">
        <f>ROUND(IF(VLOOKUP($A232,EnrollData2324,'2324 Jun 24 Enroll'!E$1,FALSE)='District Calculations'!$B$12,VLOOKUP($A232,EnrollData2324,'2324 Jun 24 Enroll'!E$1,FALSE),'District Calculations'!$B$12)*C232,3)</f>
        <v>59.53</v>
      </c>
      <c r="F232">
        <f>ROUND(IF(VLOOKUP($A232,EnrollData2324,'2324 Jun 24 Enroll'!F$1,FALSE)='District Calculations'!$B$13,VLOOKUP($A232,EnrollData2324,'2324 Jun 24 Enroll'!F$1,FALSE),'District Calculations'!$B$13)*Apport_222A2324,3)</f>
        <v>10.101000000000001</v>
      </c>
      <c r="G232">
        <f>ROUND(IF(VLOOKUP($A232,EnrollData2324,'2324 Jun 24 Enroll'!G$1,FALSE)='District Calculations'!$B$14,VLOOKUP($A232,EnrollData2324,'2324 Jun 24 Enroll'!G$1,FALSE),'District Calculations'!$B$14)*Apport_210A2324,3)</f>
        <v>22.395</v>
      </c>
      <c r="H232">
        <f>ROUND(IF(VLOOKUP($A232,EnrollData2324,'2324 Jun 24 Enroll'!H$1,FALSE)='District Calculations'!$B$15,VLOOKUP($A232,EnrollData2324,'2324 Jun 24 Enroll'!H$1,FALSE),'District Calculations'!$B$15)*Apport_213A2324,3)</f>
        <v>23.091999999999999</v>
      </c>
      <c r="I232">
        <f>ROUND(IF(VLOOKUP($A232,EnrollData2324,'2324 Jun 24 Enroll'!I$1,FALSE)+VLOOKUP($A232,EnrollData2324,'2324 Jun 24 Enroll'!M$1,FALSE)-VLOOKUP($A232,EnrollData2324,'2324 Jun 24 Enroll'!J$1,FALSE)='District Calculations'!$B$16+'District Calculations'!$B$25-'District Calculations'!$B$17,VLOOKUP($A232,EnrollData2324,'2324 Jun 24 Enroll'!I$1,FALSE)+VLOOKUP($A232,EnrollData2324,'2324 Jun 24 Enroll'!M$1,FALSE)-VLOOKUP($A232,EnrollData2324,'2324 Jun 24 Enroll'!J$1,FALSE),'District Calculations'!$B$16+'District Calculations'!$B$25-'District Calculations'!$B$17)*Apport_216A2324,3)</f>
        <v>58.183999999999997</v>
      </c>
      <c r="J232">
        <f>ROUND(SUM(D232:I232)/(IF(VLOOKUP($A232,EnrollData2324,'2324 Jun 24 Enroll'!M$1,FALSE)='District Calculations'!$B$25,VLOOKUP($A232,EnrollData2324,'2324 Jun 24 Enroll'!M$1,FALSE),'District Calculations'!$B$25)+IF(VLOOKUP($A232,EnrollData2324,'2324 Jun 24 Enroll'!D$1,FALSE)='District Calculations'!$B$11,VLOOKUP($A232,EnrollData2324,'2324 Jun 24 Enroll'!D$1,FALSE),'District Calculations'!$B$11)),5)</f>
        <v>5.5530000000000003E-2</v>
      </c>
      <c r="K232" s="11">
        <f t="shared" si="65"/>
        <v>4.365E-3</v>
      </c>
      <c r="L232">
        <f>ROUND(IF(VLOOKUP($A232,EnrollData2324,'2324 Jun 24 Enroll'!D$1,FALSE)='District Calculations'!$B$11,VLOOKUP($A232,EnrollData2324,'2324 Jun 24 Enroll'!D$1,FALSE),'District Calculations'!$B$11)*K232,3)</f>
        <v>0</v>
      </c>
      <c r="M232">
        <f>ROUND(IF(VLOOKUP($A232,EnrollData2324,'2324 Jun 24 Enroll'!E$1,FALSE)='District Calculations'!$B$12,VLOOKUP($A232,EnrollData2324,'2324 Jun 24 Enroll'!E$1,FALSE),'District Calculations'!$B$12)*K232,3)</f>
        <v>3.5379999999999998</v>
      </c>
      <c r="N232">
        <f>ROUND(IF(VLOOKUP($A232,EnrollData2324,'2324 Jun 24 Enroll'!F$1,FALSE)='District Calculations'!$B$13,VLOOKUP($A232,EnrollData2324,'2324 Jun 24 Enroll'!F$1,FALSE),'District Calculations'!$B$13)*Apport_223A2324,3)</f>
        <v>0.84199999999999997</v>
      </c>
      <c r="O232">
        <f>ROUND(IF(VLOOKUP($A232,EnrollData2324,'2324 Jun 24 Enroll'!G$1,FALSE)='District Calculations'!$B$14,VLOOKUP($A232,EnrollData2324,'2324 Jun 24 Enroll'!G$1,FALSE),'District Calculations'!$B$14)*Apport_211A2324,3)</f>
        <v>1.867</v>
      </c>
      <c r="P232">
        <f>ROUND(IF(VLOOKUP($A232,EnrollData2324,'2324 Jun 24 Enroll'!H$1,FALSE)='District Calculations'!$B$14,VLOOKUP($A232,EnrollData2324,'2324 Jun 24 Enroll'!H$1,FALSE),'District Calculations'!$B$14)*Apport_214A2324,3)</f>
        <v>1.8660000000000001</v>
      </c>
      <c r="Q232">
        <f>ROUND(IF(VLOOKUP($A232,EnrollData2324,'2324 Jun 24 Enroll'!I$1,FALSE)+VLOOKUP($A232,EnrollData2324,'2324 Jun 24 Enroll'!M$1,FALSE)-VLOOKUP($A232,EnrollData2324,'2324 Jun 24 Enroll'!J$1,FALSE)='District Calculations'!$B$16+'District Calculations'!$B$25-'District Calculations'!$B$17,VLOOKUP($A232,EnrollData2324,'2324 Jun 24 Enroll'!I$1,FALSE)+VLOOKUP($A232,EnrollData2324,'2324 Jun 24 Enroll'!M$1,FALSE)-VLOOKUP($A232,EnrollData2324,'2324 Jun 24 Enroll'!J$1,FALSE),'District Calculations'!$B$16+'District Calculations'!$B$25-'District Calculations'!$B$17)*Apport_217A2324,3)</f>
        <v>4.6980000000000004</v>
      </c>
      <c r="R232">
        <f>ROUND(SUM(L232:Q232)/IF(VLOOKUP($A232,EnrollData2324,'2324 Jun 24 Enroll'!M$1,FALSE)+VLOOKUP($A232,EnrollData2324,'2324 Jun 24 Enroll'!D$1,FALSE)='District Calculations'!$B$25+'District Calculations'!$B$11,VLOOKUP($A232,EnrollData2324,'2324 Jun 24 Enroll'!M$1,FALSE)+VLOOKUP($A232,EnrollData2324,'2324 Jun 24 Enroll'!D$1,FALSE),'District Calculations'!$B$25+'District Calculations'!$B$11),5)</f>
        <v>4.1000000000000003E-3</v>
      </c>
      <c r="S232" s="11">
        <f t="shared" si="66"/>
        <v>1.8294500000000002E-2</v>
      </c>
      <c r="T232">
        <f>ROUND(IF(VLOOKUP($A232,EnrollData2324,'2324 Jun 24 Enroll'!D$1,FALSE)='District Calculations'!$B$11,VLOOKUP($A232,EnrollData2324,'2324 Jun 24 Enroll'!D$1,FALSE),'District Calculations'!$B$11)*S232,3)</f>
        <v>0</v>
      </c>
      <c r="U232">
        <f>ROUND(IF(VLOOKUP($A232,EnrollData2324,'2324 Jun 24 Enroll'!E$1,FALSE)='District Calculations'!$B$12,VLOOKUP($A232,EnrollData2324,'2324 Jun 24 Enroll'!E$1,FALSE),'District Calculations'!$B$12)*S232,3)</f>
        <v>14.827999999999999</v>
      </c>
      <c r="V232">
        <f>ROUND(IF(VLOOKUP($A232,EnrollData2324,'2324 Jun 24 Enroll'!F$1,FALSE)='District Calculations'!$B$13,VLOOKUP($A232,EnrollData2324,'2324 Jun 24 Enroll'!F$1,FALSE),'District Calculations'!$B$13)*Apport_224A2324,3)</f>
        <v>3.6190000000000002</v>
      </c>
      <c r="W232">
        <f>ROUND(IF(VLOOKUP($A232,EnrollData2324,'2324 Jun 24 Enroll'!G$1,FALSE)='District Calculations'!$B$14,VLOOKUP($A232,EnrollData2324,'2324 Jun 24 Enroll'!G$1,FALSE),'District Calculations'!$B$14)*Apport_212A2324,3)</f>
        <v>8.0239999999999991</v>
      </c>
      <c r="X232">
        <f>ROUND(IF(VLOOKUP($A232,EnrollData2324,'2324 Jun 24 Enroll'!H$1,FALSE)='District Calculations'!$B$14,VLOOKUP($A232,EnrollData2324,'2324 Jun 24 Enroll'!H$1,FALSE),'District Calculations'!$B$14)*Apport_215A2324,3)</f>
        <v>7.9279999999999999</v>
      </c>
      <c r="Y232">
        <f>ROUND(IF(VLOOKUP($A232,EnrollData2324,'2324 Jun 24 Enroll'!I$1,FALSE)+VLOOKUP($A232,EnrollData2324,'2324 Jun 24 Enroll'!M$1,FALSE)-VLOOKUP($A232,EnrollData2324,'2324 Jun 24 Enroll'!J$1,FALSE)='District Calculations'!$B$16+'District Calculations'!$B$25-'District Calculations'!$B$17,VLOOKUP($A232,EnrollData2324,'2324 Jun 24 Enroll'!I$1,FALSE)+VLOOKUP($A232,EnrollData2324,'2324 Jun 24 Enroll'!M$1,FALSE)-VLOOKUP($A232,EnrollData2324,'2324 Jun 24 Enroll'!J$1,FALSE),'District Calculations'!$B$16+'District Calculations'!$B$25-'District Calculations'!$B$17)*Apport_218A2324,3)</f>
        <v>19.917999999999999</v>
      </c>
      <c r="Z232">
        <f>ROUND(SUM(T232:Y232)/IF(VLOOKUP($A232,EnrollData2324,'2324 Jun 24 Enroll'!M$1,FALSE)+VLOOKUP($A232,EnrollData2324,'2324 Jun 24 Enroll'!D$1,FALSE)='District Calculations'!$B$25+'District Calculations'!$B$11,VLOOKUP($A232,EnrollData2324,'2324 Jun 24 Enroll'!M$1,FALSE)+VLOOKUP($A232,EnrollData2324,'2324 Jun 24 Enroll'!D$1,FALSE),'District Calculations'!$B$25+'District Calculations'!$B$11),5)</f>
        <v>1.7399999999999999E-2</v>
      </c>
      <c r="AA232" s="6">
        <f>ROUND($J232*CIS_Base_Salary2324*VLOOKUP($A232,EnrollData2324,'2324 Jun 24 Enroll'!S$1,FALSE),2)</f>
        <v>4765.53</v>
      </c>
      <c r="AB232" s="6">
        <f>ROUND($J232*CIS_Inc_Salary2324*(VLOOKUP($A232,EnrollData2324,'2324 Jun 24 Enroll'!T$1,FALSE)+VLOOKUP($A232,EnrollData2324,'2324 Jun 24 Enroll'!U$1,FALSE)),2)-AA232</f>
        <v>176.32999999999993</v>
      </c>
      <c r="AC232" s="6">
        <f>ROUND($R232*CAS_Base_Salary2324*VLOOKUP($A232,EnrollData2324,'2324 Jun 24 Enroll'!S$1,FALSE),2)</f>
        <v>522.29</v>
      </c>
      <c r="AD232" s="6">
        <f>ROUND($R232*CAS_Inc_Salary2324*VLOOKUP($A232,EnrollData2324,'2324 Jun 24 Enroll'!T$1,FALSE),2)-AC232</f>
        <v>19.32000000000005</v>
      </c>
      <c r="AE232" s="6">
        <f>ROUND($Z232*CLS_Base_Salary2324*VLOOKUP($A232,EnrollData2324,'2324 Jun 24 Enroll'!S$1,FALSE),2)</f>
        <v>1071.22</v>
      </c>
      <c r="AF232" s="6">
        <f>ROUND($Z232*CLS_Inc_Salary2324*VLOOKUP($A232,EnrollData2324,'2324 Jun 24 Enroll'!T$1,FALSE),2)-AE232</f>
        <v>39.619999999999891</v>
      </c>
      <c r="AG232">
        <f t="shared" si="63"/>
        <v>734.16</v>
      </c>
      <c r="AH232" s="69">
        <f t="shared" si="67"/>
        <v>68.700000000000045</v>
      </c>
      <c r="AI232">
        <f t="shared" si="64"/>
        <v>214.23</v>
      </c>
      <c r="AJ232">
        <f t="shared" si="68"/>
        <v>114.21000000000001</v>
      </c>
      <c r="AK232">
        <f t="shared" si="69"/>
        <v>950.22</v>
      </c>
      <c r="AL232">
        <f t="shared" si="70"/>
        <v>33.909999999999997</v>
      </c>
      <c r="AM232">
        <f t="shared" si="71"/>
        <v>236.31</v>
      </c>
      <c r="AN232">
        <f t="shared" si="72"/>
        <v>7.35</v>
      </c>
      <c r="AO232">
        <f>ROUND(($J232*CIS_Inc_Salary2324*(VLOOKUP($A232,EnrollData2324,'2324 Jun 24 Enroll'!T$1,FALSE)+VLOOKUP($A232,EnrollData2324,'2324 Jun 24 Enroll'!U$1,FALSE))/Apport_613Xpd)*Apport_614Xpd,2)</f>
        <v>82.36</v>
      </c>
      <c r="AP232">
        <f t="shared" si="73"/>
        <v>14.27</v>
      </c>
      <c r="AQ232">
        <f t="shared" si="74"/>
        <v>30.93</v>
      </c>
      <c r="AR232" s="6">
        <f>ROUND((VLOOKUP($A232,EnrollData2324,'2324 Jun 24 Enroll'!D$1,FALSE)*Apport_M802324+VLOOKUP($A232,EnrollData2324,'2324 Jun 24 Enroll'!M$1,FALSE)*Apport_M802324+(VLOOKUP($A232,EnrollData2324,'2324 Jun 24 Enroll'!P$1,FALSE)+VLOOKUP($A232,EnrollData2324,'2324 Jun 24 Enroll'!Q$1,FALSE)+VLOOKUP($A232,EnrollData2324,'2324 Jun 24 Enroll'!R$1,FALSE)+VLOOKUP($A232,EnrollData2324,'2324 Jun 24 Enroll'!I$1,FALSE)+VLOOKUP($A232,EnrollData2324,'2324 Jun 24 Enroll'!N$1,FALSE)+VLOOKUP($A232,EnrollData2324,'2324 Jun 24 Enroll'!O$1,FALSE)+VLOOKUP($A232,EnrollData2324,'2324 Jun 24 Enroll'!K$1,FALSE)+VLOOKUP($A232,EnrollData2324,'2324 Jun 24 Enroll'!L$1,FALSE))*Apport_M812324)/(VLOOKUP($A232,EnrollData2324,'2324 Jun 24 Enroll'!M$1,FALSE)+VLOOKUP($A232,EnrollData2324,'2324 Jun 24 Enroll'!D$1,FALSE)),2)</f>
        <v>1550.52</v>
      </c>
      <c r="AS232" s="7">
        <f t="shared" si="75"/>
        <v>10631.48</v>
      </c>
    </row>
    <row r="233" spans="1:45">
      <c r="A233" s="40" t="s">
        <v>309</v>
      </c>
      <c r="B233" s="40" t="s">
        <v>310</v>
      </c>
      <c r="C233" s="11">
        <f>ROUND((IFERROR((1/IF(VLOOKUP($A233,EnrollData2324,28,FALSE)='District Calculations'!$B$10,VLOOKUP($A233,EnrollData2324,28,FALSE),'District Calculations'!$B$10))*(1+Apport_Z315),0))+Apport_201A2324,6)</f>
        <v>7.3449E-2</v>
      </c>
      <c r="D233">
        <f>ROUND(IF(VLOOKUP($A233,EnrollData2324,'2324 Jun 24 Enroll'!D$1,FALSE)='District Calculations'!$B$11,VLOOKUP($A233,EnrollData2324,'2324 Jun 24 Enroll'!D$1,FALSE),'District Calculations'!$B$11)*C233,3)</f>
        <v>0</v>
      </c>
      <c r="E233">
        <f>ROUND(IF(VLOOKUP($A233,EnrollData2324,'2324 Jun 24 Enroll'!E$1,FALSE)='District Calculations'!$B$12,VLOOKUP($A233,EnrollData2324,'2324 Jun 24 Enroll'!E$1,FALSE),'District Calculations'!$B$12)*C233,3)</f>
        <v>59.53</v>
      </c>
      <c r="F233">
        <f>ROUND(IF(VLOOKUP($A233,EnrollData2324,'2324 Jun 24 Enroll'!F$1,FALSE)='District Calculations'!$B$13,VLOOKUP($A233,EnrollData2324,'2324 Jun 24 Enroll'!F$1,FALSE),'District Calculations'!$B$13)*Apport_222A2324,3)</f>
        <v>10.101000000000001</v>
      </c>
      <c r="G233">
        <f>ROUND(IF(VLOOKUP($A233,EnrollData2324,'2324 Jun 24 Enroll'!G$1,FALSE)='District Calculations'!$B$14,VLOOKUP($A233,EnrollData2324,'2324 Jun 24 Enroll'!G$1,FALSE),'District Calculations'!$B$14)*Apport_210A2324,3)</f>
        <v>22.395</v>
      </c>
      <c r="H233">
        <f>ROUND(IF(VLOOKUP($A233,EnrollData2324,'2324 Jun 24 Enroll'!H$1,FALSE)='District Calculations'!$B$15,VLOOKUP($A233,EnrollData2324,'2324 Jun 24 Enroll'!H$1,FALSE),'District Calculations'!$B$15)*Apport_213A2324,3)</f>
        <v>23.091999999999999</v>
      </c>
      <c r="I233">
        <f>ROUND(IF(VLOOKUP($A233,EnrollData2324,'2324 Jun 24 Enroll'!I$1,FALSE)+VLOOKUP($A233,EnrollData2324,'2324 Jun 24 Enroll'!M$1,FALSE)-VLOOKUP($A233,EnrollData2324,'2324 Jun 24 Enroll'!J$1,FALSE)='District Calculations'!$B$16+'District Calculations'!$B$25-'District Calculations'!$B$17,VLOOKUP($A233,EnrollData2324,'2324 Jun 24 Enroll'!I$1,FALSE)+VLOOKUP($A233,EnrollData2324,'2324 Jun 24 Enroll'!M$1,FALSE)-VLOOKUP($A233,EnrollData2324,'2324 Jun 24 Enroll'!J$1,FALSE),'District Calculations'!$B$16+'District Calculations'!$B$25-'District Calculations'!$B$17)*Apport_216A2324,3)</f>
        <v>58.183999999999997</v>
      </c>
      <c r="J233">
        <f>ROUND(SUM(D233:I233)/(IF(VLOOKUP($A233,EnrollData2324,'2324 Jun 24 Enroll'!M$1,FALSE)='District Calculations'!$B$25,VLOOKUP($A233,EnrollData2324,'2324 Jun 24 Enroll'!M$1,FALSE),'District Calculations'!$B$25)+IF(VLOOKUP($A233,EnrollData2324,'2324 Jun 24 Enroll'!D$1,FALSE)='District Calculations'!$B$11,VLOOKUP($A233,EnrollData2324,'2324 Jun 24 Enroll'!D$1,FALSE),'District Calculations'!$B$11)),5)</f>
        <v>5.5530000000000003E-2</v>
      </c>
      <c r="K233" s="11">
        <f t="shared" si="65"/>
        <v>4.365E-3</v>
      </c>
      <c r="L233">
        <f>ROUND(IF(VLOOKUP($A233,EnrollData2324,'2324 Jun 24 Enroll'!D$1,FALSE)='District Calculations'!$B$11,VLOOKUP($A233,EnrollData2324,'2324 Jun 24 Enroll'!D$1,FALSE),'District Calculations'!$B$11)*K233,3)</f>
        <v>0</v>
      </c>
      <c r="M233">
        <f>ROUND(IF(VLOOKUP($A233,EnrollData2324,'2324 Jun 24 Enroll'!E$1,FALSE)='District Calculations'!$B$12,VLOOKUP($A233,EnrollData2324,'2324 Jun 24 Enroll'!E$1,FALSE),'District Calculations'!$B$12)*K233,3)</f>
        <v>3.5379999999999998</v>
      </c>
      <c r="N233">
        <f>ROUND(IF(VLOOKUP($A233,EnrollData2324,'2324 Jun 24 Enroll'!F$1,FALSE)='District Calculations'!$B$13,VLOOKUP($A233,EnrollData2324,'2324 Jun 24 Enroll'!F$1,FALSE),'District Calculations'!$B$13)*Apport_223A2324,3)</f>
        <v>0.84199999999999997</v>
      </c>
      <c r="O233">
        <f>ROUND(IF(VLOOKUP($A233,EnrollData2324,'2324 Jun 24 Enroll'!G$1,FALSE)='District Calculations'!$B$14,VLOOKUP($A233,EnrollData2324,'2324 Jun 24 Enroll'!G$1,FALSE),'District Calculations'!$B$14)*Apport_211A2324,3)</f>
        <v>1.867</v>
      </c>
      <c r="P233">
        <f>ROUND(IF(VLOOKUP($A233,EnrollData2324,'2324 Jun 24 Enroll'!H$1,FALSE)='District Calculations'!$B$14,VLOOKUP($A233,EnrollData2324,'2324 Jun 24 Enroll'!H$1,FALSE),'District Calculations'!$B$14)*Apport_214A2324,3)</f>
        <v>1.8660000000000001</v>
      </c>
      <c r="Q233">
        <f>ROUND(IF(VLOOKUP($A233,EnrollData2324,'2324 Jun 24 Enroll'!I$1,FALSE)+VLOOKUP($A233,EnrollData2324,'2324 Jun 24 Enroll'!M$1,FALSE)-VLOOKUP($A233,EnrollData2324,'2324 Jun 24 Enroll'!J$1,FALSE)='District Calculations'!$B$16+'District Calculations'!$B$25-'District Calculations'!$B$17,VLOOKUP($A233,EnrollData2324,'2324 Jun 24 Enroll'!I$1,FALSE)+VLOOKUP($A233,EnrollData2324,'2324 Jun 24 Enroll'!M$1,FALSE)-VLOOKUP($A233,EnrollData2324,'2324 Jun 24 Enroll'!J$1,FALSE),'District Calculations'!$B$16+'District Calculations'!$B$25-'District Calculations'!$B$17)*Apport_217A2324,3)</f>
        <v>4.6980000000000004</v>
      </c>
      <c r="R233">
        <f>ROUND(SUM(L233:Q233)/IF(VLOOKUP($A233,EnrollData2324,'2324 Jun 24 Enroll'!M$1,FALSE)+VLOOKUP($A233,EnrollData2324,'2324 Jun 24 Enroll'!D$1,FALSE)='District Calculations'!$B$25+'District Calculations'!$B$11,VLOOKUP($A233,EnrollData2324,'2324 Jun 24 Enroll'!M$1,FALSE)+VLOOKUP($A233,EnrollData2324,'2324 Jun 24 Enroll'!D$1,FALSE),'District Calculations'!$B$25+'District Calculations'!$B$11),5)</f>
        <v>4.1000000000000003E-3</v>
      </c>
      <c r="S233" s="11">
        <f t="shared" si="66"/>
        <v>1.8294500000000002E-2</v>
      </c>
      <c r="T233">
        <f>ROUND(IF(VLOOKUP($A233,EnrollData2324,'2324 Jun 24 Enroll'!D$1,FALSE)='District Calculations'!$B$11,VLOOKUP($A233,EnrollData2324,'2324 Jun 24 Enroll'!D$1,FALSE),'District Calculations'!$B$11)*S233,3)</f>
        <v>0</v>
      </c>
      <c r="U233">
        <f>ROUND(IF(VLOOKUP($A233,EnrollData2324,'2324 Jun 24 Enroll'!E$1,FALSE)='District Calculations'!$B$12,VLOOKUP($A233,EnrollData2324,'2324 Jun 24 Enroll'!E$1,FALSE),'District Calculations'!$B$12)*S233,3)</f>
        <v>14.827999999999999</v>
      </c>
      <c r="V233">
        <f>ROUND(IF(VLOOKUP($A233,EnrollData2324,'2324 Jun 24 Enroll'!F$1,FALSE)='District Calculations'!$B$13,VLOOKUP($A233,EnrollData2324,'2324 Jun 24 Enroll'!F$1,FALSE),'District Calculations'!$B$13)*Apport_224A2324,3)</f>
        <v>3.6190000000000002</v>
      </c>
      <c r="W233">
        <f>ROUND(IF(VLOOKUP($A233,EnrollData2324,'2324 Jun 24 Enroll'!G$1,FALSE)='District Calculations'!$B$14,VLOOKUP($A233,EnrollData2324,'2324 Jun 24 Enroll'!G$1,FALSE),'District Calculations'!$B$14)*Apport_212A2324,3)</f>
        <v>8.0239999999999991</v>
      </c>
      <c r="X233">
        <f>ROUND(IF(VLOOKUP($A233,EnrollData2324,'2324 Jun 24 Enroll'!H$1,FALSE)='District Calculations'!$B$14,VLOOKUP($A233,EnrollData2324,'2324 Jun 24 Enroll'!H$1,FALSE),'District Calculations'!$B$14)*Apport_215A2324,3)</f>
        <v>7.9279999999999999</v>
      </c>
      <c r="Y233">
        <f>ROUND(IF(VLOOKUP($A233,EnrollData2324,'2324 Jun 24 Enroll'!I$1,FALSE)+VLOOKUP($A233,EnrollData2324,'2324 Jun 24 Enroll'!M$1,FALSE)-VLOOKUP($A233,EnrollData2324,'2324 Jun 24 Enroll'!J$1,FALSE)='District Calculations'!$B$16+'District Calculations'!$B$25-'District Calculations'!$B$17,VLOOKUP($A233,EnrollData2324,'2324 Jun 24 Enroll'!I$1,FALSE)+VLOOKUP($A233,EnrollData2324,'2324 Jun 24 Enroll'!M$1,FALSE)-VLOOKUP($A233,EnrollData2324,'2324 Jun 24 Enroll'!J$1,FALSE),'District Calculations'!$B$16+'District Calculations'!$B$25-'District Calculations'!$B$17)*Apport_218A2324,3)</f>
        <v>19.917999999999999</v>
      </c>
      <c r="Z233">
        <f>ROUND(SUM(T233:Y233)/IF(VLOOKUP($A233,EnrollData2324,'2324 Jun 24 Enroll'!M$1,FALSE)+VLOOKUP($A233,EnrollData2324,'2324 Jun 24 Enroll'!D$1,FALSE)='District Calculations'!$B$25+'District Calculations'!$B$11,VLOOKUP($A233,EnrollData2324,'2324 Jun 24 Enroll'!M$1,FALSE)+VLOOKUP($A233,EnrollData2324,'2324 Jun 24 Enroll'!D$1,FALSE),'District Calculations'!$B$25+'District Calculations'!$B$11),5)</f>
        <v>1.7399999999999999E-2</v>
      </c>
      <c r="AA233" s="6">
        <f>ROUND($J233*CIS_Base_Salary2324*VLOOKUP($A233,EnrollData2324,'2324 Jun 24 Enroll'!S$1,FALSE),2)</f>
        <v>4765.53</v>
      </c>
      <c r="AB233" s="6">
        <f>ROUND($J233*CIS_Inc_Salary2324*(VLOOKUP($A233,EnrollData2324,'2324 Jun 24 Enroll'!T$1,FALSE)+VLOOKUP($A233,EnrollData2324,'2324 Jun 24 Enroll'!U$1,FALSE)),2)-AA233</f>
        <v>176.32999999999993</v>
      </c>
      <c r="AC233" s="6">
        <f>ROUND($R233*CAS_Base_Salary2324*VLOOKUP($A233,EnrollData2324,'2324 Jun 24 Enroll'!S$1,FALSE),2)</f>
        <v>522.29</v>
      </c>
      <c r="AD233" s="6">
        <f>ROUND($R233*CAS_Inc_Salary2324*VLOOKUP($A233,EnrollData2324,'2324 Jun 24 Enroll'!T$1,FALSE),2)-AC233</f>
        <v>19.32000000000005</v>
      </c>
      <c r="AE233" s="6">
        <f>ROUND($Z233*CLS_Base_Salary2324*VLOOKUP($A233,EnrollData2324,'2324 Jun 24 Enroll'!S$1,FALSE),2)</f>
        <v>1071.22</v>
      </c>
      <c r="AF233" s="6">
        <f>ROUND($Z233*CLS_Inc_Salary2324*VLOOKUP($A233,EnrollData2324,'2324 Jun 24 Enroll'!T$1,FALSE),2)-AE233</f>
        <v>39.619999999999891</v>
      </c>
      <c r="AG233">
        <f t="shared" si="63"/>
        <v>734.16</v>
      </c>
      <c r="AH233" s="69">
        <f t="shared" si="67"/>
        <v>68.700000000000045</v>
      </c>
      <c r="AI233">
        <f t="shared" si="64"/>
        <v>214.23</v>
      </c>
      <c r="AJ233">
        <f t="shared" si="68"/>
        <v>114.21000000000001</v>
      </c>
      <c r="AK233">
        <f t="shared" si="69"/>
        <v>950.22</v>
      </c>
      <c r="AL233">
        <f t="shared" si="70"/>
        <v>33.909999999999997</v>
      </c>
      <c r="AM233">
        <f t="shared" si="71"/>
        <v>236.31</v>
      </c>
      <c r="AN233">
        <f t="shared" si="72"/>
        <v>7.35</v>
      </c>
      <c r="AO233">
        <f>ROUND(($J233*CIS_Inc_Salary2324*(VLOOKUP($A233,EnrollData2324,'2324 Jun 24 Enroll'!T$1,FALSE)+VLOOKUP($A233,EnrollData2324,'2324 Jun 24 Enroll'!U$1,FALSE))/Apport_613Xpd)*Apport_614Xpd,2)</f>
        <v>82.36</v>
      </c>
      <c r="AP233">
        <f t="shared" si="73"/>
        <v>14.27</v>
      </c>
      <c r="AQ233">
        <f t="shared" si="74"/>
        <v>30.93</v>
      </c>
      <c r="AR233" s="6">
        <f>ROUND((VLOOKUP($A233,EnrollData2324,'2324 Jun 24 Enroll'!D$1,FALSE)*Apport_M802324+VLOOKUP($A233,EnrollData2324,'2324 Jun 24 Enroll'!M$1,FALSE)*Apport_M802324+(VLOOKUP($A233,EnrollData2324,'2324 Jun 24 Enroll'!P$1,FALSE)+VLOOKUP($A233,EnrollData2324,'2324 Jun 24 Enroll'!Q$1,FALSE)+VLOOKUP($A233,EnrollData2324,'2324 Jun 24 Enroll'!R$1,FALSE)+VLOOKUP($A233,EnrollData2324,'2324 Jun 24 Enroll'!I$1,FALSE)+VLOOKUP($A233,EnrollData2324,'2324 Jun 24 Enroll'!N$1,FALSE)+VLOOKUP($A233,EnrollData2324,'2324 Jun 24 Enroll'!O$1,FALSE)+VLOOKUP($A233,EnrollData2324,'2324 Jun 24 Enroll'!K$1,FALSE)+VLOOKUP($A233,EnrollData2324,'2324 Jun 24 Enroll'!L$1,FALSE))*Apport_M812324)/(VLOOKUP($A233,EnrollData2324,'2324 Jun 24 Enroll'!M$1,FALSE)+VLOOKUP($A233,EnrollData2324,'2324 Jun 24 Enroll'!D$1,FALSE)),2)</f>
        <v>1552.33</v>
      </c>
      <c r="AS233" s="7">
        <f t="shared" si="75"/>
        <v>10633.289999999999</v>
      </c>
    </row>
    <row r="234" spans="1:45">
      <c r="A234" s="40" t="s">
        <v>323</v>
      </c>
      <c r="B234" s="40" t="s">
        <v>324</v>
      </c>
      <c r="C234" s="11">
        <f>ROUND((IFERROR((1/IF(VLOOKUP($A234,EnrollData2324,28,FALSE)='District Calculations'!$B$10,VLOOKUP($A234,EnrollData2324,28,FALSE),'District Calculations'!$B$10))*(1+Apport_Z315),0))+Apport_201A2324,6)</f>
        <v>7.3449E-2</v>
      </c>
      <c r="D234">
        <f>ROUND(IF(VLOOKUP($A234,EnrollData2324,'2324 Jun 24 Enroll'!D$1,FALSE)='District Calculations'!$B$11,VLOOKUP($A234,EnrollData2324,'2324 Jun 24 Enroll'!D$1,FALSE),'District Calculations'!$B$11)*C234,3)</f>
        <v>0</v>
      </c>
      <c r="E234">
        <f>ROUND(IF(VLOOKUP($A234,EnrollData2324,'2324 Jun 24 Enroll'!E$1,FALSE)='District Calculations'!$B$12,VLOOKUP($A234,EnrollData2324,'2324 Jun 24 Enroll'!E$1,FALSE),'District Calculations'!$B$12)*C234,3)</f>
        <v>59.53</v>
      </c>
      <c r="F234">
        <f>ROUND(IF(VLOOKUP($A234,EnrollData2324,'2324 Jun 24 Enroll'!F$1,FALSE)='District Calculations'!$B$13,VLOOKUP($A234,EnrollData2324,'2324 Jun 24 Enroll'!F$1,FALSE),'District Calculations'!$B$13)*Apport_222A2324,3)</f>
        <v>10.101000000000001</v>
      </c>
      <c r="G234">
        <f>ROUND(IF(VLOOKUP($A234,EnrollData2324,'2324 Jun 24 Enroll'!G$1,FALSE)='District Calculations'!$B$14,VLOOKUP($A234,EnrollData2324,'2324 Jun 24 Enroll'!G$1,FALSE),'District Calculations'!$B$14)*Apport_210A2324,3)</f>
        <v>22.395</v>
      </c>
      <c r="H234">
        <f>ROUND(IF(VLOOKUP($A234,EnrollData2324,'2324 Jun 24 Enroll'!H$1,FALSE)='District Calculations'!$B$15,VLOOKUP($A234,EnrollData2324,'2324 Jun 24 Enroll'!H$1,FALSE),'District Calculations'!$B$15)*Apport_213A2324,3)</f>
        <v>23.091999999999999</v>
      </c>
      <c r="I234">
        <f>ROUND(IF(VLOOKUP($A234,EnrollData2324,'2324 Jun 24 Enroll'!I$1,FALSE)+VLOOKUP($A234,EnrollData2324,'2324 Jun 24 Enroll'!M$1,FALSE)-VLOOKUP($A234,EnrollData2324,'2324 Jun 24 Enroll'!J$1,FALSE)='District Calculations'!$B$16+'District Calculations'!$B$25-'District Calculations'!$B$17,VLOOKUP($A234,EnrollData2324,'2324 Jun 24 Enroll'!I$1,FALSE)+VLOOKUP($A234,EnrollData2324,'2324 Jun 24 Enroll'!M$1,FALSE)-VLOOKUP($A234,EnrollData2324,'2324 Jun 24 Enroll'!J$1,FALSE),'District Calculations'!$B$16+'District Calculations'!$B$25-'District Calculations'!$B$17)*Apport_216A2324,3)</f>
        <v>58.183999999999997</v>
      </c>
      <c r="J234">
        <f>ROUND(SUM(D234:I234)/(IF(VLOOKUP($A234,EnrollData2324,'2324 Jun 24 Enroll'!M$1,FALSE)='District Calculations'!$B$25,VLOOKUP($A234,EnrollData2324,'2324 Jun 24 Enroll'!M$1,FALSE),'District Calculations'!$B$25)+IF(VLOOKUP($A234,EnrollData2324,'2324 Jun 24 Enroll'!D$1,FALSE)='District Calculations'!$B$11,VLOOKUP($A234,EnrollData2324,'2324 Jun 24 Enroll'!D$1,FALSE),'District Calculations'!$B$11)),5)</f>
        <v>5.5530000000000003E-2</v>
      </c>
      <c r="K234" s="11">
        <f t="shared" si="65"/>
        <v>4.365E-3</v>
      </c>
      <c r="L234">
        <f>ROUND(IF(VLOOKUP($A234,EnrollData2324,'2324 Jun 24 Enroll'!D$1,FALSE)='District Calculations'!$B$11,VLOOKUP($A234,EnrollData2324,'2324 Jun 24 Enroll'!D$1,FALSE),'District Calculations'!$B$11)*K234,3)</f>
        <v>0</v>
      </c>
      <c r="M234">
        <f>ROUND(IF(VLOOKUP($A234,EnrollData2324,'2324 Jun 24 Enroll'!E$1,FALSE)='District Calculations'!$B$12,VLOOKUP($A234,EnrollData2324,'2324 Jun 24 Enroll'!E$1,FALSE),'District Calculations'!$B$12)*K234,3)</f>
        <v>3.5379999999999998</v>
      </c>
      <c r="N234">
        <f>ROUND(IF(VLOOKUP($A234,EnrollData2324,'2324 Jun 24 Enroll'!F$1,FALSE)='District Calculations'!$B$13,VLOOKUP($A234,EnrollData2324,'2324 Jun 24 Enroll'!F$1,FALSE),'District Calculations'!$B$13)*Apport_223A2324,3)</f>
        <v>0.84199999999999997</v>
      </c>
      <c r="O234">
        <f>ROUND(IF(VLOOKUP($A234,EnrollData2324,'2324 Jun 24 Enroll'!G$1,FALSE)='District Calculations'!$B$14,VLOOKUP($A234,EnrollData2324,'2324 Jun 24 Enroll'!G$1,FALSE),'District Calculations'!$B$14)*Apport_211A2324,3)</f>
        <v>1.867</v>
      </c>
      <c r="P234">
        <f>ROUND(IF(VLOOKUP($A234,EnrollData2324,'2324 Jun 24 Enroll'!H$1,FALSE)='District Calculations'!$B$14,VLOOKUP($A234,EnrollData2324,'2324 Jun 24 Enroll'!H$1,FALSE),'District Calculations'!$B$14)*Apport_214A2324,3)</f>
        <v>1.8660000000000001</v>
      </c>
      <c r="Q234">
        <f>ROUND(IF(VLOOKUP($A234,EnrollData2324,'2324 Jun 24 Enroll'!I$1,FALSE)+VLOOKUP($A234,EnrollData2324,'2324 Jun 24 Enroll'!M$1,FALSE)-VLOOKUP($A234,EnrollData2324,'2324 Jun 24 Enroll'!J$1,FALSE)='District Calculations'!$B$16+'District Calculations'!$B$25-'District Calculations'!$B$17,VLOOKUP($A234,EnrollData2324,'2324 Jun 24 Enroll'!I$1,FALSE)+VLOOKUP($A234,EnrollData2324,'2324 Jun 24 Enroll'!M$1,FALSE)-VLOOKUP($A234,EnrollData2324,'2324 Jun 24 Enroll'!J$1,FALSE),'District Calculations'!$B$16+'District Calculations'!$B$25-'District Calculations'!$B$17)*Apport_217A2324,3)</f>
        <v>4.6980000000000004</v>
      </c>
      <c r="R234">
        <f>ROUND(SUM(L234:Q234)/IF(VLOOKUP($A234,EnrollData2324,'2324 Jun 24 Enroll'!M$1,FALSE)+VLOOKUP($A234,EnrollData2324,'2324 Jun 24 Enroll'!D$1,FALSE)='District Calculations'!$B$25+'District Calculations'!$B$11,VLOOKUP($A234,EnrollData2324,'2324 Jun 24 Enroll'!M$1,FALSE)+VLOOKUP($A234,EnrollData2324,'2324 Jun 24 Enroll'!D$1,FALSE),'District Calculations'!$B$25+'District Calculations'!$B$11),5)</f>
        <v>4.1000000000000003E-3</v>
      </c>
      <c r="S234" s="11">
        <f t="shared" si="66"/>
        <v>1.8294500000000002E-2</v>
      </c>
      <c r="T234">
        <f>ROUND(IF(VLOOKUP($A234,EnrollData2324,'2324 Jun 24 Enroll'!D$1,FALSE)='District Calculations'!$B$11,VLOOKUP($A234,EnrollData2324,'2324 Jun 24 Enroll'!D$1,FALSE),'District Calculations'!$B$11)*S234,3)</f>
        <v>0</v>
      </c>
      <c r="U234">
        <f>ROUND(IF(VLOOKUP($A234,EnrollData2324,'2324 Jun 24 Enroll'!E$1,FALSE)='District Calculations'!$B$12,VLOOKUP($A234,EnrollData2324,'2324 Jun 24 Enroll'!E$1,FALSE),'District Calculations'!$B$12)*S234,3)</f>
        <v>14.827999999999999</v>
      </c>
      <c r="V234">
        <f>ROUND(IF(VLOOKUP($A234,EnrollData2324,'2324 Jun 24 Enroll'!F$1,FALSE)='District Calculations'!$B$13,VLOOKUP($A234,EnrollData2324,'2324 Jun 24 Enroll'!F$1,FALSE),'District Calculations'!$B$13)*Apport_224A2324,3)</f>
        <v>3.6190000000000002</v>
      </c>
      <c r="W234">
        <f>ROUND(IF(VLOOKUP($A234,EnrollData2324,'2324 Jun 24 Enroll'!G$1,FALSE)='District Calculations'!$B$14,VLOOKUP($A234,EnrollData2324,'2324 Jun 24 Enroll'!G$1,FALSE),'District Calculations'!$B$14)*Apport_212A2324,3)</f>
        <v>8.0239999999999991</v>
      </c>
      <c r="X234">
        <f>ROUND(IF(VLOOKUP($A234,EnrollData2324,'2324 Jun 24 Enroll'!H$1,FALSE)='District Calculations'!$B$14,VLOOKUP($A234,EnrollData2324,'2324 Jun 24 Enroll'!H$1,FALSE),'District Calculations'!$B$14)*Apport_215A2324,3)</f>
        <v>7.9279999999999999</v>
      </c>
      <c r="Y234">
        <f>ROUND(IF(VLOOKUP($A234,EnrollData2324,'2324 Jun 24 Enroll'!I$1,FALSE)+VLOOKUP($A234,EnrollData2324,'2324 Jun 24 Enroll'!M$1,FALSE)-VLOOKUP($A234,EnrollData2324,'2324 Jun 24 Enroll'!J$1,FALSE)='District Calculations'!$B$16+'District Calculations'!$B$25-'District Calculations'!$B$17,VLOOKUP($A234,EnrollData2324,'2324 Jun 24 Enroll'!I$1,FALSE)+VLOOKUP($A234,EnrollData2324,'2324 Jun 24 Enroll'!M$1,FALSE)-VLOOKUP($A234,EnrollData2324,'2324 Jun 24 Enroll'!J$1,FALSE),'District Calculations'!$B$16+'District Calculations'!$B$25-'District Calculations'!$B$17)*Apport_218A2324,3)</f>
        <v>19.917999999999999</v>
      </c>
      <c r="Z234">
        <f>ROUND(SUM(T234:Y234)/IF(VLOOKUP($A234,EnrollData2324,'2324 Jun 24 Enroll'!M$1,FALSE)+VLOOKUP($A234,EnrollData2324,'2324 Jun 24 Enroll'!D$1,FALSE)='District Calculations'!$B$25+'District Calculations'!$B$11,VLOOKUP($A234,EnrollData2324,'2324 Jun 24 Enroll'!M$1,FALSE)+VLOOKUP($A234,EnrollData2324,'2324 Jun 24 Enroll'!D$1,FALSE),'District Calculations'!$B$25+'District Calculations'!$B$11),5)</f>
        <v>1.7399999999999999E-2</v>
      </c>
      <c r="AA234" s="6">
        <f>ROUND($J234*CIS_Base_Salary2324*VLOOKUP($A234,EnrollData2324,'2324 Jun 24 Enroll'!S$1,FALSE),2)</f>
        <v>4583.79</v>
      </c>
      <c r="AB234" s="6">
        <f>ROUND($J234*CIS_Inc_Salary2324*(VLOOKUP($A234,EnrollData2324,'2324 Jun 24 Enroll'!T$1,FALSE)+VLOOKUP($A234,EnrollData2324,'2324 Jun 24 Enroll'!U$1,FALSE)),2)-AA234</f>
        <v>274.3100000000004</v>
      </c>
      <c r="AC234" s="6">
        <f>ROUND($R234*CAS_Base_Salary2324*VLOOKUP($A234,EnrollData2324,'2324 Jun 24 Enroll'!S$1,FALSE),2)</f>
        <v>502.37</v>
      </c>
      <c r="AD234" s="6">
        <f>ROUND($R234*CAS_Inc_Salary2324*VLOOKUP($A234,EnrollData2324,'2324 Jun 24 Enroll'!T$1,FALSE),2)-AC234</f>
        <v>18.590000000000032</v>
      </c>
      <c r="AE234" s="6">
        <f>ROUND($Z234*CLS_Base_Salary2324*VLOOKUP($A234,EnrollData2324,'2324 Jun 24 Enroll'!S$1,FALSE),2)</f>
        <v>1030.3599999999999</v>
      </c>
      <c r="AF234" s="6">
        <f>ROUND($Z234*CLS_Inc_Salary2324*VLOOKUP($A234,EnrollData2324,'2324 Jun 24 Enroll'!T$1,FALSE),2)-AE234</f>
        <v>38.120000000000118</v>
      </c>
      <c r="AG234">
        <f t="shared" si="63"/>
        <v>734.16</v>
      </c>
      <c r="AH234" s="69">
        <f t="shared" si="67"/>
        <v>68.700000000000045</v>
      </c>
      <c r="AI234">
        <f t="shared" si="64"/>
        <v>214.23</v>
      </c>
      <c r="AJ234">
        <f t="shared" si="68"/>
        <v>114.21000000000001</v>
      </c>
      <c r="AK234">
        <f t="shared" si="69"/>
        <v>913.98</v>
      </c>
      <c r="AL234">
        <f t="shared" si="70"/>
        <v>50.76</v>
      </c>
      <c r="AM234">
        <f t="shared" si="71"/>
        <v>227.3</v>
      </c>
      <c r="AN234">
        <f t="shared" si="72"/>
        <v>7.08</v>
      </c>
      <c r="AO234">
        <f>ROUND(($J234*CIS_Inc_Salary2324*(VLOOKUP($A234,EnrollData2324,'2324 Jun 24 Enroll'!T$1,FALSE)+VLOOKUP($A234,EnrollData2324,'2324 Jun 24 Enroll'!U$1,FALSE))/Apport_613Xpd)*Apport_614Xpd,2)</f>
        <v>80.97</v>
      </c>
      <c r="AP234">
        <f t="shared" si="73"/>
        <v>14.03</v>
      </c>
      <c r="AQ234">
        <f t="shared" si="74"/>
        <v>30.93</v>
      </c>
      <c r="AR234" s="6">
        <f>ROUND((VLOOKUP($A234,EnrollData2324,'2324 Jun 24 Enroll'!D$1,FALSE)*Apport_M802324+VLOOKUP($A234,EnrollData2324,'2324 Jun 24 Enroll'!M$1,FALSE)*Apport_M802324+(VLOOKUP($A234,EnrollData2324,'2324 Jun 24 Enroll'!P$1,FALSE)+VLOOKUP($A234,EnrollData2324,'2324 Jun 24 Enroll'!Q$1,FALSE)+VLOOKUP($A234,EnrollData2324,'2324 Jun 24 Enroll'!R$1,FALSE)+VLOOKUP($A234,EnrollData2324,'2324 Jun 24 Enroll'!I$1,FALSE)+VLOOKUP($A234,EnrollData2324,'2324 Jun 24 Enroll'!N$1,FALSE)+VLOOKUP($A234,EnrollData2324,'2324 Jun 24 Enroll'!O$1,FALSE)+VLOOKUP($A234,EnrollData2324,'2324 Jun 24 Enroll'!K$1,FALSE)+VLOOKUP($A234,EnrollData2324,'2324 Jun 24 Enroll'!L$1,FALSE))*Apport_M812324)/(VLOOKUP($A234,EnrollData2324,'2324 Jun 24 Enroll'!M$1,FALSE)+VLOOKUP($A234,EnrollData2324,'2324 Jun 24 Enroll'!D$1,FALSE)),2)</f>
        <v>1554.85</v>
      </c>
      <c r="AS234" s="7">
        <f t="shared" si="75"/>
        <v>10458.74</v>
      </c>
    </row>
    <row r="235" spans="1:45">
      <c r="A235" s="40" t="s">
        <v>578</v>
      </c>
      <c r="B235" s="40" t="s">
        <v>579</v>
      </c>
      <c r="C235" s="11">
        <f>ROUND((IFERROR((1/IF(VLOOKUP($A235,EnrollData2324,28,FALSE)='District Calculations'!$B$10,VLOOKUP($A235,EnrollData2324,28,FALSE),'District Calculations'!$B$10))*(1+Apport_Z315),0))+Apport_201A2324,6)</f>
        <v>7.3449E-2</v>
      </c>
      <c r="D235">
        <f>ROUND(IF(VLOOKUP($A235,EnrollData2324,'2324 Jun 24 Enroll'!D$1,FALSE)='District Calculations'!$B$11,VLOOKUP($A235,EnrollData2324,'2324 Jun 24 Enroll'!D$1,FALSE),'District Calculations'!$B$11)*C235,3)</f>
        <v>0</v>
      </c>
      <c r="E235">
        <f>ROUND(IF(VLOOKUP($A235,EnrollData2324,'2324 Jun 24 Enroll'!E$1,FALSE)='District Calculations'!$B$12,VLOOKUP($A235,EnrollData2324,'2324 Jun 24 Enroll'!E$1,FALSE),'District Calculations'!$B$12)*C235,3)</f>
        <v>59.53</v>
      </c>
      <c r="F235">
        <f>ROUND(IF(VLOOKUP($A235,EnrollData2324,'2324 Jun 24 Enroll'!F$1,FALSE)='District Calculations'!$B$13,VLOOKUP($A235,EnrollData2324,'2324 Jun 24 Enroll'!F$1,FALSE),'District Calculations'!$B$13)*Apport_222A2324,3)</f>
        <v>10.101000000000001</v>
      </c>
      <c r="G235">
        <f>ROUND(IF(VLOOKUP($A235,EnrollData2324,'2324 Jun 24 Enroll'!G$1,FALSE)='District Calculations'!$B$14,VLOOKUP($A235,EnrollData2324,'2324 Jun 24 Enroll'!G$1,FALSE),'District Calculations'!$B$14)*Apport_210A2324,3)</f>
        <v>22.395</v>
      </c>
      <c r="H235">
        <f>ROUND(IF(VLOOKUP($A235,EnrollData2324,'2324 Jun 24 Enroll'!H$1,FALSE)='District Calculations'!$B$15,VLOOKUP($A235,EnrollData2324,'2324 Jun 24 Enroll'!H$1,FALSE),'District Calculations'!$B$15)*Apport_213A2324,3)</f>
        <v>23.091999999999999</v>
      </c>
      <c r="I235">
        <f>ROUND(IF(VLOOKUP($A235,EnrollData2324,'2324 Jun 24 Enroll'!I$1,FALSE)+VLOOKUP($A235,EnrollData2324,'2324 Jun 24 Enroll'!M$1,FALSE)-VLOOKUP($A235,EnrollData2324,'2324 Jun 24 Enroll'!J$1,FALSE)='District Calculations'!$B$16+'District Calculations'!$B$25-'District Calculations'!$B$17,VLOOKUP($A235,EnrollData2324,'2324 Jun 24 Enroll'!I$1,FALSE)+VLOOKUP($A235,EnrollData2324,'2324 Jun 24 Enroll'!M$1,FALSE)-VLOOKUP($A235,EnrollData2324,'2324 Jun 24 Enroll'!J$1,FALSE),'District Calculations'!$B$16+'District Calculations'!$B$25-'District Calculations'!$B$17)*Apport_216A2324,3)</f>
        <v>58.183999999999997</v>
      </c>
      <c r="J235">
        <f>ROUND(SUM(D235:I235)/(IF(VLOOKUP($A235,EnrollData2324,'2324 Jun 24 Enroll'!M$1,FALSE)='District Calculations'!$B$25,VLOOKUP($A235,EnrollData2324,'2324 Jun 24 Enroll'!M$1,FALSE),'District Calculations'!$B$25)+IF(VLOOKUP($A235,EnrollData2324,'2324 Jun 24 Enroll'!D$1,FALSE)='District Calculations'!$B$11,VLOOKUP($A235,EnrollData2324,'2324 Jun 24 Enroll'!D$1,FALSE),'District Calculations'!$B$11)),5)</f>
        <v>5.5530000000000003E-2</v>
      </c>
      <c r="K235" s="11">
        <f t="shared" si="65"/>
        <v>4.365E-3</v>
      </c>
      <c r="L235">
        <f>ROUND(IF(VLOOKUP($A235,EnrollData2324,'2324 Jun 24 Enroll'!D$1,FALSE)='District Calculations'!$B$11,VLOOKUP($A235,EnrollData2324,'2324 Jun 24 Enroll'!D$1,FALSE),'District Calculations'!$B$11)*K235,3)</f>
        <v>0</v>
      </c>
      <c r="M235">
        <f>ROUND(IF(VLOOKUP($A235,EnrollData2324,'2324 Jun 24 Enroll'!E$1,FALSE)='District Calculations'!$B$12,VLOOKUP($A235,EnrollData2324,'2324 Jun 24 Enroll'!E$1,FALSE),'District Calculations'!$B$12)*K235,3)</f>
        <v>3.5379999999999998</v>
      </c>
      <c r="N235">
        <f>ROUND(IF(VLOOKUP($A235,EnrollData2324,'2324 Jun 24 Enroll'!F$1,FALSE)='District Calculations'!$B$13,VLOOKUP($A235,EnrollData2324,'2324 Jun 24 Enroll'!F$1,FALSE),'District Calculations'!$B$13)*Apport_223A2324,3)</f>
        <v>0.84199999999999997</v>
      </c>
      <c r="O235">
        <f>ROUND(IF(VLOOKUP($A235,EnrollData2324,'2324 Jun 24 Enroll'!G$1,FALSE)='District Calculations'!$B$14,VLOOKUP($A235,EnrollData2324,'2324 Jun 24 Enroll'!G$1,FALSE),'District Calculations'!$B$14)*Apport_211A2324,3)</f>
        <v>1.867</v>
      </c>
      <c r="P235">
        <f>ROUND(IF(VLOOKUP($A235,EnrollData2324,'2324 Jun 24 Enroll'!H$1,FALSE)='District Calculations'!$B$14,VLOOKUP($A235,EnrollData2324,'2324 Jun 24 Enroll'!H$1,FALSE),'District Calculations'!$B$14)*Apport_214A2324,3)</f>
        <v>1.8660000000000001</v>
      </c>
      <c r="Q235">
        <f>ROUND(IF(VLOOKUP($A235,EnrollData2324,'2324 Jun 24 Enroll'!I$1,FALSE)+VLOOKUP($A235,EnrollData2324,'2324 Jun 24 Enroll'!M$1,FALSE)-VLOOKUP($A235,EnrollData2324,'2324 Jun 24 Enroll'!J$1,FALSE)='District Calculations'!$B$16+'District Calculations'!$B$25-'District Calculations'!$B$17,VLOOKUP($A235,EnrollData2324,'2324 Jun 24 Enroll'!I$1,FALSE)+VLOOKUP($A235,EnrollData2324,'2324 Jun 24 Enroll'!M$1,FALSE)-VLOOKUP($A235,EnrollData2324,'2324 Jun 24 Enroll'!J$1,FALSE),'District Calculations'!$B$16+'District Calculations'!$B$25-'District Calculations'!$B$17)*Apport_217A2324,3)</f>
        <v>4.6980000000000004</v>
      </c>
      <c r="R235">
        <f>ROUND(SUM(L235:Q235)/IF(VLOOKUP($A235,EnrollData2324,'2324 Jun 24 Enroll'!M$1,FALSE)+VLOOKUP($A235,EnrollData2324,'2324 Jun 24 Enroll'!D$1,FALSE)='District Calculations'!$B$25+'District Calculations'!$B$11,VLOOKUP($A235,EnrollData2324,'2324 Jun 24 Enroll'!M$1,FALSE)+VLOOKUP($A235,EnrollData2324,'2324 Jun 24 Enroll'!D$1,FALSE),'District Calculations'!$B$25+'District Calculations'!$B$11),5)</f>
        <v>4.1000000000000003E-3</v>
      </c>
      <c r="S235" s="11">
        <f t="shared" si="66"/>
        <v>1.8294500000000002E-2</v>
      </c>
      <c r="T235">
        <f>ROUND(IF(VLOOKUP($A235,EnrollData2324,'2324 Jun 24 Enroll'!D$1,FALSE)='District Calculations'!$B$11,VLOOKUP($A235,EnrollData2324,'2324 Jun 24 Enroll'!D$1,FALSE),'District Calculations'!$B$11)*S235,3)</f>
        <v>0</v>
      </c>
      <c r="U235">
        <f>ROUND(IF(VLOOKUP($A235,EnrollData2324,'2324 Jun 24 Enroll'!E$1,FALSE)='District Calculations'!$B$12,VLOOKUP($A235,EnrollData2324,'2324 Jun 24 Enroll'!E$1,FALSE),'District Calculations'!$B$12)*S235,3)</f>
        <v>14.827999999999999</v>
      </c>
      <c r="V235">
        <f>ROUND(IF(VLOOKUP($A235,EnrollData2324,'2324 Jun 24 Enroll'!F$1,FALSE)='District Calculations'!$B$13,VLOOKUP($A235,EnrollData2324,'2324 Jun 24 Enroll'!F$1,FALSE),'District Calculations'!$B$13)*Apport_224A2324,3)</f>
        <v>3.6190000000000002</v>
      </c>
      <c r="W235">
        <f>ROUND(IF(VLOOKUP($A235,EnrollData2324,'2324 Jun 24 Enroll'!G$1,FALSE)='District Calculations'!$B$14,VLOOKUP($A235,EnrollData2324,'2324 Jun 24 Enroll'!G$1,FALSE),'District Calculations'!$B$14)*Apport_212A2324,3)</f>
        <v>8.0239999999999991</v>
      </c>
      <c r="X235">
        <f>ROUND(IF(VLOOKUP($A235,EnrollData2324,'2324 Jun 24 Enroll'!H$1,FALSE)='District Calculations'!$B$14,VLOOKUP($A235,EnrollData2324,'2324 Jun 24 Enroll'!H$1,FALSE),'District Calculations'!$B$14)*Apport_215A2324,3)</f>
        <v>7.9279999999999999</v>
      </c>
      <c r="Y235">
        <f>ROUND(IF(VLOOKUP($A235,EnrollData2324,'2324 Jun 24 Enroll'!I$1,FALSE)+VLOOKUP($A235,EnrollData2324,'2324 Jun 24 Enroll'!M$1,FALSE)-VLOOKUP($A235,EnrollData2324,'2324 Jun 24 Enroll'!J$1,FALSE)='District Calculations'!$B$16+'District Calculations'!$B$25-'District Calculations'!$B$17,VLOOKUP($A235,EnrollData2324,'2324 Jun 24 Enroll'!I$1,FALSE)+VLOOKUP($A235,EnrollData2324,'2324 Jun 24 Enroll'!M$1,FALSE)-VLOOKUP($A235,EnrollData2324,'2324 Jun 24 Enroll'!J$1,FALSE),'District Calculations'!$B$16+'District Calculations'!$B$25-'District Calculations'!$B$17)*Apport_218A2324,3)</f>
        <v>19.917999999999999</v>
      </c>
      <c r="Z235">
        <f>ROUND(SUM(T235:Y235)/IF(VLOOKUP($A235,EnrollData2324,'2324 Jun 24 Enroll'!M$1,FALSE)+VLOOKUP($A235,EnrollData2324,'2324 Jun 24 Enroll'!D$1,FALSE)='District Calculations'!$B$25+'District Calculations'!$B$11,VLOOKUP($A235,EnrollData2324,'2324 Jun 24 Enroll'!M$1,FALSE)+VLOOKUP($A235,EnrollData2324,'2324 Jun 24 Enroll'!D$1,FALSE),'District Calculations'!$B$25+'District Calculations'!$B$11),5)</f>
        <v>1.7399999999999999E-2</v>
      </c>
      <c r="AA235" s="6">
        <f>ROUND($J235*CIS_Base_Salary2324*VLOOKUP($A235,EnrollData2324,'2324 Jun 24 Enroll'!S$1,FALSE),2)</f>
        <v>4765.53</v>
      </c>
      <c r="AB235" s="6">
        <f>ROUND($J235*CIS_Inc_Salary2324*(VLOOKUP($A235,EnrollData2324,'2324 Jun 24 Enroll'!T$1,FALSE)+VLOOKUP($A235,EnrollData2324,'2324 Jun 24 Enroll'!U$1,FALSE)),2)-AA235</f>
        <v>176.32999999999993</v>
      </c>
      <c r="AC235" s="6">
        <f>ROUND($R235*CAS_Base_Salary2324*VLOOKUP($A235,EnrollData2324,'2324 Jun 24 Enroll'!S$1,FALSE),2)</f>
        <v>522.29</v>
      </c>
      <c r="AD235" s="6">
        <f>ROUND($R235*CAS_Inc_Salary2324*VLOOKUP($A235,EnrollData2324,'2324 Jun 24 Enroll'!T$1,FALSE),2)-AC235</f>
        <v>19.32000000000005</v>
      </c>
      <c r="AE235" s="6">
        <f>ROUND($Z235*CLS_Base_Salary2324*VLOOKUP($A235,EnrollData2324,'2324 Jun 24 Enroll'!S$1,FALSE),2)</f>
        <v>1071.22</v>
      </c>
      <c r="AF235" s="6">
        <f>ROUND($Z235*CLS_Inc_Salary2324*VLOOKUP($A235,EnrollData2324,'2324 Jun 24 Enroll'!T$1,FALSE),2)-AE235</f>
        <v>39.619999999999891</v>
      </c>
      <c r="AG235">
        <f t="shared" si="63"/>
        <v>734.16</v>
      </c>
      <c r="AH235" s="69">
        <f t="shared" si="67"/>
        <v>68.700000000000045</v>
      </c>
      <c r="AI235">
        <f t="shared" si="64"/>
        <v>214.23</v>
      </c>
      <c r="AJ235">
        <f t="shared" si="68"/>
        <v>114.21000000000001</v>
      </c>
      <c r="AK235">
        <f t="shared" si="69"/>
        <v>950.22</v>
      </c>
      <c r="AL235">
        <f t="shared" si="70"/>
        <v>33.909999999999997</v>
      </c>
      <c r="AM235">
        <f t="shared" si="71"/>
        <v>236.31</v>
      </c>
      <c r="AN235">
        <f t="shared" si="72"/>
        <v>7.35</v>
      </c>
      <c r="AO235">
        <f>ROUND(($J235*CIS_Inc_Salary2324*(VLOOKUP($A235,EnrollData2324,'2324 Jun 24 Enroll'!T$1,FALSE)+VLOOKUP($A235,EnrollData2324,'2324 Jun 24 Enroll'!U$1,FALSE))/Apport_613Xpd)*Apport_614Xpd,2)</f>
        <v>82.36</v>
      </c>
      <c r="AP235">
        <f t="shared" si="73"/>
        <v>14.27</v>
      </c>
      <c r="AQ235">
        <f t="shared" si="74"/>
        <v>30.93</v>
      </c>
      <c r="AR235" s="6">
        <f>ROUND((VLOOKUP($A235,EnrollData2324,'2324 Jun 24 Enroll'!D$1,FALSE)*Apport_M802324+VLOOKUP($A235,EnrollData2324,'2324 Jun 24 Enroll'!M$1,FALSE)*Apport_M802324+(VLOOKUP($A235,EnrollData2324,'2324 Jun 24 Enroll'!P$1,FALSE)+VLOOKUP($A235,EnrollData2324,'2324 Jun 24 Enroll'!Q$1,FALSE)+VLOOKUP($A235,EnrollData2324,'2324 Jun 24 Enroll'!R$1,FALSE)+VLOOKUP($A235,EnrollData2324,'2324 Jun 24 Enroll'!I$1,FALSE)+VLOOKUP($A235,EnrollData2324,'2324 Jun 24 Enroll'!N$1,FALSE)+VLOOKUP($A235,EnrollData2324,'2324 Jun 24 Enroll'!O$1,FALSE)+VLOOKUP($A235,EnrollData2324,'2324 Jun 24 Enroll'!K$1,FALSE)+VLOOKUP($A235,EnrollData2324,'2324 Jun 24 Enroll'!L$1,FALSE))*Apport_M812324)/(VLOOKUP($A235,EnrollData2324,'2324 Jun 24 Enroll'!M$1,FALSE)+VLOOKUP($A235,EnrollData2324,'2324 Jun 24 Enroll'!D$1,FALSE)),2)</f>
        <v>1546.32</v>
      </c>
      <c r="AS235" s="7">
        <f t="shared" si="75"/>
        <v>10627.279999999999</v>
      </c>
    </row>
    <row r="236" spans="1:45">
      <c r="A236" s="40" t="s">
        <v>512</v>
      </c>
      <c r="B236" s="40" t="s">
        <v>513</v>
      </c>
      <c r="C236" s="11">
        <f>ROUND((IFERROR((1/IF(VLOOKUP($A236,EnrollData2324,28,FALSE)='District Calculations'!$B$10,VLOOKUP($A236,EnrollData2324,28,FALSE),'District Calculations'!$B$10))*(1+Apport_Z315),0))+Apport_201A2324,6)</f>
        <v>7.3449E-2</v>
      </c>
      <c r="D236">
        <f>ROUND(IF(VLOOKUP($A236,EnrollData2324,'2324 Jun 24 Enroll'!D$1,FALSE)='District Calculations'!$B$11,VLOOKUP($A236,EnrollData2324,'2324 Jun 24 Enroll'!D$1,FALSE),'District Calculations'!$B$11)*C236,3)</f>
        <v>0</v>
      </c>
      <c r="E236">
        <f>ROUND(IF(VLOOKUP($A236,EnrollData2324,'2324 Jun 24 Enroll'!E$1,FALSE)='District Calculations'!$B$12,VLOOKUP($A236,EnrollData2324,'2324 Jun 24 Enroll'!E$1,FALSE),'District Calculations'!$B$12)*C236,3)</f>
        <v>59.53</v>
      </c>
      <c r="F236">
        <f>ROUND(IF(VLOOKUP($A236,EnrollData2324,'2324 Jun 24 Enroll'!F$1,FALSE)='District Calculations'!$B$13,VLOOKUP($A236,EnrollData2324,'2324 Jun 24 Enroll'!F$1,FALSE),'District Calculations'!$B$13)*Apport_222A2324,3)</f>
        <v>10.101000000000001</v>
      </c>
      <c r="G236">
        <f>ROUND(IF(VLOOKUP($A236,EnrollData2324,'2324 Jun 24 Enroll'!G$1,FALSE)='District Calculations'!$B$14,VLOOKUP($A236,EnrollData2324,'2324 Jun 24 Enroll'!G$1,FALSE),'District Calculations'!$B$14)*Apport_210A2324,3)</f>
        <v>22.395</v>
      </c>
      <c r="H236">
        <f>ROUND(IF(VLOOKUP($A236,EnrollData2324,'2324 Jun 24 Enroll'!H$1,FALSE)='District Calculations'!$B$15,VLOOKUP($A236,EnrollData2324,'2324 Jun 24 Enroll'!H$1,FALSE),'District Calculations'!$B$15)*Apport_213A2324,3)</f>
        <v>23.091999999999999</v>
      </c>
      <c r="I236">
        <f>ROUND(IF(VLOOKUP($A236,EnrollData2324,'2324 Jun 24 Enroll'!I$1,FALSE)+VLOOKUP($A236,EnrollData2324,'2324 Jun 24 Enroll'!M$1,FALSE)-VLOOKUP($A236,EnrollData2324,'2324 Jun 24 Enroll'!J$1,FALSE)='District Calculations'!$B$16+'District Calculations'!$B$25-'District Calculations'!$B$17,VLOOKUP($A236,EnrollData2324,'2324 Jun 24 Enroll'!I$1,FALSE)+VLOOKUP($A236,EnrollData2324,'2324 Jun 24 Enroll'!M$1,FALSE)-VLOOKUP($A236,EnrollData2324,'2324 Jun 24 Enroll'!J$1,FALSE),'District Calculations'!$B$16+'District Calculations'!$B$25-'District Calculations'!$B$17)*Apport_216A2324,3)</f>
        <v>58.183999999999997</v>
      </c>
      <c r="J236">
        <f>ROUND(SUM(D236:I236)/(IF(VLOOKUP($A236,EnrollData2324,'2324 Jun 24 Enroll'!M$1,FALSE)='District Calculations'!$B$25,VLOOKUP($A236,EnrollData2324,'2324 Jun 24 Enroll'!M$1,FALSE),'District Calculations'!$B$25)+IF(VLOOKUP($A236,EnrollData2324,'2324 Jun 24 Enroll'!D$1,FALSE)='District Calculations'!$B$11,VLOOKUP($A236,EnrollData2324,'2324 Jun 24 Enroll'!D$1,FALSE),'District Calculations'!$B$11)),5)</f>
        <v>5.5530000000000003E-2</v>
      </c>
      <c r="K236" s="11">
        <f t="shared" si="65"/>
        <v>4.365E-3</v>
      </c>
      <c r="L236">
        <f>ROUND(IF(VLOOKUP($A236,EnrollData2324,'2324 Jun 24 Enroll'!D$1,FALSE)='District Calculations'!$B$11,VLOOKUP($A236,EnrollData2324,'2324 Jun 24 Enroll'!D$1,FALSE),'District Calculations'!$B$11)*K236,3)</f>
        <v>0</v>
      </c>
      <c r="M236">
        <f>ROUND(IF(VLOOKUP($A236,EnrollData2324,'2324 Jun 24 Enroll'!E$1,FALSE)='District Calculations'!$B$12,VLOOKUP($A236,EnrollData2324,'2324 Jun 24 Enroll'!E$1,FALSE),'District Calculations'!$B$12)*K236,3)</f>
        <v>3.5379999999999998</v>
      </c>
      <c r="N236">
        <f>ROUND(IF(VLOOKUP($A236,EnrollData2324,'2324 Jun 24 Enroll'!F$1,FALSE)='District Calculations'!$B$13,VLOOKUP($A236,EnrollData2324,'2324 Jun 24 Enroll'!F$1,FALSE),'District Calculations'!$B$13)*Apport_223A2324,3)</f>
        <v>0.84199999999999997</v>
      </c>
      <c r="O236">
        <f>ROUND(IF(VLOOKUP($A236,EnrollData2324,'2324 Jun 24 Enroll'!G$1,FALSE)='District Calculations'!$B$14,VLOOKUP($A236,EnrollData2324,'2324 Jun 24 Enroll'!G$1,FALSE),'District Calculations'!$B$14)*Apport_211A2324,3)</f>
        <v>1.867</v>
      </c>
      <c r="P236">
        <f>ROUND(IF(VLOOKUP($A236,EnrollData2324,'2324 Jun 24 Enroll'!H$1,FALSE)='District Calculations'!$B$14,VLOOKUP($A236,EnrollData2324,'2324 Jun 24 Enroll'!H$1,FALSE),'District Calculations'!$B$14)*Apport_214A2324,3)</f>
        <v>1.8660000000000001</v>
      </c>
      <c r="Q236">
        <f>ROUND(IF(VLOOKUP($A236,EnrollData2324,'2324 Jun 24 Enroll'!I$1,FALSE)+VLOOKUP($A236,EnrollData2324,'2324 Jun 24 Enroll'!M$1,FALSE)-VLOOKUP($A236,EnrollData2324,'2324 Jun 24 Enroll'!J$1,FALSE)='District Calculations'!$B$16+'District Calculations'!$B$25-'District Calculations'!$B$17,VLOOKUP($A236,EnrollData2324,'2324 Jun 24 Enroll'!I$1,FALSE)+VLOOKUP($A236,EnrollData2324,'2324 Jun 24 Enroll'!M$1,FALSE)-VLOOKUP($A236,EnrollData2324,'2324 Jun 24 Enroll'!J$1,FALSE),'District Calculations'!$B$16+'District Calculations'!$B$25-'District Calculations'!$B$17)*Apport_217A2324,3)</f>
        <v>4.6980000000000004</v>
      </c>
      <c r="R236">
        <f>ROUND(SUM(L236:Q236)/IF(VLOOKUP($A236,EnrollData2324,'2324 Jun 24 Enroll'!M$1,FALSE)+VLOOKUP($A236,EnrollData2324,'2324 Jun 24 Enroll'!D$1,FALSE)='District Calculations'!$B$25+'District Calculations'!$B$11,VLOOKUP($A236,EnrollData2324,'2324 Jun 24 Enroll'!M$1,FALSE)+VLOOKUP($A236,EnrollData2324,'2324 Jun 24 Enroll'!D$1,FALSE),'District Calculations'!$B$25+'District Calculations'!$B$11),5)</f>
        <v>4.1000000000000003E-3</v>
      </c>
      <c r="S236" s="11">
        <f t="shared" si="66"/>
        <v>1.8294500000000002E-2</v>
      </c>
      <c r="T236">
        <f>ROUND(IF(VLOOKUP($A236,EnrollData2324,'2324 Jun 24 Enroll'!D$1,FALSE)='District Calculations'!$B$11,VLOOKUP($A236,EnrollData2324,'2324 Jun 24 Enroll'!D$1,FALSE),'District Calculations'!$B$11)*S236,3)</f>
        <v>0</v>
      </c>
      <c r="U236">
        <f>ROUND(IF(VLOOKUP($A236,EnrollData2324,'2324 Jun 24 Enroll'!E$1,FALSE)='District Calculations'!$B$12,VLOOKUP($A236,EnrollData2324,'2324 Jun 24 Enroll'!E$1,FALSE),'District Calculations'!$B$12)*S236,3)</f>
        <v>14.827999999999999</v>
      </c>
      <c r="V236">
        <f>ROUND(IF(VLOOKUP($A236,EnrollData2324,'2324 Jun 24 Enroll'!F$1,FALSE)='District Calculations'!$B$13,VLOOKUP($A236,EnrollData2324,'2324 Jun 24 Enroll'!F$1,FALSE),'District Calculations'!$B$13)*Apport_224A2324,3)</f>
        <v>3.6190000000000002</v>
      </c>
      <c r="W236">
        <f>ROUND(IF(VLOOKUP($A236,EnrollData2324,'2324 Jun 24 Enroll'!G$1,FALSE)='District Calculations'!$B$14,VLOOKUP($A236,EnrollData2324,'2324 Jun 24 Enroll'!G$1,FALSE),'District Calculations'!$B$14)*Apport_212A2324,3)</f>
        <v>8.0239999999999991</v>
      </c>
      <c r="X236">
        <f>ROUND(IF(VLOOKUP($A236,EnrollData2324,'2324 Jun 24 Enroll'!H$1,FALSE)='District Calculations'!$B$14,VLOOKUP($A236,EnrollData2324,'2324 Jun 24 Enroll'!H$1,FALSE),'District Calculations'!$B$14)*Apport_215A2324,3)</f>
        <v>7.9279999999999999</v>
      </c>
      <c r="Y236">
        <f>ROUND(IF(VLOOKUP($A236,EnrollData2324,'2324 Jun 24 Enroll'!I$1,FALSE)+VLOOKUP($A236,EnrollData2324,'2324 Jun 24 Enroll'!M$1,FALSE)-VLOOKUP($A236,EnrollData2324,'2324 Jun 24 Enroll'!J$1,FALSE)='District Calculations'!$B$16+'District Calculations'!$B$25-'District Calculations'!$B$17,VLOOKUP($A236,EnrollData2324,'2324 Jun 24 Enroll'!I$1,FALSE)+VLOOKUP($A236,EnrollData2324,'2324 Jun 24 Enroll'!M$1,FALSE)-VLOOKUP($A236,EnrollData2324,'2324 Jun 24 Enroll'!J$1,FALSE),'District Calculations'!$B$16+'District Calculations'!$B$25-'District Calculations'!$B$17)*Apport_218A2324,3)</f>
        <v>19.917999999999999</v>
      </c>
      <c r="Z236">
        <f>ROUND(SUM(T236:Y236)/IF(VLOOKUP($A236,EnrollData2324,'2324 Jun 24 Enroll'!M$1,FALSE)+VLOOKUP($A236,EnrollData2324,'2324 Jun 24 Enroll'!D$1,FALSE)='District Calculations'!$B$25+'District Calculations'!$B$11,VLOOKUP($A236,EnrollData2324,'2324 Jun 24 Enroll'!M$1,FALSE)+VLOOKUP($A236,EnrollData2324,'2324 Jun 24 Enroll'!D$1,FALSE),'District Calculations'!$B$25+'District Calculations'!$B$11),5)</f>
        <v>1.7399999999999999E-2</v>
      </c>
      <c r="AA236" s="6">
        <f>ROUND($J236*CIS_Base_Salary2324*VLOOKUP($A236,EnrollData2324,'2324 Jun 24 Enroll'!S$1,FALSE),2)</f>
        <v>4765.53</v>
      </c>
      <c r="AB236" s="6">
        <f>ROUND($J236*CIS_Inc_Salary2324*(VLOOKUP($A236,EnrollData2324,'2324 Jun 24 Enroll'!T$1,FALSE)+VLOOKUP($A236,EnrollData2324,'2324 Jun 24 Enroll'!U$1,FALSE)),2)-AA236</f>
        <v>176.32999999999993</v>
      </c>
      <c r="AC236" s="6">
        <f>ROUND($R236*CAS_Base_Salary2324*VLOOKUP($A236,EnrollData2324,'2324 Jun 24 Enroll'!S$1,FALSE),2)</f>
        <v>522.29</v>
      </c>
      <c r="AD236" s="6">
        <f>ROUND($R236*CAS_Inc_Salary2324*VLOOKUP($A236,EnrollData2324,'2324 Jun 24 Enroll'!T$1,FALSE),2)-AC236</f>
        <v>19.32000000000005</v>
      </c>
      <c r="AE236" s="6">
        <f>ROUND($Z236*CLS_Base_Salary2324*VLOOKUP($A236,EnrollData2324,'2324 Jun 24 Enroll'!S$1,FALSE),2)</f>
        <v>1071.22</v>
      </c>
      <c r="AF236" s="6">
        <f>ROUND($Z236*CLS_Inc_Salary2324*VLOOKUP($A236,EnrollData2324,'2324 Jun 24 Enroll'!T$1,FALSE),2)-AE236</f>
        <v>39.619999999999891</v>
      </c>
      <c r="AG236">
        <f t="shared" si="63"/>
        <v>734.16</v>
      </c>
      <c r="AH236" s="69">
        <f t="shared" si="67"/>
        <v>68.700000000000045</v>
      </c>
      <c r="AI236">
        <f t="shared" si="64"/>
        <v>214.23</v>
      </c>
      <c r="AJ236">
        <f t="shared" si="68"/>
        <v>114.21000000000001</v>
      </c>
      <c r="AK236">
        <f t="shared" si="69"/>
        <v>950.22</v>
      </c>
      <c r="AL236">
        <f t="shared" si="70"/>
        <v>33.909999999999997</v>
      </c>
      <c r="AM236">
        <f t="shared" si="71"/>
        <v>236.31</v>
      </c>
      <c r="AN236">
        <f t="shared" si="72"/>
        <v>7.35</v>
      </c>
      <c r="AO236">
        <f>ROUND(($J236*CIS_Inc_Salary2324*(VLOOKUP($A236,EnrollData2324,'2324 Jun 24 Enroll'!T$1,FALSE)+VLOOKUP($A236,EnrollData2324,'2324 Jun 24 Enroll'!U$1,FALSE))/Apport_613Xpd)*Apport_614Xpd,2)</f>
        <v>82.36</v>
      </c>
      <c r="AP236">
        <f t="shared" si="73"/>
        <v>14.27</v>
      </c>
      <c r="AQ236">
        <f t="shared" si="74"/>
        <v>30.93</v>
      </c>
      <c r="AR236" s="6">
        <f>ROUND((VLOOKUP($A236,EnrollData2324,'2324 Jun 24 Enroll'!D$1,FALSE)*Apport_M802324+VLOOKUP($A236,EnrollData2324,'2324 Jun 24 Enroll'!M$1,FALSE)*Apport_M802324+(VLOOKUP($A236,EnrollData2324,'2324 Jun 24 Enroll'!P$1,FALSE)+VLOOKUP($A236,EnrollData2324,'2324 Jun 24 Enroll'!Q$1,FALSE)+VLOOKUP($A236,EnrollData2324,'2324 Jun 24 Enroll'!R$1,FALSE)+VLOOKUP($A236,EnrollData2324,'2324 Jun 24 Enroll'!I$1,FALSE)+VLOOKUP($A236,EnrollData2324,'2324 Jun 24 Enroll'!N$1,FALSE)+VLOOKUP($A236,EnrollData2324,'2324 Jun 24 Enroll'!O$1,FALSE)+VLOOKUP($A236,EnrollData2324,'2324 Jun 24 Enroll'!K$1,FALSE)+VLOOKUP($A236,EnrollData2324,'2324 Jun 24 Enroll'!L$1,FALSE))*Apport_M812324)/(VLOOKUP($A236,EnrollData2324,'2324 Jun 24 Enroll'!M$1,FALSE)+VLOOKUP($A236,EnrollData2324,'2324 Jun 24 Enroll'!D$1,FALSE)),2)</f>
        <v>1483.44</v>
      </c>
      <c r="AS236" s="7">
        <f t="shared" si="75"/>
        <v>10564.4</v>
      </c>
    </row>
    <row r="237" spans="1:45">
      <c r="A237" s="40" t="s">
        <v>594</v>
      </c>
      <c r="B237" s="40" t="s">
        <v>595</v>
      </c>
      <c r="C237" s="11">
        <f>ROUND((IFERROR((1/IF(VLOOKUP($A237,EnrollData2324,28,FALSE)='District Calculations'!$B$10,VLOOKUP($A237,EnrollData2324,28,FALSE),'District Calculations'!$B$10))*(1+Apport_Z315),0))+Apport_201A2324,6)</f>
        <v>7.3449E-2</v>
      </c>
      <c r="D237">
        <f>ROUND(IF(VLOOKUP($A237,EnrollData2324,'2324 Jun 24 Enroll'!D$1,FALSE)='District Calculations'!$B$11,VLOOKUP($A237,EnrollData2324,'2324 Jun 24 Enroll'!D$1,FALSE),'District Calculations'!$B$11)*C237,3)</f>
        <v>0</v>
      </c>
      <c r="E237">
        <f>ROUND(IF(VLOOKUP($A237,EnrollData2324,'2324 Jun 24 Enroll'!E$1,FALSE)='District Calculations'!$B$12,VLOOKUP($A237,EnrollData2324,'2324 Jun 24 Enroll'!E$1,FALSE),'District Calculations'!$B$12)*C237,3)</f>
        <v>59.53</v>
      </c>
      <c r="F237">
        <f>ROUND(IF(VLOOKUP($A237,EnrollData2324,'2324 Jun 24 Enroll'!F$1,FALSE)='District Calculations'!$B$13,VLOOKUP($A237,EnrollData2324,'2324 Jun 24 Enroll'!F$1,FALSE),'District Calculations'!$B$13)*Apport_222A2324,3)</f>
        <v>10.101000000000001</v>
      </c>
      <c r="G237">
        <f>ROUND(IF(VLOOKUP($A237,EnrollData2324,'2324 Jun 24 Enroll'!G$1,FALSE)='District Calculations'!$B$14,VLOOKUP($A237,EnrollData2324,'2324 Jun 24 Enroll'!G$1,FALSE),'District Calculations'!$B$14)*Apport_210A2324,3)</f>
        <v>22.395</v>
      </c>
      <c r="H237">
        <f>ROUND(IF(VLOOKUP($A237,EnrollData2324,'2324 Jun 24 Enroll'!H$1,FALSE)='District Calculations'!$B$15,VLOOKUP($A237,EnrollData2324,'2324 Jun 24 Enroll'!H$1,FALSE),'District Calculations'!$B$15)*Apport_213A2324,3)</f>
        <v>23.091999999999999</v>
      </c>
      <c r="I237">
        <f>ROUND(IF(VLOOKUP($A237,EnrollData2324,'2324 Jun 24 Enroll'!I$1,FALSE)+VLOOKUP($A237,EnrollData2324,'2324 Jun 24 Enroll'!M$1,FALSE)-VLOOKUP($A237,EnrollData2324,'2324 Jun 24 Enroll'!J$1,FALSE)='District Calculations'!$B$16+'District Calculations'!$B$25-'District Calculations'!$B$17,VLOOKUP($A237,EnrollData2324,'2324 Jun 24 Enroll'!I$1,FALSE)+VLOOKUP($A237,EnrollData2324,'2324 Jun 24 Enroll'!M$1,FALSE)-VLOOKUP($A237,EnrollData2324,'2324 Jun 24 Enroll'!J$1,FALSE),'District Calculations'!$B$16+'District Calculations'!$B$25-'District Calculations'!$B$17)*Apport_216A2324,3)</f>
        <v>58.183999999999997</v>
      </c>
      <c r="J237">
        <f>ROUND(SUM(D237:I237)/(IF(VLOOKUP($A237,EnrollData2324,'2324 Jun 24 Enroll'!M$1,FALSE)='District Calculations'!$B$25,VLOOKUP($A237,EnrollData2324,'2324 Jun 24 Enroll'!M$1,FALSE),'District Calculations'!$B$25)+IF(VLOOKUP($A237,EnrollData2324,'2324 Jun 24 Enroll'!D$1,FALSE)='District Calculations'!$B$11,VLOOKUP($A237,EnrollData2324,'2324 Jun 24 Enroll'!D$1,FALSE),'District Calculations'!$B$11)),5)</f>
        <v>5.5530000000000003E-2</v>
      </c>
      <c r="K237" s="11">
        <f t="shared" si="65"/>
        <v>4.365E-3</v>
      </c>
      <c r="L237">
        <f>ROUND(IF(VLOOKUP($A237,EnrollData2324,'2324 Jun 24 Enroll'!D$1,FALSE)='District Calculations'!$B$11,VLOOKUP($A237,EnrollData2324,'2324 Jun 24 Enroll'!D$1,FALSE),'District Calculations'!$B$11)*K237,3)</f>
        <v>0</v>
      </c>
      <c r="M237">
        <f>ROUND(IF(VLOOKUP($A237,EnrollData2324,'2324 Jun 24 Enroll'!E$1,FALSE)='District Calculations'!$B$12,VLOOKUP($A237,EnrollData2324,'2324 Jun 24 Enroll'!E$1,FALSE),'District Calculations'!$B$12)*K237,3)</f>
        <v>3.5379999999999998</v>
      </c>
      <c r="N237">
        <f>ROUND(IF(VLOOKUP($A237,EnrollData2324,'2324 Jun 24 Enroll'!F$1,FALSE)='District Calculations'!$B$13,VLOOKUP($A237,EnrollData2324,'2324 Jun 24 Enroll'!F$1,FALSE),'District Calculations'!$B$13)*Apport_223A2324,3)</f>
        <v>0.84199999999999997</v>
      </c>
      <c r="O237">
        <f>ROUND(IF(VLOOKUP($A237,EnrollData2324,'2324 Jun 24 Enroll'!G$1,FALSE)='District Calculations'!$B$14,VLOOKUP($A237,EnrollData2324,'2324 Jun 24 Enroll'!G$1,FALSE),'District Calculations'!$B$14)*Apport_211A2324,3)</f>
        <v>1.867</v>
      </c>
      <c r="P237">
        <f>ROUND(IF(VLOOKUP($A237,EnrollData2324,'2324 Jun 24 Enroll'!H$1,FALSE)='District Calculations'!$B$14,VLOOKUP($A237,EnrollData2324,'2324 Jun 24 Enroll'!H$1,FALSE),'District Calculations'!$B$14)*Apport_214A2324,3)</f>
        <v>1.8660000000000001</v>
      </c>
      <c r="Q237">
        <f>ROUND(IF(VLOOKUP($A237,EnrollData2324,'2324 Jun 24 Enroll'!I$1,FALSE)+VLOOKUP($A237,EnrollData2324,'2324 Jun 24 Enroll'!M$1,FALSE)-VLOOKUP($A237,EnrollData2324,'2324 Jun 24 Enroll'!J$1,FALSE)='District Calculations'!$B$16+'District Calculations'!$B$25-'District Calculations'!$B$17,VLOOKUP($A237,EnrollData2324,'2324 Jun 24 Enroll'!I$1,FALSE)+VLOOKUP($A237,EnrollData2324,'2324 Jun 24 Enroll'!M$1,FALSE)-VLOOKUP($A237,EnrollData2324,'2324 Jun 24 Enroll'!J$1,FALSE),'District Calculations'!$B$16+'District Calculations'!$B$25-'District Calculations'!$B$17)*Apport_217A2324,3)</f>
        <v>4.6980000000000004</v>
      </c>
      <c r="R237">
        <f>ROUND(SUM(L237:Q237)/IF(VLOOKUP($A237,EnrollData2324,'2324 Jun 24 Enroll'!M$1,FALSE)+VLOOKUP($A237,EnrollData2324,'2324 Jun 24 Enroll'!D$1,FALSE)='District Calculations'!$B$25+'District Calculations'!$B$11,VLOOKUP($A237,EnrollData2324,'2324 Jun 24 Enroll'!M$1,FALSE)+VLOOKUP($A237,EnrollData2324,'2324 Jun 24 Enroll'!D$1,FALSE),'District Calculations'!$B$25+'District Calculations'!$B$11),5)</f>
        <v>4.1000000000000003E-3</v>
      </c>
      <c r="S237" s="11">
        <f t="shared" si="66"/>
        <v>1.8294500000000002E-2</v>
      </c>
      <c r="T237">
        <f>ROUND(IF(VLOOKUP($A237,EnrollData2324,'2324 Jun 24 Enroll'!D$1,FALSE)='District Calculations'!$B$11,VLOOKUP($A237,EnrollData2324,'2324 Jun 24 Enroll'!D$1,FALSE),'District Calculations'!$B$11)*S237,3)</f>
        <v>0</v>
      </c>
      <c r="U237">
        <f>ROUND(IF(VLOOKUP($A237,EnrollData2324,'2324 Jun 24 Enroll'!E$1,FALSE)='District Calculations'!$B$12,VLOOKUP($A237,EnrollData2324,'2324 Jun 24 Enroll'!E$1,FALSE),'District Calculations'!$B$12)*S237,3)</f>
        <v>14.827999999999999</v>
      </c>
      <c r="V237">
        <f>ROUND(IF(VLOOKUP($A237,EnrollData2324,'2324 Jun 24 Enroll'!F$1,FALSE)='District Calculations'!$B$13,VLOOKUP($A237,EnrollData2324,'2324 Jun 24 Enroll'!F$1,FALSE),'District Calculations'!$B$13)*Apport_224A2324,3)</f>
        <v>3.6190000000000002</v>
      </c>
      <c r="W237">
        <f>ROUND(IF(VLOOKUP($A237,EnrollData2324,'2324 Jun 24 Enroll'!G$1,FALSE)='District Calculations'!$B$14,VLOOKUP($A237,EnrollData2324,'2324 Jun 24 Enroll'!G$1,FALSE),'District Calculations'!$B$14)*Apport_212A2324,3)</f>
        <v>8.0239999999999991</v>
      </c>
      <c r="X237">
        <f>ROUND(IF(VLOOKUP($A237,EnrollData2324,'2324 Jun 24 Enroll'!H$1,FALSE)='District Calculations'!$B$14,VLOOKUP($A237,EnrollData2324,'2324 Jun 24 Enroll'!H$1,FALSE),'District Calculations'!$B$14)*Apport_215A2324,3)</f>
        <v>7.9279999999999999</v>
      </c>
      <c r="Y237">
        <f>ROUND(IF(VLOOKUP($A237,EnrollData2324,'2324 Jun 24 Enroll'!I$1,FALSE)+VLOOKUP($A237,EnrollData2324,'2324 Jun 24 Enroll'!M$1,FALSE)-VLOOKUP($A237,EnrollData2324,'2324 Jun 24 Enroll'!J$1,FALSE)='District Calculations'!$B$16+'District Calculations'!$B$25-'District Calculations'!$B$17,VLOOKUP($A237,EnrollData2324,'2324 Jun 24 Enroll'!I$1,FALSE)+VLOOKUP($A237,EnrollData2324,'2324 Jun 24 Enroll'!M$1,FALSE)-VLOOKUP($A237,EnrollData2324,'2324 Jun 24 Enroll'!J$1,FALSE),'District Calculations'!$B$16+'District Calculations'!$B$25-'District Calculations'!$B$17)*Apport_218A2324,3)</f>
        <v>19.917999999999999</v>
      </c>
      <c r="Z237">
        <f>ROUND(SUM(T237:Y237)/IF(VLOOKUP($A237,EnrollData2324,'2324 Jun 24 Enroll'!M$1,FALSE)+VLOOKUP($A237,EnrollData2324,'2324 Jun 24 Enroll'!D$1,FALSE)='District Calculations'!$B$25+'District Calculations'!$B$11,VLOOKUP($A237,EnrollData2324,'2324 Jun 24 Enroll'!M$1,FALSE)+VLOOKUP($A237,EnrollData2324,'2324 Jun 24 Enroll'!D$1,FALSE),'District Calculations'!$B$25+'District Calculations'!$B$11),5)</f>
        <v>1.7399999999999999E-2</v>
      </c>
      <c r="AA237" s="6">
        <f>ROUND($J237*CIS_Base_Salary2324*VLOOKUP($A237,EnrollData2324,'2324 Jun 24 Enroll'!S$1,FALSE),2)</f>
        <v>4765.53</v>
      </c>
      <c r="AB237" s="6">
        <f>ROUND($J237*CIS_Inc_Salary2324*(VLOOKUP($A237,EnrollData2324,'2324 Jun 24 Enroll'!T$1,FALSE)+VLOOKUP($A237,EnrollData2324,'2324 Jun 24 Enroll'!U$1,FALSE)),2)-AA237</f>
        <v>176.32999999999993</v>
      </c>
      <c r="AC237" s="6">
        <f>ROUND($R237*CAS_Base_Salary2324*VLOOKUP($A237,EnrollData2324,'2324 Jun 24 Enroll'!S$1,FALSE),2)</f>
        <v>522.29</v>
      </c>
      <c r="AD237" s="6">
        <f>ROUND($R237*CAS_Inc_Salary2324*VLOOKUP($A237,EnrollData2324,'2324 Jun 24 Enroll'!T$1,FALSE),2)-AC237</f>
        <v>19.32000000000005</v>
      </c>
      <c r="AE237" s="6">
        <f>ROUND($Z237*CLS_Base_Salary2324*VLOOKUP($A237,EnrollData2324,'2324 Jun 24 Enroll'!S$1,FALSE),2)</f>
        <v>1071.22</v>
      </c>
      <c r="AF237" s="6">
        <f>ROUND($Z237*CLS_Inc_Salary2324*VLOOKUP($A237,EnrollData2324,'2324 Jun 24 Enroll'!T$1,FALSE),2)-AE237</f>
        <v>39.619999999999891</v>
      </c>
      <c r="AG237">
        <f t="shared" si="63"/>
        <v>734.16</v>
      </c>
      <c r="AH237" s="69">
        <f t="shared" si="67"/>
        <v>68.700000000000045</v>
      </c>
      <c r="AI237">
        <f t="shared" si="64"/>
        <v>214.23</v>
      </c>
      <c r="AJ237">
        <f t="shared" si="68"/>
        <v>114.21000000000001</v>
      </c>
      <c r="AK237">
        <f t="shared" si="69"/>
        <v>950.22</v>
      </c>
      <c r="AL237">
        <f t="shared" si="70"/>
        <v>33.909999999999997</v>
      </c>
      <c r="AM237">
        <f t="shared" si="71"/>
        <v>236.31</v>
      </c>
      <c r="AN237">
        <f t="shared" si="72"/>
        <v>7.35</v>
      </c>
      <c r="AO237">
        <f>ROUND(($J237*CIS_Inc_Salary2324*(VLOOKUP($A237,EnrollData2324,'2324 Jun 24 Enroll'!T$1,FALSE)+VLOOKUP($A237,EnrollData2324,'2324 Jun 24 Enroll'!U$1,FALSE))/Apport_613Xpd)*Apport_614Xpd,2)</f>
        <v>82.36</v>
      </c>
      <c r="AP237">
        <f t="shared" si="73"/>
        <v>14.27</v>
      </c>
      <c r="AQ237">
        <f t="shared" si="74"/>
        <v>30.93</v>
      </c>
      <c r="AR237" s="6">
        <f>ROUND((VLOOKUP($A237,EnrollData2324,'2324 Jun 24 Enroll'!D$1,FALSE)*Apport_M802324+VLOOKUP($A237,EnrollData2324,'2324 Jun 24 Enroll'!M$1,FALSE)*Apport_M802324+(VLOOKUP($A237,EnrollData2324,'2324 Jun 24 Enroll'!P$1,FALSE)+VLOOKUP($A237,EnrollData2324,'2324 Jun 24 Enroll'!Q$1,FALSE)+VLOOKUP($A237,EnrollData2324,'2324 Jun 24 Enroll'!R$1,FALSE)+VLOOKUP($A237,EnrollData2324,'2324 Jun 24 Enroll'!I$1,FALSE)+VLOOKUP($A237,EnrollData2324,'2324 Jun 24 Enroll'!N$1,FALSE)+VLOOKUP($A237,EnrollData2324,'2324 Jun 24 Enroll'!O$1,FALSE)+VLOOKUP($A237,EnrollData2324,'2324 Jun 24 Enroll'!K$1,FALSE)+VLOOKUP($A237,EnrollData2324,'2324 Jun 24 Enroll'!L$1,FALSE))*Apport_M812324)/(VLOOKUP($A237,EnrollData2324,'2324 Jun 24 Enroll'!M$1,FALSE)+VLOOKUP($A237,EnrollData2324,'2324 Jun 24 Enroll'!D$1,FALSE)),2)</f>
        <v>1567.35</v>
      </c>
      <c r="AS237" s="7">
        <f t="shared" si="75"/>
        <v>10648.31</v>
      </c>
    </row>
    <row r="238" spans="1:45">
      <c r="A238" s="40" t="s">
        <v>767</v>
      </c>
      <c r="B238" s="40" t="s">
        <v>768</v>
      </c>
      <c r="C238" s="11">
        <f>ROUND((IFERROR((1/IF(VLOOKUP($A238,EnrollData2324,28,FALSE)='District Calculations'!$B$10,VLOOKUP($A238,EnrollData2324,28,FALSE),'District Calculations'!$B$10))*(1+Apport_Z315),0))+Apport_201A2324,6)</f>
        <v>7.3449E-2</v>
      </c>
      <c r="D238">
        <f>ROUND(IF(VLOOKUP($A238,EnrollData2324,'2324 Jun 24 Enroll'!D$1,FALSE)='District Calculations'!$B$11,VLOOKUP($A238,EnrollData2324,'2324 Jun 24 Enroll'!D$1,FALSE),'District Calculations'!$B$11)*C238,3)</f>
        <v>0</v>
      </c>
      <c r="E238">
        <f>ROUND(IF(VLOOKUP($A238,EnrollData2324,'2324 Jun 24 Enroll'!E$1,FALSE)='District Calculations'!$B$12,VLOOKUP($A238,EnrollData2324,'2324 Jun 24 Enroll'!E$1,FALSE),'District Calculations'!$B$12)*C238,3)</f>
        <v>59.53</v>
      </c>
      <c r="F238">
        <f>ROUND(IF(VLOOKUP($A238,EnrollData2324,'2324 Jun 24 Enroll'!F$1,FALSE)='District Calculations'!$B$13,VLOOKUP($A238,EnrollData2324,'2324 Jun 24 Enroll'!F$1,FALSE),'District Calculations'!$B$13)*Apport_222A2324,3)</f>
        <v>10.101000000000001</v>
      </c>
      <c r="G238">
        <f>ROUND(IF(VLOOKUP($A238,EnrollData2324,'2324 Jun 24 Enroll'!G$1,FALSE)='District Calculations'!$B$14,VLOOKUP($A238,EnrollData2324,'2324 Jun 24 Enroll'!G$1,FALSE),'District Calculations'!$B$14)*Apport_210A2324,3)</f>
        <v>22.395</v>
      </c>
      <c r="H238">
        <f>ROUND(IF(VLOOKUP($A238,EnrollData2324,'2324 Jun 24 Enroll'!H$1,FALSE)='District Calculations'!$B$15,VLOOKUP($A238,EnrollData2324,'2324 Jun 24 Enroll'!H$1,FALSE),'District Calculations'!$B$15)*Apport_213A2324,3)</f>
        <v>23.091999999999999</v>
      </c>
      <c r="I238">
        <f>ROUND(IF(VLOOKUP($A238,EnrollData2324,'2324 Jun 24 Enroll'!I$1,FALSE)+VLOOKUP($A238,EnrollData2324,'2324 Jun 24 Enroll'!M$1,FALSE)-VLOOKUP($A238,EnrollData2324,'2324 Jun 24 Enroll'!J$1,FALSE)='District Calculations'!$B$16+'District Calculations'!$B$25-'District Calculations'!$B$17,VLOOKUP($A238,EnrollData2324,'2324 Jun 24 Enroll'!I$1,FALSE)+VLOOKUP($A238,EnrollData2324,'2324 Jun 24 Enroll'!M$1,FALSE)-VLOOKUP($A238,EnrollData2324,'2324 Jun 24 Enroll'!J$1,FALSE),'District Calculations'!$B$16+'District Calculations'!$B$25-'District Calculations'!$B$17)*Apport_216A2324,3)</f>
        <v>58.183999999999997</v>
      </c>
      <c r="J238">
        <f>ROUND(SUM(D238:I238)/(IF(VLOOKUP($A238,EnrollData2324,'2324 Jun 24 Enroll'!M$1,FALSE)='District Calculations'!$B$25,VLOOKUP($A238,EnrollData2324,'2324 Jun 24 Enroll'!M$1,FALSE),'District Calculations'!$B$25)+IF(VLOOKUP($A238,EnrollData2324,'2324 Jun 24 Enroll'!D$1,FALSE)='District Calculations'!$B$11,VLOOKUP($A238,EnrollData2324,'2324 Jun 24 Enroll'!D$1,FALSE),'District Calculations'!$B$11)),5)</f>
        <v>5.5530000000000003E-2</v>
      </c>
      <c r="K238" s="11">
        <f t="shared" si="65"/>
        <v>4.365E-3</v>
      </c>
      <c r="L238">
        <f>ROUND(IF(VLOOKUP($A238,EnrollData2324,'2324 Jun 24 Enroll'!D$1,FALSE)='District Calculations'!$B$11,VLOOKUP($A238,EnrollData2324,'2324 Jun 24 Enroll'!D$1,FALSE),'District Calculations'!$B$11)*K238,3)</f>
        <v>0</v>
      </c>
      <c r="M238">
        <f>ROUND(IF(VLOOKUP($A238,EnrollData2324,'2324 Jun 24 Enroll'!E$1,FALSE)='District Calculations'!$B$12,VLOOKUP($A238,EnrollData2324,'2324 Jun 24 Enroll'!E$1,FALSE),'District Calculations'!$B$12)*K238,3)</f>
        <v>3.5379999999999998</v>
      </c>
      <c r="N238">
        <f>ROUND(IF(VLOOKUP($A238,EnrollData2324,'2324 Jun 24 Enroll'!F$1,FALSE)='District Calculations'!$B$13,VLOOKUP($A238,EnrollData2324,'2324 Jun 24 Enroll'!F$1,FALSE),'District Calculations'!$B$13)*Apport_223A2324,3)</f>
        <v>0.84199999999999997</v>
      </c>
      <c r="O238">
        <f>ROUND(IF(VLOOKUP($A238,EnrollData2324,'2324 Jun 24 Enroll'!G$1,FALSE)='District Calculations'!$B$14,VLOOKUP($A238,EnrollData2324,'2324 Jun 24 Enroll'!G$1,FALSE),'District Calculations'!$B$14)*Apport_211A2324,3)</f>
        <v>1.867</v>
      </c>
      <c r="P238">
        <f>ROUND(IF(VLOOKUP($A238,EnrollData2324,'2324 Jun 24 Enroll'!H$1,FALSE)='District Calculations'!$B$14,VLOOKUP($A238,EnrollData2324,'2324 Jun 24 Enroll'!H$1,FALSE),'District Calculations'!$B$14)*Apport_214A2324,3)</f>
        <v>1.8660000000000001</v>
      </c>
      <c r="Q238">
        <f>ROUND(IF(VLOOKUP($A238,EnrollData2324,'2324 Jun 24 Enroll'!I$1,FALSE)+VLOOKUP($A238,EnrollData2324,'2324 Jun 24 Enroll'!M$1,FALSE)-VLOOKUP($A238,EnrollData2324,'2324 Jun 24 Enroll'!J$1,FALSE)='District Calculations'!$B$16+'District Calculations'!$B$25-'District Calculations'!$B$17,VLOOKUP($A238,EnrollData2324,'2324 Jun 24 Enroll'!I$1,FALSE)+VLOOKUP($A238,EnrollData2324,'2324 Jun 24 Enroll'!M$1,FALSE)-VLOOKUP($A238,EnrollData2324,'2324 Jun 24 Enroll'!J$1,FALSE),'District Calculations'!$B$16+'District Calculations'!$B$25-'District Calculations'!$B$17)*Apport_217A2324,3)</f>
        <v>4.6980000000000004</v>
      </c>
      <c r="R238">
        <f>ROUND(SUM(L238:Q238)/IF(VLOOKUP($A238,EnrollData2324,'2324 Jun 24 Enroll'!M$1,FALSE)+VLOOKUP($A238,EnrollData2324,'2324 Jun 24 Enroll'!D$1,FALSE)='District Calculations'!$B$25+'District Calculations'!$B$11,VLOOKUP($A238,EnrollData2324,'2324 Jun 24 Enroll'!M$1,FALSE)+VLOOKUP($A238,EnrollData2324,'2324 Jun 24 Enroll'!D$1,FALSE),'District Calculations'!$B$25+'District Calculations'!$B$11),5)</f>
        <v>4.1000000000000003E-3</v>
      </c>
      <c r="S238" s="11">
        <f t="shared" si="66"/>
        <v>1.8294500000000002E-2</v>
      </c>
      <c r="T238">
        <f>ROUND(IF(VLOOKUP($A238,EnrollData2324,'2324 Jun 24 Enroll'!D$1,FALSE)='District Calculations'!$B$11,VLOOKUP($A238,EnrollData2324,'2324 Jun 24 Enroll'!D$1,FALSE),'District Calculations'!$B$11)*S238,3)</f>
        <v>0</v>
      </c>
      <c r="U238">
        <f>ROUND(IF(VLOOKUP($A238,EnrollData2324,'2324 Jun 24 Enroll'!E$1,FALSE)='District Calculations'!$B$12,VLOOKUP($A238,EnrollData2324,'2324 Jun 24 Enroll'!E$1,FALSE),'District Calculations'!$B$12)*S238,3)</f>
        <v>14.827999999999999</v>
      </c>
      <c r="V238">
        <f>ROUND(IF(VLOOKUP($A238,EnrollData2324,'2324 Jun 24 Enroll'!F$1,FALSE)='District Calculations'!$B$13,VLOOKUP($A238,EnrollData2324,'2324 Jun 24 Enroll'!F$1,FALSE),'District Calculations'!$B$13)*Apport_224A2324,3)</f>
        <v>3.6190000000000002</v>
      </c>
      <c r="W238">
        <f>ROUND(IF(VLOOKUP($A238,EnrollData2324,'2324 Jun 24 Enroll'!G$1,FALSE)='District Calculations'!$B$14,VLOOKUP($A238,EnrollData2324,'2324 Jun 24 Enroll'!G$1,FALSE),'District Calculations'!$B$14)*Apport_212A2324,3)</f>
        <v>8.0239999999999991</v>
      </c>
      <c r="X238">
        <f>ROUND(IF(VLOOKUP($A238,EnrollData2324,'2324 Jun 24 Enroll'!H$1,FALSE)='District Calculations'!$B$14,VLOOKUP($A238,EnrollData2324,'2324 Jun 24 Enroll'!H$1,FALSE),'District Calculations'!$B$14)*Apport_215A2324,3)</f>
        <v>7.9279999999999999</v>
      </c>
      <c r="Y238">
        <f>ROUND(IF(VLOOKUP($A238,EnrollData2324,'2324 Jun 24 Enroll'!I$1,FALSE)+VLOOKUP($A238,EnrollData2324,'2324 Jun 24 Enroll'!M$1,FALSE)-VLOOKUP($A238,EnrollData2324,'2324 Jun 24 Enroll'!J$1,FALSE)='District Calculations'!$B$16+'District Calculations'!$B$25-'District Calculations'!$B$17,VLOOKUP($A238,EnrollData2324,'2324 Jun 24 Enroll'!I$1,FALSE)+VLOOKUP($A238,EnrollData2324,'2324 Jun 24 Enroll'!M$1,FALSE)-VLOOKUP($A238,EnrollData2324,'2324 Jun 24 Enroll'!J$1,FALSE),'District Calculations'!$B$16+'District Calculations'!$B$25-'District Calculations'!$B$17)*Apport_218A2324,3)</f>
        <v>19.917999999999999</v>
      </c>
      <c r="Z238">
        <f>ROUND(SUM(T238:Y238)/IF(VLOOKUP($A238,EnrollData2324,'2324 Jun 24 Enroll'!M$1,FALSE)+VLOOKUP($A238,EnrollData2324,'2324 Jun 24 Enroll'!D$1,FALSE)='District Calculations'!$B$25+'District Calculations'!$B$11,VLOOKUP($A238,EnrollData2324,'2324 Jun 24 Enroll'!M$1,FALSE)+VLOOKUP($A238,EnrollData2324,'2324 Jun 24 Enroll'!D$1,FALSE),'District Calculations'!$B$25+'District Calculations'!$B$11),5)</f>
        <v>1.7399999999999999E-2</v>
      </c>
      <c r="AA238" s="6">
        <f>ROUND($J238*CIS_Base_Salary2324*VLOOKUP($A238,EnrollData2324,'2324 Jun 24 Enroll'!S$1,FALSE),2)</f>
        <v>4765.53</v>
      </c>
      <c r="AB238" s="6">
        <f>ROUND($J238*CIS_Inc_Salary2324*(VLOOKUP($A238,EnrollData2324,'2324 Jun 24 Enroll'!T$1,FALSE)+VLOOKUP($A238,EnrollData2324,'2324 Jun 24 Enroll'!U$1,FALSE)),2)-AA238</f>
        <v>343.85000000000036</v>
      </c>
      <c r="AC238" s="6">
        <f>ROUND($R238*CAS_Base_Salary2324*VLOOKUP($A238,EnrollData2324,'2324 Jun 24 Enroll'!S$1,FALSE),2)</f>
        <v>522.29</v>
      </c>
      <c r="AD238" s="6">
        <f>ROUND($R238*CAS_Inc_Salary2324*VLOOKUP($A238,EnrollData2324,'2324 Jun 24 Enroll'!T$1,FALSE),2)-AC238</f>
        <v>19.32000000000005</v>
      </c>
      <c r="AE238" s="6">
        <f>ROUND($Z238*CLS_Base_Salary2324*VLOOKUP($A238,EnrollData2324,'2324 Jun 24 Enroll'!S$1,FALSE),2)</f>
        <v>1071.22</v>
      </c>
      <c r="AF238" s="6">
        <f>ROUND($Z238*CLS_Inc_Salary2324*VLOOKUP($A238,EnrollData2324,'2324 Jun 24 Enroll'!T$1,FALSE),2)-AE238</f>
        <v>39.619999999999891</v>
      </c>
      <c r="AG238">
        <f t="shared" si="63"/>
        <v>734.16</v>
      </c>
      <c r="AH238" s="69">
        <f t="shared" si="67"/>
        <v>68.700000000000045</v>
      </c>
      <c r="AI238">
        <f t="shared" si="64"/>
        <v>214.23</v>
      </c>
      <c r="AJ238">
        <f t="shared" si="68"/>
        <v>114.21000000000001</v>
      </c>
      <c r="AK238">
        <f t="shared" si="69"/>
        <v>950.22</v>
      </c>
      <c r="AL238">
        <f t="shared" si="70"/>
        <v>62.94</v>
      </c>
      <c r="AM238">
        <f t="shared" si="71"/>
        <v>236.31</v>
      </c>
      <c r="AN238">
        <f t="shared" si="72"/>
        <v>7.35</v>
      </c>
      <c r="AO238">
        <f>ROUND(($J238*CIS_Inc_Salary2324*(VLOOKUP($A238,EnrollData2324,'2324 Jun 24 Enroll'!T$1,FALSE)+VLOOKUP($A238,EnrollData2324,'2324 Jun 24 Enroll'!U$1,FALSE))/Apport_613Xpd)*Apport_614Xpd,2)</f>
        <v>85.16</v>
      </c>
      <c r="AP238">
        <f t="shared" si="73"/>
        <v>14.76</v>
      </c>
      <c r="AQ238">
        <f t="shared" si="74"/>
        <v>30.93</v>
      </c>
      <c r="AR238" s="6">
        <f>ROUND((VLOOKUP($A238,EnrollData2324,'2324 Jun 24 Enroll'!D$1,FALSE)*Apport_M802324+VLOOKUP($A238,EnrollData2324,'2324 Jun 24 Enroll'!M$1,FALSE)*Apport_M802324+(VLOOKUP($A238,EnrollData2324,'2324 Jun 24 Enroll'!P$1,FALSE)+VLOOKUP($A238,EnrollData2324,'2324 Jun 24 Enroll'!Q$1,FALSE)+VLOOKUP($A238,EnrollData2324,'2324 Jun 24 Enroll'!R$1,FALSE)+VLOOKUP($A238,EnrollData2324,'2324 Jun 24 Enroll'!I$1,FALSE)+VLOOKUP($A238,EnrollData2324,'2324 Jun 24 Enroll'!N$1,FALSE)+VLOOKUP($A238,EnrollData2324,'2324 Jun 24 Enroll'!O$1,FALSE)+VLOOKUP($A238,EnrollData2324,'2324 Jun 24 Enroll'!K$1,FALSE)+VLOOKUP($A238,EnrollData2324,'2324 Jun 24 Enroll'!L$1,FALSE))*Apport_M812324)/(VLOOKUP($A238,EnrollData2324,'2324 Jun 24 Enroll'!M$1,FALSE)+VLOOKUP($A238,EnrollData2324,'2324 Jun 24 Enroll'!D$1,FALSE)),2)</f>
        <v>1555.05</v>
      </c>
      <c r="AS238" s="7">
        <f t="shared" si="75"/>
        <v>10835.849999999999</v>
      </c>
    </row>
    <row r="239" spans="1:45">
      <c r="A239" s="40" t="s">
        <v>550</v>
      </c>
      <c r="B239" s="40" t="s">
        <v>551</v>
      </c>
      <c r="C239" s="11">
        <f>ROUND((IFERROR((1/IF(VLOOKUP($A239,EnrollData2324,28,FALSE)='District Calculations'!$B$10,VLOOKUP($A239,EnrollData2324,28,FALSE),'District Calculations'!$B$10))*(1+Apport_Z315),0))+Apport_201A2324,6)</f>
        <v>7.3449E-2</v>
      </c>
      <c r="D239">
        <f>ROUND(IF(VLOOKUP($A239,EnrollData2324,'2324 Jun 24 Enroll'!D$1,FALSE)='District Calculations'!$B$11,VLOOKUP($A239,EnrollData2324,'2324 Jun 24 Enroll'!D$1,FALSE),'District Calculations'!$B$11)*C239,3)</f>
        <v>0</v>
      </c>
      <c r="E239">
        <f>ROUND(IF(VLOOKUP($A239,EnrollData2324,'2324 Jun 24 Enroll'!E$1,FALSE)='District Calculations'!$B$12,VLOOKUP($A239,EnrollData2324,'2324 Jun 24 Enroll'!E$1,FALSE),'District Calculations'!$B$12)*C239,3)</f>
        <v>59.53</v>
      </c>
      <c r="F239">
        <f>ROUND(IF(VLOOKUP($A239,EnrollData2324,'2324 Jun 24 Enroll'!F$1,FALSE)='District Calculations'!$B$13,VLOOKUP($A239,EnrollData2324,'2324 Jun 24 Enroll'!F$1,FALSE),'District Calculations'!$B$13)*Apport_222A2324,3)</f>
        <v>10.101000000000001</v>
      </c>
      <c r="G239">
        <f>ROUND(IF(VLOOKUP($A239,EnrollData2324,'2324 Jun 24 Enroll'!G$1,FALSE)='District Calculations'!$B$14,VLOOKUP($A239,EnrollData2324,'2324 Jun 24 Enroll'!G$1,FALSE),'District Calculations'!$B$14)*Apport_210A2324,3)</f>
        <v>22.395</v>
      </c>
      <c r="H239">
        <f>ROUND(IF(VLOOKUP($A239,EnrollData2324,'2324 Jun 24 Enroll'!H$1,FALSE)='District Calculations'!$B$15,VLOOKUP($A239,EnrollData2324,'2324 Jun 24 Enroll'!H$1,FALSE),'District Calculations'!$B$15)*Apport_213A2324,3)</f>
        <v>23.091999999999999</v>
      </c>
      <c r="I239">
        <f>ROUND(IF(VLOOKUP($A239,EnrollData2324,'2324 Jun 24 Enroll'!I$1,FALSE)+VLOOKUP($A239,EnrollData2324,'2324 Jun 24 Enroll'!M$1,FALSE)-VLOOKUP($A239,EnrollData2324,'2324 Jun 24 Enroll'!J$1,FALSE)='District Calculations'!$B$16+'District Calculations'!$B$25-'District Calculations'!$B$17,VLOOKUP($A239,EnrollData2324,'2324 Jun 24 Enroll'!I$1,FALSE)+VLOOKUP($A239,EnrollData2324,'2324 Jun 24 Enroll'!M$1,FALSE)-VLOOKUP($A239,EnrollData2324,'2324 Jun 24 Enroll'!J$1,FALSE),'District Calculations'!$B$16+'District Calculations'!$B$25-'District Calculations'!$B$17)*Apport_216A2324,3)</f>
        <v>58.183999999999997</v>
      </c>
      <c r="J239">
        <f>ROUND(SUM(D239:I239)/(IF(VLOOKUP($A239,EnrollData2324,'2324 Jun 24 Enroll'!M$1,FALSE)='District Calculations'!$B$25,VLOOKUP($A239,EnrollData2324,'2324 Jun 24 Enroll'!M$1,FALSE),'District Calculations'!$B$25)+IF(VLOOKUP($A239,EnrollData2324,'2324 Jun 24 Enroll'!D$1,FALSE)='District Calculations'!$B$11,VLOOKUP($A239,EnrollData2324,'2324 Jun 24 Enroll'!D$1,FALSE),'District Calculations'!$B$11)),5)</f>
        <v>5.5530000000000003E-2</v>
      </c>
      <c r="K239" s="11">
        <f t="shared" si="65"/>
        <v>4.365E-3</v>
      </c>
      <c r="L239">
        <f>ROUND(IF(VLOOKUP($A239,EnrollData2324,'2324 Jun 24 Enroll'!D$1,FALSE)='District Calculations'!$B$11,VLOOKUP($A239,EnrollData2324,'2324 Jun 24 Enroll'!D$1,FALSE),'District Calculations'!$B$11)*K239,3)</f>
        <v>0</v>
      </c>
      <c r="M239">
        <f>ROUND(IF(VLOOKUP($A239,EnrollData2324,'2324 Jun 24 Enroll'!E$1,FALSE)='District Calculations'!$B$12,VLOOKUP($A239,EnrollData2324,'2324 Jun 24 Enroll'!E$1,FALSE),'District Calculations'!$B$12)*K239,3)</f>
        <v>3.5379999999999998</v>
      </c>
      <c r="N239">
        <f>ROUND(IF(VLOOKUP($A239,EnrollData2324,'2324 Jun 24 Enroll'!F$1,FALSE)='District Calculations'!$B$13,VLOOKUP($A239,EnrollData2324,'2324 Jun 24 Enroll'!F$1,FALSE),'District Calculations'!$B$13)*Apport_223A2324,3)</f>
        <v>0.84199999999999997</v>
      </c>
      <c r="O239">
        <f>ROUND(IF(VLOOKUP($A239,EnrollData2324,'2324 Jun 24 Enroll'!G$1,FALSE)='District Calculations'!$B$14,VLOOKUP($A239,EnrollData2324,'2324 Jun 24 Enroll'!G$1,FALSE),'District Calculations'!$B$14)*Apport_211A2324,3)</f>
        <v>1.867</v>
      </c>
      <c r="P239">
        <f>ROUND(IF(VLOOKUP($A239,EnrollData2324,'2324 Jun 24 Enroll'!H$1,FALSE)='District Calculations'!$B$14,VLOOKUP($A239,EnrollData2324,'2324 Jun 24 Enroll'!H$1,FALSE),'District Calculations'!$B$14)*Apport_214A2324,3)</f>
        <v>1.8660000000000001</v>
      </c>
      <c r="Q239">
        <f>ROUND(IF(VLOOKUP($A239,EnrollData2324,'2324 Jun 24 Enroll'!I$1,FALSE)+VLOOKUP($A239,EnrollData2324,'2324 Jun 24 Enroll'!M$1,FALSE)-VLOOKUP($A239,EnrollData2324,'2324 Jun 24 Enroll'!J$1,FALSE)='District Calculations'!$B$16+'District Calculations'!$B$25-'District Calculations'!$B$17,VLOOKUP($A239,EnrollData2324,'2324 Jun 24 Enroll'!I$1,FALSE)+VLOOKUP($A239,EnrollData2324,'2324 Jun 24 Enroll'!M$1,FALSE)-VLOOKUP($A239,EnrollData2324,'2324 Jun 24 Enroll'!J$1,FALSE),'District Calculations'!$B$16+'District Calculations'!$B$25-'District Calculations'!$B$17)*Apport_217A2324,3)</f>
        <v>4.6980000000000004</v>
      </c>
      <c r="R239">
        <f>ROUND(SUM(L239:Q239)/IF(VLOOKUP($A239,EnrollData2324,'2324 Jun 24 Enroll'!M$1,FALSE)+VLOOKUP($A239,EnrollData2324,'2324 Jun 24 Enroll'!D$1,FALSE)='District Calculations'!$B$25+'District Calculations'!$B$11,VLOOKUP($A239,EnrollData2324,'2324 Jun 24 Enroll'!M$1,FALSE)+VLOOKUP($A239,EnrollData2324,'2324 Jun 24 Enroll'!D$1,FALSE),'District Calculations'!$B$25+'District Calculations'!$B$11),5)</f>
        <v>4.1000000000000003E-3</v>
      </c>
      <c r="S239" s="11">
        <f t="shared" si="66"/>
        <v>1.8294500000000002E-2</v>
      </c>
      <c r="T239">
        <f>ROUND(IF(VLOOKUP($A239,EnrollData2324,'2324 Jun 24 Enroll'!D$1,FALSE)='District Calculations'!$B$11,VLOOKUP($A239,EnrollData2324,'2324 Jun 24 Enroll'!D$1,FALSE),'District Calculations'!$B$11)*S239,3)</f>
        <v>0</v>
      </c>
      <c r="U239">
        <f>ROUND(IF(VLOOKUP($A239,EnrollData2324,'2324 Jun 24 Enroll'!E$1,FALSE)='District Calculations'!$B$12,VLOOKUP($A239,EnrollData2324,'2324 Jun 24 Enroll'!E$1,FALSE),'District Calculations'!$B$12)*S239,3)</f>
        <v>14.827999999999999</v>
      </c>
      <c r="V239">
        <f>ROUND(IF(VLOOKUP($A239,EnrollData2324,'2324 Jun 24 Enroll'!F$1,FALSE)='District Calculations'!$B$13,VLOOKUP($A239,EnrollData2324,'2324 Jun 24 Enroll'!F$1,FALSE),'District Calculations'!$B$13)*Apport_224A2324,3)</f>
        <v>3.6190000000000002</v>
      </c>
      <c r="W239">
        <f>ROUND(IF(VLOOKUP($A239,EnrollData2324,'2324 Jun 24 Enroll'!G$1,FALSE)='District Calculations'!$B$14,VLOOKUP($A239,EnrollData2324,'2324 Jun 24 Enroll'!G$1,FALSE),'District Calculations'!$B$14)*Apport_212A2324,3)</f>
        <v>8.0239999999999991</v>
      </c>
      <c r="X239">
        <f>ROUND(IF(VLOOKUP($A239,EnrollData2324,'2324 Jun 24 Enroll'!H$1,FALSE)='District Calculations'!$B$14,VLOOKUP($A239,EnrollData2324,'2324 Jun 24 Enroll'!H$1,FALSE),'District Calculations'!$B$14)*Apport_215A2324,3)</f>
        <v>7.9279999999999999</v>
      </c>
      <c r="Y239">
        <f>ROUND(IF(VLOOKUP($A239,EnrollData2324,'2324 Jun 24 Enroll'!I$1,FALSE)+VLOOKUP($A239,EnrollData2324,'2324 Jun 24 Enroll'!M$1,FALSE)-VLOOKUP($A239,EnrollData2324,'2324 Jun 24 Enroll'!J$1,FALSE)='District Calculations'!$B$16+'District Calculations'!$B$25-'District Calculations'!$B$17,VLOOKUP($A239,EnrollData2324,'2324 Jun 24 Enroll'!I$1,FALSE)+VLOOKUP($A239,EnrollData2324,'2324 Jun 24 Enroll'!M$1,FALSE)-VLOOKUP($A239,EnrollData2324,'2324 Jun 24 Enroll'!J$1,FALSE),'District Calculations'!$B$16+'District Calculations'!$B$25-'District Calculations'!$B$17)*Apport_218A2324,3)</f>
        <v>19.917999999999999</v>
      </c>
      <c r="Z239">
        <f>ROUND(SUM(T239:Y239)/IF(VLOOKUP($A239,EnrollData2324,'2324 Jun 24 Enroll'!M$1,FALSE)+VLOOKUP($A239,EnrollData2324,'2324 Jun 24 Enroll'!D$1,FALSE)='District Calculations'!$B$25+'District Calculations'!$B$11,VLOOKUP($A239,EnrollData2324,'2324 Jun 24 Enroll'!M$1,FALSE)+VLOOKUP($A239,EnrollData2324,'2324 Jun 24 Enroll'!D$1,FALSE),'District Calculations'!$B$25+'District Calculations'!$B$11),5)</f>
        <v>1.7399999999999999E-2</v>
      </c>
      <c r="AA239" s="6">
        <f>ROUND($J239*CIS_Base_Salary2324*VLOOKUP($A239,EnrollData2324,'2324 Jun 24 Enroll'!S$1,FALSE),2)</f>
        <v>4583.79</v>
      </c>
      <c r="AB239" s="6">
        <f>ROUND($J239*CIS_Inc_Salary2324*(VLOOKUP($A239,EnrollData2324,'2324 Jun 24 Enroll'!T$1,FALSE)+VLOOKUP($A239,EnrollData2324,'2324 Jun 24 Enroll'!U$1,FALSE)),2)-AA239</f>
        <v>169.60999999999967</v>
      </c>
      <c r="AC239" s="6">
        <f>ROUND($R239*CAS_Base_Salary2324*VLOOKUP($A239,EnrollData2324,'2324 Jun 24 Enroll'!S$1,FALSE),2)</f>
        <v>502.37</v>
      </c>
      <c r="AD239" s="6">
        <f>ROUND($R239*CAS_Inc_Salary2324*VLOOKUP($A239,EnrollData2324,'2324 Jun 24 Enroll'!T$1,FALSE),2)-AC239</f>
        <v>18.590000000000032</v>
      </c>
      <c r="AE239" s="6">
        <f>ROUND($Z239*CLS_Base_Salary2324*VLOOKUP($A239,EnrollData2324,'2324 Jun 24 Enroll'!S$1,FALSE),2)</f>
        <v>1030.3599999999999</v>
      </c>
      <c r="AF239" s="6">
        <f>ROUND($Z239*CLS_Inc_Salary2324*VLOOKUP($A239,EnrollData2324,'2324 Jun 24 Enroll'!T$1,FALSE),2)-AE239</f>
        <v>38.120000000000118</v>
      </c>
      <c r="AG239">
        <f t="shared" si="63"/>
        <v>734.16</v>
      </c>
      <c r="AH239" s="69">
        <f t="shared" si="67"/>
        <v>68.700000000000045</v>
      </c>
      <c r="AI239">
        <f t="shared" si="64"/>
        <v>214.23</v>
      </c>
      <c r="AJ239">
        <f t="shared" si="68"/>
        <v>114.21000000000001</v>
      </c>
      <c r="AK239">
        <f t="shared" si="69"/>
        <v>913.98</v>
      </c>
      <c r="AL239">
        <f t="shared" si="70"/>
        <v>32.619999999999997</v>
      </c>
      <c r="AM239">
        <f t="shared" si="71"/>
        <v>227.3</v>
      </c>
      <c r="AN239">
        <f t="shared" si="72"/>
        <v>7.08</v>
      </c>
      <c r="AO239">
        <f>ROUND(($J239*CIS_Inc_Salary2324*(VLOOKUP($A239,EnrollData2324,'2324 Jun 24 Enroll'!T$1,FALSE)+VLOOKUP($A239,EnrollData2324,'2324 Jun 24 Enroll'!U$1,FALSE))/Apport_613Xpd)*Apport_614Xpd,2)</f>
        <v>79.22</v>
      </c>
      <c r="AP239">
        <f t="shared" si="73"/>
        <v>13.73</v>
      </c>
      <c r="AQ239">
        <f t="shared" si="74"/>
        <v>30.93</v>
      </c>
      <c r="AR239" s="6">
        <f>ROUND((VLOOKUP($A239,EnrollData2324,'2324 Jun 24 Enroll'!D$1,FALSE)*Apport_M802324+VLOOKUP($A239,EnrollData2324,'2324 Jun 24 Enroll'!M$1,FALSE)*Apport_M802324+(VLOOKUP($A239,EnrollData2324,'2324 Jun 24 Enroll'!P$1,FALSE)+VLOOKUP($A239,EnrollData2324,'2324 Jun 24 Enroll'!Q$1,FALSE)+VLOOKUP($A239,EnrollData2324,'2324 Jun 24 Enroll'!R$1,FALSE)+VLOOKUP($A239,EnrollData2324,'2324 Jun 24 Enroll'!I$1,FALSE)+VLOOKUP($A239,EnrollData2324,'2324 Jun 24 Enroll'!N$1,FALSE)+VLOOKUP($A239,EnrollData2324,'2324 Jun 24 Enroll'!O$1,FALSE)+VLOOKUP($A239,EnrollData2324,'2324 Jun 24 Enroll'!K$1,FALSE)+VLOOKUP($A239,EnrollData2324,'2324 Jun 24 Enroll'!L$1,FALSE))*Apport_M812324)/(VLOOKUP($A239,EnrollData2324,'2324 Jun 24 Enroll'!M$1,FALSE)+VLOOKUP($A239,EnrollData2324,'2324 Jun 24 Enroll'!D$1,FALSE)),2)</f>
        <v>1544.52</v>
      </c>
      <c r="AS239" s="7">
        <f t="shared" si="75"/>
        <v>10323.519999999999</v>
      </c>
    </row>
    <row r="240" spans="1:45">
      <c r="A240" s="40" t="s">
        <v>801</v>
      </c>
      <c r="B240" s="40" t="s">
        <v>802</v>
      </c>
      <c r="C240" s="11">
        <f>ROUND((IFERROR((1/IF(VLOOKUP($A240,EnrollData2324,28,FALSE)='District Calculations'!$B$10,VLOOKUP($A240,EnrollData2324,28,FALSE),'District Calculations'!$B$10))*(1+Apport_Z315),0))+Apport_201A2324,6)</f>
        <v>7.3449E-2</v>
      </c>
      <c r="D240">
        <f>ROUND(IF(VLOOKUP($A240,EnrollData2324,'2324 Jun 24 Enroll'!D$1,FALSE)='District Calculations'!$B$11,VLOOKUP($A240,EnrollData2324,'2324 Jun 24 Enroll'!D$1,FALSE),'District Calculations'!$B$11)*C240,3)</f>
        <v>0</v>
      </c>
      <c r="E240">
        <f>ROUND(IF(VLOOKUP($A240,EnrollData2324,'2324 Jun 24 Enroll'!E$1,FALSE)='District Calculations'!$B$12,VLOOKUP($A240,EnrollData2324,'2324 Jun 24 Enroll'!E$1,FALSE),'District Calculations'!$B$12)*C240,3)</f>
        <v>59.53</v>
      </c>
      <c r="F240">
        <f>ROUND(IF(VLOOKUP($A240,EnrollData2324,'2324 Jun 24 Enroll'!F$1,FALSE)='District Calculations'!$B$13,VLOOKUP($A240,EnrollData2324,'2324 Jun 24 Enroll'!F$1,FALSE),'District Calculations'!$B$13)*Apport_222A2324,3)</f>
        <v>10.101000000000001</v>
      </c>
      <c r="G240">
        <f>ROUND(IF(VLOOKUP($A240,EnrollData2324,'2324 Jun 24 Enroll'!G$1,FALSE)='District Calculations'!$B$14,VLOOKUP($A240,EnrollData2324,'2324 Jun 24 Enroll'!G$1,FALSE),'District Calculations'!$B$14)*Apport_210A2324,3)</f>
        <v>22.395</v>
      </c>
      <c r="H240">
        <f>ROUND(IF(VLOOKUP($A240,EnrollData2324,'2324 Jun 24 Enroll'!H$1,FALSE)='District Calculations'!$B$15,VLOOKUP($A240,EnrollData2324,'2324 Jun 24 Enroll'!H$1,FALSE),'District Calculations'!$B$15)*Apport_213A2324,3)</f>
        <v>23.091999999999999</v>
      </c>
      <c r="I240">
        <f>ROUND(IF(VLOOKUP($A240,EnrollData2324,'2324 Jun 24 Enroll'!I$1,FALSE)+VLOOKUP($A240,EnrollData2324,'2324 Jun 24 Enroll'!M$1,FALSE)-VLOOKUP($A240,EnrollData2324,'2324 Jun 24 Enroll'!J$1,FALSE)='District Calculations'!$B$16+'District Calculations'!$B$25-'District Calculations'!$B$17,VLOOKUP($A240,EnrollData2324,'2324 Jun 24 Enroll'!I$1,FALSE)+VLOOKUP($A240,EnrollData2324,'2324 Jun 24 Enroll'!M$1,FALSE)-VLOOKUP($A240,EnrollData2324,'2324 Jun 24 Enroll'!J$1,FALSE),'District Calculations'!$B$16+'District Calculations'!$B$25-'District Calculations'!$B$17)*Apport_216A2324,3)</f>
        <v>58.183999999999997</v>
      </c>
      <c r="J240">
        <f>ROUND(SUM(D240:I240)/(IF(VLOOKUP($A240,EnrollData2324,'2324 Jun 24 Enroll'!M$1,FALSE)='District Calculations'!$B$25,VLOOKUP($A240,EnrollData2324,'2324 Jun 24 Enroll'!M$1,FALSE),'District Calculations'!$B$25)+IF(VLOOKUP($A240,EnrollData2324,'2324 Jun 24 Enroll'!D$1,FALSE)='District Calculations'!$B$11,VLOOKUP($A240,EnrollData2324,'2324 Jun 24 Enroll'!D$1,FALSE),'District Calculations'!$B$11)),5)</f>
        <v>5.5530000000000003E-2</v>
      </c>
      <c r="K240" s="11">
        <f t="shared" si="65"/>
        <v>4.365E-3</v>
      </c>
      <c r="L240">
        <f>ROUND(IF(VLOOKUP($A240,EnrollData2324,'2324 Jun 24 Enroll'!D$1,FALSE)='District Calculations'!$B$11,VLOOKUP($A240,EnrollData2324,'2324 Jun 24 Enroll'!D$1,FALSE),'District Calculations'!$B$11)*K240,3)</f>
        <v>0</v>
      </c>
      <c r="M240">
        <f>ROUND(IF(VLOOKUP($A240,EnrollData2324,'2324 Jun 24 Enroll'!E$1,FALSE)='District Calculations'!$B$12,VLOOKUP($A240,EnrollData2324,'2324 Jun 24 Enroll'!E$1,FALSE),'District Calculations'!$B$12)*K240,3)</f>
        <v>3.5379999999999998</v>
      </c>
      <c r="N240">
        <f>ROUND(IF(VLOOKUP($A240,EnrollData2324,'2324 Jun 24 Enroll'!F$1,FALSE)='District Calculations'!$B$13,VLOOKUP($A240,EnrollData2324,'2324 Jun 24 Enroll'!F$1,FALSE),'District Calculations'!$B$13)*Apport_223A2324,3)</f>
        <v>0.84199999999999997</v>
      </c>
      <c r="O240">
        <f>ROUND(IF(VLOOKUP($A240,EnrollData2324,'2324 Jun 24 Enroll'!G$1,FALSE)='District Calculations'!$B$14,VLOOKUP($A240,EnrollData2324,'2324 Jun 24 Enroll'!G$1,FALSE),'District Calculations'!$B$14)*Apport_211A2324,3)</f>
        <v>1.867</v>
      </c>
      <c r="P240">
        <f>ROUND(IF(VLOOKUP($A240,EnrollData2324,'2324 Jun 24 Enroll'!H$1,FALSE)='District Calculations'!$B$14,VLOOKUP($A240,EnrollData2324,'2324 Jun 24 Enroll'!H$1,FALSE),'District Calculations'!$B$14)*Apport_214A2324,3)</f>
        <v>1.8660000000000001</v>
      </c>
      <c r="Q240">
        <f>ROUND(IF(VLOOKUP($A240,EnrollData2324,'2324 Jun 24 Enroll'!I$1,FALSE)+VLOOKUP($A240,EnrollData2324,'2324 Jun 24 Enroll'!M$1,FALSE)-VLOOKUP($A240,EnrollData2324,'2324 Jun 24 Enroll'!J$1,FALSE)='District Calculations'!$B$16+'District Calculations'!$B$25-'District Calculations'!$B$17,VLOOKUP($A240,EnrollData2324,'2324 Jun 24 Enroll'!I$1,FALSE)+VLOOKUP($A240,EnrollData2324,'2324 Jun 24 Enroll'!M$1,FALSE)-VLOOKUP($A240,EnrollData2324,'2324 Jun 24 Enroll'!J$1,FALSE),'District Calculations'!$B$16+'District Calculations'!$B$25-'District Calculations'!$B$17)*Apport_217A2324,3)</f>
        <v>4.6980000000000004</v>
      </c>
      <c r="R240">
        <f>ROUND(SUM(L240:Q240)/IF(VLOOKUP($A240,EnrollData2324,'2324 Jun 24 Enroll'!M$1,FALSE)+VLOOKUP($A240,EnrollData2324,'2324 Jun 24 Enroll'!D$1,FALSE)='District Calculations'!$B$25+'District Calculations'!$B$11,VLOOKUP($A240,EnrollData2324,'2324 Jun 24 Enroll'!M$1,FALSE)+VLOOKUP($A240,EnrollData2324,'2324 Jun 24 Enroll'!D$1,FALSE),'District Calculations'!$B$25+'District Calculations'!$B$11),5)</f>
        <v>4.1000000000000003E-3</v>
      </c>
      <c r="S240" s="11">
        <f t="shared" si="66"/>
        <v>1.8294500000000002E-2</v>
      </c>
      <c r="T240">
        <f>ROUND(IF(VLOOKUP($A240,EnrollData2324,'2324 Jun 24 Enroll'!D$1,FALSE)='District Calculations'!$B$11,VLOOKUP($A240,EnrollData2324,'2324 Jun 24 Enroll'!D$1,FALSE),'District Calculations'!$B$11)*S240,3)</f>
        <v>0</v>
      </c>
      <c r="U240">
        <f>ROUND(IF(VLOOKUP($A240,EnrollData2324,'2324 Jun 24 Enroll'!E$1,FALSE)='District Calculations'!$B$12,VLOOKUP($A240,EnrollData2324,'2324 Jun 24 Enroll'!E$1,FALSE),'District Calculations'!$B$12)*S240,3)</f>
        <v>14.827999999999999</v>
      </c>
      <c r="V240">
        <f>ROUND(IF(VLOOKUP($A240,EnrollData2324,'2324 Jun 24 Enroll'!F$1,FALSE)='District Calculations'!$B$13,VLOOKUP($A240,EnrollData2324,'2324 Jun 24 Enroll'!F$1,FALSE),'District Calculations'!$B$13)*Apport_224A2324,3)</f>
        <v>3.6190000000000002</v>
      </c>
      <c r="W240">
        <f>ROUND(IF(VLOOKUP($A240,EnrollData2324,'2324 Jun 24 Enroll'!G$1,FALSE)='District Calculations'!$B$14,VLOOKUP($A240,EnrollData2324,'2324 Jun 24 Enroll'!G$1,FALSE),'District Calculations'!$B$14)*Apport_212A2324,3)</f>
        <v>8.0239999999999991</v>
      </c>
      <c r="X240">
        <f>ROUND(IF(VLOOKUP($A240,EnrollData2324,'2324 Jun 24 Enroll'!H$1,FALSE)='District Calculations'!$B$14,VLOOKUP($A240,EnrollData2324,'2324 Jun 24 Enroll'!H$1,FALSE),'District Calculations'!$B$14)*Apport_215A2324,3)</f>
        <v>7.9279999999999999</v>
      </c>
      <c r="Y240">
        <f>ROUND(IF(VLOOKUP($A240,EnrollData2324,'2324 Jun 24 Enroll'!I$1,FALSE)+VLOOKUP($A240,EnrollData2324,'2324 Jun 24 Enroll'!M$1,FALSE)-VLOOKUP($A240,EnrollData2324,'2324 Jun 24 Enroll'!J$1,FALSE)='District Calculations'!$B$16+'District Calculations'!$B$25-'District Calculations'!$B$17,VLOOKUP($A240,EnrollData2324,'2324 Jun 24 Enroll'!I$1,FALSE)+VLOOKUP($A240,EnrollData2324,'2324 Jun 24 Enroll'!M$1,FALSE)-VLOOKUP($A240,EnrollData2324,'2324 Jun 24 Enroll'!J$1,FALSE),'District Calculations'!$B$16+'District Calculations'!$B$25-'District Calculations'!$B$17)*Apport_218A2324,3)</f>
        <v>19.917999999999999</v>
      </c>
      <c r="Z240">
        <f>ROUND(SUM(T240:Y240)/IF(VLOOKUP($A240,EnrollData2324,'2324 Jun 24 Enroll'!M$1,FALSE)+VLOOKUP($A240,EnrollData2324,'2324 Jun 24 Enroll'!D$1,FALSE)='District Calculations'!$B$25+'District Calculations'!$B$11,VLOOKUP($A240,EnrollData2324,'2324 Jun 24 Enroll'!M$1,FALSE)+VLOOKUP($A240,EnrollData2324,'2324 Jun 24 Enroll'!D$1,FALSE),'District Calculations'!$B$25+'District Calculations'!$B$11),5)</f>
        <v>1.7399999999999999E-2</v>
      </c>
      <c r="AA240" s="6">
        <f>ROUND($J240*CIS_Base_Salary2324*VLOOKUP($A240,EnrollData2324,'2324 Jun 24 Enroll'!S$1,FALSE),2)</f>
        <v>4765.53</v>
      </c>
      <c r="AB240" s="6">
        <f>ROUND($J240*CIS_Inc_Salary2324*(VLOOKUP($A240,EnrollData2324,'2324 Jun 24 Enroll'!T$1,FALSE)+VLOOKUP($A240,EnrollData2324,'2324 Jun 24 Enroll'!U$1,FALSE)),2)-AA240</f>
        <v>176.32999999999993</v>
      </c>
      <c r="AC240" s="6">
        <f>ROUND($R240*CAS_Base_Salary2324*VLOOKUP($A240,EnrollData2324,'2324 Jun 24 Enroll'!S$1,FALSE),2)</f>
        <v>522.29</v>
      </c>
      <c r="AD240" s="6">
        <f>ROUND($R240*CAS_Inc_Salary2324*VLOOKUP($A240,EnrollData2324,'2324 Jun 24 Enroll'!T$1,FALSE),2)-AC240</f>
        <v>19.32000000000005</v>
      </c>
      <c r="AE240" s="6">
        <f>ROUND($Z240*CLS_Base_Salary2324*VLOOKUP($A240,EnrollData2324,'2324 Jun 24 Enroll'!S$1,FALSE),2)</f>
        <v>1071.22</v>
      </c>
      <c r="AF240" s="6">
        <f>ROUND($Z240*CLS_Inc_Salary2324*VLOOKUP($A240,EnrollData2324,'2324 Jun 24 Enroll'!T$1,FALSE),2)-AE240</f>
        <v>39.619999999999891</v>
      </c>
      <c r="AG240">
        <f t="shared" si="63"/>
        <v>734.16</v>
      </c>
      <c r="AH240" s="69">
        <f t="shared" si="67"/>
        <v>68.700000000000045</v>
      </c>
      <c r="AI240">
        <f t="shared" si="64"/>
        <v>214.23</v>
      </c>
      <c r="AJ240">
        <f t="shared" si="68"/>
        <v>114.21000000000001</v>
      </c>
      <c r="AK240">
        <f t="shared" si="69"/>
        <v>950.22</v>
      </c>
      <c r="AL240">
        <f t="shared" si="70"/>
        <v>33.909999999999997</v>
      </c>
      <c r="AM240">
        <f t="shared" si="71"/>
        <v>236.31</v>
      </c>
      <c r="AN240">
        <f t="shared" si="72"/>
        <v>7.35</v>
      </c>
      <c r="AO240">
        <f>ROUND(($J240*CIS_Inc_Salary2324*(VLOOKUP($A240,EnrollData2324,'2324 Jun 24 Enroll'!T$1,FALSE)+VLOOKUP($A240,EnrollData2324,'2324 Jun 24 Enroll'!U$1,FALSE))/Apport_613Xpd)*Apport_614Xpd,2)</f>
        <v>82.36</v>
      </c>
      <c r="AP240">
        <f t="shared" si="73"/>
        <v>14.27</v>
      </c>
      <c r="AQ240">
        <f t="shared" si="74"/>
        <v>30.93</v>
      </c>
      <c r="AR240" s="6">
        <f>ROUND((VLOOKUP($A240,EnrollData2324,'2324 Jun 24 Enroll'!D$1,FALSE)*Apport_M802324+VLOOKUP($A240,EnrollData2324,'2324 Jun 24 Enroll'!M$1,FALSE)*Apport_M802324+(VLOOKUP($A240,EnrollData2324,'2324 Jun 24 Enroll'!P$1,FALSE)+VLOOKUP($A240,EnrollData2324,'2324 Jun 24 Enroll'!Q$1,FALSE)+VLOOKUP($A240,EnrollData2324,'2324 Jun 24 Enroll'!R$1,FALSE)+VLOOKUP($A240,EnrollData2324,'2324 Jun 24 Enroll'!I$1,FALSE)+VLOOKUP($A240,EnrollData2324,'2324 Jun 24 Enroll'!N$1,FALSE)+VLOOKUP($A240,EnrollData2324,'2324 Jun 24 Enroll'!O$1,FALSE)+VLOOKUP($A240,EnrollData2324,'2324 Jun 24 Enroll'!K$1,FALSE)+VLOOKUP($A240,EnrollData2324,'2324 Jun 24 Enroll'!L$1,FALSE))*Apport_M812324)/(VLOOKUP($A240,EnrollData2324,'2324 Jun 24 Enroll'!M$1,FALSE)+VLOOKUP($A240,EnrollData2324,'2324 Jun 24 Enroll'!D$1,FALSE)),2)</f>
        <v>1546.51</v>
      </c>
      <c r="AS240" s="7">
        <f t="shared" si="75"/>
        <v>10627.47</v>
      </c>
    </row>
    <row r="241" spans="1:45">
      <c r="A241" s="40" t="s">
        <v>422</v>
      </c>
      <c r="B241" s="40" t="s">
        <v>423</v>
      </c>
      <c r="C241" s="11">
        <f>ROUND((IFERROR((1/IF(VLOOKUP($A241,EnrollData2324,28,FALSE)='District Calculations'!$B$10,VLOOKUP($A241,EnrollData2324,28,FALSE),'District Calculations'!$B$10))*(1+Apport_Z315),0))+Apport_201A2324,6)</f>
        <v>7.3449E-2</v>
      </c>
      <c r="D241">
        <f>ROUND(IF(VLOOKUP($A241,EnrollData2324,'2324 Jun 24 Enroll'!D$1,FALSE)='District Calculations'!$B$11,VLOOKUP($A241,EnrollData2324,'2324 Jun 24 Enroll'!D$1,FALSE),'District Calculations'!$B$11)*C241,3)</f>
        <v>0</v>
      </c>
      <c r="E241">
        <f>ROUND(IF(VLOOKUP($A241,EnrollData2324,'2324 Jun 24 Enroll'!E$1,FALSE)='District Calculations'!$B$12,VLOOKUP($A241,EnrollData2324,'2324 Jun 24 Enroll'!E$1,FALSE),'District Calculations'!$B$12)*C241,3)</f>
        <v>59.53</v>
      </c>
      <c r="F241">
        <f>ROUND(IF(VLOOKUP($A241,EnrollData2324,'2324 Jun 24 Enroll'!F$1,FALSE)='District Calculations'!$B$13,VLOOKUP($A241,EnrollData2324,'2324 Jun 24 Enroll'!F$1,FALSE),'District Calculations'!$B$13)*Apport_222A2324,3)</f>
        <v>10.101000000000001</v>
      </c>
      <c r="G241">
        <f>ROUND(IF(VLOOKUP($A241,EnrollData2324,'2324 Jun 24 Enroll'!G$1,FALSE)='District Calculations'!$B$14,VLOOKUP($A241,EnrollData2324,'2324 Jun 24 Enroll'!G$1,FALSE),'District Calculations'!$B$14)*Apport_210A2324,3)</f>
        <v>22.395</v>
      </c>
      <c r="H241">
        <f>ROUND(IF(VLOOKUP($A241,EnrollData2324,'2324 Jun 24 Enroll'!H$1,FALSE)='District Calculations'!$B$15,VLOOKUP($A241,EnrollData2324,'2324 Jun 24 Enroll'!H$1,FALSE),'District Calculations'!$B$15)*Apport_213A2324,3)</f>
        <v>23.091999999999999</v>
      </c>
      <c r="I241">
        <f>ROUND(IF(VLOOKUP($A241,EnrollData2324,'2324 Jun 24 Enroll'!I$1,FALSE)+VLOOKUP($A241,EnrollData2324,'2324 Jun 24 Enroll'!M$1,FALSE)-VLOOKUP($A241,EnrollData2324,'2324 Jun 24 Enroll'!J$1,FALSE)='District Calculations'!$B$16+'District Calculations'!$B$25-'District Calculations'!$B$17,VLOOKUP($A241,EnrollData2324,'2324 Jun 24 Enroll'!I$1,FALSE)+VLOOKUP($A241,EnrollData2324,'2324 Jun 24 Enroll'!M$1,FALSE)-VLOOKUP($A241,EnrollData2324,'2324 Jun 24 Enroll'!J$1,FALSE),'District Calculations'!$B$16+'District Calculations'!$B$25-'District Calculations'!$B$17)*Apport_216A2324,3)</f>
        <v>58.183999999999997</v>
      </c>
      <c r="J241">
        <f>ROUND(SUM(D241:I241)/(IF(VLOOKUP($A241,EnrollData2324,'2324 Jun 24 Enroll'!M$1,FALSE)='District Calculations'!$B$25,VLOOKUP($A241,EnrollData2324,'2324 Jun 24 Enroll'!M$1,FALSE),'District Calculations'!$B$25)+IF(VLOOKUP($A241,EnrollData2324,'2324 Jun 24 Enroll'!D$1,FALSE)='District Calculations'!$B$11,VLOOKUP($A241,EnrollData2324,'2324 Jun 24 Enroll'!D$1,FALSE),'District Calculations'!$B$11)),5)</f>
        <v>5.5530000000000003E-2</v>
      </c>
      <c r="K241" s="11">
        <f t="shared" si="65"/>
        <v>4.365E-3</v>
      </c>
      <c r="L241">
        <f>ROUND(IF(VLOOKUP($A241,EnrollData2324,'2324 Jun 24 Enroll'!D$1,FALSE)='District Calculations'!$B$11,VLOOKUP($A241,EnrollData2324,'2324 Jun 24 Enroll'!D$1,FALSE),'District Calculations'!$B$11)*K241,3)</f>
        <v>0</v>
      </c>
      <c r="M241">
        <f>ROUND(IF(VLOOKUP($A241,EnrollData2324,'2324 Jun 24 Enroll'!E$1,FALSE)='District Calculations'!$B$12,VLOOKUP($A241,EnrollData2324,'2324 Jun 24 Enroll'!E$1,FALSE),'District Calculations'!$B$12)*K241,3)</f>
        <v>3.5379999999999998</v>
      </c>
      <c r="N241">
        <f>ROUND(IF(VLOOKUP($A241,EnrollData2324,'2324 Jun 24 Enroll'!F$1,FALSE)='District Calculations'!$B$13,VLOOKUP($A241,EnrollData2324,'2324 Jun 24 Enroll'!F$1,FALSE),'District Calculations'!$B$13)*Apport_223A2324,3)</f>
        <v>0.84199999999999997</v>
      </c>
      <c r="O241">
        <f>ROUND(IF(VLOOKUP($A241,EnrollData2324,'2324 Jun 24 Enroll'!G$1,FALSE)='District Calculations'!$B$14,VLOOKUP($A241,EnrollData2324,'2324 Jun 24 Enroll'!G$1,FALSE),'District Calculations'!$B$14)*Apport_211A2324,3)</f>
        <v>1.867</v>
      </c>
      <c r="P241">
        <f>ROUND(IF(VLOOKUP($A241,EnrollData2324,'2324 Jun 24 Enroll'!H$1,FALSE)='District Calculations'!$B$14,VLOOKUP($A241,EnrollData2324,'2324 Jun 24 Enroll'!H$1,FALSE),'District Calculations'!$B$14)*Apport_214A2324,3)</f>
        <v>1.8660000000000001</v>
      </c>
      <c r="Q241">
        <f>ROUND(IF(VLOOKUP($A241,EnrollData2324,'2324 Jun 24 Enroll'!I$1,FALSE)+VLOOKUP($A241,EnrollData2324,'2324 Jun 24 Enroll'!M$1,FALSE)-VLOOKUP($A241,EnrollData2324,'2324 Jun 24 Enroll'!J$1,FALSE)='District Calculations'!$B$16+'District Calculations'!$B$25-'District Calculations'!$B$17,VLOOKUP($A241,EnrollData2324,'2324 Jun 24 Enroll'!I$1,FALSE)+VLOOKUP($A241,EnrollData2324,'2324 Jun 24 Enroll'!M$1,FALSE)-VLOOKUP($A241,EnrollData2324,'2324 Jun 24 Enroll'!J$1,FALSE),'District Calculations'!$B$16+'District Calculations'!$B$25-'District Calculations'!$B$17)*Apport_217A2324,3)</f>
        <v>4.6980000000000004</v>
      </c>
      <c r="R241">
        <f>ROUND(SUM(L241:Q241)/IF(VLOOKUP($A241,EnrollData2324,'2324 Jun 24 Enroll'!M$1,FALSE)+VLOOKUP($A241,EnrollData2324,'2324 Jun 24 Enroll'!D$1,FALSE)='District Calculations'!$B$25+'District Calculations'!$B$11,VLOOKUP($A241,EnrollData2324,'2324 Jun 24 Enroll'!M$1,FALSE)+VLOOKUP($A241,EnrollData2324,'2324 Jun 24 Enroll'!D$1,FALSE),'District Calculations'!$B$25+'District Calculations'!$B$11),5)</f>
        <v>4.1000000000000003E-3</v>
      </c>
      <c r="S241" s="11">
        <f t="shared" si="66"/>
        <v>1.8294500000000002E-2</v>
      </c>
      <c r="T241">
        <f>ROUND(IF(VLOOKUP($A241,EnrollData2324,'2324 Jun 24 Enroll'!D$1,FALSE)='District Calculations'!$B$11,VLOOKUP($A241,EnrollData2324,'2324 Jun 24 Enroll'!D$1,FALSE),'District Calculations'!$B$11)*S241,3)</f>
        <v>0</v>
      </c>
      <c r="U241">
        <f>ROUND(IF(VLOOKUP($A241,EnrollData2324,'2324 Jun 24 Enroll'!E$1,FALSE)='District Calculations'!$B$12,VLOOKUP($A241,EnrollData2324,'2324 Jun 24 Enroll'!E$1,FALSE),'District Calculations'!$B$12)*S241,3)</f>
        <v>14.827999999999999</v>
      </c>
      <c r="V241">
        <f>ROUND(IF(VLOOKUP($A241,EnrollData2324,'2324 Jun 24 Enroll'!F$1,FALSE)='District Calculations'!$B$13,VLOOKUP($A241,EnrollData2324,'2324 Jun 24 Enroll'!F$1,FALSE),'District Calculations'!$B$13)*Apport_224A2324,3)</f>
        <v>3.6190000000000002</v>
      </c>
      <c r="W241">
        <f>ROUND(IF(VLOOKUP($A241,EnrollData2324,'2324 Jun 24 Enroll'!G$1,FALSE)='District Calculations'!$B$14,VLOOKUP($A241,EnrollData2324,'2324 Jun 24 Enroll'!G$1,FALSE),'District Calculations'!$B$14)*Apport_212A2324,3)</f>
        <v>8.0239999999999991</v>
      </c>
      <c r="X241">
        <f>ROUND(IF(VLOOKUP($A241,EnrollData2324,'2324 Jun 24 Enroll'!H$1,FALSE)='District Calculations'!$B$14,VLOOKUP($A241,EnrollData2324,'2324 Jun 24 Enroll'!H$1,FALSE),'District Calculations'!$B$14)*Apport_215A2324,3)</f>
        <v>7.9279999999999999</v>
      </c>
      <c r="Y241">
        <f>ROUND(IF(VLOOKUP($A241,EnrollData2324,'2324 Jun 24 Enroll'!I$1,FALSE)+VLOOKUP($A241,EnrollData2324,'2324 Jun 24 Enroll'!M$1,FALSE)-VLOOKUP($A241,EnrollData2324,'2324 Jun 24 Enroll'!J$1,FALSE)='District Calculations'!$B$16+'District Calculations'!$B$25-'District Calculations'!$B$17,VLOOKUP($A241,EnrollData2324,'2324 Jun 24 Enroll'!I$1,FALSE)+VLOOKUP($A241,EnrollData2324,'2324 Jun 24 Enroll'!M$1,FALSE)-VLOOKUP($A241,EnrollData2324,'2324 Jun 24 Enroll'!J$1,FALSE),'District Calculations'!$B$16+'District Calculations'!$B$25-'District Calculations'!$B$17)*Apport_218A2324,3)</f>
        <v>19.917999999999999</v>
      </c>
      <c r="Z241">
        <f>ROUND(SUM(T241:Y241)/IF(VLOOKUP($A241,EnrollData2324,'2324 Jun 24 Enroll'!M$1,FALSE)+VLOOKUP($A241,EnrollData2324,'2324 Jun 24 Enroll'!D$1,FALSE)='District Calculations'!$B$25+'District Calculations'!$B$11,VLOOKUP($A241,EnrollData2324,'2324 Jun 24 Enroll'!M$1,FALSE)+VLOOKUP($A241,EnrollData2324,'2324 Jun 24 Enroll'!D$1,FALSE),'District Calculations'!$B$25+'District Calculations'!$B$11),5)</f>
        <v>1.7399999999999999E-2</v>
      </c>
      <c r="AA241" s="6">
        <f>ROUND($J241*CIS_Base_Salary2324*VLOOKUP($A241,EnrollData2324,'2324 Jun 24 Enroll'!S$1,FALSE),2)</f>
        <v>4523.22</v>
      </c>
      <c r="AB241" s="6">
        <f>ROUND($J241*CIS_Inc_Salary2324*(VLOOKUP($A241,EnrollData2324,'2324 Jun 24 Enroll'!T$1,FALSE)+VLOOKUP($A241,EnrollData2324,'2324 Jun 24 Enroll'!U$1,FALSE)),2)-AA241</f>
        <v>167.35999999999967</v>
      </c>
      <c r="AC241" s="6">
        <f>ROUND($R241*CAS_Base_Salary2324*VLOOKUP($A241,EnrollData2324,'2324 Jun 24 Enroll'!S$1,FALSE),2)</f>
        <v>495.73</v>
      </c>
      <c r="AD241" s="6">
        <f>ROUND($R241*CAS_Inc_Salary2324*VLOOKUP($A241,EnrollData2324,'2324 Jun 24 Enroll'!T$1,FALSE),2)-AC241</f>
        <v>18.340000000000032</v>
      </c>
      <c r="AE241" s="6">
        <f>ROUND($Z241*CLS_Base_Salary2324*VLOOKUP($A241,EnrollData2324,'2324 Jun 24 Enroll'!S$1,FALSE),2)</f>
        <v>1016.75</v>
      </c>
      <c r="AF241" s="6">
        <f>ROUND($Z241*CLS_Inc_Salary2324*VLOOKUP($A241,EnrollData2324,'2324 Jun 24 Enroll'!T$1,FALSE),2)-AE241</f>
        <v>37.6099999999999</v>
      </c>
      <c r="AG241">
        <f t="shared" si="63"/>
        <v>734.16</v>
      </c>
      <c r="AH241" s="69">
        <f t="shared" si="67"/>
        <v>68.700000000000045</v>
      </c>
      <c r="AI241">
        <f t="shared" si="64"/>
        <v>214.23</v>
      </c>
      <c r="AJ241">
        <f t="shared" si="68"/>
        <v>114.21000000000001</v>
      </c>
      <c r="AK241">
        <f t="shared" si="69"/>
        <v>901.91</v>
      </c>
      <c r="AL241">
        <f t="shared" si="70"/>
        <v>32.18</v>
      </c>
      <c r="AM241">
        <f t="shared" si="71"/>
        <v>224.3</v>
      </c>
      <c r="AN241">
        <f t="shared" si="72"/>
        <v>6.98</v>
      </c>
      <c r="AO241">
        <f>ROUND(($J241*CIS_Inc_Salary2324*(VLOOKUP($A241,EnrollData2324,'2324 Jun 24 Enroll'!T$1,FALSE)+VLOOKUP($A241,EnrollData2324,'2324 Jun 24 Enroll'!U$1,FALSE))/Apport_613Xpd)*Apport_614Xpd,2)</f>
        <v>78.180000000000007</v>
      </c>
      <c r="AP241">
        <f t="shared" si="73"/>
        <v>13.55</v>
      </c>
      <c r="AQ241">
        <f t="shared" si="74"/>
        <v>30.93</v>
      </c>
      <c r="AR241" s="6">
        <f>ROUND((VLOOKUP($A241,EnrollData2324,'2324 Jun 24 Enroll'!D$1,FALSE)*Apport_M802324+VLOOKUP($A241,EnrollData2324,'2324 Jun 24 Enroll'!M$1,FALSE)*Apport_M802324+(VLOOKUP($A241,EnrollData2324,'2324 Jun 24 Enroll'!P$1,FALSE)+VLOOKUP($A241,EnrollData2324,'2324 Jun 24 Enroll'!Q$1,FALSE)+VLOOKUP($A241,EnrollData2324,'2324 Jun 24 Enroll'!R$1,FALSE)+VLOOKUP($A241,EnrollData2324,'2324 Jun 24 Enroll'!I$1,FALSE)+VLOOKUP($A241,EnrollData2324,'2324 Jun 24 Enroll'!N$1,FALSE)+VLOOKUP($A241,EnrollData2324,'2324 Jun 24 Enroll'!O$1,FALSE)+VLOOKUP($A241,EnrollData2324,'2324 Jun 24 Enroll'!K$1,FALSE)+VLOOKUP($A241,EnrollData2324,'2324 Jun 24 Enroll'!L$1,FALSE))*Apport_M812324)/(VLOOKUP($A241,EnrollData2324,'2324 Jun 24 Enroll'!M$1,FALSE)+VLOOKUP($A241,EnrollData2324,'2324 Jun 24 Enroll'!D$1,FALSE)),2)</f>
        <v>1530.2</v>
      </c>
      <c r="AS241" s="7">
        <f t="shared" si="75"/>
        <v>10208.539999999999</v>
      </c>
    </row>
    <row r="242" spans="1:45">
      <c r="A242" s="40" t="s">
        <v>488</v>
      </c>
      <c r="B242" s="40" t="s">
        <v>489</v>
      </c>
      <c r="C242" s="11">
        <f>ROUND((IFERROR((1/IF(VLOOKUP($A242,EnrollData2324,28,FALSE)='District Calculations'!$B$10,VLOOKUP($A242,EnrollData2324,28,FALSE),'District Calculations'!$B$10))*(1+Apport_Z315),0))+Apport_201A2324,6)</f>
        <v>7.3449E-2</v>
      </c>
      <c r="D242">
        <f>ROUND(IF(VLOOKUP($A242,EnrollData2324,'2324 Jun 24 Enroll'!D$1,FALSE)='District Calculations'!$B$11,VLOOKUP($A242,EnrollData2324,'2324 Jun 24 Enroll'!D$1,FALSE),'District Calculations'!$B$11)*C242,3)</f>
        <v>0</v>
      </c>
      <c r="E242">
        <f>ROUND(IF(VLOOKUP($A242,EnrollData2324,'2324 Jun 24 Enroll'!E$1,FALSE)='District Calculations'!$B$12,VLOOKUP($A242,EnrollData2324,'2324 Jun 24 Enroll'!E$1,FALSE),'District Calculations'!$B$12)*C242,3)</f>
        <v>59.53</v>
      </c>
      <c r="F242">
        <f>ROUND(IF(VLOOKUP($A242,EnrollData2324,'2324 Jun 24 Enroll'!F$1,FALSE)='District Calculations'!$B$13,VLOOKUP($A242,EnrollData2324,'2324 Jun 24 Enroll'!F$1,FALSE),'District Calculations'!$B$13)*Apport_222A2324,3)</f>
        <v>10.101000000000001</v>
      </c>
      <c r="G242">
        <f>ROUND(IF(VLOOKUP($A242,EnrollData2324,'2324 Jun 24 Enroll'!G$1,FALSE)='District Calculations'!$B$14,VLOOKUP($A242,EnrollData2324,'2324 Jun 24 Enroll'!G$1,FALSE),'District Calculations'!$B$14)*Apport_210A2324,3)</f>
        <v>22.395</v>
      </c>
      <c r="H242">
        <f>ROUND(IF(VLOOKUP($A242,EnrollData2324,'2324 Jun 24 Enroll'!H$1,FALSE)='District Calculations'!$B$15,VLOOKUP($A242,EnrollData2324,'2324 Jun 24 Enroll'!H$1,FALSE),'District Calculations'!$B$15)*Apport_213A2324,3)</f>
        <v>23.091999999999999</v>
      </c>
      <c r="I242">
        <f>ROUND(IF(VLOOKUP($A242,EnrollData2324,'2324 Jun 24 Enroll'!I$1,FALSE)+VLOOKUP($A242,EnrollData2324,'2324 Jun 24 Enroll'!M$1,FALSE)-VLOOKUP($A242,EnrollData2324,'2324 Jun 24 Enroll'!J$1,FALSE)='District Calculations'!$B$16+'District Calculations'!$B$25-'District Calculations'!$B$17,VLOOKUP($A242,EnrollData2324,'2324 Jun 24 Enroll'!I$1,FALSE)+VLOOKUP($A242,EnrollData2324,'2324 Jun 24 Enroll'!M$1,FALSE)-VLOOKUP($A242,EnrollData2324,'2324 Jun 24 Enroll'!J$1,FALSE),'District Calculations'!$B$16+'District Calculations'!$B$25-'District Calculations'!$B$17)*Apport_216A2324,3)</f>
        <v>58.183999999999997</v>
      </c>
      <c r="J242">
        <f>ROUND(SUM(D242:I242)/(IF(VLOOKUP($A242,EnrollData2324,'2324 Jun 24 Enroll'!M$1,FALSE)='District Calculations'!$B$25,VLOOKUP($A242,EnrollData2324,'2324 Jun 24 Enroll'!M$1,FALSE),'District Calculations'!$B$25)+IF(VLOOKUP($A242,EnrollData2324,'2324 Jun 24 Enroll'!D$1,FALSE)='District Calculations'!$B$11,VLOOKUP($A242,EnrollData2324,'2324 Jun 24 Enroll'!D$1,FALSE),'District Calculations'!$B$11)),5)</f>
        <v>5.5530000000000003E-2</v>
      </c>
      <c r="K242" s="11">
        <f t="shared" si="65"/>
        <v>4.365E-3</v>
      </c>
      <c r="L242">
        <f>ROUND(IF(VLOOKUP($A242,EnrollData2324,'2324 Jun 24 Enroll'!D$1,FALSE)='District Calculations'!$B$11,VLOOKUP($A242,EnrollData2324,'2324 Jun 24 Enroll'!D$1,FALSE),'District Calculations'!$B$11)*K242,3)</f>
        <v>0</v>
      </c>
      <c r="M242">
        <f>ROUND(IF(VLOOKUP($A242,EnrollData2324,'2324 Jun 24 Enroll'!E$1,FALSE)='District Calculations'!$B$12,VLOOKUP($A242,EnrollData2324,'2324 Jun 24 Enroll'!E$1,FALSE),'District Calculations'!$B$12)*K242,3)</f>
        <v>3.5379999999999998</v>
      </c>
      <c r="N242">
        <f>ROUND(IF(VLOOKUP($A242,EnrollData2324,'2324 Jun 24 Enroll'!F$1,FALSE)='District Calculations'!$B$13,VLOOKUP($A242,EnrollData2324,'2324 Jun 24 Enroll'!F$1,FALSE),'District Calculations'!$B$13)*Apport_223A2324,3)</f>
        <v>0.84199999999999997</v>
      </c>
      <c r="O242">
        <f>ROUND(IF(VLOOKUP($A242,EnrollData2324,'2324 Jun 24 Enroll'!G$1,FALSE)='District Calculations'!$B$14,VLOOKUP($A242,EnrollData2324,'2324 Jun 24 Enroll'!G$1,FALSE),'District Calculations'!$B$14)*Apport_211A2324,3)</f>
        <v>1.867</v>
      </c>
      <c r="P242">
        <f>ROUND(IF(VLOOKUP($A242,EnrollData2324,'2324 Jun 24 Enroll'!H$1,FALSE)='District Calculations'!$B$14,VLOOKUP($A242,EnrollData2324,'2324 Jun 24 Enroll'!H$1,FALSE),'District Calculations'!$B$14)*Apport_214A2324,3)</f>
        <v>1.8660000000000001</v>
      </c>
      <c r="Q242">
        <f>ROUND(IF(VLOOKUP($A242,EnrollData2324,'2324 Jun 24 Enroll'!I$1,FALSE)+VLOOKUP($A242,EnrollData2324,'2324 Jun 24 Enroll'!M$1,FALSE)-VLOOKUP($A242,EnrollData2324,'2324 Jun 24 Enroll'!J$1,FALSE)='District Calculations'!$B$16+'District Calculations'!$B$25-'District Calculations'!$B$17,VLOOKUP($A242,EnrollData2324,'2324 Jun 24 Enroll'!I$1,FALSE)+VLOOKUP($A242,EnrollData2324,'2324 Jun 24 Enroll'!M$1,FALSE)-VLOOKUP($A242,EnrollData2324,'2324 Jun 24 Enroll'!J$1,FALSE),'District Calculations'!$B$16+'District Calculations'!$B$25-'District Calculations'!$B$17)*Apport_217A2324,3)</f>
        <v>4.6980000000000004</v>
      </c>
      <c r="R242">
        <f>ROUND(SUM(L242:Q242)/IF(VLOOKUP($A242,EnrollData2324,'2324 Jun 24 Enroll'!M$1,FALSE)+VLOOKUP($A242,EnrollData2324,'2324 Jun 24 Enroll'!D$1,FALSE)='District Calculations'!$B$25+'District Calculations'!$B$11,VLOOKUP($A242,EnrollData2324,'2324 Jun 24 Enroll'!M$1,FALSE)+VLOOKUP($A242,EnrollData2324,'2324 Jun 24 Enroll'!D$1,FALSE),'District Calculations'!$B$25+'District Calculations'!$B$11),5)</f>
        <v>4.1000000000000003E-3</v>
      </c>
      <c r="S242" s="11">
        <f t="shared" si="66"/>
        <v>1.8294500000000002E-2</v>
      </c>
      <c r="T242">
        <f>ROUND(IF(VLOOKUP($A242,EnrollData2324,'2324 Jun 24 Enroll'!D$1,FALSE)='District Calculations'!$B$11,VLOOKUP($A242,EnrollData2324,'2324 Jun 24 Enroll'!D$1,FALSE),'District Calculations'!$B$11)*S242,3)</f>
        <v>0</v>
      </c>
      <c r="U242">
        <f>ROUND(IF(VLOOKUP($A242,EnrollData2324,'2324 Jun 24 Enroll'!E$1,FALSE)='District Calculations'!$B$12,VLOOKUP($A242,EnrollData2324,'2324 Jun 24 Enroll'!E$1,FALSE),'District Calculations'!$B$12)*S242,3)</f>
        <v>14.827999999999999</v>
      </c>
      <c r="V242">
        <f>ROUND(IF(VLOOKUP($A242,EnrollData2324,'2324 Jun 24 Enroll'!F$1,FALSE)='District Calculations'!$B$13,VLOOKUP($A242,EnrollData2324,'2324 Jun 24 Enroll'!F$1,FALSE),'District Calculations'!$B$13)*Apport_224A2324,3)</f>
        <v>3.6190000000000002</v>
      </c>
      <c r="W242">
        <f>ROUND(IF(VLOOKUP($A242,EnrollData2324,'2324 Jun 24 Enroll'!G$1,FALSE)='District Calculations'!$B$14,VLOOKUP($A242,EnrollData2324,'2324 Jun 24 Enroll'!G$1,FALSE),'District Calculations'!$B$14)*Apport_212A2324,3)</f>
        <v>8.0239999999999991</v>
      </c>
      <c r="X242">
        <f>ROUND(IF(VLOOKUP($A242,EnrollData2324,'2324 Jun 24 Enroll'!H$1,FALSE)='District Calculations'!$B$14,VLOOKUP($A242,EnrollData2324,'2324 Jun 24 Enroll'!H$1,FALSE),'District Calculations'!$B$14)*Apport_215A2324,3)</f>
        <v>7.9279999999999999</v>
      </c>
      <c r="Y242">
        <f>ROUND(IF(VLOOKUP($A242,EnrollData2324,'2324 Jun 24 Enroll'!I$1,FALSE)+VLOOKUP($A242,EnrollData2324,'2324 Jun 24 Enroll'!M$1,FALSE)-VLOOKUP($A242,EnrollData2324,'2324 Jun 24 Enroll'!J$1,FALSE)='District Calculations'!$B$16+'District Calculations'!$B$25-'District Calculations'!$B$17,VLOOKUP($A242,EnrollData2324,'2324 Jun 24 Enroll'!I$1,FALSE)+VLOOKUP($A242,EnrollData2324,'2324 Jun 24 Enroll'!M$1,FALSE)-VLOOKUP($A242,EnrollData2324,'2324 Jun 24 Enroll'!J$1,FALSE),'District Calculations'!$B$16+'District Calculations'!$B$25-'District Calculations'!$B$17)*Apport_218A2324,3)</f>
        <v>19.917999999999999</v>
      </c>
      <c r="Z242">
        <f>ROUND(SUM(T242:Y242)/IF(VLOOKUP($A242,EnrollData2324,'2324 Jun 24 Enroll'!M$1,FALSE)+VLOOKUP($A242,EnrollData2324,'2324 Jun 24 Enroll'!D$1,FALSE)='District Calculations'!$B$25+'District Calculations'!$B$11,VLOOKUP($A242,EnrollData2324,'2324 Jun 24 Enroll'!M$1,FALSE)+VLOOKUP($A242,EnrollData2324,'2324 Jun 24 Enroll'!D$1,FALSE),'District Calculations'!$B$25+'District Calculations'!$B$11),5)</f>
        <v>1.7399999999999999E-2</v>
      </c>
      <c r="AA242" s="6">
        <f>ROUND($J242*CIS_Base_Salary2324*VLOOKUP($A242,EnrollData2324,'2324 Jun 24 Enroll'!S$1,FALSE),2)</f>
        <v>4523.22</v>
      </c>
      <c r="AB242" s="6">
        <f>ROUND($J242*CIS_Inc_Salary2324*(VLOOKUP($A242,EnrollData2324,'2324 Jun 24 Enroll'!T$1,FALSE)+VLOOKUP($A242,EnrollData2324,'2324 Jun 24 Enroll'!U$1,FALSE)),2)-AA242</f>
        <v>167.35999999999967</v>
      </c>
      <c r="AC242" s="6">
        <f>ROUND($R242*CAS_Base_Salary2324*VLOOKUP($A242,EnrollData2324,'2324 Jun 24 Enroll'!S$1,FALSE),2)</f>
        <v>495.73</v>
      </c>
      <c r="AD242" s="6">
        <f>ROUND($R242*CAS_Inc_Salary2324*VLOOKUP($A242,EnrollData2324,'2324 Jun 24 Enroll'!T$1,FALSE),2)-AC242</f>
        <v>18.340000000000032</v>
      </c>
      <c r="AE242" s="6">
        <f>ROUND($Z242*CLS_Base_Salary2324*VLOOKUP($A242,EnrollData2324,'2324 Jun 24 Enroll'!S$1,FALSE),2)</f>
        <v>1016.75</v>
      </c>
      <c r="AF242" s="6">
        <f>ROUND($Z242*CLS_Inc_Salary2324*VLOOKUP($A242,EnrollData2324,'2324 Jun 24 Enroll'!T$1,FALSE),2)-AE242</f>
        <v>37.6099999999999</v>
      </c>
      <c r="AG242">
        <f t="shared" si="63"/>
        <v>734.16</v>
      </c>
      <c r="AH242" s="69">
        <f t="shared" si="67"/>
        <v>68.700000000000045</v>
      </c>
      <c r="AI242">
        <f t="shared" si="64"/>
        <v>214.23</v>
      </c>
      <c r="AJ242">
        <f t="shared" si="68"/>
        <v>114.21000000000001</v>
      </c>
      <c r="AK242">
        <f t="shared" si="69"/>
        <v>901.91</v>
      </c>
      <c r="AL242">
        <f t="shared" si="70"/>
        <v>32.18</v>
      </c>
      <c r="AM242">
        <f t="shared" si="71"/>
        <v>224.3</v>
      </c>
      <c r="AN242">
        <f t="shared" si="72"/>
        <v>6.98</v>
      </c>
      <c r="AO242">
        <f>ROUND(($J242*CIS_Inc_Salary2324*(VLOOKUP($A242,EnrollData2324,'2324 Jun 24 Enroll'!T$1,FALSE)+VLOOKUP($A242,EnrollData2324,'2324 Jun 24 Enroll'!U$1,FALSE))/Apport_613Xpd)*Apport_614Xpd,2)</f>
        <v>78.180000000000007</v>
      </c>
      <c r="AP242">
        <f t="shared" si="73"/>
        <v>13.55</v>
      </c>
      <c r="AQ242">
        <f t="shared" si="74"/>
        <v>30.93</v>
      </c>
      <c r="AR242" s="6">
        <f>ROUND((VLOOKUP($A242,EnrollData2324,'2324 Jun 24 Enroll'!D$1,FALSE)*Apport_M802324+VLOOKUP($A242,EnrollData2324,'2324 Jun 24 Enroll'!M$1,FALSE)*Apport_M802324+(VLOOKUP($A242,EnrollData2324,'2324 Jun 24 Enroll'!P$1,FALSE)+VLOOKUP($A242,EnrollData2324,'2324 Jun 24 Enroll'!Q$1,FALSE)+VLOOKUP($A242,EnrollData2324,'2324 Jun 24 Enroll'!R$1,FALSE)+VLOOKUP($A242,EnrollData2324,'2324 Jun 24 Enroll'!I$1,FALSE)+VLOOKUP($A242,EnrollData2324,'2324 Jun 24 Enroll'!N$1,FALSE)+VLOOKUP($A242,EnrollData2324,'2324 Jun 24 Enroll'!O$1,FALSE)+VLOOKUP($A242,EnrollData2324,'2324 Jun 24 Enroll'!K$1,FALSE)+VLOOKUP($A242,EnrollData2324,'2324 Jun 24 Enroll'!L$1,FALSE))*Apport_M812324)/(VLOOKUP($A242,EnrollData2324,'2324 Jun 24 Enroll'!M$1,FALSE)+VLOOKUP($A242,EnrollData2324,'2324 Jun 24 Enroll'!D$1,FALSE)),2)</f>
        <v>1555</v>
      </c>
      <c r="AS242" s="7">
        <f t="shared" si="75"/>
        <v>10233.339999999998</v>
      </c>
    </row>
    <row r="243" spans="1:45">
      <c r="A243" s="40" t="s">
        <v>787</v>
      </c>
      <c r="B243" s="40" t="s">
        <v>788</v>
      </c>
      <c r="C243" s="11">
        <f>ROUND((IFERROR((1/IF(VLOOKUP($A243,EnrollData2324,28,FALSE)='District Calculations'!$B$10,VLOOKUP($A243,EnrollData2324,28,FALSE),'District Calculations'!$B$10))*(1+Apport_Z315),0))+Apport_201A2324,6)</f>
        <v>7.3449E-2</v>
      </c>
      <c r="D243">
        <f>ROUND(IF(VLOOKUP($A243,EnrollData2324,'2324 Jun 24 Enroll'!D$1,FALSE)='District Calculations'!$B$11,VLOOKUP($A243,EnrollData2324,'2324 Jun 24 Enroll'!D$1,FALSE),'District Calculations'!$B$11)*C243,3)</f>
        <v>0</v>
      </c>
      <c r="E243">
        <f>ROUND(IF(VLOOKUP($A243,EnrollData2324,'2324 Jun 24 Enroll'!E$1,FALSE)='District Calculations'!$B$12,VLOOKUP($A243,EnrollData2324,'2324 Jun 24 Enroll'!E$1,FALSE),'District Calculations'!$B$12)*C243,3)</f>
        <v>59.53</v>
      </c>
      <c r="F243">
        <f>ROUND(IF(VLOOKUP($A243,EnrollData2324,'2324 Jun 24 Enroll'!F$1,FALSE)='District Calculations'!$B$13,VLOOKUP($A243,EnrollData2324,'2324 Jun 24 Enroll'!F$1,FALSE),'District Calculations'!$B$13)*Apport_222A2324,3)</f>
        <v>10.101000000000001</v>
      </c>
      <c r="G243">
        <f>ROUND(IF(VLOOKUP($A243,EnrollData2324,'2324 Jun 24 Enroll'!G$1,FALSE)='District Calculations'!$B$14,VLOOKUP($A243,EnrollData2324,'2324 Jun 24 Enroll'!G$1,FALSE),'District Calculations'!$B$14)*Apport_210A2324,3)</f>
        <v>22.395</v>
      </c>
      <c r="H243">
        <f>ROUND(IF(VLOOKUP($A243,EnrollData2324,'2324 Jun 24 Enroll'!H$1,FALSE)='District Calculations'!$B$15,VLOOKUP($A243,EnrollData2324,'2324 Jun 24 Enroll'!H$1,FALSE),'District Calculations'!$B$15)*Apport_213A2324,3)</f>
        <v>23.091999999999999</v>
      </c>
      <c r="I243">
        <f>ROUND(IF(VLOOKUP($A243,EnrollData2324,'2324 Jun 24 Enroll'!I$1,FALSE)+VLOOKUP($A243,EnrollData2324,'2324 Jun 24 Enroll'!M$1,FALSE)-VLOOKUP($A243,EnrollData2324,'2324 Jun 24 Enroll'!J$1,FALSE)='District Calculations'!$B$16+'District Calculations'!$B$25-'District Calculations'!$B$17,VLOOKUP($A243,EnrollData2324,'2324 Jun 24 Enroll'!I$1,FALSE)+VLOOKUP($A243,EnrollData2324,'2324 Jun 24 Enroll'!M$1,FALSE)-VLOOKUP($A243,EnrollData2324,'2324 Jun 24 Enroll'!J$1,FALSE),'District Calculations'!$B$16+'District Calculations'!$B$25-'District Calculations'!$B$17)*Apport_216A2324,3)</f>
        <v>58.183999999999997</v>
      </c>
      <c r="J243">
        <f>ROUND(SUM(D243:I243)/(IF(VLOOKUP($A243,EnrollData2324,'2324 Jun 24 Enroll'!M$1,FALSE)='District Calculations'!$B$25,VLOOKUP($A243,EnrollData2324,'2324 Jun 24 Enroll'!M$1,FALSE),'District Calculations'!$B$25)+IF(VLOOKUP($A243,EnrollData2324,'2324 Jun 24 Enroll'!D$1,FALSE)='District Calculations'!$B$11,VLOOKUP($A243,EnrollData2324,'2324 Jun 24 Enroll'!D$1,FALSE),'District Calculations'!$B$11)),5)</f>
        <v>5.5530000000000003E-2</v>
      </c>
      <c r="K243" s="11">
        <f t="shared" si="65"/>
        <v>4.365E-3</v>
      </c>
      <c r="L243">
        <f>ROUND(IF(VLOOKUP($A243,EnrollData2324,'2324 Jun 24 Enroll'!D$1,FALSE)='District Calculations'!$B$11,VLOOKUP($A243,EnrollData2324,'2324 Jun 24 Enroll'!D$1,FALSE),'District Calculations'!$B$11)*K243,3)</f>
        <v>0</v>
      </c>
      <c r="M243">
        <f>ROUND(IF(VLOOKUP($A243,EnrollData2324,'2324 Jun 24 Enroll'!E$1,FALSE)='District Calculations'!$B$12,VLOOKUP($A243,EnrollData2324,'2324 Jun 24 Enroll'!E$1,FALSE),'District Calculations'!$B$12)*K243,3)</f>
        <v>3.5379999999999998</v>
      </c>
      <c r="N243">
        <f>ROUND(IF(VLOOKUP($A243,EnrollData2324,'2324 Jun 24 Enroll'!F$1,FALSE)='District Calculations'!$B$13,VLOOKUP($A243,EnrollData2324,'2324 Jun 24 Enroll'!F$1,FALSE),'District Calculations'!$B$13)*Apport_223A2324,3)</f>
        <v>0.84199999999999997</v>
      </c>
      <c r="O243">
        <f>ROUND(IF(VLOOKUP($A243,EnrollData2324,'2324 Jun 24 Enroll'!G$1,FALSE)='District Calculations'!$B$14,VLOOKUP($A243,EnrollData2324,'2324 Jun 24 Enroll'!G$1,FALSE),'District Calculations'!$B$14)*Apport_211A2324,3)</f>
        <v>1.867</v>
      </c>
      <c r="P243">
        <f>ROUND(IF(VLOOKUP($A243,EnrollData2324,'2324 Jun 24 Enroll'!H$1,FALSE)='District Calculations'!$B$14,VLOOKUP($A243,EnrollData2324,'2324 Jun 24 Enroll'!H$1,FALSE),'District Calculations'!$B$14)*Apport_214A2324,3)</f>
        <v>1.8660000000000001</v>
      </c>
      <c r="Q243">
        <f>ROUND(IF(VLOOKUP($A243,EnrollData2324,'2324 Jun 24 Enroll'!I$1,FALSE)+VLOOKUP($A243,EnrollData2324,'2324 Jun 24 Enroll'!M$1,FALSE)-VLOOKUP($A243,EnrollData2324,'2324 Jun 24 Enroll'!J$1,FALSE)='District Calculations'!$B$16+'District Calculations'!$B$25-'District Calculations'!$B$17,VLOOKUP($A243,EnrollData2324,'2324 Jun 24 Enroll'!I$1,FALSE)+VLOOKUP($A243,EnrollData2324,'2324 Jun 24 Enroll'!M$1,FALSE)-VLOOKUP($A243,EnrollData2324,'2324 Jun 24 Enroll'!J$1,FALSE),'District Calculations'!$B$16+'District Calculations'!$B$25-'District Calculations'!$B$17)*Apport_217A2324,3)</f>
        <v>4.6980000000000004</v>
      </c>
      <c r="R243">
        <f>ROUND(SUM(L243:Q243)/IF(VLOOKUP($A243,EnrollData2324,'2324 Jun 24 Enroll'!M$1,FALSE)+VLOOKUP($A243,EnrollData2324,'2324 Jun 24 Enroll'!D$1,FALSE)='District Calculations'!$B$25+'District Calculations'!$B$11,VLOOKUP($A243,EnrollData2324,'2324 Jun 24 Enroll'!M$1,FALSE)+VLOOKUP($A243,EnrollData2324,'2324 Jun 24 Enroll'!D$1,FALSE),'District Calculations'!$B$25+'District Calculations'!$B$11),5)</f>
        <v>4.1000000000000003E-3</v>
      </c>
      <c r="S243" s="11">
        <f t="shared" si="66"/>
        <v>1.8294500000000002E-2</v>
      </c>
      <c r="T243">
        <f>ROUND(IF(VLOOKUP($A243,EnrollData2324,'2324 Jun 24 Enroll'!D$1,FALSE)='District Calculations'!$B$11,VLOOKUP($A243,EnrollData2324,'2324 Jun 24 Enroll'!D$1,FALSE),'District Calculations'!$B$11)*S243,3)</f>
        <v>0</v>
      </c>
      <c r="U243">
        <f>ROUND(IF(VLOOKUP($A243,EnrollData2324,'2324 Jun 24 Enroll'!E$1,FALSE)='District Calculations'!$B$12,VLOOKUP($A243,EnrollData2324,'2324 Jun 24 Enroll'!E$1,FALSE),'District Calculations'!$B$12)*S243,3)</f>
        <v>14.827999999999999</v>
      </c>
      <c r="V243">
        <f>ROUND(IF(VLOOKUP($A243,EnrollData2324,'2324 Jun 24 Enroll'!F$1,FALSE)='District Calculations'!$B$13,VLOOKUP($A243,EnrollData2324,'2324 Jun 24 Enroll'!F$1,FALSE),'District Calculations'!$B$13)*Apport_224A2324,3)</f>
        <v>3.6190000000000002</v>
      </c>
      <c r="W243">
        <f>ROUND(IF(VLOOKUP($A243,EnrollData2324,'2324 Jun 24 Enroll'!G$1,FALSE)='District Calculations'!$B$14,VLOOKUP($A243,EnrollData2324,'2324 Jun 24 Enroll'!G$1,FALSE),'District Calculations'!$B$14)*Apport_212A2324,3)</f>
        <v>8.0239999999999991</v>
      </c>
      <c r="X243">
        <f>ROUND(IF(VLOOKUP($A243,EnrollData2324,'2324 Jun 24 Enroll'!H$1,FALSE)='District Calculations'!$B$14,VLOOKUP($A243,EnrollData2324,'2324 Jun 24 Enroll'!H$1,FALSE),'District Calculations'!$B$14)*Apport_215A2324,3)</f>
        <v>7.9279999999999999</v>
      </c>
      <c r="Y243">
        <f>ROUND(IF(VLOOKUP($A243,EnrollData2324,'2324 Jun 24 Enroll'!I$1,FALSE)+VLOOKUP($A243,EnrollData2324,'2324 Jun 24 Enroll'!M$1,FALSE)-VLOOKUP($A243,EnrollData2324,'2324 Jun 24 Enroll'!J$1,FALSE)='District Calculations'!$B$16+'District Calculations'!$B$25-'District Calculations'!$B$17,VLOOKUP($A243,EnrollData2324,'2324 Jun 24 Enroll'!I$1,FALSE)+VLOOKUP($A243,EnrollData2324,'2324 Jun 24 Enroll'!M$1,FALSE)-VLOOKUP($A243,EnrollData2324,'2324 Jun 24 Enroll'!J$1,FALSE),'District Calculations'!$B$16+'District Calculations'!$B$25-'District Calculations'!$B$17)*Apport_218A2324,3)</f>
        <v>19.917999999999999</v>
      </c>
      <c r="Z243">
        <f>ROUND(SUM(T243:Y243)/IF(VLOOKUP($A243,EnrollData2324,'2324 Jun 24 Enroll'!M$1,FALSE)+VLOOKUP($A243,EnrollData2324,'2324 Jun 24 Enroll'!D$1,FALSE)='District Calculations'!$B$25+'District Calculations'!$B$11,VLOOKUP($A243,EnrollData2324,'2324 Jun 24 Enroll'!M$1,FALSE)+VLOOKUP($A243,EnrollData2324,'2324 Jun 24 Enroll'!D$1,FALSE),'District Calculations'!$B$25+'District Calculations'!$B$11),5)</f>
        <v>1.7399999999999999E-2</v>
      </c>
      <c r="AA243" s="6">
        <f>ROUND($J243*CIS_Base_Salary2324*VLOOKUP($A243,EnrollData2324,'2324 Jun 24 Enroll'!S$1,FALSE),2)</f>
        <v>4583.79</v>
      </c>
      <c r="AB243" s="6">
        <f>ROUND($J243*CIS_Inc_Salary2324*(VLOOKUP($A243,EnrollData2324,'2324 Jun 24 Enroll'!T$1,FALSE)+VLOOKUP($A243,EnrollData2324,'2324 Jun 24 Enroll'!U$1,FALSE)),2)-AA243</f>
        <v>337.13000000000011</v>
      </c>
      <c r="AC243" s="6">
        <f>ROUND($R243*CAS_Base_Salary2324*VLOOKUP($A243,EnrollData2324,'2324 Jun 24 Enroll'!S$1,FALSE),2)</f>
        <v>502.37</v>
      </c>
      <c r="AD243" s="6">
        <f>ROUND($R243*CAS_Inc_Salary2324*VLOOKUP($A243,EnrollData2324,'2324 Jun 24 Enroll'!T$1,FALSE),2)-AC243</f>
        <v>18.590000000000032</v>
      </c>
      <c r="AE243" s="6">
        <f>ROUND($Z243*CLS_Base_Salary2324*VLOOKUP($A243,EnrollData2324,'2324 Jun 24 Enroll'!S$1,FALSE),2)</f>
        <v>1030.3599999999999</v>
      </c>
      <c r="AF243" s="6">
        <f>ROUND($Z243*CLS_Inc_Salary2324*VLOOKUP($A243,EnrollData2324,'2324 Jun 24 Enroll'!T$1,FALSE),2)-AE243</f>
        <v>38.120000000000118</v>
      </c>
      <c r="AG243">
        <f t="shared" si="63"/>
        <v>734.16</v>
      </c>
      <c r="AH243" s="69">
        <f t="shared" si="67"/>
        <v>68.700000000000045</v>
      </c>
      <c r="AI243">
        <f t="shared" si="64"/>
        <v>214.23</v>
      </c>
      <c r="AJ243">
        <f t="shared" si="68"/>
        <v>114.21000000000001</v>
      </c>
      <c r="AK243">
        <f t="shared" si="69"/>
        <v>913.98</v>
      </c>
      <c r="AL243">
        <f t="shared" si="70"/>
        <v>61.65</v>
      </c>
      <c r="AM243">
        <f t="shared" si="71"/>
        <v>227.3</v>
      </c>
      <c r="AN243">
        <f t="shared" si="72"/>
        <v>7.08</v>
      </c>
      <c r="AO243">
        <f>ROUND(($J243*CIS_Inc_Salary2324*(VLOOKUP($A243,EnrollData2324,'2324 Jun 24 Enroll'!T$1,FALSE)+VLOOKUP($A243,EnrollData2324,'2324 Jun 24 Enroll'!U$1,FALSE))/Apport_613Xpd)*Apport_614Xpd,2)</f>
        <v>82.02</v>
      </c>
      <c r="AP243">
        <f t="shared" si="73"/>
        <v>14.21</v>
      </c>
      <c r="AQ243">
        <f t="shared" si="74"/>
        <v>30.93</v>
      </c>
      <c r="AR243" s="6">
        <f>ROUND((VLOOKUP($A243,EnrollData2324,'2324 Jun 24 Enroll'!D$1,FALSE)*Apport_M802324+VLOOKUP($A243,EnrollData2324,'2324 Jun 24 Enroll'!M$1,FALSE)*Apport_M802324+(VLOOKUP($A243,EnrollData2324,'2324 Jun 24 Enroll'!P$1,FALSE)+VLOOKUP($A243,EnrollData2324,'2324 Jun 24 Enroll'!Q$1,FALSE)+VLOOKUP($A243,EnrollData2324,'2324 Jun 24 Enroll'!R$1,FALSE)+VLOOKUP($A243,EnrollData2324,'2324 Jun 24 Enroll'!I$1,FALSE)+VLOOKUP($A243,EnrollData2324,'2324 Jun 24 Enroll'!N$1,FALSE)+VLOOKUP($A243,EnrollData2324,'2324 Jun 24 Enroll'!O$1,FALSE)+VLOOKUP($A243,EnrollData2324,'2324 Jun 24 Enroll'!K$1,FALSE)+VLOOKUP($A243,EnrollData2324,'2324 Jun 24 Enroll'!L$1,FALSE))*Apport_M812324)/(VLOOKUP($A243,EnrollData2324,'2324 Jun 24 Enroll'!M$1,FALSE)+VLOOKUP($A243,EnrollData2324,'2324 Jun 24 Enroll'!D$1,FALSE)),2)</f>
        <v>1552.68</v>
      </c>
      <c r="AS243" s="7">
        <f t="shared" si="75"/>
        <v>10531.509999999998</v>
      </c>
    </row>
    <row r="244" spans="1:45">
      <c r="A244" s="40" t="s">
        <v>781</v>
      </c>
      <c r="B244" s="40" t="s">
        <v>782</v>
      </c>
      <c r="C244" s="11">
        <f>ROUND((IFERROR((1/IF(VLOOKUP($A244,EnrollData2324,28,FALSE)='District Calculations'!$B$10,VLOOKUP($A244,EnrollData2324,28,FALSE),'District Calculations'!$B$10))*(1+Apport_Z315),0))+Apport_201A2324,6)</f>
        <v>7.3449E-2</v>
      </c>
      <c r="D244">
        <f>ROUND(IF(VLOOKUP($A244,EnrollData2324,'2324 Jun 24 Enroll'!D$1,FALSE)='District Calculations'!$B$11,VLOOKUP($A244,EnrollData2324,'2324 Jun 24 Enroll'!D$1,FALSE),'District Calculations'!$B$11)*C244,3)</f>
        <v>0</v>
      </c>
      <c r="E244">
        <f>ROUND(IF(VLOOKUP($A244,EnrollData2324,'2324 Jun 24 Enroll'!E$1,FALSE)='District Calculations'!$B$12,VLOOKUP($A244,EnrollData2324,'2324 Jun 24 Enroll'!E$1,FALSE),'District Calculations'!$B$12)*C244,3)</f>
        <v>59.53</v>
      </c>
      <c r="F244">
        <f>ROUND(IF(VLOOKUP($A244,EnrollData2324,'2324 Jun 24 Enroll'!F$1,FALSE)='District Calculations'!$B$13,VLOOKUP($A244,EnrollData2324,'2324 Jun 24 Enroll'!F$1,FALSE),'District Calculations'!$B$13)*Apport_222A2324,3)</f>
        <v>10.101000000000001</v>
      </c>
      <c r="G244">
        <f>ROUND(IF(VLOOKUP($A244,EnrollData2324,'2324 Jun 24 Enroll'!G$1,FALSE)='District Calculations'!$B$14,VLOOKUP($A244,EnrollData2324,'2324 Jun 24 Enroll'!G$1,FALSE),'District Calculations'!$B$14)*Apport_210A2324,3)</f>
        <v>22.395</v>
      </c>
      <c r="H244">
        <f>ROUND(IF(VLOOKUP($A244,EnrollData2324,'2324 Jun 24 Enroll'!H$1,FALSE)='District Calculations'!$B$15,VLOOKUP($A244,EnrollData2324,'2324 Jun 24 Enroll'!H$1,FALSE),'District Calculations'!$B$15)*Apport_213A2324,3)</f>
        <v>23.091999999999999</v>
      </c>
      <c r="I244">
        <f>ROUND(IF(VLOOKUP($A244,EnrollData2324,'2324 Jun 24 Enroll'!I$1,FALSE)+VLOOKUP($A244,EnrollData2324,'2324 Jun 24 Enroll'!M$1,FALSE)-VLOOKUP($A244,EnrollData2324,'2324 Jun 24 Enroll'!J$1,FALSE)='District Calculations'!$B$16+'District Calculations'!$B$25-'District Calculations'!$B$17,VLOOKUP($A244,EnrollData2324,'2324 Jun 24 Enroll'!I$1,FALSE)+VLOOKUP($A244,EnrollData2324,'2324 Jun 24 Enroll'!M$1,FALSE)-VLOOKUP($A244,EnrollData2324,'2324 Jun 24 Enroll'!J$1,FALSE),'District Calculations'!$B$16+'District Calculations'!$B$25-'District Calculations'!$B$17)*Apport_216A2324,3)</f>
        <v>58.183999999999997</v>
      </c>
      <c r="J244">
        <f>ROUND(SUM(D244:I244)/(IF(VLOOKUP($A244,EnrollData2324,'2324 Jun 24 Enroll'!M$1,FALSE)='District Calculations'!$B$25,VLOOKUP($A244,EnrollData2324,'2324 Jun 24 Enroll'!M$1,FALSE),'District Calculations'!$B$25)+IF(VLOOKUP($A244,EnrollData2324,'2324 Jun 24 Enroll'!D$1,FALSE)='District Calculations'!$B$11,VLOOKUP($A244,EnrollData2324,'2324 Jun 24 Enroll'!D$1,FALSE),'District Calculations'!$B$11)),5)</f>
        <v>5.5530000000000003E-2</v>
      </c>
      <c r="K244" s="11">
        <f t="shared" si="65"/>
        <v>4.365E-3</v>
      </c>
      <c r="L244">
        <f>ROUND(IF(VLOOKUP($A244,EnrollData2324,'2324 Jun 24 Enroll'!D$1,FALSE)='District Calculations'!$B$11,VLOOKUP($A244,EnrollData2324,'2324 Jun 24 Enroll'!D$1,FALSE),'District Calculations'!$B$11)*K244,3)</f>
        <v>0</v>
      </c>
      <c r="M244">
        <f>ROUND(IF(VLOOKUP($A244,EnrollData2324,'2324 Jun 24 Enroll'!E$1,FALSE)='District Calculations'!$B$12,VLOOKUP($A244,EnrollData2324,'2324 Jun 24 Enroll'!E$1,FALSE),'District Calculations'!$B$12)*K244,3)</f>
        <v>3.5379999999999998</v>
      </c>
      <c r="N244">
        <f>ROUND(IF(VLOOKUP($A244,EnrollData2324,'2324 Jun 24 Enroll'!F$1,FALSE)='District Calculations'!$B$13,VLOOKUP($A244,EnrollData2324,'2324 Jun 24 Enroll'!F$1,FALSE),'District Calculations'!$B$13)*Apport_223A2324,3)</f>
        <v>0.84199999999999997</v>
      </c>
      <c r="O244">
        <f>ROUND(IF(VLOOKUP($A244,EnrollData2324,'2324 Jun 24 Enroll'!G$1,FALSE)='District Calculations'!$B$14,VLOOKUP($A244,EnrollData2324,'2324 Jun 24 Enroll'!G$1,FALSE),'District Calculations'!$B$14)*Apport_211A2324,3)</f>
        <v>1.867</v>
      </c>
      <c r="P244">
        <f>ROUND(IF(VLOOKUP($A244,EnrollData2324,'2324 Jun 24 Enroll'!H$1,FALSE)='District Calculations'!$B$14,VLOOKUP($A244,EnrollData2324,'2324 Jun 24 Enroll'!H$1,FALSE),'District Calculations'!$B$14)*Apport_214A2324,3)</f>
        <v>1.8660000000000001</v>
      </c>
      <c r="Q244">
        <f>ROUND(IF(VLOOKUP($A244,EnrollData2324,'2324 Jun 24 Enroll'!I$1,FALSE)+VLOOKUP($A244,EnrollData2324,'2324 Jun 24 Enroll'!M$1,FALSE)-VLOOKUP($A244,EnrollData2324,'2324 Jun 24 Enroll'!J$1,FALSE)='District Calculations'!$B$16+'District Calculations'!$B$25-'District Calculations'!$B$17,VLOOKUP($A244,EnrollData2324,'2324 Jun 24 Enroll'!I$1,FALSE)+VLOOKUP($A244,EnrollData2324,'2324 Jun 24 Enroll'!M$1,FALSE)-VLOOKUP($A244,EnrollData2324,'2324 Jun 24 Enroll'!J$1,FALSE),'District Calculations'!$B$16+'District Calculations'!$B$25-'District Calculations'!$B$17)*Apport_217A2324,3)</f>
        <v>4.6980000000000004</v>
      </c>
      <c r="R244">
        <f>ROUND(SUM(L244:Q244)/IF(VLOOKUP($A244,EnrollData2324,'2324 Jun 24 Enroll'!M$1,FALSE)+VLOOKUP($A244,EnrollData2324,'2324 Jun 24 Enroll'!D$1,FALSE)='District Calculations'!$B$25+'District Calculations'!$B$11,VLOOKUP($A244,EnrollData2324,'2324 Jun 24 Enroll'!M$1,FALSE)+VLOOKUP($A244,EnrollData2324,'2324 Jun 24 Enroll'!D$1,FALSE),'District Calculations'!$B$25+'District Calculations'!$B$11),5)</f>
        <v>4.1000000000000003E-3</v>
      </c>
      <c r="S244" s="11">
        <f t="shared" si="66"/>
        <v>1.8294500000000002E-2</v>
      </c>
      <c r="T244">
        <f>ROUND(IF(VLOOKUP($A244,EnrollData2324,'2324 Jun 24 Enroll'!D$1,FALSE)='District Calculations'!$B$11,VLOOKUP($A244,EnrollData2324,'2324 Jun 24 Enroll'!D$1,FALSE),'District Calculations'!$B$11)*S244,3)</f>
        <v>0</v>
      </c>
      <c r="U244">
        <f>ROUND(IF(VLOOKUP($A244,EnrollData2324,'2324 Jun 24 Enroll'!E$1,FALSE)='District Calculations'!$B$12,VLOOKUP($A244,EnrollData2324,'2324 Jun 24 Enroll'!E$1,FALSE),'District Calculations'!$B$12)*S244,3)</f>
        <v>14.827999999999999</v>
      </c>
      <c r="V244">
        <f>ROUND(IF(VLOOKUP($A244,EnrollData2324,'2324 Jun 24 Enroll'!F$1,FALSE)='District Calculations'!$B$13,VLOOKUP($A244,EnrollData2324,'2324 Jun 24 Enroll'!F$1,FALSE),'District Calculations'!$B$13)*Apport_224A2324,3)</f>
        <v>3.6190000000000002</v>
      </c>
      <c r="W244">
        <f>ROUND(IF(VLOOKUP($A244,EnrollData2324,'2324 Jun 24 Enroll'!G$1,FALSE)='District Calculations'!$B$14,VLOOKUP($A244,EnrollData2324,'2324 Jun 24 Enroll'!G$1,FALSE),'District Calculations'!$B$14)*Apport_212A2324,3)</f>
        <v>8.0239999999999991</v>
      </c>
      <c r="X244">
        <f>ROUND(IF(VLOOKUP($A244,EnrollData2324,'2324 Jun 24 Enroll'!H$1,FALSE)='District Calculations'!$B$14,VLOOKUP($A244,EnrollData2324,'2324 Jun 24 Enroll'!H$1,FALSE),'District Calculations'!$B$14)*Apport_215A2324,3)</f>
        <v>7.9279999999999999</v>
      </c>
      <c r="Y244">
        <f>ROUND(IF(VLOOKUP($A244,EnrollData2324,'2324 Jun 24 Enroll'!I$1,FALSE)+VLOOKUP($A244,EnrollData2324,'2324 Jun 24 Enroll'!M$1,FALSE)-VLOOKUP($A244,EnrollData2324,'2324 Jun 24 Enroll'!J$1,FALSE)='District Calculations'!$B$16+'District Calculations'!$B$25-'District Calculations'!$B$17,VLOOKUP($A244,EnrollData2324,'2324 Jun 24 Enroll'!I$1,FALSE)+VLOOKUP($A244,EnrollData2324,'2324 Jun 24 Enroll'!M$1,FALSE)-VLOOKUP($A244,EnrollData2324,'2324 Jun 24 Enroll'!J$1,FALSE),'District Calculations'!$B$16+'District Calculations'!$B$25-'District Calculations'!$B$17)*Apport_218A2324,3)</f>
        <v>19.917999999999999</v>
      </c>
      <c r="Z244">
        <f>ROUND(SUM(T244:Y244)/IF(VLOOKUP($A244,EnrollData2324,'2324 Jun 24 Enroll'!M$1,FALSE)+VLOOKUP($A244,EnrollData2324,'2324 Jun 24 Enroll'!D$1,FALSE)='District Calculations'!$B$25+'District Calculations'!$B$11,VLOOKUP($A244,EnrollData2324,'2324 Jun 24 Enroll'!M$1,FALSE)+VLOOKUP($A244,EnrollData2324,'2324 Jun 24 Enroll'!D$1,FALSE),'District Calculations'!$B$25+'District Calculations'!$B$11),5)</f>
        <v>1.7399999999999999E-2</v>
      </c>
      <c r="AA244" s="6">
        <f>ROUND($J244*CIS_Base_Salary2324*VLOOKUP($A244,EnrollData2324,'2324 Jun 24 Enroll'!S$1,FALSE),2)</f>
        <v>4099.16</v>
      </c>
      <c r="AB244" s="6">
        <f>ROUND($J244*CIS_Inc_Salary2324*(VLOOKUP($A244,EnrollData2324,'2324 Jun 24 Enroll'!T$1,FALSE)+VLOOKUP($A244,EnrollData2324,'2324 Jun 24 Enroll'!U$1,FALSE)),2)-AA244</f>
        <v>151.68000000000029</v>
      </c>
      <c r="AC244" s="6">
        <f>ROUND($R244*CAS_Base_Salary2324*VLOOKUP($A244,EnrollData2324,'2324 Jun 24 Enroll'!S$1,FALSE),2)</f>
        <v>449.25</v>
      </c>
      <c r="AD244" s="6">
        <f>ROUND($R244*CAS_Inc_Salary2324*VLOOKUP($A244,EnrollData2324,'2324 Jun 24 Enroll'!T$1,FALSE),2)-AC244</f>
        <v>16.629999999999995</v>
      </c>
      <c r="AE244" s="6">
        <f>ROUND($Z244*CLS_Base_Salary2324*VLOOKUP($A244,EnrollData2324,'2324 Jun 24 Enroll'!S$1,FALSE),2)</f>
        <v>921.43</v>
      </c>
      <c r="AF244" s="6">
        <f>ROUND($Z244*CLS_Inc_Salary2324*VLOOKUP($A244,EnrollData2324,'2324 Jun 24 Enroll'!T$1,FALSE),2)-AE244</f>
        <v>34.080000000000041</v>
      </c>
      <c r="AG244">
        <f t="shared" si="63"/>
        <v>734.16</v>
      </c>
      <c r="AH244" s="69">
        <f t="shared" si="67"/>
        <v>68.700000000000045</v>
      </c>
      <c r="AI244">
        <f t="shared" si="64"/>
        <v>214.23</v>
      </c>
      <c r="AJ244">
        <f t="shared" si="68"/>
        <v>114.21000000000001</v>
      </c>
      <c r="AK244">
        <f t="shared" si="69"/>
        <v>817.35</v>
      </c>
      <c r="AL244">
        <f t="shared" si="70"/>
        <v>29.17</v>
      </c>
      <c r="AM244">
        <f t="shared" si="71"/>
        <v>203.27</v>
      </c>
      <c r="AN244">
        <f t="shared" si="72"/>
        <v>6.33</v>
      </c>
      <c r="AO244">
        <f>ROUND(($J244*CIS_Inc_Salary2324*(VLOOKUP($A244,EnrollData2324,'2324 Jun 24 Enroll'!T$1,FALSE)+VLOOKUP($A244,EnrollData2324,'2324 Jun 24 Enroll'!U$1,FALSE))/Apport_613Xpd)*Apport_614Xpd,2)</f>
        <v>70.849999999999994</v>
      </c>
      <c r="AP244">
        <f t="shared" si="73"/>
        <v>12.28</v>
      </c>
      <c r="AQ244">
        <f t="shared" si="74"/>
        <v>30.93</v>
      </c>
      <c r="AR244" s="6">
        <f>ROUND((VLOOKUP($A244,EnrollData2324,'2324 Jun 24 Enroll'!D$1,FALSE)*Apport_M802324+VLOOKUP($A244,EnrollData2324,'2324 Jun 24 Enroll'!M$1,FALSE)*Apport_M802324+(VLOOKUP($A244,EnrollData2324,'2324 Jun 24 Enroll'!P$1,FALSE)+VLOOKUP($A244,EnrollData2324,'2324 Jun 24 Enroll'!Q$1,FALSE)+VLOOKUP($A244,EnrollData2324,'2324 Jun 24 Enroll'!R$1,FALSE)+VLOOKUP($A244,EnrollData2324,'2324 Jun 24 Enroll'!I$1,FALSE)+VLOOKUP($A244,EnrollData2324,'2324 Jun 24 Enroll'!N$1,FALSE)+VLOOKUP($A244,EnrollData2324,'2324 Jun 24 Enroll'!O$1,FALSE)+VLOOKUP($A244,EnrollData2324,'2324 Jun 24 Enroll'!K$1,FALSE)+VLOOKUP($A244,EnrollData2324,'2324 Jun 24 Enroll'!L$1,FALSE))*Apport_M812324)/(VLOOKUP($A244,EnrollData2324,'2324 Jun 24 Enroll'!M$1,FALSE)+VLOOKUP($A244,EnrollData2324,'2324 Jun 24 Enroll'!D$1,FALSE)),2)</f>
        <v>1551.75</v>
      </c>
      <c r="AS244" s="7">
        <f t="shared" si="75"/>
        <v>9525.4600000000009</v>
      </c>
    </row>
    <row r="245" spans="1:45">
      <c r="A245" s="40" t="s">
        <v>665</v>
      </c>
      <c r="B245" s="40" t="s">
        <v>666</v>
      </c>
      <c r="C245" s="11">
        <f>ROUND((IFERROR((1/IF(VLOOKUP($A245,EnrollData2324,28,FALSE)='District Calculations'!$B$10,VLOOKUP($A245,EnrollData2324,28,FALSE),'District Calculations'!$B$10))*(1+Apport_Z315),0))+Apport_201A2324,6)</f>
        <v>7.3449E-2</v>
      </c>
      <c r="D245">
        <f>ROUND(IF(VLOOKUP($A245,EnrollData2324,'2324 Jun 24 Enroll'!D$1,FALSE)='District Calculations'!$B$11,VLOOKUP($A245,EnrollData2324,'2324 Jun 24 Enroll'!D$1,FALSE),'District Calculations'!$B$11)*C245,3)</f>
        <v>0</v>
      </c>
      <c r="E245">
        <f>ROUND(IF(VLOOKUP($A245,EnrollData2324,'2324 Jun 24 Enroll'!E$1,FALSE)='District Calculations'!$B$12,VLOOKUP($A245,EnrollData2324,'2324 Jun 24 Enroll'!E$1,FALSE),'District Calculations'!$B$12)*C245,3)</f>
        <v>59.53</v>
      </c>
      <c r="F245">
        <f>ROUND(IF(VLOOKUP($A245,EnrollData2324,'2324 Jun 24 Enroll'!F$1,FALSE)='District Calculations'!$B$13,VLOOKUP($A245,EnrollData2324,'2324 Jun 24 Enroll'!F$1,FALSE),'District Calculations'!$B$13)*Apport_222A2324,3)</f>
        <v>10.101000000000001</v>
      </c>
      <c r="G245">
        <f>ROUND(IF(VLOOKUP($A245,EnrollData2324,'2324 Jun 24 Enroll'!G$1,FALSE)='District Calculations'!$B$14,VLOOKUP($A245,EnrollData2324,'2324 Jun 24 Enroll'!G$1,FALSE),'District Calculations'!$B$14)*Apport_210A2324,3)</f>
        <v>22.395</v>
      </c>
      <c r="H245">
        <f>ROUND(IF(VLOOKUP($A245,EnrollData2324,'2324 Jun 24 Enroll'!H$1,FALSE)='District Calculations'!$B$15,VLOOKUP($A245,EnrollData2324,'2324 Jun 24 Enroll'!H$1,FALSE),'District Calculations'!$B$15)*Apport_213A2324,3)</f>
        <v>23.091999999999999</v>
      </c>
      <c r="I245">
        <f>ROUND(IF(VLOOKUP($A245,EnrollData2324,'2324 Jun 24 Enroll'!I$1,FALSE)+VLOOKUP($A245,EnrollData2324,'2324 Jun 24 Enroll'!M$1,FALSE)-VLOOKUP($A245,EnrollData2324,'2324 Jun 24 Enroll'!J$1,FALSE)='District Calculations'!$B$16+'District Calculations'!$B$25-'District Calculations'!$B$17,VLOOKUP($A245,EnrollData2324,'2324 Jun 24 Enroll'!I$1,FALSE)+VLOOKUP($A245,EnrollData2324,'2324 Jun 24 Enroll'!M$1,FALSE)-VLOOKUP($A245,EnrollData2324,'2324 Jun 24 Enroll'!J$1,FALSE),'District Calculations'!$B$16+'District Calculations'!$B$25-'District Calculations'!$B$17)*Apport_216A2324,3)</f>
        <v>58.183999999999997</v>
      </c>
      <c r="J245">
        <f>ROUND(SUM(D245:I245)/(IF(VLOOKUP($A245,EnrollData2324,'2324 Jun 24 Enroll'!M$1,FALSE)='District Calculations'!$B$25,VLOOKUP($A245,EnrollData2324,'2324 Jun 24 Enroll'!M$1,FALSE),'District Calculations'!$B$25)+IF(VLOOKUP($A245,EnrollData2324,'2324 Jun 24 Enroll'!D$1,FALSE)='District Calculations'!$B$11,VLOOKUP($A245,EnrollData2324,'2324 Jun 24 Enroll'!D$1,FALSE),'District Calculations'!$B$11)),5)</f>
        <v>5.5530000000000003E-2</v>
      </c>
      <c r="K245" s="11">
        <f t="shared" si="65"/>
        <v>4.365E-3</v>
      </c>
      <c r="L245">
        <f>ROUND(IF(VLOOKUP($A245,EnrollData2324,'2324 Jun 24 Enroll'!D$1,FALSE)='District Calculations'!$B$11,VLOOKUP($A245,EnrollData2324,'2324 Jun 24 Enroll'!D$1,FALSE),'District Calculations'!$B$11)*K245,3)</f>
        <v>0</v>
      </c>
      <c r="M245">
        <f>ROUND(IF(VLOOKUP($A245,EnrollData2324,'2324 Jun 24 Enroll'!E$1,FALSE)='District Calculations'!$B$12,VLOOKUP($A245,EnrollData2324,'2324 Jun 24 Enroll'!E$1,FALSE),'District Calculations'!$B$12)*K245,3)</f>
        <v>3.5379999999999998</v>
      </c>
      <c r="N245">
        <f>ROUND(IF(VLOOKUP($A245,EnrollData2324,'2324 Jun 24 Enroll'!F$1,FALSE)='District Calculations'!$B$13,VLOOKUP($A245,EnrollData2324,'2324 Jun 24 Enroll'!F$1,FALSE),'District Calculations'!$B$13)*Apport_223A2324,3)</f>
        <v>0.84199999999999997</v>
      </c>
      <c r="O245">
        <f>ROUND(IF(VLOOKUP($A245,EnrollData2324,'2324 Jun 24 Enroll'!G$1,FALSE)='District Calculations'!$B$14,VLOOKUP($A245,EnrollData2324,'2324 Jun 24 Enroll'!G$1,FALSE),'District Calculations'!$B$14)*Apport_211A2324,3)</f>
        <v>1.867</v>
      </c>
      <c r="P245">
        <f>ROUND(IF(VLOOKUP($A245,EnrollData2324,'2324 Jun 24 Enroll'!H$1,FALSE)='District Calculations'!$B$14,VLOOKUP($A245,EnrollData2324,'2324 Jun 24 Enroll'!H$1,FALSE),'District Calculations'!$B$14)*Apport_214A2324,3)</f>
        <v>1.8660000000000001</v>
      </c>
      <c r="Q245">
        <f>ROUND(IF(VLOOKUP($A245,EnrollData2324,'2324 Jun 24 Enroll'!I$1,FALSE)+VLOOKUP($A245,EnrollData2324,'2324 Jun 24 Enroll'!M$1,FALSE)-VLOOKUP($A245,EnrollData2324,'2324 Jun 24 Enroll'!J$1,FALSE)='District Calculations'!$B$16+'District Calculations'!$B$25-'District Calculations'!$B$17,VLOOKUP($A245,EnrollData2324,'2324 Jun 24 Enroll'!I$1,FALSE)+VLOOKUP($A245,EnrollData2324,'2324 Jun 24 Enroll'!M$1,FALSE)-VLOOKUP($A245,EnrollData2324,'2324 Jun 24 Enroll'!J$1,FALSE),'District Calculations'!$B$16+'District Calculations'!$B$25-'District Calculations'!$B$17)*Apport_217A2324,3)</f>
        <v>4.6980000000000004</v>
      </c>
      <c r="R245">
        <f>ROUND(SUM(L245:Q245)/IF(VLOOKUP($A245,EnrollData2324,'2324 Jun 24 Enroll'!M$1,FALSE)+VLOOKUP($A245,EnrollData2324,'2324 Jun 24 Enroll'!D$1,FALSE)='District Calculations'!$B$25+'District Calculations'!$B$11,VLOOKUP($A245,EnrollData2324,'2324 Jun 24 Enroll'!M$1,FALSE)+VLOOKUP($A245,EnrollData2324,'2324 Jun 24 Enroll'!D$1,FALSE),'District Calculations'!$B$25+'District Calculations'!$B$11),5)</f>
        <v>4.1000000000000003E-3</v>
      </c>
      <c r="S245" s="11">
        <f t="shared" si="66"/>
        <v>1.8294500000000002E-2</v>
      </c>
      <c r="T245">
        <f>ROUND(IF(VLOOKUP($A245,EnrollData2324,'2324 Jun 24 Enroll'!D$1,FALSE)='District Calculations'!$B$11,VLOOKUP($A245,EnrollData2324,'2324 Jun 24 Enroll'!D$1,FALSE),'District Calculations'!$B$11)*S245,3)</f>
        <v>0</v>
      </c>
      <c r="U245">
        <f>ROUND(IF(VLOOKUP($A245,EnrollData2324,'2324 Jun 24 Enroll'!E$1,FALSE)='District Calculations'!$B$12,VLOOKUP($A245,EnrollData2324,'2324 Jun 24 Enroll'!E$1,FALSE),'District Calculations'!$B$12)*S245,3)</f>
        <v>14.827999999999999</v>
      </c>
      <c r="V245">
        <f>ROUND(IF(VLOOKUP($A245,EnrollData2324,'2324 Jun 24 Enroll'!F$1,FALSE)='District Calculations'!$B$13,VLOOKUP($A245,EnrollData2324,'2324 Jun 24 Enroll'!F$1,FALSE),'District Calculations'!$B$13)*Apport_224A2324,3)</f>
        <v>3.6190000000000002</v>
      </c>
      <c r="W245">
        <f>ROUND(IF(VLOOKUP($A245,EnrollData2324,'2324 Jun 24 Enroll'!G$1,FALSE)='District Calculations'!$B$14,VLOOKUP($A245,EnrollData2324,'2324 Jun 24 Enroll'!G$1,FALSE),'District Calculations'!$B$14)*Apport_212A2324,3)</f>
        <v>8.0239999999999991</v>
      </c>
      <c r="X245">
        <f>ROUND(IF(VLOOKUP($A245,EnrollData2324,'2324 Jun 24 Enroll'!H$1,FALSE)='District Calculations'!$B$14,VLOOKUP($A245,EnrollData2324,'2324 Jun 24 Enroll'!H$1,FALSE),'District Calculations'!$B$14)*Apport_215A2324,3)</f>
        <v>7.9279999999999999</v>
      </c>
      <c r="Y245">
        <f>ROUND(IF(VLOOKUP($A245,EnrollData2324,'2324 Jun 24 Enroll'!I$1,FALSE)+VLOOKUP($A245,EnrollData2324,'2324 Jun 24 Enroll'!M$1,FALSE)-VLOOKUP($A245,EnrollData2324,'2324 Jun 24 Enroll'!J$1,FALSE)='District Calculations'!$B$16+'District Calculations'!$B$25-'District Calculations'!$B$17,VLOOKUP($A245,EnrollData2324,'2324 Jun 24 Enroll'!I$1,FALSE)+VLOOKUP($A245,EnrollData2324,'2324 Jun 24 Enroll'!M$1,FALSE)-VLOOKUP($A245,EnrollData2324,'2324 Jun 24 Enroll'!J$1,FALSE),'District Calculations'!$B$16+'District Calculations'!$B$25-'District Calculations'!$B$17)*Apport_218A2324,3)</f>
        <v>19.917999999999999</v>
      </c>
      <c r="Z245">
        <f>ROUND(SUM(T245:Y245)/IF(VLOOKUP($A245,EnrollData2324,'2324 Jun 24 Enroll'!M$1,FALSE)+VLOOKUP($A245,EnrollData2324,'2324 Jun 24 Enroll'!D$1,FALSE)='District Calculations'!$B$25+'District Calculations'!$B$11,VLOOKUP($A245,EnrollData2324,'2324 Jun 24 Enroll'!M$1,FALSE)+VLOOKUP($A245,EnrollData2324,'2324 Jun 24 Enroll'!D$1,FALSE),'District Calculations'!$B$25+'District Calculations'!$B$11),5)</f>
        <v>1.7399999999999999E-2</v>
      </c>
      <c r="AA245" s="6">
        <f>ROUND($J245*CIS_Base_Salary2324*VLOOKUP($A245,EnrollData2324,'2324 Jun 24 Enroll'!S$1,FALSE),2)</f>
        <v>4038.59</v>
      </c>
      <c r="AB245" s="6">
        <f>ROUND($J245*CIS_Inc_Salary2324*(VLOOKUP($A245,EnrollData2324,'2324 Jun 24 Enroll'!T$1,FALSE)+VLOOKUP($A245,EnrollData2324,'2324 Jun 24 Enroll'!U$1,FALSE)),2)-AA245</f>
        <v>149.43000000000029</v>
      </c>
      <c r="AC245" s="6">
        <f>ROUND($R245*CAS_Base_Salary2324*VLOOKUP($A245,EnrollData2324,'2324 Jun 24 Enroll'!S$1,FALSE),2)</f>
        <v>442.62</v>
      </c>
      <c r="AD245" s="6">
        <f>ROUND($R245*CAS_Inc_Salary2324*VLOOKUP($A245,EnrollData2324,'2324 Jun 24 Enroll'!T$1,FALSE),2)-AC245</f>
        <v>16.379999999999995</v>
      </c>
      <c r="AE245" s="6">
        <f>ROUND($Z245*CLS_Base_Salary2324*VLOOKUP($A245,EnrollData2324,'2324 Jun 24 Enroll'!S$1,FALSE),2)</f>
        <v>907.81</v>
      </c>
      <c r="AF245" s="6">
        <f>ROUND($Z245*CLS_Inc_Salary2324*VLOOKUP($A245,EnrollData2324,'2324 Jun 24 Enroll'!T$1,FALSE),2)-AE245</f>
        <v>33.580000000000041</v>
      </c>
      <c r="AG245">
        <f t="shared" si="63"/>
        <v>734.16</v>
      </c>
      <c r="AH245" s="69">
        <f t="shared" si="67"/>
        <v>68.700000000000045</v>
      </c>
      <c r="AI245">
        <f t="shared" si="64"/>
        <v>214.23</v>
      </c>
      <c r="AJ245">
        <f t="shared" si="68"/>
        <v>114.21000000000001</v>
      </c>
      <c r="AK245">
        <f t="shared" si="69"/>
        <v>805.27</v>
      </c>
      <c r="AL245">
        <f t="shared" si="70"/>
        <v>28.73</v>
      </c>
      <c r="AM245">
        <f t="shared" si="71"/>
        <v>200.26</v>
      </c>
      <c r="AN245">
        <f t="shared" si="72"/>
        <v>6.23</v>
      </c>
      <c r="AO245">
        <f>ROUND(($J245*CIS_Inc_Salary2324*(VLOOKUP($A245,EnrollData2324,'2324 Jun 24 Enroll'!T$1,FALSE)+VLOOKUP($A245,EnrollData2324,'2324 Jun 24 Enroll'!U$1,FALSE))/Apport_613Xpd)*Apport_614Xpd,2)</f>
        <v>69.8</v>
      </c>
      <c r="AP245">
        <f t="shared" si="73"/>
        <v>12.1</v>
      </c>
      <c r="AQ245">
        <f t="shared" si="74"/>
        <v>30.93</v>
      </c>
      <c r="AR245" s="6">
        <f>ROUND((VLOOKUP($A245,EnrollData2324,'2324 Jun 24 Enroll'!D$1,FALSE)*Apport_M802324+VLOOKUP($A245,EnrollData2324,'2324 Jun 24 Enroll'!M$1,FALSE)*Apport_M802324+(VLOOKUP($A245,EnrollData2324,'2324 Jun 24 Enroll'!P$1,FALSE)+VLOOKUP($A245,EnrollData2324,'2324 Jun 24 Enroll'!Q$1,FALSE)+VLOOKUP($A245,EnrollData2324,'2324 Jun 24 Enroll'!R$1,FALSE)+VLOOKUP($A245,EnrollData2324,'2324 Jun 24 Enroll'!I$1,FALSE)+VLOOKUP($A245,EnrollData2324,'2324 Jun 24 Enroll'!N$1,FALSE)+VLOOKUP($A245,EnrollData2324,'2324 Jun 24 Enroll'!O$1,FALSE)+VLOOKUP($A245,EnrollData2324,'2324 Jun 24 Enroll'!K$1,FALSE)+VLOOKUP($A245,EnrollData2324,'2324 Jun 24 Enroll'!L$1,FALSE))*Apport_M812324)/(VLOOKUP($A245,EnrollData2324,'2324 Jun 24 Enroll'!M$1,FALSE)+VLOOKUP($A245,EnrollData2324,'2324 Jun 24 Enroll'!D$1,FALSE)),2)</f>
        <v>1483.44</v>
      </c>
      <c r="AS245" s="7">
        <f t="shared" si="75"/>
        <v>9356.4699999999993</v>
      </c>
    </row>
    <row r="246" spans="1:45">
      <c r="A246" s="40" t="s">
        <v>492</v>
      </c>
      <c r="B246" s="40" t="s">
        <v>493</v>
      </c>
      <c r="C246" s="11">
        <f>ROUND((IFERROR((1/IF(VLOOKUP($A246,EnrollData2324,28,FALSE)='District Calculations'!$B$10,VLOOKUP($A246,EnrollData2324,28,FALSE),'District Calculations'!$B$10))*(1+Apport_Z315),0))+Apport_201A2324,6)</f>
        <v>7.3449E-2</v>
      </c>
      <c r="D246">
        <f>ROUND(IF(VLOOKUP($A246,EnrollData2324,'2324 Jun 24 Enroll'!D$1,FALSE)='District Calculations'!$B$11,VLOOKUP($A246,EnrollData2324,'2324 Jun 24 Enroll'!D$1,FALSE),'District Calculations'!$B$11)*C246,3)</f>
        <v>0</v>
      </c>
      <c r="E246">
        <f>ROUND(IF(VLOOKUP($A246,EnrollData2324,'2324 Jun 24 Enroll'!E$1,FALSE)='District Calculations'!$B$12,VLOOKUP($A246,EnrollData2324,'2324 Jun 24 Enroll'!E$1,FALSE),'District Calculations'!$B$12)*C246,3)</f>
        <v>59.53</v>
      </c>
      <c r="F246">
        <f>ROUND(IF(VLOOKUP($A246,EnrollData2324,'2324 Jun 24 Enroll'!F$1,FALSE)='District Calculations'!$B$13,VLOOKUP($A246,EnrollData2324,'2324 Jun 24 Enroll'!F$1,FALSE),'District Calculations'!$B$13)*Apport_222A2324,3)</f>
        <v>10.101000000000001</v>
      </c>
      <c r="G246">
        <f>ROUND(IF(VLOOKUP($A246,EnrollData2324,'2324 Jun 24 Enroll'!G$1,FALSE)='District Calculations'!$B$14,VLOOKUP($A246,EnrollData2324,'2324 Jun 24 Enroll'!G$1,FALSE),'District Calculations'!$B$14)*Apport_210A2324,3)</f>
        <v>22.395</v>
      </c>
      <c r="H246">
        <f>ROUND(IF(VLOOKUP($A246,EnrollData2324,'2324 Jun 24 Enroll'!H$1,FALSE)='District Calculations'!$B$15,VLOOKUP($A246,EnrollData2324,'2324 Jun 24 Enroll'!H$1,FALSE),'District Calculations'!$B$15)*Apport_213A2324,3)</f>
        <v>23.091999999999999</v>
      </c>
      <c r="I246">
        <f>ROUND(IF(VLOOKUP($A246,EnrollData2324,'2324 Jun 24 Enroll'!I$1,FALSE)+VLOOKUP($A246,EnrollData2324,'2324 Jun 24 Enroll'!M$1,FALSE)-VLOOKUP($A246,EnrollData2324,'2324 Jun 24 Enroll'!J$1,FALSE)='District Calculations'!$B$16+'District Calculations'!$B$25-'District Calculations'!$B$17,VLOOKUP($A246,EnrollData2324,'2324 Jun 24 Enroll'!I$1,FALSE)+VLOOKUP($A246,EnrollData2324,'2324 Jun 24 Enroll'!M$1,FALSE)-VLOOKUP($A246,EnrollData2324,'2324 Jun 24 Enroll'!J$1,FALSE),'District Calculations'!$B$16+'District Calculations'!$B$25-'District Calculations'!$B$17)*Apport_216A2324,3)</f>
        <v>58.183999999999997</v>
      </c>
      <c r="J246">
        <f>ROUND(SUM(D246:I246)/(IF(VLOOKUP($A246,EnrollData2324,'2324 Jun 24 Enroll'!M$1,FALSE)='District Calculations'!$B$25,VLOOKUP($A246,EnrollData2324,'2324 Jun 24 Enroll'!M$1,FALSE),'District Calculations'!$B$25)+IF(VLOOKUP($A246,EnrollData2324,'2324 Jun 24 Enroll'!D$1,FALSE)='District Calculations'!$B$11,VLOOKUP($A246,EnrollData2324,'2324 Jun 24 Enroll'!D$1,FALSE),'District Calculations'!$B$11)),5)</f>
        <v>5.5530000000000003E-2</v>
      </c>
      <c r="K246" s="11">
        <f t="shared" si="65"/>
        <v>4.365E-3</v>
      </c>
      <c r="L246">
        <f>ROUND(IF(VLOOKUP($A246,EnrollData2324,'2324 Jun 24 Enroll'!D$1,FALSE)='District Calculations'!$B$11,VLOOKUP($A246,EnrollData2324,'2324 Jun 24 Enroll'!D$1,FALSE),'District Calculations'!$B$11)*K246,3)</f>
        <v>0</v>
      </c>
      <c r="M246">
        <f>ROUND(IF(VLOOKUP($A246,EnrollData2324,'2324 Jun 24 Enroll'!E$1,FALSE)='District Calculations'!$B$12,VLOOKUP($A246,EnrollData2324,'2324 Jun 24 Enroll'!E$1,FALSE),'District Calculations'!$B$12)*K246,3)</f>
        <v>3.5379999999999998</v>
      </c>
      <c r="N246">
        <f>ROUND(IF(VLOOKUP($A246,EnrollData2324,'2324 Jun 24 Enroll'!F$1,FALSE)='District Calculations'!$B$13,VLOOKUP($A246,EnrollData2324,'2324 Jun 24 Enroll'!F$1,FALSE),'District Calculations'!$B$13)*Apport_223A2324,3)</f>
        <v>0.84199999999999997</v>
      </c>
      <c r="O246">
        <f>ROUND(IF(VLOOKUP($A246,EnrollData2324,'2324 Jun 24 Enroll'!G$1,FALSE)='District Calculations'!$B$14,VLOOKUP($A246,EnrollData2324,'2324 Jun 24 Enroll'!G$1,FALSE),'District Calculations'!$B$14)*Apport_211A2324,3)</f>
        <v>1.867</v>
      </c>
      <c r="P246">
        <f>ROUND(IF(VLOOKUP($A246,EnrollData2324,'2324 Jun 24 Enroll'!H$1,FALSE)='District Calculations'!$B$14,VLOOKUP($A246,EnrollData2324,'2324 Jun 24 Enroll'!H$1,FALSE),'District Calculations'!$B$14)*Apport_214A2324,3)</f>
        <v>1.8660000000000001</v>
      </c>
      <c r="Q246">
        <f>ROUND(IF(VLOOKUP($A246,EnrollData2324,'2324 Jun 24 Enroll'!I$1,FALSE)+VLOOKUP($A246,EnrollData2324,'2324 Jun 24 Enroll'!M$1,FALSE)-VLOOKUP($A246,EnrollData2324,'2324 Jun 24 Enroll'!J$1,FALSE)='District Calculations'!$B$16+'District Calculations'!$B$25-'District Calculations'!$B$17,VLOOKUP($A246,EnrollData2324,'2324 Jun 24 Enroll'!I$1,FALSE)+VLOOKUP($A246,EnrollData2324,'2324 Jun 24 Enroll'!M$1,FALSE)-VLOOKUP($A246,EnrollData2324,'2324 Jun 24 Enroll'!J$1,FALSE),'District Calculations'!$B$16+'District Calculations'!$B$25-'District Calculations'!$B$17)*Apport_217A2324,3)</f>
        <v>4.6980000000000004</v>
      </c>
      <c r="R246">
        <f>ROUND(SUM(L246:Q246)/IF(VLOOKUP($A246,EnrollData2324,'2324 Jun 24 Enroll'!M$1,FALSE)+VLOOKUP($A246,EnrollData2324,'2324 Jun 24 Enroll'!D$1,FALSE)='District Calculations'!$B$25+'District Calculations'!$B$11,VLOOKUP($A246,EnrollData2324,'2324 Jun 24 Enroll'!M$1,FALSE)+VLOOKUP($A246,EnrollData2324,'2324 Jun 24 Enroll'!D$1,FALSE),'District Calculations'!$B$25+'District Calculations'!$B$11),5)</f>
        <v>4.1000000000000003E-3</v>
      </c>
      <c r="S246" s="11">
        <f t="shared" si="66"/>
        <v>1.8294500000000002E-2</v>
      </c>
      <c r="T246">
        <f>ROUND(IF(VLOOKUP($A246,EnrollData2324,'2324 Jun 24 Enroll'!D$1,FALSE)='District Calculations'!$B$11,VLOOKUP($A246,EnrollData2324,'2324 Jun 24 Enroll'!D$1,FALSE),'District Calculations'!$B$11)*S246,3)</f>
        <v>0</v>
      </c>
      <c r="U246">
        <f>ROUND(IF(VLOOKUP($A246,EnrollData2324,'2324 Jun 24 Enroll'!E$1,FALSE)='District Calculations'!$B$12,VLOOKUP($A246,EnrollData2324,'2324 Jun 24 Enroll'!E$1,FALSE),'District Calculations'!$B$12)*S246,3)</f>
        <v>14.827999999999999</v>
      </c>
      <c r="V246">
        <f>ROUND(IF(VLOOKUP($A246,EnrollData2324,'2324 Jun 24 Enroll'!F$1,FALSE)='District Calculations'!$B$13,VLOOKUP($A246,EnrollData2324,'2324 Jun 24 Enroll'!F$1,FALSE),'District Calculations'!$B$13)*Apport_224A2324,3)</f>
        <v>3.6190000000000002</v>
      </c>
      <c r="W246">
        <f>ROUND(IF(VLOOKUP($A246,EnrollData2324,'2324 Jun 24 Enroll'!G$1,FALSE)='District Calculations'!$B$14,VLOOKUP($A246,EnrollData2324,'2324 Jun 24 Enroll'!G$1,FALSE),'District Calculations'!$B$14)*Apport_212A2324,3)</f>
        <v>8.0239999999999991</v>
      </c>
      <c r="X246">
        <f>ROUND(IF(VLOOKUP($A246,EnrollData2324,'2324 Jun 24 Enroll'!H$1,FALSE)='District Calculations'!$B$14,VLOOKUP($A246,EnrollData2324,'2324 Jun 24 Enroll'!H$1,FALSE),'District Calculations'!$B$14)*Apport_215A2324,3)</f>
        <v>7.9279999999999999</v>
      </c>
      <c r="Y246">
        <f>ROUND(IF(VLOOKUP($A246,EnrollData2324,'2324 Jun 24 Enroll'!I$1,FALSE)+VLOOKUP($A246,EnrollData2324,'2324 Jun 24 Enroll'!M$1,FALSE)-VLOOKUP($A246,EnrollData2324,'2324 Jun 24 Enroll'!J$1,FALSE)='District Calculations'!$B$16+'District Calculations'!$B$25-'District Calculations'!$B$17,VLOOKUP($A246,EnrollData2324,'2324 Jun 24 Enroll'!I$1,FALSE)+VLOOKUP($A246,EnrollData2324,'2324 Jun 24 Enroll'!M$1,FALSE)-VLOOKUP($A246,EnrollData2324,'2324 Jun 24 Enroll'!J$1,FALSE),'District Calculations'!$B$16+'District Calculations'!$B$25-'District Calculations'!$B$17)*Apport_218A2324,3)</f>
        <v>19.917999999999999</v>
      </c>
      <c r="Z246">
        <f>ROUND(SUM(T246:Y246)/IF(VLOOKUP($A246,EnrollData2324,'2324 Jun 24 Enroll'!M$1,FALSE)+VLOOKUP($A246,EnrollData2324,'2324 Jun 24 Enroll'!D$1,FALSE)='District Calculations'!$B$25+'District Calculations'!$B$11,VLOOKUP($A246,EnrollData2324,'2324 Jun 24 Enroll'!M$1,FALSE)+VLOOKUP($A246,EnrollData2324,'2324 Jun 24 Enroll'!D$1,FALSE),'District Calculations'!$B$25+'District Calculations'!$B$11),5)</f>
        <v>1.7399999999999999E-2</v>
      </c>
      <c r="AA246" s="6">
        <f>ROUND($J246*CIS_Base_Salary2324*VLOOKUP($A246,EnrollData2324,'2324 Jun 24 Enroll'!S$1,FALSE),2)</f>
        <v>4038.59</v>
      </c>
      <c r="AB246" s="6">
        <f>ROUND($J246*CIS_Inc_Salary2324*(VLOOKUP($A246,EnrollData2324,'2324 Jun 24 Enroll'!T$1,FALSE)+VLOOKUP($A246,EnrollData2324,'2324 Jun 24 Enroll'!U$1,FALSE)),2)-AA246</f>
        <v>149.43000000000029</v>
      </c>
      <c r="AC246" s="6">
        <f>ROUND($R246*CAS_Base_Salary2324*VLOOKUP($A246,EnrollData2324,'2324 Jun 24 Enroll'!S$1,FALSE),2)</f>
        <v>442.62</v>
      </c>
      <c r="AD246" s="6">
        <f>ROUND($R246*CAS_Inc_Salary2324*VLOOKUP($A246,EnrollData2324,'2324 Jun 24 Enroll'!T$1,FALSE),2)-AC246</f>
        <v>16.379999999999995</v>
      </c>
      <c r="AE246" s="6">
        <f>ROUND($Z246*CLS_Base_Salary2324*VLOOKUP($A246,EnrollData2324,'2324 Jun 24 Enroll'!S$1,FALSE),2)</f>
        <v>907.81</v>
      </c>
      <c r="AF246" s="6">
        <f>ROUND($Z246*CLS_Inc_Salary2324*VLOOKUP($A246,EnrollData2324,'2324 Jun 24 Enroll'!T$1,FALSE),2)-AE246</f>
        <v>33.580000000000041</v>
      </c>
      <c r="AG246">
        <f t="shared" si="63"/>
        <v>734.16</v>
      </c>
      <c r="AH246" s="69">
        <f t="shared" si="67"/>
        <v>68.700000000000045</v>
      </c>
      <c r="AI246">
        <f t="shared" si="64"/>
        <v>214.23</v>
      </c>
      <c r="AJ246">
        <f t="shared" si="68"/>
        <v>114.21000000000001</v>
      </c>
      <c r="AK246">
        <f t="shared" si="69"/>
        <v>805.27</v>
      </c>
      <c r="AL246">
        <f t="shared" si="70"/>
        <v>28.73</v>
      </c>
      <c r="AM246">
        <f t="shared" si="71"/>
        <v>200.26</v>
      </c>
      <c r="AN246">
        <f t="shared" si="72"/>
        <v>6.23</v>
      </c>
      <c r="AO246">
        <f>ROUND(($J246*CIS_Inc_Salary2324*(VLOOKUP($A246,EnrollData2324,'2324 Jun 24 Enroll'!T$1,FALSE)+VLOOKUP($A246,EnrollData2324,'2324 Jun 24 Enroll'!U$1,FALSE))/Apport_613Xpd)*Apport_614Xpd,2)</f>
        <v>69.8</v>
      </c>
      <c r="AP246">
        <f t="shared" si="73"/>
        <v>12.1</v>
      </c>
      <c r="AQ246">
        <f t="shared" si="74"/>
        <v>30.93</v>
      </c>
      <c r="AR246" s="6">
        <f>ROUND((VLOOKUP($A246,EnrollData2324,'2324 Jun 24 Enroll'!D$1,FALSE)*Apport_M802324+VLOOKUP($A246,EnrollData2324,'2324 Jun 24 Enroll'!M$1,FALSE)*Apport_M802324+(VLOOKUP($A246,EnrollData2324,'2324 Jun 24 Enroll'!P$1,FALSE)+VLOOKUP($A246,EnrollData2324,'2324 Jun 24 Enroll'!Q$1,FALSE)+VLOOKUP($A246,EnrollData2324,'2324 Jun 24 Enroll'!R$1,FALSE)+VLOOKUP($A246,EnrollData2324,'2324 Jun 24 Enroll'!I$1,FALSE)+VLOOKUP($A246,EnrollData2324,'2324 Jun 24 Enroll'!N$1,FALSE)+VLOOKUP($A246,EnrollData2324,'2324 Jun 24 Enroll'!O$1,FALSE)+VLOOKUP($A246,EnrollData2324,'2324 Jun 24 Enroll'!K$1,FALSE)+VLOOKUP($A246,EnrollData2324,'2324 Jun 24 Enroll'!L$1,FALSE))*Apport_M812324)/(VLOOKUP($A246,EnrollData2324,'2324 Jun 24 Enroll'!M$1,FALSE)+VLOOKUP($A246,EnrollData2324,'2324 Jun 24 Enroll'!D$1,FALSE)),2)</f>
        <v>1483.44</v>
      </c>
      <c r="AS246" s="7">
        <f t="shared" si="75"/>
        <v>9356.4699999999993</v>
      </c>
    </row>
    <row r="247" spans="1:45">
      <c r="A247" s="40" t="s">
        <v>623</v>
      </c>
      <c r="B247" s="40" t="s">
        <v>624</v>
      </c>
      <c r="C247" s="11">
        <f>ROUND((IFERROR((1/IF(VLOOKUP($A247,EnrollData2324,28,FALSE)='District Calculations'!$B$10,VLOOKUP($A247,EnrollData2324,28,FALSE),'District Calculations'!$B$10))*(1+Apport_Z315),0))+Apport_201A2324,6)</f>
        <v>7.3449E-2</v>
      </c>
      <c r="D247">
        <f>ROUND(IF(VLOOKUP($A247,EnrollData2324,'2324 Jun 24 Enroll'!D$1,FALSE)='District Calculations'!$B$11,VLOOKUP($A247,EnrollData2324,'2324 Jun 24 Enroll'!D$1,FALSE),'District Calculations'!$B$11)*C247,3)</f>
        <v>0</v>
      </c>
      <c r="E247">
        <f>ROUND(IF(VLOOKUP($A247,EnrollData2324,'2324 Jun 24 Enroll'!E$1,FALSE)='District Calculations'!$B$12,VLOOKUP($A247,EnrollData2324,'2324 Jun 24 Enroll'!E$1,FALSE),'District Calculations'!$B$12)*C247,3)</f>
        <v>59.53</v>
      </c>
      <c r="F247">
        <f>ROUND(IF(VLOOKUP($A247,EnrollData2324,'2324 Jun 24 Enroll'!F$1,FALSE)='District Calculations'!$B$13,VLOOKUP($A247,EnrollData2324,'2324 Jun 24 Enroll'!F$1,FALSE),'District Calculations'!$B$13)*Apport_222A2324,3)</f>
        <v>10.101000000000001</v>
      </c>
      <c r="G247">
        <f>ROUND(IF(VLOOKUP($A247,EnrollData2324,'2324 Jun 24 Enroll'!G$1,FALSE)='District Calculations'!$B$14,VLOOKUP($A247,EnrollData2324,'2324 Jun 24 Enroll'!G$1,FALSE),'District Calculations'!$B$14)*Apport_210A2324,3)</f>
        <v>22.395</v>
      </c>
      <c r="H247">
        <f>ROUND(IF(VLOOKUP($A247,EnrollData2324,'2324 Jun 24 Enroll'!H$1,FALSE)='District Calculations'!$B$15,VLOOKUP($A247,EnrollData2324,'2324 Jun 24 Enroll'!H$1,FALSE),'District Calculations'!$B$15)*Apport_213A2324,3)</f>
        <v>23.091999999999999</v>
      </c>
      <c r="I247">
        <f>ROUND(IF(VLOOKUP($A247,EnrollData2324,'2324 Jun 24 Enroll'!I$1,FALSE)+VLOOKUP($A247,EnrollData2324,'2324 Jun 24 Enroll'!M$1,FALSE)-VLOOKUP($A247,EnrollData2324,'2324 Jun 24 Enroll'!J$1,FALSE)='District Calculations'!$B$16+'District Calculations'!$B$25-'District Calculations'!$B$17,VLOOKUP($A247,EnrollData2324,'2324 Jun 24 Enroll'!I$1,FALSE)+VLOOKUP($A247,EnrollData2324,'2324 Jun 24 Enroll'!M$1,FALSE)-VLOOKUP($A247,EnrollData2324,'2324 Jun 24 Enroll'!J$1,FALSE),'District Calculations'!$B$16+'District Calculations'!$B$25-'District Calculations'!$B$17)*Apport_216A2324,3)</f>
        <v>58.183999999999997</v>
      </c>
      <c r="J247">
        <f>ROUND(SUM(D247:I247)/(IF(VLOOKUP($A247,EnrollData2324,'2324 Jun 24 Enroll'!M$1,FALSE)='District Calculations'!$B$25,VLOOKUP($A247,EnrollData2324,'2324 Jun 24 Enroll'!M$1,FALSE),'District Calculations'!$B$25)+IF(VLOOKUP($A247,EnrollData2324,'2324 Jun 24 Enroll'!D$1,FALSE)='District Calculations'!$B$11,VLOOKUP($A247,EnrollData2324,'2324 Jun 24 Enroll'!D$1,FALSE),'District Calculations'!$B$11)),5)</f>
        <v>5.5530000000000003E-2</v>
      </c>
      <c r="K247" s="11">
        <f t="shared" si="65"/>
        <v>4.365E-3</v>
      </c>
      <c r="L247">
        <f>ROUND(IF(VLOOKUP($A247,EnrollData2324,'2324 Jun 24 Enroll'!D$1,FALSE)='District Calculations'!$B$11,VLOOKUP($A247,EnrollData2324,'2324 Jun 24 Enroll'!D$1,FALSE),'District Calculations'!$B$11)*K247,3)</f>
        <v>0</v>
      </c>
      <c r="M247">
        <f>ROUND(IF(VLOOKUP($A247,EnrollData2324,'2324 Jun 24 Enroll'!E$1,FALSE)='District Calculations'!$B$12,VLOOKUP($A247,EnrollData2324,'2324 Jun 24 Enroll'!E$1,FALSE),'District Calculations'!$B$12)*K247,3)</f>
        <v>3.5379999999999998</v>
      </c>
      <c r="N247">
        <f>ROUND(IF(VLOOKUP($A247,EnrollData2324,'2324 Jun 24 Enroll'!F$1,FALSE)='District Calculations'!$B$13,VLOOKUP($A247,EnrollData2324,'2324 Jun 24 Enroll'!F$1,FALSE),'District Calculations'!$B$13)*Apport_223A2324,3)</f>
        <v>0.84199999999999997</v>
      </c>
      <c r="O247">
        <f>ROUND(IF(VLOOKUP($A247,EnrollData2324,'2324 Jun 24 Enroll'!G$1,FALSE)='District Calculations'!$B$14,VLOOKUP($A247,EnrollData2324,'2324 Jun 24 Enroll'!G$1,FALSE),'District Calculations'!$B$14)*Apport_211A2324,3)</f>
        <v>1.867</v>
      </c>
      <c r="P247">
        <f>ROUND(IF(VLOOKUP($A247,EnrollData2324,'2324 Jun 24 Enroll'!H$1,FALSE)='District Calculations'!$B$14,VLOOKUP($A247,EnrollData2324,'2324 Jun 24 Enroll'!H$1,FALSE),'District Calculations'!$B$14)*Apport_214A2324,3)</f>
        <v>1.8660000000000001</v>
      </c>
      <c r="Q247">
        <f>ROUND(IF(VLOOKUP($A247,EnrollData2324,'2324 Jun 24 Enroll'!I$1,FALSE)+VLOOKUP($A247,EnrollData2324,'2324 Jun 24 Enroll'!M$1,FALSE)-VLOOKUP($A247,EnrollData2324,'2324 Jun 24 Enroll'!J$1,FALSE)='District Calculations'!$B$16+'District Calculations'!$B$25-'District Calculations'!$B$17,VLOOKUP($A247,EnrollData2324,'2324 Jun 24 Enroll'!I$1,FALSE)+VLOOKUP($A247,EnrollData2324,'2324 Jun 24 Enroll'!M$1,FALSE)-VLOOKUP($A247,EnrollData2324,'2324 Jun 24 Enroll'!J$1,FALSE),'District Calculations'!$B$16+'District Calculations'!$B$25-'District Calculations'!$B$17)*Apport_217A2324,3)</f>
        <v>4.6980000000000004</v>
      </c>
      <c r="R247">
        <f>ROUND(SUM(L247:Q247)/IF(VLOOKUP($A247,EnrollData2324,'2324 Jun 24 Enroll'!M$1,FALSE)+VLOOKUP($A247,EnrollData2324,'2324 Jun 24 Enroll'!D$1,FALSE)='District Calculations'!$B$25+'District Calculations'!$B$11,VLOOKUP($A247,EnrollData2324,'2324 Jun 24 Enroll'!M$1,FALSE)+VLOOKUP($A247,EnrollData2324,'2324 Jun 24 Enroll'!D$1,FALSE),'District Calculations'!$B$25+'District Calculations'!$B$11),5)</f>
        <v>4.1000000000000003E-3</v>
      </c>
      <c r="S247" s="11">
        <f t="shared" si="66"/>
        <v>1.8294500000000002E-2</v>
      </c>
      <c r="T247">
        <f>ROUND(IF(VLOOKUP($A247,EnrollData2324,'2324 Jun 24 Enroll'!D$1,FALSE)='District Calculations'!$B$11,VLOOKUP($A247,EnrollData2324,'2324 Jun 24 Enroll'!D$1,FALSE),'District Calculations'!$B$11)*S247,3)</f>
        <v>0</v>
      </c>
      <c r="U247">
        <f>ROUND(IF(VLOOKUP($A247,EnrollData2324,'2324 Jun 24 Enroll'!E$1,FALSE)='District Calculations'!$B$12,VLOOKUP($A247,EnrollData2324,'2324 Jun 24 Enroll'!E$1,FALSE),'District Calculations'!$B$12)*S247,3)</f>
        <v>14.827999999999999</v>
      </c>
      <c r="V247">
        <f>ROUND(IF(VLOOKUP($A247,EnrollData2324,'2324 Jun 24 Enroll'!F$1,FALSE)='District Calculations'!$B$13,VLOOKUP($A247,EnrollData2324,'2324 Jun 24 Enroll'!F$1,FALSE),'District Calculations'!$B$13)*Apport_224A2324,3)</f>
        <v>3.6190000000000002</v>
      </c>
      <c r="W247">
        <f>ROUND(IF(VLOOKUP($A247,EnrollData2324,'2324 Jun 24 Enroll'!G$1,FALSE)='District Calculations'!$B$14,VLOOKUP($A247,EnrollData2324,'2324 Jun 24 Enroll'!G$1,FALSE),'District Calculations'!$B$14)*Apport_212A2324,3)</f>
        <v>8.0239999999999991</v>
      </c>
      <c r="X247">
        <f>ROUND(IF(VLOOKUP($A247,EnrollData2324,'2324 Jun 24 Enroll'!H$1,FALSE)='District Calculations'!$B$14,VLOOKUP($A247,EnrollData2324,'2324 Jun 24 Enroll'!H$1,FALSE),'District Calculations'!$B$14)*Apport_215A2324,3)</f>
        <v>7.9279999999999999</v>
      </c>
      <c r="Y247">
        <f>ROUND(IF(VLOOKUP($A247,EnrollData2324,'2324 Jun 24 Enroll'!I$1,FALSE)+VLOOKUP($A247,EnrollData2324,'2324 Jun 24 Enroll'!M$1,FALSE)-VLOOKUP($A247,EnrollData2324,'2324 Jun 24 Enroll'!J$1,FALSE)='District Calculations'!$B$16+'District Calculations'!$B$25-'District Calculations'!$B$17,VLOOKUP($A247,EnrollData2324,'2324 Jun 24 Enroll'!I$1,FALSE)+VLOOKUP($A247,EnrollData2324,'2324 Jun 24 Enroll'!M$1,FALSE)-VLOOKUP($A247,EnrollData2324,'2324 Jun 24 Enroll'!J$1,FALSE),'District Calculations'!$B$16+'District Calculations'!$B$25-'District Calculations'!$B$17)*Apport_218A2324,3)</f>
        <v>19.917999999999999</v>
      </c>
      <c r="Z247">
        <f>ROUND(SUM(T247:Y247)/IF(VLOOKUP($A247,EnrollData2324,'2324 Jun 24 Enroll'!M$1,FALSE)+VLOOKUP($A247,EnrollData2324,'2324 Jun 24 Enroll'!D$1,FALSE)='District Calculations'!$B$25+'District Calculations'!$B$11,VLOOKUP($A247,EnrollData2324,'2324 Jun 24 Enroll'!M$1,FALSE)+VLOOKUP($A247,EnrollData2324,'2324 Jun 24 Enroll'!D$1,FALSE),'District Calculations'!$B$25+'District Calculations'!$B$11),5)</f>
        <v>1.7399999999999999E-2</v>
      </c>
      <c r="AA247" s="6">
        <f>ROUND($J247*CIS_Base_Salary2324*VLOOKUP($A247,EnrollData2324,'2324 Jun 24 Enroll'!S$1,FALSE),2)</f>
        <v>4038.59</v>
      </c>
      <c r="AB247" s="6">
        <f>ROUND($J247*CIS_Inc_Salary2324*(VLOOKUP($A247,EnrollData2324,'2324 Jun 24 Enroll'!T$1,FALSE)+VLOOKUP($A247,EnrollData2324,'2324 Jun 24 Enroll'!U$1,FALSE)),2)-AA247</f>
        <v>316.94999999999982</v>
      </c>
      <c r="AC247" s="6">
        <f>ROUND($R247*CAS_Base_Salary2324*VLOOKUP($A247,EnrollData2324,'2324 Jun 24 Enroll'!S$1,FALSE),2)</f>
        <v>442.62</v>
      </c>
      <c r="AD247" s="6">
        <f>ROUND($R247*CAS_Inc_Salary2324*VLOOKUP($A247,EnrollData2324,'2324 Jun 24 Enroll'!T$1,FALSE),2)-AC247</f>
        <v>16.379999999999995</v>
      </c>
      <c r="AE247" s="6">
        <f>ROUND($Z247*CLS_Base_Salary2324*VLOOKUP($A247,EnrollData2324,'2324 Jun 24 Enroll'!S$1,FALSE),2)</f>
        <v>907.81</v>
      </c>
      <c r="AF247" s="6">
        <f>ROUND($Z247*CLS_Inc_Salary2324*VLOOKUP($A247,EnrollData2324,'2324 Jun 24 Enroll'!T$1,FALSE),2)-AE247</f>
        <v>33.580000000000041</v>
      </c>
      <c r="AG247">
        <f t="shared" si="63"/>
        <v>734.16</v>
      </c>
      <c r="AH247" s="69">
        <f t="shared" si="67"/>
        <v>68.700000000000045</v>
      </c>
      <c r="AI247">
        <f t="shared" si="64"/>
        <v>214.23</v>
      </c>
      <c r="AJ247">
        <f t="shared" si="68"/>
        <v>114.21000000000001</v>
      </c>
      <c r="AK247">
        <f t="shared" si="69"/>
        <v>805.27</v>
      </c>
      <c r="AL247">
        <f t="shared" si="70"/>
        <v>57.77</v>
      </c>
      <c r="AM247">
        <f t="shared" si="71"/>
        <v>200.26</v>
      </c>
      <c r="AN247">
        <f t="shared" si="72"/>
        <v>6.23</v>
      </c>
      <c r="AO247">
        <f>ROUND(($J247*CIS_Inc_Salary2324*(VLOOKUP($A247,EnrollData2324,'2324 Jun 24 Enroll'!T$1,FALSE)+VLOOKUP($A247,EnrollData2324,'2324 Jun 24 Enroll'!U$1,FALSE))/Apport_613Xpd)*Apport_614Xpd,2)</f>
        <v>72.59</v>
      </c>
      <c r="AP247">
        <f t="shared" si="73"/>
        <v>12.58</v>
      </c>
      <c r="AQ247">
        <f t="shared" si="74"/>
        <v>30.93</v>
      </c>
      <c r="AR247" s="6">
        <f>ROUND((VLOOKUP($A247,EnrollData2324,'2324 Jun 24 Enroll'!D$1,FALSE)*Apport_M802324+VLOOKUP($A247,EnrollData2324,'2324 Jun 24 Enroll'!M$1,FALSE)*Apport_M802324+(VLOOKUP($A247,EnrollData2324,'2324 Jun 24 Enroll'!P$1,FALSE)+VLOOKUP($A247,EnrollData2324,'2324 Jun 24 Enroll'!Q$1,FALSE)+VLOOKUP($A247,EnrollData2324,'2324 Jun 24 Enroll'!R$1,FALSE)+VLOOKUP($A247,EnrollData2324,'2324 Jun 24 Enroll'!I$1,FALSE)+VLOOKUP($A247,EnrollData2324,'2324 Jun 24 Enroll'!N$1,FALSE)+VLOOKUP($A247,EnrollData2324,'2324 Jun 24 Enroll'!O$1,FALSE)+VLOOKUP($A247,EnrollData2324,'2324 Jun 24 Enroll'!K$1,FALSE)+VLOOKUP($A247,EnrollData2324,'2324 Jun 24 Enroll'!L$1,FALSE))*Apport_M812324)/(VLOOKUP($A247,EnrollData2324,'2324 Jun 24 Enroll'!M$1,FALSE)+VLOOKUP($A247,EnrollData2324,'2324 Jun 24 Enroll'!D$1,FALSE)),2)</f>
        <v>1560.63</v>
      </c>
      <c r="AS247" s="7">
        <f t="shared" si="75"/>
        <v>9633.4900000000016</v>
      </c>
    </row>
    <row r="248" spans="1:45">
      <c r="A248" s="40" t="s">
        <v>584</v>
      </c>
      <c r="B248" s="40" t="s">
        <v>585</v>
      </c>
      <c r="C248" s="11">
        <f>ROUND((IFERROR((1/IF(VLOOKUP($A248,EnrollData2324,28,FALSE)='District Calculations'!$B$10,VLOOKUP($A248,EnrollData2324,28,FALSE),'District Calculations'!$B$10))*(1+Apport_Z315),0))+Apport_201A2324,6)</f>
        <v>7.3449E-2</v>
      </c>
      <c r="D248">
        <f>ROUND(IF(VLOOKUP($A248,EnrollData2324,'2324 Jun 24 Enroll'!D$1,FALSE)='District Calculations'!$B$11,VLOOKUP($A248,EnrollData2324,'2324 Jun 24 Enroll'!D$1,FALSE),'District Calculations'!$B$11)*C248,3)</f>
        <v>0</v>
      </c>
      <c r="E248">
        <f>ROUND(IF(VLOOKUP($A248,EnrollData2324,'2324 Jun 24 Enroll'!E$1,FALSE)='District Calculations'!$B$12,VLOOKUP($A248,EnrollData2324,'2324 Jun 24 Enroll'!E$1,FALSE),'District Calculations'!$B$12)*C248,3)</f>
        <v>59.53</v>
      </c>
      <c r="F248">
        <f>ROUND(IF(VLOOKUP($A248,EnrollData2324,'2324 Jun 24 Enroll'!F$1,FALSE)='District Calculations'!$B$13,VLOOKUP($A248,EnrollData2324,'2324 Jun 24 Enroll'!F$1,FALSE),'District Calculations'!$B$13)*Apport_222A2324,3)</f>
        <v>10.101000000000001</v>
      </c>
      <c r="G248">
        <f>ROUND(IF(VLOOKUP($A248,EnrollData2324,'2324 Jun 24 Enroll'!G$1,FALSE)='District Calculations'!$B$14,VLOOKUP($A248,EnrollData2324,'2324 Jun 24 Enroll'!G$1,FALSE),'District Calculations'!$B$14)*Apport_210A2324,3)</f>
        <v>22.395</v>
      </c>
      <c r="H248">
        <f>ROUND(IF(VLOOKUP($A248,EnrollData2324,'2324 Jun 24 Enroll'!H$1,FALSE)='District Calculations'!$B$15,VLOOKUP($A248,EnrollData2324,'2324 Jun 24 Enroll'!H$1,FALSE),'District Calculations'!$B$15)*Apport_213A2324,3)</f>
        <v>23.091999999999999</v>
      </c>
      <c r="I248">
        <f>ROUND(IF(VLOOKUP($A248,EnrollData2324,'2324 Jun 24 Enroll'!I$1,FALSE)+VLOOKUP($A248,EnrollData2324,'2324 Jun 24 Enroll'!M$1,FALSE)-VLOOKUP($A248,EnrollData2324,'2324 Jun 24 Enroll'!J$1,FALSE)='District Calculations'!$B$16+'District Calculations'!$B$25-'District Calculations'!$B$17,VLOOKUP($A248,EnrollData2324,'2324 Jun 24 Enroll'!I$1,FALSE)+VLOOKUP($A248,EnrollData2324,'2324 Jun 24 Enroll'!M$1,FALSE)-VLOOKUP($A248,EnrollData2324,'2324 Jun 24 Enroll'!J$1,FALSE),'District Calculations'!$B$16+'District Calculations'!$B$25-'District Calculations'!$B$17)*Apport_216A2324,3)</f>
        <v>58.183999999999997</v>
      </c>
      <c r="J248">
        <f>ROUND(SUM(D248:I248)/(IF(VLOOKUP($A248,EnrollData2324,'2324 Jun 24 Enroll'!M$1,FALSE)='District Calculations'!$B$25,VLOOKUP($A248,EnrollData2324,'2324 Jun 24 Enroll'!M$1,FALSE),'District Calculations'!$B$25)+IF(VLOOKUP($A248,EnrollData2324,'2324 Jun 24 Enroll'!D$1,FALSE)='District Calculations'!$B$11,VLOOKUP($A248,EnrollData2324,'2324 Jun 24 Enroll'!D$1,FALSE),'District Calculations'!$B$11)),5)</f>
        <v>5.5530000000000003E-2</v>
      </c>
      <c r="K248" s="11">
        <f t="shared" si="65"/>
        <v>4.365E-3</v>
      </c>
      <c r="L248">
        <f>ROUND(IF(VLOOKUP($A248,EnrollData2324,'2324 Jun 24 Enroll'!D$1,FALSE)='District Calculations'!$B$11,VLOOKUP($A248,EnrollData2324,'2324 Jun 24 Enroll'!D$1,FALSE),'District Calculations'!$B$11)*K248,3)</f>
        <v>0</v>
      </c>
      <c r="M248">
        <f>ROUND(IF(VLOOKUP($A248,EnrollData2324,'2324 Jun 24 Enroll'!E$1,FALSE)='District Calculations'!$B$12,VLOOKUP($A248,EnrollData2324,'2324 Jun 24 Enroll'!E$1,FALSE),'District Calculations'!$B$12)*K248,3)</f>
        <v>3.5379999999999998</v>
      </c>
      <c r="N248">
        <f>ROUND(IF(VLOOKUP($A248,EnrollData2324,'2324 Jun 24 Enroll'!F$1,FALSE)='District Calculations'!$B$13,VLOOKUP($A248,EnrollData2324,'2324 Jun 24 Enroll'!F$1,FALSE),'District Calculations'!$B$13)*Apport_223A2324,3)</f>
        <v>0.84199999999999997</v>
      </c>
      <c r="O248">
        <f>ROUND(IF(VLOOKUP($A248,EnrollData2324,'2324 Jun 24 Enroll'!G$1,FALSE)='District Calculations'!$B$14,VLOOKUP($A248,EnrollData2324,'2324 Jun 24 Enroll'!G$1,FALSE),'District Calculations'!$B$14)*Apport_211A2324,3)</f>
        <v>1.867</v>
      </c>
      <c r="P248">
        <f>ROUND(IF(VLOOKUP($A248,EnrollData2324,'2324 Jun 24 Enroll'!H$1,FALSE)='District Calculations'!$B$14,VLOOKUP($A248,EnrollData2324,'2324 Jun 24 Enroll'!H$1,FALSE),'District Calculations'!$B$14)*Apport_214A2324,3)</f>
        <v>1.8660000000000001</v>
      </c>
      <c r="Q248">
        <f>ROUND(IF(VLOOKUP($A248,EnrollData2324,'2324 Jun 24 Enroll'!I$1,FALSE)+VLOOKUP($A248,EnrollData2324,'2324 Jun 24 Enroll'!M$1,FALSE)-VLOOKUP($A248,EnrollData2324,'2324 Jun 24 Enroll'!J$1,FALSE)='District Calculations'!$B$16+'District Calculations'!$B$25-'District Calculations'!$B$17,VLOOKUP($A248,EnrollData2324,'2324 Jun 24 Enroll'!I$1,FALSE)+VLOOKUP($A248,EnrollData2324,'2324 Jun 24 Enroll'!M$1,FALSE)-VLOOKUP($A248,EnrollData2324,'2324 Jun 24 Enroll'!J$1,FALSE),'District Calculations'!$B$16+'District Calculations'!$B$25-'District Calculations'!$B$17)*Apport_217A2324,3)</f>
        <v>4.6980000000000004</v>
      </c>
      <c r="R248">
        <f>ROUND(SUM(L248:Q248)/IF(VLOOKUP($A248,EnrollData2324,'2324 Jun 24 Enroll'!M$1,FALSE)+VLOOKUP($A248,EnrollData2324,'2324 Jun 24 Enroll'!D$1,FALSE)='District Calculations'!$B$25+'District Calculations'!$B$11,VLOOKUP($A248,EnrollData2324,'2324 Jun 24 Enroll'!M$1,FALSE)+VLOOKUP($A248,EnrollData2324,'2324 Jun 24 Enroll'!D$1,FALSE),'District Calculations'!$B$25+'District Calculations'!$B$11),5)</f>
        <v>4.1000000000000003E-3</v>
      </c>
      <c r="S248" s="11">
        <f t="shared" si="66"/>
        <v>1.8294500000000002E-2</v>
      </c>
      <c r="T248">
        <f>ROUND(IF(VLOOKUP($A248,EnrollData2324,'2324 Jun 24 Enroll'!D$1,FALSE)='District Calculations'!$B$11,VLOOKUP($A248,EnrollData2324,'2324 Jun 24 Enroll'!D$1,FALSE),'District Calculations'!$B$11)*S248,3)</f>
        <v>0</v>
      </c>
      <c r="U248">
        <f>ROUND(IF(VLOOKUP($A248,EnrollData2324,'2324 Jun 24 Enroll'!E$1,FALSE)='District Calculations'!$B$12,VLOOKUP($A248,EnrollData2324,'2324 Jun 24 Enroll'!E$1,FALSE),'District Calculations'!$B$12)*S248,3)</f>
        <v>14.827999999999999</v>
      </c>
      <c r="V248">
        <f>ROUND(IF(VLOOKUP($A248,EnrollData2324,'2324 Jun 24 Enroll'!F$1,FALSE)='District Calculations'!$B$13,VLOOKUP($A248,EnrollData2324,'2324 Jun 24 Enroll'!F$1,FALSE),'District Calculations'!$B$13)*Apport_224A2324,3)</f>
        <v>3.6190000000000002</v>
      </c>
      <c r="W248">
        <f>ROUND(IF(VLOOKUP($A248,EnrollData2324,'2324 Jun 24 Enroll'!G$1,FALSE)='District Calculations'!$B$14,VLOOKUP($A248,EnrollData2324,'2324 Jun 24 Enroll'!G$1,FALSE),'District Calculations'!$B$14)*Apport_212A2324,3)</f>
        <v>8.0239999999999991</v>
      </c>
      <c r="X248">
        <f>ROUND(IF(VLOOKUP($A248,EnrollData2324,'2324 Jun 24 Enroll'!H$1,FALSE)='District Calculations'!$B$14,VLOOKUP($A248,EnrollData2324,'2324 Jun 24 Enroll'!H$1,FALSE),'District Calculations'!$B$14)*Apport_215A2324,3)</f>
        <v>7.9279999999999999</v>
      </c>
      <c r="Y248">
        <f>ROUND(IF(VLOOKUP($A248,EnrollData2324,'2324 Jun 24 Enroll'!I$1,FALSE)+VLOOKUP($A248,EnrollData2324,'2324 Jun 24 Enroll'!M$1,FALSE)-VLOOKUP($A248,EnrollData2324,'2324 Jun 24 Enroll'!J$1,FALSE)='District Calculations'!$B$16+'District Calculations'!$B$25-'District Calculations'!$B$17,VLOOKUP($A248,EnrollData2324,'2324 Jun 24 Enroll'!I$1,FALSE)+VLOOKUP($A248,EnrollData2324,'2324 Jun 24 Enroll'!M$1,FALSE)-VLOOKUP($A248,EnrollData2324,'2324 Jun 24 Enroll'!J$1,FALSE),'District Calculations'!$B$16+'District Calculations'!$B$25-'District Calculations'!$B$17)*Apport_218A2324,3)</f>
        <v>19.917999999999999</v>
      </c>
      <c r="Z248">
        <f>ROUND(SUM(T248:Y248)/IF(VLOOKUP($A248,EnrollData2324,'2324 Jun 24 Enroll'!M$1,FALSE)+VLOOKUP($A248,EnrollData2324,'2324 Jun 24 Enroll'!D$1,FALSE)='District Calculations'!$B$25+'District Calculations'!$B$11,VLOOKUP($A248,EnrollData2324,'2324 Jun 24 Enroll'!M$1,FALSE)+VLOOKUP($A248,EnrollData2324,'2324 Jun 24 Enroll'!D$1,FALSE),'District Calculations'!$B$25+'District Calculations'!$B$11),5)</f>
        <v>1.7399999999999999E-2</v>
      </c>
      <c r="AA248" s="6">
        <f>ROUND($J248*CIS_Base_Salary2324*VLOOKUP($A248,EnrollData2324,'2324 Jun 24 Enroll'!S$1,FALSE),2)</f>
        <v>4038.59</v>
      </c>
      <c r="AB248" s="6">
        <f>ROUND($J248*CIS_Inc_Salary2324*(VLOOKUP($A248,EnrollData2324,'2324 Jun 24 Enroll'!T$1,FALSE)+VLOOKUP($A248,EnrollData2324,'2324 Jun 24 Enroll'!U$1,FALSE)),2)-AA248</f>
        <v>149.43000000000029</v>
      </c>
      <c r="AC248" s="6">
        <f>ROUND($R248*CAS_Base_Salary2324*VLOOKUP($A248,EnrollData2324,'2324 Jun 24 Enroll'!S$1,FALSE),2)</f>
        <v>442.62</v>
      </c>
      <c r="AD248" s="6">
        <f>ROUND($R248*CAS_Inc_Salary2324*VLOOKUP($A248,EnrollData2324,'2324 Jun 24 Enroll'!T$1,FALSE),2)-AC248</f>
        <v>16.379999999999995</v>
      </c>
      <c r="AE248" s="6">
        <f>ROUND($Z248*CLS_Base_Salary2324*VLOOKUP($A248,EnrollData2324,'2324 Jun 24 Enroll'!S$1,FALSE),2)</f>
        <v>907.81</v>
      </c>
      <c r="AF248" s="6">
        <f>ROUND($Z248*CLS_Inc_Salary2324*VLOOKUP($A248,EnrollData2324,'2324 Jun 24 Enroll'!T$1,FALSE),2)-AE248</f>
        <v>33.580000000000041</v>
      </c>
      <c r="AG248">
        <f t="shared" si="63"/>
        <v>734.16</v>
      </c>
      <c r="AH248" s="69">
        <f t="shared" si="67"/>
        <v>68.700000000000045</v>
      </c>
      <c r="AI248">
        <f t="shared" si="64"/>
        <v>214.23</v>
      </c>
      <c r="AJ248">
        <f t="shared" si="68"/>
        <v>114.21000000000001</v>
      </c>
      <c r="AK248">
        <f t="shared" si="69"/>
        <v>805.27</v>
      </c>
      <c r="AL248">
        <f t="shared" si="70"/>
        <v>28.73</v>
      </c>
      <c r="AM248">
        <f t="shared" si="71"/>
        <v>200.26</v>
      </c>
      <c r="AN248">
        <f t="shared" si="72"/>
        <v>6.23</v>
      </c>
      <c r="AO248">
        <f>ROUND(($J248*CIS_Inc_Salary2324*(VLOOKUP($A248,EnrollData2324,'2324 Jun 24 Enroll'!T$1,FALSE)+VLOOKUP($A248,EnrollData2324,'2324 Jun 24 Enroll'!U$1,FALSE))/Apport_613Xpd)*Apport_614Xpd,2)</f>
        <v>69.8</v>
      </c>
      <c r="AP248">
        <f t="shared" si="73"/>
        <v>12.1</v>
      </c>
      <c r="AQ248">
        <f t="shared" si="74"/>
        <v>30.93</v>
      </c>
      <c r="AR248" s="6">
        <f>ROUND((VLOOKUP($A248,EnrollData2324,'2324 Jun 24 Enroll'!D$1,FALSE)*Apport_M802324+VLOOKUP($A248,EnrollData2324,'2324 Jun 24 Enroll'!M$1,FALSE)*Apport_M802324+(VLOOKUP($A248,EnrollData2324,'2324 Jun 24 Enroll'!P$1,FALSE)+VLOOKUP($A248,EnrollData2324,'2324 Jun 24 Enroll'!Q$1,FALSE)+VLOOKUP($A248,EnrollData2324,'2324 Jun 24 Enroll'!R$1,FALSE)+VLOOKUP($A248,EnrollData2324,'2324 Jun 24 Enroll'!I$1,FALSE)+VLOOKUP($A248,EnrollData2324,'2324 Jun 24 Enroll'!N$1,FALSE)+VLOOKUP($A248,EnrollData2324,'2324 Jun 24 Enroll'!O$1,FALSE)+VLOOKUP($A248,EnrollData2324,'2324 Jun 24 Enroll'!K$1,FALSE)+VLOOKUP($A248,EnrollData2324,'2324 Jun 24 Enroll'!L$1,FALSE))*Apport_M812324)/(VLOOKUP($A248,EnrollData2324,'2324 Jun 24 Enroll'!M$1,FALSE)+VLOOKUP($A248,EnrollData2324,'2324 Jun 24 Enroll'!D$1,FALSE)),2)</f>
        <v>1543.62</v>
      </c>
      <c r="AS248" s="7">
        <f t="shared" si="75"/>
        <v>9416.65</v>
      </c>
    </row>
    <row r="249" spans="1:45">
      <c r="A249" s="40" t="s">
        <v>582</v>
      </c>
      <c r="B249" s="40" t="s">
        <v>583</v>
      </c>
      <c r="C249" s="11">
        <f>ROUND((IFERROR((1/IF(VLOOKUP($A249,EnrollData2324,28,FALSE)='District Calculations'!$B$10,VLOOKUP($A249,EnrollData2324,28,FALSE),'District Calculations'!$B$10))*(1+Apport_Z315),0))+Apport_201A2324,6)</f>
        <v>7.3449E-2</v>
      </c>
      <c r="D249">
        <f>ROUND(IF(VLOOKUP($A249,EnrollData2324,'2324 Jun 24 Enroll'!D$1,FALSE)='District Calculations'!$B$11,VLOOKUP($A249,EnrollData2324,'2324 Jun 24 Enroll'!D$1,FALSE),'District Calculations'!$B$11)*C249,3)</f>
        <v>0</v>
      </c>
      <c r="E249">
        <f>ROUND(IF(VLOOKUP($A249,EnrollData2324,'2324 Jun 24 Enroll'!E$1,FALSE)='District Calculations'!$B$12,VLOOKUP($A249,EnrollData2324,'2324 Jun 24 Enroll'!E$1,FALSE),'District Calculations'!$B$12)*C249,3)</f>
        <v>59.53</v>
      </c>
      <c r="F249">
        <f>ROUND(IF(VLOOKUP($A249,EnrollData2324,'2324 Jun 24 Enroll'!F$1,FALSE)='District Calculations'!$B$13,VLOOKUP($A249,EnrollData2324,'2324 Jun 24 Enroll'!F$1,FALSE),'District Calculations'!$B$13)*Apport_222A2324,3)</f>
        <v>10.101000000000001</v>
      </c>
      <c r="G249">
        <f>ROUND(IF(VLOOKUP($A249,EnrollData2324,'2324 Jun 24 Enroll'!G$1,FALSE)='District Calculations'!$B$14,VLOOKUP($A249,EnrollData2324,'2324 Jun 24 Enroll'!G$1,FALSE),'District Calculations'!$B$14)*Apport_210A2324,3)</f>
        <v>22.395</v>
      </c>
      <c r="H249">
        <f>ROUND(IF(VLOOKUP($A249,EnrollData2324,'2324 Jun 24 Enroll'!H$1,FALSE)='District Calculations'!$B$15,VLOOKUP($A249,EnrollData2324,'2324 Jun 24 Enroll'!H$1,FALSE),'District Calculations'!$B$15)*Apport_213A2324,3)</f>
        <v>23.091999999999999</v>
      </c>
      <c r="I249">
        <f>ROUND(IF(VLOOKUP($A249,EnrollData2324,'2324 Jun 24 Enroll'!I$1,FALSE)+VLOOKUP($A249,EnrollData2324,'2324 Jun 24 Enroll'!M$1,FALSE)-VLOOKUP($A249,EnrollData2324,'2324 Jun 24 Enroll'!J$1,FALSE)='District Calculations'!$B$16+'District Calculations'!$B$25-'District Calculations'!$B$17,VLOOKUP($A249,EnrollData2324,'2324 Jun 24 Enroll'!I$1,FALSE)+VLOOKUP($A249,EnrollData2324,'2324 Jun 24 Enroll'!M$1,FALSE)-VLOOKUP($A249,EnrollData2324,'2324 Jun 24 Enroll'!J$1,FALSE),'District Calculations'!$B$16+'District Calculations'!$B$25-'District Calculations'!$B$17)*Apport_216A2324,3)</f>
        <v>58.183999999999997</v>
      </c>
      <c r="J249">
        <f>ROUND(SUM(D249:I249)/(IF(VLOOKUP($A249,EnrollData2324,'2324 Jun 24 Enroll'!M$1,FALSE)='District Calculations'!$B$25,VLOOKUP($A249,EnrollData2324,'2324 Jun 24 Enroll'!M$1,FALSE),'District Calculations'!$B$25)+IF(VLOOKUP($A249,EnrollData2324,'2324 Jun 24 Enroll'!D$1,FALSE)='District Calculations'!$B$11,VLOOKUP($A249,EnrollData2324,'2324 Jun 24 Enroll'!D$1,FALSE),'District Calculations'!$B$11)),5)</f>
        <v>5.5530000000000003E-2</v>
      </c>
      <c r="K249" s="11">
        <f t="shared" si="65"/>
        <v>4.365E-3</v>
      </c>
      <c r="L249">
        <f>ROUND(IF(VLOOKUP($A249,EnrollData2324,'2324 Jun 24 Enroll'!D$1,FALSE)='District Calculations'!$B$11,VLOOKUP($A249,EnrollData2324,'2324 Jun 24 Enroll'!D$1,FALSE),'District Calculations'!$B$11)*K249,3)</f>
        <v>0</v>
      </c>
      <c r="M249">
        <f>ROUND(IF(VLOOKUP($A249,EnrollData2324,'2324 Jun 24 Enroll'!E$1,FALSE)='District Calculations'!$B$12,VLOOKUP($A249,EnrollData2324,'2324 Jun 24 Enroll'!E$1,FALSE),'District Calculations'!$B$12)*K249,3)</f>
        <v>3.5379999999999998</v>
      </c>
      <c r="N249">
        <f>ROUND(IF(VLOOKUP($A249,EnrollData2324,'2324 Jun 24 Enroll'!F$1,FALSE)='District Calculations'!$B$13,VLOOKUP($A249,EnrollData2324,'2324 Jun 24 Enroll'!F$1,FALSE),'District Calculations'!$B$13)*Apport_223A2324,3)</f>
        <v>0.84199999999999997</v>
      </c>
      <c r="O249">
        <f>ROUND(IF(VLOOKUP($A249,EnrollData2324,'2324 Jun 24 Enroll'!G$1,FALSE)='District Calculations'!$B$14,VLOOKUP($A249,EnrollData2324,'2324 Jun 24 Enroll'!G$1,FALSE),'District Calculations'!$B$14)*Apport_211A2324,3)</f>
        <v>1.867</v>
      </c>
      <c r="P249">
        <f>ROUND(IF(VLOOKUP($A249,EnrollData2324,'2324 Jun 24 Enroll'!H$1,FALSE)='District Calculations'!$B$14,VLOOKUP($A249,EnrollData2324,'2324 Jun 24 Enroll'!H$1,FALSE),'District Calculations'!$B$14)*Apport_214A2324,3)</f>
        <v>1.8660000000000001</v>
      </c>
      <c r="Q249">
        <f>ROUND(IF(VLOOKUP($A249,EnrollData2324,'2324 Jun 24 Enroll'!I$1,FALSE)+VLOOKUP($A249,EnrollData2324,'2324 Jun 24 Enroll'!M$1,FALSE)-VLOOKUP($A249,EnrollData2324,'2324 Jun 24 Enroll'!J$1,FALSE)='District Calculations'!$B$16+'District Calculations'!$B$25-'District Calculations'!$B$17,VLOOKUP($A249,EnrollData2324,'2324 Jun 24 Enroll'!I$1,FALSE)+VLOOKUP($A249,EnrollData2324,'2324 Jun 24 Enroll'!M$1,FALSE)-VLOOKUP($A249,EnrollData2324,'2324 Jun 24 Enroll'!J$1,FALSE),'District Calculations'!$B$16+'District Calculations'!$B$25-'District Calculations'!$B$17)*Apport_217A2324,3)</f>
        <v>4.6980000000000004</v>
      </c>
      <c r="R249">
        <f>ROUND(SUM(L249:Q249)/IF(VLOOKUP($A249,EnrollData2324,'2324 Jun 24 Enroll'!M$1,FALSE)+VLOOKUP($A249,EnrollData2324,'2324 Jun 24 Enroll'!D$1,FALSE)='District Calculations'!$B$25+'District Calculations'!$B$11,VLOOKUP($A249,EnrollData2324,'2324 Jun 24 Enroll'!M$1,FALSE)+VLOOKUP($A249,EnrollData2324,'2324 Jun 24 Enroll'!D$1,FALSE),'District Calculations'!$B$25+'District Calculations'!$B$11),5)</f>
        <v>4.1000000000000003E-3</v>
      </c>
      <c r="S249" s="11">
        <f t="shared" si="66"/>
        <v>1.8294500000000002E-2</v>
      </c>
      <c r="T249">
        <f>ROUND(IF(VLOOKUP($A249,EnrollData2324,'2324 Jun 24 Enroll'!D$1,FALSE)='District Calculations'!$B$11,VLOOKUP($A249,EnrollData2324,'2324 Jun 24 Enroll'!D$1,FALSE),'District Calculations'!$B$11)*S249,3)</f>
        <v>0</v>
      </c>
      <c r="U249">
        <f>ROUND(IF(VLOOKUP($A249,EnrollData2324,'2324 Jun 24 Enroll'!E$1,FALSE)='District Calculations'!$B$12,VLOOKUP($A249,EnrollData2324,'2324 Jun 24 Enroll'!E$1,FALSE),'District Calculations'!$B$12)*S249,3)</f>
        <v>14.827999999999999</v>
      </c>
      <c r="V249">
        <f>ROUND(IF(VLOOKUP($A249,EnrollData2324,'2324 Jun 24 Enroll'!F$1,FALSE)='District Calculations'!$B$13,VLOOKUP($A249,EnrollData2324,'2324 Jun 24 Enroll'!F$1,FALSE),'District Calculations'!$B$13)*Apport_224A2324,3)</f>
        <v>3.6190000000000002</v>
      </c>
      <c r="W249">
        <f>ROUND(IF(VLOOKUP($A249,EnrollData2324,'2324 Jun 24 Enroll'!G$1,FALSE)='District Calculations'!$B$14,VLOOKUP($A249,EnrollData2324,'2324 Jun 24 Enroll'!G$1,FALSE),'District Calculations'!$B$14)*Apport_212A2324,3)</f>
        <v>8.0239999999999991</v>
      </c>
      <c r="X249">
        <f>ROUND(IF(VLOOKUP($A249,EnrollData2324,'2324 Jun 24 Enroll'!H$1,FALSE)='District Calculations'!$B$14,VLOOKUP($A249,EnrollData2324,'2324 Jun 24 Enroll'!H$1,FALSE),'District Calculations'!$B$14)*Apport_215A2324,3)</f>
        <v>7.9279999999999999</v>
      </c>
      <c r="Y249">
        <f>ROUND(IF(VLOOKUP($A249,EnrollData2324,'2324 Jun 24 Enroll'!I$1,FALSE)+VLOOKUP($A249,EnrollData2324,'2324 Jun 24 Enroll'!M$1,FALSE)-VLOOKUP($A249,EnrollData2324,'2324 Jun 24 Enroll'!J$1,FALSE)='District Calculations'!$B$16+'District Calculations'!$B$25-'District Calculations'!$B$17,VLOOKUP($A249,EnrollData2324,'2324 Jun 24 Enroll'!I$1,FALSE)+VLOOKUP($A249,EnrollData2324,'2324 Jun 24 Enroll'!M$1,FALSE)-VLOOKUP($A249,EnrollData2324,'2324 Jun 24 Enroll'!J$1,FALSE),'District Calculations'!$B$16+'District Calculations'!$B$25-'District Calculations'!$B$17)*Apport_218A2324,3)</f>
        <v>19.917999999999999</v>
      </c>
      <c r="Z249">
        <f>ROUND(SUM(T249:Y249)/IF(VLOOKUP($A249,EnrollData2324,'2324 Jun 24 Enroll'!M$1,FALSE)+VLOOKUP($A249,EnrollData2324,'2324 Jun 24 Enroll'!D$1,FALSE)='District Calculations'!$B$25+'District Calculations'!$B$11,VLOOKUP($A249,EnrollData2324,'2324 Jun 24 Enroll'!M$1,FALSE)+VLOOKUP($A249,EnrollData2324,'2324 Jun 24 Enroll'!D$1,FALSE),'District Calculations'!$B$25+'District Calculations'!$B$11),5)</f>
        <v>1.7399999999999999E-2</v>
      </c>
      <c r="AA249" s="6">
        <f>ROUND($J249*CIS_Base_Salary2324*VLOOKUP($A249,EnrollData2324,'2324 Jun 24 Enroll'!S$1,FALSE),2)</f>
        <v>4099.16</v>
      </c>
      <c r="AB249" s="6">
        <f>ROUND($J249*CIS_Inc_Salary2324*(VLOOKUP($A249,EnrollData2324,'2324 Jun 24 Enroll'!T$1,FALSE)+VLOOKUP($A249,EnrollData2324,'2324 Jun 24 Enroll'!U$1,FALSE)),2)-AA249</f>
        <v>256.38000000000011</v>
      </c>
      <c r="AC249" s="6">
        <f>ROUND($R249*CAS_Base_Salary2324*VLOOKUP($A249,EnrollData2324,'2324 Jun 24 Enroll'!S$1,FALSE),2)</f>
        <v>449.25</v>
      </c>
      <c r="AD249" s="6">
        <f>ROUND($R249*CAS_Inc_Salary2324*VLOOKUP($A249,EnrollData2324,'2324 Jun 24 Enroll'!T$1,FALSE),2)-AC249</f>
        <v>16.629999999999995</v>
      </c>
      <c r="AE249" s="6">
        <f>ROUND($Z249*CLS_Base_Salary2324*VLOOKUP($A249,EnrollData2324,'2324 Jun 24 Enroll'!S$1,FALSE),2)</f>
        <v>921.43</v>
      </c>
      <c r="AF249" s="6">
        <f>ROUND($Z249*CLS_Inc_Salary2324*VLOOKUP($A249,EnrollData2324,'2324 Jun 24 Enroll'!T$1,FALSE),2)-AE249</f>
        <v>34.080000000000041</v>
      </c>
      <c r="AG249">
        <f t="shared" si="63"/>
        <v>734.16</v>
      </c>
      <c r="AH249" s="69">
        <f t="shared" si="67"/>
        <v>68.700000000000045</v>
      </c>
      <c r="AI249">
        <f t="shared" si="64"/>
        <v>214.23</v>
      </c>
      <c r="AJ249">
        <f t="shared" si="68"/>
        <v>114.21000000000001</v>
      </c>
      <c r="AK249">
        <f t="shared" si="69"/>
        <v>817.35</v>
      </c>
      <c r="AL249">
        <f t="shared" si="70"/>
        <v>47.31</v>
      </c>
      <c r="AM249">
        <f t="shared" si="71"/>
        <v>203.27</v>
      </c>
      <c r="AN249">
        <f t="shared" si="72"/>
        <v>6.33</v>
      </c>
      <c r="AO249">
        <f>ROUND(($J249*CIS_Inc_Salary2324*(VLOOKUP($A249,EnrollData2324,'2324 Jun 24 Enroll'!T$1,FALSE)+VLOOKUP($A249,EnrollData2324,'2324 Jun 24 Enroll'!U$1,FALSE))/Apport_613Xpd)*Apport_614Xpd,2)</f>
        <v>72.59</v>
      </c>
      <c r="AP249">
        <f t="shared" si="73"/>
        <v>12.58</v>
      </c>
      <c r="AQ249">
        <f t="shared" si="74"/>
        <v>30.93</v>
      </c>
      <c r="AR249" s="6">
        <f>ROUND((VLOOKUP($A249,EnrollData2324,'2324 Jun 24 Enroll'!D$1,FALSE)*Apport_M802324+VLOOKUP($A249,EnrollData2324,'2324 Jun 24 Enroll'!M$1,FALSE)*Apport_M802324+(VLOOKUP($A249,EnrollData2324,'2324 Jun 24 Enroll'!P$1,FALSE)+VLOOKUP($A249,EnrollData2324,'2324 Jun 24 Enroll'!Q$1,FALSE)+VLOOKUP($A249,EnrollData2324,'2324 Jun 24 Enroll'!R$1,FALSE)+VLOOKUP($A249,EnrollData2324,'2324 Jun 24 Enroll'!I$1,FALSE)+VLOOKUP($A249,EnrollData2324,'2324 Jun 24 Enroll'!N$1,FALSE)+VLOOKUP($A249,EnrollData2324,'2324 Jun 24 Enroll'!O$1,FALSE)+VLOOKUP($A249,EnrollData2324,'2324 Jun 24 Enroll'!K$1,FALSE)+VLOOKUP($A249,EnrollData2324,'2324 Jun 24 Enroll'!L$1,FALSE))*Apport_M812324)/(VLOOKUP($A249,EnrollData2324,'2324 Jun 24 Enroll'!M$1,FALSE)+VLOOKUP($A249,EnrollData2324,'2324 Jun 24 Enroll'!D$1,FALSE)),2)</f>
        <v>1559.22</v>
      </c>
      <c r="AS249" s="7">
        <f t="shared" si="75"/>
        <v>9657.8100000000013</v>
      </c>
    </row>
    <row r="250" spans="1:45">
      <c r="A250" s="40" t="s">
        <v>372</v>
      </c>
      <c r="B250" s="40" t="s">
        <v>373</v>
      </c>
      <c r="C250" s="11">
        <f>ROUND((IFERROR((1/IF(VLOOKUP($A250,EnrollData2324,28,FALSE)='District Calculations'!$B$10,VLOOKUP($A250,EnrollData2324,28,FALSE),'District Calculations'!$B$10))*(1+Apport_Z315),0))+Apport_201A2324,6)</f>
        <v>7.3449E-2</v>
      </c>
      <c r="D250">
        <f>ROUND(IF(VLOOKUP($A250,EnrollData2324,'2324 Jun 24 Enroll'!D$1,FALSE)='District Calculations'!$B$11,VLOOKUP($A250,EnrollData2324,'2324 Jun 24 Enroll'!D$1,FALSE),'District Calculations'!$B$11)*C250,3)</f>
        <v>0</v>
      </c>
      <c r="E250">
        <f>ROUND(IF(VLOOKUP($A250,EnrollData2324,'2324 Jun 24 Enroll'!E$1,FALSE)='District Calculations'!$B$12,VLOOKUP($A250,EnrollData2324,'2324 Jun 24 Enroll'!E$1,FALSE),'District Calculations'!$B$12)*C250,3)</f>
        <v>59.53</v>
      </c>
      <c r="F250">
        <f>ROUND(IF(VLOOKUP($A250,EnrollData2324,'2324 Jun 24 Enroll'!F$1,FALSE)='District Calculations'!$B$13,VLOOKUP($A250,EnrollData2324,'2324 Jun 24 Enroll'!F$1,FALSE),'District Calculations'!$B$13)*Apport_222A2324,3)</f>
        <v>10.101000000000001</v>
      </c>
      <c r="G250">
        <f>ROUND(IF(VLOOKUP($A250,EnrollData2324,'2324 Jun 24 Enroll'!G$1,FALSE)='District Calculations'!$B$14,VLOOKUP($A250,EnrollData2324,'2324 Jun 24 Enroll'!G$1,FALSE),'District Calculations'!$B$14)*Apport_210A2324,3)</f>
        <v>22.395</v>
      </c>
      <c r="H250">
        <f>ROUND(IF(VLOOKUP($A250,EnrollData2324,'2324 Jun 24 Enroll'!H$1,FALSE)='District Calculations'!$B$15,VLOOKUP($A250,EnrollData2324,'2324 Jun 24 Enroll'!H$1,FALSE),'District Calculations'!$B$15)*Apport_213A2324,3)</f>
        <v>23.091999999999999</v>
      </c>
      <c r="I250">
        <f>ROUND(IF(VLOOKUP($A250,EnrollData2324,'2324 Jun 24 Enroll'!I$1,FALSE)+VLOOKUP($A250,EnrollData2324,'2324 Jun 24 Enroll'!M$1,FALSE)-VLOOKUP($A250,EnrollData2324,'2324 Jun 24 Enroll'!J$1,FALSE)='District Calculations'!$B$16+'District Calculations'!$B$25-'District Calculations'!$B$17,VLOOKUP($A250,EnrollData2324,'2324 Jun 24 Enroll'!I$1,FALSE)+VLOOKUP($A250,EnrollData2324,'2324 Jun 24 Enroll'!M$1,FALSE)-VLOOKUP($A250,EnrollData2324,'2324 Jun 24 Enroll'!J$1,FALSE),'District Calculations'!$B$16+'District Calculations'!$B$25-'District Calculations'!$B$17)*Apport_216A2324,3)</f>
        <v>58.183999999999997</v>
      </c>
      <c r="J250">
        <f>ROUND(SUM(D250:I250)/(IF(VLOOKUP($A250,EnrollData2324,'2324 Jun 24 Enroll'!M$1,FALSE)='District Calculations'!$B$25,VLOOKUP($A250,EnrollData2324,'2324 Jun 24 Enroll'!M$1,FALSE),'District Calculations'!$B$25)+IF(VLOOKUP($A250,EnrollData2324,'2324 Jun 24 Enroll'!D$1,FALSE)='District Calculations'!$B$11,VLOOKUP($A250,EnrollData2324,'2324 Jun 24 Enroll'!D$1,FALSE),'District Calculations'!$B$11)),5)</f>
        <v>5.5530000000000003E-2</v>
      </c>
      <c r="K250" s="11">
        <f t="shared" si="65"/>
        <v>4.365E-3</v>
      </c>
      <c r="L250">
        <f>ROUND(IF(VLOOKUP($A250,EnrollData2324,'2324 Jun 24 Enroll'!D$1,FALSE)='District Calculations'!$B$11,VLOOKUP($A250,EnrollData2324,'2324 Jun 24 Enroll'!D$1,FALSE),'District Calculations'!$B$11)*K250,3)</f>
        <v>0</v>
      </c>
      <c r="M250">
        <f>ROUND(IF(VLOOKUP($A250,EnrollData2324,'2324 Jun 24 Enroll'!E$1,FALSE)='District Calculations'!$B$12,VLOOKUP($A250,EnrollData2324,'2324 Jun 24 Enroll'!E$1,FALSE),'District Calculations'!$B$12)*K250,3)</f>
        <v>3.5379999999999998</v>
      </c>
      <c r="N250">
        <f>ROUND(IF(VLOOKUP($A250,EnrollData2324,'2324 Jun 24 Enroll'!F$1,FALSE)='District Calculations'!$B$13,VLOOKUP($A250,EnrollData2324,'2324 Jun 24 Enroll'!F$1,FALSE),'District Calculations'!$B$13)*Apport_223A2324,3)</f>
        <v>0.84199999999999997</v>
      </c>
      <c r="O250">
        <f>ROUND(IF(VLOOKUP($A250,EnrollData2324,'2324 Jun 24 Enroll'!G$1,FALSE)='District Calculations'!$B$14,VLOOKUP($A250,EnrollData2324,'2324 Jun 24 Enroll'!G$1,FALSE),'District Calculations'!$B$14)*Apport_211A2324,3)</f>
        <v>1.867</v>
      </c>
      <c r="P250">
        <f>ROUND(IF(VLOOKUP($A250,EnrollData2324,'2324 Jun 24 Enroll'!H$1,FALSE)='District Calculations'!$B$14,VLOOKUP($A250,EnrollData2324,'2324 Jun 24 Enroll'!H$1,FALSE),'District Calculations'!$B$14)*Apport_214A2324,3)</f>
        <v>1.8660000000000001</v>
      </c>
      <c r="Q250">
        <f>ROUND(IF(VLOOKUP($A250,EnrollData2324,'2324 Jun 24 Enroll'!I$1,FALSE)+VLOOKUP($A250,EnrollData2324,'2324 Jun 24 Enroll'!M$1,FALSE)-VLOOKUP($A250,EnrollData2324,'2324 Jun 24 Enroll'!J$1,FALSE)='District Calculations'!$B$16+'District Calculations'!$B$25-'District Calculations'!$B$17,VLOOKUP($A250,EnrollData2324,'2324 Jun 24 Enroll'!I$1,FALSE)+VLOOKUP($A250,EnrollData2324,'2324 Jun 24 Enroll'!M$1,FALSE)-VLOOKUP($A250,EnrollData2324,'2324 Jun 24 Enroll'!J$1,FALSE),'District Calculations'!$B$16+'District Calculations'!$B$25-'District Calculations'!$B$17)*Apport_217A2324,3)</f>
        <v>4.6980000000000004</v>
      </c>
      <c r="R250">
        <f>ROUND(SUM(L250:Q250)/IF(VLOOKUP($A250,EnrollData2324,'2324 Jun 24 Enroll'!M$1,FALSE)+VLOOKUP($A250,EnrollData2324,'2324 Jun 24 Enroll'!D$1,FALSE)='District Calculations'!$B$25+'District Calculations'!$B$11,VLOOKUP($A250,EnrollData2324,'2324 Jun 24 Enroll'!M$1,FALSE)+VLOOKUP($A250,EnrollData2324,'2324 Jun 24 Enroll'!D$1,FALSE),'District Calculations'!$B$25+'District Calculations'!$B$11),5)</f>
        <v>4.1000000000000003E-3</v>
      </c>
      <c r="S250" s="11">
        <f t="shared" si="66"/>
        <v>1.8294500000000002E-2</v>
      </c>
      <c r="T250">
        <f>ROUND(IF(VLOOKUP($A250,EnrollData2324,'2324 Jun 24 Enroll'!D$1,FALSE)='District Calculations'!$B$11,VLOOKUP($A250,EnrollData2324,'2324 Jun 24 Enroll'!D$1,FALSE),'District Calculations'!$B$11)*S250,3)</f>
        <v>0</v>
      </c>
      <c r="U250">
        <f>ROUND(IF(VLOOKUP($A250,EnrollData2324,'2324 Jun 24 Enroll'!E$1,FALSE)='District Calculations'!$B$12,VLOOKUP($A250,EnrollData2324,'2324 Jun 24 Enroll'!E$1,FALSE),'District Calculations'!$B$12)*S250,3)</f>
        <v>14.827999999999999</v>
      </c>
      <c r="V250">
        <f>ROUND(IF(VLOOKUP($A250,EnrollData2324,'2324 Jun 24 Enroll'!F$1,FALSE)='District Calculations'!$B$13,VLOOKUP($A250,EnrollData2324,'2324 Jun 24 Enroll'!F$1,FALSE),'District Calculations'!$B$13)*Apport_224A2324,3)</f>
        <v>3.6190000000000002</v>
      </c>
      <c r="W250">
        <f>ROUND(IF(VLOOKUP($A250,EnrollData2324,'2324 Jun 24 Enroll'!G$1,FALSE)='District Calculations'!$B$14,VLOOKUP($A250,EnrollData2324,'2324 Jun 24 Enroll'!G$1,FALSE),'District Calculations'!$B$14)*Apport_212A2324,3)</f>
        <v>8.0239999999999991</v>
      </c>
      <c r="X250">
        <f>ROUND(IF(VLOOKUP($A250,EnrollData2324,'2324 Jun 24 Enroll'!H$1,FALSE)='District Calculations'!$B$14,VLOOKUP($A250,EnrollData2324,'2324 Jun 24 Enroll'!H$1,FALSE),'District Calculations'!$B$14)*Apport_215A2324,3)</f>
        <v>7.9279999999999999</v>
      </c>
      <c r="Y250">
        <f>ROUND(IF(VLOOKUP($A250,EnrollData2324,'2324 Jun 24 Enroll'!I$1,FALSE)+VLOOKUP($A250,EnrollData2324,'2324 Jun 24 Enroll'!M$1,FALSE)-VLOOKUP($A250,EnrollData2324,'2324 Jun 24 Enroll'!J$1,FALSE)='District Calculations'!$B$16+'District Calculations'!$B$25-'District Calculations'!$B$17,VLOOKUP($A250,EnrollData2324,'2324 Jun 24 Enroll'!I$1,FALSE)+VLOOKUP($A250,EnrollData2324,'2324 Jun 24 Enroll'!M$1,FALSE)-VLOOKUP($A250,EnrollData2324,'2324 Jun 24 Enroll'!J$1,FALSE),'District Calculations'!$B$16+'District Calculations'!$B$25-'District Calculations'!$B$17)*Apport_218A2324,3)</f>
        <v>19.917999999999999</v>
      </c>
      <c r="Z250">
        <f>ROUND(SUM(T250:Y250)/IF(VLOOKUP($A250,EnrollData2324,'2324 Jun 24 Enroll'!M$1,FALSE)+VLOOKUP($A250,EnrollData2324,'2324 Jun 24 Enroll'!D$1,FALSE)='District Calculations'!$B$25+'District Calculations'!$B$11,VLOOKUP($A250,EnrollData2324,'2324 Jun 24 Enroll'!M$1,FALSE)+VLOOKUP($A250,EnrollData2324,'2324 Jun 24 Enroll'!D$1,FALSE),'District Calculations'!$B$25+'District Calculations'!$B$11),5)</f>
        <v>1.7399999999999999E-2</v>
      </c>
      <c r="AA250" s="6">
        <f>ROUND($J250*CIS_Base_Salary2324*VLOOKUP($A250,EnrollData2324,'2324 Jun 24 Enroll'!S$1,FALSE),2)</f>
        <v>4038.59</v>
      </c>
      <c r="AB250" s="6">
        <f>ROUND($J250*CIS_Inc_Salary2324*(VLOOKUP($A250,EnrollData2324,'2324 Jun 24 Enroll'!T$1,FALSE)+VLOOKUP($A250,EnrollData2324,'2324 Jun 24 Enroll'!U$1,FALSE)),2)-AA250</f>
        <v>316.94999999999982</v>
      </c>
      <c r="AC250" s="6">
        <f>ROUND($R250*CAS_Base_Salary2324*VLOOKUP($A250,EnrollData2324,'2324 Jun 24 Enroll'!S$1,FALSE),2)</f>
        <v>442.62</v>
      </c>
      <c r="AD250" s="6">
        <f>ROUND($R250*CAS_Inc_Salary2324*VLOOKUP($A250,EnrollData2324,'2324 Jun 24 Enroll'!T$1,FALSE),2)-AC250</f>
        <v>16.379999999999995</v>
      </c>
      <c r="AE250" s="6">
        <f>ROUND($Z250*CLS_Base_Salary2324*VLOOKUP($A250,EnrollData2324,'2324 Jun 24 Enroll'!S$1,FALSE),2)</f>
        <v>907.81</v>
      </c>
      <c r="AF250" s="6">
        <f>ROUND($Z250*CLS_Inc_Salary2324*VLOOKUP($A250,EnrollData2324,'2324 Jun 24 Enroll'!T$1,FALSE),2)-AE250</f>
        <v>33.580000000000041</v>
      </c>
      <c r="AG250">
        <f t="shared" si="63"/>
        <v>734.16</v>
      </c>
      <c r="AH250" s="69">
        <f t="shared" si="67"/>
        <v>68.700000000000045</v>
      </c>
      <c r="AI250">
        <f t="shared" si="64"/>
        <v>214.23</v>
      </c>
      <c r="AJ250">
        <f t="shared" si="68"/>
        <v>114.21000000000001</v>
      </c>
      <c r="AK250">
        <f t="shared" si="69"/>
        <v>805.27</v>
      </c>
      <c r="AL250">
        <f t="shared" si="70"/>
        <v>57.77</v>
      </c>
      <c r="AM250">
        <f t="shared" si="71"/>
        <v>200.26</v>
      </c>
      <c r="AN250">
        <f t="shared" si="72"/>
        <v>6.23</v>
      </c>
      <c r="AO250">
        <f>ROUND(($J250*CIS_Inc_Salary2324*(VLOOKUP($A250,EnrollData2324,'2324 Jun 24 Enroll'!T$1,FALSE)+VLOOKUP($A250,EnrollData2324,'2324 Jun 24 Enroll'!U$1,FALSE))/Apport_613Xpd)*Apport_614Xpd,2)</f>
        <v>72.59</v>
      </c>
      <c r="AP250">
        <f t="shared" si="73"/>
        <v>12.58</v>
      </c>
      <c r="AQ250">
        <f t="shared" si="74"/>
        <v>30.93</v>
      </c>
      <c r="AR250" s="6">
        <f>ROUND((VLOOKUP($A250,EnrollData2324,'2324 Jun 24 Enroll'!D$1,FALSE)*Apport_M802324+VLOOKUP($A250,EnrollData2324,'2324 Jun 24 Enroll'!M$1,FALSE)*Apport_M802324+(VLOOKUP($A250,EnrollData2324,'2324 Jun 24 Enroll'!P$1,FALSE)+VLOOKUP($A250,EnrollData2324,'2324 Jun 24 Enroll'!Q$1,FALSE)+VLOOKUP($A250,EnrollData2324,'2324 Jun 24 Enroll'!R$1,FALSE)+VLOOKUP($A250,EnrollData2324,'2324 Jun 24 Enroll'!I$1,FALSE)+VLOOKUP($A250,EnrollData2324,'2324 Jun 24 Enroll'!N$1,FALSE)+VLOOKUP($A250,EnrollData2324,'2324 Jun 24 Enroll'!O$1,FALSE)+VLOOKUP($A250,EnrollData2324,'2324 Jun 24 Enroll'!K$1,FALSE)+VLOOKUP($A250,EnrollData2324,'2324 Jun 24 Enroll'!L$1,FALSE))*Apport_M812324)/(VLOOKUP($A250,EnrollData2324,'2324 Jun 24 Enroll'!M$1,FALSE)+VLOOKUP($A250,EnrollData2324,'2324 Jun 24 Enroll'!D$1,FALSE)),2)</f>
        <v>1550.11</v>
      </c>
      <c r="AS250" s="7">
        <f t="shared" si="75"/>
        <v>9622.9700000000012</v>
      </c>
    </row>
    <row r="251" spans="1:45">
      <c r="A251" s="40" t="s">
        <v>474</v>
      </c>
      <c r="B251" s="40" t="s">
        <v>475</v>
      </c>
      <c r="C251" s="11">
        <f>ROUND((IFERROR((1/IF(VLOOKUP($A251,EnrollData2324,28,FALSE)='District Calculations'!$B$10,VLOOKUP($A251,EnrollData2324,28,FALSE),'District Calculations'!$B$10))*(1+Apport_Z315),0))+Apport_201A2324,6)</f>
        <v>7.3449E-2</v>
      </c>
      <c r="D251">
        <f>ROUND(IF(VLOOKUP($A251,EnrollData2324,'2324 Jun 24 Enroll'!D$1,FALSE)='District Calculations'!$B$11,VLOOKUP($A251,EnrollData2324,'2324 Jun 24 Enroll'!D$1,FALSE),'District Calculations'!$B$11)*C251,3)</f>
        <v>0</v>
      </c>
      <c r="E251">
        <f>ROUND(IF(VLOOKUP($A251,EnrollData2324,'2324 Jun 24 Enroll'!E$1,FALSE)='District Calculations'!$B$12,VLOOKUP($A251,EnrollData2324,'2324 Jun 24 Enroll'!E$1,FALSE),'District Calculations'!$B$12)*C251,3)</f>
        <v>59.53</v>
      </c>
      <c r="F251">
        <f>ROUND(IF(VLOOKUP($A251,EnrollData2324,'2324 Jun 24 Enroll'!F$1,FALSE)='District Calculations'!$B$13,VLOOKUP($A251,EnrollData2324,'2324 Jun 24 Enroll'!F$1,FALSE),'District Calculations'!$B$13)*Apport_222A2324,3)</f>
        <v>10.101000000000001</v>
      </c>
      <c r="G251">
        <f>ROUND(IF(VLOOKUP($A251,EnrollData2324,'2324 Jun 24 Enroll'!G$1,FALSE)='District Calculations'!$B$14,VLOOKUP($A251,EnrollData2324,'2324 Jun 24 Enroll'!G$1,FALSE),'District Calculations'!$B$14)*Apport_210A2324,3)</f>
        <v>22.395</v>
      </c>
      <c r="H251">
        <f>ROUND(IF(VLOOKUP($A251,EnrollData2324,'2324 Jun 24 Enroll'!H$1,FALSE)='District Calculations'!$B$15,VLOOKUP($A251,EnrollData2324,'2324 Jun 24 Enroll'!H$1,FALSE),'District Calculations'!$B$15)*Apport_213A2324,3)</f>
        <v>23.091999999999999</v>
      </c>
      <c r="I251">
        <f>ROUND(IF(VLOOKUP($A251,EnrollData2324,'2324 Jun 24 Enroll'!I$1,FALSE)+VLOOKUP($A251,EnrollData2324,'2324 Jun 24 Enroll'!M$1,FALSE)-VLOOKUP($A251,EnrollData2324,'2324 Jun 24 Enroll'!J$1,FALSE)='District Calculations'!$B$16+'District Calculations'!$B$25-'District Calculations'!$B$17,VLOOKUP($A251,EnrollData2324,'2324 Jun 24 Enroll'!I$1,FALSE)+VLOOKUP($A251,EnrollData2324,'2324 Jun 24 Enroll'!M$1,FALSE)-VLOOKUP($A251,EnrollData2324,'2324 Jun 24 Enroll'!J$1,FALSE),'District Calculations'!$B$16+'District Calculations'!$B$25-'District Calculations'!$B$17)*Apport_216A2324,3)</f>
        <v>58.183999999999997</v>
      </c>
      <c r="J251">
        <f>ROUND(SUM(D251:I251)/(IF(VLOOKUP($A251,EnrollData2324,'2324 Jun 24 Enroll'!M$1,FALSE)='District Calculations'!$B$25,VLOOKUP($A251,EnrollData2324,'2324 Jun 24 Enroll'!M$1,FALSE),'District Calculations'!$B$25)+IF(VLOOKUP($A251,EnrollData2324,'2324 Jun 24 Enroll'!D$1,FALSE)='District Calculations'!$B$11,VLOOKUP($A251,EnrollData2324,'2324 Jun 24 Enroll'!D$1,FALSE),'District Calculations'!$B$11)),5)</f>
        <v>5.5530000000000003E-2</v>
      </c>
      <c r="K251" s="11">
        <f t="shared" si="65"/>
        <v>4.365E-3</v>
      </c>
      <c r="L251">
        <f>ROUND(IF(VLOOKUP($A251,EnrollData2324,'2324 Jun 24 Enroll'!D$1,FALSE)='District Calculations'!$B$11,VLOOKUP($A251,EnrollData2324,'2324 Jun 24 Enroll'!D$1,FALSE),'District Calculations'!$B$11)*K251,3)</f>
        <v>0</v>
      </c>
      <c r="M251">
        <f>ROUND(IF(VLOOKUP($A251,EnrollData2324,'2324 Jun 24 Enroll'!E$1,FALSE)='District Calculations'!$B$12,VLOOKUP($A251,EnrollData2324,'2324 Jun 24 Enroll'!E$1,FALSE),'District Calculations'!$B$12)*K251,3)</f>
        <v>3.5379999999999998</v>
      </c>
      <c r="N251">
        <f>ROUND(IF(VLOOKUP($A251,EnrollData2324,'2324 Jun 24 Enroll'!F$1,FALSE)='District Calculations'!$B$13,VLOOKUP($A251,EnrollData2324,'2324 Jun 24 Enroll'!F$1,FALSE),'District Calculations'!$B$13)*Apport_223A2324,3)</f>
        <v>0.84199999999999997</v>
      </c>
      <c r="O251">
        <f>ROUND(IF(VLOOKUP($A251,EnrollData2324,'2324 Jun 24 Enroll'!G$1,FALSE)='District Calculations'!$B$14,VLOOKUP($A251,EnrollData2324,'2324 Jun 24 Enroll'!G$1,FALSE),'District Calculations'!$B$14)*Apport_211A2324,3)</f>
        <v>1.867</v>
      </c>
      <c r="P251">
        <f>ROUND(IF(VLOOKUP($A251,EnrollData2324,'2324 Jun 24 Enroll'!H$1,FALSE)='District Calculations'!$B$14,VLOOKUP($A251,EnrollData2324,'2324 Jun 24 Enroll'!H$1,FALSE),'District Calculations'!$B$14)*Apport_214A2324,3)</f>
        <v>1.8660000000000001</v>
      </c>
      <c r="Q251">
        <f>ROUND(IF(VLOOKUP($A251,EnrollData2324,'2324 Jun 24 Enroll'!I$1,FALSE)+VLOOKUP($A251,EnrollData2324,'2324 Jun 24 Enroll'!M$1,FALSE)-VLOOKUP($A251,EnrollData2324,'2324 Jun 24 Enroll'!J$1,FALSE)='District Calculations'!$B$16+'District Calculations'!$B$25-'District Calculations'!$B$17,VLOOKUP($A251,EnrollData2324,'2324 Jun 24 Enroll'!I$1,FALSE)+VLOOKUP($A251,EnrollData2324,'2324 Jun 24 Enroll'!M$1,FALSE)-VLOOKUP($A251,EnrollData2324,'2324 Jun 24 Enroll'!J$1,FALSE),'District Calculations'!$B$16+'District Calculations'!$B$25-'District Calculations'!$B$17)*Apport_217A2324,3)</f>
        <v>4.6980000000000004</v>
      </c>
      <c r="R251">
        <f>ROUND(SUM(L251:Q251)/IF(VLOOKUP($A251,EnrollData2324,'2324 Jun 24 Enroll'!M$1,FALSE)+VLOOKUP($A251,EnrollData2324,'2324 Jun 24 Enroll'!D$1,FALSE)='District Calculations'!$B$25+'District Calculations'!$B$11,VLOOKUP($A251,EnrollData2324,'2324 Jun 24 Enroll'!M$1,FALSE)+VLOOKUP($A251,EnrollData2324,'2324 Jun 24 Enroll'!D$1,FALSE),'District Calculations'!$B$25+'District Calculations'!$B$11),5)</f>
        <v>4.1000000000000003E-3</v>
      </c>
      <c r="S251" s="11">
        <f t="shared" si="66"/>
        <v>1.8294500000000002E-2</v>
      </c>
      <c r="T251">
        <f>ROUND(IF(VLOOKUP($A251,EnrollData2324,'2324 Jun 24 Enroll'!D$1,FALSE)='District Calculations'!$B$11,VLOOKUP($A251,EnrollData2324,'2324 Jun 24 Enroll'!D$1,FALSE),'District Calculations'!$B$11)*S251,3)</f>
        <v>0</v>
      </c>
      <c r="U251">
        <f>ROUND(IF(VLOOKUP($A251,EnrollData2324,'2324 Jun 24 Enroll'!E$1,FALSE)='District Calculations'!$B$12,VLOOKUP($A251,EnrollData2324,'2324 Jun 24 Enroll'!E$1,FALSE),'District Calculations'!$B$12)*S251,3)</f>
        <v>14.827999999999999</v>
      </c>
      <c r="V251">
        <f>ROUND(IF(VLOOKUP($A251,EnrollData2324,'2324 Jun 24 Enroll'!F$1,FALSE)='District Calculations'!$B$13,VLOOKUP($A251,EnrollData2324,'2324 Jun 24 Enroll'!F$1,FALSE),'District Calculations'!$B$13)*Apport_224A2324,3)</f>
        <v>3.6190000000000002</v>
      </c>
      <c r="W251">
        <f>ROUND(IF(VLOOKUP($A251,EnrollData2324,'2324 Jun 24 Enroll'!G$1,FALSE)='District Calculations'!$B$14,VLOOKUP($A251,EnrollData2324,'2324 Jun 24 Enroll'!G$1,FALSE),'District Calculations'!$B$14)*Apport_212A2324,3)</f>
        <v>8.0239999999999991</v>
      </c>
      <c r="X251">
        <f>ROUND(IF(VLOOKUP($A251,EnrollData2324,'2324 Jun 24 Enroll'!H$1,FALSE)='District Calculations'!$B$14,VLOOKUP($A251,EnrollData2324,'2324 Jun 24 Enroll'!H$1,FALSE),'District Calculations'!$B$14)*Apport_215A2324,3)</f>
        <v>7.9279999999999999</v>
      </c>
      <c r="Y251">
        <f>ROUND(IF(VLOOKUP($A251,EnrollData2324,'2324 Jun 24 Enroll'!I$1,FALSE)+VLOOKUP($A251,EnrollData2324,'2324 Jun 24 Enroll'!M$1,FALSE)-VLOOKUP($A251,EnrollData2324,'2324 Jun 24 Enroll'!J$1,FALSE)='District Calculations'!$B$16+'District Calculations'!$B$25-'District Calculations'!$B$17,VLOOKUP($A251,EnrollData2324,'2324 Jun 24 Enroll'!I$1,FALSE)+VLOOKUP($A251,EnrollData2324,'2324 Jun 24 Enroll'!M$1,FALSE)-VLOOKUP($A251,EnrollData2324,'2324 Jun 24 Enroll'!J$1,FALSE),'District Calculations'!$B$16+'District Calculations'!$B$25-'District Calculations'!$B$17)*Apport_218A2324,3)</f>
        <v>19.917999999999999</v>
      </c>
      <c r="Z251">
        <f>ROUND(SUM(T251:Y251)/IF(VLOOKUP($A251,EnrollData2324,'2324 Jun 24 Enroll'!M$1,FALSE)+VLOOKUP($A251,EnrollData2324,'2324 Jun 24 Enroll'!D$1,FALSE)='District Calculations'!$B$25+'District Calculations'!$B$11,VLOOKUP($A251,EnrollData2324,'2324 Jun 24 Enroll'!M$1,FALSE)+VLOOKUP($A251,EnrollData2324,'2324 Jun 24 Enroll'!D$1,FALSE),'District Calculations'!$B$25+'District Calculations'!$B$11),5)</f>
        <v>1.7399999999999999E-2</v>
      </c>
      <c r="AA251" s="6">
        <f>ROUND($J251*CIS_Base_Salary2324*VLOOKUP($A251,EnrollData2324,'2324 Jun 24 Enroll'!S$1,FALSE),2)</f>
        <v>4038.59</v>
      </c>
      <c r="AB251" s="6">
        <f>ROUND($J251*CIS_Inc_Salary2324*(VLOOKUP($A251,EnrollData2324,'2324 Jun 24 Enroll'!T$1,FALSE)+VLOOKUP($A251,EnrollData2324,'2324 Jun 24 Enroll'!U$1,FALSE)),2)-AA251</f>
        <v>316.94999999999982</v>
      </c>
      <c r="AC251" s="6">
        <f>ROUND($R251*CAS_Base_Salary2324*VLOOKUP($A251,EnrollData2324,'2324 Jun 24 Enroll'!S$1,FALSE),2)</f>
        <v>442.62</v>
      </c>
      <c r="AD251" s="6">
        <f>ROUND($R251*CAS_Inc_Salary2324*VLOOKUP($A251,EnrollData2324,'2324 Jun 24 Enroll'!T$1,FALSE),2)-AC251</f>
        <v>16.379999999999995</v>
      </c>
      <c r="AE251" s="6">
        <f>ROUND($Z251*CLS_Base_Salary2324*VLOOKUP($A251,EnrollData2324,'2324 Jun 24 Enroll'!S$1,FALSE),2)</f>
        <v>907.81</v>
      </c>
      <c r="AF251" s="6">
        <f>ROUND($Z251*CLS_Inc_Salary2324*VLOOKUP($A251,EnrollData2324,'2324 Jun 24 Enroll'!T$1,FALSE),2)-AE251</f>
        <v>33.580000000000041</v>
      </c>
      <c r="AG251">
        <f t="shared" si="63"/>
        <v>734.16</v>
      </c>
      <c r="AH251" s="69">
        <f t="shared" si="67"/>
        <v>68.700000000000045</v>
      </c>
      <c r="AI251">
        <f t="shared" si="64"/>
        <v>214.23</v>
      </c>
      <c r="AJ251">
        <f t="shared" si="68"/>
        <v>114.21000000000001</v>
      </c>
      <c r="AK251">
        <f t="shared" si="69"/>
        <v>805.27</v>
      </c>
      <c r="AL251">
        <f t="shared" si="70"/>
        <v>57.77</v>
      </c>
      <c r="AM251">
        <f t="shared" si="71"/>
        <v>200.26</v>
      </c>
      <c r="AN251">
        <f t="shared" si="72"/>
        <v>6.23</v>
      </c>
      <c r="AO251">
        <f>ROUND(($J251*CIS_Inc_Salary2324*(VLOOKUP($A251,EnrollData2324,'2324 Jun 24 Enroll'!T$1,FALSE)+VLOOKUP($A251,EnrollData2324,'2324 Jun 24 Enroll'!U$1,FALSE))/Apport_613Xpd)*Apport_614Xpd,2)</f>
        <v>72.59</v>
      </c>
      <c r="AP251">
        <f t="shared" si="73"/>
        <v>12.58</v>
      </c>
      <c r="AQ251">
        <f t="shared" si="74"/>
        <v>30.93</v>
      </c>
      <c r="AR251" s="6">
        <f>ROUND((VLOOKUP($A251,EnrollData2324,'2324 Jun 24 Enroll'!D$1,FALSE)*Apport_M802324+VLOOKUP($A251,EnrollData2324,'2324 Jun 24 Enroll'!M$1,FALSE)*Apport_M802324+(VLOOKUP($A251,EnrollData2324,'2324 Jun 24 Enroll'!P$1,FALSE)+VLOOKUP($A251,EnrollData2324,'2324 Jun 24 Enroll'!Q$1,FALSE)+VLOOKUP($A251,EnrollData2324,'2324 Jun 24 Enroll'!R$1,FALSE)+VLOOKUP($A251,EnrollData2324,'2324 Jun 24 Enroll'!I$1,FALSE)+VLOOKUP($A251,EnrollData2324,'2324 Jun 24 Enroll'!N$1,FALSE)+VLOOKUP($A251,EnrollData2324,'2324 Jun 24 Enroll'!O$1,FALSE)+VLOOKUP($A251,EnrollData2324,'2324 Jun 24 Enroll'!K$1,FALSE)+VLOOKUP($A251,EnrollData2324,'2324 Jun 24 Enroll'!L$1,FALSE))*Apport_M812324)/(VLOOKUP($A251,EnrollData2324,'2324 Jun 24 Enroll'!M$1,FALSE)+VLOOKUP($A251,EnrollData2324,'2324 Jun 24 Enroll'!D$1,FALSE)),2)</f>
        <v>1552</v>
      </c>
      <c r="AS251" s="7">
        <f t="shared" si="75"/>
        <v>9624.86</v>
      </c>
    </row>
    <row r="252" spans="1:45">
      <c r="A252" s="40" t="s">
        <v>378</v>
      </c>
      <c r="B252" s="40" t="s">
        <v>379</v>
      </c>
      <c r="C252" s="11">
        <f>ROUND((IFERROR((1/IF(VLOOKUP($A252,EnrollData2324,28,FALSE)='District Calculations'!$B$10,VLOOKUP($A252,EnrollData2324,28,FALSE),'District Calculations'!$B$10))*(1+Apport_Z315),0))+Apport_201A2324,6)</f>
        <v>7.3449E-2</v>
      </c>
      <c r="D252">
        <f>ROUND(IF(VLOOKUP($A252,EnrollData2324,'2324 Jun 24 Enroll'!D$1,FALSE)='District Calculations'!$B$11,VLOOKUP($A252,EnrollData2324,'2324 Jun 24 Enroll'!D$1,FALSE),'District Calculations'!$B$11)*C252,3)</f>
        <v>0</v>
      </c>
      <c r="E252">
        <f>ROUND(IF(VLOOKUP($A252,EnrollData2324,'2324 Jun 24 Enroll'!E$1,FALSE)='District Calculations'!$B$12,VLOOKUP($A252,EnrollData2324,'2324 Jun 24 Enroll'!E$1,FALSE),'District Calculations'!$B$12)*C252,3)</f>
        <v>59.53</v>
      </c>
      <c r="F252">
        <f>ROUND(IF(VLOOKUP($A252,EnrollData2324,'2324 Jun 24 Enroll'!F$1,FALSE)='District Calculations'!$B$13,VLOOKUP($A252,EnrollData2324,'2324 Jun 24 Enroll'!F$1,FALSE),'District Calculations'!$B$13)*Apport_222A2324,3)</f>
        <v>10.101000000000001</v>
      </c>
      <c r="G252">
        <f>ROUND(IF(VLOOKUP($A252,EnrollData2324,'2324 Jun 24 Enroll'!G$1,FALSE)='District Calculations'!$B$14,VLOOKUP($A252,EnrollData2324,'2324 Jun 24 Enroll'!G$1,FALSE),'District Calculations'!$B$14)*Apport_210A2324,3)</f>
        <v>22.395</v>
      </c>
      <c r="H252">
        <f>ROUND(IF(VLOOKUP($A252,EnrollData2324,'2324 Jun 24 Enroll'!H$1,FALSE)='District Calculations'!$B$15,VLOOKUP($A252,EnrollData2324,'2324 Jun 24 Enroll'!H$1,FALSE),'District Calculations'!$B$15)*Apport_213A2324,3)</f>
        <v>23.091999999999999</v>
      </c>
      <c r="I252">
        <f>ROUND(IF(VLOOKUP($A252,EnrollData2324,'2324 Jun 24 Enroll'!I$1,FALSE)+VLOOKUP($A252,EnrollData2324,'2324 Jun 24 Enroll'!M$1,FALSE)-VLOOKUP($A252,EnrollData2324,'2324 Jun 24 Enroll'!J$1,FALSE)='District Calculations'!$B$16+'District Calculations'!$B$25-'District Calculations'!$B$17,VLOOKUP($A252,EnrollData2324,'2324 Jun 24 Enroll'!I$1,FALSE)+VLOOKUP($A252,EnrollData2324,'2324 Jun 24 Enroll'!M$1,FALSE)-VLOOKUP($A252,EnrollData2324,'2324 Jun 24 Enroll'!J$1,FALSE),'District Calculations'!$B$16+'District Calculations'!$B$25-'District Calculations'!$B$17)*Apport_216A2324,3)</f>
        <v>58.183999999999997</v>
      </c>
      <c r="J252">
        <f>ROUND(SUM(D252:I252)/(IF(VLOOKUP($A252,EnrollData2324,'2324 Jun 24 Enroll'!M$1,FALSE)='District Calculations'!$B$25,VLOOKUP($A252,EnrollData2324,'2324 Jun 24 Enroll'!M$1,FALSE),'District Calculations'!$B$25)+IF(VLOOKUP($A252,EnrollData2324,'2324 Jun 24 Enroll'!D$1,FALSE)='District Calculations'!$B$11,VLOOKUP($A252,EnrollData2324,'2324 Jun 24 Enroll'!D$1,FALSE),'District Calculations'!$B$11)),5)</f>
        <v>5.5530000000000003E-2</v>
      </c>
      <c r="K252" s="11">
        <f t="shared" si="65"/>
        <v>4.365E-3</v>
      </c>
      <c r="L252">
        <f>ROUND(IF(VLOOKUP($A252,EnrollData2324,'2324 Jun 24 Enroll'!D$1,FALSE)='District Calculations'!$B$11,VLOOKUP($A252,EnrollData2324,'2324 Jun 24 Enroll'!D$1,FALSE),'District Calculations'!$B$11)*K252,3)</f>
        <v>0</v>
      </c>
      <c r="M252">
        <f>ROUND(IF(VLOOKUP($A252,EnrollData2324,'2324 Jun 24 Enroll'!E$1,FALSE)='District Calculations'!$B$12,VLOOKUP($A252,EnrollData2324,'2324 Jun 24 Enroll'!E$1,FALSE),'District Calculations'!$B$12)*K252,3)</f>
        <v>3.5379999999999998</v>
      </c>
      <c r="N252">
        <f>ROUND(IF(VLOOKUP($A252,EnrollData2324,'2324 Jun 24 Enroll'!F$1,FALSE)='District Calculations'!$B$13,VLOOKUP($A252,EnrollData2324,'2324 Jun 24 Enroll'!F$1,FALSE),'District Calculations'!$B$13)*Apport_223A2324,3)</f>
        <v>0.84199999999999997</v>
      </c>
      <c r="O252">
        <f>ROUND(IF(VLOOKUP($A252,EnrollData2324,'2324 Jun 24 Enroll'!G$1,FALSE)='District Calculations'!$B$14,VLOOKUP($A252,EnrollData2324,'2324 Jun 24 Enroll'!G$1,FALSE),'District Calculations'!$B$14)*Apport_211A2324,3)</f>
        <v>1.867</v>
      </c>
      <c r="P252">
        <f>ROUND(IF(VLOOKUP($A252,EnrollData2324,'2324 Jun 24 Enroll'!H$1,FALSE)='District Calculations'!$B$14,VLOOKUP($A252,EnrollData2324,'2324 Jun 24 Enroll'!H$1,FALSE),'District Calculations'!$B$14)*Apport_214A2324,3)</f>
        <v>1.8660000000000001</v>
      </c>
      <c r="Q252">
        <f>ROUND(IF(VLOOKUP($A252,EnrollData2324,'2324 Jun 24 Enroll'!I$1,FALSE)+VLOOKUP($A252,EnrollData2324,'2324 Jun 24 Enroll'!M$1,FALSE)-VLOOKUP($A252,EnrollData2324,'2324 Jun 24 Enroll'!J$1,FALSE)='District Calculations'!$B$16+'District Calculations'!$B$25-'District Calculations'!$B$17,VLOOKUP($A252,EnrollData2324,'2324 Jun 24 Enroll'!I$1,FALSE)+VLOOKUP($A252,EnrollData2324,'2324 Jun 24 Enroll'!M$1,FALSE)-VLOOKUP($A252,EnrollData2324,'2324 Jun 24 Enroll'!J$1,FALSE),'District Calculations'!$B$16+'District Calculations'!$B$25-'District Calculations'!$B$17)*Apport_217A2324,3)</f>
        <v>4.6980000000000004</v>
      </c>
      <c r="R252">
        <f>ROUND(SUM(L252:Q252)/IF(VLOOKUP($A252,EnrollData2324,'2324 Jun 24 Enroll'!M$1,FALSE)+VLOOKUP($A252,EnrollData2324,'2324 Jun 24 Enroll'!D$1,FALSE)='District Calculations'!$B$25+'District Calculations'!$B$11,VLOOKUP($A252,EnrollData2324,'2324 Jun 24 Enroll'!M$1,FALSE)+VLOOKUP($A252,EnrollData2324,'2324 Jun 24 Enroll'!D$1,FALSE),'District Calculations'!$B$25+'District Calculations'!$B$11),5)</f>
        <v>4.1000000000000003E-3</v>
      </c>
      <c r="S252" s="11">
        <f t="shared" si="66"/>
        <v>1.8294500000000002E-2</v>
      </c>
      <c r="T252">
        <f>ROUND(IF(VLOOKUP($A252,EnrollData2324,'2324 Jun 24 Enroll'!D$1,FALSE)='District Calculations'!$B$11,VLOOKUP($A252,EnrollData2324,'2324 Jun 24 Enroll'!D$1,FALSE),'District Calculations'!$B$11)*S252,3)</f>
        <v>0</v>
      </c>
      <c r="U252">
        <f>ROUND(IF(VLOOKUP($A252,EnrollData2324,'2324 Jun 24 Enroll'!E$1,FALSE)='District Calculations'!$B$12,VLOOKUP($A252,EnrollData2324,'2324 Jun 24 Enroll'!E$1,FALSE),'District Calculations'!$B$12)*S252,3)</f>
        <v>14.827999999999999</v>
      </c>
      <c r="V252">
        <f>ROUND(IF(VLOOKUP($A252,EnrollData2324,'2324 Jun 24 Enroll'!F$1,FALSE)='District Calculations'!$B$13,VLOOKUP($A252,EnrollData2324,'2324 Jun 24 Enroll'!F$1,FALSE),'District Calculations'!$B$13)*Apport_224A2324,3)</f>
        <v>3.6190000000000002</v>
      </c>
      <c r="W252">
        <f>ROUND(IF(VLOOKUP($A252,EnrollData2324,'2324 Jun 24 Enroll'!G$1,FALSE)='District Calculations'!$B$14,VLOOKUP($A252,EnrollData2324,'2324 Jun 24 Enroll'!G$1,FALSE),'District Calculations'!$B$14)*Apport_212A2324,3)</f>
        <v>8.0239999999999991</v>
      </c>
      <c r="X252">
        <f>ROUND(IF(VLOOKUP($A252,EnrollData2324,'2324 Jun 24 Enroll'!H$1,FALSE)='District Calculations'!$B$14,VLOOKUP($A252,EnrollData2324,'2324 Jun 24 Enroll'!H$1,FALSE),'District Calculations'!$B$14)*Apport_215A2324,3)</f>
        <v>7.9279999999999999</v>
      </c>
      <c r="Y252">
        <f>ROUND(IF(VLOOKUP($A252,EnrollData2324,'2324 Jun 24 Enroll'!I$1,FALSE)+VLOOKUP($A252,EnrollData2324,'2324 Jun 24 Enroll'!M$1,FALSE)-VLOOKUP($A252,EnrollData2324,'2324 Jun 24 Enroll'!J$1,FALSE)='District Calculations'!$B$16+'District Calculations'!$B$25-'District Calculations'!$B$17,VLOOKUP($A252,EnrollData2324,'2324 Jun 24 Enroll'!I$1,FALSE)+VLOOKUP($A252,EnrollData2324,'2324 Jun 24 Enroll'!M$1,FALSE)-VLOOKUP($A252,EnrollData2324,'2324 Jun 24 Enroll'!J$1,FALSE),'District Calculations'!$B$16+'District Calculations'!$B$25-'District Calculations'!$B$17)*Apport_218A2324,3)</f>
        <v>19.917999999999999</v>
      </c>
      <c r="Z252">
        <f>ROUND(SUM(T252:Y252)/IF(VLOOKUP($A252,EnrollData2324,'2324 Jun 24 Enroll'!M$1,FALSE)+VLOOKUP($A252,EnrollData2324,'2324 Jun 24 Enroll'!D$1,FALSE)='District Calculations'!$B$25+'District Calculations'!$B$11,VLOOKUP($A252,EnrollData2324,'2324 Jun 24 Enroll'!M$1,FALSE)+VLOOKUP($A252,EnrollData2324,'2324 Jun 24 Enroll'!D$1,FALSE),'District Calculations'!$B$25+'District Calculations'!$B$11),5)</f>
        <v>1.7399999999999999E-2</v>
      </c>
      <c r="AA252" s="6">
        <f>ROUND($J252*CIS_Base_Salary2324*VLOOKUP($A252,EnrollData2324,'2324 Jun 24 Enroll'!S$1,FALSE),2)</f>
        <v>4038.59</v>
      </c>
      <c r="AB252" s="6">
        <f>ROUND($J252*CIS_Inc_Salary2324*(VLOOKUP($A252,EnrollData2324,'2324 Jun 24 Enroll'!T$1,FALSE)+VLOOKUP($A252,EnrollData2324,'2324 Jun 24 Enroll'!U$1,FALSE)),2)-AA252</f>
        <v>149.43000000000029</v>
      </c>
      <c r="AC252" s="6">
        <f>ROUND($R252*CAS_Base_Salary2324*VLOOKUP($A252,EnrollData2324,'2324 Jun 24 Enroll'!S$1,FALSE),2)</f>
        <v>442.62</v>
      </c>
      <c r="AD252" s="6">
        <f>ROUND($R252*CAS_Inc_Salary2324*VLOOKUP($A252,EnrollData2324,'2324 Jun 24 Enroll'!T$1,FALSE),2)-AC252</f>
        <v>16.379999999999995</v>
      </c>
      <c r="AE252" s="6">
        <f>ROUND($Z252*CLS_Base_Salary2324*VLOOKUP($A252,EnrollData2324,'2324 Jun 24 Enroll'!S$1,FALSE),2)</f>
        <v>907.81</v>
      </c>
      <c r="AF252" s="6">
        <f>ROUND($Z252*CLS_Inc_Salary2324*VLOOKUP($A252,EnrollData2324,'2324 Jun 24 Enroll'!T$1,FALSE),2)-AE252</f>
        <v>33.580000000000041</v>
      </c>
      <c r="AG252">
        <f t="shared" si="63"/>
        <v>734.16</v>
      </c>
      <c r="AH252" s="69">
        <f t="shared" si="67"/>
        <v>68.700000000000045</v>
      </c>
      <c r="AI252">
        <f t="shared" si="64"/>
        <v>214.23</v>
      </c>
      <c r="AJ252">
        <f t="shared" si="68"/>
        <v>114.21000000000001</v>
      </c>
      <c r="AK252">
        <f t="shared" si="69"/>
        <v>805.27</v>
      </c>
      <c r="AL252">
        <f t="shared" si="70"/>
        <v>28.73</v>
      </c>
      <c r="AM252">
        <f t="shared" si="71"/>
        <v>200.26</v>
      </c>
      <c r="AN252">
        <f t="shared" si="72"/>
        <v>6.23</v>
      </c>
      <c r="AO252">
        <f>ROUND(($J252*CIS_Inc_Salary2324*(VLOOKUP($A252,EnrollData2324,'2324 Jun 24 Enroll'!T$1,FALSE)+VLOOKUP($A252,EnrollData2324,'2324 Jun 24 Enroll'!U$1,FALSE))/Apport_613Xpd)*Apport_614Xpd,2)</f>
        <v>69.8</v>
      </c>
      <c r="AP252">
        <f t="shared" si="73"/>
        <v>12.1</v>
      </c>
      <c r="AQ252">
        <f t="shared" si="74"/>
        <v>30.93</v>
      </c>
      <c r="AR252" s="6">
        <f>ROUND((VLOOKUP($A252,EnrollData2324,'2324 Jun 24 Enroll'!D$1,FALSE)*Apport_M802324+VLOOKUP($A252,EnrollData2324,'2324 Jun 24 Enroll'!M$1,FALSE)*Apport_M802324+(VLOOKUP($A252,EnrollData2324,'2324 Jun 24 Enroll'!P$1,FALSE)+VLOOKUP($A252,EnrollData2324,'2324 Jun 24 Enroll'!Q$1,FALSE)+VLOOKUP($A252,EnrollData2324,'2324 Jun 24 Enroll'!R$1,FALSE)+VLOOKUP($A252,EnrollData2324,'2324 Jun 24 Enroll'!I$1,FALSE)+VLOOKUP($A252,EnrollData2324,'2324 Jun 24 Enroll'!N$1,FALSE)+VLOOKUP($A252,EnrollData2324,'2324 Jun 24 Enroll'!O$1,FALSE)+VLOOKUP($A252,EnrollData2324,'2324 Jun 24 Enroll'!K$1,FALSE)+VLOOKUP($A252,EnrollData2324,'2324 Jun 24 Enroll'!L$1,FALSE))*Apport_M812324)/(VLOOKUP($A252,EnrollData2324,'2324 Jun 24 Enroll'!M$1,FALSE)+VLOOKUP($A252,EnrollData2324,'2324 Jun 24 Enroll'!D$1,FALSE)),2)</f>
        <v>1547.78</v>
      </c>
      <c r="AS252" s="7">
        <f t="shared" si="75"/>
        <v>9420.81</v>
      </c>
    </row>
    <row r="253" spans="1:45">
      <c r="A253" s="40" t="s">
        <v>434</v>
      </c>
      <c r="B253" s="40" t="s">
        <v>435</v>
      </c>
      <c r="C253" s="11">
        <f>ROUND((IFERROR((1/IF(VLOOKUP($A253,EnrollData2324,28,FALSE)='District Calculations'!$B$10,VLOOKUP($A253,EnrollData2324,28,FALSE),'District Calculations'!$B$10))*(1+Apport_Z315),0))+Apport_201A2324,6)</f>
        <v>7.3449E-2</v>
      </c>
      <c r="D253">
        <f>ROUND(IF(VLOOKUP($A253,EnrollData2324,'2324 Jun 24 Enroll'!D$1,FALSE)='District Calculations'!$B$11,VLOOKUP($A253,EnrollData2324,'2324 Jun 24 Enroll'!D$1,FALSE),'District Calculations'!$B$11)*C253,3)</f>
        <v>0</v>
      </c>
      <c r="E253">
        <f>ROUND(IF(VLOOKUP($A253,EnrollData2324,'2324 Jun 24 Enroll'!E$1,FALSE)='District Calculations'!$B$12,VLOOKUP($A253,EnrollData2324,'2324 Jun 24 Enroll'!E$1,FALSE),'District Calculations'!$B$12)*C253,3)</f>
        <v>59.53</v>
      </c>
      <c r="F253">
        <f>ROUND(IF(VLOOKUP($A253,EnrollData2324,'2324 Jun 24 Enroll'!F$1,FALSE)='District Calculations'!$B$13,VLOOKUP($A253,EnrollData2324,'2324 Jun 24 Enroll'!F$1,FALSE),'District Calculations'!$B$13)*Apport_222A2324,3)</f>
        <v>10.101000000000001</v>
      </c>
      <c r="G253">
        <f>ROUND(IF(VLOOKUP($A253,EnrollData2324,'2324 Jun 24 Enroll'!G$1,FALSE)='District Calculations'!$B$14,VLOOKUP($A253,EnrollData2324,'2324 Jun 24 Enroll'!G$1,FALSE),'District Calculations'!$B$14)*Apport_210A2324,3)</f>
        <v>22.395</v>
      </c>
      <c r="H253">
        <f>ROUND(IF(VLOOKUP($A253,EnrollData2324,'2324 Jun 24 Enroll'!H$1,FALSE)='District Calculations'!$B$15,VLOOKUP($A253,EnrollData2324,'2324 Jun 24 Enroll'!H$1,FALSE),'District Calculations'!$B$15)*Apport_213A2324,3)</f>
        <v>23.091999999999999</v>
      </c>
      <c r="I253">
        <f>ROUND(IF(VLOOKUP($A253,EnrollData2324,'2324 Jun 24 Enroll'!I$1,FALSE)+VLOOKUP($A253,EnrollData2324,'2324 Jun 24 Enroll'!M$1,FALSE)-VLOOKUP($A253,EnrollData2324,'2324 Jun 24 Enroll'!J$1,FALSE)='District Calculations'!$B$16+'District Calculations'!$B$25-'District Calculations'!$B$17,VLOOKUP($A253,EnrollData2324,'2324 Jun 24 Enroll'!I$1,FALSE)+VLOOKUP($A253,EnrollData2324,'2324 Jun 24 Enroll'!M$1,FALSE)-VLOOKUP($A253,EnrollData2324,'2324 Jun 24 Enroll'!J$1,FALSE),'District Calculations'!$B$16+'District Calculations'!$B$25-'District Calculations'!$B$17)*Apport_216A2324,3)</f>
        <v>58.183999999999997</v>
      </c>
      <c r="J253">
        <f>ROUND(SUM(D253:I253)/(IF(VLOOKUP($A253,EnrollData2324,'2324 Jun 24 Enroll'!M$1,FALSE)='District Calculations'!$B$25,VLOOKUP($A253,EnrollData2324,'2324 Jun 24 Enroll'!M$1,FALSE),'District Calculations'!$B$25)+IF(VLOOKUP($A253,EnrollData2324,'2324 Jun 24 Enroll'!D$1,FALSE)='District Calculations'!$B$11,VLOOKUP($A253,EnrollData2324,'2324 Jun 24 Enroll'!D$1,FALSE),'District Calculations'!$B$11)),5)</f>
        <v>5.5530000000000003E-2</v>
      </c>
      <c r="K253" s="11">
        <f t="shared" si="65"/>
        <v>4.365E-3</v>
      </c>
      <c r="L253">
        <f>ROUND(IF(VLOOKUP($A253,EnrollData2324,'2324 Jun 24 Enroll'!D$1,FALSE)='District Calculations'!$B$11,VLOOKUP($A253,EnrollData2324,'2324 Jun 24 Enroll'!D$1,FALSE),'District Calculations'!$B$11)*K253,3)</f>
        <v>0</v>
      </c>
      <c r="M253">
        <f>ROUND(IF(VLOOKUP($A253,EnrollData2324,'2324 Jun 24 Enroll'!E$1,FALSE)='District Calculations'!$B$12,VLOOKUP($A253,EnrollData2324,'2324 Jun 24 Enroll'!E$1,FALSE),'District Calculations'!$B$12)*K253,3)</f>
        <v>3.5379999999999998</v>
      </c>
      <c r="N253">
        <f>ROUND(IF(VLOOKUP($A253,EnrollData2324,'2324 Jun 24 Enroll'!F$1,FALSE)='District Calculations'!$B$13,VLOOKUP($A253,EnrollData2324,'2324 Jun 24 Enroll'!F$1,FALSE),'District Calculations'!$B$13)*Apport_223A2324,3)</f>
        <v>0.84199999999999997</v>
      </c>
      <c r="O253">
        <f>ROUND(IF(VLOOKUP($A253,EnrollData2324,'2324 Jun 24 Enroll'!G$1,FALSE)='District Calculations'!$B$14,VLOOKUP($A253,EnrollData2324,'2324 Jun 24 Enroll'!G$1,FALSE),'District Calculations'!$B$14)*Apport_211A2324,3)</f>
        <v>1.867</v>
      </c>
      <c r="P253">
        <f>ROUND(IF(VLOOKUP($A253,EnrollData2324,'2324 Jun 24 Enroll'!H$1,FALSE)='District Calculations'!$B$14,VLOOKUP($A253,EnrollData2324,'2324 Jun 24 Enroll'!H$1,FALSE),'District Calculations'!$B$14)*Apport_214A2324,3)</f>
        <v>1.8660000000000001</v>
      </c>
      <c r="Q253">
        <f>ROUND(IF(VLOOKUP($A253,EnrollData2324,'2324 Jun 24 Enroll'!I$1,FALSE)+VLOOKUP($A253,EnrollData2324,'2324 Jun 24 Enroll'!M$1,FALSE)-VLOOKUP($A253,EnrollData2324,'2324 Jun 24 Enroll'!J$1,FALSE)='District Calculations'!$B$16+'District Calculations'!$B$25-'District Calculations'!$B$17,VLOOKUP($A253,EnrollData2324,'2324 Jun 24 Enroll'!I$1,FALSE)+VLOOKUP($A253,EnrollData2324,'2324 Jun 24 Enroll'!M$1,FALSE)-VLOOKUP($A253,EnrollData2324,'2324 Jun 24 Enroll'!J$1,FALSE),'District Calculations'!$B$16+'District Calculations'!$B$25-'District Calculations'!$B$17)*Apport_217A2324,3)</f>
        <v>4.6980000000000004</v>
      </c>
      <c r="R253">
        <f>ROUND(SUM(L253:Q253)/IF(VLOOKUP($A253,EnrollData2324,'2324 Jun 24 Enroll'!M$1,FALSE)+VLOOKUP($A253,EnrollData2324,'2324 Jun 24 Enroll'!D$1,FALSE)='District Calculations'!$B$25+'District Calculations'!$B$11,VLOOKUP($A253,EnrollData2324,'2324 Jun 24 Enroll'!M$1,FALSE)+VLOOKUP($A253,EnrollData2324,'2324 Jun 24 Enroll'!D$1,FALSE),'District Calculations'!$B$25+'District Calculations'!$B$11),5)</f>
        <v>4.1000000000000003E-3</v>
      </c>
      <c r="S253" s="11">
        <f t="shared" si="66"/>
        <v>1.8294500000000002E-2</v>
      </c>
      <c r="T253">
        <f>ROUND(IF(VLOOKUP($A253,EnrollData2324,'2324 Jun 24 Enroll'!D$1,FALSE)='District Calculations'!$B$11,VLOOKUP($A253,EnrollData2324,'2324 Jun 24 Enroll'!D$1,FALSE),'District Calculations'!$B$11)*S253,3)</f>
        <v>0</v>
      </c>
      <c r="U253">
        <f>ROUND(IF(VLOOKUP($A253,EnrollData2324,'2324 Jun 24 Enroll'!E$1,FALSE)='District Calculations'!$B$12,VLOOKUP($A253,EnrollData2324,'2324 Jun 24 Enroll'!E$1,FALSE),'District Calculations'!$B$12)*S253,3)</f>
        <v>14.827999999999999</v>
      </c>
      <c r="V253">
        <f>ROUND(IF(VLOOKUP($A253,EnrollData2324,'2324 Jun 24 Enroll'!F$1,FALSE)='District Calculations'!$B$13,VLOOKUP($A253,EnrollData2324,'2324 Jun 24 Enroll'!F$1,FALSE),'District Calculations'!$B$13)*Apport_224A2324,3)</f>
        <v>3.6190000000000002</v>
      </c>
      <c r="W253">
        <f>ROUND(IF(VLOOKUP($A253,EnrollData2324,'2324 Jun 24 Enroll'!G$1,FALSE)='District Calculations'!$B$14,VLOOKUP($A253,EnrollData2324,'2324 Jun 24 Enroll'!G$1,FALSE),'District Calculations'!$B$14)*Apport_212A2324,3)</f>
        <v>8.0239999999999991</v>
      </c>
      <c r="X253">
        <f>ROUND(IF(VLOOKUP($A253,EnrollData2324,'2324 Jun 24 Enroll'!H$1,FALSE)='District Calculations'!$B$14,VLOOKUP($A253,EnrollData2324,'2324 Jun 24 Enroll'!H$1,FALSE),'District Calculations'!$B$14)*Apport_215A2324,3)</f>
        <v>7.9279999999999999</v>
      </c>
      <c r="Y253">
        <f>ROUND(IF(VLOOKUP($A253,EnrollData2324,'2324 Jun 24 Enroll'!I$1,FALSE)+VLOOKUP($A253,EnrollData2324,'2324 Jun 24 Enroll'!M$1,FALSE)-VLOOKUP($A253,EnrollData2324,'2324 Jun 24 Enroll'!J$1,FALSE)='District Calculations'!$B$16+'District Calculations'!$B$25-'District Calculations'!$B$17,VLOOKUP($A253,EnrollData2324,'2324 Jun 24 Enroll'!I$1,FALSE)+VLOOKUP($A253,EnrollData2324,'2324 Jun 24 Enroll'!M$1,FALSE)-VLOOKUP($A253,EnrollData2324,'2324 Jun 24 Enroll'!J$1,FALSE),'District Calculations'!$B$16+'District Calculations'!$B$25-'District Calculations'!$B$17)*Apport_218A2324,3)</f>
        <v>19.917999999999999</v>
      </c>
      <c r="Z253">
        <f>ROUND(SUM(T253:Y253)/IF(VLOOKUP($A253,EnrollData2324,'2324 Jun 24 Enroll'!M$1,FALSE)+VLOOKUP($A253,EnrollData2324,'2324 Jun 24 Enroll'!D$1,FALSE)='District Calculations'!$B$25+'District Calculations'!$B$11,VLOOKUP($A253,EnrollData2324,'2324 Jun 24 Enroll'!M$1,FALSE)+VLOOKUP($A253,EnrollData2324,'2324 Jun 24 Enroll'!D$1,FALSE),'District Calculations'!$B$25+'District Calculations'!$B$11),5)</f>
        <v>1.7399999999999999E-2</v>
      </c>
      <c r="AA253" s="6">
        <f>ROUND($J253*CIS_Base_Salary2324*VLOOKUP($A253,EnrollData2324,'2324 Jun 24 Enroll'!S$1,FALSE),2)</f>
        <v>4038.59</v>
      </c>
      <c r="AB253" s="6">
        <f>ROUND($J253*CIS_Inc_Salary2324*(VLOOKUP($A253,EnrollData2324,'2324 Jun 24 Enroll'!T$1,FALSE)+VLOOKUP($A253,EnrollData2324,'2324 Jun 24 Enroll'!U$1,FALSE)),2)-AA253</f>
        <v>316.94999999999982</v>
      </c>
      <c r="AC253" s="6">
        <f>ROUND($R253*CAS_Base_Salary2324*VLOOKUP($A253,EnrollData2324,'2324 Jun 24 Enroll'!S$1,FALSE),2)</f>
        <v>442.62</v>
      </c>
      <c r="AD253" s="6">
        <f>ROUND($R253*CAS_Inc_Salary2324*VLOOKUP($A253,EnrollData2324,'2324 Jun 24 Enroll'!T$1,FALSE),2)-AC253</f>
        <v>16.379999999999995</v>
      </c>
      <c r="AE253" s="6">
        <f>ROUND($Z253*CLS_Base_Salary2324*VLOOKUP($A253,EnrollData2324,'2324 Jun 24 Enroll'!S$1,FALSE),2)</f>
        <v>907.81</v>
      </c>
      <c r="AF253" s="6">
        <f>ROUND($Z253*CLS_Inc_Salary2324*VLOOKUP($A253,EnrollData2324,'2324 Jun 24 Enroll'!T$1,FALSE),2)-AE253</f>
        <v>33.580000000000041</v>
      </c>
      <c r="AG253">
        <f t="shared" si="63"/>
        <v>734.16</v>
      </c>
      <c r="AH253" s="69">
        <f t="shared" si="67"/>
        <v>68.700000000000045</v>
      </c>
      <c r="AI253">
        <f t="shared" si="64"/>
        <v>214.23</v>
      </c>
      <c r="AJ253">
        <f t="shared" si="68"/>
        <v>114.21000000000001</v>
      </c>
      <c r="AK253">
        <f t="shared" si="69"/>
        <v>805.27</v>
      </c>
      <c r="AL253">
        <f t="shared" si="70"/>
        <v>57.77</v>
      </c>
      <c r="AM253">
        <f t="shared" si="71"/>
        <v>200.26</v>
      </c>
      <c r="AN253">
        <f t="shared" si="72"/>
        <v>6.23</v>
      </c>
      <c r="AO253">
        <f>ROUND(($J253*CIS_Inc_Salary2324*(VLOOKUP($A253,EnrollData2324,'2324 Jun 24 Enroll'!T$1,FALSE)+VLOOKUP($A253,EnrollData2324,'2324 Jun 24 Enroll'!U$1,FALSE))/Apport_613Xpd)*Apport_614Xpd,2)</f>
        <v>72.59</v>
      </c>
      <c r="AP253">
        <f t="shared" si="73"/>
        <v>12.58</v>
      </c>
      <c r="AQ253">
        <f t="shared" si="74"/>
        <v>30.93</v>
      </c>
      <c r="AR253" s="6">
        <f>ROUND((VLOOKUP($A253,EnrollData2324,'2324 Jun 24 Enroll'!D$1,FALSE)*Apport_M802324+VLOOKUP($A253,EnrollData2324,'2324 Jun 24 Enroll'!M$1,FALSE)*Apport_M802324+(VLOOKUP($A253,EnrollData2324,'2324 Jun 24 Enroll'!P$1,FALSE)+VLOOKUP($A253,EnrollData2324,'2324 Jun 24 Enroll'!Q$1,FALSE)+VLOOKUP($A253,EnrollData2324,'2324 Jun 24 Enroll'!R$1,FALSE)+VLOOKUP($A253,EnrollData2324,'2324 Jun 24 Enroll'!I$1,FALSE)+VLOOKUP($A253,EnrollData2324,'2324 Jun 24 Enroll'!N$1,FALSE)+VLOOKUP($A253,EnrollData2324,'2324 Jun 24 Enroll'!O$1,FALSE)+VLOOKUP($A253,EnrollData2324,'2324 Jun 24 Enroll'!K$1,FALSE)+VLOOKUP($A253,EnrollData2324,'2324 Jun 24 Enroll'!L$1,FALSE))*Apport_M812324)/(VLOOKUP($A253,EnrollData2324,'2324 Jun 24 Enroll'!M$1,FALSE)+VLOOKUP($A253,EnrollData2324,'2324 Jun 24 Enroll'!D$1,FALSE)),2)</f>
        <v>1551.1</v>
      </c>
      <c r="AS253" s="7">
        <f t="shared" si="75"/>
        <v>9623.9600000000009</v>
      </c>
    </row>
    <row r="254" spans="1:45">
      <c r="A254" s="40" t="s">
        <v>554</v>
      </c>
      <c r="B254" s="40" t="s">
        <v>555</v>
      </c>
      <c r="C254" s="11">
        <f>ROUND((IFERROR((1/IF(VLOOKUP($A254,EnrollData2324,28,FALSE)='District Calculations'!$B$10,VLOOKUP($A254,EnrollData2324,28,FALSE),'District Calculations'!$B$10))*(1+Apport_Z315),0))+Apport_201A2324,6)</f>
        <v>7.3449E-2</v>
      </c>
      <c r="D254">
        <f>ROUND(IF(VLOOKUP($A254,EnrollData2324,'2324 Jun 24 Enroll'!D$1,FALSE)='District Calculations'!$B$11,VLOOKUP($A254,EnrollData2324,'2324 Jun 24 Enroll'!D$1,FALSE),'District Calculations'!$B$11)*C254,3)</f>
        <v>0</v>
      </c>
      <c r="E254">
        <f>ROUND(IF(VLOOKUP($A254,EnrollData2324,'2324 Jun 24 Enroll'!E$1,FALSE)='District Calculations'!$B$12,VLOOKUP($A254,EnrollData2324,'2324 Jun 24 Enroll'!E$1,FALSE),'District Calculations'!$B$12)*C254,3)</f>
        <v>59.53</v>
      </c>
      <c r="F254">
        <f>ROUND(IF(VLOOKUP($A254,EnrollData2324,'2324 Jun 24 Enroll'!F$1,FALSE)='District Calculations'!$B$13,VLOOKUP($A254,EnrollData2324,'2324 Jun 24 Enroll'!F$1,FALSE),'District Calculations'!$B$13)*Apport_222A2324,3)</f>
        <v>10.101000000000001</v>
      </c>
      <c r="G254">
        <f>ROUND(IF(VLOOKUP($A254,EnrollData2324,'2324 Jun 24 Enroll'!G$1,FALSE)='District Calculations'!$B$14,VLOOKUP($A254,EnrollData2324,'2324 Jun 24 Enroll'!G$1,FALSE),'District Calculations'!$B$14)*Apport_210A2324,3)</f>
        <v>22.395</v>
      </c>
      <c r="H254">
        <f>ROUND(IF(VLOOKUP($A254,EnrollData2324,'2324 Jun 24 Enroll'!H$1,FALSE)='District Calculations'!$B$15,VLOOKUP($A254,EnrollData2324,'2324 Jun 24 Enroll'!H$1,FALSE),'District Calculations'!$B$15)*Apport_213A2324,3)</f>
        <v>23.091999999999999</v>
      </c>
      <c r="I254">
        <f>ROUND(IF(VLOOKUP($A254,EnrollData2324,'2324 Jun 24 Enroll'!I$1,FALSE)+VLOOKUP($A254,EnrollData2324,'2324 Jun 24 Enroll'!M$1,FALSE)-VLOOKUP($A254,EnrollData2324,'2324 Jun 24 Enroll'!J$1,FALSE)='District Calculations'!$B$16+'District Calculations'!$B$25-'District Calculations'!$B$17,VLOOKUP($A254,EnrollData2324,'2324 Jun 24 Enroll'!I$1,FALSE)+VLOOKUP($A254,EnrollData2324,'2324 Jun 24 Enroll'!M$1,FALSE)-VLOOKUP($A254,EnrollData2324,'2324 Jun 24 Enroll'!J$1,FALSE),'District Calculations'!$B$16+'District Calculations'!$B$25-'District Calculations'!$B$17)*Apport_216A2324,3)</f>
        <v>58.183999999999997</v>
      </c>
      <c r="J254">
        <f>ROUND(SUM(D254:I254)/(IF(VLOOKUP($A254,EnrollData2324,'2324 Jun 24 Enroll'!M$1,FALSE)='District Calculations'!$B$25,VLOOKUP($A254,EnrollData2324,'2324 Jun 24 Enroll'!M$1,FALSE),'District Calculations'!$B$25)+IF(VLOOKUP($A254,EnrollData2324,'2324 Jun 24 Enroll'!D$1,FALSE)='District Calculations'!$B$11,VLOOKUP($A254,EnrollData2324,'2324 Jun 24 Enroll'!D$1,FALSE),'District Calculations'!$B$11)),5)</f>
        <v>5.5530000000000003E-2</v>
      </c>
      <c r="K254" s="11">
        <f t="shared" si="65"/>
        <v>4.365E-3</v>
      </c>
      <c r="L254">
        <f>ROUND(IF(VLOOKUP($A254,EnrollData2324,'2324 Jun 24 Enroll'!D$1,FALSE)='District Calculations'!$B$11,VLOOKUP($A254,EnrollData2324,'2324 Jun 24 Enroll'!D$1,FALSE),'District Calculations'!$B$11)*K254,3)</f>
        <v>0</v>
      </c>
      <c r="M254">
        <f>ROUND(IF(VLOOKUP($A254,EnrollData2324,'2324 Jun 24 Enroll'!E$1,FALSE)='District Calculations'!$B$12,VLOOKUP($A254,EnrollData2324,'2324 Jun 24 Enroll'!E$1,FALSE),'District Calculations'!$B$12)*K254,3)</f>
        <v>3.5379999999999998</v>
      </c>
      <c r="N254">
        <f>ROUND(IF(VLOOKUP($A254,EnrollData2324,'2324 Jun 24 Enroll'!F$1,FALSE)='District Calculations'!$B$13,VLOOKUP($A254,EnrollData2324,'2324 Jun 24 Enroll'!F$1,FALSE),'District Calculations'!$B$13)*Apport_223A2324,3)</f>
        <v>0.84199999999999997</v>
      </c>
      <c r="O254">
        <f>ROUND(IF(VLOOKUP($A254,EnrollData2324,'2324 Jun 24 Enroll'!G$1,FALSE)='District Calculations'!$B$14,VLOOKUP($A254,EnrollData2324,'2324 Jun 24 Enroll'!G$1,FALSE),'District Calculations'!$B$14)*Apport_211A2324,3)</f>
        <v>1.867</v>
      </c>
      <c r="P254">
        <f>ROUND(IF(VLOOKUP($A254,EnrollData2324,'2324 Jun 24 Enroll'!H$1,FALSE)='District Calculations'!$B$14,VLOOKUP($A254,EnrollData2324,'2324 Jun 24 Enroll'!H$1,FALSE),'District Calculations'!$B$14)*Apport_214A2324,3)</f>
        <v>1.8660000000000001</v>
      </c>
      <c r="Q254">
        <f>ROUND(IF(VLOOKUP($A254,EnrollData2324,'2324 Jun 24 Enroll'!I$1,FALSE)+VLOOKUP($A254,EnrollData2324,'2324 Jun 24 Enroll'!M$1,FALSE)-VLOOKUP($A254,EnrollData2324,'2324 Jun 24 Enroll'!J$1,FALSE)='District Calculations'!$B$16+'District Calculations'!$B$25-'District Calculations'!$B$17,VLOOKUP($A254,EnrollData2324,'2324 Jun 24 Enroll'!I$1,FALSE)+VLOOKUP($A254,EnrollData2324,'2324 Jun 24 Enroll'!M$1,FALSE)-VLOOKUP($A254,EnrollData2324,'2324 Jun 24 Enroll'!J$1,FALSE),'District Calculations'!$B$16+'District Calculations'!$B$25-'District Calculations'!$B$17)*Apport_217A2324,3)</f>
        <v>4.6980000000000004</v>
      </c>
      <c r="R254">
        <f>ROUND(SUM(L254:Q254)/IF(VLOOKUP($A254,EnrollData2324,'2324 Jun 24 Enroll'!M$1,FALSE)+VLOOKUP($A254,EnrollData2324,'2324 Jun 24 Enroll'!D$1,FALSE)='District Calculations'!$B$25+'District Calculations'!$B$11,VLOOKUP($A254,EnrollData2324,'2324 Jun 24 Enroll'!M$1,FALSE)+VLOOKUP($A254,EnrollData2324,'2324 Jun 24 Enroll'!D$1,FALSE),'District Calculations'!$B$25+'District Calculations'!$B$11),5)</f>
        <v>4.1000000000000003E-3</v>
      </c>
      <c r="S254" s="11">
        <f t="shared" si="66"/>
        <v>1.8294500000000002E-2</v>
      </c>
      <c r="T254">
        <f>ROUND(IF(VLOOKUP($A254,EnrollData2324,'2324 Jun 24 Enroll'!D$1,FALSE)='District Calculations'!$B$11,VLOOKUP($A254,EnrollData2324,'2324 Jun 24 Enroll'!D$1,FALSE),'District Calculations'!$B$11)*S254,3)</f>
        <v>0</v>
      </c>
      <c r="U254">
        <f>ROUND(IF(VLOOKUP($A254,EnrollData2324,'2324 Jun 24 Enroll'!E$1,FALSE)='District Calculations'!$B$12,VLOOKUP($A254,EnrollData2324,'2324 Jun 24 Enroll'!E$1,FALSE),'District Calculations'!$B$12)*S254,3)</f>
        <v>14.827999999999999</v>
      </c>
      <c r="V254">
        <f>ROUND(IF(VLOOKUP($A254,EnrollData2324,'2324 Jun 24 Enroll'!F$1,FALSE)='District Calculations'!$B$13,VLOOKUP($A254,EnrollData2324,'2324 Jun 24 Enroll'!F$1,FALSE),'District Calculations'!$B$13)*Apport_224A2324,3)</f>
        <v>3.6190000000000002</v>
      </c>
      <c r="W254">
        <f>ROUND(IF(VLOOKUP($A254,EnrollData2324,'2324 Jun 24 Enroll'!G$1,FALSE)='District Calculations'!$B$14,VLOOKUP($A254,EnrollData2324,'2324 Jun 24 Enroll'!G$1,FALSE),'District Calculations'!$B$14)*Apport_212A2324,3)</f>
        <v>8.0239999999999991</v>
      </c>
      <c r="X254">
        <f>ROUND(IF(VLOOKUP($A254,EnrollData2324,'2324 Jun 24 Enroll'!H$1,FALSE)='District Calculations'!$B$14,VLOOKUP($A254,EnrollData2324,'2324 Jun 24 Enroll'!H$1,FALSE),'District Calculations'!$B$14)*Apport_215A2324,3)</f>
        <v>7.9279999999999999</v>
      </c>
      <c r="Y254">
        <f>ROUND(IF(VLOOKUP($A254,EnrollData2324,'2324 Jun 24 Enroll'!I$1,FALSE)+VLOOKUP($A254,EnrollData2324,'2324 Jun 24 Enroll'!M$1,FALSE)-VLOOKUP($A254,EnrollData2324,'2324 Jun 24 Enroll'!J$1,FALSE)='District Calculations'!$B$16+'District Calculations'!$B$25-'District Calculations'!$B$17,VLOOKUP($A254,EnrollData2324,'2324 Jun 24 Enroll'!I$1,FALSE)+VLOOKUP($A254,EnrollData2324,'2324 Jun 24 Enroll'!M$1,FALSE)-VLOOKUP($A254,EnrollData2324,'2324 Jun 24 Enroll'!J$1,FALSE),'District Calculations'!$B$16+'District Calculations'!$B$25-'District Calculations'!$B$17)*Apport_218A2324,3)</f>
        <v>19.917999999999999</v>
      </c>
      <c r="Z254">
        <f>ROUND(SUM(T254:Y254)/IF(VLOOKUP($A254,EnrollData2324,'2324 Jun 24 Enroll'!M$1,FALSE)+VLOOKUP($A254,EnrollData2324,'2324 Jun 24 Enroll'!D$1,FALSE)='District Calculations'!$B$25+'District Calculations'!$B$11,VLOOKUP($A254,EnrollData2324,'2324 Jun 24 Enroll'!M$1,FALSE)+VLOOKUP($A254,EnrollData2324,'2324 Jun 24 Enroll'!D$1,FALSE),'District Calculations'!$B$25+'District Calculations'!$B$11),5)</f>
        <v>1.7399999999999999E-2</v>
      </c>
      <c r="AA254" s="6">
        <f>ROUND($J254*CIS_Base_Salary2324*VLOOKUP($A254,EnrollData2324,'2324 Jun 24 Enroll'!S$1,FALSE),2)</f>
        <v>4038.59</v>
      </c>
      <c r="AB254" s="6">
        <f>ROUND($J254*CIS_Inc_Salary2324*(VLOOKUP($A254,EnrollData2324,'2324 Jun 24 Enroll'!T$1,FALSE)+VLOOKUP($A254,EnrollData2324,'2324 Jun 24 Enroll'!U$1,FALSE)),2)-AA254</f>
        <v>149.43000000000029</v>
      </c>
      <c r="AC254" s="6">
        <f>ROUND($R254*CAS_Base_Salary2324*VLOOKUP($A254,EnrollData2324,'2324 Jun 24 Enroll'!S$1,FALSE),2)</f>
        <v>442.62</v>
      </c>
      <c r="AD254" s="6">
        <f>ROUND($R254*CAS_Inc_Salary2324*VLOOKUP($A254,EnrollData2324,'2324 Jun 24 Enroll'!T$1,FALSE),2)-AC254</f>
        <v>16.379999999999995</v>
      </c>
      <c r="AE254" s="6">
        <f>ROUND($Z254*CLS_Base_Salary2324*VLOOKUP($A254,EnrollData2324,'2324 Jun 24 Enroll'!S$1,FALSE),2)</f>
        <v>907.81</v>
      </c>
      <c r="AF254" s="6">
        <f>ROUND($Z254*CLS_Inc_Salary2324*VLOOKUP($A254,EnrollData2324,'2324 Jun 24 Enroll'!T$1,FALSE),2)-AE254</f>
        <v>33.580000000000041</v>
      </c>
      <c r="AG254">
        <f t="shared" si="63"/>
        <v>734.16</v>
      </c>
      <c r="AH254" s="69">
        <f t="shared" si="67"/>
        <v>68.700000000000045</v>
      </c>
      <c r="AI254">
        <f t="shared" si="64"/>
        <v>214.23</v>
      </c>
      <c r="AJ254">
        <f t="shared" si="68"/>
        <v>114.21000000000001</v>
      </c>
      <c r="AK254">
        <f t="shared" si="69"/>
        <v>805.27</v>
      </c>
      <c r="AL254">
        <f t="shared" si="70"/>
        <v>28.73</v>
      </c>
      <c r="AM254">
        <f t="shared" si="71"/>
        <v>200.26</v>
      </c>
      <c r="AN254">
        <f t="shared" si="72"/>
        <v>6.23</v>
      </c>
      <c r="AO254">
        <f>ROUND(($J254*CIS_Inc_Salary2324*(VLOOKUP($A254,EnrollData2324,'2324 Jun 24 Enroll'!T$1,FALSE)+VLOOKUP($A254,EnrollData2324,'2324 Jun 24 Enroll'!U$1,FALSE))/Apport_613Xpd)*Apport_614Xpd,2)</f>
        <v>69.8</v>
      </c>
      <c r="AP254">
        <f t="shared" si="73"/>
        <v>12.1</v>
      </c>
      <c r="AQ254">
        <f t="shared" si="74"/>
        <v>30.93</v>
      </c>
      <c r="AR254" s="6">
        <f>ROUND((VLOOKUP($A254,EnrollData2324,'2324 Jun 24 Enroll'!D$1,FALSE)*Apport_M802324+VLOOKUP($A254,EnrollData2324,'2324 Jun 24 Enroll'!M$1,FALSE)*Apport_M802324+(VLOOKUP($A254,EnrollData2324,'2324 Jun 24 Enroll'!P$1,FALSE)+VLOOKUP($A254,EnrollData2324,'2324 Jun 24 Enroll'!Q$1,FALSE)+VLOOKUP($A254,EnrollData2324,'2324 Jun 24 Enroll'!R$1,FALSE)+VLOOKUP($A254,EnrollData2324,'2324 Jun 24 Enroll'!I$1,FALSE)+VLOOKUP($A254,EnrollData2324,'2324 Jun 24 Enroll'!N$1,FALSE)+VLOOKUP($A254,EnrollData2324,'2324 Jun 24 Enroll'!O$1,FALSE)+VLOOKUP($A254,EnrollData2324,'2324 Jun 24 Enroll'!K$1,FALSE)+VLOOKUP($A254,EnrollData2324,'2324 Jun 24 Enroll'!L$1,FALSE))*Apport_M812324)/(VLOOKUP($A254,EnrollData2324,'2324 Jun 24 Enroll'!M$1,FALSE)+VLOOKUP($A254,EnrollData2324,'2324 Jun 24 Enroll'!D$1,FALSE)),2)</f>
        <v>1542.57</v>
      </c>
      <c r="AS254" s="7">
        <f t="shared" si="75"/>
        <v>9415.6</v>
      </c>
    </row>
    <row r="255" spans="1:45">
      <c r="A255" s="40" t="s">
        <v>867</v>
      </c>
      <c r="B255" s="40" t="s">
        <v>868</v>
      </c>
      <c r="C255" s="11">
        <f>ROUND((IFERROR((1/IF(VLOOKUP($A255,EnrollData2324,28,FALSE)='District Calculations'!$B$10,VLOOKUP($A255,EnrollData2324,28,FALSE),'District Calculations'!$B$10))*(1+Apport_Z315),0))+Apport_201A2324,6)</f>
        <v>7.3449E-2</v>
      </c>
      <c r="D255">
        <f>ROUND(IF(VLOOKUP($A255,EnrollData2324,'2324 Jun 24 Enroll'!D$1,FALSE)='District Calculations'!$B$11,VLOOKUP($A255,EnrollData2324,'2324 Jun 24 Enroll'!D$1,FALSE),'District Calculations'!$B$11)*C255,3)</f>
        <v>0</v>
      </c>
      <c r="E255">
        <f>ROUND(IF(VLOOKUP($A255,EnrollData2324,'2324 Jun 24 Enroll'!E$1,FALSE)='District Calculations'!$B$12,VLOOKUP($A255,EnrollData2324,'2324 Jun 24 Enroll'!E$1,FALSE),'District Calculations'!$B$12)*C255,3)</f>
        <v>59.53</v>
      </c>
      <c r="F255">
        <f>ROUND(IF(VLOOKUP($A255,EnrollData2324,'2324 Jun 24 Enroll'!F$1,FALSE)='District Calculations'!$B$13,VLOOKUP($A255,EnrollData2324,'2324 Jun 24 Enroll'!F$1,FALSE),'District Calculations'!$B$13)*Apport_222A2324,3)</f>
        <v>10.101000000000001</v>
      </c>
      <c r="G255">
        <f>ROUND(IF(VLOOKUP($A255,EnrollData2324,'2324 Jun 24 Enroll'!G$1,FALSE)='District Calculations'!$B$14,VLOOKUP($A255,EnrollData2324,'2324 Jun 24 Enroll'!G$1,FALSE),'District Calculations'!$B$14)*Apport_210A2324,3)</f>
        <v>22.395</v>
      </c>
      <c r="H255">
        <f>ROUND(IF(VLOOKUP($A255,EnrollData2324,'2324 Jun 24 Enroll'!H$1,FALSE)='District Calculations'!$B$15,VLOOKUP($A255,EnrollData2324,'2324 Jun 24 Enroll'!H$1,FALSE),'District Calculations'!$B$15)*Apport_213A2324,3)</f>
        <v>23.091999999999999</v>
      </c>
      <c r="I255">
        <f>ROUND(IF(VLOOKUP($A255,EnrollData2324,'2324 Jun 24 Enroll'!I$1,FALSE)+VLOOKUP($A255,EnrollData2324,'2324 Jun 24 Enroll'!M$1,FALSE)-VLOOKUP($A255,EnrollData2324,'2324 Jun 24 Enroll'!J$1,FALSE)='District Calculations'!$B$16+'District Calculations'!$B$25-'District Calculations'!$B$17,VLOOKUP($A255,EnrollData2324,'2324 Jun 24 Enroll'!I$1,FALSE)+VLOOKUP($A255,EnrollData2324,'2324 Jun 24 Enroll'!M$1,FALSE)-VLOOKUP($A255,EnrollData2324,'2324 Jun 24 Enroll'!J$1,FALSE),'District Calculations'!$B$16+'District Calculations'!$B$25-'District Calculations'!$B$17)*Apport_216A2324,3)</f>
        <v>58.183999999999997</v>
      </c>
      <c r="J255">
        <f>ROUND(SUM(D255:I255)/(IF(VLOOKUP($A255,EnrollData2324,'2324 Jun 24 Enroll'!M$1,FALSE)='District Calculations'!$B$25,VLOOKUP($A255,EnrollData2324,'2324 Jun 24 Enroll'!M$1,FALSE),'District Calculations'!$B$25)+IF(VLOOKUP($A255,EnrollData2324,'2324 Jun 24 Enroll'!D$1,FALSE)='District Calculations'!$B$11,VLOOKUP($A255,EnrollData2324,'2324 Jun 24 Enroll'!D$1,FALSE),'District Calculations'!$B$11)),5)</f>
        <v>5.5530000000000003E-2</v>
      </c>
      <c r="K255" s="11">
        <f t="shared" si="65"/>
        <v>4.365E-3</v>
      </c>
      <c r="L255">
        <f>ROUND(IF(VLOOKUP($A255,EnrollData2324,'2324 Jun 24 Enroll'!D$1,FALSE)='District Calculations'!$B$11,VLOOKUP($A255,EnrollData2324,'2324 Jun 24 Enroll'!D$1,FALSE),'District Calculations'!$B$11)*K255,3)</f>
        <v>0</v>
      </c>
      <c r="M255">
        <f>ROUND(IF(VLOOKUP($A255,EnrollData2324,'2324 Jun 24 Enroll'!E$1,FALSE)='District Calculations'!$B$12,VLOOKUP($A255,EnrollData2324,'2324 Jun 24 Enroll'!E$1,FALSE),'District Calculations'!$B$12)*K255,3)</f>
        <v>3.5379999999999998</v>
      </c>
      <c r="N255">
        <f>ROUND(IF(VLOOKUP($A255,EnrollData2324,'2324 Jun 24 Enroll'!F$1,FALSE)='District Calculations'!$B$13,VLOOKUP($A255,EnrollData2324,'2324 Jun 24 Enroll'!F$1,FALSE),'District Calculations'!$B$13)*Apport_223A2324,3)</f>
        <v>0.84199999999999997</v>
      </c>
      <c r="O255">
        <f>ROUND(IF(VLOOKUP($A255,EnrollData2324,'2324 Jun 24 Enroll'!G$1,FALSE)='District Calculations'!$B$14,VLOOKUP($A255,EnrollData2324,'2324 Jun 24 Enroll'!G$1,FALSE),'District Calculations'!$B$14)*Apport_211A2324,3)</f>
        <v>1.867</v>
      </c>
      <c r="P255">
        <f>ROUND(IF(VLOOKUP($A255,EnrollData2324,'2324 Jun 24 Enroll'!H$1,FALSE)='District Calculations'!$B$14,VLOOKUP($A255,EnrollData2324,'2324 Jun 24 Enroll'!H$1,FALSE),'District Calculations'!$B$14)*Apport_214A2324,3)</f>
        <v>1.8660000000000001</v>
      </c>
      <c r="Q255">
        <f>ROUND(IF(VLOOKUP($A255,EnrollData2324,'2324 Jun 24 Enroll'!I$1,FALSE)+VLOOKUP($A255,EnrollData2324,'2324 Jun 24 Enroll'!M$1,FALSE)-VLOOKUP($A255,EnrollData2324,'2324 Jun 24 Enroll'!J$1,FALSE)='District Calculations'!$B$16+'District Calculations'!$B$25-'District Calculations'!$B$17,VLOOKUP($A255,EnrollData2324,'2324 Jun 24 Enroll'!I$1,FALSE)+VLOOKUP($A255,EnrollData2324,'2324 Jun 24 Enroll'!M$1,FALSE)-VLOOKUP($A255,EnrollData2324,'2324 Jun 24 Enroll'!J$1,FALSE),'District Calculations'!$B$16+'District Calculations'!$B$25-'District Calculations'!$B$17)*Apport_217A2324,3)</f>
        <v>4.6980000000000004</v>
      </c>
      <c r="R255">
        <f>ROUND(SUM(L255:Q255)/IF(VLOOKUP($A255,EnrollData2324,'2324 Jun 24 Enroll'!M$1,FALSE)+VLOOKUP($A255,EnrollData2324,'2324 Jun 24 Enroll'!D$1,FALSE)='District Calculations'!$B$25+'District Calculations'!$B$11,VLOOKUP($A255,EnrollData2324,'2324 Jun 24 Enroll'!M$1,FALSE)+VLOOKUP($A255,EnrollData2324,'2324 Jun 24 Enroll'!D$1,FALSE),'District Calculations'!$B$25+'District Calculations'!$B$11),5)</f>
        <v>4.1000000000000003E-3</v>
      </c>
      <c r="S255" s="11">
        <f t="shared" si="66"/>
        <v>1.8294500000000002E-2</v>
      </c>
      <c r="T255">
        <f>ROUND(IF(VLOOKUP($A255,EnrollData2324,'2324 Jun 24 Enroll'!D$1,FALSE)='District Calculations'!$B$11,VLOOKUP($A255,EnrollData2324,'2324 Jun 24 Enroll'!D$1,FALSE),'District Calculations'!$B$11)*S255,3)</f>
        <v>0</v>
      </c>
      <c r="U255">
        <f>ROUND(IF(VLOOKUP($A255,EnrollData2324,'2324 Jun 24 Enroll'!E$1,FALSE)='District Calculations'!$B$12,VLOOKUP($A255,EnrollData2324,'2324 Jun 24 Enroll'!E$1,FALSE),'District Calculations'!$B$12)*S255,3)</f>
        <v>14.827999999999999</v>
      </c>
      <c r="V255">
        <f>ROUND(IF(VLOOKUP($A255,EnrollData2324,'2324 Jun 24 Enroll'!F$1,FALSE)='District Calculations'!$B$13,VLOOKUP($A255,EnrollData2324,'2324 Jun 24 Enroll'!F$1,FALSE),'District Calculations'!$B$13)*Apport_224A2324,3)</f>
        <v>3.6190000000000002</v>
      </c>
      <c r="W255">
        <f>ROUND(IF(VLOOKUP($A255,EnrollData2324,'2324 Jun 24 Enroll'!G$1,FALSE)='District Calculations'!$B$14,VLOOKUP($A255,EnrollData2324,'2324 Jun 24 Enroll'!G$1,FALSE),'District Calculations'!$B$14)*Apport_212A2324,3)</f>
        <v>8.0239999999999991</v>
      </c>
      <c r="X255">
        <f>ROUND(IF(VLOOKUP($A255,EnrollData2324,'2324 Jun 24 Enroll'!H$1,FALSE)='District Calculations'!$B$14,VLOOKUP($A255,EnrollData2324,'2324 Jun 24 Enroll'!H$1,FALSE),'District Calculations'!$B$14)*Apport_215A2324,3)</f>
        <v>7.9279999999999999</v>
      </c>
      <c r="Y255">
        <f>ROUND(IF(VLOOKUP($A255,EnrollData2324,'2324 Jun 24 Enroll'!I$1,FALSE)+VLOOKUP($A255,EnrollData2324,'2324 Jun 24 Enroll'!M$1,FALSE)-VLOOKUP($A255,EnrollData2324,'2324 Jun 24 Enroll'!J$1,FALSE)='District Calculations'!$B$16+'District Calculations'!$B$25-'District Calculations'!$B$17,VLOOKUP($A255,EnrollData2324,'2324 Jun 24 Enroll'!I$1,FALSE)+VLOOKUP($A255,EnrollData2324,'2324 Jun 24 Enroll'!M$1,FALSE)-VLOOKUP($A255,EnrollData2324,'2324 Jun 24 Enroll'!J$1,FALSE),'District Calculations'!$B$16+'District Calculations'!$B$25-'District Calculations'!$B$17)*Apport_218A2324,3)</f>
        <v>19.917999999999999</v>
      </c>
      <c r="Z255">
        <f>ROUND(SUM(T255:Y255)/IF(VLOOKUP($A255,EnrollData2324,'2324 Jun 24 Enroll'!M$1,FALSE)+VLOOKUP($A255,EnrollData2324,'2324 Jun 24 Enroll'!D$1,FALSE)='District Calculations'!$B$25+'District Calculations'!$B$11,VLOOKUP($A255,EnrollData2324,'2324 Jun 24 Enroll'!M$1,FALSE)+VLOOKUP($A255,EnrollData2324,'2324 Jun 24 Enroll'!D$1,FALSE),'District Calculations'!$B$25+'District Calculations'!$B$11),5)</f>
        <v>1.7399999999999999E-2</v>
      </c>
      <c r="AA255" s="6">
        <f>ROUND($J255*CIS_Base_Salary2324*VLOOKUP($A255,EnrollData2324,'2324 Jun 24 Enroll'!S$1,FALSE),2)</f>
        <v>4038.59</v>
      </c>
      <c r="AB255" s="6">
        <f>ROUND($J255*CIS_Inc_Salary2324*(VLOOKUP($A255,EnrollData2324,'2324 Jun 24 Enroll'!T$1,FALSE)+VLOOKUP($A255,EnrollData2324,'2324 Jun 24 Enroll'!U$1,FALSE)),2)-AA255</f>
        <v>149.43000000000029</v>
      </c>
      <c r="AC255" s="6">
        <f>ROUND($R255*CAS_Base_Salary2324*VLOOKUP($A255,EnrollData2324,'2324 Jun 24 Enroll'!S$1,FALSE),2)</f>
        <v>442.62</v>
      </c>
      <c r="AD255" s="6">
        <f>ROUND($R255*CAS_Inc_Salary2324*VLOOKUP($A255,EnrollData2324,'2324 Jun 24 Enroll'!T$1,FALSE),2)-AC255</f>
        <v>16.379999999999995</v>
      </c>
      <c r="AE255" s="6">
        <f>ROUND($Z255*CLS_Base_Salary2324*VLOOKUP($A255,EnrollData2324,'2324 Jun 24 Enroll'!S$1,FALSE),2)</f>
        <v>907.81</v>
      </c>
      <c r="AF255" s="6">
        <f>ROUND($Z255*CLS_Inc_Salary2324*VLOOKUP($A255,EnrollData2324,'2324 Jun 24 Enroll'!T$1,FALSE),2)-AE255</f>
        <v>33.580000000000041</v>
      </c>
      <c r="AG255">
        <f t="shared" si="63"/>
        <v>734.16</v>
      </c>
      <c r="AH255" s="69">
        <f t="shared" si="67"/>
        <v>68.700000000000045</v>
      </c>
      <c r="AI255">
        <f t="shared" si="64"/>
        <v>214.23</v>
      </c>
      <c r="AJ255">
        <f t="shared" si="68"/>
        <v>114.21000000000001</v>
      </c>
      <c r="AK255">
        <f t="shared" si="69"/>
        <v>805.27</v>
      </c>
      <c r="AL255">
        <f t="shared" si="70"/>
        <v>28.73</v>
      </c>
      <c r="AM255">
        <f t="shared" si="71"/>
        <v>200.26</v>
      </c>
      <c r="AN255">
        <f t="shared" si="72"/>
        <v>6.23</v>
      </c>
      <c r="AO255">
        <f>ROUND(($J255*CIS_Inc_Salary2324*(VLOOKUP($A255,EnrollData2324,'2324 Jun 24 Enroll'!T$1,FALSE)+VLOOKUP($A255,EnrollData2324,'2324 Jun 24 Enroll'!U$1,FALSE))/Apport_613Xpd)*Apport_614Xpd,2)</f>
        <v>69.8</v>
      </c>
      <c r="AP255">
        <f t="shared" si="73"/>
        <v>12.1</v>
      </c>
      <c r="AQ255">
        <f t="shared" si="74"/>
        <v>30.93</v>
      </c>
      <c r="AR255" s="6">
        <f>ROUND((VLOOKUP($A255,EnrollData2324,'2324 Jun 24 Enroll'!D$1,FALSE)*Apport_M802324+VLOOKUP($A255,EnrollData2324,'2324 Jun 24 Enroll'!M$1,FALSE)*Apport_M802324+(VLOOKUP($A255,EnrollData2324,'2324 Jun 24 Enroll'!P$1,FALSE)+VLOOKUP($A255,EnrollData2324,'2324 Jun 24 Enroll'!Q$1,FALSE)+VLOOKUP($A255,EnrollData2324,'2324 Jun 24 Enroll'!R$1,FALSE)+VLOOKUP($A255,EnrollData2324,'2324 Jun 24 Enroll'!I$1,FALSE)+VLOOKUP($A255,EnrollData2324,'2324 Jun 24 Enroll'!N$1,FALSE)+VLOOKUP($A255,EnrollData2324,'2324 Jun 24 Enroll'!O$1,FALSE)+VLOOKUP($A255,EnrollData2324,'2324 Jun 24 Enroll'!K$1,FALSE)+VLOOKUP($A255,EnrollData2324,'2324 Jun 24 Enroll'!L$1,FALSE))*Apport_M812324)/(VLOOKUP($A255,EnrollData2324,'2324 Jun 24 Enroll'!M$1,FALSE)+VLOOKUP($A255,EnrollData2324,'2324 Jun 24 Enroll'!D$1,FALSE)),2)</f>
        <v>1577.74</v>
      </c>
      <c r="AS255" s="7">
        <f t="shared" si="75"/>
        <v>9450.77</v>
      </c>
    </row>
    <row r="256" spans="1:45">
      <c r="A256" s="40" t="s">
        <v>428</v>
      </c>
      <c r="B256" s="40" t="s">
        <v>429</v>
      </c>
      <c r="C256" s="11">
        <f>ROUND((IFERROR((1/IF(VLOOKUP($A256,EnrollData2324,28,FALSE)='District Calculations'!$B$10,VLOOKUP($A256,EnrollData2324,28,FALSE),'District Calculations'!$B$10))*(1+Apport_Z315),0))+Apport_201A2324,6)</f>
        <v>7.3449E-2</v>
      </c>
      <c r="D256">
        <f>ROUND(IF(VLOOKUP($A256,EnrollData2324,'2324 Jun 24 Enroll'!D$1,FALSE)='District Calculations'!$B$11,VLOOKUP($A256,EnrollData2324,'2324 Jun 24 Enroll'!D$1,FALSE),'District Calculations'!$B$11)*C256,3)</f>
        <v>0</v>
      </c>
      <c r="E256">
        <f>ROUND(IF(VLOOKUP($A256,EnrollData2324,'2324 Jun 24 Enroll'!E$1,FALSE)='District Calculations'!$B$12,VLOOKUP($A256,EnrollData2324,'2324 Jun 24 Enroll'!E$1,FALSE),'District Calculations'!$B$12)*C256,3)</f>
        <v>59.53</v>
      </c>
      <c r="F256">
        <f>ROUND(IF(VLOOKUP($A256,EnrollData2324,'2324 Jun 24 Enroll'!F$1,FALSE)='District Calculations'!$B$13,VLOOKUP($A256,EnrollData2324,'2324 Jun 24 Enroll'!F$1,FALSE),'District Calculations'!$B$13)*Apport_222A2324,3)</f>
        <v>10.101000000000001</v>
      </c>
      <c r="G256">
        <f>ROUND(IF(VLOOKUP($A256,EnrollData2324,'2324 Jun 24 Enroll'!G$1,FALSE)='District Calculations'!$B$14,VLOOKUP($A256,EnrollData2324,'2324 Jun 24 Enroll'!G$1,FALSE),'District Calculations'!$B$14)*Apport_210A2324,3)</f>
        <v>22.395</v>
      </c>
      <c r="H256">
        <f>ROUND(IF(VLOOKUP($A256,EnrollData2324,'2324 Jun 24 Enroll'!H$1,FALSE)='District Calculations'!$B$15,VLOOKUP($A256,EnrollData2324,'2324 Jun 24 Enroll'!H$1,FALSE),'District Calculations'!$B$15)*Apport_213A2324,3)</f>
        <v>23.091999999999999</v>
      </c>
      <c r="I256">
        <f>ROUND(IF(VLOOKUP($A256,EnrollData2324,'2324 Jun 24 Enroll'!I$1,FALSE)+VLOOKUP($A256,EnrollData2324,'2324 Jun 24 Enroll'!M$1,FALSE)-VLOOKUP($A256,EnrollData2324,'2324 Jun 24 Enroll'!J$1,FALSE)='District Calculations'!$B$16+'District Calculations'!$B$25-'District Calculations'!$B$17,VLOOKUP($A256,EnrollData2324,'2324 Jun 24 Enroll'!I$1,FALSE)+VLOOKUP($A256,EnrollData2324,'2324 Jun 24 Enroll'!M$1,FALSE)-VLOOKUP($A256,EnrollData2324,'2324 Jun 24 Enroll'!J$1,FALSE),'District Calculations'!$B$16+'District Calculations'!$B$25-'District Calculations'!$B$17)*Apport_216A2324,3)</f>
        <v>58.183999999999997</v>
      </c>
      <c r="J256">
        <f>ROUND(SUM(D256:I256)/(IF(VLOOKUP($A256,EnrollData2324,'2324 Jun 24 Enroll'!M$1,FALSE)='District Calculations'!$B$25,VLOOKUP($A256,EnrollData2324,'2324 Jun 24 Enroll'!M$1,FALSE),'District Calculations'!$B$25)+IF(VLOOKUP($A256,EnrollData2324,'2324 Jun 24 Enroll'!D$1,FALSE)='District Calculations'!$B$11,VLOOKUP($A256,EnrollData2324,'2324 Jun 24 Enroll'!D$1,FALSE),'District Calculations'!$B$11)),5)</f>
        <v>5.5530000000000003E-2</v>
      </c>
      <c r="K256" s="11">
        <f t="shared" si="65"/>
        <v>4.365E-3</v>
      </c>
      <c r="L256">
        <f>ROUND(IF(VLOOKUP($A256,EnrollData2324,'2324 Jun 24 Enroll'!D$1,FALSE)='District Calculations'!$B$11,VLOOKUP($A256,EnrollData2324,'2324 Jun 24 Enroll'!D$1,FALSE),'District Calculations'!$B$11)*K256,3)</f>
        <v>0</v>
      </c>
      <c r="M256">
        <f>ROUND(IF(VLOOKUP($A256,EnrollData2324,'2324 Jun 24 Enroll'!E$1,FALSE)='District Calculations'!$B$12,VLOOKUP($A256,EnrollData2324,'2324 Jun 24 Enroll'!E$1,FALSE),'District Calculations'!$B$12)*K256,3)</f>
        <v>3.5379999999999998</v>
      </c>
      <c r="N256">
        <f>ROUND(IF(VLOOKUP($A256,EnrollData2324,'2324 Jun 24 Enroll'!F$1,FALSE)='District Calculations'!$B$13,VLOOKUP($A256,EnrollData2324,'2324 Jun 24 Enroll'!F$1,FALSE),'District Calculations'!$B$13)*Apport_223A2324,3)</f>
        <v>0.84199999999999997</v>
      </c>
      <c r="O256">
        <f>ROUND(IF(VLOOKUP($A256,EnrollData2324,'2324 Jun 24 Enroll'!G$1,FALSE)='District Calculations'!$B$14,VLOOKUP($A256,EnrollData2324,'2324 Jun 24 Enroll'!G$1,FALSE),'District Calculations'!$B$14)*Apport_211A2324,3)</f>
        <v>1.867</v>
      </c>
      <c r="P256">
        <f>ROUND(IF(VLOOKUP($A256,EnrollData2324,'2324 Jun 24 Enroll'!H$1,FALSE)='District Calculations'!$B$14,VLOOKUP($A256,EnrollData2324,'2324 Jun 24 Enroll'!H$1,FALSE),'District Calculations'!$B$14)*Apport_214A2324,3)</f>
        <v>1.8660000000000001</v>
      </c>
      <c r="Q256">
        <f>ROUND(IF(VLOOKUP($A256,EnrollData2324,'2324 Jun 24 Enroll'!I$1,FALSE)+VLOOKUP($A256,EnrollData2324,'2324 Jun 24 Enroll'!M$1,FALSE)-VLOOKUP($A256,EnrollData2324,'2324 Jun 24 Enroll'!J$1,FALSE)='District Calculations'!$B$16+'District Calculations'!$B$25-'District Calculations'!$B$17,VLOOKUP($A256,EnrollData2324,'2324 Jun 24 Enroll'!I$1,FALSE)+VLOOKUP($A256,EnrollData2324,'2324 Jun 24 Enroll'!M$1,FALSE)-VLOOKUP($A256,EnrollData2324,'2324 Jun 24 Enroll'!J$1,FALSE),'District Calculations'!$B$16+'District Calculations'!$B$25-'District Calculations'!$B$17)*Apport_217A2324,3)</f>
        <v>4.6980000000000004</v>
      </c>
      <c r="R256">
        <f>ROUND(SUM(L256:Q256)/IF(VLOOKUP($A256,EnrollData2324,'2324 Jun 24 Enroll'!M$1,FALSE)+VLOOKUP($A256,EnrollData2324,'2324 Jun 24 Enroll'!D$1,FALSE)='District Calculations'!$B$25+'District Calculations'!$B$11,VLOOKUP($A256,EnrollData2324,'2324 Jun 24 Enroll'!M$1,FALSE)+VLOOKUP($A256,EnrollData2324,'2324 Jun 24 Enroll'!D$1,FALSE),'District Calculations'!$B$25+'District Calculations'!$B$11),5)</f>
        <v>4.1000000000000003E-3</v>
      </c>
      <c r="S256" s="11">
        <f t="shared" si="66"/>
        <v>1.8294500000000002E-2</v>
      </c>
      <c r="T256">
        <f>ROUND(IF(VLOOKUP($A256,EnrollData2324,'2324 Jun 24 Enroll'!D$1,FALSE)='District Calculations'!$B$11,VLOOKUP($A256,EnrollData2324,'2324 Jun 24 Enroll'!D$1,FALSE),'District Calculations'!$B$11)*S256,3)</f>
        <v>0</v>
      </c>
      <c r="U256">
        <f>ROUND(IF(VLOOKUP($A256,EnrollData2324,'2324 Jun 24 Enroll'!E$1,FALSE)='District Calculations'!$B$12,VLOOKUP($A256,EnrollData2324,'2324 Jun 24 Enroll'!E$1,FALSE),'District Calculations'!$B$12)*S256,3)</f>
        <v>14.827999999999999</v>
      </c>
      <c r="V256">
        <f>ROUND(IF(VLOOKUP($A256,EnrollData2324,'2324 Jun 24 Enroll'!F$1,FALSE)='District Calculations'!$B$13,VLOOKUP($A256,EnrollData2324,'2324 Jun 24 Enroll'!F$1,FALSE),'District Calculations'!$B$13)*Apport_224A2324,3)</f>
        <v>3.6190000000000002</v>
      </c>
      <c r="W256">
        <f>ROUND(IF(VLOOKUP($A256,EnrollData2324,'2324 Jun 24 Enroll'!G$1,FALSE)='District Calculations'!$B$14,VLOOKUP($A256,EnrollData2324,'2324 Jun 24 Enroll'!G$1,FALSE),'District Calculations'!$B$14)*Apport_212A2324,3)</f>
        <v>8.0239999999999991</v>
      </c>
      <c r="X256">
        <f>ROUND(IF(VLOOKUP($A256,EnrollData2324,'2324 Jun 24 Enroll'!H$1,FALSE)='District Calculations'!$B$14,VLOOKUP($A256,EnrollData2324,'2324 Jun 24 Enroll'!H$1,FALSE),'District Calculations'!$B$14)*Apport_215A2324,3)</f>
        <v>7.9279999999999999</v>
      </c>
      <c r="Y256">
        <f>ROUND(IF(VLOOKUP($A256,EnrollData2324,'2324 Jun 24 Enroll'!I$1,FALSE)+VLOOKUP($A256,EnrollData2324,'2324 Jun 24 Enroll'!M$1,FALSE)-VLOOKUP($A256,EnrollData2324,'2324 Jun 24 Enroll'!J$1,FALSE)='District Calculations'!$B$16+'District Calculations'!$B$25-'District Calculations'!$B$17,VLOOKUP($A256,EnrollData2324,'2324 Jun 24 Enroll'!I$1,FALSE)+VLOOKUP($A256,EnrollData2324,'2324 Jun 24 Enroll'!M$1,FALSE)-VLOOKUP($A256,EnrollData2324,'2324 Jun 24 Enroll'!J$1,FALSE),'District Calculations'!$B$16+'District Calculations'!$B$25-'District Calculations'!$B$17)*Apport_218A2324,3)</f>
        <v>19.917999999999999</v>
      </c>
      <c r="Z256">
        <f>ROUND(SUM(T256:Y256)/IF(VLOOKUP($A256,EnrollData2324,'2324 Jun 24 Enroll'!M$1,FALSE)+VLOOKUP($A256,EnrollData2324,'2324 Jun 24 Enroll'!D$1,FALSE)='District Calculations'!$B$25+'District Calculations'!$B$11,VLOOKUP($A256,EnrollData2324,'2324 Jun 24 Enroll'!M$1,FALSE)+VLOOKUP($A256,EnrollData2324,'2324 Jun 24 Enroll'!D$1,FALSE),'District Calculations'!$B$25+'District Calculations'!$B$11),5)</f>
        <v>1.7399999999999999E-2</v>
      </c>
      <c r="AA256" s="6">
        <f>ROUND($J256*CIS_Base_Salary2324*VLOOKUP($A256,EnrollData2324,'2324 Jun 24 Enroll'!S$1,FALSE),2)</f>
        <v>4038.59</v>
      </c>
      <c r="AB256" s="6">
        <f>ROUND($J256*CIS_Inc_Salary2324*(VLOOKUP($A256,EnrollData2324,'2324 Jun 24 Enroll'!T$1,FALSE)+VLOOKUP($A256,EnrollData2324,'2324 Jun 24 Enroll'!U$1,FALSE)),2)-AA256</f>
        <v>149.43000000000029</v>
      </c>
      <c r="AC256" s="6">
        <f>ROUND($R256*CAS_Base_Salary2324*VLOOKUP($A256,EnrollData2324,'2324 Jun 24 Enroll'!S$1,FALSE),2)</f>
        <v>442.62</v>
      </c>
      <c r="AD256" s="6">
        <f>ROUND($R256*CAS_Inc_Salary2324*VLOOKUP($A256,EnrollData2324,'2324 Jun 24 Enroll'!T$1,FALSE),2)-AC256</f>
        <v>16.379999999999995</v>
      </c>
      <c r="AE256" s="6">
        <f>ROUND($Z256*CLS_Base_Salary2324*VLOOKUP($A256,EnrollData2324,'2324 Jun 24 Enroll'!S$1,FALSE),2)</f>
        <v>907.81</v>
      </c>
      <c r="AF256" s="6">
        <f>ROUND($Z256*CLS_Inc_Salary2324*VLOOKUP($A256,EnrollData2324,'2324 Jun 24 Enroll'!T$1,FALSE),2)-AE256</f>
        <v>33.580000000000041</v>
      </c>
      <c r="AG256">
        <f t="shared" si="63"/>
        <v>734.16</v>
      </c>
      <c r="AH256" s="69">
        <f t="shared" si="67"/>
        <v>68.700000000000045</v>
      </c>
      <c r="AI256">
        <f t="shared" si="64"/>
        <v>214.23</v>
      </c>
      <c r="AJ256">
        <f t="shared" si="68"/>
        <v>114.21000000000001</v>
      </c>
      <c r="AK256">
        <f t="shared" si="69"/>
        <v>805.27</v>
      </c>
      <c r="AL256">
        <f t="shared" si="70"/>
        <v>28.73</v>
      </c>
      <c r="AM256">
        <f t="shared" si="71"/>
        <v>200.26</v>
      </c>
      <c r="AN256">
        <f t="shared" si="72"/>
        <v>6.23</v>
      </c>
      <c r="AO256">
        <f>ROUND(($J256*CIS_Inc_Salary2324*(VLOOKUP($A256,EnrollData2324,'2324 Jun 24 Enroll'!T$1,FALSE)+VLOOKUP($A256,EnrollData2324,'2324 Jun 24 Enroll'!U$1,FALSE))/Apport_613Xpd)*Apport_614Xpd,2)</f>
        <v>69.8</v>
      </c>
      <c r="AP256">
        <f t="shared" si="73"/>
        <v>12.1</v>
      </c>
      <c r="AQ256">
        <f t="shared" si="74"/>
        <v>30.93</v>
      </c>
      <c r="AR256" s="6">
        <f>ROUND((VLOOKUP($A256,EnrollData2324,'2324 Jun 24 Enroll'!D$1,FALSE)*Apport_M802324+VLOOKUP($A256,EnrollData2324,'2324 Jun 24 Enroll'!M$1,FALSE)*Apport_M802324+(VLOOKUP($A256,EnrollData2324,'2324 Jun 24 Enroll'!P$1,FALSE)+VLOOKUP($A256,EnrollData2324,'2324 Jun 24 Enroll'!Q$1,FALSE)+VLOOKUP($A256,EnrollData2324,'2324 Jun 24 Enroll'!R$1,FALSE)+VLOOKUP($A256,EnrollData2324,'2324 Jun 24 Enroll'!I$1,FALSE)+VLOOKUP($A256,EnrollData2324,'2324 Jun 24 Enroll'!N$1,FALSE)+VLOOKUP($A256,EnrollData2324,'2324 Jun 24 Enroll'!O$1,FALSE)+VLOOKUP($A256,EnrollData2324,'2324 Jun 24 Enroll'!K$1,FALSE)+VLOOKUP($A256,EnrollData2324,'2324 Jun 24 Enroll'!L$1,FALSE))*Apport_M812324)/(VLOOKUP($A256,EnrollData2324,'2324 Jun 24 Enroll'!M$1,FALSE)+VLOOKUP($A256,EnrollData2324,'2324 Jun 24 Enroll'!D$1,FALSE)),2)</f>
        <v>1578.63</v>
      </c>
      <c r="AS256" s="7">
        <f t="shared" si="75"/>
        <v>9451.66</v>
      </c>
    </row>
    <row r="257" spans="1:45">
      <c r="A257" s="40" t="s">
        <v>731</v>
      </c>
      <c r="B257" s="40" t="s">
        <v>732</v>
      </c>
      <c r="C257" s="11">
        <f>ROUND((IFERROR((1/IF(VLOOKUP($A257,EnrollData2324,28,FALSE)='District Calculations'!$B$10,VLOOKUP($A257,EnrollData2324,28,FALSE),'District Calculations'!$B$10))*(1+Apport_Z315),0))+Apport_201A2324,6)</f>
        <v>7.3449E-2</v>
      </c>
      <c r="D257">
        <f>ROUND(IF(VLOOKUP($A257,EnrollData2324,'2324 Jun 24 Enroll'!D$1,FALSE)='District Calculations'!$B$11,VLOOKUP($A257,EnrollData2324,'2324 Jun 24 Enroll'!D$1,FALSE),'District Calculations'!$B$11)*C257,3)</f>
        <v>0</v>
      </c>
      <c r="E257">
        <f>ROUND(IF(VLOOKUP($A257,EnrollData2324,'2324 Jun 24 Enroll'!E$1,FALSE)='District Calculations'!$B$12,VLOOKUP($A257,EnrollData2324,'2324 Jun 24 Enroll'!E$1,FALSE),'District Calculations'!$B$12)*C257,3)</f>
        <v>59.53</v>
      </c>
      <c r="F257">
        <f>ROUND(IF(VLOOKUP($A257,EnrollData2324,'2324 Jun 24 Enroll'!F$1,FALSE)='District Calculations'!$B$13,VLOOKUP($A257,EnrollData2324,'2324 Jun 24 Enroll'!F$1,FALSE),'District Calculations'!$B$13)*Apport_222A2324,3)</f>
        <v>10.101000000000001</v>
      </c>
      <c r="G257">
        <f>ROUND(IF(VLOOKUP($A257,EnrollData2324,'2324 Jun 24 Enroll'!G$1,FALSE)='District Calculations'!$B$14,VLOOKUP($A257,EnrollData2324,'2324 Jun 24 Enroll'!G$1,FALSE),'District Calculations'!$B$14)*Apport_210A2324,3)</f>
        <v>22.395</v>
      </c>
      <c r="H257">
        <f>ROUND(IF(VLOOKUP($A257,EnrollData2324,'2324 Jun 24 Enroll'!H$1,FALSE)='District Calculations'!$B$15,VLOOKUP($A257,EnrollData2324,'2324 Jun 24 Enroll'!H$1,FALSE),'District Calculations'!$B$15)*Apport_213A2324,3)</f>
        <v>23.091999999999999</v>
      </c>
      <c r="I257">
        <f>ROUND(IF(VLOOKUP($A257,EnrollData2324,'2324 Jun 24 Enroll'!I$1,FALSE)+VLOOKUP($A257,EnrollData2324,'2324 Jun 24 Enroll'!M$1,FALSE)-VLOOKUP($A257,EnrollData2324,'2324 Jun 24 Enroll'!J$1,FALSE)='District Calculations'!$B$16+'District Calculations'!$B$25-'District Calculations'!$B$17,VLOOKUP($A257,EnrollData2324,'2324 Jun 24 Enroll'!I$1,FALSE)+VLOOKUP($A257,EnrollData2324,'2324 Jun 24 Enroll'!M$1,FALSE)-VLOOKUP($A257,EnrollData2324,'2324 Jun 24 Enroll'!J$1,FALSE),'District Calculations'!$B$16+'District Calculations'!$B$25-'District Calculations'!$B$17)*Apport_216A2324,3)</f>
        <v>58.183999999999997</v>
      </c>
      <c r="J257">
        <f>ROUND(SUM(D257:I257)/(IF(VLOOKUP($A257,EnrollData2324,'2324 Jun 24 Enroll'!M$1,FALSE)='District Calculations'!$B$25,VLOOKUP($A257,EnrollData2324,'2324 Jun 24 Enroll'!M$1,FALSE),'District Calculations'!$B$25)+IF(VLOOKUP($A257,EnrollData2324,'2324 Jun 24 Enroll'!D$1,FALSE)='District Calculations'!$B$11,VLOOKUP($A257,EnrollData2324,'2324 Jun 24 Enroll'!D$1,FALSE),'District Calculations'!$B$11)),5)</f>
        <v>5.5530000000000003E-2</v>
      </c>
      <c r="K257" s="11">
        <f t="shared" si="65"/>
        <v>4.365E-3</v>
      </c>
      <c r="L257">
        <f>ROUND(IF(VLOOKUP($A257,EnrollData2324,'2324 Jun 24 Enroll'!D$1,FALSE)='District Calculations'!$B$11,VLOOKUP($A257,EnrollData2324,'2324 Jun 24 Enroll'!D$1,FALSE),'District Calculations'!$B$11)*K257,3)</f>
        <v>0</v>
      </c>
      <c r="M257">
        <f>ROUND(IF(VLOOKUP($A257,EnrollData2324,'2324 Jun 24 Enroll'!E$1,FALSE)='District Calculations'!$B$12,VLOOKUP($A257,EnrollData2324,'2324 Jun 24 Enroll'!E$1,FALSE),'District Calculations'!$B$12)*K257,3)</f>
        <v>3.5379999999999998</v>
      </c>
      <c r="N257">
        <f>ROUND(IF(VLOOKUP($A257,EnrollData2324,'2324 Jun 24 Enroll'!F$1,FALSE)='District Calculations'!$B$13,VLOOKUP($A257,EnrollData2324,'2324 Jun 24 Enroll'!F$1,FALSE),'District Calculations'!$B$13)*Apport_223A2324,3)</f>
        <v>0.84199999999999997</v>
      </c>
      <c r="O257">
        <f>ROUND(IF(VLOOKUP($A257,EnrollData2324,'2324 Jun 24 Enroll'!G$1,FALSE)='District Calculations'!$B$14,VLOOKUP($A257,EnrollData2324,'2324 Jun 24 Enroll'!G$1,FALSE),'District Calculations'!$B$14)*Apport_211A2324,3)</f>
        <v>1.867</v>
      </c>
      <c r="P257">
        <f>ROUND(IF(VLOOKUP($A257,EnrollData2324,'2324 Jun 24 Enroll'!H$1,FALSE)='District Calculations'!$B$14,VLOOKUP($A257,EnrollData2324,'2324 Jun 24 Enroll'!H$1,FALSE),'District Calculations'!$B$14)*Apport_214A2324,3)</f>
        <v>1.8660000000000001</v>
      </c>
      <c r="Q257">
        <f>ROUND(IF(VLOOKUP($A257,EnrollData2324,'2324 Jun 24 Enroll'!I$1,FALSE)+VLOOKUP($A257,EnrollData2324,'2324 Jun 24 Enroll'!M$1,FALSE)-VLOOKUP($A257,EnrollData2324,'2324 Jun 24 Enroll'!J$1,FALSE)='District Calculations'!$B$16+'District Calculations'!$B$25-'District Calculations'!$B$17,VLOOKUP($A257,EnrollData2324,'2324 Jun 24 Enroll'!I$1,FALSE)+VLOOKUP($A257,EnrollData2324,'2324 Jun 24 Enroll'!M$1,FALSE)-VLOOKUP($A257,EnrollData2324,'2324 Jun 24 Enroll'!J$1,FALSE),'District Calculations'!$B$16+'District Calculations'!$B$25-'District Calculations'!$B$17)*Apport_217A2324,3)</f>
        <v>4.6980000000000004</v>
      </c>
      <c r="R257">
        <f>ROUND(SUM(L257:Q257)/IF(VLOOKUP($A257,EnrollData2324,'2324 Jun 24 Enroll'!M$1,FALSE)+VLOOKUP($A257,EnrollData2324,'2324 Jun 24 Enroll'!D$1,FALSE)='District Calculations'!$B$25+'District Calculations'!$B$11,VLOOKUP($A257,EnrollData2324,'2324 Jun 24 Enroll'!M$1,FALSE)+VLOOKUP($A257,EnrollData2324,'2324 Jun 24 Enroll'!D$1,FALSE),'District Calculations'!$B$25+'District Calculations'!$B$11),5)</f>
        <v>4.1000000000000003E-3</v>
      </c>
      <c r="S257" s="11">
        <f t="shared" si="66"/>
        <v>1.8294500000000002E-2</v>
      </c>
      <c r="T257">
        <f>ROUND(IF(VLOOKUP($A257,EnrollData2324,'2324 Jun 24 Enroll'!D$1,FALSE)='District Calculations'!$B$11,VLOOKUP($A257,EnrollData2324,'2324 Jun 24 Enroll'!D$1,FALSE),'District Calculations'!$B$11)*S257,3)</f>
        <v>0</v>
      </c>
      <c r="U257">
        <f>ROUND(IF(VLOOKUP($A257,EnrollData2324,'2324 Jun 24 Enroll'!E$1,FALSE)='District Calculations'!$B$12,VLOOKUP($A257,EnrollData2324,'2324 Jun 24 Enroll'!E$1,FALSE),'District Calculations'!$B$12)*S257,3)</f>
        <v>14.827999999999999</v>
      </c>
      <c r="V257">
        <f>ROUND(IF(VLOOKUP($A257,EnrollData2324,'2324 Jun 24 Enroll'!F$1,FALSE)='District Calculations'!$B$13,VLOOKUP($A257,EnrollData2324,'2324 Jun 24 Enroll'!F$1,FALSE),'District Calculations'!$B$13)*Apport_224A2324,3)</f>
        <v>3.6190000000000002</v>
      </c>
      <c r="W257">
        <f>ROUND(IF(VLOOKUP($A257,EnrollData2324,'2324 Jun 24 Enroll'!G$1,FALSE)='District Calculations'!$B$14,VLOOKUP($A257,EnrollData2324,'2324 Jun 24 Enroll'!G$1,FALSE),'District Calculations'!$B$14)*Apport_212A2324,3)</f>
        <v>8.0239999999999991</v>
      </c>
      <c r="X257">
        <f>ROUND(IF(VLOOKUP($A257,EnrollData2324,'2324 Jun 24 Enroll'!H$1,FALSE)='District Calculations'!$B$14,VLOOKUP($A257,EnrollData2324,'2324 Jun 24 Enroll'!H$1,FALSE),'District Calculations'!$B$14)*Apport_215A2324,3)</f>
        <v>7.9279999999999999</v>
      </c>
      <c r="Y257">
        <f>ROUND(IF(VLOOKUP($A257,EnrollData2324,'2324 Jun 24 Enroll'!I$1,FALSE)+VLOOKUP($A257,EnrollData2324,'2324 Jun 24 Enroll'!M$1,FALSE)-VLOOKUP($A257,EnrollData2324,'2324 Jun 24 Enroll'!J$1,FALSE)='District Calculations'!$B$16+'District Calculations'!$B$25-'District Calculations'!$B$17,VLOOKUP($A257,EnrollData2324,'2324 Jun 24 Enroll'!I$1,FALSE)+VLOOKUP($A257,EnrollData2324,'2324 Jun 24 Enroll'!M$1,FALSE)-VLOOKUP($A257,EnrollData2324,'2324 Jun 24 Enroll'!J$1,FALSE),'District Calculations'!$B$16+'District Calculations'!$B$25-'District Calculations'!$B$17)*Apport_218A2324,3)</f>
        <v>19.917999999999999</v>
      </c>
      <c r="Z257">
        <f>ROUND(SUM(T257:Y257)/IF(VLOOKUP($A257,EnrollData2324,'2324 Jun 24 Enroll'!M$1,FALSE)+VLOOKUP($A257,EnrollData2324,'2324 Jun 24 Enroll'!D$1,FALSE)='District Calculations'!$B$25+'District Calculations'!$B$11,VLOOKUP($A257,EnrollData2324,'2324 Jun 24 Enroll'!M$1,FALSE)+VLOOKUP($A257,EnrollData2324,'2324 Jun 24 Enroll'!D$1,FALSE),'District Calculations'!$B$25+'District Calculations'!$B$11),5)</f>
        <v>1.7399999999999999E-2</v>
      </c>
      <c r="AA257" s="6">
        <f>ROUND($J257*CIS_Base_Salary2324*VLOOKUP($A257,EnrollData2324,'2324 Jun 24 Enroll'!S$1,FALSE),2)</f>
        <v>4038.59</v>
      </c>
      <c r="AB257" s="6">
        <f>ROUND($J257*CIS_Inc_Salary2324*(VLOOKUP($A257,EnrollData2324,'2324 Jun 24 Enroll'!T$1,FALSE)+VLOOKUP($A257,EnrollData2324,'2324 Jun 24 Enroll'!U$1,FALSE)),2)-AA257</f>
        <v>149.43000000000029</v>
      </c>
      <c r="AC257" s="6">
        <f>ROUND($R257*CAS_Base_Salary2324*VLOOKUP($A257,EnrollData2324,'2324 Jun 24 Enroll'!S$1,FALSE),2)</f>
        <v>442.62</v>
      </c>
      <c r="AD257" s="6">
        <f>ROUND($R257*CAS_Inc_Salary2324*VLOOKUP($A257,EnrollData2324,'2324 Jun 24 Enroll'!T$1,FALSE),2)-AC257</f>
        <v>16.379999999999995</v>
      </c>
      <c r="AE257" s="6">
        <f>ROUND($Z257*CLS_Base_Salary2324*VLOOKUP($A257,EnrollData2324,'2324 Jun 24 Enroll'!S$1,FALSE),2)</f>
        <v>907.81</v>
      </c>
      <c r="AF257" s="6">
        <f>ROUND($Z257*CLS_Inc_Salary2324*VLOOKUP($A257,EnrollData2324,'2324 Jun 24 Enroll'!T$1,FALSE),2)-AE257</f>
        <v>33.580000000000041</v>
      </c>
      <c r="AG257">
        <f t="shared" si="63"/>
        <v>734.16</v>
      </c>
      <c r="AH257" s="69">
        <f t="shared" si="67"/>
        <v>68.700000000000045</v>
      </c>
      <c r="AI257">
        <f t="shared" si="64"/>
        <v>214.23</v>
      </c>
      <c r="AJ257">
        <f t="shared" si="68"/>
        <v>114.21000000000001</v>
      </c>
      <c r="AK257">
        <f t="shared" si="69"/>
        <v>805.27</v>
      </c>
      <c r="AL257">
        <f t="shared" si="70"/>
        <v>28.73</v>
      </c>
      <c r="AM257">
        <f t="shared" si="71"/>
        <v>200.26</v>
      </c>
      <c r="AN257">
        <f t="shared" si="72"/>
        <v>6.23</v>
      </c>
      <c r="AO257">
        <f>ROUND(($J257*CIS_Inc_Salary2324*(VLOOKUP($A257,EnrollData2324,'2324 Jun 24 Enroll'!T$1,FALSE)+VLOOKUP($A257,EnrollData2324,'2324 Jun 24 Enroll'!U$1,FALSE))/Apport_613Xpd)*Apport_614Xpd,2)</f>
        <v>69.8</v>
      </c>
      <c r="AP257">
        <f t="shared" si="73"/>
        <v>12.1</v>
      </c>
      <c r="AQ257">
        <f t="shared" si="74"/>
        <v>30.93</v>
      </c>
      <c r="AR257" s="6">
        <f>ROUND((VLOOKUP($A257,EnrollData2324,'2324 Jun 24 Enroll'!D$1,FALSE)*Apport_M802324+VLOOKUP($A257,EnrollData2324,'2324 Jun 24 Enroll'!M$1,FALSE)*Apport_M802324+(VLOOKUP($A257,EnrollData2324,'2324 Jun 24 Enroll'!P$1,FALSE)+VLOOKUP($A257,EnrollData2324,'2324 Jun 24 Enroll'!Q$1,FALSE)+VLOOKUP($A257,EnrollData2324,'2324 Jun 24 Enroll'!R$1,FALSE)+VLOOKUP($A257,EnrollData2324,'2324 Jun 24 Enroll'!I$1,FALSE)+VLOOKUP($A257,EnrollData2324,'2324 Jun 24 Enroll'!N$1,FALSE)+VLOOKUP($A257,EnrollData2324,'2324 Jun 24 Enroll'!O$1,FALSE)+VLOOKUP($A257,EnrollData2324,'2324 Jun 24 Enroll'!K$1,FALSE)+VLOOKUP($A257,EnrollData2324,'2324 Jun 24 Enroll'!L$1,FALSE))*Apport_M812324)/(VLOOKUP($A257,EnrollData2324,'2324 Jun 24 Enroll'!M$1,FALSE)+VLOOKUP($A257,EnrollData2324,'2324 Jun 24 Enroll'!D$1,FALSE)),2)</f>
        <v>1556.25</v>
      </c>
      <c r="AS257" s="7">
        <f t="shared" si="75"/>
        <v>9429.2799999999988</v>
      </c>
    </row>
    <row r="258" spans="1:45">
      <c r="A258" s="40" t="s">
        <v>912</v>
      </c>
      <c r="B258" s="40" t="s">
        <v>907</v>
      </c>
      <c r="C258" s="11">
        <f>ROUND((IFERROR((1/IF(VLOOKUP($A258,EnrollData2324,28,FALSE)='District Calculations'!$B$10,VLOOKUP($A258,EnrollData2324,28,FALSE),'District Calculations'!$B$10))*(1+Apport_Z315),0))+Apport_201A2324,6)</f>
        <v>7.3449E-2</v>
      </c>
      <c r="D258">
        <f>ROUND(IF(VLOOKUP($A258,EnrollData2324,'2324 Jun 24 Enroll'!D$1,FALSE)='District Calculations'!$B$11,VLOOKUP($A258,EnrollData2324,'2324 Jun 24 Enroll'!D$1,FALSE),'District Calculations'!$B$11)*C258,3)</f>
        <v>0</v>
      </c>
      <c r="E258">
        <f>ROUND(IF(VLOOKUP($A258,EnrollData2324,'2324 Jun 24 Enroll'!E$1,FALSE)='District Calculations'!$B$12,VLOOKUP($A258,EnrollData2324,'2324 Jun 24 Enroll'!E$1,FALSE),'District Calculations'!$B$12)*C258,3)</f>
        <v>59.53</v>
      </c>
      <c r="F258">
        <f>ROUND(IF(VLOOKUP($A258,EnrollData2324,'2324 Jun 24 Enroll'!F$1,FALSE)='District Calculations'!$B$13,VLOOKUP($A258,EnrollData2324,'2324 Jun 24 Enroll'!F$1,FALSE),'District Calculations'!$B$13)*Apport_222A2324,3)</f>
        <v>10.101000000000001</v>
      </c>
      <c r="G258">
        <f>ROUND(IF(VLOOKUP($A258,EnrollData2324,'2324 Jun 24 Enroll'!G$1,FALSE)='District Calculations'!$B$14,VLOOKUP($A258,EnrollData2324,'2324 Jun 24 Enroll'!G$1,FALSE),'District Calculations'!$B$14)*Apport_210A2324,3)</f>
        <v>22.395</v>
      </c>
      <c r="H258">
        <f>ROUND(IF(VLOOKUP($A258,EnrollData2324,'2324 Jun 24 Enroll'!H$1,FALSE)='District Calculations'!$B$15,VLOOKUP($A258,EnrollData2324,'2324 Jun 24 Enroll'!H$1,FALSE),'District Calculations'!$B$15)*Apport_213A2324,3)</f>
        <v>23.091999999999999</v>
      </c>
      <c r="I258">
        <f>ROUND(IF(VLOOKUP($A258,EnrollData2324,'2324 Jun 24 Enroll'!I$1,FALSE)+VLOOKUP($A258,EnrollData2324,'2324 Jun 24 Enroll'!M$1,FALSE)-VLOOKUP($A258,EnrollData2324,'2324 Jun 24 Enroll'!J$1,FALSE)='District Calculations'!$B$16+'District Calculations'!$B$25-'District Calculations'!$B$17,VLOOKUP($A258,EnrollData2324,'2324 Jun 24 Enroll'!I$1,FALSE)+VLOOKUP($A258,EnrollData2324,'2324 Jun 24 Enroll'!M$1,FALSE)-VLOOKUP($A258,EnrollData2324,'2324 Jun 24 Enroll'!J$1,FALSE),'District Calculations'!$B$16+'District Calculations'!$B$25-'District Calculations'!$B$17)*Apport_216A2324,3)</f>
        <v>58.183999999999997</v>
      </c>
      <c r="J258">
        <f>ROUND(SUM(D258:I258)/(IF(VLOOKUP($A258,EnrollData2324,'2324 Jun 24 Enroll'!M$1,FALSE)='District Calculations'!$B$25,VLOOKUP($A258,EnrollData2324,'2324 Jun 24 Enroll'!M$1,FALSE),'District Calculations'!$B$25)+IF(VLOOKUP($A258,EnrollData2324,'2324 Jun 24 Enroll'!D$1,FALSE)='District Calculations'!$B$11,VLOOKUP($A258,EnrollData2324,'2324 Jun 24 Enroll'!D$1,FALSE),'District Calculations'!$B$11)),5)</f>
        <v>5.5530000000000003E-2</v>
      </c>
      <c r="K258" s="11">
        <f t="shared" si="65"/>
        <v>4.365E-3</v>
      </c>
      <c r="L258">
        <f>ROUND(IF(VLOOKUP($A258,EnrollData2324,'2324 Jun 24 Enroll'!D$1,FALSE)='District Calculations'!$B$11,VLOOKUP($A258,EnrollData2324,'2324 Jun 24 Enroll'!D$1,FALSE),'District Calculations'!$B$11)*K258,3)</f>
        <v>0</v>
      </c>
      <c r="M258">
        <f>ROUND(IF(VLOOKUP($A258,EnrollData2324,'2324 Jun 24 Enroll'!E$1,FALSE)='District Calculations'!$B$12,VLOOKUP($A258,EnrollData2324,'2324 Jun 24 Enroll'!E$1,FALSE),'District Calculations'!$B$12)*K258,3)</f>
        <v>3.5379999999999998</v>
      </c>
      <c r="N258">
        <f>ROUND(IF(VLOOKUP($A258,EnrollData2324,'2324 Jun 24 Enroll'!F$1,FALSE)='District Calculations'!$B$13,VLOOKUP($A258,EnrollData2324,'2324 Jun 24 Enroll'!F$1,FALSE),'District Calculations'!$B$13)*Apport_223A2324,3)</f>
        <v>0.84199999999999997</v>
      </c>
      <c r="O258">
        <f>ROUND(IF(VLOOKUP($A258,EnrollData2324,'2324 Jun 24 Enroll'!G$1,FALSE)='District Calculations'!$B$14,VLOOKUP($A258,EnrollData2324,'2324 Jun 24 Enroll'!G$1,FALSE),'District Calculations'!$B$14)*Apport_211A2324,3)</f>
        <v>1.867</v>
      </c>
      <c r="P258">
        <f>ROUND(IF(VLOOKUP($A258,EnrollData2324,'2324 Jun 24 Enroll'!H$1,FALSE)='District Calculations'!$B$14,VLOOKUP($A258,EnrollData2324,'2324 Jun 24 Enroll'!H$1,FALSE),'District Calculations'!$B$14)*Apport_214A2324,3)</f>
        <v>1.8660000000000001</v>
      </c>
      <c r="Q258">
        <f>ROUND(IF(VLOOKUP($A258,EnrollData2324,'2324 Jun 24 Enroll'!I$1,FALSE)+VLOOKUP($A258,EnrollData2324,'2324 Jun 24 Enroll'!M$1,FALSE)-VLOOKUP($A258,EnrollData2324,'2324 Jun 24 Enroll'!J$1,FALSE)='District Calculations'!$B$16+'District Calculations'!$B$25-'District Calculations'!$B$17,VLOOKUP($A258,EnrollData2324,'2324 Jun 24 Enroll'!I$1,FALSE)+VLOOKUP($A258,EnrollData2324,'2324 Jun 24 Enroll'!M$1,FALSE)-VLOOKUP($A258,EnrollData2324,'2324 Jun 24 Enroll'!J$1,FALSE),'District Calculations'!$B$16+'District Calculations'!$B$25-'District Calculations'!$B$17)*Apport_217A2324,3)</f>
        <v>4.6980000000000004</v>
      </c>
      <c r="R258">
        <f>ROUND(SUM(L258:Q258)/IF(VLOOKUP($A258,EnrollData2324,'2324 Jun 24 Enroll'!M$1,FALSE)+VLOOKUP($A258,EnrollData2324,'2324 Jun 24 Enroll'!D$1,FALSE)='District Calculations'!$B$25+'District Calculations'!$B$11,VLOOKUP($A258,EnrollData2324,'2324 Jun 24 Enroll'!M$1,FALSE)+VLOOKUP($A258,EnrollData2324,'2324 Jun 24 Enroll'!D$1,FALSE),'District Calculations'!$B$25+'District Calculations'!$B$11),5)</f>
        <v>4.1000000000000003E-3</v>
      </c>
      <c r="S258" s="11">
        <f t="shared" si="66"/>
        <v>1.8294500000000002E-2</v>
      </c>
      <c r="T258">
        <f>ROUND(IF(VLOOKUP($A258,EnrollData2324,'2324 Jun 24 Enroll'!D$1,FALSE)='District Calculations'!$B$11,VLOOKUP($A258,EnrollData2324,'2324 Jun 24 Enroll'!D$1,FALSE),'District Calculations'!$B$11)*S258,3)</f>
        <v>0</v>
      </c>
      <c r="U258">
        <f>ROUND(IF(VLOOKUP($A258,EnrollData2324,'2324 Jun 24 Enroll'!E$1,FALSE)='District Calculations'!$B$12,VLOOKUP($A258,EnrollData2324,'2324 Jun 24 Enroll'!E$1,FALSE),'District Calculations'!$B$12)*S258,3)</f>
        <v>14.827999999999999</v>
      </c>
      <c r="V258">
        <f>ROUND(IF(VLOOKUP($A258,EnrollData2324,'2324 Jun 24 Enroll'!F$1,FALSE)='District Calculations'!$B$13,VLOOKUP($A258,EnrollData2324,'2324 Jun 24 Enroll'!F$1,FALSE),'District Calculations'!$B$13)*Apport_224A2324,3)</f>
        <v>3.6190000000000002</v>
      </c>
      <c r="W258">
        <f>ROUND(IF(VLOOKUP($A258,EnrollData2324,'2324 Jun 24 Enroll'!G$1,FALSE)='District Calculations'!$B$14,VLOOKUP($A258,EnrollData2324,'2324 Jun 24 Enroll'!G$1,FALSE),'District Calculations'!$B$14)*Apport_212A2324,3)</f>
        <v>8.0239999999999991</v>
      </c>
      <c r="X258">
        <f>ROUND(IF(VLOOKUP($A258,EnrollData2324,'2324 Jun 24 Enroll'!H$1,FALSE)='District Calculations'!$B$14,VLOOKUP($A258,EnrollData2324,'2324 Jun 24 Enroll'!H$1,FALSE),'District Calculations'!$B$14)*Apport_215A2324,3)</f>
        <v>7.9279999999999999</v>
      </c>
      <c r="Y258">
        <f>ROUND(IF(VLOOKUP($A258,EnrollData2324,'2324 Jun 24 Enroll'!I$1,FALSE)+VLOOKUP($A258,EnrollData2324,'2324 Jun 24 Enroll'!M$1,FALSE)-VLOOKUP($A258,EnrollData2324,'2324 Jun 24 Enroll'!J$1,FALSE)='District Calculations'!$B$16+'District Calculations'!$B$25-'District Calculations'!$B$17,VLOOKUP($A258,EnrollData2324,'2324 Jun 24 Enroll'!I$1,FALSE)+VLOOKUP($A258,EnrollData2324,'2324 Jun 24 Enroll'!M$1,FALSE)-VLOOKUP($A258,EnrollData2324,'2324 Jun 24 Enroll'!J$1,FALSE),'District Calculations'!$B$16+'District Calculations'!$B$25-'District Calculations'!$B$17)*Apport_218A2324,3)</f>
        <v>19.917999999999999</v>
      </c>
      <c r="Z258">
        <f>ROUND(SUM(T258:Y258)/IF(VLOOKUP($A258,EnrollData2324,'2324 Jun 24 Enroll'!M$1,FALSE)+VLOOKUP($A258,EnrollData2324,'2324 Jun 24 Enroll'!D$1,FALSE)='District Calculations'!$B$25+'District Calculations'!$B$11,VLOOKUP($A258,EnrollData2324,'2324 Jun 24 Enroll'!M$1,FALSE)+VLOOKUP($A258,EnrollData2324,'2324 Jun 24 Enroll'!D$1,FALSE),'District Calculations'!$B$25+'District Calculations'!$B$11),5)</f>
        <v>1.7399999999999999E-2</v>
      </c>
      <c r="AA258" s="6">
        <f>ROUND($J258*CIS_Base_Salary2324*VLOOKUP($A258,EnrollData2324,'2324 Jun 24 Enroll'!S$1,FALSE),2)</f>
        <v>4099.16</v>
      </c>
      <c r="AB258" s="6">
        <f>ROUND($J258*CIS_Inc_Salary2324*(VLOOKUP($A258,EnrollData2324,'2324 Jun 24 Enroll'!T$1,FALSE)+VLOOKUP($A258,EnrollData2324,'2324 Jun 24 Enroll'!U$1,FALSE)),2)-AA258</f>
        <v>151.68000000000029</v>
      </c>
      <c r="AC258" s="6">
        <f>ROUND($R258*CAS_Base_Salary2324*VLOOKUP($A258,EnrollData2324,'2324 Jun 24 Enroll'!S$1,FALSE),2)</f>
        <v>449.25</v>
      </c>
      <c r="AD258" s="6">
        <f>ROUND($R258*CAS_Inc_Salary2324*VLOOKUP($A258,EnrollData2324,'2324 Jun 24 Enroll'!T$1,FALSE),2)-AC258</f>
        <v>16.629999999999995</v>
      </c>
      <c r="AE258" s="6">
        <f>ROUND($Z258*CLS_Base_Salary2324*VLOOKUP($A258,EnrollData2324,'2324 Jun 24 Enroll'!S$1,FALSE),2)</f>
        <v>921.43</v>
      </c>
      <c r="AF258" s="6">
        <f>ROUND($Z258*CLS_Inc_Salary2324*VLOOKUP($A258,EnrollData2324,'2324 Jun 24 Enroll'!T$1,FALSE),2)-AE258</f>
        <v>34.080000000000041</v>
      </c>
      <c r="AG258">
        <f t="shared" si="63"/>
        <v>734.16</v>
      </c>
      <c r="AH258" s="69">
        <f t="shared" si="67"/>
        <v>68.700000000000045</v>
      </c>
      <c r="AI258">
        <f t="shared" si="64"/>
        <v>214.23</v>
      </c>
      <c r="AJ258">
        <f t="shared" si="68"/>
        <v>114.21000000000001</v>
      </c>
      <c r="AK258">
        <f t="shared" si="69"/>
        <v>817.35</v>
      </c>
      <c r="AL258">
        <f t="shared" si="70"/>
        <v>29.17</v>
      </c>
      <c r="AM258">
        <f t="shared" si="71"/>
        <v>203.27</v>
      </c>
      <c r="AN258">
        <f t="shared" si="72"/>
        <v>6.33</v>
      </c>
      <c r="AO258">
        <f>ROUND(($J258*CIS_Inc_Salary2324*(VLOOKUP($A258,EnrollData2324,'2324 Jun 24 Enroll'!T$1,FALSE)+VLOOKUP($A258,EnrollData2324,'2324 Jun 24 Enroll'!U$1,FALSE))/Apport_613Xpd)*Apport_614Xpd,2)</f>
        <v>70.849999999999994</v>
      </c>
      <c r="AP258">
        <f t="shared" si="73"/>
        <v>12.28</v>
      </c>
      <c r="AQ258">
        <f t="shared" si="74"/>
        <v>30.93</v>
      </c>
      <c r="AR258" s="6">
        <f>ROUND((VLOOKUP($A258,EnrollData2324,'2324 Jun 24 Enroll'!D$1,FALSE)*Apport_M802324+VLOOKUP($A258,EnrollData2324,'2324 Jun 24 Enroll'!M$1,FALSE)*Apport_M802324+(VLOOKUP($A258,EnrollData2324,'2324 Jun 24 Enroll'!P$1,FALSE)+VLOOKUP($A258,EnrollData2324,'2324 Jun 24 Enroll'!Q$1,FALSE)+VLOOKUP($A258,EnrollData2324,'2324 Jun 24 Enroll'!R$1,FALSE)+VLOOKUP($A258,EnrollData2324,'2324 Jun 24 Enroll'!I$1,FALSE)+VLOOKUP($A258,EnrollData2324,'2324 Jun 24 Enroll'!N$1,FALSE)+VLOOKUP($A258,EnrollData2324,'2324 Jun 24 Enroll'!O$1,FALSE)+VLOOKUP($A258,EnrollData2324,'2324 Jun 24 Enroll'!K$1,FALSE)+VLOOKUP($A258,EnrollData2324,'2324 Jun 24 Enroll'!L$1,FALSE))*Apport_M812324)/(VLOOKUP($A258,EnrollData2324,'2324 Jun 24 Enroll'!M$1,FALSE)+VLOOKUP($A258,EnrollData2324,'2324 Jun 24 Enroll'!D$1,FALSE)),2)</f>
        <v>1497.72</v>
      </c>
      <c r="AS258" s="7">
        <f t="shared" si="75"/>
        <v>9471.43</v>
      </c>
    </row>
    <row r="259" spans="1:45">
      <c r="A259" s="40" t="s">
        <v>1017</v>
      </c>
      <c r="B259" s="40" t="s">
        <v>1018</v>
      </c>
      <c r="C259" s="11">
        <f>ROUND((IFERROR((1/IF(VLOOKUP($A259,EnrollData2324,28,FALSE)='District Calculations'!$B$10,VLOOKUP($A259,EnrollData2324,28,FALSE),'District Calculations'!$B$10))*(1+Apport_Z315),0))+Apport_201A2324,6)</f>
        <v>7.3449E-2</v>
      </c>
      <c r="D259">
        <f>ROUND(IF(VLOOKUP($A259,EnrollData2324,'2324 Jun 24 Enroll'!D$1,FALSE)='District Calculations'!$B$11,VLOOKUP($A259,EnrollData2324,'2324 Jun 24 Enroll'!D$1,FALSE),'District Calculations'!$B$11)*C259,3)</f>
        <v>0</v>
      </c>
      <c r="E259">
        <f>ROUND(IF(VLOOKUP($A259,EnrollData2324,'2324 Jun 24 Enroll'!E$1,FALSE)='District Calculations'!$B$12,VLOOKUP($A259,EnrollData2324,'2324 Jun 24 Enroll'!E$1,FALSE),'District Calculations'!$B$12)*C259,3)</f>
        <v>59.53</v>
      </c>
      <c r="F259">
        <f>ROUND(IF(VLOOKUP($A259,EnrollData2324,'2324 Jun 24 Enroll'!F$1,FALSE)='District Calculations'!$B$13,VLOOKUP($A259,EnrollData2324,'2324 Jun 24 Enroll'!F$1,FALSE),'District Calculations'!$B$13)*Apport_222A2324,3)</f>
        <v>10.101000000000001</v>
      </c>
      <c r="G259">
        <f>ROUND(IF(VLOOKUP($A259,EnrollData2324,'2324 Jun 24 Enroll'!G$1,FALSE)='District Calculations'!$B$14,VLOOKUP($A259,EnrollData2324,'2324 Jun 24 Enroll'!G$1,FALSE),'District Calculations'!$B$14)*Apport_210A2324,3)</f>
        <v>22.395</v>
      </c>
      <c r="H259">
        <f>ROUND(IF(VLOOKUP($A259,EnrollData2324,'2324 Jun 24 Enroll'!H$1,FALSE)='District Calculations'!$B$15,VLOOKUP($A259,EnrollData2324,'2324 Jun 24 Enroll'!H$1,FALSE),'District Calculations'!$B$15)*Apport_213A2324,3)</f>
        <v>23.091999999999999</v>
      </c>
      <c r="I259">
        <f>ROUND(IF(VLOOKUP($A259,EnrollData2324,'2324 Jun 24 Enroll'!I$1,FALSE)+VLOOKUP($A259,EnrollData2324,'2324 Jun 24 Enroll'!M$1,FALSE)-VLOOKUP($A259,EnrollData2324,'2324 Jun 24 Enroll'!J$1,FALSE)='District Calculations'!$B$16+'District Calculations'!$B$25-'District Calculations'!$B$17,VLOOKUP($A259,EnrollData2324,'2324 Jun 24 Enroll'!I$1,FALSE)+VLOOKUP($A259,EnrollData2324,'2324 Jun 24 Enroll'!M$1,FALSE)-VLOOKUP($A259,EnrollData2324,'2324 Jun 24 Enroll'!J$1,FALSE),'District Calculations'!$B$16+'District Calculations'!$B$25-'District Calculations'!$B$17)*Apport_216A2324,3)</f>
        <v>58.183999999999997</v>
      </c>
      <c r="J259">
        <f>ROUND(SUM(D259:I259)/(IF(VLOOKUP($A259,EnrollData2324,'2324 Jun 24 Enroll'!M$1,FALSE)='District Calculations'!$B$25,VLOOKUP($A259,EnrollData2324,'2324 Jun 24 Enroll'!M$1,FALSE),'District Calculations'!$B$25)+IF(VLOOKUP($A259,EnrollData2324,'2324 Jun 24 Enroll'!D$1,FALSE)='District Calculations'!$B$11,VLOOKUP($A259,EnrollData2324,'2324 Jun 24 Enroll'!D$1,FALSE),'District Calculations'!$B$11)),5)</f>
        <v>5.5530000000000003E-2</v>
      </c>
      <c r="K259" s="11">
        <f t="shared" si="65"/>
        <v>4.365E-3</v>
      </c>
      <c r="L259">
        <f>ROUND(IF(VLOOKUP($A259,EnrollData2324,'2324 Jun 24 Enroll'!D$1,FALSE)='District Calculations'!$B$11,VLOOKUP($A259,EnrollData2324,'2324 Jun 24 Enroll'!D$1,FALSE),'District Calculations'!$B$11)*K259,3)</f>
        <v>0</v>
      </c>
      <c r="M259">
        <f>ROUND(IF(VLOOKUP($A259,EnrollData2324,'2324 Jun 24 Enroll'!E$1,FALSE)='District Calculations'!$B$12,VLOOKUP($A259,EnrollData2324,'2324 Jun 24 Enroll'!E$1,FALSE),'District Calculations'!$B$12)*K259,3)</f>
        <v>3.5379999999999998</v>
      </c>
      <c r="N259">
        <f>ROUND(IF(VLOOKUP($A259,EnrollData2324,'2324 Jun 24 Enroll'!F$1,FALSE)='District Calculations'!$B$13,VLOOKUP($A259,EnrollData2324,'2324 Jun 24 Enroll'!F$1,FALSE),'District Calculations'!$B$13)*Apport_223A2324,3)</f>
        <v>0.84199999999999997</v>
      </c>
      <c r="O259">
        <f>ROUND(IF(VLOOKUP($A259,EnrollData2324,'2324 Jun 24 Enroll'!G$1,FALSE)='District Calculations'!$B$14,VLOOKUP($A259,EnrollData2324,'2324 Jun 24 Enroll'!G$1,FALSE),'District Calculations'!$B$14)*Apport_211A2324,3)</f>
        <v>1.867</v>
      </c>
      <c r="P259">
        <f>ROUND(IF(VLOOKUP($A259,EnrollData2324,'2324 Jun 24 Enroll'!H$1,FALSE)='District Calculations'!$B$14,VLOOKUP($A259,EnrollData2324,'2324 Jun 24 Enroll'!H$1,FALSE),'District Calculations'!$B$14)*Apport_214A2324,3)</f>
        <v>1.8660000000000001</v>
      </c>
      <c r="Q259">
        <f>ROUND(IF(VLOOKUP($A259,EnrollData2324,'2324 Jun 24 Enroll'!I$1,FALSE)+VLOOKUP($A259,EnrollData2324,'2324 Jun 24 Enroll'!M$1,FALSE)-VLOOKUP($A259,EnrollData2324,'2324 Jun 24 Enroll'!J$1,FALSE)='District Calculations'!$B$16+'District Calculations'!$B$25-'District Calculations'!$B$17,VLOOKUP($A259,EnrollData2324,'2324 Jun 24 Enroll'!I$1,FALSE)+VLOOKUP($A259,EnrollData2324,'2324 Jun 24 Enroll'!M$1,FALSE)-VLOOKUP($A259,EnrollData2324,'2324 Jun 24 Enroll'!J$1,FALSE),'District Calculations'!$B$16+'District Calculations'!$B$25-'District Calculations'!$B$17)*Apport_217A2324,3)</f>
        <v>4.6980000000000004</v>
      </c>
      <c r="R259">
        <f>ROUND(SUM(L259:Q259)/IF(VLOOKUP($A259,EnrollData2324,'2324 Jun 24 Enroll'!M$1,FALSE)+VLOOKUP($A259,EnrollData2324,'2324 Jun 24 Enroll'!D$1,FALSE)='District Calculations'!$B$25+'District Calculations'!$B$11,VLOOKUP($A259,EnrollData2324,'2324 Jun 24 Enroll'!M$1,FALSE)+VLOOKUP($A259,EnrollData2324,'2324 Jun 24 Enroll'!D$1,FALSE),'District Calculations'!$B$25+'District Calculations'!$B$11),5)</f>
        <v>4.1000000000000003E-3</v>
      </c>
      <c r="S259" s="11">
        <f t="shared" si="66"/>
        <v>1.8294500000000002E-2</v>
      </c>
      <c r="T259">
        <f>ROUND(IF(VLOOKUP($A259,EnrollData2324,'2324 Jun 24 Enroll'!D$1,FALSE)='District Calculations'!$B$11,VLOOKUP($A259,EnrollData2324,'2324 Jun 24 Enroll'!D$1,FALSE),'District Calculations'!$B$11)*S259,3)</f>
        <v>0</v>
      </c>
      <c r="U259">
        <f>ROUND(IF(VLOOKUP($A259,EnrollData2324,'2324 Jun 24 Enroll'!E$1,FALSE)='District Calculations'!$B$12,VLOOKUP($A259,EnrollData2324,'2324 Jun 24 Enroll'!E$1,FALSE),'District Calculations'!$B$12)*S259,3)</f>
        <v>14.827999999999999</v>
      </c>
      <c r="V259">
        <f>ROUND(IF(VLOOKUP($A259,EnrollData2324,'2324 Jun 24 Enroll'!F$1,FALSE)='District Calculations'!$B$13,VLOOKUP($A259,EnrollData2324,'2324 Jun 24 Enroll'!F$1,FALSE),'District Calculations'!$B$13)*Apport_224A2324,3)</f>
        <v>3.6190000000000002</v>
      </c>
      <c r="W259">
        <f>ROUND(IF(VLOOKUP($A259,EnrollData2324,'2324 Jun 24 Enroll'!G$1,FALSE)='District Calculations'!$B$14,VLOOKUP($A259,EnrollData2324,'2324 Jun 24 Enroll'!G$1,FALSE),'District Calculations'!$B$14)*Apport_212A2324,3)</f>
        <v>8.0239999999999991</v>
      </c>
      <c r="X259">
        <f>ROUND(IF(VLOOKUP($A259,EnrollData2324,'2324 Jun 24 Enroll'!H$1,FALSE)='District Calculations'!$B$14,VLOOKUP($A259,EnrollData2324,'2324 Jun 24 Enroll'!H$1,FALSE),'District Calculations'!$B$14)*Apport_215A2324,3)</f>
        <v>7.9279999999999999</v>
      </c>
      <c r="Y259">
        <f>ROUND(IF(VLOOKUP($A259,EnrollData2324,'2324 Jun 24 Enroll'!I$1,FALSE)+VLOOKUP($A259,EnrollData2324,'2324 Jun 24 Enroll'!M$1,FALSE)-VLOOKUP($A259,EnrollData2324,'2324 Jun 24 Enroll'!J$1,FALSE)='District Calculations'!$B$16+'District Calculations'!$B$25-'District Calculations'!$B$17,VLOOKUP($A259,EnrollData2324,'2324 Jun 24 Enroll'!I$1,FALSE)+VLOOKUP($A259,EnrollData2324,'2324 Jun 24 Enroll'!M$1,FALSE)-VLOOKUP($A259,EnrollData2324,'2324 Jun 24 Enroll'!J$1,FALSE),'District Calculations'!$B$16+'District Calculations'!$B$25-'District Calculations'!$B$17)*Apport_218A2324,3)</f>
        <v>19.917999999999999</v>
      </c>
      <c r="Z259">
        <f>ROUND(SUM(T259:Y259)/IF(VLOOKUP($A259,EnrollData2324,'2324 Jun 24 Enroll'!M$1,FALSE)+VLOOKUP($A259,EnrollData2324,'2324 Jun 24 Enroll'!D$1,FALSE)='District Calculations'!$B$25+'District Calculations'!$B$11,VLOOKUP($A259,EnrollData2324,'2324 Jun 24 Enroll'!M$1,FALSE)+VLOOKUP($A259,EnrollData2324,'2324 Jun 24 Enroll'!D$1,FALSE),'District Calculations'!$B$25+'District Calculations'!$B$11),5)</f>
        <v>1.7399999999999999E-2</v>
      </c>
      <c r="AA259" s="6">
        <f>ROUND($J259*CIS_Base_Salary2324*VLOOKUP($A259,EnrollData2324,'2324 Jun 24 Enroll'!S$1,FALSE),2)</f>
        <v>4099.16</v>
      </c>
      <c r="AB259" s="6">
        <f>ROUND($J259*CIS_Inc_Salary2324*(VLOOKUP($A259,EnrollData2324,'2324 Jun 24 Enroll'!T$1,FALSE)+VLOOKUP($A259,EnrollData2324,'2324 Jun 24 Enroll'!U$1,FALSE)),2)-AA259</f>
        <v>151.68000000000029</v>
      </c>
      <c r="AC259" s="6">
        <f>ROUND($R259*CAS_Base_Salary2324*VLOOKUP($A259,EnrollData2324,'2324 Jun 24 Enroll'!S$1,FALSE),2)</f>
        <v>449.25</v>
      </c>
      <c r="AD259" s="6">
        <f>ROUND($R259*CAS_Inc_Salary2324*VLOOKUP($A259,EnrollData2324,'2324 Jun 24 Enroll'!T$1,FALSE),2)-AC259</f>
        <v>16.629999999999995</v>
      </c>
      <c r="AE259" s="6">
        <f>ROUND($Z259*CLS_Base_Salary2324*VLOOKUP($A259,EnrollData2324,'2324 Jun 24 Enroll'!S$1,FALSE),2)</f>
        <v>921.43</v>
      </c>
      <c r="AF259" s="6">
        <f>ROUND($Z259*CLS_Inc_Salary2324*VLOOKUP($A259,EnrollData2324,'2324 Jun 24 Enroll'!T$1,FALSE),2)-AE259</f>
        <v>34.080000000000041</v>
      </c>
      <c r="AG259">
        <f t="shared" si="63"/>
        <v>734.16</v>
      </c>
      <c r="AH259" s="69">
        <f t="shared" si="67"/>
        <v>68.700000000000045</v>
      </c>
      <c r="AI259">
        <f t="shared" si="64"/>
        <v>214.23</v>
      </c>
      <c r="AJ259">
        <f t="shared" si="68"/>
        <v>114.21000000000001</v>
      </c>
      <c r="AK259">
        <f t="shared" si="69"/>
        <v>817.35</v>
      </c>
      <c r="AL259">
        <f t="shared" si="70"/>
        <v>29.17</v>
      </c>
      <c r="AM259">
        <f t="shared" si="71"/>
        <v>203.27</v>
      </c>
      <c r="AN259">
        <f t="shared" si="72"/>
        <v>6.33</v>
      </c>
      <c r="AO259">
        <f>ROUND(($J259*CIS_Inc_Salary2324*(VLOOKUP($A259,EnrollData2324,'2324 Jun 24 Enroll'!T$1,FALSE)+VLOOKUP($A259,EnrollData2324,'2324 Jun 24 Enroll'!U$1,FALSE))/Apport_613Xpd)*Apport_614Xpd,2)</f>
        <v>70.849999999999994</v>
      </c>
      <c r="AP259">
        <f t="shared" si="73"/>
        <v>12.28</v>
      </c>
      <c r="AQ259">
        <f t="shared" si="74"/>
        <v>30.93</v>
      </c>
      <c r="AR259" s="6">
        <f>ROUND((VLOOKUP($A259,EnrollData2324,'2324 Jun 24 Enroll'!D$1,FALSE)*Apport_M802324+VLOOKUP($A259,EnrollData2324,'2324 Jun 24 Enroll'!M$1,FALSE)*Apport_M802324+(VLOOKUP($A259,EnrollData2324,'2324 Jun 24 Enroll'!P$1,FALSE)+VLOOKUP($A259,EnrollData2324,'2324 Jun 24 Enroll'!Q$1,FALSE)+VLOOKUP($A259,EnrollData2324,'2324 Jun 24 Enroll'!R$1,FALSE)+VLOOKUP($A259,EnrollData2324,'2324 Jun 24 Enroll'!I$1,FALSE)+VLOOKUP($A259,EnrollData2324,'2324 Jun 24 Enroll'!N$1,FALSE)+VLOOKUP($A259,EnrollData2324,'2324 Jun 24 Enroll'!O$1,FALSE)+VLOOKUP($A259,EnrollData2324,'2324 Jun 24 Enroll'!K$1,FALSE)+VLOOKUP($A259,EnrollData2324,'2324 Jun 24 Enroll'!L$1,FALSE))*Apport_M812324)/(VLOOKUP($A259,EnrollData2324,'2324 Jun 24 Enroll'!M$1,FALSE)+VLOOKUP($A259,EnrollData2324,'2324 Jun 24 Enroll'!D$1,FALSE)),2)</f>
        <v>1683.67</v>
      </c>
      <c r="AS259" s="7">
        <f t="shared" si="75"/>
        <v>9657.380000000001</v>
      </c>
    </row>
    <row r="260" spans="1:45">
      <c r="A260" s="40" t="s">
        <v>908</v>
      </c>
      <c r="B260" s="40" t="s">
        <v>903</v>
      </c>
      <c r="C260" s="11">
        <f>ROUND((IFERROR((1/IF(VLOOKUP($A260,EnrollData2324,28,FALSE)='District Calculations'!$B$10,VLOOKUP($A260,EnrollData2324,28,FALSE),'District Calculations'!$B$10))*(1+Apport_Z315),0))+Apport_201A2324,6)</f>
        <v>7.3449E-2</v>
      </c>
      <c r="D260">
        <f>ROUND(IF(VLOOKUP($A260,EnrollData2324,'2324 Jun 24 Enroll'!D$1,FALSE)='District Calculations'!$B$11,VLOOKUP($A260,EnrollData2324,'2324 Jun 24 Enroll'!D$1,FALSE),'District Calculations'!$B$11)*C260,3)</f>
        <v>0</v>
      </c>
      <c r="E260">
        <f>ROUND(IF(VLOOKUP($A260,EnrollData2324,'2324 Jun 24 Enroll'!E$1,FALSE)='District Calculations'!$B$12,VLOOKUP($A260,EnrollData2324,'2324 Jun 24 Enroll'!E$1,FALSE),'District Calculations'!$B$12)*C260,3)</f>
        <v>59.53</v>
      </c>
      <c r="F260">
        <f>ROUND(IF(VLOOKUP($A260,EnrollData2324,'2324 Jun 24 Enroll'!F$1,FALSE)='District Calculations'!$B$13,VLOOKUP($A260,EnrollData2324,'2324 Jun 24 Enroll'!F$1,FALSE),'District Calculations'!$B$13)*Apport_222A2324,3)</f>
        <v>10.101000000000001</v>
      </c>
      <c r="G260">
        <f>ROUND(IF(VLOOKUP($A260,EnrollData2324,'2324 Jun 24 Enroll'!G$1,FALSE)='District Calculations'!$B$14,VLOOKUP($A260,EnrollData2324,'2324 Jun 24 Enroll'!G$1,FALSE),'District Calculations'!$B$14)*Apport_210A2324,3)</f>
        <v>22.395</v>
      </c>
      <c r="H260">
        <f>ROUND(IF(VLOOKUP($A260,EnrollData2324,'2324 Jun 24 Enroll'!H$1,FALSE)='District Calculations'!$B$15,VLOOKUP($A260,EnrollData2324,'2324 Jun 24 Enroll'!H$1,FALSE),'District Calculations'!$B$15)*Apport_213A2324,3)</f>
        <v>23.091999999999999</v>
      </c>
      <c r="I260">
        <f>ROUND(IF(VLOOKUP($A260,EnrollData2324,'2324 Jun 24 Enroll'!I$1,FALSE)+VLOOKUP($A260,EnrollData2324,'2324 Jun 24 Enroll'!M$1,FALSE)-VLOOKUP($A260,EnrollData2324,'2324 Jun 24 Enroll'!J$1,FALSE)='District Calculations'!$B$16+'District Calculations'!$B$25-'District Calculations'!$B$17,VLOOKUP($A260,EnrollData2324,'2324 Jun 24 Enroll'!I$1,FALSE)+VLOOKUP($A260,EnrollData2324,'2324 Jun 24 Enroll'!M$1,FALSE)-VLOOKUP($A260,EnrollData2324,'2324 Jun 24 Enroll'!J$1,FALSE),'District Calculations'!$B$16+'District Calculations'!$B$25-'District Calculations'!$B$17)*Apport_216A2324,3)</f>
        <v>58.183999999999997</v>
      </c>
      <c r="J260">
        <f>ROUND(SUM(D260:I260)/(IF(VLOOKUP($A260,EnrollData2324,'2324 Jun 24 Enroll'!M$1,FALSE)='District Calculations'!$B$25,VLOOKUP($A260,EnrollData2324,'2324 Jun 24 Enroll'!M$1,FALSE),'District Calculations'!$B$25)+IF(VLOOKUP($A260,EnrollData2324,'2324 Jun 24 Enroll'!D$1,FALSE)='District Calculations'!$B$11,VLOOKUP($A260,EnrollData2324,'2324 Jun 24 Enroll'!D$1,FALSE),'District Calculations'!$B$11)),5)</f>
        <v>5.5530000000000003E-2</v>
      </c>
      <c r="K260" s="11">
        <f t="shared" si="65"/>
        <v>4.365E-3</v>
      </c>
      <c r="L260">
        <f>ROUND(IF(VLOOKUP($A260,EnrollData2324,'2324 Jun 24 Enroll'!D$1,FALSE)='District Calculations'!$B$11,VLOOKUP($A260,EnrollData2324,'2324 Jun 24 Enroll'!D$1,FALSE),'District Calculations'!$B$11)*K260,3)</f>
        <v>0</v>
      </c>
      <c r="M260">
        <f>ROUND(IF(VLOOKUP($A260,EnrollData2324,'2324 Jun 24 Enroll'!E$1,FALSE)='District Calculations'!$B$12,VLOOKUP($A260,EnrollData2324,'2324 Jun 24 Enroll'!E$1,FALSE),'District Calculations'!$B$12)*K260,3)</f>
        <v>3.5379999999999998</v>
      </c>
      <c r="N260">
        <f>ROUND(IF(VLOOKUP($A260,EnrollData2324,'2324 Jun 24 Enroll'!F$1,FALSE)='District Calculations'!$B$13,VLOOKUP($A260,EnrollData2324,'2324 Jun 24 Enroll'!F$1,FALSE),'District Calculations'!$B$13)*Apport_223A2324,3)</f>
        <v>0.84199999999999997</v>
      </c>
      <c r="O260">
        <f>ROUND(IF(VLOOKUP($A260,EnrollData2324,'2324 Jun 24 Enroll'!G$1,FALSE)='District Calculations'!$B$14,VLOOKUP($A260,EnrollData2324,'2324 Jun 24 Enroll'!G$1,FALSE),'District Calculations'!$B$14)*Apport_211A2324,3)</f>
        <v>1.867</v>
      </c>
      <c r="P260">
        <f>ROUND(IF(VLOOKUP($A260,EnrollData2324,'2324 Jun 24 Enroll'!H$1,FALSE)='District Calculations'!$B$14,VLOOKUP($A260,EnrollData2324,'2324 Jun 24 Enroll'!H$1,FALSE),'District Calculations'!$B$14)*Apport_214A2324,3)</f>
        <v>1.8660000000000001</v>
      </c>
      <c r="Q260">
        <f>ROUND(IF(VLOOKUP($A260,EnrollData2324,'2324 Jun 24 Enroll'!I$1,FALSE)+VLOOKUP($A260,EnrollData2324,'2324 Jun 24 Enroll'!M$1,FALSE)-VLOOKUP($A260,EnrollData2324,'2324 Jun 24 Enroll'!J$1,FALSE)='District Calculations'!$B$16+'District Calculations'!$B$25-'District Calculations'!$B$17,VLOOKUP($A260,EnrollData2324,'2324 Jun 24 Enroll'!I$1,FALSE)+VLOOKUP($A260,EnrollData2324,'2324 Jun 24 Enroll'!M$1,FALSE)-VLOOKUP($A260,EnrollData2324,'2324 Jun 24 Enroll'!J$1,FALSE),'District Calculations'!$B$16+'District Calculations'!$B$25-'District Calculations'!$B$17)*Apport_217A2324,3)</f>
        <v>4.6980000000000004</v>
      </c>
      <c r="R260">
        <f>ROUND(SUM(L260:Q260)/IF(VLOOKUP($A260,EnrollData2324,'2324 Jun 24 Enroll'!M$1,FALSE)+VLOOKUP($A260,EnrollData2324,'2324 Jun 24 Enroll'!D$1,FALSE)='District Calculations'!$B$25+'District Calculations'!$B$11,VLOOKUP($A260,EnrollData2324,'2324 Jun 24 Enroll'!M$1,FALSE)+VLOOKUP($A260,EnrollData2324,'2324 Jun 24 Enroll'!D$1,FALSE),'District Calculations'!$B$25+'District Calculations'!$B$11),5)</f>
        <v>4.1000000000000003E-3</v>
      </c>
      <c r="S260" s="11">
        <f t="shared" si="66"/>
        <v>1.8294500000000002E-2</v>
      </c>
      <c r="T260">
        <f>ROUND(IF(VLOOKUP($A260,EnrollData2324,'2324 Jun 24 Enroll'!D$1,FALSE)='District Calculations'!$B$11,VLOOKUP($A260,EnrollData2324,'2324 Jun 24 Enroll'!D$1,FALSE),'District Calculations'!$B$11)*S260,3)</f>
        <v>0</v>
      </c>
      <c r="U260">
        <f>ROUND(IF(VLOOKUP($A260,EnrollData2324,'2324 Jun 24 Enroll'!E$1,FALSE)='District Calculations'!$B$12,VLOOKUP($A260,EnrollData2324,'2324 Jun 24 Enroll'!E$1,FALSE),'District Calculations'!$B$12)*S260,3)</f>
        <v>14.827999999999999</v>
      </c>
      <c r="V260">
        <f>ROUND(IF(VLOOKUP($A260,EnrollData2324,'2324 Jun 24 Enroll'!F$1,FALSE)='District Calculations'!$B$13,VLOOKUP($A260,EnrollData2324,'2324 Jun 24 Enroll'!F$1,FALSE),'District Calculations'!$B$13)*Apport_224A2324,3)</f>
        <v>3.6190000000000002</v>
      </c>
      <c r="W260">
        <f>ROUND(IF(VLOOKUP($A260,EnrollData2324,'2324 Jun 24 Enroll'!G$1,FALSE)='District Calculations'!$B$14,VLOOKUP($A260,EnrollData2324,'2324 Jun 24 Enroll'!G$1,FALSE),'District Calculations'!$B$14)*Apport_212A2324,3)</f>
        <v>8.0239999999999991</v>
      </c>
      <c r="X260">
        <f>ROUND(IF(VLOOKUP($A260,EnrollData2324,'2324 Jun 24 Enroll'!H$1,FALSE)='District Calculations'!$B$14,VLOOKUP($A260,EnrollData2324,'2324 Jun 24 Enroll'!H$1,FALSE),'District Calculations'!$B$14)*Apport_215A2324,3)</f>
        <v>7.9279999999999999</v>
      </c>
      <c r="Y260">
        <f>ROUND(IF(VLOOKUP($A260,EnrollData2324,'2324 Jun 24 Enroll'!I$1,FALSE)+VLOOKUP($A260,EnrollData2324,'2324 Jun 24 Enroll'!M$1,FALSE)-VLOOKUP($A260,EnrollData2324,'2324 Jun 24 Enroll'!J$1,FALSE)='District Calculations'!$B$16+'District Calculations'!$B$25-'District Calculations'!$B$17,VLOOKUP($A260,EnrollData2324,'2324 Jun 24 Enroll'!I$1,FALSE)+VLOOKUP($A260,EnrollData2324,'2324 Jun 24 Enroll'!M$1,FALSE)-VLOOKUP($A260,EnrollData2324,'2324 Jun 24 Enroll'!J$1,FALSE),'District Calculations'!$B$16+'District Calculations'!$B$25-'District Calculations'!$B$17)*Apport_218A2324,3)</f>
        <v>19.917999999999999</v>
      </c>
      <c r="Z260">
        <f>ROUND(SUM(T260:Y260)/IF(VLOOKUP($A260,EnrollData2324,'2324 Jun 24 Enroll'!M$1,FALSE)+VLOOKUP($A260,EnrollData2324,'2324 Jun 24 Enroll'!D$1,FALSE)='District Calculations'!$B$25+'District Calculations'!$B$11,VLOOKUP($A260,EnrollData2324,'2324 Jun 24 Enroll'!M$1,FALSE)+VLOOKUP($A260,EnrollData2324,'2324 Jun 24 Enroll'!D$1,FALSE),'District Calculations'!$B$25+'District Calculations'!$B$11),5)</f>
        <v>1.7399999999999999E-2</v>
      </c>
      <c r="AA260" s="6">
        <f>ROUND($J260*CIS_Base_Salary2324*VLOOKUP($A260,EnrollData2324,'2324 Jun 24 Enroll'!S$1,FALSE),2)</f>
        <v>4099.16</v>
      </c>
      <c r="AB260" s="6">
        <f>ROUND($J260*CIS_Inc_Salary2324*(VLOOKUP($A260,EnrollData2324,'2324 Jun 24 Enroll'!T$1,FALSE)+VLOOKUP($A260,EnrollData2324,'2324 Jun 24 Enroll'!U$1,FALSE)),2)-AA260</f>
        <v>151.68000000000029</v>
      </c>
      <c r="AC260" s="6">
        <f>ROUND($R260*CAS_Base_Salary2324*VLOOKUP($A260,EnrollData2324,'2324 Jun 24 Enroll'!S$1,FALSE),2)</f>
        <v>449.25</v>
      </c>
      <c r="AD260" s="6">
        <f>ROUND($R260*CAS_Inc_Salary2324*VLOOKUP($A260,EnrollData2324,'2324 Jun 24 Enroll'!T$1,FALSE),2)-AC260</f>
        <v>16.629999999999995</v>
      </c>
      <c r="AE260" s="6">
        <f>ROUND($Z260*CLS_Base_Salary2324*VLOOKUP($A260,EnrollData2324,'2324 Jun 24 Enroll'!S$1,FALSE),2)</f>
        <v>921.43</v>
      </c>
      <c r="AF260" s="6">
        <f>ROUND($Z260*CLS_Inc_Salary2324*VLOOKUP($A260,EnrollData2324,'2324 Jun 24 Enroll'!T$1,FALSE),2)-AE260</f>
        <v>34.080000000000041</v>
      </c>
      <c r="AG260">
        <f t="shared" si="63"/>
        <v>734.16</v>
      </c>
      <c r="AH260" s="69">
        <f t="shared" si="67"/>
        <v>68.700000000000045</v>
      </c>
      <c r="AI260">
        <f t="shared" si="64"/>
        <v>214.23</v>
      </c>
      <c r="AJ260">
        <f t="shared" si="68"/>
        <v>114.21000000000001</v>
      </c>
      <c r="AK260">
        <f t="shared" si="69"/>
        <v>817.35</v>
      </c>
      <c r="AL260">
        <f t="shared" si="70"/>
        <v>29.17</v>
      </c>
      <c r="AM260">
        <f t="shared" si="71"/>
        <v>203.27</v>
      </c>
      <c r="AN260">
        <f t="shared" si="72"/>
        <v>6.33</v>
      </c>
      <c r="AO260">
        <f>ROUND(($J260*CIS_Inc_Salary2324*(VLOOKUP($A260,EnrollData2324,'2324 Jun 24 Enroll'!T$1,FALSE)+VLOOKUP($A260,EnrollData2324,'2324 Jun 24 Enroll'!U$1,FALSE))/Apport_613Xpd)*Apport_614Xpd,2)</f>
        <v>70.849999999999994</v>
      </c>
      <c r="AP260">
        <f t="shared" si="73"/>
        <v>12.28</v>
      </c>
      <c r="AQ260">
        <f t="shared" si="74"/>
        <v>30.93</v>
      </c>
      <c r="AR260" s="6">
        <f>ROUND((VLOOKUP($A260,EnrollData2324,'2324 Jun 24 Enroll'!D$1,FALSE)*Apport_M802324+VLOOKUP($A260,EnrollData2324,'2324 Jun 24 Enroll'!M$1,FALSE)*Apport_M802324+(VLOOKUP($A260,EnrollData2324,'2324 Jun 24 Enroll'!P$1,FALSE)+VLOOKUP($A260,EnrollData2324,'2324 Jun 24 Enroll'!Q$1,FALSE)+VLOOKUP($A260,EnrollData2324,'2324 Jun 24 Enroll'!R$1,FALSE)+VLOOKUP($A260,EnrollData2324,'2324 Jun 24 Enroll'!I$1,FALSE)+VLOOKUP($A260,EnrollData2324,'2324 Jun 24 Enroll'!N$1,FALSE)+VLOOKUP($A260,EnrollData2324,'2324 Jun 24 Enroll'!O$1,FALSE)+VLOOKUP($A260,EnrollData2324,'2324 Jun 24 Enroll'!K$1,FALSE)+VLOOKUP($A260,EnrollData2324,'2324 Jun 24 Enroll'!L$1,FALSE))*Apport_M812324)/(VLOOKUP($A260,EnrollData2324,'2324 Jun 24 Enroll'!M$1,FALSE)+VLOOKUP($A260,EnrollData2324,'2324 Jun 24 Enroll'!D$1,FALSE)),2)</f>
        <v>1603.17</v>
      </c>
      <c r="AS260" s="7">
        <f t="shared" si="75"/>
        <v>9576.880000000001</v>
      </c>
    </row>
    <row r="261" spans="1:45">
      <c r="A261" s="40" t="s">
        <v>661</v>
      </c>
      <c r="B261" s="40" t="s">
        <v>662</v>
      </c>
      <c r="C261" s="11">
        <f>ROUND((IFERROR((1/IF(VLOOKUP($A261,EnrollData2324,28,FALSE)='District Calculations'!$B$10,VLOOKUP($A261,EnrollData2324,28,FALSE),'District Calculations'!$B$10))*(1+Apport_Z315),0))+Apport_201A2324,6)</f>
        <v>7.3449E-2</v>
      </c>
      <c r="D261">
        <f>ROUND(IF(VLOOKUP($A261,EnrollData2324,'2324 Jun 24 Enroll'!D$1,FALSE)='District Calculations'!$B$11,VLOOKUP($A261,EnrollData2324,'2324 Jun 24 Enroll'!D$1,FALSE),'District Calculations'!$B$11)*C261,3)</f>
        <v>0</v>
      </c>
      <c r="E261">
        <f>ROUND(IF(VLOOKUP($A261,EnrollData2324,'2324 Jun 24 Enroll'!E$1,FALSE)='District Calculations'!$B$12,VLOOKUP($A261,EnrollData2324,'2324 Jun 24 Enroll'!E$1,FALSE),'District Calculations'!$B$12)*C261,3)</f>
        <v>59.53</v>
      </c>
      <c r="F261">
        <f>ROUND(IF(VLOOKUP($A261,EnrollData2324,'2324 Jun 24 Enroll'!F$1,FALSE)='District Calculations'!$B$13,VLOOKUP($A261,EnrollData2324,'2324 Jun 24 Enroll'!F$1,FALSE),'District Calculations'!$B$13)*Apport_222A2324,3)</f>
        <v>10.101000000000001</v>
      </c>
      <c r="G261">
        <f>ROUND(IF(VLOOKUP($A261,EnrollData2324,'2324 Jun 24 Enroll'!G$1,FALSE)='District Calculations'!$B$14,VLOOKUP($A261,EnrollData2324,'2324 Jun 24 Enroll'!G$1,FALSE),'District Calculations'!$B$14)*Apport_210A2324,3)</f>
        <v>22.395</v>
      </c>
      <c r="H261">
        <f>ROUND(IF(VLOOKUP($A261,EnrollData2324,'2324 Jun 24 Enroll'!H$1,FALSE)='District Calculations'!$B$15,VLOOKUP($A261,EnrollData2324,'2324 Jun 24 Enroll'!H$1,FALSE),'District Calculations'!$B$15)*Apport_213A2324,3)</f>
        <v>23.091999999999999</v>
      </c>
      <c r="I261">
        <f>ROUND(IF(VLOOKUP($A261,EnrollData2324,'2324 Jun 24 Enroll'!I$1,FALSE)+VLOOKUP($A261,EnrollData2324,'2324 Jun 24 Enroll'!M$1,FALSE)-VLOOKUP($A261,EnrollData2324,'2324 Jun 24 Enroll'!J$1,FALSE)='District Calculations'!$B$16+'District Calculations'!$B$25-'District Calculations'!$B$17,VLOOKUP($A261,EnrollData2324,'2324 Jun 24 Enroll'!I$1,FALSE)+VLOOKUP($A261,EnrollData2324,'2324 Jun 24 Enroll'!M$1,FALSE)-VLOOKUP($A261,EnrollData2324,'2324 Jun 24 Enroll'!J$1,FALSE),'District Calculations'!$B$16+'District Calculations'!$B$25-'District Calculations'!$B$17)*Apport_216A2324,3)</f>
        <v>58.183999999999997</v>
      </c>
      <c r="J261">
        <f>ROUND(SUM(D261:I261)/(IF(VLOOKUP($A261,EnrollData2324,'2324 Jun 24 Enroll'!M$1,FALSE)='District Calculations'!$B$25,VLOOKUP($A261,EnrollData2324,'2324 Jun 24 Enroll'!M$1,FALSE),'District Calculations'!$B$25)+IF(VLOOKUP($A261,EnrollData2324,'2324 Jun 24 Enroll'!D$1,FALSE)='District Calculations'!$B$11,VLOOKUP($A261,EnrollData2324,'2324 Jun 24 Enroll'!D$1,FALSE),'District Calculations'!$B$11)),5)</f>
        <v>5.5530000000000003E-2</v>
      </c>
      <c r="K261" s="11">
        <f t="shared" si="65"/>
        <v>4.365E-3</v>
      </c>
      <c r="L261">
        <f>ROUND(IF(VLOOKUP($A261,EnrollData2324,'2324 Jun 24 Enroll'!D$1,FALSE)='District Calculations'!$B$11,VLOOKUP($A261,EnrollData2324,'2324 Jun 24 Enroll'!D$1,FALSE),'District Calculations'!$B$11)*K261,3)</f>
        <v>0</v>
      </c>
      <c r="M261">
        <f>ROUND(IF(VLOOKUP($A261,EnrollData2324,'2324 Jun 24 Enroll'!E$1,FALSE)='District Calculations'!$B$12,VLOOKUP($A261,EnrollData2324,'2324 Jun 24 Enroll'!E$1,FALSE),'District Calculations'!$B$12)*K261,3)</f>
        <v>3.5379999999999998</v>
      </c>
      <c r="N261">
        <f>ROUND(IF(VLOOKUP($A261,EnrollData2324,'2324 Jun 24 Enroll'!F$1,FALSE)='District Calculations'!$B$13,VLOOKUP($A261,EnrollData2324,'2324 Jun 24 Enroll'!F$1,FALSE),'District Calculations'!$B$13)*Apport_223A2324,3)</f>
        <v>0.84199999999999997</v>
      </c>
      <c r="O261">
        <f>ROUND(IF(VLOOKUP($A261,EnrollData2324,'2324 Jun 24 Enroll'!G$1,FALSE)='District Calculations'!$B$14,VLOOKUP($A261,EnrollData2324,'2324 Jun 24 Enroll'!G$1,FALSE),'District Calculations'!$B$14)*Apport_211A2324,3)</f>
        <v>1.867</v>
      </c>
      <c r="P261">
        <f>ROUND(IF(VLOOKUP($A261,EnrollData2324,'2324 Jun 24 Enroll'!H$1,FALSE)='District Calculations'!$B$14,VLOOKUP($A261,EnrollData2324,'2324 Jun 24 Enroll'!H$1,FALSE),'District Calculations'!$B$14)*Apport_214A2324,3)</f>
        <v>1.8660000000000001</v>
      </c>
      <c r="Q261">
        <f>ROUND(IF(VLOOKUP($A261,EnrollData2324,'2324 Jun 24 Enroll'!I$1,FALSE)+VLOOKUP($A261,EnrollData2324,'2324 Jun 24 Enroll'!M$1,FALSE)-VLOOKUP($A261,EnrollData2324,'2324 Jun 24 Enroll'!J$1,FALSE)='District Calculations'!$B$16+'District Calculations'!$B$25-'District Calculations'!$B$17,VLOOKUP($A261,EnrollData2324,'2324 Jun 24 Enroll'!I$1,FALSE)+VLOOKUP($A261,EnrollData2324,'2324 Jun 24 Enroll'!M$1,FALSE)-VLOOKUP($A261,EnrollData2324,'2324 Jun 24 Enroll'!J$1,FALSE),'District Calculations'!$B$16+'District Calculations'!$B$25-'District Calculations'!$B$17)*Apport_217A2324,3)</f>
        <v>4.6980000000000004</v>
      </c>
      <c r="R261">
        <f>ROUND(SUM(L261:Q261)/IF(VLOOKUP($A261,EnrollData2324,'2324 Jun 24 Enroll'!M$1,FALSE)+VLOOKUP($A261,EnrollData2324,'2324 Jun 24 Enroll'!D$1,FALSE)='District Calculations'!$B$25+'District Calculations'!$B$11,VLOOKUP($A261,EnrollData2324,'2324 Jun 24 Enroll'!M$1,FALSE)+VLOOKUP($A261,EnrollData2324,'2324 Jun 24 Enroll'!D$1,FALSE),'District Calculations'!$B$25+'District Calculations'!$B$11),5)</f>
        <v>4.1000000000000003E-3</v>
      </c>
      <c r="S261" s="11">
        <f t="shared" si="66"/>
        <v>1.8294500000000002E-2</v>
      </c>
      <c r="T261">
        <f>ROUND(IF(VLOOKUP($A261,EnrollData2324,'2324 Jun 24 Enroll'!D$1,FALSE)='District Calculations'!$B$11,VLOOKUP($A261,EnrollData2324,'2324 Jun 24 Enroll'!D$1,FALSE),'District Calculations'!$B$11)*S261,3)</f>
        <v>0</v>
      </c>
      <c r="U261">
        <f>ROUND(IF(VLOOKUP($A261,EnrollData2324,'2324 Jun 24 Enroll'!E$1,FALSE)='District Calculations'!$B$12,VLOOKUP($A261,EnrollData2324,'2324 Jun 24 Enroll'!E$1,FALSE),'District Calculations'!$B$12)*S261,3)</f>
        <v>14.827999999999999</v>
      </c>
      <c r="V261">
        <f>ROUND(IF(VLOOKUP($A261,EnrollData2324,'2324 Jun 24 Enroll'!F$1,FALSE)='District Calculations'!$B$13,VLOOKUP($A261,EnrollData2324,'2324 Jun 24 Enroll'!F$1,FALSE),'District Calculations'!$B$13)*Apport_224A2324,3)</f>
        <v>3.6190000000000002</v>
      </c>
      <c r="W261">
        <f>ROUND(IF(VLOOKUP($A261,EnrollData2324,'2324 Jun 24 Enroll'!G$1,FALSE)='District Calculations'!$B$14,VLOOKUP($A261,EnrollData2324,'2324 Jun 24 Enroll'!G$1,FALSE),'District Calculations'!$B$14)*Apport_212A2324,3)</f>
        <v>8.0239999999999991</v>
      </c>
      <c r="X261">
        <f>ROUND(IF(VLOOKUP($A261,EnrollData2324,'2324 Jun 24 Enroll'!H$1,FALSE)='District Calculations'!$B$14,VLOOKUP($A261,EnrollData2324,'2324 Jun 24 Enroll'!H$1,FALSE),'District Calculations'!$B$14)*Apport_215A2324,3)</f>
        <v>7.9279999999999999</v>
      </c>
      <c r="Y261">
        <f>ROUND(IF(VLOOKUP($A261,EnrollData2324,'2324 Jun 24 Enroll'!I$1,FALSE)+VLOOKUP($A261,EnrollData2324,'2324 Jun 24 Enroll'!M$1,FALSE)-VLOOKUP($A261,EnrollData2324,'2324 Jun 24 Enroll'!J$1,FALSE)='District Calculations'!$B$16+'District Calculations'!$B$25-'District Calculations'!$B$17,VLOOKUP($A261,EnrollData2324,'2324 Jun 24 Enroll'!I$1,FALSE)+VLOOKUP($A261,EnrollData2324,'2324 Jun 24 Enroll'!M$1,FALSE)-VLOOKUP($A261,EnrollData2324,'2324 Jun 24 Enroll'!J$1,FALSE),'District Calculations'!$B$16+'District Calculations'!$B$25-'District Calculations'!$B$17)*Apport_218A2324,3)</f>
        <v>19.917999999999999</v>
      </c>
      <c r="Z261">
        <f>ROUND(SUM(T261:Y261)/IF(VLOOKUP($A261,EnrollData2324,'2324 Jun 24 Enroll'!M$1,FALSE)+VLOOKUP($A261,EnrollData2324,'2324 Jun 24 Enroll'!D$1,FALSE)='District Calculations'!$B$25+'District Calculations'!$B$11,VLOOKUP($A261,EnrollData2324,'2324 Jun 24 Enroll'!M$1,FALSE)+VLOOKUP($A261,EnrollData2324,'2324 Jun 24 Enroll'!D$1,FALSE),'District Calculations'!$B$25+'District Calculations'!$B$11),5)</f>
        <v>1.7399999999999999E-2</v>
      </c>
      <c r="AA261" s="6">
        <f>ROUND($J261*CIS_Base_Salary2324*VLOOKUP($A261,EnrollData2324,'2324 Jun 24 Enroll'!S$1,FALSE),2)</f>
        <v>4038.59</v>
      </c>
      <c r="AB261" s="6">
        <f>ROUND($J261*CIS_Inc_Salary2324*(VLOOKUP($A261,EnrollData2324,'2324 Jun 24 Enroll'!T$1,FALSE)+VLOOKUP($A261,EnrollData2324,'2324 Jun 24 Enroll'!U$1,FALSE)),2)-AA261</f>
        <v>233.1899999999996</v>
      </c>
      <c r="AC261" s="6">
        <f>ROUND($R261*CAS_Base_Salary2324*VLOOKUP($A261,EnrollData2324,'2324 Jun 24 Enroll'!S$1,FALSE),2)</f>
        <v>442.62</v>
      </c>
      <c r="AD261" s="6">
        <f>ROUND($R261*CAS_Inc_Salary2324*VLOOKUP($A261,EnrollData2324,'2324 Jun 24 Enroll'!T$1,FALSE),2)-AC261</f>
        <v>16.379999999999995</v>
      </c>
      <c r="AE261" s="6">
        <f>ROUND($Z261*CLS_Base_Salary2324*VLOOKUP($A261,EnrollData2324,'2324 Jun 24 Enroll'!S$1,FALSE),2)</f>
        <v>907.81</v>
      </c>
      <c r="AF261" s="6">
        <f>ROUND($Z261*CLS_Inc_Salary2324*VLOOKUP($A261,EnrollData2324,'2324 Jun 24 Enroll'!T$1,FALSE),2)-AE261</f>
        <v>33.580000000000041</v>
      </c>
      <c r="AG261">
        <f t="shared" si="63"/>
        <v>734.16</v>
      </c>
      <c r="AH261" s="69">
        <f t="shared" si="67"/>
        <v>68.700000000000045</v>
      </c>
      <c r="AI261">
        <f t="shared" si="64"/>
        <v>214.23</v>
      </c>
      <c r="AJ261">
        <f t="shared" si="68"/>
        <v>114.21000000000001</v>
      </c>
      <c r="AK261">
        <f t="shared" si="69"/>
        <v>805.27</v>
      </c>
      <c r="AL261">
        <f t="shared" si="70"/>
        <v>43.25</v>
      </c>
      <c r="AM261">
        <f t="shared" si="71"/>
        <v>200.26</v>
      </c>
      <c r="AN261">
        <f t="shared" si="72"/>
        <v>6.23</v>
      </c>
      <c r="AO261">
        <f>ROUND(($J261*CIS_Inc_Salary2324*(VLOOKUP($A261,EnrollData2324,'2324 Jun 24 Enroll'!T$1,FALSE)+VLOOKUP($A261,EnrollData2324,'2324 Jun 24 Enroll'!U$1,FALSE))/Apport_613Xpd)*Apport_614Xpd,2)</f>
        <v>71.2</v>
      </c>
      <c r="AP261">
        <f t="shared" si="73"/>
        <v>12.34</v>
      </c>
      <c r="AQ261">
        <f t="shared" si="74"/>
        <v>30.93</v>
      </c>
      <c r="AR261" s="6">
        <f>ROUND((VLOOKUP($A261,EnrollData2324,'2324 Jun 24 Enroll'!D$1,FALSE)*Apport_M802324+VLOOKUP($A261,EnrollData2324,'2324 Jun 24 Enroll'!M$1,FALSE)*Apport_M802324+(VLOOKUP($A261,EnrollData2324,'2324 Jun 24 Enroll'!P$1,FALSE)+VLOOKUP($A261,EnrollData2324,'2324 Jun 24 Enroll'!Q$1,FALSE)+VLOOKUP($A261,EnrollData2324,'2324 Jun 24 Enroll'!R$1,FALSE)+VLOOKUP($A261,EnrollData2324,'2324 Jun 24 Enroll'!I$1,FALSE)+VLOOKUP($A261,EnrollData2324,'2324 Jun 24 Enroll'!N$1,FALSE)+VLOOKUP($A261,EnrollData2324,'2324 Jun 24 Enroll'!O$1,FALSE)+VLOOKUP($A261,EnrollData2324,'2324 Jun 24 Enroll'!K$1,FALSE)+VLOOKUP($A261,EnrollData2324,'2324 Jun 24 Enroll'!L$1,FALSE))*Apport_M812324)/(VLOOKUP($A261,EnrollData2324,'2324 Jun 24 Enroll'!M$1,FALSE)+VLOOKUP($A261,EnrollData2324,'2324 Jun 24 Enroll'!D$1,FALSE)),2)</f>
        <v>1483.44</v>
      </c>
      <c r="AS261" s="7">
        <f t="shared" si="75"/>
        <v>9456.39</v>
      </c>
    </row>
    <row r="262" spans="1:45">
      <c r="A262" s="40" t="s">
        <v>380</v>
      </c>
      <c r="B262" s="40" t="s">
        <v>381</v>
      </c>
      <c r="C262" s="11">
        <f>ROUND((IFERROR((1/IF(VLOOKUP($A262,EnrollData2324,28,FALSE)='District Calculations'!$B$10,VLOOKUP($A262,EnrollData2324,28,FALSE),'District Calculations'!$B$10))*(1+Apport_Z315),0))+Apport_201A2324,6)</f>
        <v>7.3449E-2</v>
      </c>
      <c r="D262">
        <f>ROUND(IF(VLOOKUP($A262,EnrollData2324,'2324 Jun 24 Enroll'!D$1,FALSE)='District Calculations'!$B$11,VLOOKUP($A262,EnrollData2324,'2324 Jun 24 Enroll'!D$1,FALSE),'District Calculations'!$B$11)*C262,3)</f>
        <v>0</v>
      </c>
      <c r="E262">
        <f>ROUND(IF(VLOOKUP($A262,EnrollData2324,'2324 Jun 24 Enroll'!E$1,FALSE)='District Calculations'!$B$12,VLOOKUP($A262,EnrollData2324,'2324 Jun 24 Enroll'!E$1,FALSE),'District Calculations'!$B$12)*C262,3)</f>
        <v>59.53</v>
      </c>
      <c r="F262">
        <f>ROUND(IF(VLOOKUP($A262,EnrollData2324,'2324 Jun 24 Enroll'!F$1,FALSE)='District Calculations'!$B$13,VLOOKUP($A262,EnrollData2324,'2324 Jun 24 Enroll'!F$1,FALSE),'District Calculations'!$B$13)*Apport_222A2324,3)</f>
        <v>10.101000000000001</v>
      </c>
      <c r="G262">
        <f>ROUND(IF(VLOOKUP($A262,EnrollData2324,'2324 Jun 24 Enroll'!G$1,FALSE)='District Calculations'!$B$14,VLOOKUP($A262,EnrollData2324,'2324 Jun 24 Enroll'!G$1,FALSE),'District Calculations'!$B$14)*Apport_210A2324,3)</f>
        <v>22.395</v>
      </c>
      <c r="H262">
        <f>ROUND(IF(VLOOKUP($A262,EnrollData2324,'2324 Jun 24 Enroll'!H$1,FALSE)='District Calculations'!$B$15,VLOOKUP($A262,EnrollData2324,'2324 Jun 24 Enroll'!H$1,FALSE),'District Calculations'!$B$15)*Apport_213A2324,3)</f>
        <v>23.091999999999999</v>
      </c>
      <c r="I262">
        <f>ROUND(IF(VLOOKUP($A262,EnrollData2324,'2324 Jun 24 Enroll'!I$1,FALSE)+VLOOKUP($A262,EnrollData2324,'2324 Jun 24 Enroll'!M$1,FALSE)-VLOOKUP($A262,EnrollData2324,'2324 Jun 24 Enroll'!J$1,FALSE)='District Calculations'!$B$16+'District Calculations'!$B$25-'District Calculations'!$B$17,VLOOKUP($A262,EnrollData2324,'2324 Jun 24 Enroll'!I$1,FALSE)+VLOOKUP($A262,EnrollData2324,'2324 Jun 24 Enroll'!M$1,FALSE)-VLOOKUP($A262,EnrollData2324,'2324 Jun 24 Enroll'!J$1,FALSE),'District Calculations'!$B$16+'District Calculations'!$B$25-'District Calculations'!$B$17)*Apport_216A2324,3)</f>
        <v>58.183999999999997</v>
      </c>
      <c r="J262">
        <f>ROUND(SUM(D262:I262)/(IF(VLOOKUP($A262,EnrollData2324,'2324 Jun 24 Enroll'!M$1,FALSE)='District Calculations'!$B$25,VLOOKUP($A262,EnrollData2324,'2324 Jun 24 Enroll'!M$1,FALSE),'District Calculations'!$B$25)+IF(VLOOKUP($A262,EnrollData2324,'2324 Jun 24 Enroll'!D$1,FALSE)='District Calculations'!$B$11,VLOOKUP($A262,EnrollData2324,'2324 Jun 24 Enroll'!D$1,FALSE),'District Calculations'!$B$11)),5)</f>
        <v>5.5530000000000003E-2</v>
      </c>
      <c r="K262" s="11">
        <f t="shared" si="65"/>
        <v>4.365E-3</v>
      </c>
      <c r="L262">
        <f>ROUND(IF(VLOOKUP($A262,EnrollData2324,'2324 Jun 24 Enroll'!D$1,FALSE)='District Calculations'!$B$11,VLOOKUP($A262,EnrollData2324,'2324 Jun 24 Enroll'!D$1,FALSE),'District Calculations'!$B$11)*K262,3)</f>
        <v>0</v>
      </c>
      <c r="M262">
        <f>ROUND(IF(VLOOKUP($A262,EnrollData2324,'2324 Jun 24 Enroll'!E$1,FALSE)='District Calculations'!$B$12,VLOOKUP($A262,EnrollData2324,'2324 Jun 24 Enroll'!E$1,FALSE),'District Calculations'!$B$12)*K262,3)</f>
        <v>3.5379999999999998</v>
      </c>
      <c r="N262">
        <f>ROUND(IF(VLOOKUP($A262,EnrollData2324,'2324 Jun 24 Enroll'!F$1,FALSE)='District Calculations'!$B$13,VLOOKUP($A262,EnrollData2324,'2324 Jun 24 Enroll'!F$1,FALSE),'District Calculations'!$B$13)*Apport_223A2324,3)</f>
        <v>0.84199999999999997</v>
      </c>
      <c r="O262">
        <f>ROUND(IF(VLOOKUP($A262,EnrollData2324,'2324 Jun 24 Enroll'!G$1,FALSE)='District Calculations'!$B$14,VLOOKUP($A262,EnrollData2324,'2324 Jun 24 Enroll'!G$1,FALSE),'District Calculations'!$B$14)*Apport_211A2324,3)</f>
        <v>1.867</v>
      </c>
      <c r="P262">
        <f>ROUND(IF(VLOOKUP($A262,EnrollData2324,'2324 Jun 24 Enroll'!H$1,FALSE)='District Calculations'!$B$14,VLOOKUP($A262,EnrollData2324,'2324 Jun 24 Enroll'!H$1,FALSE),'District Calculations'!$B$14)*Apport_214A2324,3)</f>
        <v>1.8660000000000001</v>
      </c>
      <c r="Q262">
        <f>ROUND(IF(VLOOKUP($A262,EnrollData2324,'2324 Jun 24 Enroll'!I$1,FALSE)+VLOOKUP($A262,EnrollData2324,'2324 Jun 24 Enroll'!M$1,FALSE)-VLOOKUP($A262,EnrollData2324,'2324 Jun 24 Enroll'!J$1,FALSE)='District Calculations'!$B$16+'District Calculations'!$B$25-'District Calculations'!$B$17,VLOOKUP($A262,EnrollData2324,'2324 Jun 24 Enroll'!I$1,FALSE)+VLOOKUP($A262,EnrollData2324,'2324 Jun 24 Enroll'!M$1,FALSE)-VLOOKUP($A262,EnrollData2324,'2324 Jun 24 Enroll'!J$1,FALSE),'District Calculations'!$B$16+'District Calculations'!$B$25-'District Calculations'!$B$17)*Apport_217A2324,3)</f>
        <v>4.6980000000000004</v>
      </c>
      <c r="R262">
        <f>ROUND(SUM(L262:Q262)/IF(VLOOKUP($A262,EnrollData2324,'2324 Jun 24 Enroll'!M$1,FALSE)+VLOOKUP($A262,EnrollData2324,'2324 Jun 24 Enroll'!D$1,FALSE)='District Calculations'!$B$25+'District Calculations'!$B$11,VLOOKUP($A262,EnrollData2324,'2324 Jun 24 Enroll'!M$1,FALSE)+VLOOKUP($A262,EnrollData2324,'2324 Jun 24 Enroll'!D$1,FALSE),'District Calculations'!$B$25+'District Calculations'!$B$11),5)</f>
        <v>4.1000000000000003E-3</v>
      </c>
      <c r="S262" s="11">
        <f t="shared" si="66"/>
        <v>1.8294500000000002E-2</v>
      </c>
      <c r="T262">
        <f>ROUND(IF(VLOOKUP($A262,EnrollData2324,'2324 Jun 24 Enroll'!D$1,FALSE)='District Calculations'!$B$11,VLOOKUP($A262,EnrollData2324,'2324 Jun 24 Enroll'!D$1,FALSE),'District Calculations'!$B$11)*S262,3)</f>
        <v>0</v>
      </c>
      <c r="U262">
        <f>ROUND(IF(VLOOKUP($A262,EnrollData2324,'2324 Jun 24 Enroll'!E$1,FALSE)='District Calculations'!$B$12,VLOOKUP($A262,EnrollData2324,'2324 Jun 24 Enroll'!E$1,FALSE),'District Calculations'!$B$12)*S262,3)</f>
        <v>14.827999999999999</v>
      </c>
      <c r="V262">
        <f>ROUND(IF(VLOOKUP($A262,EnrollData2324,'2324 Jun 24 Enroll'!F$1,FALSE)='District Calculations'!$B$13,VLOOKUP($A262,EnrollData2324,'2324 Jun 24 Enroll'!F$1,FALSE),'District Calculations'!$B$13)*Apport_224A2324,3)</f>
        <v>3.6190000000000002</v>
      </c>
      <c r="W262">
        <f>ROUND(IF(VLOOKUP($A262,EnrollData2324,'2324 Jun 24 Enroll'!G$1,FALSE)='District Calculations'!$B$14,VLOOKUP($A262,EnrollData2324,'2324 Jun 24 Enroll'!G$1,FALSE),'District Calculations'!$B$14)*Apport_212A2324,3)</f>
        <v>8.0239999999999991</v>
      </c>
      <c r="X262">
        <f>ROUND(IF(VLOOKUP($A262,EnrollData2324,'2324 Jun 24 Enroll'!H$1,FALSE)='District Calculations'!$B$14,VLOOKUP($A262,EnrollData2324,'2324 Jun 24 Enroll'!H$1,FALSE),'District Calculations'!$B$14)*Apport_215A2324,3)</f>
        <v>7.9279999999999999</v>
      </c>
      <c r="Y262">
        <f>ROUND(IF(VLOOKUP($A262,EnrollData2324,'2324 Jun 24 Enroll'!I$1,FALSE)+VLOOKUP($A262,EnrollData2324,'2324 Jun 24 Enroll'!M$1,FALSE)-VLOOKUP($A262,EnrollData2324,'2324 Jun 24 Enroll'!J$1,FALSE)='District Calculations'!$B$16+'District Calculations'!$B$25-'District Calculations'!$B$17,VLOOKUP($A262,EnrollData2324,'2324 Jun 24 Enroll'!I$1,FALSE)+VLOOKUP($A262,EnrollData2324,'2324 Jun 24 Enroll'!M$1,FALSE)-VLOOKUP($A262,EnrollData2324,'2324 Jun 24 Enroll'!J$1,FALSE),'District Calculations'!$B$16+'District Calculations'!$B$25-'District Calculations'!$B$17)*Apport_218A2324,3)</f>
        <v>19.917999999999999</v>
      </c>
      <c r="Z262">
        <f>ROUND(SUM(T262:Y262)/IF(VLOOKUP($A262,EnrollData2324,'2324 Jun 24 Enroll'!M$1,FALSE)+VLOOKUP($A262,EnrollData2324,'2324 Jun 24 Enroll'!D$1,FALSE)='District Calculations'!$B$25+'District Calculations'!$B$11,VLOOKUP($A262,EnrollData2324,'2324 Jun 24 Enroll'!M$1,FALSE)+VLOOKUP($A262,EnrollData2324,'2324 Jun 24 Enroll'!D$1,FALSE),'District Calculations'!$B$25+'District Calculations'!$B$11),5)</f>
        <v>1.7399999999999999E-2</v>
      </c>
      <c r="AA262" s="6">
        <f>ROUND($J262*CIS_Base_Salary2324*VLOOKUP($A262,EnrollData2324,'2324 Jun 24 Enroll'!S$1,FALSE),2)</f>
        <v>4038.59</v>
      </c>
      <c r="AB262" s="6">
        <f>ROUND($J262*CIS_Inc_Salary2324*(VLOOKUP($A262,EnrollData2324,'2324 Jun 24 Enroll'!T$1,FALSE)+VLOOKUP($A262,EnrollData2324,'2324 Jun 24 Enroll'!U$1,FALSE)),2)-AA262</f>
        <v>149.43000000000029</v>
      </c>
      <c r="AC262" s="6">
        <f>ROUND($R262*CAS_Base_Salary2324*VLOOKUP($A262,EnrollData2324,'2324 Jun 24 Enroll'!S$1,FALSE),2)</f>
        <v>442.62</v>
      </c>
      <c r="AD262" s="6">
        <f>ROUND($R262*CAS_Inc_Salary2324*VLOOKUP($A262,EnrollData2324,'2324 Jun 24 Enroll'!T$1,FALSE),2)-AC262</f>
        <v>16.379999999999995</v>
      </c>
      <c r="AE262" s="6">
        <f>ROUND($Z262*CLS_Base_Salary2324*VLOOKUP($A262,EnrollData2324,'2324 Jun 24 Enroll'!S$1,FALSE),2)</f>
        <v>907.81</v>
      </c>
      <c r="AF262" s="6">
        <f>ROUND($Z262*CLS_Inc_Salary2324*VLOOKUP($A262,EnrollData2324,'2324 Jun 24 Enroll'!T$1,FALSE),2)-AE262</f>
        <v>33.580000000000041</v>
      </c>
      <c r="AG262">
        <f t="shared" ref="AG262:AG322" si="76">ROUND(($J262+$R262)*Apport_124X2324,2)</f>
        <v>734.16</v>
      </c>
      <c r="AH262" s="69">
        <f t="shared" si="67"/>
        <v>68.700000000000045</v>
      </c>
      <c r="AI262">
        <f t="shared" ref="AI262:AI322" si="77">ROUND($Z262*Apport_124X2324,2)</f>
        <v>214.23</v>
      </c>
      <c r="AJ262">
        <f t="shared" si="68"/>
        <v>114.21000000000001</v>
      </c>
      <c r="AK262">
        <f t="shared" si="69"/>
        <v>805.27</v>
      </c>
      <c r="AL262">
        <f t="shared" si="70"/>
        <v>28.73</v>
      </c>
      <c r="AM262">
        <f t="shared" si="71"/>
        <v>200.26</v>
      </c>
      <c r="AN262">
        <f t="shared" si="72"/>
        <v>6.23</v>
      </c>
      <c r="AO262">
        <f>ROUND(($J262*CIS_Inc_Salary2324*(VLOOKUP($A262,EnrollData2324,'2324 Jun 24 Enroll'!T$1,FALSE)+VLOOKUP($A262,EnrollData2324,'2324 Jun 24 Enroll'!U$1,FALSE))/Apport_613Xpd)*Apport_614Xpd,2)</f>
        <v>69.8</v>
      </c>
      <c r="AP262">
        <f t="shared" si="73"/>
        <v>12.1</v>
      </c>
      <c r="AQ262">
        <f t="shared" si="74"/>
        <v>30.93</v>
      </c>
      <c r="AR262" s="6">
        <f>ROUND((VLOOKUP($A262,EnrollData2324,'2324 Jun 24 Enroll'!D$1,FALSE)*Apport_M802324+VLOOKUP($A262,EnrollData2324,'2324 Jun 24 Enroll'!M$1,FALSE)*Apport_M802324+(VLOOKUP($A262,EnrollData2324,'2324 Jun 24 Enroll'!P$1,FALSE)+VLOOKUP($A262,EnrollData2324,'2324 Jun 24 Enroll'!Q$1,FALSE)+VLOOKUP($A262,EnrollData2324,'2324 Jun 24 Enroll'!R$1,FALSE)+VLOOKUP($A262,EnrollData2324,'2324 Jun 24 Enroll'!I$1,FALSE)+VLOOKUP($A262,EnrollData2324,'2324 Jun 24 Enroll'!N$1,FALSE)+VLOOKUP($A262,EnrollData2324,'2324 Jun 24 Enroll'!O$1,FALSE)+VLOOKUP($A262,EnrollData2324,'2324 Jun 24 Enroll'!K$1,FALSE)+VLOOKUP($A262,EnrollData2324,'2324 Jun 24 Enroll'!L$1,FALSE))*Apport_M812324)/(VLOOKUP($A262,EnrollData2324,'2324 Jun 24 Enroll'!M$1,FALSE)+VLOOKUP($A262,EnrollData2324,'2324 Jun 24 Enroll'!D$1,FALSE)),2)</f>
        <v>1572.93</v>
      </c>
      <c r="AS262" s="7">
        <f t="shared" si="75"/>
        <v>9445.9599999999991</v>
      </c>
    </row>
    <row r="263" spans="1:45">
      <c r="A263" s="40" t="s">
        <v>863</v>
      </c>
      <c r="B263" s="40" t="s">
        <v>864</v>
      </c>
      <c r="C263" s="11">
        <f>ROUND((IFERROR((1/IF(VLOOKUP($A263,EnrollData2324,28,FALSE)='District Calculations'!$B$10,VLOOKUP($A263,EnrollData2324,28,FALSE),'District Calculations'!$B$10))*(1+Apport_Z315),0))+Apport_201A2324,6)</f>
        <v>7.3449E-2</v>
      </c>
      <c r="D263">
        <f>ROUND(IF(VLOOKUP($A263,EnrollData2324,'2324 Jun 24 Enroll'!D$1,FALSE)='District Calculations'!$B$11,VLOOKUP($A263,EnrollData2324,'2324 Jun 24 Enroll'!D$1,FALSE),'District Calculations'!$B$11)*C263,3)</f>
        <v>0</v>
      </c>
      <c r="E263">
        <f>ROUND(IF(VLOOKUP($A263,EnrollData2324,'2324 Jun 24 Enroll'!E$1,FALSE)='District Calculations'!$B$12,VLOOKUP($A263,EnrollData2324,'2324 Jun 24 Enroll'!E$1,FALSE),'District Calculations'!$B$12)*C263,3)</f>
        <v>59.53</v>
      </c>
      <c r="F263">
        <f>ROUND(IF(VLOOKUP($A263,EnrollData2324,'2324 Jun 24 Enroll'!F$1,FALSE)='District Calculations'!$B$13,VLOOKUP($A263,EnrollData2324,'2324 Jun 24 Enroll'!F$1,FALSE),'District Calculations'!$B$13)*Apport_222A2324,3)</f>
        <v>10.101000000000001</v>
      </c>
      <c r="G263">
        <f>ROUND(IF(VLOOKUP($A263,EnrollData2324,'2324 Jun 24 Enroll'!G$1,FALSE)='District Calculations'!$B$14,VLOOKUP($A263,EnrollData2324,'2324 Jun 24 Enroll'!G$1,FALSE),'District Calculations'!$B$14)*Apport_210A2324,3)</f>
        <v>22.395</v>
      </c>
      <c r="H263">
        <f>ROUND(IF(VLOOKUP($A263,EnrollData2324,'2324 Jun 24 Enroll'!H$1,FALSE)='District Calculations'!$B$15,VLOOKUP($A263,EnrollData2324,'2324 Jun 24 Enroll'!H$1,FALSE),'District Calculations'!$B$15)*Apport_213A2324,3)</f>
        <v>23.091999999999999</v>
      </c>
      <c r="I263">
        <f>ROUND(IF(VLOOKUP($A263,EnrollData2324,'2324 Jun 24 Enroll'!I$1,FALSE)+VLOOKUP($A263,EnrollData2324,'2324 Jun 24 Enroll'!M$1,FALSE)-VLOOKUP($A263,EnrollData2324,'2324 Jun 24 Enroll'!J$1,FALSE)='District Calculations'!$B$16+'District Calculations'!$B$25-'District Calculations'!$B$17,VLOOKUP($A263,EnrollData2324,'2324 Jun 24 Enroll'!I$1,FALSE)+VLOOKUP($A263,EnrollData2324,'2324 Jun 24 Enroll'!M$1,FALSE)-VLOOKUP($A263,EnrollData2324,'2324 Jun 24 Enroll'!J$1,FALSE),'District Calculations'!$B$16+'District Calculations'!$B$25-'District Calculations'!$B$17)*Apport_216A2324,3)</f>
        <v>58.183999999999997</v>
      </c>
      <c r="J263">
        <f>ROUND(SUM(D263:I263)/(IF(VLOOKUP($A263,EnrollData2324,'2324 Jun 24 Enroll'!M$1,FALSE)='District Calculations'!$B$25,VLOOKUP($A263,EnrollData2324,'2324 Jun 24 Enroll'!M$1,FALSE),'District Calculations'!$B$25)+IF(VLOOKUP($A263,EnrollData2324,'2324 Jun 24 Enroll'!D$1,FALSE)='District Calculations'!$B$11,VLOOKUP($A263,EnrollData2324,'2324 Jun 24 Enroll'!D$1,FALSE),'District Calculations'!$B$11)),5)</f>
        <v>5.5530000000000003E-2</v>
      </c>
      <c r="K263" s="11">
        <f t="shared" si="65"/>
        <v>4.365E-3</v>
      </c>
      <c r="L263">
        <f>ROUND(IF(VLOOKUP($A263,EnrollData2324,'2324 Jun 24 Enroll'!D$1,FALSE)='District Calculations'!$B$11,VLOOKUP($A263,EnrollData2324,'2324 Jun 24 Enroll'!D$1,FALSE),'District Calculations'!$B$11)*K263,3)</f>
        <v>0</v>
      </c>
      <c r="M263">
        <f>ROUND(IF(VLOOKUP($A263,EnrollData2324,'2324 Jun 24 Enroll'!E$1,FALSE)='District Calculations'!$B$12,VLOOKUP($A263,EnrollData2324,'2324 Jun 24 Enroll'!E$1,FALSE),'District Calculations'!$B$12)*K263,3)</f>
        <v>3.5379999999999998</v>
      </c>
      <c r="N263">
        <f>ROUND(IF(VLOOKUP($A263,EnrollData2324,'2324 Jun 24 Enroll'!F$1,FALSE)='District Calculations'!$B$13,VLOOKUP($A263,EnrollData2324,'2324 Jun 24 Enroll'!F$1,FALSE),'District Calculations'!$B$13)*Apport_223A2324,3)</f>
        <v>0.84199999999999997</v>
      </c>
      <c r="O263">
        <f>ROUND(IF(VLOOKUP($A263,EnrollData2324,'2324 Jun 24 Enroll'!G$1,FALSE)='District Calculations'!$B$14,VLOOKUP($A263,EnrollData2324,'2324 Jun 24 Enroll'!G$1,FALSE),'District Calculations'!$B$14)*Apport_211A2324,3)</f>
        <v>1.867</v>
      </c>
      <c r="P263">
        <f>ROUND(IF(VLOOKUP($A263,EnrollData2324,'2324 Jun 24 Enroll'!H$1,FALSE)='District Calculations'!$B$14,VLOOKUP($A263,EnrollData2324,'2324 Jun 24 Enroll'!H$1,FALSE),'District Calculations'!$B$14)*Apport_214A2324,3)</f>
        <v>1.8660000000000001</v>
      </c>
      <c r="Q263">
        <f>ROUND(IF(VLOOKUP($A263,EnrollData2324,'2324 Jun 24 Enroll'!I$1,FALSE)+VLOOKUP($A263,EnrollData2324,'2324 Jun 24 Enroll'!M$1,FALSE)-VLOOKUP($A263,EnrollData2324,'2324 Jun 24 Enroll'!J$1,FALSE)='District Calculations'!$B$16+'District Calculations'!$B$25-'District Calculations'!$B$17,VLOOKUP($A263,EnrollData2324,'2324 Jun 24 Enroll'!I$1,FALSE)+VLOOKUP($A263,EnrollData2324,'2324 Jun 24 Enroll'!M$1,FALSE)-VLOOKUP($A263,EnrollData2324,'2324 Jun 24 Enroll'!J$1,FALSE),'District Calculations'!$B$16+'District Calculations'!$B$25-'District Calculations'!$B$17)*Apport_217A2324,3)</f>
        <v>4.6980000000000004</v>
      </c>
      <c r="R263">
        <f>ROUND(SUM(L263:Q263)/IF(VLOOKUP($A263,EnrollData2324,'2324 Jun 24 Enroll'!M$1,FALSE)+VLOOKUP($A263,EnrollData2324,'2324 Jun 24 Enroll'!D$1,FALSE)='District Calculations'!$B$25+'District Calculations'!$B$11,VLOOKUP($A263,EnrollData2324,'2324 Jun 24 Enroll'!M$1,FALSE)+VLOOKUP($A263,EnrollData2324,'2324 Jun 24 Enroll'!D$1,FALSE),'District Calculations'!$B$25+'District Calculations'!$B$11),5)</f>
        <v>4.1000000000000003E-3</v>
      </c>
      <c r="S263" s="11">
        <f t="shared" si="66"/>
        <v>1.8294500000000002E-2</v>
      </c>
      <c r="T263">
        <f>ROUND(IF(VLOOKUP($A263,EnrollData2324,'2324 Jun 24 Enroll'!D$1,FALSE)='District Calculations'!$B$11,VLOOKUP($A263,EnrollData2324,'2324 Jun 24 Enroll'!D$1,FALSE),'District Calculations'!$B$11)*S263,3)</f>
        <v>0</v>
      </c>
      <c r="U263">
        <f>ROUND(IF(VLOOKUP($A263,EnrollData2324,'2324 Jun 24 Enroll'!E$1,FALSE)='District Calculations'!$B$12,VLOOKUP($A263,EnrollData2324,'2324 Jun 24 Enroll'!E$1,FALSE),'District Calculations'!$B$12)*S263,3)</f>
        <v>14.827999999999999</v>
      </c>
      <c r="V263">
        <f>ROUND(IF(VLOOKUP($A263,EnrollData2324,'2324 Jun 24 Enroll'!F$1,FALSE)='District Calculations'!$B$13,VLOOKUP($A263,EnrollData2324,'2324 Jun 24 Enroll'!F$1,FALSE),'District Calculations'!$B$13)*Apport_224A2324,3)</f>
        <v>3.6190000000000002</v>
      </c>
      <c r="W263">
        <f>ROUND(IF(VLOOKUP($A263,EnrollData2324,'2324 Jun 24 Enroll'!G$1,FALSE)='District Calculations'!$B$14,VLOOKUP($A263,EnrollData2324,'2324 Jun 24 Enroll'!G$1,FALSE),'District Calculations'!$B$14)*Apport_212A2324,3)</f>
        <v>8.0239999999999991</v>
      </c>
      <c r="X263">
        <f>ROUND(IF(VLOOKUP($A263,EnrollData2324,'2324 Jun 24 Enroll'!H$1,FALSE)='District Calculations'!$B$14,VLOOKUP($A263,EnrollData2324,'2324 Jun 24 Enroll'!H$1,FALSE),'District Calculations'!$B$14)*Apport_215A2324,3)</f>
        <v>7.9279999999999999</v>
      </c>
      <c r="Y263">
        <f>ROUND(IF(VLOOKUP($A263,EnrollData2324,'2324 Jun 24 Enroll'!I$1,FALSE)+VLOOKUP($A263,EnrollData2324,'2324 Jun 24 Enroll'!M$1,FALSE)-VLOOKUP($A263,EnrollData2324,'2324 Jun 24 Enroll'!J$1,FALSE)='District Calculations'!$B$16+'District Calculations'!$B$25-'District Calculations'!$B$17,VLOOKUP($A263,EnrollData2324,'2324 Jun 24 Enroll'!I$1,FALSE)+VLOOKUP($A263,EnrollData2324,'2324 Jun 24 Enroll'!M$1,FALSE)-VLOOKUP($A263,EnrollData2324,'2324 Jun 24 Enroll'!J$1,FALSE),'District Calculations'!$B$16+'District Calculations'!$B$25-'District Calculations'!$B$17)*Apport_218A2324,3)</f>
        <v>19.917999999999999</v>
      </c>
      <c r="Z263">
        <f>ROUND(SUM(T263:Y263)/IF(VLOOKUP($A263,EnrollData2324,'2324 Jun 24 Enroll'!M$1,FALSE)+VLOOKUP($A263,EnrollData2324,'2324 Jun 24 Enroll'!D$1,FALSE)='District Calculations'!$B$25+'District Calculations'!$B$11,VLOOKUP($A263,EnrollData2324,'2324 Jun 24 Enroll'!M$1,FALSE)+VLOOKUP($A263,EnrollData2324,'2324 Jun 24 Enroll'!D$1,FALSE),'District Calculations'!$B$25+'District Calculations'!$B$11),5)</f>
        <v>1.7399999999999999E-2</v>
      </c>
      <c r="AA263" s="6">
        <f>ROUND($J263*CIS_Base_Salary2324*VLOOKUP($A263,EnrollData2324,'2324 Jun 24 Enroll'!S$1,FALSE),2)</f>
        <v>4038.59</v>
      </c>
      <c r="AB263" s="6">
        <f>ROUND($J263*CIS_Inc_Salary2324*(VLOOKUP($A263,EnrollData2324,'2324 Jun 24 Enroll'!T$1,FALSE)+VLOOKUP($A263,EnrollData2324,'2324 Jun 24 Enroll'!U$1,FALSE)),2)-AA263</f>
        <v>149.43000000000029</v>
      </c>
      <c r="AC263" s="6">
        <f>ROUND($R263*CAS_Base_Salary2324*VLOOKUP($A263,EnrollData2324,'2324 Jun 24 Enroll'!S$1,FALSE),2)</f>
        <v>442.62</v>
      </c>
      <c r="AD263" s="6">
        <f>ROUND($R263*CAS_Inc_Salary2324*VLOOKUP($A263,EnrollData2324,'2324 Jun 24 Enroll'!T$1,FALSE),2)-AC263</f>
        <v>16.379999999999995</v>
      </c>
      <c r="AE263" s="6">
        <f>ROUND($Z263*CLS_Base_Salary2324*VLOOKUP($A263,EnrollData2324,'2324 Jun 24 Enroll'!S$1,FALSE),2)</f>
        <v>907.81</v>
      </c>
      <c r="AF263" s="6">
        <f>ROUND($Z263*CLS_Inc_Salary2324*VLOOKUP($A263,EnrollData2324,'2324 Jun 24 Enroll'!T$1,FALSE),2)-AE263</f>
        <v>33.580000000000041</v>
      </c>
      <c r="AG263">
        <f t="shared" si="76"/>
        <v>734.16</v>
      </c>
      <c r="AH263" s="69">
        <f t="shared" si="67"/>
        <v>68.700000000000045</v>
      </c>
      <c r="AI263">
        <f t="shared" si="77"/>
        <v>214.23</v>
      </c>
      <c r="AJ263">
        <f t="shared" si="68"/>
        <v>114.21000000000001</v>
      </c>
      <c r="AK263">
        <f t="shared" si="69"/>
        <v>805.27</v>
      </c>
      <c r="AL263">
        <f t="shared" si="70"/>
        <v>28.73</v>
      </c>
      <c r="AM263">
        <f t="shared" si="71"/>
        <v>200.26</v>
      </c>
      <c r="AN263">
        <f t="shared" si="72"/>
        <v>6.23</v>
      </c>
      <c r="AO263">
        <f>ROUND(($J263*CIS_Inc_Salary2324*(VLOOKUP($A263,EnrollData2324,'2324 Jun 24 Enroll'!T$1,FALSE)+VLOOKUP($A263,EnrollData2324,'2324 Jun 24 Enroll'!U$1,FALSE))/Apport_613Xpd)*Apport_614Xpd,2)</f>
        <v>69.8</v>
      </c>
      <c r="AP263">
        <f t="shared" si="73"/>
        <v>12.1</v>
      </c>
      <c r="AQ263">
        <f t="shared" si="74"/>
        <v>30.93</v>
      </c>
      <c r="AR263" s="6">
        <f>ROUND((VLOOKUP($A263,EnrollData2324,'2324 Jun 24 Enroll'!D$1,FALSE)*Apport_M802324+VLOOKUP($A263,EnrollData2324,'2324 Jun 24 Enroll'!M$1,FALSE)*Apport_M802324+(VLOOKUP($A263,EnrollData2324,'2324 Jun 24 Enroll'!P$1,FALSE)+VLOOKUP($A263,EnrollData2324,'2324 Jun 24 Enroll'!Q$1,FALSE)+VLOOKUP($A263,EnrollData2324,'2324 Jun 24 Enroll'!R$1,FALSE)+VLOOKUP($A263,EnrollData2324,'2324 Jun 24 Enroll'!I$1,FALSE)+VLOOKUP($A263,EnrollData2324,'2324 Jun 24 Enroll'!N$1,FALSE)+VLOOKUP($A263,EnrollData2324,'2324 Jun 24 Enroll'!O$1,FALSE)+VLOOKUP($A263,EnrollData2324,'2324 Jun 24 Enroll'!K$1,FALSE)+VLOOKUP($A263,EnrollData2324,'2324 Jun 24 Enroll'!L$1,FALSE))*Apport_M812324)/(VLOOKUP($A263,EnrollData2324,'2324 Jun 24 Enroll'!M$1,FALSE)+VLOOKUP($A263,EnrollData2324,'2324 Jun 24 Enroll'!D$1,FALSE)),2)</f>
        <v>1568.22</v>
      </c>
      <c r="AS263" s="7">
        <f t="shared" si="75"/>
        <v>9441.25</v>
      </c>
    </row>
    <row r="264" spans="1:45">
      <c r="A264" s="40" t="s">
        <v>839</v>
      </c>
      <c r="B264" s="40" t="s">
        <v>840</v>
      </c>
      <c r="C264" s="11">
        <f>ROUND((IFERROR((1/IF(VLOOKUP($A264,EnrollData2324,28,FALSE)='District Calculations'!$B$10,VLOOKUP($A264,EnrollData2324,28,FALSE),'District Calculations'!$B$10))*(1+Apport_Z315),0))+Apport_201A2324,6)</f>
        <v>7.3449E-2</v>
      </c>
      <c r="D264">
        <f>ROUND(IF(VLOOKUP($A264,EnrollData2324,'2324 Jun 24 Enroll'!D$1,FALSE)='District Calculations'!$B$11,VLOOKUP($A264,EnrollData2324,'2324 Jun 24 Enroll'!D$1,FALSE),'District Calculations'!$B$11)*C264,3)</f>
        <v>0</v>
      </c>
      <c r="E264">
        <f>ROUND(IF(VLOOKUP($A264,EnrollData2324,'2324 Jun 24 Enroll'!E$1,FALSE)='District Calculations'!$B$12,VLOOKUP($A264,EnrollData2324,'2324 Jun 24 Enroll'!E$1,FALSE),'District Calculations'!$B$12)*C264,3)</f>
        <v>59.53</v>
      </c>
      <c r="F264">
        <f>ROUND(IF(VLOOKUP($A264,EnrollData2324,'2324 Jun 24 Enroll'!F$1,FALSE)='District Calculations'!$B$13,VLOOKUP($A264,EnrollData2324,'2324 Jun 24 Enroll'!F$1,FALSE),'District Calculations'!$B$13)*Apport_222A2324,3)</f>
        <v>10.101000000000001</v>
      </c>
      <c r="G264">
        <f>ROUND(IF(VLOOKUP($A264,EnrollData2324,'2324 Jun 24 Enroll'!G$1,FALSE)='District Calculations'!$B$14,VLOOKUP($A264,EnrollData2324,'2324 Jun 24 Enroll'!G$1,FALSE),'District Calculations'!$B$14)*Apport_210A2324,3)</f>
        <v>22.395</v>
      </c>
      <c r="H264">
        <f>ROUND(IF(VLOOKUP($A264,EnrollData2324,'2324 Jun 24 Enroll'!H$1,FALSE)='District Calculations'!$B$15,VLOOKUP($A264,EnrollData2324,'2324 Jun 24 Enroll'!H$1,FALSE),'District Calculations'!$B$15)*Apport_213A2324,3)</f>
        <v>23.091999999999999</v>
      </c>
      <c r="I264">
        <f>ROUND(IF(VLOOKUP($A264,EnrollData2324,'2324 Jun 24 Enroll'!I$1,FALSE)+VLOOKUP($A264,EnrollData2324,'2324 Jun 24 Enroll'!M$1,FALSE)-VLOOKUP($A264,EnrollData2324,'2324 Jun 24 Enroll'!J$1,FALSE)='District Calculations'!$B$16+'District Calculations'!$B$25-'District Calculations'!$B$17,VLOOKUP($A264,EnrollData2324,'2324 Jun 24 Enroll'!I$1,FALSE)+VLOOKUP($A264,EnrollData2324,'2324 Jun 24 Enroll'!M$1,FALSE)-VLOOKUP($A264,EnrollData2324,'2324 Jun 24 Enroll'!J$1,FALSE),'District Calculations'!$B$16+'District Calculations'!$B$25-'District Calculations'!$B$17)*Apport_216A2324,3)</f>
        <v>58.183999999999997</v>
      </c>
      <c r="J264">
        <f>ROUND(SUM(D264:I264)/(IF(VLOOKUP($A264,EnrollData2324,'2324 Jun 24 Enroll'!M$1,FALSE)='District Calculations'!$B$25,VLOOKUP($A264,EnrollData2324,'2324 Jun 24 Enroll'!M$1,FALSE),'District Calculations'!$B$25)+IF(VLOOKUP($A264,EnrollData2324,'2324 Jun 24 Enroll'!D$1,FALSE)='District Calculations'!$B$11,VLOOKUP($A264,EnrollData2324,'2324 Jun 24 Enroll'!D$1,FALSE),'District Calculations'!$B$11)),5)</f>
        <v>5.5530000000000003E-2</v>
      </c>
      <c r="K264" s="11">
        <f t="shared" si="65"/>
        <v>4.365E-3</v>
      </c>
      <c r="L264">
        <f>ROUND(IF(VLOOKUP($A264,EnrollData2324,'2324 Jun 24 Enroll'!D$1,FALSE)='District Calculations'!$B$11,VLOOKUP($A264,EnrollData2324,'2324 Jun 24 Enroll'!D$1,FALSE),'District Calculations'!$B$11)*K264,3)</f>
        <v>0</v>
      </c>
      <c r="M264">
        <f>ROUND(IF(VLOOKUP($A264,EnrollData2324,'2324 Jun 24 Enroll'!E$1,FALSE)='District Calculations'!$B$12,VLOOKUP($A264,EnrollData2324,'2324 Jun 24 Enroll'!E$1,FALSE),'District Calculations'!$B$12)*K264,3)</f>
        <v>3.5379999999999998</v>
      </c>
      <c r="N264">
        <f>ROUND(IF(VLOOKUP($A264,EnrollData2324,'2324 Jun 24 Enroll'!F$1,FALSE)='District Calculations'!$B$13,VLOOKUP($A264,EnrollData2324,'2324 Jun 24 Enroll'!F$1,FALSE),'District Calculations'!$B$13)*Apport_223A2324,3)</f>
        <v>0.84199999999999997</v>
      </c>
      <c r="O264">
        <f>ROUND(IF(VLOOKUP($A264,EnrollData2324,'2324 Jun 24 Enroll'!G$1,FALSE)='District Calculations'!$B$14,VLOOKUP($A264,EnrollData2324,'2324 Jun 24 Enroll'!G$1,FALSE),'District Calculations'!$B$14)*Apport_211A2324,3)</f>
        <v>1.867</v>
      </c>
      <c r="P264">
        <f>ROUND(IF(VLOOKUP($A264,EnrollData2324,'2324 Jun 24 Enroll'!H$1,FALSE)='District Calculations'!$B$14,VLOOKUP($A264,EnrollData2324,'2324 Jun 24 Enroll'!H$1,FALSE),'District Calculations'!$B$14)*Apport_214A2324,3)</f>
        <v>1.8660000000000001</v>
      </c>
      <c r="Q264">
        <f>ROUND(IF(VLOOKUP($A264,EnrollData2324,'2324 Jun 24 Enroll'!I$1,FALSE)+VLOOKUP($A264,EnrollData2324,'2324 Jun 24 Enroll'!M$1,FALSE)-VLOOKUP($A264,EnrollData2324,'2324 Jun 24 Enroll'!J$1,FALSE)='District Calculations'!$B$16+'District Calculations'!$B$25-'District Calculations'!$B$17,VLOOKUP($A264,EnrollData2324,'2324 Jun 24 Enroll'!I$1,FALSE)+VLOOKUP($A264,EnrollData2324,'2324 Jun 24 Enroll'!M$1,FALSE)-VLOOKUP($A264,EnrollData2324,'2324 Jun 24 Enroll'!J$1,FALSE),'District Calculations'!$B$16+'District Calculations'!$B$25-'District Calculations'!$B$17)*Apport_217A2324,3)</f>
        <v>4.6980000000000004</v>
      </c>
      <c r="R264">
        <f>ROUND(SUM(L264:Q264)/IF(VLOOKUP($A264,EnrollData2324,'2324 Jun 24 Enroll'!M$1,FALSE)+VLOOKUP($A264,EnrollData2324,'2324 Jun 24 Enroll'!D$1,FALSE)='District Calculations'!$B$25+'District Calculations'!$B$11,VLOOKUP($A264,EnrollData2324,'2324 Jun 24 Enroll'!M$1,FALSE)+VLOOKUP($A264,EnrollData2324,'2324 Jun 24 Enroll'!D$1,FALSE),'District Calculations'!$B$25+'District Calculations'!$B$11),5)</f>
        <v>4.1000000000000003E-3</v>
      </c>
      <c r="S264" s="11">
        <f t="shared" si="66"/>
        <v>1.8294500000000002E-2</v>
      </c>
      <c r="T264">
        <f>ROUND(IF(VLOOKUP($A264,EnrollData2324,'2324 Jun 24 Enroll'!D$1,FALSE)='District Calculations'!$B$11,VLOOKUP($A264,EnrollData2324,'2324 Jun 24 Enroll'!D$1,FALSE),'District Calculations'!$B$11)*S264,3)</f>
        <v>0</v>
      </c>
      <c r="U264">
        <f>ROUND(IF(VLOOKUP($A264,EnrollData2324,'2324 Jun 24 Enroll'!E$1,FALSE)='District Calculations'!$B$12,VLOOKUP($A264,EnrollData2324,'2324 Jun 24 Enroll'!E$1,FALSE),'District Calculations'!$B$12)*S264,3)</f>
        <v>14.827999999999999</v>
      </c>
      <c r="V264">
        <f>ROUND(IF(VLOOKUP($A264,EnrollData2324,'2324 Jun 24 Enroll'!F$1,FALSE)='District Calculations'!$B$13,VLOOKUP($A264,EnrollData2324,'2324 Jun 24 Enroll'!F$1,FALSE),'District Calculations'!$B$13)*Apport_224A2324,3)</f>
        <v>3.6190000000000002</v>
      </c>
      <c r="W264">
        <f>ROUND(IF(VLOOKUP($A264,EnrollData2324,'2324 Jun 24 Enroll'!G$1,FALSE)='District Calculations'!$B$14,VLOOKUP($A264,EnrollData2324,'2324 Jun 24 Enroll'!G$1,FALSE),'District Calculations'!$B$14)*Apport_212A2324,3)</f>
        <v>8.0239999999999991</v>
      </c>
      <c r="X264">
        <f>ROUND(IF(VLOOKUP($A264,EnrollData2324,'2324 Jun 24 Enroll'!H$1,FALSE)='District Calculations'!$B$14,VLOOKUP($A264,EnrollData2324,'2324 Jun 24 Enroll'!H$1,FALSE),'District Calculations'!$B$14)*Apport_215A2324,3)</f>
        <v>7.9279999999999999</v>
      </c>
      <c r="Y264">
        <f>ROUND(IF(VLOOKUP($A264,EnrollData2324,'2324 Jun 24 Enroll'!I$1,FALSE)+VLOOKUP($A264,EnrollData2324,'2324 Jun 24 Enroll'!M$1,FALSE)-VLOOKUP($A264,EnrollData2324,'2324 Jun 24 Enroll'!J$1,FALSE)='District Calculations'!$B$16+'District Calculations'!$B$25-'District Calculations'!$B$17,VLOOKUP($A264,EnrollData2324,'2324 Jun 24 Enroll'!I$1,FALSE)+VLOOKUP($A264,EnrollData2324,'2324 Jun 24 Enroll'!M$1,FALSE)-VLOOKUP($A264,EnrollData2324,'2324 Jun 24 Enroll'!J$1,FALSE),'District Calculations'!$B$16+'District Calculations'!$B$25-'District Calculations'!$B$17)*Apport_218A2324,3)</f>
        <v>19.917999999999999</v>
      </c>
      <c r="Z264">
        <f>ROUND(SUM(T264:Y264)/IF(VLOOKUP($A264,EnrollData2324,'2324 Jun 24 Enroll'!M$1,FALSE)+VLOOKUP($A264,EnrollData2324,'2324 Jun 24 Enroll'!D$1,FALSE)='District Calculations'!$B$25+'District Calculations'!$B$11,VLOOKUP($A264,EnrollData2324,'2324 Jun 24 Enroll'!M$1,FALSE)+VLOOKUP($A264,EnrollData2324,'2324 Jun 24 Enroll'!D$1,FALSE),'District Calculations'!$B$25+'District Calculations'!$B$11),5)</f>
        <v>1.7399999999999999E-2</v>
      </c>
      <c r="AA264" s="6">
        <f>ROUND($J264*CIS_Base_Salary2324*VLOOKUP($A264,EnrollData2324,'2324 Jun 24 Enroll'!S$1,FALSE),2)</f>
        <v>4038.59</v>
      </c>
      <c r="AB264" s="6">
        <f>ROUND($J264*CIS_Inc_Salary2324*(VLOOKUP($A264,EnrollData2324,'2324 Jun 24 Enroll'!T$1,FALSE)+VLOOKUP($A264,EnrollData2324,'2324 Jun 24 Enroll'!U$1,FALSE)),2)-AA264</f>
        <v>149.43000000000029</v>
      </c>
      <c r="AC264" s="6">
        <f>ROUND($R264*CAS_Base_Salary2324*VLOOKUP($A264,EnrollData2324,'2324 Jun 24 Enroll'!S$1,FALSE),2)</f>
        <v>442.62</v>
      </c>
      <c r="AD264" s="6">
        <f>ROUND($R264*CAS_Inc_Salary2324*VLOOKUP($A264,EnrollData2324,'2324 Jun 24 Enroll'!T$1,FALSE),2)-AC264</f>
        <v>16.379999999999995</v>
      </c>
      <c r="AE264" s="6">
        <f>ROUND($Z264*CLS_Base_Salary2324*VLOOKUP($A264,EnrollData2324,'2324 Jun 24 Enroll'!S$1,FALSE),2)</f>
        <v>907.81</v>
      </c>
      <c r="AF264" s="6">
        <f>ROUND($Z264*CLS_Inc_Salary2324*VLOOKUP($A264,EnrollData2324,'2324 Jun 24 Enroll'!T$1,FALSE),2)-AE264</f>
        <v>33.580000000000041</v>
      </c>
      <c r="AG264">
        <f t="shared" si="76"/>
        <v>734.16</v>
      </c>
      <c r="AH264" s="69">
        <f t="shared" si="67"/>
        <v>68.700000000000045</v>
      </c>
      <c r="AI264">
        <f t="shared" si="77"/>
        <v>214.23</v>
      </c>
      <c r="AJ264">
        <f t="shared" si="68"/>
        <v>114.21000000000001</v>
      </c>
      <c r="AK264">
        <f t="shared" si="69"/>
        <v>805.27</v>
      </c>
      <c r="AL264">
        <f t="shared" si="70"/>
        <v>28.73</v>
      </c>
      <c r="AM264">
        <f t="shared" si="71"/>
        <v>200.26</v>
      </c>
      <c r="AN264">
        <f t="shared" si="72"/>
        <v>6.23</v>
      </c>
      <c r="AO264">
        <f>ROUND(($J264*CIS_Inc_Salary2324*(VLOOKUP($A264,EnrollData2324,'2324 Jun 24 Enroll'!T$1,FALSE)+VLOOKUP($A264,EnrollData2324,'2324 Jun 24 Enroll'!U$1,FALSE))/Apport_613Xpd)*Apport_614Xpd,2)</f>
        <v>69.8</v>
      </c>
      <c r="AP264">
        <f t="shared" si="73"/>
        <v>12.1</v>
      </c>
      <c r="AQ264">
        <f t="shared" si="74"/>
        <v>30.93</v>
      </c>
      <c r="AR264" s="6">
        <f>ROUND((VLOOKUP($A264,EnrollData2324,'2324 Jun 24 Enroll'!D$1,FALSE)*Apport_M802324+VLOOKUP($A264,EnrollData2324,'2324 Jun 24 Enroll'!M$1,FALSE)*Apport_M802324+(VLOOKUP($A264,EnrollData2324,'2324 Jun 24 Enroll'!P$1,FALSE)+VLOOKUP($A264,EnrollData2324,'2324 Jun 24 Enroll'!Q$1,FALSE)+VLOOKUP($A264,EnrollData2324,'2324 Jun 24 Enroll'!R$1,FALSE)+VLOOKUP($A264,EnrollData2324,'2324 Jun 24 Enroll'!I$1,FALSE)+VLOOKUP($A264,EnrollData2324,'2324 Jun 24 Enroll'!N$1,FALSE)+VLOOKUP($A264,EnrollData2324,'2324 Jun 24 Enroll'!O$1,FALSE)+VLOOKUP($A264,EnrollData2324,'2324 Jun 24 Enroll'!K$1,FALSE)+VLOOKUP($A264,EnrollData2324,'2324 Jun 24 Enroll'!L$1,FALSE))*Apport_M812324)/(VLOOKUP($A264,EnrollData2324,'2324 Jun 24 Enroll'!M$1,FALSE)+VLOOKUP($A264,EnrollData2324,'2324 Jun 24 Enroll'!D$1,FALSE)),2)</f>
        <v>1649.16</v>
      </c>
      <c r="AS264" s="7">
        <f t="shared" si="75"/>
        <v>9522.19</v>
      </c>
    </row>
    <row r="265" spans="1:45">
      <c r="A265" s="40" t="s">
        <v>400</v>
      </c>
      <c r="B265" s="40" t="s">
        <v>401</v>
      </c>
      <c r="C265" s="11">
        <f>ROUND((IFERROR((1/IF(VLOOKUP($A265,EnrollData2324,28,FALSE)='District Calculations'!$B$10,VLOOKUP($A265,EnrollData2324,28,FALSE),'District Calculations'!$B$10))*(1+Apport_Z315),0))+Apport_201A2324,6)</f>
        <v>7.3449E-2</v>
      </c>
      <c r="D265">
        <f>ROUND(IF(VLOOKUP($A265,EnrollData2324,'2324 Jun 24 Enroll'!D$1,FALSE)='District Calculations'!$B$11,VLOOKUP($A265,EnrollData2324,'2324 Jun 24 Enroll'!D$1,FALSE),'District Calculations'!$B$11)*C265,3)</f>
        <v>0</v>
      </c>
      <c r="E265">
        <f>ROUND(IF(VLOOKUP($A265,EnrollData2324,'2324 Jun 24 Enroll'!E$1,FALSE)='District Calculations'!$B$12,VLOOKUP($A265,EnrollData2324,'2324 Jun 24 Enroll'!E$1,FALSE),'District Calculations'!$B$12)*C265,3)</f>
        <v>59.53</v>
      </c>
      <c r="F265">
        <f>ROUND(IF(VLOOKUP($A265,EnrollData2324,'2324 Jun 24 Enroll'!F$1,FALSE)='District Calculations'!$B$13,VLOOKUP($A265,EnrollData2324,'2324 Jun 24 Enroll'!F$1,FALSE),'District Calculations'!$B$13)*Apport_222A2324,3)</f>
        <v>10.101000000000001</v>
      </c>
      <c r="G265">
        <f>ROUND(IF(VLOOKUP($A265,EnrollData2324,'2324 Jun 24 Enroll'!G$1,FALSE)='District Calculations'!$B$14,VLOOKUP($A265,EnrollData2324,'2324 Jun 24 Enroll'!G$1,FALSE),'District Calculations'!$B$14)*Apport_210A2324,3)</f>
        <v>22.395</v>
      </c>
      <c r="H265">
        <f>ROUND(IF(VLOOKUP($A265,EnrollData2324,'2324 Jun 24 Enroll'!H$1,FALSE)='District Calculations'!$B$15,VLOOKUP($A265,EnrollData2324,'2324 Jun 24 Enroll'!H$1,FALSE),'District Calculations'!$B$15)*Apport_213A2324,3)</f>
        <v>23.091999999999999</v>
      </c>
      <c r="I265">
        <f>ROUND(IF(VLOOKUP($A265,EnrollData2324,'2324 Jun 24 Enroll'!I$1,FALSE)+VLOOKUP($A265,EnrollData2324,'2324 Jun 24 Enroll'!M$1,FALSE)-VLOOKUP($A265,EnrollData2324,'2324 Jun 24 Enroll'!J$1,FALSE)='District Calculations'!$B$16+'District Calculations'!$B$25-'District Calculations'!$B$17,VLOOKUP($A265,EnrollData2324,'2324 Jun 24 Enroll'!I$1,FALSE)+VLOOKUP($A265,EnrollData2324,'2324 Jun 24 Enroll'!M$1,FALSE)-VLOOKUP($A265,EnrollData2324,'2324 Jun 24 Enroll'!J$1,FALSE),'District Calculations'!$B$16+'District Calculations'!$B$25-'District Calculations'!$B$17)*Apport_216A2324,3)</f>
        <v>58.183999999999997</v>
      </c>
      <c r="J265">
        <f>ROUND(SUM(D265:I265)/(IF(VLOOKUP($A265,EnrollData2324,'2324 Jun 24 Enroll'!M$1,FALSE)='District Calculations'!$B$25,VLOOKUP($A265,EnrollData2324,'2324 Jun 24 Enroll'!M$1,FALSE),'District Calculations'!$B$25)+IF(VLOOKUP($A265,EnrollData2324,'2324 Jun 24 Enroll'!D$1,FALSE)='District Calculations'!$B$11,VLOOKUP($A265,EnrollData2324,'2324 Jun 24 Enroll'!D$1,FALSE),'District Calculations'!$B$11)),5)</f>
        <v>5.5530000000000003E-2</v>
      </c>
      <c r="K265" s="11">
        <f t="shared" si="65"/>
        <v>4.365E-3</v>
      </c>
      <c r="L265">
        <f>ROUND(IF(VLOOKUP($A265,EnrollData2324,'2324 Jun 24 Enroll'!D$1,FALSE)='District Calculations'!$B$11,VLOOKUP($A265,EnrollData2324,'2324 Jun 24 Enroll'!D$1,FALSE),'District Calculations'!$B$11)*K265,3)</f>
        <v>0</v>
      </c>
      <c r="M265">
        <f>ROUND(IF(VLOOKUP($A265,EnrollData2324,'2324 Jun 24 Enroll'!E$1,FALSE)='District Calculations'!$B$12,VLOOKUP($A265,EnrollData2324,'2324 Jun 24 Enroll'!E$1,FALSE),'District Calculations'!$B$12)*K265,3)</f>
        <v>3.5379999999999998</v>
      </c>
      <c r="N265">
        <f>ROUND(IF(VLOOKUP($A265,EnrollData2324,'2324 Jun 24 Enroll'!F$1,FALSE)='District Calculations'!$B$13,VLOOKUP($A265,EnrollData2324,'2324 Jun 24 Enroll'!F$1,FALSE),'District Calculations'!$B$13)*Apport_223A2324,3)</f>
        <v>0.84199999999999997</v>
      </c>
      <c r="O265">
        <f>ROUND(IF(VLOOKUP($A265,EnrollData2324,'2324 Jun 24 Enroll'!G$1,FALSE)='District Calculations'!$B$14,VLOOKUP($A265,EnrollData2324,'2324 Jun 24 Enroll'!G$1,FALSE),'District Calculations'!$B$14)*Apport_211A2324,3)</f>
        <v>1.867</v>
      </c>
      <c r="P265">
        <f>ROUND(IF(VLOOKUP($A265,EnrollData2324,'2324 Jun 24 Enroll'!H$1,FALSE)='District Calculations'!$B$14,VLOOKUP($A265,EnrollData2324,'2324 Jun 24 Enroll'!H$1,FALSE),'District Calculations'!$B$14)*Apport_214A2324,3)</f>
        <v>1.8660000000000001</v>
      </c>
      <c r="Q265">
        <f>ROUND(IF(VLOOKUP($A265,EnrollData2324,'2324 Jun 24 Enroll'!I$1,FALSE)+VLOOKUP($A265,EnrollData2324,'2324 Jun 24 Enroll'!M$1,FALSE)-VLOOKUP($A265,EnrollData2324,'2324 Jun 24 Enroll'!J$1,FALSE)='District Calculations'!$B$16+'District Calculations'!$B$25-'District Calculations'!$B$17,VLOOKUP($A265,EnrollData2324,'2324 Jun 24 Enroll'!I$1,FALSE)+VLOOKUP($A265,EnrollData2324,'2324 Jun 24 Enroll'!M$1,FALSE)-VLOOKUP($A265,EnrollData2324,'2324 Jun 24 Enroll'!J$1,FALSE),'District Calculations'!$B$16+'District Calculations'!$B$25-'District Calculations'!$B$17)*Apport_217A2324,3)</f>
        <v>4.6980000000000004</v>
      </c>
      <c r="R265">
        <f>ROUND(SUM(L265:Q265)/IF(VLOOKUP($A265,EnrollData2324,'2324 Jun 24 Enroll'!M$1,FALSE)+VLOOKUP($A265,EnrollData2324,'2324 Jun 24 Enroll'!D$1,FALSE)='District Calculations'!$B$25+'District Calculations'!$B$11,VLOOKUP($A265,EnrollData2324,'2324 Jun 24 Enroll'!M$1,FALSE)+VLOOKUP($A265,EnrollData2324,'2324 Jun 24 Enroll'!D$1,FALSE),'District Calculations'!$B$25+'District Calculations'!$B$11),5)</f>
        <v>4.1000000000000003E-3</v>
      </c>
      <c r="S265" s="11">
        <f t="shared" si="66"/>
        <v>1.8294500000000002E-2</v>
      </c>
      <c r="T265">
        <f>ROUND(IF(VLOOKUP($A265,EnrollData2324,'2324 Jun 24 Enroll'!D$1,FALSE)='District Calculations'!$B$11,VLOOKUP($A265,EnrollData2324,'2324 Jun 24 Enroll'!D$1,FALSE),'District Calculations'!$B$11)*S265,3)</f>
        <v>0</v>
      </c>
      <c r="U265">
        <f>ROUND(IF(VLOOKUP($A265,EnrollData2324,'2324 Jun 24 Enroll'!E$1,FALSE)='District Calculations'!$B$12,VLOOKUP($A265,EnrollData2324,'2324 Jun 24 Enroll'!E$1,FALSE),'District Calculations'!$B$12)*S265,3)</f>
        <v>14.827999999999999</v>
      </c>
      <c r="V265">
        <f>ROUND(IF(VLOOKUP($A265,EnrollData2324,'2324 Jun 24 Enroll'!F$1,FALSE)='District Calculations'!$B$13,VLOOKUP($A265,EnrollData2324,'2324 Jun 24 Enroll'!F$1,FALSE),'District Calculations'!$B$13)*Apport_224A2324,3)</f>
        <v>3.6190000000000002</v>
      </c>
      <c r="W265">
        <f>ROUND(IF(VLOOKUP($A265,EnrollData2324,'2324 Jun 24 Enroll'!G$1,FALSE)='District Calculations'!$B$14,VLOOKUP($A265,EnrollData2324,'2324 Jun 24 Enroll'!G$1,FALSE),'District Calculations'!$B$14)*Apport_212A2324,3)</f>
        <v>8.0239999999999991</v>
      </c>
      <c r="X265">
        <f>ROUND(IF(VLOOKUP($A265,EnrollData2324,'2324 Jun 24 Enroll'!H$1,FALSE)='District Calculations'!$B$14,VLOOKUP($A265,EnrollData2324,'2324 Jun 24 Enroll'!H$1,FALSE),'District Calculations'!$B$14)*Apport_215A2324,3)</f>
        <v>7.9279999999999999</v>
      </c>
      <c r="Y265">
        <f>ROUND(IF(VLOOKUP($A265,EnrollData2324,'2324 Jun 24 Enroll'!I$1,FALSE)+VLOOKUP($A265,EnrollData2324,'2324 Jun 24 Enroll'!M$1,FALSE)-VLOOKUP($A265,EnrollData2324,'2324 Jun 24 Enroll'!J$1,FALSE)='District Calculations'!$B$16+'District Calculations'!$B$25-'District Calculations'!$B$17,VLOOKUP($A265,EnrollData2324,'2324 Jun 24 Enroll'!I$1,FALSE)+VLOOKUP($A265,EnrollData2324,'2324 Jun 24 Enroll'!M$1,FALSE)-VLOOKUP($A265,EnrollData2324,'2324 Jun 24 Enroll'!J$1,FALSE),'District Calculations'!$B$16+'District Calculations'!$B$25-'District Calculations'!$B$17)*Apport_218A2324,3)</f>
        <v>19.917999999999999</v>
      </c>
      <c r="Z265">
        <f>ROUND(SUM(T265:Y265)/IF(VLOOKUP($A265,EnrollData2324,'2324 Jun 24 Enroll'!M$1,FALSE)+VLOOKUP($A265,EnrollData2324,'2324 Jun 24 Enroll'!D$1,FALSE)='District Calculations'!$B$25+'District Calculations'!$B$11,VLOOKUP($A265,EnrollData2324,'2324 Jun 24 Enroll'!M$1,FALSE)+VLOOKUP($A265,EnrollData2324,'2324 Jun 24 Enroll'!D$1,FALSE),'District Calculations'!$B$25+'District Calculations'!$B$11),5)</f>
        <v>1.7399999999999999E-2</v>
      </c>
      <c r="AA265" s="6">
        <f>ROUND($J265*CIS_Base_Salary2324*VLOOKUP($A265,EnrollData2324,'2324 Jun 24 Enroll'!S$1,FALSE),2)</f>
        <v>4038.59</v>
      </c>
      <c r="AB265" s="6">
        <f>ROUND($J265*CIS_Inc_Salary2324*(VLOOKUP($A265,EnrollData2324,'2324 Jun 24 Enroll'!T$1,FALSE)+VLOOKUP($A265,EnrollData2324,'2324 Jun 24 Enroll'!U$1,FALSE)),2)-AA265</f>
        <v>316.94999999999982</v>
      </c>
      <c r="AC265" s="6">
        <f>ROUND($R265*CAS_Base_Salary2324*VLOOKUP($A265,EnrollData2324,'2324 Jun 24 Enroll'!S$1,FALSE),2)</f>
        <v>442.62</v>
      </c>
      <c r="AD265" s="6">
        <f>ROUND($R265*CAS_Inc_Salary2324*VLOOKUP($A265,EnrollData2324,'2324 Jun 24 Enroll'!T$1,FALSE),2)-AC265</f>
        <v>16.379999999999995</v>
      </c>
      <c r="AE265" s="6">
        <f>ROUND($Z265*CLS_Base_Salary2324*VLOOKUP($A265,EnrollData2324,'2324 Jun 24 Enroll'!S$1,FALSE),2)</f>
        <v>907.81</v>
      </c>
      <c r="AF265" s="6">
        <f>ROUND($Z265*CLS_Inc_Salary2324*VLOOKUP($A265,EnrollData2324,'2324 Jun 24 Enroll'!T$1,FALSE),2)-AE265</f>
        <v>33.580000000000041</v>
      </c>
      <c r="AG265">
        <f t="shared" si="76"/>
        <v>734.16</v>
      </c>
      <c r="AH265" s="69">
        <f t="shared" si="67"/>
        <v>68.700000000000045</v>
      </c>
      <c r="AI265">
        <f t="shared" si="77"/>
        <v>214.23</v>
      </c>
      <c r="AJ265">
        <f t="shared" si="68"/>
        <v>114.21000000000001</v>
      </c>
      <c r="AK265">
        <f t="shared" si="69"/>
        <v>805.27</v>
      </c>
      <c r="AL265">
        <f t="shared" si="70"/>
        <v>57.77</v>
      </c>
      <c r="AM265">
        <f t="shared" si="71"/>
        <v>200.26</v>
      </c>
      <c r="AN265">
        <f t="shared" si="72"/>
        <v>6.23</v>
      </c>
      <c r="AO265">
        <f>ROUND(($J265*CIS_Inc_Salary2324*(VLOOKUP($A265,EnrollData2324,'2324 Jun 24 Enroll'!T$1,FALSE)+VLOOKUP($A265,EnrollData2324,'2324 Jun 24 Enroll'!U$1,FALSE))/Apport_613Xpd)*Apport_614Xpd,2)</f>
        <v>72.59</v>
      </c>
      <c r="AP265">
        <f t="shared" si="73"/>
        <v>12.58</v>
      </c>
      <c r="AQ265">
        <f t="shared" si="74"/>
        <v>30.93</v>
      </c>
      <c r="AR265" s="6">
        <f>ROUND((VLOOKUP($A265,EnrollData2324,'2324 Jun 24 Enroll'!D$1,FALSE)*Apport_M802324+VLOOKUP($A265,EnrollData2324,'2324 Jun 24 Enroll'!M$1,FALSE)*Apport_M802324+(VLOOKUP($A265,EnrollData2324,'2324 Jun 24 Enroll'!P$1,FALSE)+VLOOKUP($A265,EnrollData2324,'2324 Jun 24 Enroll'!Q$1,FALSE)+VLOOKUP($A265,EnrollData2324,'2324 Jun 24 Enroll'!R$1,FALSE)+VLOOKUP($A265,EnrollData2324,'2324 Jun 24 Enroll'!I$1,FALSE)+VLOOKUP($A265,EnrollData2324,'2324 Jun 24 Enroll'!N$1,FALSE)+VLOOKUP($A265,EnrollData2324,'2324 Jun 24 Enroll'!O$1,FALSE)+VLOOKUP($A265,EnrollData2324,'2324 Jun 24 Enroll'!K$1,FALSE)+VLOOKUP($A265,EnrollData2324,'2324 Jun 24 Enroll'!L$1,FALSE))*Apport_M812324)/(VLOOKUP($A265,EnrollData2324,'2324 Jun 24 Enroll'!M$1,FALSE)+VLOOKUP($A265,EnrollData2324,'2324 Jun 24 Enroll'!D$1,FALSE)),2)</f>
        <v>1550.23</v>
      </c>
      <c r="AS265" s="7">
        <f t="shared" si="75"/>
        <v>9623.09</v>
      </c>
    </row>
    <row r="266" spans="1:45">
      <c r="A266" s="40" t="s">
        <v>560</v>
      </c>
      <c r="B266" s="40" t="s">
        <v>561</v>
      </c>
      <c r="C266" s="11">
        <f>ROUND((IFERROR((1/IF(VLOOKUP($A266,EnrollData2324,28,FALSE)='District Calculations'!$B$10,VLOOKUP($A266,EnrollData2324,28,FALSE),'District Calculations'!$B$10))*(1+Apport_Z315),0))+Apport_201A2324,6)</f>
        <v>7.3449E-2</v>
      </c>
      <c r="D266">
        <f>ROUND(IF(VLOOKUP($A266,EnrollData2324,'2324 Jun 24 Enroll'!D$1,FALSE)='District Calculations'!$B$11,VLOOKUP($A266,EnrollData2324,'2324 Jun 24 Enroll'!D$1,FALSE),'District Calculations'!$B$11)*C266,3)</f>
        <v>0</v>
      </c>
      <c r="E266">
        <f>ROUND(IF(VLOOKUP($A266,EnrollData2324,'2324 Jun 24 Enroll'!E$1,FALSE)='District Calculations'!$B$12,VLOOKUP($A266,EnrollData2324,'2324 Jun 24 Enroll'!E$1,FALSE),'District Calculations'!$B$12)*C266,3)</f>
        <v>59.53</v>
      </c>
      <c r="F266">
        <f>ROUND(IF(VLOOKUP($A266,EnrollData2324,'2324 Jun 24 Enroll'!F$1,FALSE)='District Calculations'!$B$13,VLOOKUP($A266,EnrollData2324,'2324 Jun 24 Enroll'!F$1,FALSE),'District Calculations'!$B$13)*Apport_222A2324,3)</f>
        <v>10.101000000000001</v>
      </c>
      <c r="G266">
        <f>ROUND(IF(VLOOKUP($A266,EnrollData2324,'2324 Jun 24 Enroll'!G$1,FALSE)='District Calculations'!$B$14,VLOOKUP($A266,EnrollData2324,'2324 Jun 24 Enroll'!G$1,FALSE),'District Calculations'!$B$14)*Apport_210A2324,3)</f>
        <v>22.395</v>
      </c>
      <c r="H266">
        <f>ROUND(IF(VLOOKUP($A266,EnrollData2324,'2324 Jun 24 Enroll'!H$1,FALSE)='District Calculations'!$B$15,VLOOKUP($A266,EnrollData2324,'2324 Jun 24 Enroll'!H$1,FALSE),'District Calculations'!$B$15)*Apport_213A2324,3)</f>
        <v>23.091999999999999</v>
      </c>
      <c r="I266">
        <f>ROUND(IF(VLOOKUP($A266,EnrollData2324,'2324 Jun 24 Enroll'!I$1,FALSE)+VLOOKUP($A266,EnrollData2324,'2324 Jun 24 Enroll'!M$1,FALSE)-VLOOKUP($A266,EnrollData2324,'2324 Jun 24 Enroll'!J$1,FALSE)='District Calculations'!$B$16+'District Calculations'!$B$25-'District Calculations'!$B$17,VLOOKUP($A266,EnrollData2324,'2324 Jun 24 Enroll'!I$1,FALSE)+VLOOKUP($A266,EnrollData2324,'2324 Jun 24 Enroll'!M$1,FALSE)-VLOOKUP($A266,EnrollData2324,'2324 Jun 24 Enroll'!J$1,FALSE),'District Calculations'!$B$16+'District Calculations'!$B$25-'District Calculations'!$B$17)*Apport_216A2324,3)</f>
        <v>58.183999999999997</v>
      </c>
      <c r="J266">
        <f>ROUND(SUM(D266:I266)/(IF(VLOOKUP($A266,EnrollData2324,'2324 Jun 24 Enroll'!M$1,FALSE)='District Calculations'!$B$25,VLOOKUP($A266,EnrollData2324,'2324 Jun 24 Enroll'!M$1,FALSE),'District Calculations'!$B$25)+IF(VLOOKUP($A266,EnrollData2324,'2324 Jun 24 Enroll'!D$1,FALSE)='District Calculations'!$B$11,VLOOKUP($A266,EnrollData2324,'2324 Jun 24 Enroll'!D$1,FALSE),'District Calculations'!$B$11)),5)</f>
        <v>5.5530000000000003E-2</v>
      </c>
      <c r="K266" s="11">
        <f t="shared" si="65"/>
        <v>4.365E-3</v>
      </c>
      <c r="L266">
        <f>ROUND(IF(VLOOKUP($A266,EnrollData2324,'2324 Jun 24 Enroll'!D$1,FALSE)='District Calculations'!$B$11,VLOOKUP($A266,EnrollData2324,'2324 Jun 24 Enroll'!D$1,FALSE),'District Calculations'!$B$11)*K266,3)</f>
        <v>0</v>
      </c>
      <c r="M266">
        <f>ROUND(IF(VLOOKUP($A266,EnrollData2324,'2324 Jun 24 Enroll'!E$1,FALSE)='District Calculations'!$B$12,VLOOKUP($A266,EnrollData2324,'2324 Jun 24 Enroll'!E$1,FALSE),'District Calculations'!$B$12)*K266,3)</f>
        <v>3.5379999999999998</v>
      </c>
      <c r="N266">
        <f>ROUND(IF(VLOOKUP($A266,EnrollData2324,'2324 Jun 24 Enroll'!F$1,FALSE)='District Calculations'!$B$13,VLOOKUP($A266,EnrollData2324,'2324 Jun 24 Enroll'!F$1,FALSE),'District Calculations'!$B$13)*Apport_223A2324,3)</f>
        <v>0.84199999999999997</v>
      </c>
      <c r="O266">
        <f>ROUND(IF(VLOOKUP($A266,EnrollData2324,'2324 Jun 24 Enroll'!G$1,FALSE)='District Calculations'!$B$14,VLOOKUP($A266,EnrollData2324,'2324 Jun 24 Enroll'!G$1,FALSE),'District Calculations'!$B$14)*Apport_211A2324,3)</f>
        <v>1.867</v>
      </c>
      <c r="P266">
        <f>ROUND(IF(VLOOKUP($A266,EnrollData2324,'2324 Jun 24 Enroll'!H$1,FALSE)='District Calculations'!$B$14,VLOOKUP($A266,EnrollData2324,'2324 Jun 24 Enroll'!H$1,FALSE),'District Calculations'!$B$14)*Apport_214A2324,3)</f>
        <v>1.8660000000000001</v>
      </c>
      <c r="Q266">
        <f>ROUND(IF(VLOOKUP($A266,EnrollData2324,'2324 Jun 24 Enroll'!I$1,FALSE)+VLOOKUP($A266,EnrollData2324,'2324 Jun 24 Enroll'!M$1,FALSE)-VLOOKUP($A266,EnrollData2324,'2324 Jun 24 Enroll'!J$1,FALSE)='District Calculations'!$B$16+'District Calculations'!$B$25-'District Calculations'!$B$17,VLOOKUP($A266,EnrollData2324,'2324 Jun 24 Enroll'!I$1,FALSE)+VLOOKUP($A266,EnrollData2324,'2324 Jun 24 Enroll'!M$1,FALSE)-VLOOKUP($A266,EnrollData2324,'2324 Jun 24 Enroll'!J$1,FALSE),'District Calculations'!$B$16+'District Calculations'!$B$25-'District Calculations'!$B$17)*Apport_217A2324,3)</f>
        <v>4.6980000000000004</v>
      </c>
      <c r="R266">
        <f>ROUND(SUM(L266:Q266)/IF(VLOOKUP($A266,EnrollData2324,'2324 Jun 24 Enroll'!M$1,FALSE)+VLOOKUP($A266,EnrollData2324,'2324 Jun 24 Enroll'!D$1,FALSE)='District Calculations'!$B$25+'District Calculations'!$B$11,VLOOKUP($A266,EnrollData2324,'2324 Jun 24 Enroll'!M$1,FALSE)+VLOOKUP($A266,EnrollData2324,'2324 Jun 24 Enroll'!D$1,FALSE),'District Calculations'!$B$25+'District Calculations'!$B$11),5)</f>
        <v>4.1000000000000003E-3</v>
      </c>
      <c r="S266" s="11">
        <f t="shared" si="66"/>
        <v>1.8294500000000002E-2</v>
      </c>
      <c r="T266">
        <f>ROUND(IF(VLOOKUP($A266,EnrollData2324,'2324 Jun 24 Enroll'!D$1,FALSE)='District Calculations'!$B$11,VLOOKUP($A266,EnrollData2324,'2324 Jun 24 Enroll'!D$1,FALSE),'District Calculations'!$B$11)*S266,3)</f>
        <v>0</v>
      </c>
      <c r="U266">
        <f>ROUND(IF(VLOOKUP($A266,EnrollData2324,'2324 Jun 24 Enroll'!E$1,FALSE)='District Calculations'!$B$12,VLOOKUP($A266,EnrollData2324,'2324 Jun 24 Enroll'!E$1,FALSE),'District Calculations'!$B$12)*S266,3)</f>
        <v>14.827999999999999</v>
      </c>
      <c r="V266">
        <f>ROUND(IF(VLOOKUP($A266,EnrollData2324,'2324 Jun 24 Enroll'!F$1,FALSE)='District Calculations'!$B$13,VLOOKUP($A266,EnrollData2324,'2324 Jun 24 Enroll'!F$1,FALSE),'District Calculations'!$B$13)*Apport_224A2324,3)</f>
        <v>3.6190000000000002</v>
      </c>
      <c r="W266">
        <f>ROUND(IF(VLOOKUP($A266,EnrollData2324,'2324 Jun 24 Enroll'!G$1,FALSE)='District Calculations'!$B$14,VLOOKUP($A266,EnrollData2324,'2324 Jun 24 Enroll'!G$1,FALSE),'District Calculations'!$B$14)*Apport_212A2324,3)</f>
        <v>8.0239999999999991</v>
      </c>
      <c r="X266">
        <f>ROUND(IF(VLOOKUP($A266,EnrollData2324,'2324 Jun 24 Enroll'!H$1,FALSE)='District Calculations'!$B$14,VLOOKUP($A266,EnrollData2324,'2324 Jun 24 Enroll'!H$1,FALSE),'District Calculations'!$B$14)*Apport_215A2324,3)</f>
        <v>7.9279999999999999</v>
      </c>
      <c r="Y266">
        <f>ROUND(IF(VLOOKUP($A266,EnrollData2324,'2324 Jun 24 Enroll'!I$1,FALSE)+VLOOKUP($A266,EnrollData2324,'2324 Jun 24 Enroll'!M$1,FALSE)-VLOOKUP($A266,EnrollData2324,'2324 Jun 24 Enroll'!J$1,FALSE)='District Calculations'!$B$16+'District Calculations'!$B$25-'District Calculations'!$B$17,VLOOKUP($A266,EnrollData2324,'2324 Jun 24 Enroll'!I$1,FALSE)+VLOOKUP($A266,EnrollData2324,'2324 Jun 24 Enroll'!M$1,FALSE)-VLOOKUP($A266,EnrollData2324,'2324 Jun 24 Enroll'!J$1,FALSE),'District Calculations'!$B$16+'District Calculations'!$B$25-'District Calculations'!$B$17)*Apport_218A2324,3)</f>
        <v>19.917999999999999</v>
      </c>
      <c r="Z266">
        <f>ROUND(SUM(T266:Y266)/IF(VLOOKUP($A266,EnrollData2324,'2324 Jun 24 Enroll'!M$1,FALSE)+VLOOKUP($A266,EnrollData2324,'2324 Jun 24 Enroll'!D$1,FALSE)='District Calculations'!$B$25+'District Calculations'!$B$11,VLOOKUP($A266,EnrollData2324,'2324 Jun 24 Enroll'!M$1,FALSE)+VLOOKUP($A266,EnrollData2324,'2324 Jun 24 Enroll'!D$1,FALSE),'District Calculations'!$B$25+'District Calculations'!$B$11),5)</f>
        <v>1.7399999999999999E-2</v>
      </c>
      <c r="AA266" s="6">
        <f>ROUND($J266*CIS_Base_Salary2324*VLOOKUP($A266,EnrollData2324,'2324 Jun 24 Enroll'!S$1,FALSE),2)</f>
        <v>4038.59</v>
      </c>
      <c r="AB266" s="6">
        <f>ROUND($J266*CIS_Inc_Salary2324*(VLOOKUP($A266,EnrollData2324,'2324 Jun 24 Enroll'!T$1,FALSE)+VLOOKUP($A266,EnrollData2324,'2324 Jun 24 Enroll'!U$1,FALSE)),2)-AA266</f>
        <v>149.43000000000029</v>
      </c>
      <c r="AC266" s="6">
        <f>ROUND($R266*CAS_Base_Salary2324*VLOOKUP($A266,EnrollData2324,'2324 Jun 24 Enroll'!S$1,FALSE),2)</f>
        <v>442.62</v>
      </c>
      <c r="AD266" s="6">
        <f>ROUND($R266*CAS_Inc_Salary2324*VLOOKUP($A266,EnrollData2324,'2324 Jun 24 Enroll'!T$1,FALSE),2)-AC266</f>
        <v>16.379999999999995</v>
      </c>
      <c r="AE266" s="6">
        <f>ROUND($Z266*CLS_Base_Salary2324*VLOOKUP($A266,EnrollData2324,'2324 Jun 24 Enroll'!S$1,FALSE),2)</f>
        <v>907.81</v>
      </c>
      <c r="AF266" s="6">
        <f>ROUND($Z266*CLS_Inc_Salary2324*VLOOKUP($A266,EnrollData2324,'2324 Jun 24 Enroll'!T$1,FALSE),2)-AE266</f>
        <v>33.580000000000041</v>
      </c>
      <c r="AG266">
        <f t="shared" si="76"/>
        <v>734.16</v>
      </c>
      <c r="AH266" s="69">
        <f t="shared" si="67"/>
        <v>68.700000000000045</v>
      </c>
      <c r="AI266">
        <f t="shared" si="77"/>
        <v>214.23</v>
      </c>
      <c r="AJ266">
        <f t="shared" si="68"/>
        <v>114.21000000000001</v>
      </c>
      <c r="AK266">
        <f t="shared" si="69"/>
        <v>805.27</v>
      </c>
      <c r="AL266">
        <f t="shared" si="70"/>
        <v>28.73</v>
      </c>
      <c r="AM266">
        <f t="shared" si="71"/>
        <v>200.26</v>
      </c>
      <c r="AN266">
        <f t="shared" si="72"/>
        <v>6.23</v>
      </c>
      <c r="AO266">
        <f>ROUND(($J266*CIS_Inc_Salary2324*(VLOOKUP($A266,EnrollData2324,'2324 Jun 24 Enroll'!T$1,FALSE)+VLOOKUP($A266,EnrollData2324,'2324 Jun 24 Enroll'!U$1,FALSE))/Apport_613Xpd)*Apport_614Xpd,2)</f>
        <v>69.8</v>
      </c>
      <c r="AP266">
        <f t="shared" si="73"/>
        <v>12.1</v>
      </c>
      <c r="AQ266">
        <f t="shared" si="74"/>
        <v>30.93</v>
      </c>
      <c r="AR266" s="6">
        <f>ROUND((VLOOKUP($A266,EnrollData2324,'2324 Jun 24 Enroll'!D$1,FALSE)*Apport_M802324+VLOOKUP($A266,EnrollData2324,'2324 Jun 24 Enroll'!M$1,FALSE)*Apport_M802324+(VLOOKUP($A266,EnrollData2324,'2324 Jun 24 Enroll'!P$1,FALSE)+VLOOKUP($A266,EnrollData2324,'2324 Jun 24 Enroll'!Q$1,FALSE)+VLOOKUP($A266,EnrollData2324,'2324 Jun 24 Enroll'!R$1,FALSE)+VLOOKUP($A266,EnrollData2324,'2324 Jun 24 Enroll'!I$1,FALSE)+VLOOKUP($A266,EnrollData2324,'2324 Jun 24 Enroll'!N$1,FALSE)+VLOOKUP($A266,EnrollData2324,'2324 Jun 24 Enroll'!O$1,FALSE)+VLOOKUP($A266,EnrollData2324,'2324 Jun 24 Enroll'!K$1,FALSE)+VLOOKUP($A266,EnrollData2324,'2324 Jun 24 Enroll'!L$1,FALSE))*Apport_M812324)/(VLOOKUP($A266,EnrollData2324,'2324 Jun 24 Enroll'!M$1,FALSE)+VLOOKUP($A266,EnrollData2324,'2324 Jun 24 Enroll'!D$1,FALSE)),2)</f>
        <v>1602.93</v>
      </c>
      <c r="AS266" s="7">
        <f t="shared" si="75"/>
        <v>9475.9599999999991</v>
      </c>
    </row>
    <row r="267" spans="1:45">
      <c r="A267" s="40" t="s">
        <v>803</v>
      </c>
      <c r="B267" s="40" t="s">
        <v>804</v>
      </c>
      <c r="C267" s="11">
        <f>ROUND((IFERROR((1/IF(VLOOKUP($A267,EnrollData2324,28,FALSE)='District Calculations'!$B$10,VLOOKUP($A267,EnrollData2324,28,FALSE),'District Calculations'!$B$10))*(1+Apport_Z315),0))+Apport_201A2324,6)</f>
        <v>7.3449E-2</v>
      </c>
      <c r="D267">
        <f>ROUND(IF(VLOOKUP($A267,EnrollData2324,'2324 Jun 24 Enroll'!D$1,FALSE)='District Calculations'!$B$11,VLOOKUP($A267,EnrollData2324,'2324 Jun 24 Enroll'!D$1,FALSE),'District Calculations'!$B$11)*C267,3)</f>
        <v>0</v>
      </c>
      <c r="E267">
        <f>ROUND(IF(VLOOKUP($A267,EnrollData2324,'2324 Jun 24 Enroll'!E$1,FALSE)='District Calculations'!$B$12,VLOOKUP($A267,EnrollData2324,'2324 Jun 24 Enroll'!E$1,FALSE),'District Calculations'!$B$12)*C267,3)</f>
        <v>59.53</v>
      </c>
      <c r="F267">
        <f>ROUND(IF(VLOOKUP($A267,EnrollData2324,'2324 Jun 24 Enroll'!F$1,FALSE)='District Calculations'!$B$13,VLOOKUP($A267,EnrollData2324,'2324 Jun 24 Enroll'!F$1,FALSE),'District Calculations'!$B$13)*Apport_222A2324,3)</f>
        <v>10.101000000000001</v>
      </c>
      <c r="G267">
        <f>ROUND(IF(VLOOKUP($A267,EnrollData2324,'2324 Jun 24 Enroll'!G$1,FALSE)='District Calculations'!$B$14,VLOOKUP($A267,EnrollData2324,'2324 Jun 24 Enroll'!G$1,FALSE),'District Calculations'!$B$14)*Apport_210A2324,3)</f>
        <v>22.395</v>
      </c>
      <c r="H267">
        <f>ROUND(IF(VLOOKUP($A267,EnrollData2324,'2324 Jun 24 Enroll'!H$1,FALSE)='District Calculations'!$B$15,VLOOKUP($A267,EnrollData2324,'2324 Jun 24 Enroll'!H$1,FALSE),'District Calculations'!$B$15)*Apport_213A2324,3)</f>
        <v>23.091999999999999</v>
      </c>
      <c r="I267">
        <f>ROUND(IF(VLOOKUP($A267,EnrollData2324,'2324 Jun 24 Enroll'!I$1,FALSE)+VLOOKUP($A267,EnrollData2324,'2324 Jun 24 Enroll'!M$1,FALSE)-VLOOKUP($A267,EnrollData2324,'2324 Jun 24 Enroll'!J$1,FALSE)='District Calculations'!$B$16+'District Calculations'!$B$25-'District Calculations'!$B$17,VLOOKUP($A267,EnrollData2324,'2324 Jun 24 Enroll'!I$1,FALSE)+VLOOKUP($A267,EnrollData2324,'2324 Jun 24 Enroll'!M$1,FALSE)-VLOOKUP($A267,EnrollData2324,'2324 Jun 24 Enroll'!J$1,FALSE),'District Calculations'!$B$16+'District Calculations'!$B$25-'District Calculations'!$B$17)*Apport_216A2324,3)</f>
        <v>58.183999999999997</v>
      </c>
      <c r="J267">
        <f>ROUND(SUM(D267:I267)/(IF(VLOOKUP($A267,EnrollData2324,'2324 Jun 24 Enroll'!M$1,FALSE)='District Calculations'!$B$25,VLOOKUP($A267,EnrollData2324,'2324 Jun 24 Enroll'!M$1,FALSE),'District Calculations'!$B$25)+IF(VLOOKUP($A267,EnrollData2324,'2324 Jun 24 Enroll'!D$1,FALSE)='District Calculations'!$B$11,VLOOKUP($A267,EnrollData2324,'2324 Jun 24 Enroll'!D$1,FALSE),'District Calculations'!$B$11)),5)</f>
        <v>5.5530000000000003E-2</v>
      </c>
      <c r="K267" s="11">
        <f t="shared" si="65"/>
        <v>4.365E-3</v>
      </c>
      <c r="L267">
        <f>ROUND(IF(VLOOKUP($A267,EnrollData2324,'2324 Jun 24 Enroll'!D$1,FALSE)='District Calculations'!$B$11,VLOOKUP($A267,EnrollData2324,'2324 Jun 24 Enroll'!D$1,FALSE),'District Calculations'!$B$11)*K267,3)</f>
        <v>0</v>
      </c>
      <c r="M267">
        <f>ROUND(IF(VLOOKUP($A267,EnrollData2324,'2324 Jun 24 Enroll'!E$1,FALSE)='District Calculations'!$B$12,VLOOKUP($A267,EnrollData2324,'2324 Jun 24 Enroll'!E$1,FALSE),'District Calculations'!$B$12)*K267,3)</f>
        <v>3.5379999999999998</v>
      </c>
      <c r="N267">
        <f>ROUND(IF(VLOOKUP($A267,EnrollData2324,'2324 Jun 24 Enroll'!F$1,FALSE)='District Calculations'!$B$13,VLOOKUP($A267,EnrollData2324,'2324 Jun 24 Enroll'!F$1,FALSE),'District Calculations'!$B$13)*Apport_223A2324,3)</f>
        <v>0.84199999999999997</v>
      </c>
      <c r="O267">
        <f>ROUND(IF(VLOOKUP($A267,EnrollData2324,'2324 Jun 24 Enroll'!G$1,FALSE)='District Calculations'!$B$14,VLOOKUP($A267,EnrollData2324,'2324 Jun 24 Enroll'!G$1,FALSE),'District Calculations'!$B$14)*Apport_211A2324,3)</f>
        <v>1.867</v>
      </c>
      <c r="P267">
        <f>ROUND(IF(VLOOKUP($A267,EnrollData2324,'2324 Jun 24 Enroll'!H$1,FALSE)='District Calculations'!$B$14,VLOOKUP($A267,EnrollData2324,'2324 Jun 24 Enroll'!H$1,FALSE),'District Calculations'!$B$14)*Apport_214A2324,3)</f>
        <v>1.8660000000000001</v>
      </c>
      <c r="Q267">
        <f>ROUND(IF(VLOOKUP($A267,EnrollData2324,'2324 Jun 24 Enroll'!I$1,FALSE)+VLOOKUP($A267,EnrollData2324,'2324 Jun 24 Enroll'!M$1,FALSE)-VLOOKUP($A267,EnrollData2324,'2324 Jun 24 Enroll'!J$1,FALSE)='District Calculations'!$B$16+'District Calculations'!$B$25-'District Calculations'!$B$17,VLOOKUP($A267,EnrollData2324,'2324 Jun 24 Enroll'!I$1,FALSE)+VLOOKUP($A267,EnrollData2324,'2324 Jun 24 Enroll'!M$1,FALSE)-VLOOKUP($A267,EnrollData2324,'2324 Jun 24 Enroll'!J$1,FALSE),'District Calculations'!$B$16+'District Calculations'!$B$25-'District Calculations'!$B$17)*Apport_217A2324,3)</f>
        <v>4.6980000000000004</v>
      </c>
      <c r="R267">
        <f>ROUND(SUM(L267:Q267)/IF(VLOOKUP($A267,EnrollData2324,'2324 Jun 24 Enroll'!M$1,FALSE)+VLOOKUP($A267,EnrollData2324,'2324 Jun 24 Enroll'!D$1,FALSE)='District Calculations'!$B$25+'District Calculations'!$B$11,VLOOKUP($A267,EnrollData2324,'2324 Jun 24 Enroll'!M$1,FALSE)+VLOOKUP($A267,EnrollData2324,'2324 Jun 24 Enroll'!D$1,FALSE),'District Calculations'!$B$25+'District Calculations'!$B$11),5)</f>
        <v>4.1000000000000003E-3</v>
      </c>
      <c r="S267" s="11">
        <f t="shared" si="66"/>
        <v>1.8294500000000002E-2</v>
      </c>
      <c r="T267">
        <f>ROUND(IF(VLOOKUP($A267,EnrollData2324,'2324 Jun 24 Enroll'!D$1,FALSE)='District Calculations'!$B$11,VLOOKUP($A267,EnrollData2324,'2324 Jun 24 Enroll'!D$1,FALSE),'District Calculations'!$B$11)*S267,3)</f>
        <v>0</v>
      </c>
      <c r="U267">
        <f>ROUND(IF(VLOOKUP($A267,EnrollData2324,'2324 Jun 24 Enroll'!E$1,FALSE)='District Calculations'!$B$12,VLOOKUP($A267,EnrollData2324,'2324 Jun 24 Enroll'!E$1,FALSE),'District Calculations'!$B$12)*S267,3)</f>
        <v>14.827999999999999</v>
      </c>
      <c r="V267">
        <f>ROUND(IF(VLOOKUP($A267,EnrollData2324,'2324 Jun 24 Enroll'!F$1,FALSE)='District Calculations'!$B$13,VLOOKUP($A267,EnrollData2324,'2324 Jun 24 Enroll'!F$1,FALSE),'District Calculations'!$B$13)*Apport_224A2324,3)</f>
        <v>3.6190000000000002</v>
      </c>
      <c r="W267">
        <f>ROUND(IF(VLOOKUP($A267,EnrollData2324,'2324 Jun 24 Enroll'!G$1,FALSE)='District Calculations'!$B$14,VLOOKUP($A267,EnrollData2324,'2324 Jun 24 Enroll'!G$1,FALSE),'District Calculations'!$B$14)*Apport_212A2324,3)</f>
        <v>8.0239999999999991</v>
      </c>
      <c r="X267">
        <f>ROUND(IF(VLOOKUP($A267,EnrollData2324,'2324 Jun 24 Enroll'!H$1,FALSE)='District Calculations'!$B$14,VLOOKUP($A267,EnrollData2324,'2324 Jun 24 Enroll'!H$1,FALSE),'District Calculations'!$B$14)*Apport_215A2324,3)</f>
        <v>7.9279999999999999</v>
      </c>
      <c r="Y267">
        <f>ROUND(IF(VLOOKUP($A267,EnrollData2324,'2324 Jun 24 Enroll'!I$1,FALSE)+VLOOKUP($A267,EnrollData2324,'2324 Jun 24 Enroll'!M$1,FALSE)-VLOOKUP($A267,EnrollData2324,'2324 Jun 24 Enroll'!J$1,FALSE)='District Calculations'!$B$16+'District Calculations'!$B$25-'District Calculations'!$B$17,VLOOKUP($A267,EnrollData2324,'2324 Jun 24 Enroll'!I$1,FALSE)+VLOOKUP($A267,EnrollData2324,'2324 Jun 24 Enroll'!M$1,FALSE)-VLOOKUP($A267,EnrollData2324,'2324 Jun 24 Enroll'!J$1,FALSE),'District Calculations'!$B$16+'District Calculations'!$B$25-'District Calculations'!$B$17)*Apport_218A2324,3)</f>
        <v>19.917999999999999</v>
      </c>
      <c r="Z267">
        <f>ROUND(SUM(T267:Y267)/IF(VLOOKUP($A267,EnrollData2324,'2324 Jun 24 Enroll'!M$1,FALSE)+VLOOKUP($A267,EnrollData2324,'2324 Jun 24 Enroll'!D$1,FALSE)='District Calculations'!$B$25+'District Calculations'!$B$11,VLOOKUP($A267,EnrollData2324,'2324 Jun 24 Enroll'!M$1,FALSE)+VLOOKUP($A267,EnrollData2324,'2324 Jun 24 Enroll'!D$1,FALSE),'District Calculations'!$B$25+'District Calculations'!$B$11),5)</f>
        <v>1.7399999999999999E-2</v>
      </c>
      <c r="AA267" s="6">
        <f>ROUND($J267*CIS_Base_Salary2324*VLOOKUP($A267,EnrollData2324,'2324 Jun 24 Enroll'!S$1,FALSE),2)</f>
        <v>4038.59</v>
      </c>
      <c r="AB267" s="6">
        <f>ROUND($J267*CIS_Inc_Salary2324*(VLOOKUP($A267,EnrollData2324,'2324 Jun 24 Enroll'!T$1,FALSE)+VLOOKUP($A267,EnrollData2324,'2324 Jun 24 Enroll'!U$1,FALSE)),2)-AA267</f>
        <v>149.43000000000029</v>
      </c>
      <c r="AC267" s="6">
        <f>ROUND($R267*CAS_Base_Salary2324*VLOOKUP($A267,EnrollData2324,'2324 Jun 24 Enroll'!S$1,FALSE),2)</f>
        <v>442.62</v>
      </c>
      <c r="AD267" s="6">
        <f>ROUND($R267*CAS_Inc_Salary2324*VLOOKUP($A267,EnrollData2324,'2324 Jun 24 Enroll'!T$1,FALSE),2)-AC267</f>
        <v>16.379999999999995</v>
      </c>
      <c r="AE267" s="6">
        <f>ROUND($Z267*CLS_Base_Salary2324*VLOOKUP($A267,EnrollData2324,'2324 Jun 24 Enroll'!S$1,FALSE),2)</f>
        <v>907.81</v>
      </c>
      <c r="AF267" s="6">
        <f>ROUND($Z267*CLS_Inc_Salary2324*VLOOKUP($A267,EnrollData2324,'2324 Jun 24 Enroll'!T$1,FALSE),2)-AE267</f>
        <v>33.580000000000041</v>
      </c>
      <c r="AG267">
        <f t="shared" si="76"/>
        <v>734.16</v>
      </c>
      <c r="AH267" s="69">
        <f t="shared" si="67"/>
        <v>68.700000000000045</v>
      </c>
      <c r="AI267">
        <f t="shared" si="77"/>
        <v>214.23</v>
      </c>
      <c r="AJ267">
        <f t="shared" si="68"/>
        <v>114.21000000000001</v>
      </c>
      <c r="AK267">
        <f t="shared" si="69"/>
        <v>805.27</v>
      </c>
      <c r="AL267">
        <f t="shared" si="70"/>
        <v>28.73</v>
      </c>
      <c r="AM267">
        <f t="shared" si="71"/>
        <v>200.26</v>
      </c>
      <c r="AN267">
        <f t="shared" si="72"/>
        <v>6.23</v>
      </c>
      <c r="AO267">
        <f>ROUND(($J267*CIS_Inc_Salary2324*(VLOOKUP($A267,EnrollData2324,'2324 Jun 24 Enroll'!T$1,FALSE)+VLOOKUP($A267,EnrollData2324,'2324 Jun 24 Enroll'!U$1,FALSE))/Apport_613Xpd)*Apport_614Xpd,2)</f>
        <v>69.8</v>
      </c>
      <c r="AP267">
        <f t="shared" si="73"/>
        <v>12.1</v>
      </c>
      <c r="AQ267">
        <f t="shared" si="74"/>
        <v>30.93</v>
      </c>
      <c r="AR267" s="6">
        <f>ROUND((VLOOKUP($A267,EnrollData2324,'2324 Jun 24 Enroll'!D$1,FALSE)*Apport_M802324+VLOOKUP($A267,EnrollData2324,'2324 Jun 24 Enroll'!M$1,FALSE)*Apport_M802324+(VLOOKUP($A267,EnrollData2324,'2324 Jun 24 Enroll'!P$1,FALSE)+VLOOKUP($A267,EnrollData2324,'2324 Jun 24 Enroll'!Q$1,FALSE)+VLOOKUP($A267,EnrollData2324,'2324 Jun 24 Enroll'!R$1,FALSE)+VLOOKUP($A267,EnrollData2324,'2324 Jun 24 Enroll'!I$1,FALSE)+VLOOKUP($A267,EnrollData2324,'2324 Jun 24 Enroll'!N$1,FALSE)+VLOOKUP($A267,EnrollData2324,'2324 Jun 24 Enroll'!O$1,FALSE)+VLOOKUP($A267,EnrollData2324,'2324 Jun 24 Enroll'!K$1,FALSE)+VLOOKUP($A267,EnrollData2324,'2324 Jun 24 Enroll'!L$1,FALSE))*Apport_M812324)/(VLOOKUP($A267,EnrollData2324,'2324 Jun 24 Enroll'!M$1,FALSE)+VLOOKUP($A267,EnrollData2324,'2324 Jun 24 Enroll'!D$1,FALSE)),2)</f>
        <v>1483.44</v>
      </c>
      <c r="AS267" s="7">
        <f t="shared" si="75"/>
        <v>9356.4699999999993</v>
      </c>
    </row>
    <row r="268" spans="1:45">
      <c r="A268" s="40" t="s">
        <v>462</v>
      </c>
      <c r="B268" s="40" t="s">
        <v>463</v>
      </c>
      <c r="C268" s="11">
        <f>ROUND((IFERROR((1/IF(VLOOKUP($A268,EnrollData2324,28,FALSE)='District Calculations'!$B$10,VLOOKUP($A268,EnrollData2324,28,FALSE),'District Calculations'!$B$10))*(1+Apport_Z315),0))+Apport_201A2324,6)</f>
        <v>7.3449E-2</v>
      </c>
      <c r="D268">
        <f>ROUND(IF(VLOOKUP($A268,EnrollData2324,'2324 Jun 24 Enroll'!D$1,FALSE)='District Calculations'!$B$11,VLOOKUP($A268,EnrollData2324,'2324 Jun 24 Enroll'!D$1,FALSE),'District Calculations'!$B$11)*C268,3)</f>
        <v>0</v>
      </c>
      <c r="E268">
        <f>ROUND(IF(VLOOKUP($A268,EnrollData2324,'2324 Jun 24 Enroll'!E$1,FALSE)='District Calculations'!$B$12,VLOOKUP($A268,EnrollData2324,'2324 Jun 24 Enroll'!E$1,FALSE),'District Calculations'!$B$12)*C268,3)</f>
        <v>59.53</v>
      </c>
      <c r="F268">
        <f>ROUND(IF(VLOOKUP($A268,EnrollData2324,'2324 Jun 24 Enroll'!F$1,FALSE)='District Calculations'!$B$13,VLOOKUP($A268,EnrollData2324,'2324 Jun 24 Enroll'!F$1,FALSE),'District Calculations'!$B$13)*Apport_222A2324,3)</f>
        <v>10.101000000000001</v>
      </c>
      <c r="G268">
        <f>ROUND(IF(VLOOKUP($A268,EnrollData2324,'2324 Jun 24 Enroll'!G$1,FALSE)='District Calculations'!$B$14,VLOOKUP($A268,EnrollData2324,'2324 Jun 24 Enroll'!G$1,FALSE),'District Calculations'!$B$14)*Apport_210A2324,3)</f>
        <v>22.395</v>
      </c>
      <c r="H268">
        <f>ROUND(IF(VLOOKUP($A268,EnrollData2324,'2324 Jun 24 Enroll'!H$1,FALSE)='District Calculations'!$B$15,VLOOKUP($A268,EnrollData2324,'2324 Jun 24 Enroll'!H$1,FALSE),'District Calculations'!$B$15)*Apport_213A2324,3)</f>
        <v>23.091999999999999</v>
      </c>
      <c r="I268">
        <f>ROUND(IF(VLOOKUP($A268,EnrollData2324,'2324 Jun 24 Enroll'!I$1,FALSE)+VLOOKUP($A268,EnrollData2324,'2324 Jun 24 Enroll'!M$1,FALSE)-VLOOKUP($A268,EnrollData2324,'2324 Jun 24 Enroll'!J$1,FALSE)='District Calculations'!$B$16+'District Calculations'!$B$25-'District Calculations'!$B$17,VLOOKUP($A268,EnrollData2324,'2324 Jun 24 Enroll'!I$1,FALSE)+VLOOKUP($A268,EnrollData2324,'2324 Jun 24 Enroll'!M$1,FALSE)-VLOOKUP($A268,EnrollData2324,'2324 Jun 24 Enroll'!J$1,FALSE),'District Calculations'!$B$16+'District Calculations'!$B$25-'District Calculations'!$B$17)*Apport_216A2324,3)</f>
        <v>58.183999999999997</v>
      </c>
      <c r="J268">
        <f>ROUND(SUM(D268:I268)/(IF(VLOOKUP($A268,EnrollData2324,'2324 Jun 24 Enroll'!M$1,FALSE)='District Calculations'!$B$25,VLOOKUP($A268,EnrollData2324,'2324 Jun 24 Enroll'!M$1,FALSE),'District Calculations'!$B$25)+IF(VLOOKUP($A268,EnrollData2324,'2324 Jun 24 Enroll'!D$1,FALSE)='District Calculations'!$B$11,VLOOKUP($A268,EnrollData2324,'2324 Jun 24 Enroll'!D$1,FALSE),'District Calculations'!$B$11)),5)</f>
        <v>5.5530000000000003E-2</v>
      </c>
      <c r="K268" s="11">
        <f t="shared" si="65"/>
        <v>4.365E-3</v>
      </c>
      <c r="L268">
        <f>ROUND(IF(VLOOKUP($A268,EnrollData2324,'2324 Jun 24 Enroll'!D$1,FALSE)='District Calculations'!$B$11,VLOOKUP($A268,EnrollData2324,'2324 Jun 24 Enroll'!D$1,FALSE),'District Calculations'!$B$11)*K268,3)</f>
        <v>0</v>
      </c>
      <c r="M268">
        <f>ROUND(IF(VLOOKUP($A268,EnrollData2324,'2324 Jun 24 Enroll'!E$1,FALSE)='District Calculations'!$B$12,VLOOKUP($A268,EnrollData2324,'2324 Jun 24 Enroll'!E$1,FALSE),'District Calculations'!$B$12)*K268,3)</f>
        <v>3.5379999999999998</v>
      </c>
      <c r="N268">
        <f>ROUND(IF(VLOOKUP($A268,EnrollData2324,'2324 Jun 24 Enroll'!F$1,FALSE)='District Calculations'!$B$13,VLOOKUP($A268,EnrollData2324,'2324 Jun 24 Enroll'!F$1,FALSE),'District Calculations'!$B$13)*Apport_223A2324,3)</f>
        <v>0.84199999999999997</v>
      </c>
      <c r="O268">
        <f>ROUND(IF(VLOOKUP($A268,EnrollData2324,'2324 Jun 24 Enroll'!G$1,FALSE)='District Calculations'!$B$14,VLOOKUP($A268,EnrollData2324,'2324 Jun 24 Enroll'!G$1,FALSE),'District Calculations'!$B$14)*Apport_211A2324,3)</f>
        <v>1.867</v>
      </c>
      <c r="P268">
        <f>ROUND(IF(VLOOKUP($A268,EnrollData2324,'2324 Jun 24 Enroll'!H$1,FALSE)='District Calculations'!$B$14,VLOOKUP($A268,EnrollData2324,'2324 Jun 24 Enroll'!H$1,FALSE),'District Calculations'!$B$14)*Apport_214A2324,3)</f>
        <v>1.8660000000000001</v>
      </c>
      <c r="Q268">
        <f>ROUND(IF(VLOOKUP($A268,EnrollData2324,'2324 Jun 24 Enroll'!I$1,FALSE)+VLOOKUP($A268,EnrollData2324,'2324 Jun 24 Enroll'!M$1,FALSE)-VLOOKUP($A268,EnrollData2324,'2324 Jun 24 Enroll'!J$1,FALSE)='District Calculations'!$B$16+'District Calculations'!$B$25-'District Calculations'!$B$17,VLOOKUP($A268,EnrollData2324,'2324 Jun 24 Enroll'!I$1,FALSE)+VLOOKUP($A268,EnrollData2324,'2324 Jun 24 Enroll'!M$1,FALSE)-VLOOKUP($A268,EnrollData2324,'2324 Jun 24 Enroll'!J$1,FALSE),'District Calculations'!$B$16+'District Calculations'!$B$25-'District Calculations'!$B$17)*Apport_217A2324,3)</f>
        <v>4.6980000000000004</v>
      </c>
      <c r="R268">
        <f>ROUND(SUM(L268:Q268)/IF(VLOOKUP($A268,EnrollData2324,'2324 Jun 24 Enroll'!M$1,FALSE)+VLOOKUP($A268,EnrollData2324,'2324 Jun 24 Enroll'!D$1,FALSE)='District Calculations'!$B$25+'District Calculations'!$B$11,VLOOKUP($A268,EnrollData2324,'2324 Jun 24 Enroll'!M$1,FALSE)+VLOOKUP($A268,EnrollData2324,'2324 Jun 24 Enroll'!D$1,FALSE),'District Calculations'!$B$25+'District Calculations'!$B$11),5)</f>
        <v>4.1000000000000003E-3</v>
      </c>
      <c r="S268" s="11">
        <f t="shared" si="66"/>
        <v>1.8294500000000002E-2</v>
      </c>
      <c r="T268">
        <f>ROUND(IF(VLOOKUP($A268,EnrollData2324,'2324 Jun 24 Enroll'!D$1,FALSE)='District Calculations'!$B$11,VLOOKUP($A268,EnrollData2324,'2324 Jun 24 Enroll'!D$1,FALSE),'District Calculations'!$B$11)*S268,3)</f>
        <v>0</v>
      </c>
      <c r="U268">
        <f>ROUND(IF(VLOOKUP($A268,EnrollData2324,'2324 Jun 24 Enroll'!E$1,FALSE)='District Calculations'!$B$12,VLOOKUP($A268,EnrollData2324,'2324 Jun 24 Enroll'!E$1,FALSE),'District Calculations'!$B$12)*S268,3)</f>
        <v>14.827999999999999</v>
      </c>
      <c r="V268">
        <f>ROUND(IF(VLOOKUP($A268,EnrollData2324,'2324 Jun 24 Enroll'!F$1,FALSE)='District Calculations'!$B$13,VLOOKUP($A268,EnrollData2324,'2324 Jun 24 Enroll'!F$1,FALSE),'District Calculations'!$B$13)*Apport_224A2324,3)</f>
        <v>3.6190000000000002</v>
      </c>
      <c r="W268">
        <f>ROUND(IF(VLOOKUP($A268,EnrollData2324,'2324 Jun 24 Enroll'!G$1,FALSE)='District Calculations'!$B$14,VLOOKUP($A268,EnrollData2324,'2324 Jun 24 Enroll'!G$1,FALSE),'District Calculations'!$B$14)*Apport_212A2324,3)</f>
        <v>8.0239999999999991</v>
      </c>
      <c r="X268">
        <f>ROUND(IF(VLOOKUP($A268,EnrollData2324,'2324 Jun 24 Enroll'!H$1,FALSE)='District Calculations'!$B$14,VLOOKUP($A268,EnrollData2324,'2324 Jun 24 Enroll'!H$1,FALSE),'District Calculations'!$B$14)*Apport_215A2324,3)</f>
        <v>7.9279999999999999</v>
      </c>
      <c r="Y268">
        <f>ROUND(IF(VLOOKUP($A268,EnrollData2324,'2324 Jun 24 Enroll'!I$1,FALSE)+VLOOKUP($A268,EnrollData2324,'2324 Jun 24 Enroll'!M$1,FALSE)-VLOOKUP($A268,EnrollData2324,'2324 Jun 24 Enroll'!J$1,FALSE)='District Calculations'!$B$16+'District Calculations'!$B$25-'District Calculations'!$B$17,VLOOKUP($A268,EnrollData2324,'2324 Jun 24 Enroll'!I$1,FALSE)+VLOOKUP($A268,EnrollData2324,'2324 Jun 24 Enroll'!M$1,FALSE)-VLOOKUP($A268,EnrollData2324,'2324 Jun 24 Enroll'!J$1,FALSE),'District Calculations'!$B$16+'District Calculations'!$B$25-'District Calculations'!$B$17)*Apport_218A2324,3)</f>
        <v>19.917999999999999</v>
      </c>
      <c r="Z268">
        <f>ROUND(SUM(T268:Y268)/IF(VLOOKUP($A268,EnrollData2324,'2324 Jun 24 Enroll'!M$1,FALSE)+VLOOKUP($A268,EnrollData2324,'2324 Jun 24 Enroll'!D$1,FALSE)='District Calculations'!$B$25+'District Calculations'!$B$11,VLOOKUP($A268,EnrollData2324,'2324 Jun 24 Enroll'!M$1,FALSE)+VLOOKUP($A268,EnrollData2324,'2324 Jun 24 Enroll'!D$1,FALSE),'District Calculations'!$B$25+'District Calculations'!$B$11),5)</f>
        <v>1.7399999999999999E-2</v>
      </c>
      <c r="AA268" s="6">
        <f>ROUND($J268*CIS_Base_Salary2324*VLOOKUP($A268,EnrollData2324,'2324 Jun 24 Enroll'!S$1,FALSE),2)</f>
        <v>4038.59</v>
      </c>
      <c r="AB268" s="6">
        <f>ROUND($J268*CIS_Inc_Salary2324*(VLOOKUP($A268,EnrollData2324,'2324 Jun 24 Enroll'!T$1,FALSE)+VLOOKUP($A268,EnrollData2324,'2324 Jun 24 Enroll'!U$1,FALSE)),2)-AA268</f>
        <v>149.43000000000029</v>
      </c>
      <c r="AC268" s="6">
        <f>ROUND($R268*CAS_Base_Salary2324*VLOOKUP($A268,EnrollData2324,'2324 Jun 24 Enroll'!S$1,FALSE),2)</f>
        <v>442.62</v>
      </c>
      <c r="AD268" s="6">
        <f>ROUND($R268*CAS_Inc_Salary2324*VLOOKUP($A268,EnrollData2324,'2324 Jun 24 Enroll'!T$1,FALSE),2)-AC268</f>
        <v>16.379999999999995</v>
      </c>
      <c r="AE268" s="6">
        <f>ROUND($Z268*CLS_Base_Salary2324*VLOOKUP($A268,EnrollData2324,'2324 Jun 24 Enroll'!S$1,FALSE),2)</f>
        <v>907.81</v>
      </c>
      <c r="AF268" s="6">
        <f>ROUND($Z268*CLS_Inc_Salary2324*VLOOKUP($A268,EnrollData2324,'2324 Jun 24 Enroll'!T$1,FALSE),2)-AE268</f>
        <v>33.580000000000041</v>
      </c>
      <c r="AG268">
        <f t="shared" si="76"/>
        <v>734.16</v>
      </c>
      <c r="AH268" s="69">
        <f t="shared" si="67"/>
        <v>68.700000000000045</v>
      </c>
      <c r="AI268">
        <f t="shared" si="77"/>
        <v>214.23</v>
      </c>
      <c r="AJ268">
        <f t="shared" si="68"/>
        <v>114.21000000000001</v>
      </c>
      <c r="AK268">
        <f t="shared" si="69"/>
        <v>805.27</v>
      </c>
      <c r="AL268">
        <f t="shared" si="70"/>
        <v>28.73</v>
      </c>
      <c r="AM268">
        <f t="shared" si="71"/>
        <v>200.26</v>
      </c>
      <c r="AN268">
        <f t="shared" si="72"/>
        <v>6.23</v>
      </c>
      <c r="AO268">
        <f>ROUND(($J268*CIS_Inc_Salary2324*(VLOOKUP($A268,EnrollData2324,'2324 Jun 24 Enroll'!T$1,FALSE)+VLOOKUP($A268,EnrollData2324,'2324 Jun 24 Enroll'!U$1,FALSE))/Apport_613Xpd)*Apport_614Xpd,2)</f>
        <v>69.8</v>
      </c>
      <c r="AP268">
        <f t="shared" si="73"/>
        <v>12.1</v>
      </c>
      <c r="AQ268">
        <f t="shared" si="74"/>
        <v>30.93</v>
      </c>
      <c r="AR268" s="6">
        <f>ROUND((VLOOKUP($A268,EnrollData2324,'2324 Jun 24 Enroll'!D$1,FALSE)*Apport_M802324+VLOOKUP($A268,EnrollData2324,'2324 Jun 24 Enroll'!M$1,FALSE)*Apport_M802324+(VLOOKUP($A268,EnrollData2324,'2324 Jun 24 Enroll'!P$1,FALSE)+VLOOKUP($A268,EnrollData2324,'2324 Jun 24 Enroll'!Q$1,FALSE)+VLOOKUP($A268,EnrollData2324,'2324 Jun 24 Enroll'!R$1,FALSE)+VLOOKUP($A268,EnrollData2324,'2324 Jun 24 Enroll'!I$1,FALSE)+VLOOKUP($A268,EnrollData2324,'2324 Jun 24 Enroll'!N$1,FALSE)+VLOOKUP($A268,EnrollData2324,'2324 Jun 24 Enroll'!O$1,FALSE)+VLOOKUP($A268,EnrollData2324,'2324 Jun 24 Enroll'!K$1,FALSE)+VLOOKUP($A268,EnrollData2324,'2324 Jun 24 Enroll'!L$1,FALSE))*Apport_M812324)/(VLOOKUP($A268,EnrollData2324,'2324 Jun 24 Enroll'!M$1,FALSE)+VLOOKUP($A268,EnrollData2324,'2324 Jun 24 Enroll'!D$1,FALSE)),2)</f>
        <v>1483.44</v>
      </c>
      <c r="AS268" s="7">
        <f t="shared" si="75"/>
        <v>9356.4699999999993</v>
      </c>
    </row>
    <row r="269" spans="1:45">
      <c r="A269" s="40" t="s">
        <v>396</v>
      </c>
      <c r="B269" s="40" t="s">
        <v>397</v>
      </c>
      <c r="C269" s="11">
        <f>ROUND((IFERROR((1/IF(VLOOKUP($A269,EnrollData2324,28,FALSE)='District Calculations'!$B$10,VLOOKUP($A269,EnrollData2324,28,FALSE),'District Calculations'!$B$10))*(1+Apport_Z315),0))+Apport_201A2324,6)</f>
        <v>7.3449E-2</v>
      </c>
      <c r="D269">
        <f>ROUND(IF(VLOOKUP($A269,EnrollData2324,'2324 Jun 24 Enroll'!D$1,FALSE)='District Calculations'!$B$11,VLOOKUP($A269,EnrollData2324,'2324 Jun 24 Enroll'!D$1,FALSE),'District Calculations'!$B$11)*C269,3)</f>
        <v>0</v>
      </c>
      <c r="E269">
        <f>ROUND(IF(VLOOKUP($A269,EnrollData2324,'2324 Jun 24 Enroll'!E$1,FALSE)='District Calculations'!$B$12,VLOOKUP($A269,EnrollData2324,'2324 Jun 24 Enroll'!E$1,FALSE),'District Calculations'!$B$12)*C269,3)</f>
        <v>59.53</v>
      </c>
      <c r="F269">
        <f>ROUND(IF(VLOOKUP($A269,EnrollData2324,'2324 Jun 24 Enroll'!F$1,FALSE)='District Calculations'!$B$13,VLOOKUP($A269,EnrollData2324,'2324 Jun 24 Enroll'!F$1,FALSE),'District Calculations'!$B$13)*Apport_222A2324,3)</f>
        <v>10.101000000000001</v>
      </c>
      <c r="G269">
        <f>ROUND(IF(VLOOKUP($A269,EnrollData2324,'2324 Jun 24 Enroll'!G$1,FALSE)='District Calculations'!$B$14,VLOOKUP($A269,EnrollData2324,'2324 Jun 24 Enroll'!G$1,FALSE),'District Calculations'!$B$14)*Apport_210A2324,3)</f>
        <v>22.395</v>
      </c>
      <c r="H269">
        <f>ROUND(IF(VLOOKUP($A269,EnrollData2324,'2324 Jun 24 Enroll'!H$1,FALSE)='District Calculations'!$B$15,VLOOKUP($A269,EnrollData2324,'2324 Jun 24 Enroll'!H$1,FALSE),'District Calculations'!$B$15)*Apport_213A2324,3)</f>
        <v>23.091999999999999</v>
      </c>
      <c r="I269">
        <f>ROUND(IF(VLOOKUP($A269,EnrollData2324,'2324 Jun 24 Enroll'!I$1,FALSE)+VLOOKUP($A269,EnrollData2324,'2324 Jun 24 Enroll'!M$1,FALSE)-VLOOKUP($A269,EnrollData2324,'2324 Jun 24 Enroll'!J$1,FALSE)='District Calculations'!$B$16+'District Calculations'!$B$25-'District Calculations'!$B$17,VLOOKUP($A269,EnrollData2324,'2324 Jun 24 Enroll'!I$1,FALSE)+VLOOKUP($A269,EnrollData2324,'2324 Jun 24 Enroll'!M$1,FALSE)-VLOOKUP($A269,EnrollData2324,'2324 Jun 24 Enroll'!J$1,FALSE),'District Calculations'!$B$16+'District Calculations'!$B$25-'District Calculations'!$B$17)*Apport_216A2324,3)</f>
        <v>58.183999999999997</v>
      </c>
      <c r="J269">
        <f>ROUND(SUM(D269:I269)/(IF(VLOOKUP($A269,EnrollData2324,'2324 Jun 24 Enroll'!M$1,FALSE)='District Calculations'!$B$25,VLOOKUP($A269,EnrollData2324,'2324 Jun 24 Enroll'!M$1,FALSE),'District Calculations'!$B$25)+IF(VLOOKUP($A269,EnrollData2324,'2324 Jun 24 Enroll'!D$1,FALSE)='District Calculations'!$B$11,VLOOKUP($A269,EnrollData2324,'2324 Jun 24 Enroll'!D$1,FALSE),'District Calculations'!$B$11)),5)</f>
        <v>5.5530000000000003E-2</v>
      </c>
      <c r="K269" s="11">
        <f t="shared" si="65"/>
        <v>4.365E-3</v>
      </c>
      <c r="L269">
        <f>ROUND(IF(VLOOKUP($A269,EnrollData2324,'2324 Jun 24 Enroll'!D$1,FALSE)='District Calculations'!$B$11,VLOOKUP($A269,EnrollData2324,'2324 Jun 24 Enroll'!D$1,FALSE),'District Calculations'!$B$11)*K269,3)</f>
        <v>0</v>
      </c>
      <c r="M269">
        <f>ROUND(IF(VLOOKUP($A269,EnrollData2324,'2324 Jun 24 Enroll'!E$1,FALSE)='District Calculations'!$B$12,VLOOKUP($A269,EnrollData2324,'2324 Jun 24 Enroll'!E$1,FALSE),'District Calculations'!$B$12)*K269,3)</f>
        <v>3.5379999999999998</v>
      </c>
      <c r="N269">
        <f>ROUND(IF(VLOOKUP($A269,EnrollData2324,'2324 Jun 24 Enroll'!F$1,FALSE)='District Calculations'!$B$13,VLOOKUP($A269,EnrollData2324,'2324 Jun 24 Enroll'!F$1,FALSE),'District Calculations'!$B$13)*Apport_223A2324,3)</f>
        <v>0.84199999999999997</v>
      </c>
      <c r="O269">
        <f>ROUND(IF(VLOOKUP($A269,EnrollData2324,'2324 Jun 24 Enroll'!G$1,FALSE)='District Calculations'!$B$14,VLOOKUP($A269,EnrollData2324,'2324 Jun 24 Enroll'!G$1,FALSE),'District Calculations'!$B$14)*Apport_211A2324,3)</f>
        <v>1.867</v>
      </c>
      <c r="P269">
        <f>ROUND(IF(VLOOKUP($A269,EnrollData2324,'2324 Jun 24 Enroll'!H$1,FALSE)='District Calculations'!$B$14,VLOOKUP($A269,EnrollData2324,'2324 Jun 24 Enroll'!H$1,FALSE),'District Calculations'!$B$14)*Apport_214A2324,3)</f>
        <v>1.8660000000000001</v>
      </c>
      <c r="Q269">
        <f>ROUND(IF(VLOOKUP($A269,EnrollData2324,'2324 Jun 24 Enroll'!I$1,FALSE)+VLOOKUP($A269,EnrollData2324,'2324 Jun 24 Enroll'!M$1,FALSE)-VLOOKUP($A269,EnrollData2324,'2324 Jun 24 Enroll'!J$1,FALSE)='District Calculations'!$B$16+'District Calculations'!$B$25-'District Calculations'!$B$17,VLOOKUP($A269,EnrollData2324,'2324 Jun 24 Enroll'!I$1,FALSE)+VLOOKUP($A269,EnrollData2324,'2324 Jun 24 Enroll'!M$1,FALSE)-VLOOKUP($A269,EnrollData2324,'2324 Jun 24 Enroll'!J$1,FALSE),'District Calculations'!$B$16+'District Calculations'!$B$25-'District Calculations'!$B$17)*Apport_217A2324,3)</f>
        <v>4.6980000000000004</v>
      </c>
      <c r="R269">
        <f>ROUND(SUM(L269:Q269)/IF(VLOOKUP($A269,EnrollData2324,'2324 Jun 24 Enroll'!M$1,FALSE)+VLOOKUP($A269,EnrollData2324,'2324 Jun 24 Enroll'!D$1,FALSE)='District Calculations'!$B$25+'District Calculations'!$B$11,VLOOKUP($A269,EnrollData2324,'2324 Jun 24 Enroll'!M$1,FALSE)+VLOOKUP($A269,EnrollData2324,'2324 Jun 24 Enroll'!D$1,FALSE),'District Calculations'!$B$25+'District Calculations'!$B$11),5)</f>
        <v>4.1000000000000003E-3</v>
      </c>
      <c r="S269" s="11">
        <f t="shared" si="66"/>
        <v>1.8294500000000002E-2</v>
      </c>
      <c r="T269">
        <f>ROUND(IF(VLOOKUP($A269,EnrollData2324,'2324 Jun 24 Enroll'!D$1,FALSE)='District Calculations'!$B$11,VLOOKUP($A269,EnrollData2324,'2324 Jun 24 Enroll'!D$1,FALSE),'District Calculations'!$B$11)*S269,3)</f>
        <v>0</v>
      </c>
      <c r="U269">
        <f>ROUND(IF(VLOOKUP($A269,EnrollData2324,'2324 Jun 24 Enroll'!E$1,FALSE)='District Calculations'!$B$12,VLOOKUP($A269,EnrollData2324,'2324 Jun 24 Enroll'!E$1,FALSE),'District Calculations'!$B$12)*S269,3)</f>
        <v>14.827999999999999</v>
      </c>
      <c r="V269">
        <f>ROUND(IF(VLOOKUP($A269,EnrollData2324,'2324 Jun 24 Enroll'!F$1,FALSE)='District Calculations'!$B$13,VLOOKUP($A269,EnrollData2324,'2324 Jun 24 Enroll'!F$1,FALSE),'District Calculations'!$B$13)*Apport_224A2324,3)</f>
        <v>3.6190000000000002</v>
      </c>
      <c r="W269">
        <f>ROUND(IF(VLOOKUP($A269,EnrollData2324,'2324 Jun 24 Enroll'!G$1,FALSE)='District Calculations'!$B$14,VLOOKUP($A269,EnrollData2324,'2324 Jun 24 Enroll'!G$1,FALSE),'District Calculations'!$B$14)*Apport_212A2324,3)</f>
        <v>8.0239999999999991</v>
      </c>
      <c r="X269">
        <f>ROUND(IF(VLOOKUP($A269,EnrollData2324,'2324 Jun 24 Enroll'!H$1,FALSE)='District Calculations'!$B$14,VLOOKUP($A269,EnrollData2324,'2324 Jun 24 Enroll'!H$1,FALSE),'District Calculations'!$B$14)*Apport_215A2324,3)</f>
        <v>7.9279999999999999</v>
      </c>
      <c r="Y269">
        <f>ROUND(IF(VLOOKUP($A269,EnrollData2324,'2324 Jun 24 Enroll'!I$1,FALSE)+VLOOKUP($A269,EnrollData2324,'2324 Jun 24 Enroll'!M$1,FALSE)-VLOOKUP($A269,EnrollData2324,'2324 Jun 24 Enroll'!J$1,FALSE)='District Calculations'!$B$16+'District Calculations'!$B$25-'District Calculations'!$B$17,VLOOKUP($A269,EnrollData2324,'2324 Jun 24 Enroll'!I$1,FALSE)+VLOOKUP($A269,EnrollData2324,'2324 Jun 24 Enroll'!M$1,FALSE)-VLOOKUP($A269,EnrollData2324,'2324 Jun 24 Enroll'!J$1,FALSE),'District Calculations'!$B$16+'District Calculations'!$B$25-'District Calculations'!$B$17)*Apport_218A2324,3)</f>
        <v>19.917999999999999</v>
      </c>
      <c r="Z269">
        <f>ROUND(SUM(T269:Y269)/IF(VLOOKUP($A269,EnrollData2324,'2324 Jun 24 Enroll'!M$1,FALSE)+VLOOKUP($A269,EnrollData2324,'2324 Jun 24 Enroll'!D$1,FALSE)='District Calculations'!$B$25+'District Calculations'!$B$11,VLOOKUP($A269,EnrollData2324,'2324 Jun 24 Enroll'!M$1,FALSE)+VLOOKUP($A269,EnrollData2324,'2324 Jun 24 Enroll'!D$1,FALSE),'District Calculations'!$B$25+'District Calculations'!$B$11),5)</f>
        <v>1.7399999999999999E-2</v>
      </c>
      <c r="AA269" s="6">
        <f>ROUND($J269*CIS_Base_Salary2324*VLOOKUP($A269,EnrollData2324,'2324 Jun 24 Enroll'!S$1,FALSE),2)</f>
        <v>4038.59</v>
      </c>
      <c r="AB269" s="6">
        <f>ROUND($J269*CIS_Inc_Salary2324*(VLOOKUP($A269,EnrollData2324,'2324 Jun 24 Enroll'!T$1,FALSE)+VLOOKUP($A269,EnrollData2324,'2324 Jun 24 Enroll'!U$1,FALSE)),2)-AA269</f>
        <v>149.43000000000029</v>
      </c>
      <c r="AC269" s="6">
        <f>ROUND($R269*CAS_Base_Salary2324*VLOOKUP($A269,EnrollData2324,'2324 Jun 24 Enroll'!S$1,FALSE),2)</f>
        <v>442.62</v>
      </c>
      <c r="AD269" s="6">
        <f>ROUND($R269*CAS_Inc_Salary2324*VLOOKUP($A269,EnrollData2324,'2324 Jun 24 Enroll'!T$1,FALSE),2)-AC269</f>
        <v>16.379999999999995</v>
      </c>
      <c r="AE269" s="6">
        <f>ROUND($Z269*CLS_Base_Salary2324*VLOOKUP($A269,EnrollData2324,'2324 Jun 24 Enroll'!S$1,FALSE),2)</f>
        <v>907.81</v>
      </c>
      <c r="AF269" s="6">
        <f>ROUND($Z269*CLS_Inc_Salary2324*VLOOKUP($A269,EnrollData2324,'2324 Jun 24 Enroll'!T$1,FALSE),2)-AE269</f>
        <v>33.580000000000041</v>
      </c>
      <c r="AG269">
        <f t="shared" si="76"/>
        <v>734.16</v>
      </c>
      <c r="AH269" s="69">
        <f t="shared" si="67"/>
        <v>68.700000000000045</v>
      </c>
      <c r="AI269">
        <f t="shared" si="77"/>
        <v>214.23</v>
      </c>
      <c r="AJ269">
        <f t="shared" si="68"/>
        <v>114.21000000000001</v>
      </c>
      <c r="AK269">
        <f t="shared" si="69"/>
        <v>805.27</v>
      </c>
      <c r="AL269">
        <f t="shared" si="70"/>
        <v>28.73</v>
      </c>
      <c r="AM269">
        <f t="shared" si="71"/>
        <v>200.26</v>
      </c>
      <c r="AN269">
        <f t="shared" si="72"/>
        <v>6.23</v>
      </c>
      <c r="AO269">
        <f>ROUND(($J269*CIS_Inc_Salary2324*(VLOOKUP($A269,EnrollData2324,'2324 Jun 24 Enroll'!T$1,FALSE)+VLOOKUP($A269,EnrollData2324,'2324 Jun 24 Enroll'!U$1,FALSE))/Apport_613Xpd)*Apport_614Xpd,2)</f>
        <v>69.8</v>
      </c>
      <c r="AP269">
        <f t="shared" si="73"/>
        <v>12.1</v>
      </c>
      <c r="AQ269">
        <f t="shared" si="74"/>
        <v>30.93</v>
      </c>
      <c r="AR269" s="6">
        <f>ROUND((VLOOKUP($A269,EnrollData2324,'2324 Jun 24 Enroll'!D$1,FALSE)*Apport_M802324+VLOOKUP($A269,EnrollData2324,'2324 Jun 24 Enroll'!M$1,FALSE)*Apport_M802324+(VLOOKUP($A269,EnrollData2324,'2324 Jun 24 Enroll'!P$1,FALSE)+VLOOKUP($A269,EnrollData2324,'2324 Jun 24 Enroll'!Q$1,FALSE)+VLOOKUP($A269,EnrollData2324,'2324 Jun 24 Enroll'!R$1,FALSE)+VLOOKUP($A269,EnrollData2324,'2324 Jun 24 Enroll'!I$1,FALSE)+VLOOKUP($A269,EnrollData2324,'2324 Jun 24 Enroll'!N$1,FALSE)+VLOOKUP($A269,EnrollData2324,'2324 Jun 24 Enroll'!O$1,FALSE)+VLOOKUP($A269,EnrollData2324,'2324 Jun 24 Enroll'!K$1,FALSE)+VLOOKUP($A269,EnrollData2324,'2324 Jun 24 Enroll'!L$1,FALSE))*Apport_M812324)/(VLOOKUP($A269,EnrollData2324,'2324 Jun 24 Enroll'!M$1,FALSE)+VLOOKUP($A269,EnrollData2324,'2324 Jun 24 Enroll'!D$1,FALSE)),2)</f>
        <v>1547.18</v>
      </c>
      <c r="AS269" s="7">
        <f t="shared" si="75"/>
        <v>9420.2099999999991</v>
      </c>
    </row>
    <row r="270" spans="1:45">
      <c r="A270" s="40" t="s">
        <v>576</v>
      </c>
      <c r="B270" s="40" t="s">
        <v>577</v>
      </c>
      <c r="C270" s="11">
        <f>ROUND((IFERROR((1/IF(VLOOKUP($A270,EnrollData2324,28,FALSE)='District Calculations'!$B$10,VLOOKUP($A270,EnrollData2324,28,FALSE),'District Calculations'!$B$10))*(1+Apport_Z315),0))+Apport_201A2324,6)</f>
        <v>7.3449E-2</v>
      </c>
      <c r="D270">
        <f>ROUND(IF(VLOOKUP($A270,EnrollData2324,'2324 Jun 24 Enroll'!D$1,FALSE)='District Calculations'!$B$11,VLOOKUP($A270,EnrollData2324,'2324 Jun 24 Enroll'!D$1,FALSE),'District Calculations'!$B$11)*C270,3)</f>
        <v>0</v>
      </c>
      <c r="E270">
        <f>ROUND(IF(VLOOKUP($A270,EnrollData2324,'2324 Jun 24 Enroll'!E$1,FALSE)='District Calculations'!$B$12,VLOOKUP($A270,EnrollData2324,'2324 Jun 24 Enroll'!E$1,FALSE),'District Calculations'!$B$12)*C270,3)</f>
        <v>59.53</v>
      </c>
      <c r="F270">
        <f>ROUND(IF(VLOOKUP($A270,EnrollData2324,'2324 Jun 24 Enroll'!F$1,FALSE)='District Calculations'!$B$13,VLOOKUP($A270,EnrollData2324,'2324 Jun 24 Enroll'!F$1,FALSE),'District Calculations'!$B$13)*Apport_222A2324,3)</f>
        <v>10.101000000000001</v>
      </c>
      <c r="G270">
        <f>ROUND(IF(VLOOKUP($A270,EnrollData2324,'2324 Jun 24 Enroll'!G$1,FALSE)='District Calculations'!$B$14,VLOOKUP($A270,EnrollData2324,'2324 Jun 24 Enroll'!G$1,FALSE),'District Calculations'!$B$14)*Apport_210A2324,3)</f>
        <v>22.395</v>
      </c>
      <c r="H270">
        <f>ROUND(IF(VLOOKUP($A270,EnrollData2324,'2324 Jun 24 Enroll'!H$1,FALSE)='District Calculations'!$B$15,VLOOKUP($A270,EnrollData2324,'2324 Jun 24 Enroll'!H$1,FALSE),'District Calculations'!$B$15)*Apport_213A2324,3)</f>
        <v>23.091999999999999</v>
      </c>
      <c r="I270">
        <f>ROUND(IF(VLOOKUP($A270,EnrollData2324,'2324 Jun 24 Enroll'!I$1,FALSE)+VLOOKUP($A270,EnrollData2324,'2324 Jun 24 Enroll'!M$1,FALSE)-VLOOKUP($A270,EnrollData2324,'2324 Jun 24 Enroll'!J$1,FALSE)='District Calculations'!$B$16+'District Calculations'!$B$25-'District Calculations'!$B$17,VLOOKUP($A270,EnrollData2324,'2324 Jun 24 Enroll'!I$1,FALSE)+VLOOKUP($A270,EnrollData2324,'2324 Jun 24 Enroll'!M$1,FALSE)-VLOOKUP($A270,EnrollData2324,'2324 Jun 24 Enroll'!J$1,FALSE),'District Calculations'!$B$16+'District Calculations'!$B$25-'District Calculations'!$B$17)*Apport_216A2324,3)</f>
        <v>58.183999999999997</v>
      </c>
      <c r="J270">
        <f>ROUND(SUM(D270:I270)/(IF(VLOOKUP($A270,EnrollData2324,'2324 Jun 24 Enroll'!M$1,FALSE)='District Calculations'!$B$25,VLOOKUP($A270,EnrollData2324,'2324 Jun 24 Enroll'!M$1,FALSE),'District Calculations'!$B$25)+IF(VLOOKUP($A270,EnrollData2324,'2324 Jun 24 Enroll'!D$1,FALSE)='District Calculations'!$B$11,VLOOKUP($A270,EnrollData2324,'2324 Jun 24 Enroll'!D$1,FALSE),'District Calculations'!$B$11)),5)</f>
        <v>5.5530000000000003E-2</v>
      </c>
      <c r="K270" s="11">
        <f t="shared" si="65"/>
        <v>4.365E-3</v>
      </c>
      <c r="L270">
        <f>ROUND(IF(VLOOKUP($A270,EnrollData2324,'2324 Jun 24 Enroll'!D$1,FALSE)='District Calculations'!$B$11,VLOOKUP($A270,EnrollData2324,'2324 Jun 24 Enroll'!D$1,FALSE),'District Calculations'!$B$11)*K270,3)</f>
        <v>0</v>
      </c>
      <c r="M270">
        <f>ROUND(IF(VLOOKUP($A270,EnrollData2324,'2324 Jun 24 Enroll'!E$1,FALSE)='District Calculations'!$B$12,VLOOKUP($A270,EnrollData2324,'2324 Jun 24 Enroll'!E$1,FALSE),'District Calculations'!$B$12)*K270,3)</f>
        <v>3.5379999999999998</v>
      </c>
      <c r="N270">
        <f>ROUND(IF(VLOOKUP($A270,EnrollData2324,'2324 Jun 24 Enroll'!F$1,FALSE)='District Calculations'!$B$13,VLOOKUP($A270,EnrollData2324,'2324 Jun 24 Enroll'!F$1,FALSE),'District Calculations'!$B$13)*Apport_223A2324,3)</f>
        <v>0.84199999999999997</v>
      </c>
      <c r="O270">
        <f>ROUND(IF(VLOOKUP($A270,EnrollData2324,'2324 Jun 24 Enroll'!G$1,FALSE)='District Calculations'!$B$14,VLOOKUP($A270,EnrollData2324,'2324 Jun 24 Enroll'!G$1,FALSE),'District Calculations'!$B$14)*Apport_211A2324,3)</f>
        <v>1.867</v>
      </c>
      <c r="P270">
        <f>ROUND(IF(VLOOKUP($A270,EnrollData2324,'2324 Jun 24 Enroll'!H$1,FALSE)='District Calculations'!$B$14,VLOOKUP($A270,EnrollData2324,'2324 Jun 24 Enroll'!H$1,FALSE),'District Calculations'!$B$14)*Apport_214A2324,3)</f>
        <v>1.8660000000000001</v>
      </c>
      <c r="Q270">
        <f>ROUND(IF(VLOOKUP($A270,EnrollData2324,'2324 Jun 24 Enroll'!I$1,FALSE)+VLOOKUP($A270,EnrollData2324,'2324 Jun 24 Enroll'!M$1,FALSE)-VLOOKUP($A270,EnrollData2324,'2324 Jun 24 Enroll'!J$1,FALSE)='District Calculations'!$B$16+'District Calculations'!$B$25-'District Calculations'!$B$17,VLOOKUP($A270,EnrollData2324,'2324 Jun 24 Enroll'!I$1,FALSE)+VLOOKUP($A270,EnrollData2324,'2324 Jun 24 Enroll'!M$1,FALSE)-VLOOKUP($A270,EnrollData2324,'2324 Jun 24 Enroll'!J$1,FALSE),'District Calculations'!$B$16+'District Calculations'!$B$25-'District Calculations'!$B$17)*Apport_217A2324,3)</f>
        <v>4.6980000000000004</v>
      </c>
      <c r="R270">
        <f>ROUND(SUM(L270:Q270)/IF(VLOOKUP($A270,EnrollData2324,'2324 Jun 24 Enroll'!M$1,FALSE)+VLOOKUP($A270,EnrollData2324,'2324 Jun 24 Enroll'!D$1,FALSE)='District Calculations'!$B$25+'District Calculations'!$B$11,VLOOKUP($A270,EnrollData2324,'2324 Jun 24 Enroll'!M$1,FALSE)+VLOOKUP($A270,EnrollData2324,'2324 Jun 24 Enroll'!D$1,FALSE),'District Calculations'!$B$25+'District Calculations'!$B$11),5)</f>
        <v>4.1000000000000003E-3</v>
      </c>
      <c r="S270" s="11">
        <f t="shared" si="66"/>
        <v>1.8294500000000002E-2</v>
      </c>
      <c r="T270">
        <f>ROUND(IF(VLOOKUP($A270,EnrollData2324,'2324 Jun 24 Enroll'!D$1,FALSE)='District Calculations'!$B$11,VLOOKUP($A270,EnrollData2324,'2324 Jun 24 Enroll'!D$1,FALSE),'District Calculations'!$B$11)*S270,3)</f>
        <v>0</v>
      </c>
      <c r="U270">
        <f>ROUND(IF(VLOOKUP($A270,EnrollData2324,'2324 Jun 24 Enroll'!E$1,FALSE)='District Calculations'!$B$12,VLOOKUP($A270,EnrollData2324,'2324 Jun 24 Enroll'!E$1,FALSE),'District Calculations'!$B$12)*S270,3)</f>
        <v>14.827999999999999</v>
      </c>
      <c r="V270">
        <f>ROUND(IF(VLOOKUP($A270,EnrollData2324,'2324 Jun 24 Enroll'!F$1,FALSE)='District Calculations'!$B$13,VLOOKUP($A270,EnrollData2324,'2324 Jun 24 Enroll'!F$1,FALSE),'District Calculations'!$B$13)*Apport_224A2324,3)</f>
        <v>3.6190000000000002</v>
      </c>
      <c r="W270">
        <f>ROUND(IF(VLOOKUP($A270,EnrollData2324,'2324 Jun 24 Enroll'!G$1,FALSE)='District Calculations'!$B$14,VLOOKUP($A270,EnrollData2324,'2324 Jun 24 Enroll'!G$1,FALSE),'District Calculations'!$B$14)*Apport_212A2324,3)</f>
        <v>8.0239999999999991</v>
      </c>
      <c r="X270">
        <f>ROUND(IF(VLOOKUP($A270,EnrollData2324,'2324 Jun 24 Enroll'!H$1,FALSE)='District Calculations'!$B$14,VLOOKUP($A270,EnrollData2324,'2324 Jun 24 Enroll'!H$1,FALSE),'District Calculations'!$B$14)*Apport_215A2324,3)</f>
        <v>7.9279999999999999</v>
      </c>
      <c r="Y270">
        <f>ROUND(IF(VLOOKUP($A270,EnrollData2324,'2324 Jun 24 Enroll'!I$1,FALSE)+VLOOKUP($A270,EnrollData2324,'2324 Jun 24 Enroll'!M$1,FALSE)-VLOOKUP($A270,EnrollData2324,'2324 Jun 24 Enroll'!J$1,FALSE)='District Calculations'!$B$16+'District Calculations'!$B$25-'District Calculations'!$B$17,VLOOKUP($A270,EnrollData2324,'2324 Jun 24 Enroll'!I$1,FALSE)+VLOOKUP($A270,EnrollData2324,'2324 Jun 24 Enroll'!M$1,FALSE)-VLOOKUP($A270,EnrollData2324,'2324 Jun 24 Enroll'!J$1,FALSE),'District Calculations'!$B$16+'District Calculations'!$B$25-'District Calculations'!$B$17)*Apport_218A2324,3)</f>
        <v>19.917999999999999</v>
      </c>
      <c r="Z270">
        <f>ROUND(SUM(T270:Y270)/IF(VLOOKUP($A270,EnrollData2324,'2324 Jun 24 Enroll'!M$1,FALSE)+VLOOKUP($A270,EnrollData2324,'2324 Jun 24 Enroll'!D$1,FALSE)='District Calculations'!$B$25+'District Calculations'!$B$11,VLOOKUP($A270,EnrollData2324,'2324 Jun 24 Enroll'!M$1,FALSE)+VLOOKUP($A270,EnrollData2324,'2324 Jun 24 Enroll'!D$1,FALSE),'District Calculations'!$B$25+'District Calculations'!$B$11),5)</f>
        <v>1.7399999999999999E-2</v>
      </c>
      <c r="AA270" s="6">
        <f>ROUND($J270*CIS_Base_Salary2324*VLOOKUP($A270,EnrollData2324,'2324 Jun 24 Enroll'!S$1,FALSE),2)</f>
        <v>4038.59</v>
      </c>
      <c r="AB270" s="6">
        <f>ROUND($J270*CIS_Inc_Salary2324*(VLOOKUP($A270,EnrollData2324,'2324 Jun 24 Enroll'!T$1,FALSE)+VLOOKUP($A270,EnrollData2324,'2324 Jun 24 Enroll'!U$1,FALSE)),2)-AA270</f>
        <v>149.43000000000029</v>
      </c>
      <c r="AC270" s="6">
        <f>ROUND($R270*CAS_Base_Salary2324*VLOOKUP($A270,EnrollData2324,'2324 Jun 24 Enroll'!S$1,FALSE),2)</f>
        <v>442.62</v>
      </c>
      <c r="AD270" s="6">
        <f>ROUND($R270*CAS_Inc_Salary2324*VLOOKUP($A270,EnrollData2324,'2324 Jun 24 Enroll'!T$1,FALSE),2)-AC270</f>
        <v>16.379999999999995</v>
      </c>
      <c r="AE270" s="6">
        <f>ROUND($Z270*CLS_Base_Salary2324*VLOOKUP($A270,EnrollData2324,'2324 Jun 24 Enroll'!S$1,FALSE),2)</f>
        <v>907.81</v>
      </c>
      <c r="AF270" s="6">
        <f>ROUND($Z270*CLS_Inc_Salary2324*VLOOKUP($A270,EnrollData2324,'2324 Jun 24 Enroll'!T$1,FALSE),2)-AE270</f>
        <v>33.580000000000041</v>
      </c>
      <c r="AG270">
        <f t="shared" si="76"/>
        <v>734.16</v>
      </c>
      <c r="AH270" s="69">
        <f t="shared" si="67"/>
        <v>68.700000000000045</v>
      </c>
      <c r="AI270">
        <f t="shared" si="77"/>
        <v>214.23</v>
      </c>
      <c r="AJ270">
        <f t="shared" si="68"/>
        <v>114.21000000000001</v>
      </c>
      <c r="AK270">
        <f t="shared" si="69"/>
        <v>805.27</v>
      </c>
      <c r="AL270">
        <f t="shared" si="70"/>
        <v>28.73</v>
      </c>
      <c r="AM270">
        <f t="shared" si="71"/>
        <v>200.26</v>
      </c>
      <c r="AN270">
        <f t="shared" si="72"/>
        <v>6.23</v>
      </c>
      <c r="AO270">
        <f>ROUND(($J270*CIS_Inc_Salary2324*(VLOOKUP($A270,EnrollData2324,'2324 Jun 24 Enroll'!T$1,FALSE)+VLOOKUP($A270,EnrollData2324,'2324 Jun 24 Enroll'!U$1,FALSE))/Apport_613Xpd)*Apport_614Xpd,2)</f>
        <v>69.8</v>
      </c>
      <c r="AP270">
        <f t="shared" si="73"/>
        <v>12.1</v>
      </c>
      <c r="AQ270">
        <f t="shared" si="74"/>
        <v>30.93</v>
      </c>
      <c r="AR270" s="6">
        <f>ROUND((VLOOKUP($A270,EnrollData2324,'2324 Jun 24 Enroll'!D$1,FALSE)*Apport_M802324+VLOOKUP($A270,EnrollData2324,'2324 Jun 24 Enroll'!M$1,FALSE)*Apport_M802324+(VLOOKUP($A270,EnrollData2324,'2324 Jun 24 Enroll'!P$1,FALSE)+VLOOKUP($A270,EnrollData2324,'2324 Jun 24 Enroll'!Q$1,FALSE)+VLOOKUP($A270,EnrollData2324,'2324 Jun 24 Enroll'!R$1,FALSE)+VLOOKUP($A270,EnrollData2324,'2324 Jun 24 Enroll'!I$1,FALSE)+VLOOKUP($A270,EnrollData2324,'2324 Jun 24 Enroll'!N$1,FALSE)+VLOOKUP($A270,EnrollData2324,'2324 Jun 24 Enroll'!O$1,FALSE)+VLOOKUP($A270,EnrollData2324,'2324 Jun 24 Enroll'!K$1,FALSE)+VLOOKUP($A270,EnrollData2324,'2324 Jun 24 Enroll'!L$1,FALSE))*Apport_M812324)/(VLOOKUP($A270,EnrollData2324,'2324 Jun 24 Enroll'!M$1,FALSE)+VLOOKUP($A270,EnrollData2324,'2324 Jun 24 Enroll'!D$1,FALSE)),2)</f>
        <v>1571.54</v>
      </c>
      <c r="AS270" s="7">
        <f t="shared" si="75"/>
        <v>9444.57</v>
      </c>
    </row>
    <row r="271" spans="1:45">
      <c r="A271" s="40" t="s">
        <v>639</v>
      </c>
      <c r="B271" s="40" t="s">
        <v>640</v>
      </c>
      <c r="C271" s="11">
        <f>ROUND((IFERROR((1/IF(VLOOKUP($A271,EnrollData2324,28,FALSE)='District Calculations'!$B$10,VLOOKUP($A271,EnrollData2324,28,FALSE),'District Calculations'!$B$10))*(1+Apport_Z315),0))+Apport_201A2324,6)</f>
        <v>7.3449E-2</v>
      </c>
      <c r="D271">
        <f>ROUND(IF(VLOOKUP($A271,EnrollData2324,'2324 Jun 24 Enroll'!D$1,FALSE)='District Calculations'!$B$11,VLOOKUP($A271,EnrollData2324,'2324 Jun 24 Enroll'!D$1,FALSE),'District Calculations'!$B$11)*C271,3)</f>
        <v>0</v>
      </c>
      <c r="E271">
        <f>ROUND(IF(VLOOKUP($A271,EnrollData2324,'2324 Jun 24 Enroll'!E$1,FALSE)='District Calculations'!$B$12,VLOOKUP($A271,EnrollData2324,'2324 Jun 24 Enroll'!E$1,FALSE),'District Calculations'!$B$12)*C271,3)</f>
        <v>59.53</v>
      </c>
      <c r="F271">
        <f>ROUND(IF(VLOOKUP($A271,EnrollData2324,'2324 Jun 24 Enroll'!F$1,FALSE)='District Calculations'!$B$13,VLOOKUP($A271,EnrollData2324,'2324 Jun 24 Enroll'!F$1,FALSE),'District Calculations'!$B$13)*Apport_222A2324,3)</f>
        <v>10.101000000000001</v>
      </c>
      <c r="G271">
        <f>ROUND(IF(VLOOKUP($A271,EnrollData2324,'2324 Jun 24 Enroll'!G$1,FALSE)='District Calculations'!$B$14,VLOOKUP($A271,EnrollData2324,'2324 Jun 24 Enroll'!G$1,FALSE),'District Calculations'!$B$14)*Apport_210A2324,3)</f>
        <v>22.395</v>
      </c>
      <c r="H271">
        <f>ROUND(IF(VLOOKUP($A271,EnrollData2324,'2324 Jun 24 Enroll'!H$1,FALSE)='District Calculations'!$B$15,VLOOKUP($A271,EnrollData2324,'2324 Jun 24 Enroll'!H$1,FALSE),'District Calculations'!$B$15)*Apport_213A2324,3)</f>
        <v>23.091999999999999</v>
      </c>
      <c r="I271">
        <f>ROUND(IF(VLOOKUP($A271,EnrollData2324,'2324 Jun 24 Enroll'!I$1,FALSE)+VLOOKUP($A271,EnrollData2324,'2324 Jun 24 Enroll'!M$1,FALSE)-VLOOKUP($A271,EnrollData2324,'2324 Jun 24 Enroll'!J$1,FALSE)='District Calculations'!$B$16+'District Calculations'!$B$25-'District Calculations'!$B$17,VLOOKUP($A271,EnrollData2324,'2324 Jun 24 Enroll'!I$1,FALSE)+VLOOKUP($A271,EnrollData2324,'2324 Jun 24 Enroll'!M$1,FALSE)-VLOOKUP($A271,EnrollData2324,'2324 Jun 24 Enroll'!J$1,FALSE),'District Calculations'!$B$16+'District Calculations'!$B$25-'District Calculations'!$B$17)*Apport_216A2324,3)</f>
        <v>58.183999999999997</v>
      </c>
      <c r="J271">
        <f>ROUND(SUM(D271:I271)/(IF(VLOOKUP($A271,EnrollData2324,'2324 Jun 24 Enroll'!M$1,FALSE)='District Calculations'!$B$25,VLOOKUP($A271,EnrollData2324,'2324 Jun 24 Enroll'!M$1,FALSE),'District Calculations'!$B$25)+IF(VLOOKUP($A271,EnrollData2324,'2324 Jun 24 Enroll'!D$1,FALSE)='District Calculations'!$B$11,VLOOKUP($A271,EnrollData2324,'2324 Jun 24 Enroll'!D$1,FALSE),'District Calculations'!$B$11)),5)</f>
        <v>5.5530000000000003E-2</v>
      </c>
      <c r="K271" s="11">
        <f t="shared" si="65"/>
        <v>4.365E-3</v>
      </c>
      <c r="L271">
        <f>ROUND(IF(VLOOKUP($A271,EnrollData2324,'2324 Jun 24 Enroll'!D$1,FALSE)='District Calculations'!$B$11,VLOOKUP($A271,EnrollData2324,'2324 Jun 24 Enroll'!D$1,FALSE),'District Calculations'!$B$11)*K271,3)</f>
        <v>0</v>
      </c>
      <c r="M271">
        <f>ROUND(IF(VLOOKUP($A271,EnrollData2324,'2324 Jun 24 Enroll'!E$1,FALSE)='District Calculations'!$B$12,VLOOKUP($A271,EnrollData2324,'2324 Jun 24 Enroll'!E$1,FALSE),'District Calculations'!$B$12)*K271,3)</f>
        <v>3.5379999999999998</v>
      </c>
      <c r="N271">
        <f>ROUND(IF(VLOOKUP($A271,EnrollData2324,'2324 Jun 24 Enroll'!F$1,FALSE)='District Calculations'!$B$13,VLOOKUP($A271,EnrollData2324,'2324 Jun 24 Enroll'!F$1,FALSE),'District Calculations'!$B$13)*Apport_223A2324,3)</f>
        <v>0.84199999999999997</v>
      </c>
      <c r="O271">
        <f>ROUND(IF(VLOOKUP($A271,EnrollData2324,'2324 Jun 24 Enroll'!G$1,FALSE)='District Calculations'!$B$14,VLOOKUP($A271,EnrollData2324,'2324 Jun 24 Enroll'!G$1,FALSE),'District Calculations'!$B$14)*Apport_211A2324,3)</f>
        <v>1.867</v>
      </c>
      <c r="P271">
        <f>ROUND(IF(VLOOKUP($A271,EnrollData2324,'2324 Jun 24 Enroll'!H$1,FALSE)='District Calculations'!$B$14,VLOOKUP($A271,EnrollData2324,'2324 Jun 24 Enroll'!H$1,FALSE),'District Calculations'!$B$14)*Apport_214A2324,3)</f>
        <v>1.8660000000000001</v>
      </c>
      <c r="Q271">
        <f>ROUND(IF(VLOOKUP($A271,EnrollData2324,'2324 Jun 24 Enroll'!I$1,FALSE)+VLOOKUP($A271,EnrollData2324,'2324 Jun 24 Enroll'!M$1,FALSE)-VLOOKUP($A271,EnrollData2324,'2324 Jun 24 Enroll'!J$1,FALSE)='District Calculations'!$B$16+'District Calculations'!$B$25-'District Calculations'!$B$17,VLOOKUP($A271,EnrollData2324,'2324 Jun 24 Enroll'!I$1,FALSE)+VLOOKUP($A271,EnrollData2324,'2324 Jun 24 Enroll'!M$1,FALSE)-VLOOKUP($A271,EnrollData2324,'2324 Jun 24 Enroll'!J$1,FALSE),'District Calculations'!$B$16+'District Calculations'!$B$25-'District Calculations'!$B$17)*Apport_217A2324,3)</f>
        <v>4.6980000000000004</v>
      </c>
      <c r="R271">
        <f>ROUND(SUM(L271:Q271)/IF(VLOOKUP($A271,EnrollData2324,'2324 Jun 24 Enroll'!M$1,FALSE)+VLOOKUP($A271,EnrollData2324,'2324 Jun 24 Enroll'!D$1,FALSE)='District Calculations'!$B$25+'District Calculations'!$B$11,VLOOKUP($A271,EnrollData2324,'2324 Jun 24 Enroll'!M$1,FALSE)+VLOOKUP($A271,EnrollData2324,'2324 Jun 24 Enroll'!D$1,FALSE),'District Calculations'!$B$25+'District Calculations'!$B$11),5)</f>
        <v>4.1000000000000003E-3</v>
      </c>
      <c r="S271" s="11">
        <f t="shared" si="66"/>
        <v>1.8294500000000002E-2</v>
      </c>
      <c r="T271">
        <f>ROUND(IF(VLOOKUP($A271,EnrollData2324,'2324 Jun 24 Enroll'!D$1,FALSE)='District Calculations'!$B$11,VLOOKUP($A271,EnrollData2324,'2324 Jun 24 Enroll'!D$1,FALSE),'District Calculations'!$B$11)*S271,3)</f>
        <v>0</v>
      </c>
      <c r="U271">
        <f>ROUND(IF(VLOOKUP($A271,EnrollData2324,'2324 Jun 24 Enroll'!E$1,FALSE)='District Calculations'!$B$12,VLOOKUP($A271,EnrollData2324,'2324 Jun 24 Enroll'!E$1,FALSE),'District Calculations'!$B$12)*S271,3)</f>
        <v>14.827999999999999</v>
      </c>
      <c r="V271">
        <f>ROUND(IF(VLOOKUP($A271,EnrollData2324,'2324 Jun 24 Enroll'!F$1,FALSE)='District Calculations'!$B$13,VLOOKUP($A271,EnrollData2324,'2324 Jun 24 Enroll'!F$1,FALSE),'District Calculations'!$B$13)*Apport_224A2324,3)</f>
        <v>3.6190000000000002</v>
      </c>
      <c r="W271">
        <f>ROUND(IF(VLOOKUP($A271,EnrollData2324,'2324 Jun 24 Enroll'!G$1,FALSE)='District Calculations'!$B$14,VLOOKUP($A271,EnrollData2324,'2324 Jun 24 Enroll'!G$1,FALSE),'District Calculations'!$B$14)*Apport_212A2324,3)</f>
        <v>8.0239999999999991</v>
      </c>
      <c r="X271">
        <f>ROUND(IF(VLOOKUP($A271,EnrollData2324,'2324 Jun 24 Enroll'!H$1,FALSE)='District Calculations'!$B$14,VLOOKUP($A271,EnrollData2324,'2324 Jun 24 Enroll'!H$1,FALSE),'District Calculations'!$B$14)*Apport_215A2324,3)</f>
        <v>7.9279999999999999</v>
      </c>
      <c r="Y271">
        <f>ROUND(IF(VLOOKUP($A271,EnrollData2324,'2324 Jun 24 Enroll'!I$1,FALSE)+VLOOKUP($A271,EnrollData2324,'2324 Jun 24 Enroll'!M$1,FALSE)-VLOOKUP($A271,EnrollData2324,'2324 Jun 24 Enroll'!J$1,FALSE)='District Calculations'!$B$16+'District Calculations'!$B$25-'District Calculations'!$B$17,VLOOKUP($A271,EnrollData2324,'2324 Jun 24 Enroll'!I$1,FALSE)+VLOOKUP($A271,EnrollData2324,'2324 Jun 24 Enroll'!M$1,FALSE)-VLOOKUP($A271,EnrollData2324,'2324 Jun 24 Enroll'!J$1,FALSE),'District Calculations'!$B$16+'District Calculations'!$B$25-'District Calculations'!$B$17)*Apport_218A2324,3)</f>
        <v>19.917999999999999</v>
      </c>
      <c r="Z271">
        <f>ROUND(SUM(T271:Y271)/IF(VLOOKUP($A271,EnrollData2324,'2324 Jun 24 Enroll'!M$1,FALSE)+VLOOKUP($A271,EnrollData2324,'2324 Jun 24 Enroll'!D$1,FALSE)='District Calculations'!$B$25+'District Calculations'!$B$11,VLOOKUP($A271,EnrollData2324,'2324 Jun 24 Enroll'!M$1,FALSE)+VLOOKUP($A271,EnrollData2324,'2324 Jun 24 Enroll'!D$1,FALSE),'District Calculations'!$B$25+'District Calculations'!$B$11),5)</f>
        <v>1.7399999999999999E-2</v>
      </c>
      <c r="AA271" s="6">
        <f>ROUND($J271*CIS_Base_Salary2324*VLOOKUP($A271,EnrollData2324,'2324 Jun 24 Enroll'!S$1,FALSE),2)</f>
        <v>4038.59</v>
      </c>
      <c r="AB271" s="6">
        <f>ROUND($J271*CIS_Inc_Salary2324*(VLOOKUP($A271,EnrollData2324,'2324 Jun 24 Enroll'!T$1,FALSE)+VLOOKUP($A271,EnrollData2324,'2324 Jun 24 Enroll'!U$1,FALSE)),2)-AA271</f>
        <v>149.43000000000029</v>
      </c>
      <c r="AC271" s="6">
        <f>ROUND($R271*CAS_Base_Salary2324*VLOOKUP($A271,EnrollData2324,'2324 Jun 24 Enroll'!S$1,FALSE),2)</f>
        <v>442.62</v>
      </c>
      <c r="AD271" s="6">
        <f>ROUND($R271*CAS_Inc_Salary2324*VLOOKUP($A271,EnrollData2324,'2324 Jun 24 Enroll'!T$1,FALSE),2)-AC271</f>
        <v>16.379999999999995</v>
      </c>
      <c r="AE271" s="6">
        <f>ROUND($Z271*CLS_Base_Salary2324*VLOOKUP($A271,EnrollData2324,'2324 Jun 24 Enroll'!S$1,FALSE),2)</f>
        <v>907.81</v>
      </c>
      <c r="AF271" s="6">
        <f>ROUND($Z271*CLS_Inc_Salary2324*VLOOKUP($A271,EnrollData2324,'2324 Jun 24 Enroll'!T$1,FALSE),2)-AE271</f>
        <v>33.580000000000041</v>
      </c>
      <c r="AG271">
        <f t="shared" si="76"/>
        <v>734.16</v>
      </c>
      <c r="AH271" s="69">
        <f t="shared" si="67"/>
        <v>68.700000000000045</v>
      </c>
      <c r="AI271">
        <f t="shared" si="77"/>
        <v>214.23</v>
      </c>
      <c r="AJ271">
        <f t="shared" si="68"/>
        <v>114.21000000000001</v>
      </c>
      <c r="AK271">
        <f t="shared" si="69"/>
        <v>805.27</v>
      </c>
      <c r="AL271">
        <f t="shared" si="70"/>
        <v>28.73</v>
      </c>
      <c r="AM271">
        <f t="shared" si="71"/>
        <v>200.26</v>
      </c>
      <c r="AN271">
        <f t="shared" si="72"/>
        <v>6.23</v>
      </c>
      <c r="AO271">
        <f>ROUND(($J271*CIS_Inc_Salary2324*(VLOOKUP($A271,EnrollData2324,'2324 Jun 24 Enroll'!T$1,FALSE)+VLOOKUP($A271,EnrollData2324,'2324 Jun 24 Enroll'!U$1,FALSE))/Apport_613Xpd)*Apport_614Xpd,2)</f>
        <v>69.8</v>
      </c>
      <c r="AP271">
        <f t="shared" si="73"/>
        <v>12.1</v>
      </c>
      <c r="AQ271">
        <f t="shared" si="74"/>
        <v>30.93</v>
      </c>
      <c r="AR271" s="6">
        <f>ROUND((VLOOKUP($A271,EnrollData2324,'2324 Jun 24 Enroll'!D$1,FALSE)*Apport_M802324+VLOOKUP($A271,EnrollData2324,'2324 Jun 24 Enroll'!M$1,FALSE)*Apport_M802324+(VLOOKUP($A271,EnrollData2324,'2324 Jun 24 Enroll'!P$1,FALSE)+VLOOKUP($A271,EnrollData2324,'2324 Jun 24 Enroll'!Q$1,FALSE)+VLOOKUP($A271,EnrollData2324,'2324 Jun 24 Enroll'!R$1,FALSE)+VLOOKUP($A271,EnrollData2324,'2324 Jun 24 Enroll'!I$1,FALSE)+VLOOKUP($A271,EnrollData2324,'2324 Jun 24 Enroll'!N$1,FALSE)+VLOOKUP($A271,EnrollData2324,'2324 Jun 24 Enroll'!O$1,FALSE)+VLOOKUP($A271,EnrollData2324,'2324 Jun 24 Enroll'!K$1,FALSE)+VLOOKUP($A271,EnrollData2324,'2324 Jun 24 Enroll'!L$1,FALSE))*Apport_M812324)/(VLOOKUP($A271,EnrollData2324,'2324 Jun 24 Enroll'!M$1,FALSE)+VLOOKUP($A271,EnrollData2324,'2324 Jun 24 Enroll'!D$1,FALSE)),2)</f>
        <v>1600.54</v>
      </c>
      <c r="AS271" s="7">
        <f t="shared" si="75"/>
        <v>9473.57</v>
      </c>
    </row>
    <row r="272" spans="1:45">
      <c r="A272" s="40" t="s">
        <v>528</v>
      </c>
      <c r="B272" s="40" t="s">
        <v>529</v>
      </c>
      <c r="C272" s="11">
        <f>ROUND((IFERROR((1/IF(VLOOKUP($A272,EnrollData2324,28,FALSE)='District Calculations'!$B$10,VLOOKUP($A272,EnrollData2324,28,FALSE),'District Calculations'!$B$10))*(1+Apport_Z315),0))+Apport_201A2324,6)</f>
        <v>7.3449E-2</v>
      </c>
      <c r="D272">
        <f>ROUND(IF(VLOOKUP($A272,EnrollData2324,'2324 Jun 24 Enroll'!D$1,FALSE)='District Calculations'!$B$11,VLOOKUP($A272,EnrollData2324,'2324 Jun 24 Enroll'!D$1,FALSE),'District Calculations'!$B$11)*C272,3)</f>
        <v>0</v>
      </c>
      <c r="E272">
        <f>ROUND(IF(VLOOKUP($A272,EnrollData2324,'2324 Jun 24 Enroll'!E$1,FALSE)='District Calculations'!$B$12,VLOOKUP($A272,EnrollData2324,'2324 Jun 24 Enroll'!E$1,FALSE),'District Calculations'!$B$12)*C272,3)</f>
        <v>59.53</v>
      </c>
      <c r="F272">
        <f>ROUND(IF(VLOOKUP($A272,EnrollData2324,'2324 Jun 24 Enroll'!F$1,FALSE)='District Calculations'!$B$13,VLOOKUP($A272,EnrollData2324,'2324 Jun 24 Enroll'!F$1,FALSE),'District Calculations'!$B$13)*Apport_222A2324,3)</f>
        <v>10.101000000000001</v>
      </c>
      <c r="G272">
        <f>ROUND(IF(VLOOKUP($A272,EnrollData2324,'2324 Jun 24 Enroll'!G$1,FALSE)='District Calculations'!$B$14,VLOOKUP($A272,EnrollData2324,'2324 Jun 24 Enroll'!G$1,FALSE),'District Calculations'!$B$14)*Apport_210A2324,3)</f>
        <v>22.395</v>
      </c>
      <c r="H272">
        <f>ROUND(IF(VLOOKUP($A272,EnrollData2324,'2324 Jun 24 Enroll'!H$1,FALSE)='District Calculations'!$B$15,VLOOKUP($A272,EnrollData2324,'2324 Jun 24 Enroll'!H$1,FALSE),'District Calculations'!$B$15)*Apport_213A2324,3)</f>
        <v>23.091999999999999</v>
      </c>
      <c r="I272">
        <f>ROUND(IF(VLOOKUP($A272,EnrollData2324,'2324 Jun 24 Enroll'!I$1,FALSE)+VLOOKUP($A272,EnrollData2324,'2324 Jun 24 Enroll'!M$1,FALSE)-VLOOKUP($A272,EnrollData2324,'2324 Jun 24 Enroll'!J$1,FALSE)='District Calculations'!$B$16+'District Calculations'!$B$25-'District Calculations'!$B$17,VLOOKUP($A272,EnrollData2324,'2324 Jun 24 Enroll'!I$1,FALSE)+VLOOKUP($A272,EnrollData2324,'2324 Jun 24 Enroll'!M$1,FALSE)-VLOOKUP($A272,EnrollData2324,'2324 Jun 24 Enroll'!J$1,FALSE),'District Calculations'!$B$16+'District Calculations'!$B$25-'District Calculations'!$B$17)*Apport_216A2324,3)</f>
        <v>58.183999999999997</v>
      </c>
      <c r="J272">
        <f>ROUND(SUM(D272:I272)/(IF(VLOOKUP($A272,EnrollData2324,'2324 Jun 24 Enroll'!M$1,FALSE)='District Calculations'!$B$25,VLOOKUP($A272,EnrollData2324,'2324 Jun 24 Enroll'!M$1,FALSE),'District Calculations'!$B$25)+IF(VLOOKUP($A272,EnrollData2324,'2324 Jun 24 Enroll'!D$1,FALSE)='District Calculations'!$B$11,VLOOKUP($A272,EnrollData2324,'2324 Jun 24 Enroll'!D$1,FALSE),'District Calculations'!$B$11)),5)</f>
        <v>5.5530000000000003E-2</v>
      </c>
      <c r="K272" s="11">
        <f t="shared" si="65"/>
        <v>4.365E-3</v>
      </c>
      <c r="L272">
        <f>ROUND(IF(VLOOKUP($A272,EnrollData2324,'2324 Jun 24 Enroll'!D$1,FALSE)='District Calculations'!$B$11,VLOOKUP($A272,EnrollData2324,'2324 Jun 24 Enroll'!D$1,FALSE),'District Calculations'!$B$11)*K272,3)</f>
        <v>0</v>
      </c>
      <c r="M272">
        <f>ROUND(IF(VLOOKUP($A272,EnrollData2324,'2324 Jun 24 Enroll'!E$1,FALSE)='District Calculations'!$B$12,VLOOKUP($A272,EnrollData2324,'2324 Jun 24 Enroll'!E$1,FALSE),'District Calculations'!$B$12)*K272,3)</f>
        <v>3.5379999999999998</v>
      </c>
      <c r="N272">
        <f>ROUND(IF(VLOOKUP($A272,EnrollData2324,'2324 Jun 24 Enroll'!F$1,FALSE)='District Calculations'!$B$13,VLOOKUP($A272,EnrollData2324,'2324 Jun 24 Enroll'!F$1,FALSE),'District Calculations'!$B$13)*Apport_223A2324,3)</f>
        <v>0.84199999999999997</v>
      </c>
      <c r="O272">
        <f>ROUND(IF(VLOOKUP($A272,EnrollData2324,'2324 Jun 24 Enroll'!G$1,FALSE)='District Calculations'!$B$14,VLOOKUP($A272,EnrollData2324,'2324 Jun 24 Enroll'!G$1,FALSE),'District Calculations'!$B$14)*Apport_211A2324,3)</f>
        <v>1.867</v>
      </c>
      <c r="P272">
        <f>ROUND(IF(VLOOKUP($A272,EnrollData2324,'2324 Jun 24 Enroll'!H$1,FALSE)='District Calculations'!$B$14,VLOOKUP($A272,EnrollData2324,'2324 Jun 24 Enroll'!H$1,FALSE),'District Calculations'!$B$14)*Apport_214A2324,3)</f>
        <v>1.8660000000000001</v>
      </c>
      <c r="Q272">
        <f>ROUND(IF(VLOOKUP($A272,EnrollData2324,'2324 Jun 24 Enroll'!I$1,FALSE)+VLOOKUP($A272,EnrollData2324,'2324 Jun 24 Enroll'!M$1,FALSE)-VLOOKUP($A272,EnrollData2324,'2324 Jun 24 Enroll'!J$1,FALSE)='District Calculations'!$B$16+'District Calculations'!$B$25-'District Calculations'!$B$17,VLOOKUP($A272,EnrollData2324,'2324 Jun 24 Enroll'!I$1,FALSE)+VLOOKUP($A272,EnrollData2324,'2324 Jun 24 Enroll'!M$1,FALSE)-VLOOKUP($A272,EnrollData2324,'2324 Jun 24 Enroll'!J$1,FALSE),'District Calculations'!$B$16+'District Calculations'!$B$25-'District Calculations'!$B$17)*Apport_217A2324,3)</f>
        <v>4.6980000000000004</v>
      </c>
      <c r="R272">
        <f>ROUND(SUM(L272:Q272)/IF(VLOOKUP($A272,EnrollData2324,'2324 Jun 24 Enroll'!M$1,FALSE)+VLOOKUP($A272,EnrollData2324,'2324 Jun 24 Enroll'!D$1,FALSE)='District Calculations'!$B$25+'District Calculations'!$B$11,VLOOKUP($A272,EnrollData2324,'2324 Jun 24 Enroll'!M$1,FALSE)+VLOOKUP($A272,EnrollData2324,'2324 Jun 24 Enroll'!D$1,FALSE),'District Calculations'!$B$25+'District Calculations'!$B$11),5)</f>
        <v>4.1000000000000003E-3</v>
      </c>
      <c r="S272" s="11">
        <f t="shared" si="66"/>
        <v>1.8294500000000002E-2</v>
      </c>
      <c r="T272">
        <f>ROUND(IF(VLOOKUP($A272,EnrollData2324,'2324 Jun 24 Enroll'!D$1,FALSE)='District Calculations'!$B$11,VLOOKUP($A272,EnrollData2324,'2324 Jun 24 Enroll'!D$1,FALSE),'District Calculations'!$B$11)*S272,3)</f>
        <v>0</v>
      </c>
      <c r="U272">
        <f>ROUND(IF(VLOOKUP($A272,EnrollData2324,'2324 Jun 24 Enroll'!E$1,FALSE)='District Calculations'!$B$12,VLOOKUP($A272,EnrollData2324,'2324 Jun 24 Enroll'!E$1,FALSE),'District Calculations'!$B$12)*S272,3)</f>
        <v>14.827999999999999</v>
      </c>
      <c r="V272">
        <f>ROUND(IF(VLOOKUP($A272,EnrollData2324,'2324 Jun 24 Enroll'!F$1,FALSE)='District Calculations'!$B$13,VLOOKUP($A272,EnrollData2324,'2324 Jun 24 Enroll'!F$1,FALSE),'District Calculations'!$B$13)*Apport_224A2324,3)</f>
        <v>3.6190000000000002</v>
      </c>
      <c r="W272">
        <f>ROUND(IF(VLOOKUP($A272,EnrollData2324,'2324 Jun 24 Enroll'!G$1,FALSE)='District Calculations'!$B$14,VLOOKUP($A272,EnrollData2324,'2324 Jun 24 Enroll'!G$1,FALSE),'District Calculations'!$B$14)*Apport_212A2324,3)</f>
        <v>8.0239999999999991</v>
      </c>
      <c r="X272">
        <f>ROUND(IF(VLOOKUP($A272,EnrollData2324,'2324 Jun 24 Enroll'!H$1,FALSE)='District Calculations'!$B$14,VLOOKUP($A272,EnrollData2324,'2324 Jun 24 Enroll'!H$1,FALSE),'District Calculations'!$B$14)*Apport_215A2324,3)</f>
        <v>7.9279999999999999</v>
      </c>
      <c r="Y272">
        <f>ROUND(IF(VLOOKUP($A272,EnrollData2324,'2324 Jun 24 Enroll'!I$1,FALSE)+VLOOKUP($A272,EnrollData2324,'2324 Jun 24 Enroll'!M$1,FALSE)-VLOOKUP($A272,EnrollData2324,'2324 Jun 24 Enroll'!J$1,FALSE)='District Calculations'!$B$16+'District Calculations'!$B$25-'District Calculations'!$B$17,VLOOKUP($A272,EnrollData2324,'2324 Jun 24 Enroll'!I$1,FALSE)+VLOOKUP($A272,EnrollData2324,'2324 Jun 24 Enroll'!M$1,FALSE)-VLOOKUP($A272,EnrollData2324,'2324 Jun 24 Enroll'!J$1,FALSE),'District Calculations'!$B$16+'District Calculations'!$B$25-'District Calculations'!$B$17)*Apport_218A2324,3)</f>
        <v>19.917999999999999</v>
      </c>
      <c r="Z272">
        <f>ROUND(SUM(T272:Y272)/IF(VLOOKUP($A272,EnrollData2324,'2324 Jun 24 Enroll'!M$1,FALSE)+VLOOKUP($A272,EnrollData2324,'2324 Jun 24 Enroll'!D$1,FALSE)='District Calculations'!$B$25+'District Calculations'!$B$11,VLOOKUP($A272,EnrollData2324,'2324 Jun 24 Enroll'!M$1,FALSE)+VLOOKUP($A272,EnrollData2324,'2324 Jun 24 Enroll'!D$1,FALSE),'District Calculations'!$B$25+'District Calculations'!$B$11),5)</f>
        <v>1.7399999999999999E-2</v>
      </c>
      <c r="AA272" s="6">
        <f>ROUND($J272*CIS_Base_Salary2324*VLOOKUP($A272,EnrollData2324,'2324 Jun 24 Enroll'!S$1,FALSE),2)</f>
        <v>4038.59</v>
      </c>
      <c r="AB272" s="6">
        <f>ROUND($J272*CIS_Inc_Salary2324*(VLOOKUP($A272,EnrollData2324,'2324 Jun 24 Enroll'!T$1,FALSE)+VLOOKUP($A272,EnrollData2324,'2324 Jun 24 Enroll'!U$1,FALSE)),2)-AA272</f>
        <v>233.1899999999996</v>
      </c>
      <c r="AC272" s="6">
        <f>ROUND($R272*CAS_Base_Salary2324*VLOOKUP($A272,EnrollData2324,'2324 Jun 24 Enroll'!S$1,FALSE),2)</f>
        <v>442.62</v>
      </c>
      <c r="AD272" s="6">
        <f>ROUND($R272*CAS_Inc_Salary2324*VLOOKUP($A272,EnrollData2324,'2324 Jun 24 Enroll'!T$1,FALSE),2)-AC272</f>
        <v>16.379999999999995</v>
      </c>
      <c r="AE272" s="6">
        <f>ROUND($Z272*CLS_Base_Salary2324*VLOOKUP($A272,EnrollData2324,'2324 Jun 24 Enroll'!S$1,FALSE),2)</f>
        <v>907.81</v>
      </c>
      <c r="AF272" s="6">
        <f>ROUND($Z272*CLS_Inc_Salary2324*VLOOKUP($A272,EnrollData2324,'2324 Jun 24 Enroll'!T$1,FALSE),2)-AE272</f>
        <v>33.580000000000041</v>
      </c>
      <c r="AG272">
        <f t="shared" si="76"/>
        <v>734.16</v>
      </c>
      <c r="AH272" s="69">
        <f t="shared" si="67"/>
        <v>68.700000000000045</v>
      </c>
      <c r="AI272">
        <f t="shared" si="77"/>
        <v>214.23</v>
      </c>
      <c r="AJ272">
        <f t="shared" si="68"/>
        <v>114.21000000000001</v>
      </c>
      <c r="AK272">
        <f t="shared" si="69"/>
        <v>805.27</v>
      </c>
      <c r="AL272">
        <f t="shared" si="70"/>
        <v>43.25</v>
      </c>
      <c r="AM272">
        <f t="shared" si="71"/>
        <v>200.26</v>
      </c>
      <c r="AN272">
        <f t="shared" si="72"/>
        <v>6.23</v>
      </c>
      <c r="AO272">
        <f>ROUND(($J272*CIS_Inc_Salary2324*(VLOOKUP($A272,EnrollData2324,'2324 Jun 24 Enroll'!T$1,FALSE)+VLOOKUP($A272,EnrollData2324,'2324 Jun 24 Enroll'!U$1,FALSE))/Apport_613Xpd)*Apport_614Xpd,2)</f>
        <v>71.2</v>
      </c>
      <c r="AP272">
        <f t="shared" si="73"/>
        <v>12.34</v>
      </c>
      <c r="AQ272">
        <f t="shared" si="74"/>
        <v>30.93</v>
      </c>
      <c r="AR272" s="6">
        <f>ROUND((VLOOKUP($A272,EnrollData2324,'2324 Jun 24 Enroll'!D$1,FALSE)*Apport_M802324+VLOOKUP($A272,EnrollData2324,'2324 Jun 24 Enroll'!M$1,FALSE)*Apport_M802324+(VLOOKUP($A272,EnrollData2324,'2324 Jun 24 Enroll'!P$1,FALSE)+VLOOKUP($A272,EnrollData2324,'2324 Jun 24 Enroll'!Q$1,FALSE)+VLOOKUP($A272,EnrollData2324,'2324 Jun 24 Enroll'!R$1,FALSE)+VLOOKUP($A272,EnrollData2324,'2324 Jun 24 Enroll'!I$1,FALSE)+VLOOKUP($A272,EnrollData2324,'2324 Jun 24 Enroll'!N$1,FALSE)+VLOOKUP($A272,EnrollData2324,'2324 Jun 24 Enroll'!O$1,FALSE)+VLOOKUP($A272,EnrollData2324,'2324 Jun 24 Enroll'!K$1,FALSE)+VLOOKUP($A272,EnrollData2324,'2324 Jun 24 Enroll'!L$1,FALSE))*Apport_M812324)/(VLOOKUP($A272,EnrollData2324,'2324 Jun 24 Enroll'!M$1,FALSE)+VLOOKUP($A272,EnrollData2324,'2324 Jun 24 Enroll'!D$1,FALSE)),2)</f>
        <v>1592.69</v>
      </c>
      <c r="AS272" s="7">
        <f t="shared" si="75"/>
        <v>9565.64</v>
      </c>
    </row>
    <row r="273" spans="1:45">
      <c r="A273" s="40" t="s">
        <v>893</v>
      </c>
      <c r="B273" s="40" t="s">
        <v>894</v>
      </c>
      <c r="C273" s="11">
        <f>ROUND((IFERROR((1/IF(VLOOKUP($A273,EnrollData2324,28,FALSE)='District Calculations'!$B$10,VLOOKUP($A273,EnrollData2324,28,FALSE),'District Calculations'!$B$10))*(1+Apport_Z315),0))+Apport_201A2324,6)</f>
        <v>7.3449E-2</v>
      </c>
      <c r="D273">
        <f>ROUND(IF(VLOOKUP($A273,EnrollData2324,'2324 Jun 24 Enroll'!D$1,FALSE)='District Calculations'!$B$11,VLOOKUP($A273,EnrollData2324,'2324 Jun 24 Enroll'!D$1,FALSE),'District Calculations'!$B$11)*C273,3)</f>
        <v>0</v>
      </c>
      <c r="E273">
        <f>ROUND(IF(VLOOKUP($A273,EnrollData2324,'2324 Jun 24 Enroll'!E$1,FALSE)='District Calculations'!$B$12,VLOOKUP($A273,EnrollData2324,'2324 Jun 24 Enroll'!E$1,FALSE),'District Calculations'!$B$12)*C273,3)</f>
        <v>59.53</v>
      </c>
      <c r="F273">
        <f>ROUND(IF(VLOOKUP($A273,EnrollData2324,'2324 Jun 24 Enroll'!F$1,FALSE)='District Calculations'!$B$13,VLOOKUP($A273,EnrollData2324,'2324 Jun 24 Enroll'!F$1,FALSE),'District Calculations'!$B$13)*Apport_222A2324,3)</f>
        <v>10.101000000000001</v>
      </c>
      <c r="G273">
        <f>ROUND(IF(VLOOKUP($A273,EnrollData2324,'2324 Jun 24 Enroll'!G$1,FALSE)='District Calculations'!$B$14,VLOOKUP($A273,EnrollData2324,'2324 Jun 24 Enroll'!G$1,FALSE),'District Calculations'!$B$14)*Apport_210A2324,3)</f>
        <v>22.395</v>
      </c>
      <c r="H273">
        <f>ROUND(IF(VLOOKUP($A273,EnrollData2324,'2324 Jun 24 Enroll'!H$1,FALSE)='District Calculations'!$B$15,VLOOKUP($A273,EnrollData2324,'2324 Jun 24 Enroll'!H$1,FALSE),'District Calculations'!$B$15)*Apport_213A2324,3)</f>
        <v>23.091999999999999</v>
      </c>
      <c r="I273">
        <f>ROUND(IF(VLOOKUP($A273,EnrollData2324,'2324 Jun 24 Enroll'!I$1,FALSE)+VLOOKUP($A273,EnrollData2324,'2324 Jun 24 Enroll'!M$1,FALSE)-VLOOKUP($A273,EnrollData2324,'2324 Jun 24 Enroll'!J$1,FALSE)='District Calculations'!$B$16+'District Calculations'!$B$25-'District Calculations'!$B$17,VLOOKUP($A273,EnrollData2324,'2324 Jun 24 Enroll'!I$1,FALSE)+VLOOKUP($A273,EnrollData2324,'2324 Jun 24 Enroll'!M$1,FALSE)-VLOOKUP($A273,EnrollData2324,'2324 Jun 24 Enroll'!J$1,FALSE),'District Calculations'!$B$16+'District Calculations'!$B$25-'District Calculations'!$B$17)*Apport_216A2324,3)</f>
        <v>58.183999999999997</v>
      </c>
      <c r="J273">
        <f>ROUND(SUM(D273:I273)/(IF(VLOOKUP($A273,EnrollData2324,'2324 Jun 24 Enroll'!M$1,FALSE)='District Calculations'!$B$25,VLOOKUP($A273,EnrollData2324,'2324 Jun 24 Enroll'!M$1,FALSE),'District Calculations'!$B$25)+IF(VLOOKUP($A273,EnrollData2324,'2324 Jun 24 Enroll'!D$1,FALSE)='District Calculations'!$B$11,VLOOKUP($A273,EnrollData2324,'2324 Jun 24 Enroll'!D$1,FALSE),'District Calculations'!$B$11)),5)</f>
        <v>5.5530000000000003E-2</v>
      </c>
      <c r="K273" s="11">
        <f t="shared" si="65"/>
        <v>4.365E-3</v>
      </c>
      <c r="L273">
        <f>ROUND(IF(VLOOKUP($A273,EnrollData2324,'2324 Jun 24 Enroll'!D$1,FALSE)='District Calculations'!$B$11,VLOOKUP($A273,EnrollData2324,'2324 Jun 24 Enroll'!D$1,FALSE),'District Calculations'!$B$11)*K273,3)</f>
        <v>0</v>
      </c>
      <c r="M273">
        <f>ROUND(IF(VLOOKUP($A273,EnrollData2324,'2324 Jun 24 Enroll'!E$1,FALSE)='District Calculations'!$B$12,VLOOKUP($A273,EnrollData2324,'2324 Jun 24 Enroll'!E$1,FALSE),'District Calculations'!$B$12)*K273,3)</f>
        <v>3.5379999999999998</v>
      </c>
      <c r="N273">
        <f>ROUND(IF(VLOOKUP($A273,EnrollData2324,'2324 Jun 24 Enroll'!F$1,FALSE)='District Calculations'!$B$13,VLOOKUP($A273,EnrollData2324,'2324 Jun 24 Enroll'!F$1,FALSE),'District Calculations'!$B$13)*Apport_223A2324,3)</f>
        <v>0.84199999999999997</v>
      </c>
      <c r="O273">
        <f>ROUND(IF(VLOOKUP($A273,EnrollData2324,'2324 Jun 24 Enroll'!G$1,FALSE)='District Calculations'!$B$14,VLOOKUP($A273,EnrollData2324,'2324 Jun 24 Enroll'!G$1,FALSE),'District Calculations'!$B$14)*Apport_211A2324,3)</f>
        <v>1.867</v>
      </c>
      <c r="P273">
        <f>ROUND(IF(VLOOKUP($A273,EnrollData2324,'2324 Jun 24 Enroll'!H$1,FALSE)='District Calculations'!$B$14,VLOOKUP($A273,EnrollData2324,'2324 Jun 24 Enroll'!H$1,FALSE),'District Calculations'!$B$14)*Apport_214A2324,3)</f>
        <v>1.8660000000000001</v>
      </c>
      <c r="Q273">
        <f>ROUND(IF(VLOOKUP($A273,EnrollData2324,'2324 Jun 24 Enroll'!I$1,FALSE)+VLOOKUP($A273,EnrollData2324,'2324 Jun 24 Enroll'!M$1,FALSE)-VLOOKUP($A273,EnrollData2324,'2324 Jun 24 Enroll'!J$1,FALSE)='District Calculations'!$B$16+'District Calculations'!$B$25-'District Calculations'!$B$17,VLOOKUP($A273,EnrollData2324,'2324 Jun 24 Enroll'!I$1,FALSE)+VLOOKUP($A273,EnrollData2324,'2324 Jun 24 Enroll'!M$1,FALSE)-VLOOKUP($A273,EnrollData2324,'2324 Jun 24 Enroll'!J$1,FALSE),'District Calculations'!$B$16+'District Calculations'!$B$25-'District Calculations'!$B$17)*Apport_217A2324,3)</f>
        <v>4.6980000000000004</v>
      </c>
      <c r="R273">
        <f>ROUND(SUM(L273:Q273)/IF(VLOOKUP($A273,EnrollData2324,'2324 Jun 24 Enroll'!M$1,FALSE)+VLOOKUP($A273,EnrollData2324,'2324 Jun 24 Enroll'!D$1,FALSE)='District Calculations'!$B$25+'District Calculations'!$B$11,VLOOKUP($A273,EnrollData2324,'2324 Jun 24 Enroll'!M$1,FALSE)+VLOOKUP($A273,EnrollData2324,'2324 Jun 24 Enroll'!D$1,FALSE),'District Calculations'!$B$25+'District Calculations'!$B$11),5)</f>
        <v>4.1000000000000003E-3</v>
      </c>
      <c r="S273" s="11">
        <f t="shared" si="66"/>
        <v>1.8294500000000002E-2</v>
      </c>
      <c r="T273">
        <f>ROUND(IF(VLOOKUP($A273,EnrollData2324,'2324 Jun 24 Enroll'!D$1,FALSE)='District Calculations'!$B$11,VLOOKUP($A273,EnrollData2324,'2324 Jun 24 Enroll'!D$1,FALSE),'District Calculations'!$B$11)*S273,3)</f>
        <v>0</v>
      </c>
      <c r="U273">
        <f>ROUND(IF(VLOOKUP($A273,EnrollData2324,'2324 Jun 24 Enroll'!E$1,FALSE)='District Calculations'!$B$12,VLOOKUP($A273,EnrollData2324,'2324 Jun 24 Enroll'!E$1,FALSE),'District Calculations'!$B$12)*S273,3)</f>
        <v>14.827999999999999</v>
      </c>
      <c r="V273">
        <f>ROUND(IF(VLOOKUP($A273,EnrollData2324,'2324 Jun 24 Enroll'!F$1,FALSE)='District Calculations'!$B$13,VLOOKUP($A273,EnrollData2324,'2324 Jun 24 Enroll'!F$1,FALSE),'District Calculations'!$B$13)*Apport_224A2324,3)</f>
        <v>3.6190000000000002</v>
      </c>
      <c r="W273">
        <f>ROUND(IF(VLOOKUP($A273,EnrollData2324,'2324 Jun 24 Enroll'!G$1,FALSE)='District Calculations'!$B$14,VLOOKUP($A273,EnrollData2324,'2324 Jun 24 Enroll'!G$1,FALSE),'District Calculations'!$B$14)*Apport_212A2324,3)</f>
        <v>8.0239999999999991</v>
      </c>
      <c r="X273">
        <f>ROUND(IF(VLOOKUP($A273,EnrollData2324,'2324 Jun 24 Enroll'!H$1,FALSE)='District Calculations'!$B$14,VLOOKUP($A273,EnrollData2324,'2324 Jun 24 Enroll'!H$1,FALSE),'District Calculations'!$B$14)*Apport_215A2324,3)</f>
        <v>7.9279999999999999</v>
      </c>
      <c r="Y273">
        <f>ROUND(IF(VLOOKUP($A273,EnrollData2324,'2324 Jun 24 Enroll'!I$1,FALSE)+VLOOKUP($A273,EnrollData2324,'2324 Jun 24 Enroll'!M$1,FALSE)-VLOOKUP($A273,EnrollData2324,'2324 Jun 24 Enroll'!J$1,FALSE)='District Calculations'!$B$16+'District Calculations'!$B$25-'District Calculations'!$B$17,VLOOKUP($A273,EnrollData2324,'2324 Jun 24 Enroll'!I$1,FALSE)+VLOOKUP($A273,EnrollData2324,'2324 Jun 24 Enroll'!M$1,FALSE)-VLOOKUP($A273,EnrollData2324,'2324 Jun 24 Enroll'!J$1,FALSE),'District Calculations'!$B$16+'District Calculations'!$B$25-'District Calculations'!$B$17)*Apport_218A2324,3)</f>
        <v>19.917999999999999</v>
      </c>
      <c r="Z273">
        <f>ROUND(SUM(T273:Y273)/IF(VLOOKUP($A273,EnrollData2324,'2324 Jun 24 Enroll'!M$1,FALSE)+VLOOKUP($A273,EnrollData2324,'2324 Jun 24 Enroll'!D$1,FALSE)='District Calculations'!$B$25+'District Calculations'!$B$11,VLOOKUP($A273,EnrollData2324,'2324 Jun 24 Enroll'!M$1,FALSE)+VLOOKUP($A273,EnrollData2324,'2324 Jun 24 Enroll'!D$1,FALSE),'District Calculations'!$B$25+'District Calculations'!$B$11),5)</f>
        <v>1.7399999999999999E-2</v>
      </c>
      <c r="AA273" s="6">
        <f>ROUND($J273*CIS_Base_Salary2324*VLOOKUP($A273,EnrollData2324,'2324 Jun 24 Enroll'!S$1,FALSE),2)</f>
        <v>4280.8999999999996</v>
      </c>
      <c r="AB273" s="6">
        <f>ROUND($J273*CIS_Inc_Salary2324*(VLOOKUP($A273,EnrollData2324,'2324 Jun 24 Enroll'!T$1,FALSE)+VLOOKUP($A273,EnrollData2324,'2324 Jun 24 Enroll'!U$1,FALSE)),2)-AA273</f>
        <v>158.40000000000055</v>
      </c>
      <c r="AC273" s="6">
        <f>ROUND($R273*CAS_Base_Salary2324*VLOOKUP($A273,EnrollData2324,'2324 Jun 24 Enroll'!S$1,FALSE),2)</f>
        <v>469.17</v>
      </c>
      <c r="AD273" s="6">
        <f>ROUND($R273*CAS_Inc_Salary2324*VLOOKUP($A273,EnrollData2324,'2324 Jun 24 Enroll'!T$1,FALSE),2)-AC273</f>
        <v>17.359999999999957</v>
      </c>
      <c r="AE273" s="6">
        <f>ROUND($Z273*CLS_Base_Salary2324*VLOOKUP($A273,EnrollData2324,'2324 Jun 24 Enroll'!S$1,FALSE),2)</f>
        <v>962.28</v>
      </c>
      <c r="AF273" s="6">
        <f>ROUND($Z273*CLS_Inc_Salary2324*VLOOKUP($A273,EnrollData2324,'2324 Jun 24 Enroll'!T$1,FALSE),2)-AE273</f>
        <v>35.600000000000023</v>
      </c>
      <c r="AG273">
        <f t="shared" si="76"/>
        <v>734.16</v>
      </c>
      <c r="AH273" s="69">
        <f t="shared" si="67"/>
        <v>68.700000000000045</v>
      </c>
      <c r="AI273">
        <f t="shared" si="77"/>
        <v>214.23</v>
      </c>
      <c r="AJ273">
        <f t="shared" si="68"/>
        <v>114.21000000000001</v>
      </c>
      <c r="AK273">
        <f t="shared" si="69"/>
        <v>853.59</v>
      </c>
      <c r="AL273">
        <f t="shared" si="70"/>
        <v>30.46</v>
      </c>
      <c r="AM273">
        <f t="shared" si="71"/>
        <v>212.28</v>
      </c>
      <c r="AN273">
        <f t="shared" si="72"/>
        <v>6.61</v>
      </c>
      <c r="AO273">
        <f>ROUND(($J273*CIS_Inc_Salary2324*(VLOOKUP($A273,EnrollData2324,'2324 Jun 24 Enroll'!T$1,FALSE)+VLOOKUP($A273,EnrollData2324,'2324 Jun 24 Enroll'!U$1,FALSE))/Apport_613Xpd)*Apport_614Xpd,2)</f>
        <v>73.989999999999995</v>
      </c>
      <c r="AP273">
        <f t="shared" si="73"/>
        <v>12.82</v>
      </c>
      <c r="AQ273">
        <f t="shared" si="74"/>
        <v>30.93</v>
      </c>
      <c r="AR273" s="6">
        <f>ROUND((VLOOKUP($A273,EnrollData2324,'2324 Jun 24 Enroll'!D$1,FALSE)*Apport_M802324+VLOOKUP($A273,EnrollData2324,'2324 Jun 24 Enroll'!M$1,FALSE)*Apport_M802324+(VLOOKUP($A273,EnrollData2324,'2324 Jun 24 Enroll'!P$1,FALSE)+VLOOKUP($A273,EnrollData2324,'2324 Jun 24 Enroll'!Q$1,FALSE)+VLOOKUP($A273,EnrollData2324,'2324 Jun 24 Enroll'!R$1,FALSE)+VLOOKUP($A273,EnrollData2324,'2324 Jun 24 Enroll'!I$1,FALSE)+VLOOKUP($A273,EnrollData2324,'2324 Jun 24 Enroll'!N$1,FALSE)+VLOOKUP($A273,EnrollData2324,'2324 Jun 24 Enroll'!O$1,FALSE)+VLOOKUP($A273,EnrollData2324,'2324 Jun 24 Enroll'!K$1,FALSE)+VLOOKUP($A273,EnrollData2324,'2324 Jun 24 Enroll'!L$1,FALSE))*Apport_M812324)/(VLOOKUP($A273,EnrollData2324,'2324 Jun 24 Enroll'!M$1,FALSE)+VLOOKUP($A273,EnrollData2324,'2324 Jun 24 Enroll'!D$1,FALSE)),2)</f>
        <v>1546.6</v>
      </c>
      <c r="AS273" s="7">
        <f t="shared" si="75"/>
        <v>9822.2899999999991</v>
      </c>
    </row>
    <row r="274" spans="1:45">
      <c r="A274" s="40" t="s">
        <v>637</v>
      </c>
      <c r="B274" s="40" t="s">
        <v>638</v>
      </c>
      <c r="C274" s="11">
        <f>ROUND((IFERROR((1/IF(VLOOKUP($A274,EnrollData2324,28,FALSE)='District Calculations'!$B$10,VLOOKUP($A274,EnrollData2324,28,FALSE),'District Calculations'!$B$10))*(1+Apport_Z315),0))+Apport_201A2324,6)</f>
        <v>7.3449E-2</v>
      </c>
      <c r="D274">
        <f>ROUND(IF(VLOOKUP($A274,EnrollData2324,'2324 Jun 24 Enroll'!D$1,FALSE)='District Calculations'!$B$11,VLOOKUP($A274,EnrollData2324,'2324 Jun 24 Enroll'!D$1,FALSE),'District Calculations'!$B$11)*C274,3)</f>
        <v>0</v>
      </c>
      <c r="E274">
        <f>ROUND(IF(VLOOKUP($A274,EnrollData2324,'2324 Jun 24 Enroll'!E$1,FALSE)='District Calculations'!$B$12,VLOOKUP($A274,EnrollData2324,'2324 Jun 24 Enroll'!E$1,FALSE),'District Calculations'!$B$12)*C274,3)</f>
        <v>59.53</v>
      </c>
      <c r="F274">
        <f>ROUND(IF(VLOOKUP($A274,EnrollData2324,'2324 Jun 24 Enroll'!F$1,FALSE)='District Calculations'!$B$13,VLOOKUP($A274,EnrollData2324,'2324 Jun 24 Enroll'!F$1,FALSE),'District Calculations'!$B$13)*Apport_222A2324,3)</f>
        <v>10.101000000000001</v>
      </c>
      <c r="G274">
        <f>ROUND(IF(VLOOKUP($A274,EnrollData2324,'2324 Jun 24 Enroll'!G$1,FALSE)='District Calculations'!$B$14,VLOOKUP($A274,EnrollData2324,'2324 Jun 24 Enroll'!G$1,FALSE),'District Calculations'!$B$14)*Apport_210A2324,3)</f>
        <v>22.395</v>
      </c>
      <c r="H274">
        <f>ROUND(IF(VLOOKUP($A274,EnrollData2324,'2324 Jun 24 Enroll'!H$1,FALSE)='District Calculations'!$B$15,VLOOKUP($A274,EnrollData2324,'2324 Jun 24 Enroll'!H$1,FALSE),'District Calculations'!$B$15)*Apport_213A2324,3)</f>
        <v>23.091999999999999</v>
      </c>
      <c r="I274">
        <f>ROUND(IF(VLOOKUP($A274,EnrollData2324,'2324 Jun 24 Enroll'!I$1,FALSE)+VLOOKUP($A274,EnrollData2324,'2324 Jun 24 Enroll'!M$1,FALSE)-VLOOKUP($A274,EnrollData2324,'2324 Jun 24 Enroll'!J$1,FALSE)='District Calculations'!$B$16+'District Calculations'!$B$25-'District Calculations'!$B$17,VLOOKUP($A274,EnrollData2324,'2324 Jun 24 Enroll'!I$1,FALSE)+VLOOKUP($A274,EnrollData2324,'2324 Jun 24 Enroll'!M$1,FALSE)-VLOOKUP($A274,EnrollData2324,'2324 Jun 24 Enroll'!J$1,FALSE),'District Calculations'!$B$16+'District Calculations'!$B$25-'District Calculations'!$B$17)*Apport_216A2324,3)</f>
        <v>58.183999999999997</v>
      </c>
      <c r="J274">
        <f>ROUND(SUM(D274:I274)/(IF(VLOOKUP($A274,EnrollData2324,'2324 Jun 24 Enroll'!M$1,FALSE)='District Calculations'!$B$25,VLOOKUP($A274,EnrollData2324,'2324 Jun 24 Enroll'!M$1,FALSE),'District Calculations'!$B$25)+IF(VLOOKUP($A274,EnrollData2324,'2324 Jun 24 Enroll'!D$1,FALSE)='District Calculations'!$B$11,VLOOKUP($A274,EnrollData2324,'2324 Jun 24 Enroll'!D$1,FALSE),'District Calculations'!$B$11)),5)</f>
        <v>5.5530000000000003E-2</v>
      </c>
      <c r="K274" s="11">
        <f t="shared" si="65"/>
        <v>4.365E-3</v>
      </c>
      <c r="L274">
        <f>ROUND(IF(VLOOKUP($A274,EnrollData2324,'2324 Jun 24 Enroll'!D$1,FALSE)='District Calculations'!$B$11,VLOOKUP($A274,EnrollData2324,'2324 Jun 24 Enroll'!D$1,FALSE),'District Calculations'!$B$11)*K274,3)</f>
        <v>0</v>
      </c>
      <c r="M274">
        <f>ROUND(IF(VLOOKUP($A274,EnrollData2324,'2324 Jun 24 Enroll'!E$1,FALSE)='District Calculations'!$B$12,VLOOKUP($A274,EnrollData2324,'2324 Jun 24 Enroll'!E$1,FALSE),'District Calculations'!$B$12)*K274,3)</f>
        <v>3.5379999999999998</v>
      </c>
      <c r="N274">
        <f>ROUND(IF(VLOOKUP($A274,EnrollData2324,'2324 Jun 24 Enroll'!F$1,FALSE)='District Calculations'!$B$13,VLOOKUP($A274,EnrollData2324,'2324 Jun 24 Enroll'!F$1,FALSE),'District Calculations'!$B$13)*Apport_223A2324,3)</f>
        <v>0.84199999999999997</v>
      </c>
      <c r="O274">
        <f>ROUND(IF(VLOOKUP($A274,EnrollData2324,'2324 Jun 24 Enroll'!G$1,FALSE)='District Calculations'!$B$14,VLOOKUP($A274,EnrollData2324,'2324 Jun 24 Enroll'!G$1,FALSE),'District Calculations'!$B$14)*Apport_211A2324,3)</f>
        <v>1.867</v>
      </c>
      <c r="P274">
        <f>ROUND(IF(VLOOKUP($A274,EnrollData2324,'2324 Jun 24 Enroll'!H$1,FALSE)='District Calculations'!$B$14,VLOOKUP($A274,EnrollData2324,'2324 Jun 24 Enroll'!H$1,FALSE),'District Calculations'!$B$14)*Apport_214A2324,3)</f>
        <v>1.8660000000000001</v>
      </c>
      <c r="Q274">
        <f>ROUND(IF(VLOOKUP($A274,EnrollData2324,'2324 Jun 24 Enroll'!I$1,FALSE)+VLOOKUP($A274,EnrollData2324,'2324 Jun 24 Enroll'!M$1,FALSE)-VLOOKUP($A274,EnrollData2324,'2324 Jun 24 Enroll'!J$1,FALSE)='District Calculations'!$B$16+'District Calculations'!$B$25-'District Calculations'!$B$17,VLOOKUP($A274,EnrollData2324,'2324 Jun 24 Enroll'!I$1,FALSE)+VLOOKUP($A274,EnrollData2324,'2324 Jun 24 Enroll'!M$1,FALSE)-VLOOKUP($A274,EnrollData2324,'2324 Jun 24 Enroll'!J$1,FALSE),'District Calculations'!$B$16+'District Calculations'!$B$25-'District Calculations'!$B$17)*Apport_217A2324,3)</f>
        <v>4.6980000000000004</v>
      </c>
      <c r="R274">
        <f>ROUND(SUM(L274:Q274)/IF(VLOOKUP($A274,EnrollData2324,'2324 Jun 24 Enroll'!M$1,FALSE)+VLOOKUP($A274,EnrollData2324,'2324 Jun 24 Enroll'!D$1,FALSE)='District Calculations'!$B$25+'District Calculations'!$B$11,VLOOKUP($A274,EnrollData2324,'2324 Jun 24 Enroll'!M$1,FALSE)+VLOOKUP($A274,EnrollData2324,'2324 Jun 24 Enroll'!D$1,FALSE),'District Calculations'!$B$25+'District Calculations'!$B$11),5)</f>
        <v>4.1000000000000003E-3</v>
      </c>
      <c r="S274" s="11">
        <f t="shared" si="66"/>
        <v>1.8294500000000002E-2</v>
      </c>
      <c r="T274">
        <f>ROUND(IF(VLOOKUP($A274,EnrollData2324,'2324 Jun 24 Enroll'!D$1,FALSE)='District Calculations'!$B$11,VLOOKUP($A274,EnrollData2324,'2324 Jun 24 Enroll'!D$1,FALSE),'District Calculations'!$B$11)*S274,3)</f>
        <v>0</v>
      </c>
      <c r="U274">
        <f>ROUND(IF(VLOOKUP($A274,EnrollData2324,'2324 Jun 24 Enroll'!E$1,FALSE)='District Calculations'!$B$12,VLOOKUP($A274,EnrollData2324,'2324 Jun 24 Enroll'!E$1,FALSE),'District Calculations'!$B$12)*S274,3)</f>
        <v>14.827999999999999</v>
      </c>
      <c r="V274">
        <f>ROUND(IF(VLOOKUP($A274,EnrollData2324,'2324 Jun 24 Enroll'!F$1,FALSE)='District Calculations'!$B$13,VLOOKUP($A274,EnrollData2324,'2324 Jun 24 Enroll'!F$1,FALSE),'District Calculations'!$B$13)*Apport_224A2324,3)</f>
        <v>3.6190000000000002</v>
      </c>
      <c r="W274">
        <f>ROUND(IF(VLOOKUP($A274,EnrollData2324,'2324 Jun 24 Enroll'!G$1,FALSE)='District Calculations'!$B$14,VLOOKUP($A274,EnrollData2324,'2324 Jun 24 Enroll'!G$1,FALSE),'District Calculations'!$B$14)*Apport_212A2324,3)</f>
        <v>8.0239999999999991</v>
      </c>
      <c r="X274">
        <f>ROUND(IF(VLOOKUP($A274,EnrollData2324,'2324 Jun 24 Enroll'!H$1,FALSE)='District Calculations'!$B$14,VLOOKUP($A274,EnrollData2324,'2324 Jun 24 Enroll'!H$1,FALSE),'District Calculations'!$B$14)*Apport_215A2324,3)</f>
        <v>7.9279999999999999</v>
      </c>
      <c r="Y274">
        <f>ROUND(IF(VLOOKUP($A274,EnrollData2324,'2324 Jun 24 Enroll'!I$1,FALSE)+VLOOKUP($A274,EnrollData2324,'2324 Jun 24 Enroll'!M$1,FALSE)-VLOOKUP($A274,EnrollData2324,'2324 Jun 24 Enroll'!J$1,FALSE)='District Calculations'!$B$16+'District Calculations'!$B$25-'District Calculations'!$B$17,VLOOKUP($A274,EnrollData2324,'2324 Jun 24 Enroll'!I$1,FALSE)+VLOOKUP($A274,EnrollData2324,'2324 Jun 24 Enroll'!M$1,FALSE)-VLOOKUP($A274,EnrollData2324,'2324 Jun 24 Enroll'!J$1,FALSE),'District Calculations'!$B$16+'District Calculations'!$B$25-'District Calculations'!$B$17)*Apport_218A2324,3)</f>
        <v>19.917999999999999</v>
      </c>
      <c r="Z274">
        <f>ROUND(SUM(T274:Y274)/IF(VLOOKUP($A274,EnrollData2324,'2324 Jun 24 Enroll'!M$1,FALSE)+VLOOKUP($A274,EnrollData2324,'2324 Jun 24 Enroll'!D$1,FALSE)='District Calculations'!$B$25+'District Calculations'!$B$11,VLOOKUP($A274,EnrollData2324,'2324 Jun 24 Enroll'!M$1,FALSE)+VLOOKUP($A274,EnrollData2324,'2324 Jun 24 Enroll'!D$1,FALSE),'District Calculations'!$B$25+'District Calculations'!$B$11),5)</f>
        <v>1.7399999999999999E-2</v>
      </c>
      <c r="AA274" s="6">
        <f>ROUND($J274*CIS_Base_Salary2324*VLOOKUP($A274,EnrollData2324,'2324 Jun 24 Enroll'!S$1,FALSE),2)</f>
        <v>4099.16</v>
      </c>
      <c r="AB274" s="6">
        <f>ROUND($J274*CIS_Inc_Salary2324*(VLOOKUP($A274,EnrollData2324,'2324 Jun 24 Enroll'!T$1,FALSE)+VLOOKUP($A274,EnrollData2324,'2324 Jun 24 Enroll'!U$1,FALSE)),2)-AA274</f>
        <v>151.68000000000029</v>
      </c>
      <c r="AC274" s="6">
        <f>ROUND($R274*CAS_Base_Salary2324*VLOOKUP($A274,EnrollData2324,'2324 Jun 24 Enroll'!S$1,FALSE),2)</f>
        <v>449.25</v>
      </c>
      <c r="AD274" s="6">
        <f>ROUND($R274*CAS_Inc_Salary2324*VLOOKUP($A274,EnrollData2324,'2324 Jun 24 Enroll'!T$1,FALSE),2)-AC274</f>
        <v>16.629999999999995</v>
      </c>
      <c r="AE274" s="6">
        <f>ROUND($Z274*CLS_Base_Salary2324*VLOOKUP($A274,EnrollData2324,'2324 Jun 24 Enroll'!S$1,FALSE),2)</f>
        <v>921.43</v>
      </c>
      <c r="AF274" s="6">
        <f>ROUND($Z274*CLS_Inc_Salary2324*VLOOKUP($A274,EnrollData2324,'2324 Jun 24 Enroll'!T$1,FALSE),2)-AE274</f>
        <v>34.080000000000041</v>
      </c>
      <c r="AG274">
        <f t="shared" si="76"/>
        <v>734.16</v>
      </c>
      <c r="AH274" s="69">
        <f t="shared" si="67"/>
        <v>68.700000000000045</v>
      </c>
      <c r="AI274">
        <f t="shared" si="77"/>
        <v>214.23</v>
      </c>
      <c r="AJ274">
        <f t="shared" si="68"/>
        <v>114.21000000000001</v>
      </c>
      <c r="AK274">
        <f t="shared" si="69"/>
        <v>817.35</v>
      </c>
      <c r="AL274">
        <f t="shared" si="70"/>
        <v>29.17</v>
      </c>
      <c r="AM274">
        <f t="shared" si="71"/>
        <v>203.27</v>
      </c>
      <c r="AN274">
        <f t="shared" si="72"/>
        <v>6.33</v>
      </c>
      <c r="AO274">
        <f>ROUND(($J274*CIS_Inc_Salary2324*(VLOOKUP($A274,EnrollData2324,'2324 Jun 24 Enroll'!T$1,FALSE)+VLOOKUP($A274,EnrollData2324,'2324 Jun 24 Enroll'!U$1,FALSE))/Apport_613Xpd)*Apport_614Xpd,2)</f>
        <v>70.849999999999994</v>
      </c>
      <c r="AP274">
        <f t="shared" si="73"/>
        <v>12.28</v>
      </c>
      <c r="AQ274">
        <f t="shared" si="74"/>
        <v>30.93</v>
      </c>
      <c r="AR274" s="6">
        <f>ROUND((VLOOKUP($A274,EnrollData2324,'2324 Jun 24 Enroll'!D$1,FALSE)*Apport_M802324+VLOOKUP($A274,EnrollData2324,'2324 Jun 24 Enroll'!M$1,FALSE)*Apport_M802324+(VLOOKUP($A274,EnrollData2324,'2324 Jun 24 Enroll'!P$1,FALSE)+VLOOKUP($A274,EnrollData2324,'2324 Jun 24 Enroll'!Q$1,FALSE)+VLOOKUP($A274,EnrollData2324,'2324 Jun 24 Enroll'!R$1,FALSE)+VLOOKUP($A274,EnrollData2324,'2324 Jun 24 Enroll'!I$1,FALSE)+VLOOKUP($A274,EnrollData2324,'2324 Jun 24 Enroll'!N$1,FALSE)+VLOOKUP($A274,EnrollData2324,'2324 Jun 24 Enroll'!O$1,FALSE)+VLOOKUP($A274,EnrollData2324,'2324 Jun 24 Enroll'!K$1,FALSE)+VLOOKUP($A274,EnrollData2324,'2324 Jun 24 Enroll'!L$1,FALSE))*Apport_M812324)/(VLOOKUP($A274,EnrollData2324,'2324 Jun 24 Enroll'!M$1,FALSE)+VLOOKUP($A274,EnrollData2324,'2324 Jun 24 Enroll'!D$1,FALSE)),2)</f>
        <v>1549.26</v>
      </c>
      <c r="AS274" s="7">
        <f t="shared" si="75"/>
        <v>9522.9700000000012</v>
      </c>
    </row>
    <row r="275" spans="1:45">
      <c r="A275" s="40" t="s">
        <v>311</v>
      </c>
      <c r="B275" s="40" t="s">
        <v>312</v>
      </c>
      <c r="C275" s="11">
        <f>ROUND((IFERROR((1/IF(VLOOKUP($A275,EnrollData2324,28,FALSE)='District Calculations'!$B$10,VLOOKUP($A275,EnrollData2324,28,FALSE),'District Calculations'!$B$10))*(1+Apport_Z315),0))+Apport_201A2324,6)</f>
        <v>7.3449E-2</v>
      </c>
      <c r="D275">
        <f>ROUND(IF(VLOOKUP($A275,EnrollData2324,'2324 Jun 24 Enroll'!D$1,FALSE)='District Calculations'!$B$11,VLOOKUP($A275,EnrollData2324,'2324 Jun 24 Enroll'!D$1,FALSE),'District Calculations'!$B$11)*C275,3)</f>
        <v>0</v>
      </c>
      <c r="E275">
        <f>ROUND(IF(VLOOKUP($A275,EnrollData2324,'2324 Jun 24 Enroll'!E$1,FALSE)='District Calculations'!$B$12,VLOOKUP($A275,EnrollData2324,'2324 Jun 24 Enroll'!E$1,FALSE),'District Calculations'!$B$12)*C275,3)</f>
        <v>59.53</v>
      </c>
      <c r="F275">
        <f>ROUND(IF(VLOOKUP($A275,EnrollData2324,'2324 Jun 24 Enroll'!F$1,FALSE)='District Calculations'!$B$13,VLOOKUP($A275,EnrollData2324,'2324 Jun 24 Enroll'!F$1,FALSE),'District Calculations'!$B$13)*Apport_222A2324,3)</f>
        <v>10.101000000000001</v>
      </c>
      <c r="G275">
        <f>ROUND(IF(VLOOKUP($A275,EnrollData2324,'2324 Jun 24 Enroll'!G$1,FALSE)='District Calculations'!$B$14,VLOOKUP($A275,EnrollData2324,'2324 Jun 24 Enroll'!G$1,FALSE),'District Calculations'!$B$14)*Apport_210A2324,3)</f>
        <v>22.395</v>
      </c>
      <c r="H275">
        <f>ROUND(IF(VLOOKUP($A275,EnrollData2324,'2324 Jun 24 Enroll'!H$1,FALSE)='District Calculations'!$B$15,VLOOKUP($A275,EnrollData2324,'2324 Jun 24 Enroll'!H$1,FALSE),'District Calculations'!$B$15)*Apport_213A2324,3)</f>
        <v>23.091999999999999</v>
      </c>
      <c r="I275">
        <f>ROUND(IF(VLOOKUP($A275,EnrollData2324,'2324 Jun 24 Enroll'!I$1,FALSE)+VLOOKUP($A275,EnrollData2324,'2324 Jun 24 Enroll'!M$1,FALSE)-VLOOKUP($A275,EnrollData2324,'2324 Jun 24 Enroll'!J$1,FALSE)='District Calculations'!$B$16+'District Calculations'!$B$25-'District Calculations'!$B$17,VLOOKUP($A275,EnrollData2324,'2324 Jun 24 Enroll'!I$1,FALSE)+VLOOKUP($A275,EnrollData2324,'2324 Jun 24 Enroll'!M$1,FALSE)-VLOOKUP($A275,EnrollData2324,'2324 Jun 24 Enroll'!J$1,FALSE),'District Calculations'!$B$16+'District Calculations'!$B$25-'District Calculations'!$B$17)*Apport_216A2324,3)</f>
        <v>58.183999999999997</v>
      </c>
      <c r="J275">
        <f>ROUND(SUM(D275:I275)/(IF(VLOOKUP($A275,EnrollData2324,'2324 Jun 24 Enroll'!M$1,FALSE)='District Calculations'!$B$25,VLOOKUP($A275,EnrollData2324,'2324 Jun 24 Enroll'!M$1,FALSE),'District Calculations'!$B$25)+IF(VLOOKUP($A275,EnrollData2324,'2324 Jun 24 Enroll'!D$1,FALSE)='District Calculations'!$B$11,VLOOKUP($A275,EnrollData2324,'2324 Jun 24 Enroll'!D$1,FALSE),'District Calculations'!$B$11)),5)</f>
        <v>5.5530000000000003E-2</v>
      </c>
      <c r="K275" s="11">
        <f t="shared" si="65"/>
        <v>4.365E-3</v>
      </c>
      <c r="L275">
        <f>ROUND(IF(VLOOKUP($A275,EnrollData2324,'2324 Jun 24 Enroll'!D$1,FALSE)='District Calculations'!$B$11,VLOOKUP($A275,EnrollData2324,'2324 Jun 24 Enroll'!D$1,FALSE),'District Calculations'!$B$11)*K275,3)</f>
        <v>0</v>
      </c>
      <c r="M275">
        <f>ROUND(IF(VLOOKUP($A275,EnrollData2324,'2324 Jun 24 Enroll'!E$1,FALSE)='District Calculations'!$B$12,VLOOKUP($A275,EnrollData2324,'2324 Jun 24 Enroll'!E$1,FALSE),'District Calculations'!$B$12)*K275,3)</f>
        <v>3.5379999999999998</v>
      </c>
      <c r="N275">
        <f>ROUND(IF(VLOOKUP($A275,EnrollData2324,'2324 Jun 24 Enroll'!F$1,FALSE)='District Calculations'!$B$13,VLOOKUP($A275,EnrollData2324,'2324 Jun 24 Enroll'!F$1,FALSE),'District Calculations'!$B$13)*Apport_223A2324,3)</f>
        <v>0.84199999999999997</v>
      </c>
      <c r="O275">
        <f>ROUND(IF(VLOOKUP($A275,EnrollData2324,'2324 Jun 24 Enroll'!G$1,FALSE)='District Calculations'!$B$14,VLOOKUP($A275,EnrollData2324,'2324 Jun 24 Enroll'!G$1,FALSE),'District Calculations'!$B$14)*Apport_211A2324,3)</f>
        <v>1.867</v>
      </c>
      <c r="P275">
        <f>ROUND(IF(VLOOKUP($A275,EnrollData2324,'2324 Jun 24 Enroll'!H$1,FALSE)='District Calculations'!$B$14,VLOOKUP($A275,EnrollData2324,'2324 Jun 24 Enroll'!H$1,FALSE),'District Calculations'!$B$14)*Apport_214A2324,3)</f>
        <v>1.8660000000000001</v>
      </c>
      <c r="Q275">
        <f>ROUND(IF(VLOOKUP($A275,EnrollData2324,'2324 Jun 24 Enroll'!I$1,FALSE)+VLOOKUP($A275,EnrollData2324,'2324 Jun 24 Enroll'!M$1,FALSE)-VLOOKUP($A275,EnrollData2324,'2324 Jun 24 Enroll'!J$1,FALSE)='District Calculations'!$B$16+'District Calculations'!$B$25-'District Calculations'!$B$17,VLOOKUP($A275,EnrollData2324,'2324 Jun 24 Enroll'!I$1,FALSE)+VLOOKUP($A275,EnrollData2324,'2324 Jun 24 Enroll'!M$1,FALSE)-VLOOKUP($A275,EnrollData2324,'2324 Jun 24 Enroll'!J$1,FALSE),'District Calculations'!$B$16+'District Calculations'!$B$25-'District Calculations'!$B$17)*Apport_217A2324,3)</f>
        <v>4.6980000000000004</v>
      </c>
      <c r="R275">
        <f>ROUND(SUM(L275:Q275)/IF(VLOOKUP($A275,EnrollData2324,'2324 Jun 24 Enroll'!M$1,FALSE)+VLOOKUP($A275,EnrollData2324,'2324 Jun 24 Enroll'!D$1,FALSE)='District Calculations'!$B$25+'District Calculations'!$B$11,VLOOKUP($A275,EnrollData2324,'2324 Jun 24 Enroll'!M$1,FALSE)+VLOOKUP($A275,EnrollData2324,'2324 Jun 24 Enroll'!D$1,FALSE),'District Calculations'!$B$25+'District Calculations'!$B$11),5)</f>
        <v>4.1000000000000003E-3</v>
      </c>
      <c r="S275" s="11">
        <f t="shared" si="66"/>
        <v>1.8294500000000002E-2</v>
      </c>
      <c r="T275">
        <f>ROUND(IF(VLOOKUP($A275,EnrollData2324,'2324 Jun 24 Enroll'!D$1,FALSE)='District Calculations'!$B$11,VLOOKUP($A275,EnrollData2324,'2324 Jun 24 Enroll'!D$1,FALSE),'District Calculations'!$B$11)*S275,3)</f>
        <v>0</v>
      </c>
      <c r="U275">
        <f>ROUND(IF(VLOOKUP($A275,EnrollData2324,'2324 Jun 24 Enroll'!E$1,FALSE)='District Calculations'!$B$12,VLOOKUP($A275,EnrollData2324,'2324 Jun 24 Enroll'!E$1,FALSE),'District Calculations'!$B$12)*S275,3)</f>
        <v>14.827999999999999</v>
      </c>
      <c r="V275">
        <f>ROUND(IF(VLOOKUP($A275,EnrollData2324,'2324 Jun 24 Enroll'!F$1,FALSE)='District Calculations'!$B$13,VLOOKUP($A275,EnrollData2324,'2324 Jun 24 Enroll'!F$1,FALSE),'District Calculations'!$B$13)*Apport_224A2324,3)</f>
        <v>3.6190000000000002</v>
      </c>
      <c r="W275">
        <f>ROUND(IF(VLOOKUP($A275,EnrollData2324,'2324 Jun 24 Enroll'!G$1,FALSE)='District Calculations'!$B$14,VLOOKUP($A275,EnrollData2324,'2324 Jun 24 Enroll'!G$1,FALSE),'District Calculations'!$B$14)*Apport_212A2324,3)</f>
        <v>8.0239999999999991</v>
      </c>
      <c r="X275">
        <f>ROUND(IF(VLOOKUP($A275,EnrollData2324,'2324 Jun 24 Enroll'!H$1,FALSE)='District Calculations'!$B$14,VLOOKUP($A275,EnrollData2324,'2324 Jun 24 Enroll'!H$1,FALSE),'District Calculations'!$B$14)*Apport_215A2324,3)</f>
        <v>7.9279999999999999</v>
      </c>
      <c r="Y275">
        <f>ROUND(IF(VLOOKUP($A275,EnrollData2324,'2324 Jun 24 Enroll'!I$1,FALSE)+VLOOKUP($A275,EnrollData2324,'2324 Jun 24 Enroll'!M$1,FALSE)-VLOOKUP($A275,EnrollData2324,'2324 Jun 24 Enroll'!J$1,FALSE)='District Calculations'!$B$16+'District Calculations'!$B$25-'District Calculations'!$B$17,VLOOKUP($A275,EnrollData2324,'2324 Jun 24 Enroll'!I$1,FALSE)+VLOOKUP($A275,EnrollData2324,'2324 Jun 24 Enroll'!M$1,FALSE)-VLOOKUP($A275,EnrollData2324,'2324 Jun 24 Enroll'!J$1,FALSE),'District Calculations'!$B$16+'District Calculations'!$B$25-'District Calculations'!$B$17)*Apport_218A2324,3)</f>
        <v>19.917999999999999</v>
      </c>
      <c r="Z275">
        <f>ROUND(SUM(T275:Y275)/IF(VLOOKUP($A275,EnrollData2324,'2324 Jun 24 Enroll'!M$1,FALSE)+VLOOKUP($A275,EnrollData2324,'2324 Jun 24 Enroll'!D$1,FALSE)='District Calculations'!$B$25+'District Calculations'!$B$11,VLOOKUP($A275,EnrollData2324,'2324 Jun 24 Enroll'!M$1,FALSE)+VLOOKUP($A275,EnrollData2324,'2324 Jun 24 Enroll'!D$1,FALSE),'District Calculations'!$B$25+'District Calculations'!$B$11),5)</f>
        <v>1.7399999999999999E-2</v>
      </c>
      <c r="AA275" s="6">
        <f>ROUND($J275*CIS_Base_Salary2324*VLOOKUP($A275,EnrollData2324,'2324 Jun 24 Enroll'!S$1,FALSE),2)</f>
        <v>4038.59</v>
      </c>
      <c r="AB275" s="6">
        <f>ROUND($J275*CIS_Inc_Salary2324*(VLOOKUP($A275,EnrollData2324,'2324 Jun 24 Enroll'!T$1,FALSE)+VLOOKUP($A275,EnrollData2324,'2324 Jun 24 Enroll'!U$1,FALSE)),2)-AA275</f>
        <v>149.43000000000029</v>
      </c>
      <c r="AC275" s="6">
        <f>ROUND($R275*CAS_Base_Salary2324*VLOOKUP($A275,EnrollData2324,'2324 Jun 24 Enroll'!S$1,FALSE),2)</f>
        <v>442.62</v>
      </c>
      <c r="AD275" s="6">
        <f>ROUND($R275*CAS_Inc_Salary2324*VLOOKUP($A275,EnrollData2324,'2324 Jun 24 Enroll'!T$1,FALSE),2)-AC275</f>
        <v>16.379999999999995</v>
      </c>
      <c r="AE275" s="6">
        <f>ROUND($Z275*CLS_Base_Salary2324*VLOOKUP($A275,EnrollData2324,'2324 Jun 24 Enroll'!S$1,FALSE),2)</f>
        <v>907.81</v>
      </c>
      <c r="AF275" s="6">
        <f>ROUND($Z275*CLS_Inc_Salary2324*VLOOKUP($A275,EnrollData2324,'2324 Jun 24 Enroll'!T$1,FALSE),2)-AE275</f>
        <v>33.580000000000041</v>
      </c>
      <c r="AG275">
        <f t="shared" si="76"/>
        <v>734.16</v>
      </c>
      <c r="AH275" s="69">
        <f t="shared" si="67"/>
        <v>68.700000000000045</v>
      </c>
      <c r="AI275">
        <f t="shared" si="77"/>
        <v>214.23</v>
      </c>
      <c r="AJ275">
        <f t="shared" si="68"/>
        <v>114.21000000000001</v>
      </c>
      <c r="AK275">
        <f t="shared" si="69"/>
        <v>805.27</v>
      </c>
      <c r="AL275">
        <f t="shared" si="70"/>
        <v>28.73</v>
      </c>
      <c r="AM275">
        <f t="shared" si="71"/>
        <v>200.26</v>
      </c>
      <c r="AN275">
        <f t="shared" si="72"/>
        <v>6.23</v>
      </c>
      <c r="AO275">
        <f>ROUND(($J275*CIS_Inc_Salary2324*(VLOOKUP($A275,EnrollData2324,'2324 Jun 24 Enroll'!T$1,FALSE)+VLOOKUP($A275,EnrollData2324,'2324 Jun 24 Enroll'!U$1,FALSE))/Apport_613Xpd)*Apport_614Xpd,2)</f>
        <v>69.8</v>
      </c>
      <c r="AP275">
        <f t="shared" si="73"/>
        <v>12.1</v>
      </c>
      <c r="AQ275">
        <f t="shared" si="74"/>
        <v>30.93</v>
      </c>
      <c r="AR275" s="6">
        <f>ROUND((VLOOKUP($A275,EnrollData2324,'2324 Jun 24 Enroll'!D$1,FALSE)*Apport_M802324+VLOOKUP($A275,EnrollData2324,'2324 Jun 24 Enroll'!M$1,FALSE)*Apport_M802324+(VLOOKUP($A275,EnrollData2324,'2324 Jun 24 Enroll'!P$1,FALSE)+VLOOKUP($A275,EnrollData2324,'2324 Jun 24 Enroll'!Q$1,FALSE)+VLOOKUP($A275,EnrollData2324,'2324 Jun 24 Enroll'!R$1,FALSE)+VLOOKUP($A275,EnrollData2324,'2324 Jun 24 Enroll'!I$1,FALSE)+VLOOKUP($A275,EnrollData2324,'2324 Jun 24 Enroll'!N$1,FALSE)+VLOOKUP($A275,EnrollData2324,'2324 Jun 24 Enroll'!O$1,FALSE)+VLOOKUP($A275,EnrollData2324,'2324 Jun 24 Enroll'!K$1,FALSE)+VLOOKUP($A275,EnrollData2324,'2324 Jun 24 Enroll'!L$1,FALSE))*Apport_M812324)/(VLOOKUP($A275,EnrollData2324,'2324 Jun 24 Enroll'!M$1,FALSE)+VLOOKUP($A275,EnrollData2324,'2324 Jun 24 Enroll'!D$1,FALSE)),2)</f>
        <v>1558.24</v>
      </c>
      <c r="AS275" s="7">
        <f t="shared" si="75"/>
        <v>9431.27</v>
      </c>
    </row>
    <row r="276" spans="1:45">
      <c r="A276" s="40" t="s">
        <v>313</v>
      </c>
      <c r="B276" s="40" t="s">
        <v>314</v>
      </c>
      <c r="C276" s="11">
        <f>ROUND((IFERROR((1/IF(VLOOKUP($A276,EnrollData2324,28,FALSE)='District Calculations'!$B$10,VLOOKUP($A276,EnrollData2324,28,FALSE),'District Calculations'!$B$10))*(1+Apport_Z315),0))+Apport_201A2324,6)</f>
        <v>7.3449E-2</v>
      </c>
      <c r="D276">
        <f>ROUND(IF(VLOOKUP($A276,EnrollData2324,'2324 Jun 24 Enroll'!D$1,FALSE)='District Calculations'!$B$11,VLOOKUP($A276,EnrollData2324,'2324 Jun 24 Enroll'!D$1,FALSE),'District Calculations'!$B$11)*C276,3)</f>
        <v>0</v>
      </c>
      <c r="E276">
        <f>ROUND(IF(VLOOKUP($A276,EnrollData2324,'2324 Jun 24 Enroll'!E$1,FALSE)='District Calculations'!$B$12,VLOOKUP($A276,EnrollData2324,'2324 Jun 24 Enroll'!E$1,FALSE),'District Calculations'!$B$12)*C276,3)</f>
        <v>59.53</v>
      </c>
      <c r="F276">
        <f>ROUND(IF(VLOOKUP($A276,EnrollData2324,'2324 Jun 24 Enroll'!F$1,FALSE)='District Calculations'!$B$13,VLOOKUP($A276,EnrollData2324,'2324 Jun 24 Enroll'!F$1,FALSE),'District Calculations'!$B$13)*Apport_222A2324,3)</f>
        <v>10.101000000000001</v>
      </c>
      <c r="G276">
        <f>ROUND(IF(VLOOKUP($A276,EnrollData2324,'2324 Jun 24 Enroll'!G$1,FALSE)='District Calculations'!$B$14,VLOOKUP($A276,EnrollData2324,'2324 Jun 24 Enroll'!G$1,FALSE),'District Calculations'!$B$14)*Apport_210A2324,3)</f>
        <v>22.395</v>
      </c>
      <c r="H276">
        <f>ROUND(IF(VLOOKUP($A276,EnrollData2324,'2324 Jun 24 Enroll'!H$1,FALSE)='District Calculations'!$B$15,VLOOKUP($A276,EnrollData2324,'2324 Jun 24 Enroll'!H$1,FALSE),'District Calculations'!$B$15)*Apport_213A2324,3)</f>
        <v>23.091999999999999</v>
      </c>
      <c r="I276">
        <f>ROUND(IF(VLOOKUP($A276,EnrollData2324,'2324 Jun 24 Enroll'!I$1,FALSE)+VLOOKUP($A276,EnrollData2324,'2324 Jun 24 Enroll'!M$1,FALSE)-VLOOKUP($A276,EnrollData2324,'2324 Jun 24 Enroll'!J$1,FALSE)='District Calculations'!$B$16+'District Calculations'!$B$25-'District Calculations'!$B$17,VLOOKUP($A276,EnrollData2324,'2324 Jun 24 Enroll'!I$1,FALSE)+VLOOKUP($A276,EnrollData2324,'2324 Jun 24 Enroll'!M$1,FALSE)-VLOOKUP($A276,EnrollData2324,'2324 Jun 24 Enroll'!J$1,FALSE),'District Calculations'!$B$16+'District Calculations'!$B$25-'District Calculations'!$B$17)*Apport_216A2324,3)</f>
        <v>58.183999999999997</v>
      </c>
      <c r="J276">
        <f>ROUND(SUM(D276:I276)/(IF(VLOOKUP($A276,EnrollData2324,'2324 Jun 24 Enroll'!M$1,FALSE)='District Calculations'!$B$25,VLOOKUP($A276,EnrollData2324,'2324 Jun 24 Enroll'!M$1,FALSE),'District Calculations'!$B$25)+IF(VLOOKUP($A276,EnrollData2324,'2324 Jun 24 Enroll'!D$1,FALSE)='District Calculations'!$B$11,VLOOKUP($A276,EnrollData2324,'2324 Jun 24 Enroll'!D$1,FALSE),'District Calculations'!$B$11)),5)</f>
        <v>5.5530000000000003E-2</v>
      </c>
      <c r="K276" s="11">
        <f t="shared" si="65"/>
        <v>4.365E-3</v>
      </c>
      <c r="L276">
        <f>ROUND(IF(VLOOKUP($A276,EnrollData2324,'2324 Jun 24 Enroll'!D$1,FALSE)='District Calculations'!$B$11,VLOOKUP($A276,EnrollData2324,'2324 Jun 24 Enroll'!D$1,FALSE),'District Calculations'!$B$11)*K276,3)</f>
        <v>0</v>
      </c>
      <c r="M276">
        <f>ROUND(IF(VLOOKUP($A276,EnrollData2324,'2324 Jun 24 Enroll'!E$1,FALSE)='District Calculations'!$B$12,VLOOKUP($A276,EnrollData2324,'2324 Jun 24 Enroll'!E$1,FALSE),'District Calculations'!$B$12)*K276,3)</f>
        <v>3.5379999999999998</v>
      </c>
      <c r="N276">
        <f>ROUND(IF(VLOOKUP($A276,EnrollData2324,'2324 Jun 24 Enroll'!F$1,FALSE)='District Calculations'!$B$13,VLOOKUP($A276,EnrollData2324,'2324 Jun 24 Enroll'!F$1,FALSE),'District Calculations'!$B$13)*Apport_223A2324,3)</f>
        <v>0.84199999999999997</v>
      </c>
      <c r="O276">
        <f>ROUND(IF(VLOOKUP($A276,EnrollData2324,'2324 Jun 24 Enroll'!G$1,FALSE)='District Calculations'!$B$14,VLOOKUP($A276,EnrollData2324,'2324 Jun 24 Enroll'!G$1,FALSE),'District Calculations'!$B$14)*Apport_211A2324,3)</f>
        <v>1.867</v>
      </c>
      <c r="P276">
        <f>ROUND(IF(VLOOKUP($A276,EnrollData2324,'2324 Jun 24 Enroll'!H$1,FALSE)='District Calculations'!$B$14,VLOOKUP($A276,EnrollData2324,'2324 Jun 24 Enroll'!H$1,FALSE),'District Calculations'!$B$14)*Apport_214A2324,3)</f>
        <v>1.8660000000000001</v>
      </c>
      <c r="Q276">
        <f>ROUND(IF(VLOOKUP($A276,EnrollData2324,'2324 Jun 24 Enroll'!I$1,FALSE)+VLOOKUP($A276,EnrollData2324,'2324 Jun 24 Enroll'!M$1,FALSE)-VLOOKUP($A276,EnrollData2324,'2324 Jun 24 Enroll'!J$1,FALSE)='District Calculations'!$B$16+'District Calculations'!$B$25-'District Calculations'!$B$17,VLOOKUP($A276,EnrollData2324,'2324 Jun 24 Enroll'!I$1,FALSE)+VLOOKUP($A276,EnrollData2324,'2324 Jun 24 Enroll'!M$1,FALSE)-VLOOKUP($A276,EnrollData2324,'2324 Jun 24 Enroll'!J$1,FALSE),'District Calculations'!$B$16+'District Calculations'!$B$25-'District Calculations'!$B$17)*Apport_217A2324,3)</f>
        <v>4.6980000000000004</v>
      </c>
      <c r="R276">
        <f>ROUND(SUM(L276:Q276)/IF(VLOOKUP($A276,EnrollData2324,'2324 Jun 24 Enroll'!M$1,FALSE)+VLOOKUP($A276,EnrollData2324,'2324 Jun 24 Enroll'!D$1,FALSE)='District Calculations'!$B$25+'District Calculations'!$B$11,VLOOKUP($A276,EnrollData2324,'2324 Jun 24 Enroll'!M$1,FALSE)+VLOOKUP($A276,EnrollData2324,'2324 Jun 24 Enroll'!D$1,FALSE),'District Calculations'!$B$25+'District Calculations'!$B$11),5)</f>
        <v>4.1000000000000003E-3</v>
      </c>
      <c r="S276" s="11">
        <f t="shared" si="66"/>
        <v>1.8294500000000002E-2</v>
      </c>
      <c r="T276">
        <f>ROUND(IF(VLOOKUP($A276,EnrollData2324,'2324 Jun 24 Enroll'!D$1,FALSE)='District Calculations'!$B$11,VLOOKUP($A276,EnrollData2324,'2324 Jun 24 Enroll'!D$1,FALSE),'District Calculations'!$B$11)*S276,3)</f>
        <v>0</v>
      </c>
      <c r="U276">
        <f>ROUND(IF(VLOOKUP($A276,EnrollData2324,'2324 Jun 24 Enroll'!E$1,FALSE)='District Calculations'!$B$12,VLOOKUP($A276,EnrollData2324,'2324 Jun 24 Enroll'!E$1,FALSE),'District Calculations'!$B$12)*S276,3)</f>
        <v>14.827999999999999</v>
      </c>
      <c r="V276">
        <f>ROUND(IF(VLOOKUP($A276,EnrollData2324,'2324 Jun 24 Enroll'!F$1,FALSE)='District Calculations'!$B$13,VLOOKUP($A276,EnrollData2324,'2324 Jun 24 Enroll'!F$1,FALSE),'District Calculations'!$B$13)*Apport_224A2324,3)</f>
        <v>3.6190000000000002</v>
      </c>
      <c r="W276">
        <f>ROUND(IF(VLOOKUP($A276,EnrollData2324,'2324 Jun 24 Enroll'!G$1,FALSE)='District Calculations'!$B$14,VLOOKUP($A276,EnrollData2324,'2324 Jun 24 Enroll'!G$1,FALSE),'District Calculations'!$B$14)*Apport_212A2324,3)</f>
        <v>8.0239999999999991</v>
      </c>
      <c r="X276">
        <f>ROUND(IF(VLOOKUP($A276,EnrollData2324,'2324 Jun 24 Enroll'!H$1,FALSE)='District Calculations'!$B$14,VLOOKUP($A276,EnrollData2324,'2324 Jun 24 Enroll'!H$1,FALSE),'District Calculations'!$B$14)*Apport_215A2324,3)</f>
        <v>7.9279999999999999</v>
      </c>
      <c r="Y276">
        <f>ROUND(IF(VLOOKUP($A276,EnrollData2324,'2324 Jun 24 Enroll'!I$1,FALSE)+VLOOKUP($A276,EnrollData2324,'2324 Jun 24 Enroll'!M$1,FALSE)-VLOOKUP($A276,EnrollData2324,'2324 Jun 24 Enroll'!J$1,FALSE)='District Calculations'!$B$16+'District Calculations'!$B$25-'District Calculations'!$B$17,VLOOKUP($A276,EnrollData2324,'2324 Jun 24 Enroll'!I$1,FALSE)+VLOOKUP($A276,EnrollData2324,'2324 Jun 24 Enroll'!M$1,FALSE)-VLOOKUP($A276,EnrollData2324,'2324 Jun 24 Enroll'!J$1,FALSE),'District Calculations'!$B$16+'District Calculations'!$B$25-'District Calculations'!$B$17)*Apport_218A2324,3)</f>
        <v>19.917999999999999</v>
      </c>
      <c r="Z276">
        <f>ROUND(SUM(T276:Y276)/IF(VLOOKUP($A276,EnrollData2324,'2324 Jun 24 Enroll'!M$1,FALSE)+VLOOKUP($A276,EnrollData2324,'2324 Jun 24 Enroll'!D$1,FALSE)='District Calculations'!$B$25+'District Calculations'!$B$11,VLOOKUP($A276,EnrollData2324,'2324 Jun 24 Enroll'!M$1,FALSE)+VLOOKUP($A276,EnrollData2324,'2324 Jun 24 Enroll'!D$1,FALSE),'District Calculations'!$B$25+'District Calculations'!$B$11),5)</f>
        <v>1.7399999999999999E-2</v>
      </c>
      <c r="AA276" s="6">
        <f>ROUND($J276*CIS_Base_Salary2324*VLOOKUP($A276,EnrollData2324,'2324 Jun 24 Enroll'!S$1,FALSE),2)</f>
        <v>4038.59</v>
      </c>
      <c r="AB276" s="6">
        <f>ROUND($J276*CIS_Inc_Salary2324*(VLOOKUP($A276,EnrollData2324,'2324 Jun 24 Enroll'!T$1,FALSE)+VLOOKUP($A276,EnrollData2324,'2324 Jun 24 Enroll'!U$1,FALSE)),2)-AA276</f>
        <v>316.94999999999982</v>
      </c>
      <c r="AC276" s="6">
        <f>ROUND($R276*CAS_Base_Salary2324*VLOOKUP($A276,EnrollData2324,'2324 Jun 24 Enroll'!S$1,FALSE),2)</f>
        <v>442.62</v>
      </c>
      <c r="AD276" s="6">
        <f>ROUND($R276*CAS_Inc_Salary2324*VLOOKUP($A276,EnrollData2324,'2324 Jun 24 Enroll'!T$1,FALSE),2)-AC276</f>
        <v>16.379999999999995</v>
      </c>
      <c r="AE276" s="6">
        <f>ROUND($Z276*CLS_Base_Salary2324*VLOOKUP($A276,EnrollData2324,'2324 Jun 24 Enroll'!S$1,FALSE),2)</f>
        <v>907.81</v>
      </c>
      <c r="AF276" s="6">
        <f>ROUND($Z276*CLS_Inc_Salary2324*VLOOKUP($A276,EnrollData2324,'2324 Jun 24 Enroll'!T$1,FALSE),2)-AE276</f>
        <v>33.580000000000041</v>
      </c>
      <c r="AG276">
        <f t="shared" si="76"/>
        <v>734.16</v>
      </c>
      <c r="AH276" s="69">
        <f t="shared" si="67"/>
        <v>68.700000000000045</v>
      </c>
      <c r="AI276">
        <f t="shared" si="77"/>
        <v>214.23</v>
      </c>
      <c r="AJ276">
        <f t="shared" si="68"/>
        <v>114.21000000000001</v>
      </c>
      <c r="AK276">
        <f t="shared" si="69"/>
        <v>805.27</v>
      </c>
      <c r="AL276">
        <f t="shared" si="70"/>
        <v>57.77</v>
      </c>
      <c r="AM276">
        <f t="shared" si="71"/>
        <v>200.26</v>
      </c>
      <c r="AN276">
        <f t="shared" si="72"/>
        <v>6.23</v>
      </c>
      <c r="AO276">
        <f>ROUND(($J276*CIS_Inc_Salary2324*(VLOOKUP($A276,EnrollData2324,'2324 Jun 24 Enroll'!T$1,FALSE)+VLOOKUP($A276,EnrollData2324,'2324 Jun 24 Enroll'!U$1,FALSE))/Apport_613Xpd)*Apport_614Xpd,2)</f>
        <v>72.59</v>
      </c>
      <c r="AP276">
        <f t="shared" si="73"/>
        <v>12.58</v>
      </c>
      <c r="AQ276">
        <f t="shared" si="74"/>
        <v>30.93</v>
      </c>
      <c r="AR276" s="6">
        <f>ROUND((VLOOKUP($A276,EnrollData2324,'2324 Jun 24 Enroll'!D$1,FALSE)*Apport_M802324+VLOOKUP($A276,EnrollData2324,'2324 Jun 24 Enroll'!M$1,FALSE)*Apport_M802324+(VLOOKUP($A276,EnrollData2324,'2324 Jun 24 Enroll'!P$1,FALSE)+VLOOKUP($A276,EnrollData2324,'2324 Jun 24 Enroll'!Q$1,FALSE)+VLOOKUP($A276,EnrollData2324,'2324 Jun 24 Enroll'!R$1,FALSE)+VLOOKUP($A276,EnrollData2324,'2324 Jun 24 Enroll'!I$1,FALSE)+VLOOKUP($A276,EnrollData2324,'2324 Jun 24 Enroll'!N$1,FALSE)+VLOOKUP($A276,EnrollData2324,'2324 Jun 24 Enroll'!O$1,FALSE)+VLOOKUP($A276,EnrollData2324,'2324 Jun 24 Enroll'!K$1,FALSE)+VLOOKUP($A276,EnrollData2324,'2324 Jun 24 Enroll'!L$1,FALSE))*Apport_M812324)/(VLOOKUP($A276,EnrollData2324,'2324 Jun 24 Enroll'!M$1,FALSE)+VLOOKUP($A276,EnrollData2324,'2324 Jun 24 Enroll'!D$1,FALSE)),2)</f>
        <v>1561.39</v>
      </c>
      <c r="AS276" s="7">
        <f t="shared" si="75"/>
        <v>9634.25</v>
      </c>
    </row>
    <row r="277" spans="1:45">
      <c r="A277" s="40" t="s">
        <v>715</v>
      </c>
      <c r="B277" s="40" t="s">
        <v>716</v>
      </c>
      <c r="C277" s="11">
        <f>ROUND((IFERROR((1/IF(VLOOKUP($A277,EnrollData2324,28,FALSE)='District Calculations'!$B$10,VLOOKUP($A277,EnrollData2324,28,FALSE),'District Calculations'!$B$10))*(1+Apport_Z315),0))+Apport_201A2324,6)</f>
        <v>7.3449E-2</v>
      </c>
      <c r="D277">
        <f>ROUND(IF(VLOOKUP($A277,EnrollData2324,'2324 Jun 24 Enroll'!D$1,FALSE)='District Calculations'!$B$11,VLOOKUP($A277,EnrollData2324,'2324 Jun 24 Enroll'!D$1,FALSE),'District Calculations'!$B$11)*C277,3)</f>
        <v>0</v>
      </c>
      <c r="E277">
        <f>ROUND(IF(VLOOKUP($A277,EnrollData2324,'2324 Jun 24 Enroll'!E$1,FALSE)='District Calculations'!$B$12,VLOOKUP($A277,EnrollData2324,'2324 Jun 24 Enroll'!E$1,FALSE),'District Calculations'!$B$12)*C277,3)</f>
        <v>59.53</v>
      </c>
      <c r="F277">
        <f>ROUND(IF(VLOOKUP($A277,EnrollData2324,'2324 Jun 24 Enroll'!F$1,FALSE)='District Calculations'!$B$13,VLOOKUP($A277,EnrollData2324,'2324 Jun 24 Enroll'!F$1,FALSE),'District Calculations'!$B$13)*Apport_222A2324,3)</f>
        <v>10.101000000000001</v>
      </c>
      <c r="G277">
        <f>ROUND(IF(VLOOKUP($A277,EnrollData2324,'2324 Jun 24 Enroll'!G$1,FALSE)='District Calculations'!$B$14,VLOOKUP($A277,EnrollData2324,'2324 Jun 24 Enroll'!G$1,FALSE),'District Calculations'!$B$14)*Apport_210A2324,3)</f>
        <v>22.395</v>
      </c>
      <c r="H277">
        <f>ROUND(IF(VLOOKUP($A277,EnrollData2324,'2324 Jun 24 Enroll'!H$1,FALSE)='District Calculations'!$B$15,VLOOKUP($A277,EnrollData2324,'2324 Jun 24 Enroll'!H$1,FALSE),'District Calculations'!$B$15)*Apport_213A2324,3)</f>
        <v>23.091999999999999</v>
      </c>
      <c r="I277">
        <f>ROUND(IF(VLOOKUP($A277,EnrollData2324,'2324 Jun 24 Enroll'!I$1,FALSE)+VLOOKUP($A277,EnrollData2324,'2324 Jun 24 Enroll'!M$1,FALSE)-VLOOKUP($A277,EnrollData2324,'2324 Jun 24 Enroll'!J$1,FALSE)='District Calculations'!$B$16+'District Calculations'!$B$25-'District Calculations'!$B$17,VLOOKUP($A277,EnrollData2324,'2324 Jun 24 Enroll'!I$1,FALSE)+VLOOKUP($A277,EnrollData2324,'2324 Jun 24 Enroll'!M$1,FALSE)-VLOOKUP($A277,EnrollData2324,'2324 Jun 24 Enroll'!J$1,FALSE),'District Calculations'!$B$16+'District Calculations'!$B$25-'District Calculations'!$B$17)*Apport_216A2324,3)</f>
        <v>58.183999999999997</v>
      </c>
      <c r="J277">
        <f>ROUND(SUM(D277:I277)/(IF(VLOOKUP($A277,EnrollData2324,'2324 Jun 24 Enroll'!M$1,FALSE)='District Calculations'!$B$25,VLOOKUP($A277,EnrollData2324,'2324 Jun 24 Enroll'!M$1,FALSE),'District Calculations'!$B$25)+IF(VLOOKUP($A277,EnrollData2324,'2324 Jun 24 Enroll'!D$1,FALSE)='District Calculations'!$B$11,VLOOKUP($A277,EnrollData2324,'2324 Jun 24 Enroll'!D$1,FALSE),'District Calculations'!$B$11)),5)</f>
        <v>5.5530000000000003E-2</v>
      </c>
      <c r="K277" s="11">
        <f t="shared" si="65"/>
        <v>4.365E-3</v>
      </c>
      <c r="L277">
        <f>ROUND(IF(VLOOKUP($A277,EnrollData2324,'2324 Jun 24 Enroll'!D$1,FALSE)='District Calculations'!$B$11,VLOOKUP($A277,EnrollData2324,'2324 Jun 24 Enroll'!D$1,FALSE),'District Calculations'!$B$11)*K277,3)</f>
        <v>0</v>
      </c>
      <c r="M277">
        <f>ROUND(IF(VLOOKUP($A277,EnrollData2324,'2324 Jun 24 Enroll'!E$1,FALSE)='District Calculations'!$B$12,VLOOKUP($A277,EnrollData2324,'2324 Jun 24 Enroll'!E$1,FALSE),'District Calculations'!$B$12)*K277,3)</f>
        <v>3.5379999999999998</v>
      </c>
      <c r="N277">
        <f>ROUND(IF(VLOOKUP($A277,EnrollData2324,'2324 Jun 24 Enroll'!F$1,FALSE)='District Calculations'!$B$13,VLOOKUP($A277,EnrollData2324,'2324 Jun 24 Enroll'!F$1,FALSE),'District Calculations'!$B$13)*Apport_223A2324,3)</f>
        <v>0.84199999999999997</v>
      </c>
      <c r="O277">
        <f>ROUND(IF(VLOOKUP($A277,EnrollData2324,'2324 Jun 24 Enroll'!G$1,FALSE)='District Calculations'!$B$14,VLOOKUP($A277,EnrollData2324,'2324 Jun 24 Enroll'!G$1,FALSE),'District Calculations'!$B$14)*Apport_211A2324,3)</f>
        <v>1.867</v>
      </c>
      <c r="P277">
        <f>ROUND(IF(VLOOKUP($A277,EnrollData2324,'2324 Jun 24 Enroll'!H$1,FALSE)='District Calculations'!$B$14,VLOOKUP($A277,EnrollData2324,'2324 Jun 24 Enroll'!H$1,FALSE),'District Calculations'!$B$14)*Apport_214A2324,3)</f>
        <v>1.8660000000000001</v>
      </c>
      <c r="Q277">
        <f>ROUND(IF(VLOOKUP($A277,EnrollData2324,'2324 Jun 24 Enroll'!I$1,FALSE)+VLOOKUP($A277,EnrollData2324,'2324 Jun 24 Enroll'!M$1,FALSE)-VLOOKUP($A277,EnrollData2324,'2324 Jun 24 Enroll'!J$1,FALSE)='District Calculations'!$B$16+'District Calculations'!$B$25-'District Calculations'!$B$17,VLOOKUP($A277,EnrollData2324,'2324 Jun 24 Enroll'!I$1,FALSE)+VLOOKUP($A277,EnrollData2324,'2324 Jun 24 Enroll'!M$1,FALSE)-VLOOKUP($A277,EnrollData2324,'2324 Jun 24 Enroll'!J$1,FALSE),'District Calculations'!$B$16+'District Calculations'!$B$25-'District Calculations'!$B$17)*Apport_217A2324,3)</f>
        <v>4.6980000000000004</v>
      </c>
      <c r="R277">
        <f>ROUND(SUM(L277:Q277)/IF(VLOOKUP($A277,EnrollData2324,'2324 Jun 24 Enroll'!M$1,FALSE)+VLOOKUP($A277,EnrollData2324,'2324 Jun 24 Enroll'!D$1,FALSE)='District Calculations'!$B$25+'District Calculations'!$B$11,VLOOKUP($A277,EnrollData2324,'2324 Jun 24 Enroll'!M$1,FALSE)+VLOOKUP($A277,EnrollData2324,'2324 Jun 24 Enroll'!D$1,FALSE),'District Calculations'!$B$25+'District Calculations'!$B$11),5)</f>
        <v>4.1000000000000003E-3</v>
      </c>
      <c r="S277" s="11">
        <f t="shared" si="66"/>
        <v>1.8294500000000002E-2</v>
      </c>
      <c r="T277">
        <f>ROUND(IF(VLOOKUP($A277,EnrollData2324,'2324 Jun 24 Enroll'!D$1,FALSE)='District Calculations'!$B$11,VLOOKUP($A277,EnrollData2324,'2324 Jun 24 Enroll'!D$1,FALSE),'District Calculations'!$B$11)*S277,3)</f>
        <v>0</v>
      </c>
      <c r="U277">
        <f>ROUND(IF(VLOOKUP($A277,EnrollData2324,'2324 Jun 24 Enroll'!E$1,FALSE)='District Calculations'!$B$12,VLOOKUP($A277,EnrollData2324,'2324 Jun 24 Enroll'!E$1,FALSE),'District Calculations'!$B$12)*S277,3)</f>
        <v>14.827999999999999</v>
      </c>
      <c r="V277">
        <f>ROUND(IF(VLOOKUP($A277,EnrollData2324,'2324 Jun 24 Enroll'!F$1,FALSE)='District Calculations'!$B$13,VLOOKUP($A277,EnrollData2324,'2324 Jun 24 Enroll'!F$1,FALSE),'District Calculations'!$B$13)*Apport_224A2324,3)</f>
        <v>3.6190000000000002</v>
      </c>
      <c r="W277">
        <f>ROUND(IF(VLOOKUP($A277,EnrollData2324,'2324 Jun 24 Enroll'!G$1,FALSE)='District Calculations'!$B$14,VLOOKUP($A277,EnrollData2324,'2324 Jun 24 Enroll'!G$1,FALSE),'District Calculations'!$B$14)*Apport_212A2324,3)</f>
        <v>8.0239999999999991</v>
      </c>
      <c r="X277">
        <f>ROUND(IF(VLOOKUP($A277,EnrollData2324,'2324 Jun 24 Enroll'!H$1,FALSE)='District Calculations'!$B$14,VLOOKUP($A277,EnrollData2324,'2324 Jun 24 Enroll'!H$1,FALSE),'District Calculations'!$B$14)*Apport_215A2324,3)</f>
        <v>7.9279999999999999</v>
      </c>
      <c r="Y277">
        <f>ROUND(IF(VLOOKUP($A277,EnrollData2324,'2324 Jun 24 Enroll'!I$1,FALSE)+VLOOKUP($A277,EnrollData2324,'2324 Jun 24 Enroll'!M$1,FALSE)-VLOOKUP($A277,EnrollData2324,'2324 Jun 24 Enroll'!J$1,FALSE)='District Calculations'!$B$16+'District Calculations'!$B$25-'District Calculations'!$B$17,VLOOKUP($A277,EnrollData2324,'2324 Jun 24 Enroll'!I$1,FALSE)+VLOOKUP($A277,EnrollData2324,'2324 Jun 24 Enroll'!M$1,FALSE)-VLOOKUP($A277,EnrollData2324,'2324 Jun 24 Enroll'!J$1,FALSE),'District Calculations'!$B$16+'District Calculations'!$B$25-'District Calculations'!$B$17)*Apport_218A2324,3)</f>
        <v>19.917999999999999</v>
      </c>
      <c r="Z277">
        <f>ROUND(SUM(T277:Y277)/IF(VLOOKUP($A277,EnrollData2324,'2324 Jun 24 Enroll'!M$1,FALSE)+VLOOKUP($A277,EnrollData2324,'2324 Jun 24 Enroll'!D$1,FALSE)='District Calculations'!$B$25+'District Calculations'!$B$11,VLOOKUP($A277,EnrollData2324,'2324 Jun 24 Enroll'!M$1,FALSE)+VLOOKUP($A277,EnrollData2324,'2324 Jun 24 Enroll'!D$1,FALSE),'District Calculations'!$B$25+'District Calculations'!$B$11),5)</f>
        <v>1.7399999999999999E-2</v>
      </c>
      <c r="AA277" s="6">
        <f>ROUND($J277*CIS_Base_Salary2324*VLOOKUP($A277,EnrollData2324,'2324 Jun 24 Enroll'!S$1,FALSE),2)</f>
        <v>4038.59</v>
      </c>
      <c r="AB277" s="6">
        <f>ROUND($J277*CIS_Inc_Salary2324*(VLOOKUP($A277,EnrollData2324,'2324 Jun 24 Enroll'!T$1,FALSE)+VLOOKUP($A277,EnrollData2324,'2324 Jun 24 Enroll'!U$1,FALSE)),2)-AA277</f>
        <v>149.43000000000029</v>
      </c>
      <c r="AC277" s="6">
        <f>ROUND($R277*CAS_Base_Salary2324*VLOOKUP($A277,EnrollData2324,'2324 Jun 24 Enroll'!S$1,FALSE),2)</f>
        <v>442.62</v>
      </c>
      <c r="AD277" s="6">
        <f>ROUND($R277*CAS_Inc_Salary2324*VLOOKUP($A277,EnrollData2324,'2324 Jun 24 Enroll'!T$1,FALSE),2)-AC277</f>
        <v>16.379999999999995</v>
      </c>
      <c r="AE277" s="6">
        <f>ROUND($Z277*CLS_Base_Salary2324*VLOOKUP($A277,EnrollData2324,'2324 Jun 24 Enroll'!S$1,FALSE),2)</f>
        <v>907.81</v>
      </c>
      <c r="AF277" s="6">
        <f>ROUND($Z277*CLS_Inc_Salary2324*VLOOKUP($A277,EnrollData2324,'2324 Jun 24 Enroll'!T$1,FALSE),2)-AE277</f>
        <v>33.580000000000041</v>
      </c>
      <c r="AG277">
        <f t="shared" si="76"/>
        <v>734.16</v>
      </c>
      <c r="AH277" s="69">
        <f t="shared" si="67"/>
        <v>68.700000000000045</v>
      </c>
      <c r="AI277">
        <f t="shared" si="77"/>
        <v>214.23</v>
      </c>
      <c r="AJ277">
        <f t="shared" si="68"/>
        <v>114.21000000000001</v>
      </c>
      <c r="AK277">
        <f t="shared" si="69"/>
        <v>805.27</v>
      </c>
      <c r="AL277">
        <f t="shared" si="70"/>
        <v>28.73</v>
      </c>
      <c r="AM277">
        <f t="shared" si="71"/>
        <v>200.26</v>
      </c>
      <c r="AN277">
        <f t="shared" si="72"/>
        <v>6.23</v>
      </c>
      <c r="AO277">
        <f>ROUND(($J277*CIS_Inc_Salary2324*(VLOOKUP($A277,EnrollData2324,'2324 Jun 24 Enroll'!T$1,FALSE)+VLOOKUP($A277,EnrollData2324,'2324 Jun 24 Enroll'!U$1,FALSE))/Apport_613Xpd)*Apport_614Xpd,2)</f>
        <v>69.8</v>
      </c>
      <c r="AP277">
        <f t="shared" si="73"/>
        <v>12.1</v>
      </c>
      <c r="AQ277">
        <f t="shared" si="74"/>
        <v>30.93</v>
      </c>
      <c r="AR277" s="6">
        <f>ROUND((VLOOKUP($A277,EnrollData2324,'2324 Jun 24 Enroll'!D$1,FALSE)*Apport_M802324+VLOOKUP($A277,EnrollData2324,'2324 Jun 24 Enroll'!M$1,FALSE)*Apport_M802324+(VLOOKUP($A277,EnrollData2324,'2324 Jun 24 Enroll'!P$1,FALSE)+VLOOKUP($A277,EnrollData2324,'2324 Jun 24 Enroll'!Q$1,FALSE)+VLOOKUP($A277,EnrollData2324,'2324 Jun 24 Enroll'!R$1,FALSE)+VLOOKUP($A277,EnrollData2324,'2324 Jun 24 Enroll'!I$1,FALSE)+VLOOKUP($A277,EnrollData2324,'2324 Jun 24 Enroll'!N$1,FALSE)+VLOOKUP($A277,EnrollData2324,'2324 Jun 24 Enroll'!O$1,FALSE)+VLOOKUP($A277,EnrollData2324,'2324 Jun 24 Enroll'!K$1,FALSE)+VLOOKUP($A277,EnrollData2324,'2324 Jun 24 Enroll'!L$1,FALSE))*Apport_M812324)/(VLOOKUP($A277,EnrollData2324,'2324 Jun 24 Enroll'!M$1,FALSE)+VLOOKUP($A277,EnrollData2324,'2324 Jun 24 Enroll'!D$1,FALSE)),2)</f>
        <v>1540.32</v>
      </c>
      <c r="AS277" s="7">
        <f t="shared" si="75"/>
        <v>9413.35</v>
      </c>
    </row>
    <row r="278" spans="1:45">
      <c r="A278" s="40" t="s">
        <v>496</v>
      </c>
      <c r="B278" s="40" t="s">
        <v>497</v>
      </c>
      <c r="C278" s="11">
        <f>ROUND((IFERROR((1/IF(VLOOKUP($A278,EnrollData2324,28,FALSE)='District Calculations'!$B$10,VLOOKUP($A278,EnrollData2324,28,FALSE),'District Calculations'!$B$10))*(1+Apport_Z315),0))+Apport_201A2324,6)</f>
        <v>7.3449E-2</v>
      </c>
      <c r="D278">
        <f>ROUND(IF(VLOOKUP($A278,EnrollData2324,'2324 Jun 24 Enroll'!D$1,FALSE)='District Calculations'!$B$11,VLOOKUP($A278,EnrollData2324,'2324 Jun 24 Enroll'!D$1,FALSE),'District Calculations'!$B$11)*C278,3)</f>
        <v>0</v>
      </c>
      <c r="E278">
        <f>ROUND(IF(VLOOKUP($A278,EnrollData2324,'2324 Jun 24 Enroll'!E$1,FALSE)='District Calculations'!$B$12,VLOOKUP($A278,EnrollData2324,'2324 Jun 24 Enroll'!E$1,FALSE),'District Calculations'!$B$12)*C278,3)</f>
        <v>59.53</v>
      </c>
      <c r="F278">
        <f>ROUND(IF(VLOOKUP($A278,EnrollData2324,'2324 Jun 24 Enroll'!F$1,FALSE)='District Calculations'!$B$13,VLOOKUP($A278,EnrollData2324,'2324 Jun 24 Enroll'!F$1,FALSE),'District Calculations'!$B$13)*Apport_222A2324,3)</f>
        <v>10.101000000000001</v>
      </c>
      <c r="G278">
        <f>ROUND(IF(VLOOKUP($A278,EnrollData2324,'2324 Jun 24 Enroll'!G$1,FALSE)='District Calculations'!$B$14,VLOOKUP($A278,EnrollData2324,'2324 Jun 24 Enroll'!G$1,FALSE),'District Calculations'!$B$14)*Apport_210A2324,3)</f>
        <v>22.395</v>
      </c>
      <c r="H278">
        <f>ROUND(IF(VLOOKUP($A278,EnrollData2324,'2324 Jun 24 Enroll'!H$1,FALSE)='District Calculations'!$B$15,VLOOKUP($A278,EnrollData2324,'2324 Jun 24 Enroll'!H$1,FALSE),'District Calculations'!$B$15)*Apport_213A2324,3)</f>
        <v>23.091999999999999</v>
      </c>
      <c r="I278">
        <f>ROUND(IF(VLOOKUP($A278,EnrollData2324,'2324 Jun 24 Enroll'!I$1,FALSE)+VLOOKUP($A278,EnrollData2324,'2324 Jun 24 Enroll'!M$1,FALSE)-VLOOKUP($A278,EnrollData2324,'2324 Jun 24 Enroll'!J$1,FALSE)='District Calculations'!$B$16+'District Calculations'!$B$25-'District Calculations'!$B$17,VLOOKUP($A278,EnrollData2324,'2324 Jun 24 Enroll'!I$1,FALSE)+VLOOKUP($A278,EnrollData2324,'2324 Jun 24 Enroll'!M$1,FALSE)-VLOOKUP($A278,EnrollData2324,'2324 Jun 24 Enroll'!J$1,FALSE),'District Calculations'!$B$16+'District Calculations'!$B$25-'District Calculations'!$B$17)*Apport_216A2324,3)</f>
        <v>58.183999999999997</v>
      </c>
      <c r="J278">
        <f>ROUND(SUM(D278:I278)/(IF(VLOOKUP($A278,EnrollData2324,'2324 Jun 24 Enroll'!M$1,FALSE)='District Calculations'!$B$25,VLOOKUP($A278,EnrollData2324,'2324 Jun 24 Enroll'!M$1,FALSE),'District Calculations'!$B$25)+IF(VLOOKUP($A278,EnrollData2324,'2324 Jun 24 Enroll'!D$1,FALSE)='District Calculations'!$B$11,VLOOKUP($A278,EnrollData2324,'2324 Jun 24 Enroll'!D$1,FALSE),'District Calculations'!$B$11)),5)</f>
        <v>5.5530000000000003E-2</v>
      </c>
      <c r="K278" s="11">
        <f t="shared" si="65"/>
        <v>4.365E-3</v>
      </c>
      <c r="L278">
        <f>ROUND(IF(VLOOKUP($A278,EnrollData2324,'2324 Jun 24 Enroll'!D$1,FALSE)='District Calculations'!$B$11,VLOOKUP($A278,EnrollData2324,'2324 Jun 24 Enroll'!D$1,FALSE),'District Calculations'!$B$11)*K278,3)</f>
        <v>0</v>
      </c>
      <c r="M278">
        <f>ROUND(IF(VLOOKUP($A278,EnrollData2324,'2324 Jun 24 Enroll'!E$1,FALSE)='District Calculations'!$B$12,VLOOKUP($A278,EnrollData2324,'2324 Jun 24 Enroll'!E$1,FALSE),'District Calculations'!$B$12)*K278,3)</f>
        <v>3.5379999999999998</v>
      </c>
      <c r="N278">
        <f>ROUND(IF(VLOOKUP($A278,EnrollData2324,'2324 Jun 24 Enroll'!F$1,FALSE)='District Calculations'!$B$13,VLOOKUP($A278,EnrollData2324,'2324 Jun 24 Enroll'!F$1,FALSE),'District Calculations'!$B$13)*Apport_223A2324,3)</f>
        <v>0.84199999999999997</v>
      </c>
      <c r="O278">
        <f>ROUND(IF(VLOOKUP($A278,EnrollData2324,'2324 Jun 24 Enroll'!G$1,FALSE)='District Calculations'!$B$14,VLOOKUP($A278,EnrollData2324,'2324 Jun 24 Enroll'!G$1,FALSE),'District Calculations'!$B$14)*Apport_211A2324,3)</f>
        <v>1.867</v>
      </c>
      <c r="P278">
        <f>ROUND(IF(VLOOKUP($A278,EnrollData2324,'2324 Jun 24 Enroll'!H$1,FALSE)='District Calculations'!$B$14,VLOOKUP($A278,EnrollData2324,'2324 Jun 24 Enroll'!H$1,FALSE),'District Calculations'!$B$14)*Apport_214A2324,3)</f>
        <v>1.8660000000000001</v>
      </c>
      <c r="Q278">
        <f>ROUND(IF(VLOOKUP($A278,EnrollData2324,'2324 Jun 24 Enroll'!I$1,FALSE)+VLOOKUP($A278,EnrollData2324,'2324 Jun 24 Enroll'!M$1,FALSE)-VLOOKUP($A278,EnrollData2324,'2324 Jun 24 Enroll'!J$1,FALSE)='District Calculations'!$B$16+'District Calculations'!$B$25-'District Calculations'!$B$17,VLOOKUP($A278,EnrollData2324,'2324 Jun 24 Enroll'!I$1,FALSE)+VLOOKUP($A278,EnrollData2324,'2324 Jun 24 Enroll'!M$1,FALSE)-VLOOKUP($A278,EnrollData2324,'2324 Jun 24 Enroll'!J$1,FALSE),'District Calculations'!$B$16+'District Calculations'!$B$25-'District Calculations'!$B$17)*Apport_217A2324,3)</f>
        <v>4.6980000000000004</v>
      </c>
      <c r="R278">
        <f>ROUND(SUM(L278:Q278)/IF(VLOOKUP($A278,EnrollData2324,'2324 Jun 24 Enroll'!M$1,FALSE)+VLOOKUP($A278,EnrollData2324,'2324 Jun 24 Enroll'!D$1,FALSE)='District Calculations'!$B$25+'District Calculations'!$B$11,VLOOKUP($A278,EnrollData2324,'2324 Jun 24 Enroll'!M$1,FALSE)+VLOOKUP($A278,EnrollData2324,'2324 Jun 24 Enroll'!D$1,FALSE),'District Calculations'!$B$25+'District Calculations'!$B$11),5)</f>
        <v>4.1000000000000003E-3</v>
      </c>
      <c r="S278" s="11">
        <f t="shared" si="66"/>
        <v>1.8294500000000002E-2</v>
      </c>
      <c r="T278">
        <f>ROUND(IF(VLOOKUP($A278,EnrollData2324,'2324 Jun 24 Enroll'!D$1,FALSE)='District Calculations'!$B$11,VLOOKUP($A278,EnrollData2324,'2324 Jun 24 Enroll'!D$1,FALSE),'District Calculations'!$B$11)*S278,3)</f>
        <v>0</v>
      </c>
      <c r="U278">
        <f>ROUND(IF(VLOOKUP($A278,EnrollData2324,'2324 Jun 24 Enroll'!E$1,FALSE)='District Calculations'!$B$12,VLOOKUP($A278,EnrollData2324,'2324 Jun 24 Enroll'!E$1,FALSE),'District Calculations'!$B$12)*S278,3)</f>
        <v>14.827999999999999</v>
      </c>
      <c r="V278">
        <f>ROUND(IF(VLOOKUP($A278,EnrollData2324,'2324 Jun 24 Enroll'!F$1,FALSE)='District Calculations'!$B$13,VLOOKUP($A278,EnrollData2324,'2324 Jun 24 Enroll'!F$1,FALSE),'District Calculations'!$B$13)*Apport_224A2324,3)</f>
        <v>3.6190000000000002</v>
      </c>
      <c r="W278">
        <f>ROUND(IF(VLOOKUP($A278,EnrollData2324,'2324 Jun 24 Enroll'!G$1,FALSE)='District Calculations'!$B$14,VLOOKUP($A278,EnrollData2324,'2324 Jun 24 Enroll'!G$1,FALSE),'District Calculations'!$B$14)*Apport_212A2324,3)</f>
        <v>8.0239999999999991</v>
      </c>
      <c r="X278">
        <f>ROUND(IF(VLOOKUP($A278,EnrollData2324,'2324 Jun 24 Enroll'!H$1,FALSE)='District Calculations'!$B$14,VLOOKUP($A278,EnrollData2324,'2324 Jun 24 Enroll'!H$1,FALSE),'District Calculations'!$B$14)*Apport_215A2324,3)</f>
        <v>7.9279999999999999</v>
      </c>
      <c r="Y278">
        <f>ROUND(IF(VLOOKUP($A278,EnrollData2324,'2324 Jun 24 Enroll'!I$1,FALSE)+VLOOKUP($A278,EnrollData2324,'2324 Jun 24 Enroll'!M$1,FALSE)-VLOOKUP($A278,EnrollData2324,'2324 Jun 24 Enroll'!J$1,FALSE)='District Calculations'!$B$16+'District Calculations'!$B$25-'District Calculations'!$B$17,VLOOKUP($A278,EnrollData2324,'2324 Jun 24 Enroll'!I$1,FALSE)+VLOOKUP($A278,EnrollData2324,'2324 Jun 24 Enroll'!M$1,FALSE)-VLOOKUP($A278,EnrollData2324,'2324 Jun 24 Enroll'!J$1,FALSE),'District Calculations'!$B$16+'District Calculations'!$B$25-'District Calculations'!$B$17)*Apport_218A2324,3)</f>
        <v>19.917999999999999</v>
      </c>
      <c r="Z278">
        <f>ROUND(SUM(T278:Y278)/IF(VLOOKUP($A278,EnrollData2324,'2324 Jun 24 Enroll'!M$1,FALSE)+VLOOKUP($A278,EnrollData2324,'2324 Jun 24 Enroll'!D$1,FALSE)='District Calculations'!$B$25+'District Calculations'!$B$11,VLOOKUP($A278,EnrollData2324,'2324 Jun 24 Enroll'!M$1,FALSE)+VLOOKUP($A278,EnrollData2324,'2324 Jun 24 Enroll'!D$1,FALSE),'District Calculations'!$B$25+'District Calculations'!$B$11),5)</f>
        <v>1.7399999999999999E-2</v>
      </c>
      <c r="AA278" s="6">
        <f>ROUND($J278*CIS_Base_Salary2324*VLOOKUP($A278,EnrollData2324,'2324 Jun 24 Enroll'!S$1,FALSE),2)</f>
        <v>4038.59</v>
      </c>
      <c r="AB278" s="6">
        <f>ROUND($J278*CIS_Inc_Salary2324*(VLOOKUP($A278,EnrollData2324,'2324 Jun 24 Enroll'!T$1,FALSE)+VLOOKUP($A278,EnrollData2324,'2324 Jun 24 Enroll'!U$1,FALSE)),2)-AA278</f>
        <v>149.43000000000029</v>
      </c>
      <c r="AC278" s="6">
        <f>ROUND($R278*CAS_Base_Salary2324*VLOOKUP($A278,EnrollData2324,'2324 Jun 24 Enroll'!S$1,FALSE),2)</f>
        <v>442.62</v>
      </c>
      <c r="AD278" s="6">
        <f>ROUND($R278*CAS_Inc_Salary2324*VLOOKUP($A278,EnrollData2324,'2324 Jun 24 Enroll'!T$1,FALSE),2)-AC278</f>
        <v>16.379999999999995</v>
      </c>
      <c r="AE278" s="6">
        <f>ROUND($Z278*CLS_Base_Salary2324*VLOOKUP($A278,EnrollData2324,'2324 Jun 24 Enroll'!S$1,FALSE),2)</f>
        <v>907.81</v>
      </c>
      <c r="AF278" s="6">
        <f>ROUND($Z278*CLS_Inc_Salary2324*VLOOKUP($A278,EnrollData2324,'2324 Jun 24 Enroll'!T$1,FALSE),2)-AE278</f>
        <v>33.580000000000041</v>
      </c>
      <c r="AG278">
        <f t="shared" si="76"/>
        <v>734.16</v>
      </c>
      <c r="AH278" s="69">
        <f t="shared" si="67"/>
        <v>68.700000000000045</v>
      </c>
      <c r="AI278">
        <f t="shared" si="77"/>
        <v>214.23</v>
      </c>
      <c r="AJ278">
        <f t="shared" si="68"/>
        <v>114.21000000000001</v>
      </c>
      <c r="AK278">
        <f t="shared" si="69"/>
        <v>805.27</v>
      </c>
      <c r="AL278">
        <f t="shared" si="70"/>
        <v>28.73</v>
      </c>
      <c r="AM278">
        <f t="shared" si="71"/>
        <v>200.26</v>
      </c>
      <c r="AN278">
        <f t="shared" si="72"/>
        <v>6.23</v>
      </c>
      <c r="AO278">
        <f>ROUND(($J278*CIS_Inc_Salary2324*(VLOOKUP($A278,EnrollData2324,'2324 Jun 24 Enroll'!T$1,FALSE)+VLOOKUP($A278,EnrollData2324,'2324 Jun 24 Enroll'!U$1,FALSE))/Apport_613Xpd)*Apport_614Xpd,2)</f>
        <v>69.8</v>
      </c>
      <c r="AP278">
        <f t="shared" si="73"/>
        <v>12.1</v>
      </c>
      <c r="AQ278">
        <f t="shared" si="74"/>
        <v>30.93</v>
      </c>
      <c r="AR278" s="6">
        <f>ROUND((VLOOKUP($A278,EnrollData2324,'2324 Jun 24 Enroll'!D$1,FALSE)*Apport_M802324+VLOOKUP($A278,EnrollData2324,'2324 Jun 24 Enroll'!M$1,FALSE)*Apport_M802324+(VLOOKUP($A278,EnrollData2324,'2324 Jun 24 Enroll'!P$1,FALSE)+VLOOKUP($A278,EnrollData2324,'2324 Jun 24 Enroll'!Q$1,FALSE)+VLOOKUP($A278,EnrollData2324,'2324 Jun 24 Enroll'!R$1,FALSE)+VLOOKUP($A278,EnrollData2324,'2324 Jun 24 Enroll'!I$1,FALSE)+VLOOKUP($A278,EnrollData2324,'2324 Jun 24 Enroll'!N$1,FALSE)+VLOOKUP($A278,EnrollData2324,'2324 Jun 24 Enroll'!O$1,FALSE)+VLOOKUP($A278,EnrollData2324,'2324 Jun 24 Enroll'!K$1,FALSE)+VLOOKUP($A278,EnrollData2324,'2324 Jun 24 Enroll'!L$1,FALSE))*Apport_M812324)/(VLOOKUP($A278,EnrollData2324,'2324 Jun 24 Enroll'!M$1,FALSE)+VLOOKUP($A278,EnrollData2324,'2324 Jun 24 Enroll'!D$1,FALSE)),2)</f>
        <v>1483.44</v>
      </c>
      <c r="AS278" s="7">
        <f t="shared" si="75"/>
        <v>9356.4699999999993</v>
      </c>
    </row>
    <row r="279" spans="1:45">
      <c r="A279" s="40" t="s">
        <v>735</v>
      </c>
      <c r="B279" s="40" t="s">
        <v>736</v>
      </c>
      <c r="C279" s="11">
        <f>ROUND((IFERROR((1/IF(VLOOKUP($A279,EnrollData2324,28,FALSE)='District Calculations'!$B$10,VLOOKUP($A279,EnrollData2324,28,FALSE),'District Calculations'!$B$10))*(1+Apport_Z315),0))+Apport_201A2324,6)</f>
        <v>7.3449E-2</v>
      </c>
      <c r="D279">
        <f>ROUND(IF(VLOOKUP($A279,EnrollData2324,'2324 Jun 24 Enroll'!D$1,FALSE)='District Calculations'!$B$11,VLOOKUP($A279,EnrollData2324,'2324 Jun 24 Enroll'!D$1,FALSE),'District Calculations'!$B$11)*C279,3)</f>
        <v>0</v>
      </c>
      <c r="E279">
        <f>ROUND(IF(VLOOKUP($A279,EnrollData2324,'2324 Jun 24 Enroll'!E$1,FALSE)='District Calculations'!$B$12,VLOOKUP($A279,EnrollData2324,'2324 Jun 24 Enroll'!E$1,FALSE),'District Calculations'!$B$12)*C279,3)</f>
        <v>59.53</v>
      </c>
      <c r="F279">
        <f>ROUND(IF(VLOOKUP($A279,EnrollData2324,'2324 Jun 24 Enroll'!F$1,FALSE)='District Calculations'!$B$13,VLOOKUP($A279,EnrollData2324,'2324 Jun 24 Enroll'!F$1,FALSE),'District Calculations'!$B$13)*Apport_222A2324,3)</f>
        <v>10.101000000000001</v>
      </c>
      <c r="G279">
        <f>ROUND(IF(VLOOKUP($A279,EnrollData2324,'2324 Jun 24 Enroll'!G$1,FALSE)='District Calculations'!$B$14,VLOOKUP($A279,EnrollData2324,'2324 Jun 24 Enroll'!G$1,FALSE),'District Calculations'!$B$14)*Apport_210A2324,3)</f>
        <v>22.395</v>
      </c>
      <c r="H279">
        <f>ROUND(IF(VLOOKUP($A279,EnrollData2324,'2324 Jun 24 Enroll'!H$1,FALSE)='District Calculations'!$B$15,VLOOKUP($A279,EnrollData2324,'2324 Jun 24 Enroll'!H$1,FALSE),'District Calculations'!$B$15)*Apport_213A2324,3)</f>
        <v>23.091999999999999</v>
      </c>
      <c r="I279">
        <f>ROUND(IF(VLOOKUP($A279,EnrollData2324,'2324 Jun 24 Enroll'!I$1,FALSE)+VLOOKUP($A279,EnrollData2324,'2324 Jun 24 Enroll'!M$1,FALSE)-VLOOKUP($A279,EnrollData2324,'2324 Jun 24 Enroll'!J$1,FALSE)='District Calculations'!$B$16+'District Calculations'!$B$25-'District Calculations'!$B$17,VLOOKUP($A279,EnrollData2324,'2324 Jun 24 Enroll'!I$1,FALSE)+VLOOKUP($A279,EnrollData2324,'2324 Jun 24 Enroll'!M$1,FALSE)-VLOOKUP($A279,EnrollData2324,'2324 Jun 24 Enroll'!J$1,FALSE),'District Calculations'!$B$16+'District Calculations'!$B$25-'District Calculations'!$B$17)*Apport_216A2324,3)</f>
        <v>58.183999999999997</v>
      </c>
      <c r="J279">
        <f>ROUND(SUM(D279:I279)/(IF(VLOOKUP($A279,EnrollData2324,'2324 Jun 24 Enroll'!M$1,FALSE)='District Calculations'!$B$25,VLOOKUP($A279,EnrollData2324,'2324 Jun 24 Enroll'!M$1,FALSE),'District Calculations'!$B$25)+IF(VLOOKUP($A279,EnrollData2324,'2324 Jun 24 Enroll'!D$1,FALSE)='District Calculations'!$B$11,VLOOKUP($A279,EnrollData2324,'2324 Jun 24 Enroll'!D$1,FALSE),'District Calculations'!$B$11)),5)</f>
        <v>5.5530000000000003E-2</v>
      </c>
      <c r="K279" s="11">
        <f t="shared" si="65"/>
        <v>4.365E-3</v>
      </c>
      <c r="L279">
        <f>ROUND(IF(VLOOKUP($A279,EnrollData2324,'2324 Jun 24 Enroll'!D$1,FALSE)='District Calculations'!$B$11,VLOOKUP($A279,EnrollData2324,'2324 Jun 24 Enroll'!D$1,FALSE),'District Calculations'!$B$11)*K279,3)</f>
        <v>0</v>
      </c>
      <c r="M279">
        <f>ROUND(IF(VLOOKUP($A279,EnrollData2324,'2324 Jun 24 Enroll'!E$1,FALSE)='District Calculations'!$B$12,VLOOKUP($A279,EnrollData2324,'2324 Jun 24 Enroll'!E$1,FALSE),'District Calculations'!$B$12)*K279,3)</f>
        <v>3.5379999999999998</v>
      </c>
      <c r="N279">
        <f>ROUND(IF(VLOOKUP($A279,EnrollData2324,'2324 Jun 24 Enroll'!F$1,FALSE)='District Calculations'!$B$13,VLOOKUP($A279,EnrollData2324,'2324 Jun 24 Enroll'!F$1,FALSE),'District Calculations'!$B$13)*Apport_223A2324,3)</f>
        <v>0.84199999999999997</v>
      </c>
      <c r="O279">
        <f>ROUND(IF(VLOOKUP($A279,EnrollData2324,'2324 Jun 24 Enroll'!G$1,FALSE)='District Calculations'!$B$14,VLOOKUP($A279,EnrollData2324,'2324 Jun 24 Enroll'!G$1,FALSE),'District Calculations'!$B$14)*Apport_211A2324,3)</f>
        <v>1.867</v>
      </c>
      <c r="P279">
        <f>ROUND(IF(VLOOKUP($A279,EnrollData2324,'2324 Jun 24 Enroll'!H$1,FALSE)='District Calculations'!$B$14,VLOOKUP($A279,EnrollData2324,'2324 Jun 24 Enroll'!H$1,FALSE),'District Calculations'!$B$14)*Apport_214A2324,3)</f>
        <v>1.8660000000000001</v>
      </c>
      <c r="Q279">
        <f>ROUND(IF(VLOOKUP($A279,EnrollData2324,'2324 Jun 24 Enroll'!I$1,FALSE)+VLOOKUP($A279,EnrollData2324,'2324 Jun 24 Enroll'!M$1,FALSE)-VLOOKUP($A279,EnrollData2324,'2324 Jun 24 Enroll'!J$1,FALSE)='District Calculations'!$B$16+'District Calculations'!$B$25-'District Calculations'!$B$17,VLOOKUP($A279,EnrollData2324,'2324 Jun 24 Enroll'!I$1,FALSE)+VLOOKUP($A279,EnrollData2324,'2324 Jun 24 Enroll'!M$1,FALSE)-VLOOKUP($A279,EnrollData2324,'2324 Jun 24 Enroll'!J$1,FALSE),'District Calculations'!$B$16+'District Calculations'!$B$25-'District Calculations'!$B$17)*Apport_217A2324,3)</f>
        <v>4.6980000000000004</v>
      </c>
      <c r="R279">
        <f>ROUND(SUM(L279:Q279)/IF(VLOOKUP($A279,EnrollData2324,'2324 Jun 24 Enroll'!M$1,FALSE)+VLOOKUP($A279,EnrollData2324,'2324 Jun 24 Enroll'!D$1,FALSE)='District Calculations'!$B$25+'District Calculations'!$B$11,VLOOKUP($A279,EnrollData2324,'2324 Jun 24 Enroll'!M$1,FALSE)+VLOOKUP($A279,EnrollData2324,'2324 Jun 24 Enroll'!D$1,FALSE),'District Calculations'!$B$25+'District Calculations'!$B$11),5)</f>
        <v>4.1000000000000003E-3</v>
      </c>
      <c r="S279" s="11">
        <f t="shared" si="66"/>
        <v>1.8294500000000002E-2</v>
      </c>
      <c r="T279">
        <f>ROUND(IF(VLOOKUP($A279,EnrollData2324,'2324 Jun 24 Enroll'!D$1,FALSE)='District Calculations'!$B$11,VLOOKUP($A279,EnrollData2324,'2324 Jun 24 Enroll'!D$1,FALSE),'District Calculations'!$B$11)*S279,3)</f>
        <v>0</v>
      </c>
      <c r="U279">
        <f>ROUND(IF(VLOOKUP($A279,EnrollData2324,'2324 Jun 24 Enroll'!E$1,FALSE)='District Calculations'!$B$12,VLOOKUP($A279,EnrollData2324,'2324 Jun 24 Enroll'!E$1,FALSE),'District Calculations'!$B$12)*S279,3)</f>
        <v>14.827999999999999</v>
      </c>
      <c r="V279">
        <f>ROUND(IF(VLOOKUP($A279,EnrollData2324,'2324 Jun 24 Enroll'!F$1,FALSE)='District Calculations'!$B$13,VLOOKUP($A279,EnrollData2324,'2324 Jun 24 Enroll'!F$1,FALSE),'District Calculations'!$B$13)*Apport_224A2324,3)</f>
        <v>3.6190000000000002</v>
      </c>
      <c r="W279">
        <f>ROUND(IF(VLOOKUP($A279,EnrollData2324,'2324 Jun 24 Enroll'!G$1,FALSE)='District Calculations'!$B$14,VLOOKUP($A279,EnrollData2324,'2324 Jun 24 Enroll'!G$1,FALSE),'District Calculations'!$B$14)*Apport_212A2324,3)</f>
        <v>8.0239999999999991</v>
      </c>
      <c r="X279">
        <f>ROUND(IF(VLOOKUP($A279,EnrollData2324,'2324 Jun 24 Enroll'!H$1,FALSE)='District Calculations'!$B$14,VLOOKUP($A279,EnrollData2324,'2324 Jun 24 Enroll'!H$1,FALSE),'District Calculations'!$B$14)*Apport_215A2324,3)</f>
        <v>7.9279999999999999</v>
      </c>
      <c r="Y279">
        <f>ROUND(IF(VLOOKUP($A279,EnrollData2324,'2324 Jun 24 Enroll'!I$1,FALSE)+VLOOKUP($A279,EnrollData2324,'2324 Jun 24 Enroll'!M$1,FALSE)-VLOOKUP($A279,EnrollData2324,'2324 Jun 24 Enroll'!J$1,FALSE)='District Calculations'!$B$16+'District Calculations'!$B$25-'District Calculations'!$B$17,VLOOKUP($A279,EnrollData2324,'2324 Jun 24 Enroll'!I$1,FALSE)+VLOOKUP($A279,EnrollData2324,'2324 Jun 24 Enroll'!M$1,FALSE)-VLOOKUP($A279,EnrollData2324,'2324 Jun 24 Enroll'!J$1,FALSE),'District Calculations'!$B$16+'District Calculations'!$B$25-'District Calculations'!$B$17)*Apport_218A2324,3)</f>
        <v>19.917999999999999</v>
      </c>
      <c r="Z279">
        <f>ROUND(SUM(T279:Y279)/IF(VLOOKUP($A279,EnrollData2324,'2324 Jun 24 Enroll'!M$1,FALSE)+VLOOKUP($A279,EnrollData2324,'2324 Jun 24 Enroll'!D$1,FALSE)='District Calculations'!$B$25+'District Calculations'!$B$11,VLOOKUP($A279,EnrollData2324,'2324 Jun 24 Enroll'!M$1,FALSE)+VLOOKUP($A279,EnrollData2324,'2324 Jun 24 Enroll'!D$1,FALSE),'District Calculations'!$B$25+'District Calculations'!$B$11),5)</f>
        <v>1.7399999999999999E-2</v>
      </c>
      <c r="AA279" s="6">
        <f>ROUND($J279*CIS_Base_Salary2324*VLOOKUP($A279,EnrollData2324,'2324 Jun 24 Enroll'!S$1,FALSE),2)</f>
        <v>4038.59</v>
      </c>
      <c r="AB279" s="6">
        <f>ROUND($J279*CIS_Inc_Salary2324*(VLOOKUP($A279,EnrollData2324,'2324 Jun 24 Enroll'!T$1,FALSE)+VLOOKUP($A279,EnrollData2324,'2324 Jun 24 Enroll'!U$1,FALSE)),2)-AA279</f>
        <v>149.43000000000029</v>
      </c>
      <c r="AC279" s="6">
        <f>ROUND($R279*CAS_Base_Salary2324*VLOOKUP($A279,EnrollData2324,'2324 Jun 24 Enroll'!S$1,FALSE),2)</f>
        <v>442.62</v>
      </c>
      <c r="AD279" s="6">
        <f>ROUND($R279*CAS_Inc_Salary2324*VLOOKUP($A279,EnrollData2324,'2324 Jun 24 Enroll'!T$1,FALSE),2)-AC279</f>
        <v>16.379999999999995</v>
      </c>
      <c r="AE279" s="6">
        <f>ROUND($Z279*CLS_Base_Salary2324*VLOOKUP($A279,EnrollData2324,'2324 Jun 24 Enroll'!S$1,FALSE),2)</f>
        <v>907.81</v>
      </c>
      <c r="AF279" s="6">
        <f>ROUND($Z279*CLS_Inc_Salary2324*VLOOKUP($A279,EnrollData2324,'2324 Jun 24 Enroll'!T$1,FALSE),2)-AE279</f>
        <v>33.580000000000041</v>
      </c>
      <c r="AG279">
        <f t="shared" si="76"/>
        <v>734.16</v>
      </c>
      <c r="AH279" s="69">
        <f t="shared" si="67"/>
        <v>68.700000000000045</v>
      </c>
      <c r="AI279">
        <f t="shared" si="77"/>
        <v>214.23</v>
      </c>
      <c r="AJ279">
        <f t="shared" si="68"/>
        <v>114.21000000000001</v>
      </c>
      <c r="AK279">
        <f t="shared" si="69"/>
        <v>805.27</v>
      </c>
      <c r="AL279">
        <f t="shared" si="70"/>
        <v>28.73</v>
      </c>
      <c r="AM279">
        <f t="shared" si="71"/>
        <v>200.26</v>
      </c>
      <c r="AN279">
        <f t="shared" si="72"/>
        <v>6.23</v>
      </c>
      <c r="AO279">
        <f>ROUND(($J279*CIS_Inc_Salary2324*(VLOOKUP($A279,EnrollData2324,'2324 Jun 24 Enroll'!T$1,FALSE)+VLOOKUP($A279,EnrollData2324,'2324 Jun 24 Enroll'!U$1,FALSE))/Apport_613Xpd)*Apport_614Xpd,2)</f>
        <v>69.8</v>
      </c>
      <c r="AP279">
        <f t="shared" si="73"/>
        <v>12.1</v>
      </c>
      <c r="AQ279">
        <f t="shared" si="74"/>
        <v>30.93</v>
      </c>
      <c r="AR279" s="6">
        <f>ROUND((VLOOKUP($A279,EnrollData2324,'2324 Jun 24 Enroll'!D$1,FALSE)*Apport_M802324+VLOOKUP($A279,EnrollData2324,'2324 Jun 24 Enroll'!M$1,FALSE)*Apport_M802324+(VLOOKUP($A279,EnrollData2324,'2324 Jun 24 Enroll'!P$1,FALSE)+VLOOKUP($A279,EnrollData2324,'2324 Jun 24 Enroll'!Q$1,FALSE)+VLOOKUP($A279,EnrollData2324,'2324 Jun 24 Enroll'!R$1,FALSE)+VLOOKUP($A279,EnrollData2324,'2324 Jun 24 Enroll'!I$1,FALSE)+VLOOKUP($A279,EnrollData2324,'2324 Jun 24 Enroll'!N$1,FALSE)+VLOOKUP($A279,EnrollData2324,'2324 Jun 24 Enroll'!O$1,FALSE)+VLOOKUP($A279,EnrollData2324,'2324 Jun 24 Enroll'!K$1,FALSE)+VLOOKUP($A279,EnrollData2324,'2324 Jun 24 Enroll'!L$1,FALSE))*Apport_M812324)/(VLOOKUP($A279,EnrollData2324,'2324 Jun 24 Enroll'!M$1,FALSE)+VLOOKUP($A279,EnrollData2324,'2324 Jun 24 Enroll'!D$1,FALSE)),2)</f>
        <v>1542.21</v>
      </c>
      <c r="AS279" s="7">
        <f t="shared" si="75"/>
        <v>9415.24</v>
      </c>
    </row>
    <row r="280" spans="1:45">
      <c r="A280" s="40" t="s">
        <v>817</v>
      </c>
      <c r="B280" s="40" t="s">
        <v>818</v>
      </c>
      <c r="C280" s="11">
        <f>ROUND((IFERROR((1/IF(VLOOKUP($A280,EnrollData2324,28,FALSE)='District Calculations'!$B$10,VLOOKUP($A280,EnrollData2324,28,FALSE),'District Calculations'!$B$10))*(1+Apport_Z315),0))+Apport_201A2324,6)</f>
        <v>7.3449E-2</v>
      </c>
      <c r="D280">
        <f>ROUND(IF(VLOOKUP($A280,EnrollData2324,'2324 Jun 24 Enroll'!D$1,FALSE)='District Calculations'!$B$11,VLOOKUP($A280,EnrollData2324,'2324 Jun 24 Enroll'!D$1,FALSE),'District Calculations'!$B$11)*C280,3)</f>
        <v>0</v>
      </c>
      <c r="E280">
        <f>ROUND(IF(VLOOKUP($A280,EnrollData2324,'2324 Jun 24 Enroll'!E$1,FALSE)='District Calculations'!$B$12,VLOOKUP($A280,EnrollData2324,'2324 Jun 24 Enroll'!E$1,FALSE),'District Calculations'!$B$12)*C280,3)</f>
        <v>59.53</v>
      </c>
      <c r="F280">
        <f>ROUND(IF(VLOOKUP($A280,EnrollData2324,'2324 Jun 24 Enroll'!F$1,FALSE)='District Calculations'!$B$13,VLOOKUP($A280,EnrollData2324,'2324 Jun 24 Enroll'!F$1,FALSE),'District Calculations'!$B$13)*Apport_222A2324,3)</f>
        <v>10.101000000000001</v>
      </c>
      <c r="G280">
        <f>ROUND(IF(VLOOKUP($A280,EnrollData2324,'2324 Jun 24 Enroll'!G$1,FALSE)='District Calculations'!$B$14,VLOOKUP($A280,EnrollData2324,'2324 Jun 24 Enroll'!G$1,FALSE),'District Calculations'!$B$14)*Apport_210A2324,3)</f>
        <v>22.395</v>
      </c>
      <c r="H280">
        <f>ROUND(IF(VLOOKUP($A280,EnrollData2324,'2324 Jun 24 Enroll'!H$1,FALSE)='District Calculations'!$B$15,VLOOKUP($A280,EnrollData2324,'2324 Jun 24 Enroll'!H$1,FALSE),'District Calculations'!$B$15)*Apport_213A2324,3)</f>
        <v>23.091999999999999</v>
      </c>
      <c r="I280">
        <f>ROUND(IF(VLOOKUP($A280,EnrollData2324,'2324 Jun 24 Enroll'!I$1,FALSE)+VLOOKUP($A280,EnrollData2324,'2324 Jun 24 Enroll'!M$1,FALSE)-VLOOKUP($A280,EnrollData2324,'2324 Jun 24 Enroll'!J$1,FALSE)='District Calculations'!$B$16+'District Calculations'!$B$25-'District Calculations'!$B$17,VLOOKUP($A280,EnrollData2324,'2324 Jun 24 Enroll'!I$1,FALSE)+VLOOKUP($A280,EnrollData2324,'2324 Jun 24 Enroll'!M$1,FALSE)-VLOOKUP($A280,EnrollData2324,'2324 Jun 24 Enroll'!J$1,FALSE),'District Calculations'!$B$16+'District Calculations'!$B$25-'District Calculations'!$B$17)*Apport_216A2324,3)</f>
        <v>58.183999999999997</v>
      </c>
      <c r="J280">
        <f>ROUND(SUM(D280:I280)/(IF(VLOOKUP($A280,EnrollData2324,'2324 Jun 24 Enroll'!M$1,FALSE)='District Calculations'!$B$25,VLOOKUP($A280,EnrollData2324,'2324 Jun 24 Enroll'!M$1,FALSE),'District Calculations'!$B$25)+IF(VLOOKUP($A280,EnrollData2324,'2324 Jun 24 Enroll'!D$1,FALSE)='District Calculations'!$B$11,VLOOKUP($A280,EnrollData2324,'2324 Jun 24 Enroll'!D$1,FALSE),'District Calculations'!$B$11)),5)</f>
        <v>5.5530000000000003E-2</v>
      </c>
      <c r="K280" s="11">
        <f t="shared" si="65"/>
        <v>4.365E-3</v>
      </c>
      <c r="L280">
        <f>ROUND(IF(VLOOKUP($A280,EnrollData2324,'2324 Jun 24 Enroll'!D$1,FALSE)='District Calculations'!$B$11,VLOOKUP($A280,EnrollData2324,'2324 Jun 24 Enroll'!D$1,FALSE),'District Calculations'!$B$11)*K280,3)</f>
        <v>0</v>
      </c>
      <c r="M280">
        <f>ROUND(IF(VLOOKUP($A280,EnrollData2324,'2324 Jun 24 Enroll'!E$1,FALSE)='District Calculations'!$B$12,VLOOKUP($A280,EnrollData2324,'2324 Jun 24 Enroll'!E$1,FALSE),'District Calculations'!$B$12)*K280,3)</f>
        <v>3.5379999999999998</v>
      </c>
      <c r="N280">
        <f>ROUND(IF(VLOOKUP($A280,EnrollData2324,'2324 Jun 24 Enroll'!F$1,FALSE)='District Calculations'!$B$13,VLOOKUP($A280,EnrollData2324,'2324 Jun 24 Enroll'!F$1,FALSE),'District Calculations'!$B$13)*Apport_223A2324,3)</f>
        <v>0.84199999999999997</v>
      </c>
      <c r="O280">
        <f>ROUND(IF(VLOOKUP($A280,EnrollData2324,'2324 Jun 24 Enroll'!G$1,FALSE)='District Calculations'!$B$14,VLOOKUP($A280,EnrollData2324,'2324 Jun 24 Enroll'!G$1,FALSE),'District Calculations'!$B$14)*Apport_211A2324,3)</f>
        <v>1.867</v>
      </c>
      <c r="P280">
        <f>ROUND(IF(VLOOKUP($A280,EnrollData2324,'2324 Jun 24 Enroll'!H$1,FALSE)='District Calculations'!$B$14,VLOOKUP($A280,EnrollData2324,'2324 Jun 24 Enroll'!H$1,FALSE),'District Calculations'!$B$14)*Apport_214A2324,3)</f>
        <v>1.8660000000000001</v>
      </c>
      <c r="Q280">
        <f>ROUND(IF(VLOOKUP($A280,EnrollData2324,'2324 Jun 24 Enroll'!I$1,FALSE)+VLOOKUP($A280,EnrollData2324,'2324 Jun 24 Enroll'!M$1,FALSE)-VLOOKUP($A280,EnrollData2324,'2324 Jun 24 Enroll'!J$1,FALSE)='District Calculations'!$B$16+'District Calculations'!$B$25-'District Calculations'!$B$17,VLOOKUP($A280,EnrollData2324,'2324 Jun 24 Enroll'!I$1,FALSE)+VLOOKUP($A280,EnrollData2324,'2324 Jun 24 Enroll'!M$1,FALSE)-VLOOKUP($A280,EnrollData2324,'2324 Jun 24 Enroll'!J$1,FALSE),'District Calculations'!$B$16+'District Calculations'!$B$25-'District Calculations'!$B$17)*Apport_217A2324,3)</f>
        <v>4.6980000000000004</v>
      </c>
      <c r="R280">
        <f>ROUND(SUM(L280:Q280)/IF(VLOOKUP($A280,EnrollData2324,'2324 Jun 24 Enroll'!M$1,FALSE)+VLOOKUP($A280,EnrollData2324,'2324 Jun 24 Enroll'!D$1,FALSE)='District Calculations'!$B$25+'District Calculations'!$B$11,VLOOKUP($A280,EnrollData2324,'2324 Jun 24 Enroll'!M$1,FALSE)+VLOOKUP($A280,EnrollData2324,'2324 Jun 24 Enroll'!D$1,FALSE),'District Calculations'!$B$25+'District Calculations'!$B$11),5)</f>
        <v>4.1000000000000003E-3</v>
      </c>
      <c r="S280" s="11">
        <f t="shared" si="66"/>
        <v>1.8294500000000002E-2</v>
      </c>
      <c r="T280">
        <f>ROUND(IF(VLOOKUP($A280,EnrollData2324,'2324 Jun 24 Enroll'!D$1,FALSE)='District Calculations'!$B$11,VLOOKUP($A280,EnrollData2324,'2324 Jun 24 Enroll'!D$1,FALSE),'District Calculations'!$B$11)*S280,3)</f>
        <v>0</v>
      </c>
      <c r="U280">
        <f>ROUND(IF(VLOOKUP($A280,EnrollData2324,'2324 Jun 24 Enroll'!E$1,FALSE)='District Calculations'!$B$12,VLOOKUP($A280,EnrollData2324,'2324 Jun 24 Enroll'!E$1,FALSE),'District Calculations'!$B$12)*S280,3)</f>
        <v>14.827999999999999</v>
      </c>
      <c r="V280">
        <f>ROUND(IF(VLOOKUP($A280,EnrollData2324,'2324 Jun 24 Enroll'!F$1,FALSE)='District Calculations'!$B$13,VLOOKUP($A280,EnrollData2324,'2324 Jun 24 Enroll'!F$1,FALSE),'District Calculations'!$B$13)*Apport_224A2324,3)</f>
        <v>3.6190000000000002</v>
      </c>
      <c r="W280">
        <f>ROUND(IF(VLOOKUP($A280,EnrollData2324,'2324 Jun 24 Enroll'!G$1,FALSE)='District Calculations'!$B$14,VLOOKUP($A280,EnrollData2324,'2324 Jun 24 Enroll'!G$1,FALSE),'District Calculations'!$B$14)*Apport_212A2324,3)</f>
        <v>8.0239999999999991</v>
      </c>
      <c r="X280">
        <f>ROUND(IF(VLOOKUP($A280,EnrollData2324,'2324 Jun 24 Enroll'!H$1,FALSE)='District Calculations'!$B$14,VLOOKUP($A280,EnrollData2324,'2324 Jun 24 Enroll'!H$1,FALSE),'District Calculations'!$B$14)*Apport_215A2324,3)</f>
        <v>7.9279999999999999</v>
      </c>
      <c r="Y280">
        <f>ROUND(IF(VLOOKUP($A280,EnrollData2324,'2324 Jun 24 Enroll'!I$1,FALSE)+VLOOKUP($A280,EnrollData2324,'2324 Jun 24 Enroll'!M$1,FALSE)-VLOOKUP($A280,EnrollData2324,'2324 Jun 24 Enroll'!J$1,FALSE)='District Calculations'!$B$16+'District Calculations'!$B$25-'District Calculations'!$B$17,VLOOKUP($A280,EnrollData2324,'2324 Jun 24 Enroll'!I$1,FALSE)+VLOOKUP($A280,EnrollData2324,'2324 Jun 24 Enroll'!M$1,FALSE)-VLOOKUP($A280,EnrollData2324,'2324 Jun 24 Enroll'!J$1,FALSE),'District Calculations'!$B$16+'District Calculations'!$B$25-'District Calculations'!$B$17)*Apport_218A2324,3)</f>
        <v>19.917999999999999</v>
      </c>
      <c r="Z280">
        <f>ROUND(SUM(T280:Y280)/IF(VLOOKUP($A280,EnrollData2324,'2324 Jun 24 Enroll'!M$1,FALSE)+VLOOKUP($A280,EnrollData2324,'2324 Jun 24 Enroll'!D$1,FALSE)='District Calculations'!$B$25+'District Calculations'!$B$11,VLOOKUP($A280,EnrollData2324,'2324 Jun 24 Enroll'!M$1,FALSE)+VLOOKUP($A280,EnrollData2324,'2324 Jun 24 Enroll'!D$1,FALSE),'District Calculations'!$B$25+'District Calculations'!$B$11),5)</f>
        <v>1.7399999999999999E-2</v>
      </c>
      <c r="AA280" s="6">
        <f>ROUND($J280*CIS_Base_Salary2324*VLOOKUP($A280,EnrollData2324,'2324 Jun 24 Enroll'!S$1,FALSE),2)</f>
        <v>4038.59</v>
      </c>
      <c r="AB280" s="6">
        <f>ROUND($J280*CIS_Inc_Salary2324*(VLOOKUP($A280,EnrollData2324,'2324 Jun 24 Enroll'!T$1,FALSE)+VLOOKUP($A280,EnrollData2324,'2324 Jun 24 Enroll'!U$1,FALSE)),2)-AA280</f>
        <v>149.43000000000029</v>
      </c>
      <c r="AC280" s="6">
        <f>ROUND($R280*CAS_Base_Salary2324*VLOOKUP($A280,EnrollData2324,'2324 Jun 24 Enroll'!S$1,FALSE),2)</f>
        <v>442.62</v>
      </c>
      <c r="AD280" s="6">
        <f>ROUND($R280*CAS_Inc_Salary2324*VLOOKUP($A280,EnrollData2324,'2324 Jun 24 Enroll'!T$1,FALSE),2)-AC280</f>
        <v>16.379999999999995</v>
      </c>
      <c r="AE280" s="6">
        <f>ROUND($Z280*CLS_Base_Salary2324*VLOOKUP($A280,EnrollData2324,'2324 Jun 24 Enroll'!S$1,FALSE),2)</f>
        <v>907.81</v>
      </c>
      <c r="AF280" s="6">
        <f>ROUND($Z280*CLS_Inc_Salary2324*VLOOKUP($A280,EnrollData2324,'2324 Jun 24 Enroll'!T$1,FALSE),2)-AE280</f>
        <v>33.580000000000041</v>
      </c>
      <c r="AG280">
        <f t="shared" si="76"/>
        <v>734.16</v>
      </c>
      <c r="AH280" s="69">
        <f t="shared" si="67"/>
        <v>68.700000000000045</v>
      </c>
      <c r="AI280">
        <f t="shared" si="77"/>
        <v>214.23</v>
      </c>
      <c r="AJ280">
        <f t="shared" si="68"/>
        <v>114.21000000000001</v>
      </c>
      <c r="AK280">
        <f t="shared" si="69"/>
        <v>805.27</v>
      </c>
      <c r="AL280">
        <f t="shared" si="70"/>
        <v>28.73</v>
      </c>
      <c r="AM280">
        <f t="shared" si="71"/>
        <v>200.26</v>
      </c>
      <c r="AN280">
        <f t="shared" si="72"/>
        <v>6.23</v>
      </c>
      <c r="AO280">
        <f>ROUND(($J280*CIS_Inc_Salary2324*(VLOOKUP($A280,EnrollData2324,'2324 Jun 24 Enroll'!T$1,FALSE)+VLOOKUP($A280,EnrollData2324,'2324 Jun 24 Enroll'!U$1,FALSE))/Apport_613Xpd)*Apport_614Xpd,2)</f>
        <v>69.8</v>
      </c>
      <c r="AP280">
        <f t="shared" si="73"/>
        <v>12.1</v>
      </c>
      <c r="AQ280">
        <f t="shared" si="74"/>
        <v>30.93</v>
      </c>
      <c r="AR280" s="6">
        <f>ROUND((VLOOKUP($A280,EnrollData2324,'2324 Jun 24 Enroll'!D$1,FALSE)*Apport_M802324+VLOOKUP($A280,EnrollData2324,'2324 Jun 24 Enroll'!M$1,FALSE)*Apport_M802324+(VLOOKUP($A280,EnrollData2324,'2324 Jun 24 Enroll'!P$1,FALSE)+VLOOKUP($A280,EnrollData2324,'2324 Jun 24 Enroll'!Q$1,FALSE)+VLOOKUP($A280,EnrollData2324,'2324 Jun 24 Enroll'!R$1,FALSE)+VLOOKUP($A280,EnrollData2324,'2324 Jun 24 Enroll'!I$1,FALSE)+VLOOKUP($A280,EnrollData2324,'2324 Jun 24 Enroll'!N$1,FALSE)+VLOOKUP($A280,EnrollData2324,'2324 Jun 24 Enroll'!O$1,FALSE)+VLOOKUP($A280,EnrollData2324,'2324 Jun 24 Enroll'!K$1,FALSE)+VLOOKUP($A280,EnrollData2324,'2324 Jun 24 Enroll'!L$1,FALSE))*Apport_M812324)/(VLOOKUP($A280,EnrollData2324,'2324 Jun 24 Enroll'!M$1,FALSE)+VLOOKUP($A280,EnrollData2324,'2324 Jun 24 Enroll'!D$1,FALSE)),2)</f>
        <v>1543.33</v>
      </c>
      <c r="AS280" s="7">
        <f t="shared" si="75"/>
        <v>9416.36</v>
      </c>
    </row>
    <row r="281" spans="1:45">
      <c r="A281" s="40" t="s">
        <v>932</v>
      </c>
      <c r="B281" s="40" t="s">
        <v>1019</v>
      </c>
      <c r="C281" s="11">
        <f>ROUND((IFERROR((1/IF(VLOOKUP($A281,EnrollData2324,28,FALSE)='District Calculations'!$B$10,VLOOKUP($A281,EnrollData2324,28,FALSE),'District Calculations'!$B$10))*(1+Apport_Z315),0))+Apport_201A2324,6)</f>
        <v>7.3449E-2</v>
      </c>
      <c r="D281">
        <f>ROUND(IF(VLOOKUP($A281,EnrollData2324,'2324 Jun 24 Enroll'!D$1,FALSE)='District Calculations'!$B$11,VLOOKUP($A281,EnrollData2324,'2324 Jun 24 Enroll'!D$1,FALSE),'District Calculations'!$B$11)*C281,3)</f>
        <v>0</v>
      </c>
      <c r="E281">
        <f>ROUND(IF(VLOOKUP($A281,EnrollData2324,'2324 Jun 24 Enroll'!E$1,FALSE)='District Calculations'!$B$12,VLOOKUP($A281,EnrollData2324,'2324 Jun 24 Enroll'!E$1,FALSE),'District Calculations'!$B$12)*C281,3)</f>
        <v>59.53</v>
      </c>
      <c r="F281">
        <f>ROUND(IF(VLOOKUP($A281,EnrollData2324,'2324 Jun 24 Enroll'!F$1,FALSE)='District Calculations'!$B$13,VLOOKUP($A281,EnrollData2324,'2324 Jun 24 Enroll'!F$1,FALSE),'District Calculations'!$B$13)*Apport_222A2324,3)</f>
        <v>10.101000000000001</v>
      </c>
      <c r="G281">
        <f>ROUND(IF(VLOOKUP($A281,EnrollData2324,'2324 Jun 24 Enroll'!G$1,FALSE)='District Calculations'!$B$14,VLOOKUP($A281,EnrollData2324,'2324 Jun 24 Enroll'!G$1,FALSE),'District Calculations'!$B$14)*Apport_210A2324,3)</f>
        <v>22.395</v>
      </c>
      <c r="H281">
        <f>ROUND(IF(VLOOKUP($A281,EnrollData2324,'2324 Jun 24 Enroll'!H$1,FALSE)='District Calculations'!$B$15,VLOOKUP($A281,EnrollData2324,'2324 Jun 24 Enroll'!H$1,FALSE),'District Calculations'!$B$15)*Apport_213A2324,3)</f>
        <v>23.091999999999999</v>
      </c>
      <c r="I281">
        <f>ROUND(IF(VLOOKUP($A281,EnrollData2324,'2324 Jun 24 Enroll'!I$1,FALSE)+VLOOKUP($A281,EnrollData2324,'2324 Jun 24 Enroll'!M$1,FALSE)-VLOOKUP($A281,EnrollData2324,'2324 Jun 24 Enroll'!J$1,FALSE)='District Calculations'!$B$16+'District Calculations'!$B$25-'District Calculations'!$B$17,VLOOKUP($A281,EnrollData2324,'2324 Jun 24 Enroll'!I$1,FALSE)+VLOOKUP($A281,EnrollData2324,'2324 Jun 24 Enroll'!M$1,FALSE)-VLOOKUP($A281,EnrollData2324,'2324 Jun 24 Enroll'!J$1,FALSE),'District Calculations'!$B$16+'District Calculations'!$B$25-'District Calculations'!$B$17)*Apport_216A2324,3)</f>
        <v>58.183999999999997</v>
      </c>
      <c r="J281">
        <f>ROUND(SUM(D281:I281)/(IF(VLOOKUP($A281,EnrollData2324,'2324 Jun 24 Enroll'!M$1,FALSE)='District Calculations'!$B$25,VLOOKUP($A281,EnrollData2324,'2324 Jun 24 Enroll'!M$1,FALSE),'District Calculations'!$B$25)+IF(VLOOKUP($A281,EnrollData2324,'2324 Jun 24 Enroll'!D$1,FALSE)='District Calculations'!$B$11,VLOOKUP($A281,EnrollData2324,'2324 Jun 24 Enroll'!D$1,FALSE),'District Calculations'!$B$11)),5)</f>
        <v>5.5530000000000003E-2</v>
      </c>
      <c r="K281" s="11">
        <f t="shared" si="65"/>
        <v>4.365E-3</v>
      </c>
      <c r="L281">
        <f>ROUND(IF(VLOOKUP($A281,EnrollData2324,'2324 Jun 24 Enroll'!D$1,FALSE)='District Calculations'!$B$11,VLOOKUP($A281,EnrollData2324,'2324 Jun 24 Enroll'!D$1,FALSE),'District Calculations'!$B$11)*K281,3)</f>
        <v>0</v>
      </c>
      <c r="M281">
        <f>ROUND(IF(VLOOKUP($A281,EnrollData2324,'2324 Jun 24 Enroll'!E$1,FALSE)='District Calculations'!$B$12,VLOOKUP($A281,EnrollData2324,'2324 Jun 24 Enroll'!E$1,FALSE),'District Calculations'!$B$12)*K281,3)</f>
        <v>3.5379999999999998</v>
      </c>
      <c r="N281">
        <f>ROUND(IF(VLOOKUP($A281,EnrollData2324,'2324 Jun 24 Enroll'!F$1,FALSE)='District Calculations'!$B$13,VLOOKUP($A281,EnrollData2324,'2324 Jun 24 Enroll'!F$1,FALSE),'District Calculations'!$B$13)*Apport_223A2324,3)</f>
        <v>0.84199999999999997</v>
      </c>
      <c r="O281">
        <f>ROUND(IF(VLOOKUP($A281,EnrollData2324,'2324 Jun 24 Enroll'!G$1,FALSE)='District Calculations'!$B$14,VLOOKUP($A281,EnrollData2324,'2324 Jun 24 Enroll'!G$1,FALSE),'District Calculations'!$B$14)*Apport_211A2324,3)</f>
        <v>1.867</v>
      </c>
      <c r="P281">
        <f>ROUND(IF(VLOOKUP($A281,EnrollData2324,'2324 Jun 24 Enroll'!H$1,FALSE)='District Calculations'!$B$14,VLOOKUP($A281,EnrollData2324,'2324 Jun 24 Enroll'!H$1,FALSE),'District Calculations'!$B$14)*Apport_214A2324,3)</f>
        <v>1.8660000000000001</v>
      </c>
      <c r="Q281">
        <f>ROUND(IF(VLOOKUP($A281,EnrollData2324,'2324 Jun 24 Enroll'!I$1,FALSE)+VLOOKUP($A281,EnrollData2324,'2324 Jun 24 Enroll'!M$1,FALSE)-VLOOKUP($A281,EnrollData2324,'2324 Jun 24 Enroll'!J$1,FALSE)='District Calculations'!$B$16+'District Calculations'!$B$25-'District Calculations'!$B$17,VLOOKUP($A281,EnrollData2324,'2324 Jun 24 Enroll'!I$1,FALSE)+VLOOKUP($A281,EnrollData2324,'2324 Jun 24 Enroll'!M$1,FALSE)-VLOOKUP($A281,EnrollData2324,'2324 Jun 24 Enroll'!J$1,FALSE),'District Calculations'!$B$16+'District Calculations'!$B$25-'District Calculations'!$B$17)*Apport_217A2324,3)</f>
        <v>4.6980000000000004</v>
      </c>
      <c r="R281">
        <f>ROUND(SUM(L281:Q281)/IF(VLOOKUP($A281,EnrollData2324,'2324 Jun 24 Enroll'!M$1,FALSE)+VLOOKUP($A281,EnrollData2324,'2324 Jun 24 Enroll'!D$1,FALSE)='District Calculations'!$B$25+'District Calculations'!$B$11,VLOOKUP($A281,EnrollData2324,'2324 Jun 24 Enroll'!M$1,FALSE)+VLOOKUP($A281,EnrollData2324,'2324 Jun 24 Enroll'!D$1,FALSE),'District Calculations'!$B$25+'District Calculations'!$B$11),5)</f>
        <v>4.1000000000000003E-3</v>
      </c>
      <c r="S281" s="11">
        <f t="shared" si="66"/>
        <v>1.8294500000000002E-2</v>
      </c>
      <c r="T281">
        <f>ROUND(IF(VLOOKUP($A281,EnrollData2324,'2324 Jun 24 Enroll'!D$1,FALSE)='District Calculations'!$B$11,VLOOKUP($A281,EnrollData2324,'2324 Jun 24 Enroll'!D$1,FALSE),'District Calculations'!$B$11)*S281,3)</f>
        <v>0</v>
      </c>
      <c r="U281">
        <f>ROUND(IF(VLOOKUP($A281,EnrollData2324,'2324 Jun 24 Enroll'!E$1,FALSE)='District Calculations'!$B$12,VLOOKUP($A281,EnrollData2324,'2324 Jun 24 Enroll'!E$1,FALSE),'District Calculations'!$B$12)*S281,3)</f>
        <v>14.827999999999999</v>
      </c>
      <c r="V281">
        <f>ROUND(IF(VLOOKUP($A281,EnrollData2324,'2324 Jun 24 Enroll'!F$1,FALSE)='District Calculations'!$B$13,VLOOKUP($A281,EnrollData2324,'2324 Jun 24 Enroll'!F$1,FALSE),'District Calculations'!$B$13)*Apport_224A2324,3)</f>
        <v>3.6190000000000002</v>
      </c>
      <c r="W281">
        <f>ROUND(IF(VLOOKUP($A281,EnrollData2324,'2324 Jun 24 Enroll'!G$1,FALSE)='District Calculations'!$B$14,VLOOKUP($A281,EnrollData2324,'2324 Jun 24 Enroll'!G$1,FALSE),'District Calculations'!$B$14)*Apport_212A2324,3)</f>
        <v>8.0239999999999991</v>
      </c>
      <c r="X281">
        <f>ROUND(IF(VLOOKUP($A281,EnrollData2324,'2324 Jun 24 Enroll'!H$1,FALSE)='District Calculations'!$B$14,VLOOKUP($A281,EnrollData2324,'2324 Jun 24 Enroll'!H$1,FALSE),'District Calculations'!$B$14)*Apport_215A2324,3)</f>
        <v>7.9279999999999999</v>
      </c>
      <c r="Y281">
        <f>ROUND(IF(VLOOKUP($A281,EnrollData2324,'2324 Jun 24 Enroll'!I$1,FALSE)+VLOOKUP($A281,EnrollData2324,'2324 Jun 24 Enroll'!M$1,FALSE)-VLOOKUP($A281,EnrollData2324,'2324 Jun 24 Enroll'!J$1,FALSE)='District Calculations'!$B$16+'District Calculations'!$B$25-'District Calculations'!$B$17,VLOOKUP($A281,EnrollData2324,'2324 Jun 24 Enroll'!I$1,FALSE)+VLOOKUP($A281,EnrollData2324,'2324 Jun 24 Enroll'!M$1,FALSE)-VLOOKUP($A281,EnrollData2324,'2324 Jun 24 Enroll'!J$1,FALSE),'District Calculations'!$B$16+'District Calculations'!$B$25-'District Calculations'!$B$17)*Apport_218A2324,3)</f>
        <v>19.917999999999999</v>
      </c>
      <c r="Z281">
        <f>ROUND(SUM(T281:Y281)/IF(VLOOKUP($A281,EnrollData2324,'2324 Jun 24 Enroll'!M$1,FALSE)+VLOOKUP($A281,EnrollData2324,'2324 Jun 24 Enroll'!D$1,FALSE)='District Calculations'!$B$25+'District Calculations'!$B$11,VLOOKUP($A281,EnrollData2324,'2324 Jun 24 Enroll'!M$1,FALSE)+VLOOKUP($A281,EnrollData2324,'2324 Jun 24 Enroll'!D$1,FALSE),'District Calculations'!$B$25+'District Calculations'!$B$11),5)</f>
        <v>1.7399999999999999E-2</v>
      </c>
      <c r="AA281" s="6">
        <f>ROUND($J281*CIS_Base_Salary2324*VLOOKUP($A281,EnrollData2324,'2324 Jun 24 Enroll'!S$1,FALSE),2)</f>
        <v>4099.16</v>
      </c>
      <c r="AB281" s="6">
        <f>ROUND($J281*CIS_Inc_Salary2324*(VLOOKUP($A281,EnrollData2324,'2324 Jun 24 Enroll'!T$1,FALSE)+VLOOKUP($A281,EnrollData2324,'2324 Jun 24 Enroll'!U$1,FALSE)),2)-AA281</f>
        <v>151.68000000000029</v>
      </c>
      <c r="AC281" s="6">
        <f>ROUND($R281*CAS_Base_Salary2324*VLOOKUP($A281,EnrollData2324,'2324 Jun 24 Enroll'!S$1,FALSE),2)</f>
        <v>449.25</v>
      </c>
      <c r="AD281" s="6">
        <f>ROUND($R281*CAS_Inc_Salary2324*VLOOKUP($A281,EnrollData2324,'2324 Jun 24 Enroll'!T$1,FALSE),2)-AC281</f>
        <v>16.629999999999995</v>
      </c>
      <c r="AE281" s="6">
        <f>ROUND($Z281*CLS_Base_Salary2324*VLOOKUP($A281,EnrollData2324,'2324 Jun 24 Enroll'!S$1,FALSE),2)</f>
        <v>921.43</v>
      </c>
      <c r="AF281" s="6">
        <f>ROUND($Z281*CLS_Inc_Salary2324*VLOOKUP($A281,EnrollData2324,'2324 Jun 24 Enroll'!T$1,FALSE),2)-AE281</f>
        <v>34.080000000000041</v>
      </c>
      <c r="AG281">
        <f t="shared" si="76"/>
        <v>734.16</v>
      </c>
      <c r="AH281" s="69">
        <f t="shared" si="67"/>
        <v>68.700000000000045</v>
      </c>
      <c r="AI281">
        <f t="shared" si="77"/>
        <v>214.23</v>
      </c>
      <c r="AJ281">
        <f t="shared" si="68"/>
        <v>114.21000000000001</v>
      </c>
      <c r="AK281">
        <f t="shared" si="69"/>
        <v>817.35</v>
      </c>
      <c r="AL281">
        <f t="shared" si="70"/>
        <v>29.17</v>
      </c>
      <c r="AM281">
        <f t="shared" si="71"/>
        <v>203.27</v>
      </c>
      <c r="AN281">
        <f t="shared" si="72"/>
        <v>6.33</v>
      </c>
      <c r="AO281">
        <f>ROUND(($J281*CIS_Inc_Salary2324*(VLOOKUP($A281,EnrollData2324,'2324 Jun 24 Enroll'!T$1,FALSE)+VLOOKUP($A281,EnrollData2324,'2324 Jun 24 Enroll'!U$1,FALSE))/Apport_613Xpd)*Apport_614Xpd,2)</f>
        <v>70.849999999999994</v>
      </c>
      <c r="AP281">
        <f t="shared" si="73"/>
        <v>12.28</v>
      </c>
      <c r="AQ281">
        <f t="shared" si="74"/>
        <v>30.93</v>
      </c>
      <c r="AR281" s="6">
        <f>ROUND((VLOOKUP($A281,EnrollData2324,'2324 Jun 24 Enroll'!D$1,FALSE)*Apport_M802324+VLOOKUP($A281,EnrollData2324,'2324 Jun 24 Enroll'!M$1,FALSE)*Apport_M802324+(VLOOKUP($A281,EnrollData2324,'2324 Jun 24 Enroll'!P$1,FALSE)+VLOOKUP($A281,EnrollData2324,'2324 Jun 24 Enroll'!Q$1,FALSE)+VLOOKUP($A281,EnrollData2324,'2324 Jun 24 Enroll'!R$1,FALSE)+VLOOKUP($A281,EnrollData2324,'2324 Jun 24 Enroll'!I$1,FALSE)+VLOOKUP($A281,EnrollData2324,'2324 Jun 24 Enroll'!N$1,FALSE)+VLOOKUP($A281,EnrollData2324,'2324 Jun 24 Enroll'!O$1,FALSE)+VLOOKUP($A281,EnrollData2324,'2324 Jun 24 Enroll'!K$1,FALSE)+VLOOKUP($A281,EnrollData2324,'2324 Jun 24 Enroll'!L$1,FALSE))*Apport_M812324)/(VLOOKUP($A281,EnrollData2324,'2324 Jun 24 Enroll'!M$1,FALSE)+VLOOKUP($A281,EnrollData2324,'2324 Jun 24 Enroll'!D$1,FALSE)),2)</f>
        <v>1483.44</v>
      </c>
      <c r="AS281" s="7">
        <f t="shared" si="75"/>
        <v>9457.1500000000015</v>
      </c>
    </row>
    <row r="282" spans="1:45">
      <c r="A282" s="40" t="s">
        <v>851</v>
      </c>
      <c r="B282" s="40" t="s">
        <v>852</v>
      </c>
      <c r="C282" s="11">
        <f>ROUND((IFERROR((1/IF(VLOOKUP($A282,EnrollData2324,28,FALSE)='District Calculations'!$B$10,VLOOKUP($A282,EnrollData2324,28,FALSE),'District Calculations'!$B$10))*(1+Apport_Z315),0))+Apport_201A2324,6)</f>
        <v>7.3449E-2</v>
      </c>
      <c r="D282">
        <f>ROUND(IF(VLOOKUP($A282,EnrollData2324,'2324 Jun 24 Enroll'!D$1,FALSE)='District Calculations'!$B$11,VLOOKUP($A282,EnrollData2324,'2324 Jun 24 Enroll'!D$1,FALSE),'District Calculations'!$B$11)*C282,3)</f>
        <v>0</v>
      </c>
      <c r="E282">
        <f>ROUND(IF(VLOOKUP($A282,EnrollData2324,'2324 Jun 24 Enroll'!E$1,FALSE)='District Calculations'!$B$12,VLOOKUP($A282,EnrollData2324,'2324 Jun 24 Enroll'!E$1,FALSE),'District Calculations'!$B$12)*C282,3)</f>
        <v>59.53</v>
      </c>
      <c r="F282">
        <f>ROUND(IF(VLOOKUP($A282,EnrollData2324,'2324 Jun 24 Enroll'!F$1,FALSE)='District Calculations'!$B$13,VLOOKUP($A282,EnrollData2324,'2324 Jun 24 Enroll'!F$1,FALSE),'District Calculations'!$B$13)*Apport_222A2324,3)</f>
        <v>10.101000000000001</v>
      </c>
      <c r="G282">
        <f>ROUND(IF(VLOOKUP($A282,EnrollData2324,'2324 Jun 24 Enroll'!G$1,FALSE)='District Calculations'!$B$14,VLOOKUP($A282,EnrollData2324,'2324 Jun 24 Enroll'!G$1,FALSE),'District Calculations'!$B$14)*Apport_210A2324,3)</f>
        <v>22.395</v>
      </c>
      <c r="H282">
        <f>ROUND(IF(VLOOKUP($A282,EnrollData2324,'2324 Jun 24 Enroll'!H$1,FALSE)='District Calculations'!$B$15,VLOOKUP($A282,EnrollData2324,'2324 Jun 24 Enroll'!H$1,FALSE),'District Calculations'!$B$15)*Apport_213A2324,3)</f>
        <v>23.091999999999999</v>
      </c>
      <c r="I282">
        <f>ROUND(IF(VLOOKUP($A282,EnrollData2324,'2324 Jun 24 Enroll'!I$1,FALSE)+VLOOKUP($A282,EnrollData2324,'2324 Jun 24 Enroll'!M$1,FALSE)-VLOOKUP($A282,EnrollData2324,'2324 Jun 24 Enroll'!J$1,FALSE)='District Calculations'!$B$16+'District Calculations'!$B$25-'District Calculations'!$B$17,VLOOKUP($A282,EnrollData2324,'2324 Jun 24 Enroll'!I$1,FALSE)+VLOOKUP($A282,EnrollData2324,'2324 Jun 24 Enroll'!M$1,FALSE)-VLOOKUP($A282,EnrollData2324,'2324 Jun 24 Enroll'!J$1,FALSE),'District Calculations'!$B$16+'District Calculations'!$B$25-'District Calculations'!$B$17)*Apport_216A2324,3)</f>
        <v>58.183999999999997</v>
      </c>
      <c r="J282">
        <f>ROUND(SUM(D282:I282)/(IF(VLOOKUP($A282,EnrollData2324,'2324 Jun 24 Enroll'!M$1,FALSE)='District Calculations'!$B$25,VLOOKUP($A282,EnrollData2324,'2324 Jun 24 Enroll'!M$1,FALSE),'District Calculations'!$B$25)+IF(VLOOKUP($A282,EnrollData2324,'2324 Jun 24 Enroll'!D$1,FALSE)='District Calculations'!$B$11,VLOOKUP($A282,EnrollData2324,'2324 Jun 24 Enroll'!D$1,FALSE),'District Calculations'!$B$11)),5)</f>
        <v>5.5530000000000003E-2</v>
      </c>
      <c r="K282" s="11">
        <f t="shared" si="65"/>
        <v>4.365E-3</v>
      </c>
      <c r="L282">
        <f>ROUND(IF(VLOOKUP($A282,EnrollData2324,'2324 Jun 24 Enroll'!D$1,FALSE)='District Calculations'!$B$11,VLOOKUP($A282,EnrollData2324,'2324 Jun 24 Enroll'!D$1,FALSE),'District Calculations'!$B$11)*K282,3)</f>
        <v>0</v>
      </c>
      <c r="M282">
        <f>ROUND(IF(VLOOKUP($A282,EnrollData2324,'2324 Jun 24 Enroll'!E$1,FALSE)='District Calculations'!$B$12,VLOOKUP($A282,EnrollData2324,'2324 Jun 24 Enroll'!E$1,FALSE),'District Calculations'!$B$12)*K282,3)</f>
        <v>3.5379999999999998</v>
      </c>
      <c r="N282">
        <f>ROUND(IF(VLOOKUP($A282,EnrollData2324,'2324 Jun 24 Enroll'!F$1,FALSE)='District Calculations'!$B$13,VLOOKUP($A282,EnrollData2324,'2324 Jun 24 Enroll'!F$1,FALSE),'District Calculations'!$B$13)*Apport_223A2324,3)</f>
        <v>0.84199999999999997</v>
      </c>
      <c r="O282">
        <f>ROUND(IF(VLOOKUP($A282,EnrollData2324,'2324 Jun 24 Enroll'!G$1,FALSE)='District Calculations'!$B$14,VLOOKUP($A282,EnrollData2324,'2324 Jun 24 Enroll'!G$1,FALSE),'District Calculations'!$B$14)*Apport_211A2324,3)</f>
        <v>1.867</v>
      </c>
      <c r="P282">
        <f>ROUND(IF(VLOOKUP($A282,EnrollData2324,'2324 Jun 24 Enroll'!H$1,FALSE)='District Calculations'!$B$14,VLOOKUP($A282,EnrollData2324,'2324 Jun 24 Enroll'!H$1,FALSE),'District Calculations'!$B$14)*Apport_214A2324,3)</f>
        <v>1.8660000000000001</v>
      </c>
      <c r="Q282">
        <f>ROUND(IF(VLOOKUP($A282,EnrollData2324,'2324 Jun 24 Enroll'!I$1,FALSE)+VLOOKUP($A282,EnrollData2324,'2324 Jun 24 Enroll'!M$1,FALSE)-VLOOKUP($A282,EnrollData2324,'2324 Jun 24 Enroll'!J$1,FALSE)='District Calculations'!$B$16+'District Calculations'!$B$25-'District Calculations'!$B$17,VLOOKUP($A282,EnrollData2324,'2324 Jun 24 Enroll'!I$1,FALSE)+VLOOKUP($A282,EnrollData2324,'2324 Jun 24 Enroll'!M$1,FALSE)-VLOOKUP($A282,EnrollData2324,'2324 Jun 24 Enroll'!J$1,FALSE),'District Calculations'!$B$16+'District Calculations'!$B$25-'District Calculations'!$B$17)*Apport_217A2324,3)</f>
        <v>4.6980000000000004</v>
      </c>
      <c r="R282">
        <f>ROUND(SUM(L282:Q282)/IF(VLOOKUP($A282,EnrollData2324,'2324 Jun 24 Enroll'!M$1,FALSE)+VLOOKUP($A282,EnrollData2324,'2324 Jun 24 Enroll'!D$1,FALSE)='District Calculations'!$B$25+'District Calculations'!$B$11,VLOOKUP($A282,EnrollData2324,'2324 Jun 24 Enroll'!M$1,FALSE)+VLOOKUP($A282,EnrollData2324,'2324 Jun 24 Enroll'!D$1,FALSE),'District Calculations'!$B$25+'District Calculations'!$B$11),5)</f>
        <v>4.1000000000000003E-3</v>
      </c>
      <c r="S282" s="11">
        <f t="shared" si="66"/>
        <v>1.8294500000000002E-2</v>
      </c>
      <c r="T282">
        <f>ROUND(IF(VLOOKUP($A282,EnrollData2324,'2324 Jun 24 Enroll'!D$1,FALSE)='District Calculations'!$B$11,VLOOKUP($A282,EnrollData2324,'2324 Jun 24 Enroll'!D$1,FALSE),'District Calculations'!$B$11)*S282,3)</f>
        <v>0</v>
      </c>
      <c r="U282">
        <f>ROUND(IF(VLOOKUP($A282,EnrollData2324,'2324 Jun 24 Enroll'!E$1,FALSE)='District Calculations'!$B$12,VLOOKUP($A282,EnrollData2324,'2324 Jun 24 Enroll'!E$1,FALSE),'District Calculations'!$B$12)*S282,3)</f>
        <v>14.827999999999999</v>
      </c>
      <c r="V282">
        <f>ROUND(IF(VLOOKUP($A282,EnrollData2324,'2324 Jun 24 Enroll'!F$1,FALSE)='District Calculations'!$B$13,VLOOKUP($A282,EnrollData2324,'2324 Jun 24 Enroll'!F$1,FALSE),'District Calculations'!$B$13)*Apport_224A2324,3)</f>
        <v>3.6190000000000002</v>
      </c>
      <c r="W282">
        <f>ROUND(IF(VLOOKUP($A282,EnrollData2324,'2324 Jun 24 Enroll'!G$1,FALSE)='District Calculations'!$B$14,VLOOKUP($A282,EnrollData2324,'2324 Jun 24 Enroll'!G$1,FALSE),'District Calculations'!$B$14)*Apport_212A2324,3)</f>
        <v>8.0239999999999991</v>
      </c>
      <c r="X282">
        <f>ROUND(IF(VLOOKUP($A282,EnrollData2324,'2324 Jun 24 Enroll'!H$1,FALSE)='District Calculations'!$B$14,VLOOKUP($A282,EnrollData2324,'2324 Jun 24 Enroll'!H$1,FALSE),'District Calculations'!$B$14)*Apport_215A2324,3)</f>
        <v>7.9279999999999999</v>
      </c>
      <c r="Y282">
        <f>ROUND(IF(VLOOKUP($A282,EnrollData2324,'2324 Jun 24 Enroll'!I$1,FALSE)+VLOOKUP($A282,EnrollData2324,'2324 Jun 24 Enroll'!M$1,FALSE)-VLOOKUP($A282,EnrollData2324,'2324 Jun 24 Enroll'!J$1,FALSE)='District Calculations'!$B$16+'District Calculations'!$B$25-'District Calculations'!$B$17,VLOOKUP($A282,EnrollData2324,'2324 Jun 24 Enroll'!I$1,FALSE)+VLOOKUP($A282,EnrollData2324,'2324 Jun 24 Enroll'!M$1,FALSE)-VLOOKUP($A282,EnrollData2324,'2324 Jun 24 Enroll'!J$1,FALSE),'District Calculations'!$B$16+'District Calculations'!$B$25-'District Calculations'!$B$17)*Apport_218A2324,3)</f>
        <v>19.917999999999999</v>
      </c>
      <c r="Z282">
        <f>ROUND(SUM(T282:Y282)/IF(VLOOKUP($A282,EnrollData2324,'2324 Jun 24 Enroll'!M$1,FALSE)+VLOOKUP($A282,EnrollData2324,'2324 Jun 24 Enroll'!D$1,FALSE)='District Calculations'!$B$25+'District Calculations'!$B$11,VLOOKUP($A282,EnrollData2324,'2324 Jun 24 Enroll'!M$1,FALSE)+VLOOKUP($A282,EnrollData2324,'2324 Jun 24 Enroll'!D$1,FALSE),'District Calculations'!$B$25+'District Calculations'!$B$11),5)</f>
        <v>1.7399999999999999E-2</v>
      </c>
      <c r="AA282" s="6">
        <f>ROUND($J282*CIS_Base_Salary2324*VLOOKUP($A282,EnrollData2324,'2324 Jun 24 Enroll'!S$1,FALSE),2)</f>
        <v>4038.59</v>
      </c>
      <c r="AB282" s="6">
        <f>ROUND($J282*CIS_Inc_Salary2324*(VLOOKUP($A282,EnrollData2324,'2324 Jun 24 Enroll'!T$1,FALSE)+VLOOKUP($A282,EnrollData2324,'2324 Jun 24 Enroll'!U$1,FALSE)),2)-AA282</f>
        <v>233.1899999999996</v>
      </c>
      <c r="AC282" s="6">
        <f>ROUND($R282*CAS_Base_Salary2324*VLOOKUP($A282,EnrollData2324,'2324 Jun 24 Enroll'!S$1,FALSE),2)</f>
        <v>442.62</v>
      </c>
      <c r="AD282" s="6">
        <f>ROUND($R282*CAS_Inc_Salary2324*VLOOKUP($A282,EnrollData2324,'2324 Jun 24 Enroll'!T$1,FALSE),2)-AC282</f>
        <v>16.379999999999995</v>
      </c>
      <c r="AE282" s="6">
        <f>ROUND($Z282*CLS_Base_Salary2324*VLOOKUP($A282,EnrollData2324,'2324 Jun 24 Enroll'!S$1,FALSE),2)</f>
        <v>907.81</v>
      </c>
      <c r="AF282" s="6">
        <f>ROUND($Z282*CLS_Inc_Salary2324*VLOOKUP($A282,EnrollData2324,'2324 Jun 24 Enroll'!T$1,FALSE),2)-AE282</f>
        <v>33.580000000000041</v>
      </c>
      <c r="AG282">
        <f t="shared" si="76"/>
        <v>734.16</v>
      </c>
      <c r="AH282" s="69">
        <f t="shared" si="67"/>
        <v>68.700000000000045</v>
      </c>
      <c r="AI282">
        <f t="shared" si="77"/>
        <v>214.23</v>
      </c>
      <c r="AJ282">
        <f t="shared" si="68"/>
        <v>114.21000000000001</v>
      </c>
      <c r="AK282">
        <f t="shared" si="69"/>
        <v>805.27</v>
      </c>
      <c r="AL282">
        <f t="shared" si="70"/>
        <v>43.25</v>
      </c>
      <c r="AM282">
        <f t="shared" si="71"/>
        <v>200.26</v>
      </c>
      <c r="AN282">
        <f t="shared" si="72"/>
        <v>6.23</v>
      </c>
      <c r="AO282">
        <f>ROUND(($J282*CIS_Inc_Salary2324*(VLOOKUP($A282,EnrollData2324,'2324 Jun 24 Enroll'!T$1,FALSE)+VLOOKUP($A282,EnrollData2324,'2324 Jun 24 Enroll'!U$1,FALSE))/Apport_613Xpd)*Apport_614Xpd,2)</f>
        <v>71.2</v>
      </c>
      <c r="AP282">
        <f t="shared" si="73"/>
        <v>12.34</v>
      </c>
      <c r="AQ282">
        <f t="shared" si="74"/>
        <v>30.93</v>
      </c>
      <c r="AR282" s="6">
        <f>ROUND((VLOOKUP($A282,EnrollData2324,'2324 Jun 24 Enroll'!D$1,FALSE)*Apport_M802324+VLOOKUP($A282,EnrollData2324,'2324 Jun 24 Enroll'!M$1,FALSE)*Apport_M802324+(VLOOKUP($A282,EnrollData2324,'2324 Jun 24 Enroll'!P$1,FALSE)+VLOOKUP($A282,EnrollData2324,'2324 Jun 24 Enroll'!Q$1,FALSE)+VLOOKUP($A282,EnrollData2324,'2324 Jun 24 Enroll'!R$1,FALSE)+VLOOKUP($A282,EnrollData2324,'2324 Jun 24 Enroll'!I$1,FALSE)+VLOOKUP($A282,EnrollData2324,'2324 Jun 24 Enroll'!N$1,FALSE)+VLOOKUP($A282,EnrollData2324,'2324 Jun 24 Enroll'!O$1,FALSE)+VLOOKUP($A282,EnrollData2324,'2324 Jun 24 Enroll'!K$1,FALSE)+VLOOKUP($A282,EnrollData2324,'2324 Jun 24 Enroll'!L$1,FALSE))*Apport_M812324)/(VLOOKUP($A282,EnrollData2324,'2324 Jun 24 Enroll'!M$1,FALSE)+VLOOKUP($A282,EnrollData2324,'2324 Jun 24 Enroll'!D$1,FALSE)),2)</f>
        <v>1559.61</v>
      </c>
      <c r="AS282" s="7">
        <f t="shared" si="75"/>
        <v>9532.56</v>
      </c>
    </row>
    <row r="283" spans="1:45">
      <c r="A283" s="40" t="s">
        <v>392</v>
      </c>
      <c r="B283" s="40" t="s">
        <v>393</v>
      </c>
      <c r="C283" s="11">
        <f>ROUND((IFERROR((1/IF(VLOOKUP($A283,EnrollData2324,28,FALSE)='District Calculations'!$B$10,VLOOKUP($A283,EnrollData2324,28,FALSE),'District Calculations'!$B$10))*(1+Apport_Z315),0))+Apport_201A2324,6)</f>
        <v>7.3449E-2</v>
      </c>
      <c r="D283">
        <f>ROUND(IF(VLOOKUP($A283,EnrollData2324,'2324 Jun 24 Enroll'!D$1,FALSE)='District Calculations'!$B$11,VLOOKUP($A283,EnrollData2324,'2324 Jun 24 Enroll'!D$1,FALSE),'District Calculations'!$B$11)*C283,3)</f>
        <v>0</v>
      </c>
      <c r="E283">
        <f>ROUND(IF(VLOOKUP($A283,EnrollData2324,'2324 Jun 24 Enroll'!E$1,FALSE)='District Calculations'!$B$12,VLOOKUP($A283,EnrollData2324,'2324 Jun 24 Enroll'!E$1,FALSE),'District Calculations'!$B$12)*C283,3)</f>
        <v>59.53</v>
      </c>
      <c r="F283">
        <f>ROUND(IF(VLOOKUP($A283,EnrollData2324,'2324 Jun 24 Enroll'!F$1,FALSE)='District Calculations'!$B$13,VLOOKUP($A283,EnrollData2324,'2324 Jun 24 Enroll'!F$1,FALSE),'District Calculations'!$B$13)*Apport_222A2324,3)</f>
        <v>10.101000000000001</v>
      </c>
      <c r="G283">
        <f>ROUND(IF(VLOOKUP($A283,EnrollData2324,'2324 Jun 24 Enroll'!G$1,FALSE)='District Calculations'!$B$14,VLOOKUP($A283,EnrollData2324,'2324 Jun 24 Enroll'!G$1,FALSE),'District Calculations'!$B$14)*Apport_210A2324,3)</f>
        <v>22.395</v>
      </c>
      <c r="H283">
        <f>ROUND(IF(VLOOKUP($A283,EnrollData2324,'2324 Jun 24 Enroll'!H$1,FALSE)='District Calculations'!$B$15,VLOOKUP($A283,EnrollData2324,'2324 Jun 24 Enroll'!H$1,FALSE),'District Calculations'!$B$15)*Apport_213A2324,3)</f>
        <v>23.091999999999999</v>
      </c>
      <c r="I283">
        <f>ROUND(IF(VLOOKUP($A283,EnrollData2324,'2324 Jun 24 Enroll'!I$1,FALSE)+VLOOKUP($A283,EnrollData2324,'2324 Jun 24 Enroll'!M$1,FALSE)-VLOOKUP($A283,EnrollData2324,'2324 Jun 24 Enroll'!J$1,FALSE)='District Calculations'!$B$16+'District Calculations'!$B$25-'District Calculations'!$B$17,VLOOKUP($A283,EnrollData2324,'2324 Jun 24 Enroll'!I$1,FALSE)+VLOOKUP($A283,EnrollData2324,'2324 Jun 24 Enroll'!M$1,FALSE)-VLOOKUP($A283,EnrollData2324,'2324 Jun 24 Enroll'!J$1,FALSE),'District Calculations'!$B$16+'District Calculations'!$B$25-'District Calculations'!$B$17)*Apport_216A2324,3)</f>
        <v>58.183999999999997</v>
      </c>
      <c r="J283">
        <f>ROUND(SUM(D283:I283)/(IF(VLOOKUP($A283,EnrollData2324,'2324 Jun 24 Enroll'!M$1,FALSE)='District Calculations'!$B$25,VLOOKUP($A283,EnrollData2324,'2324 Jun 24 Enroll'!M$1,FALSE),'District Calculations'!$B$25)+IF(VLOOKUP($A283,EnrollData2324,'2324 Jun 24 Enroll'!D$1,FALSE)='District Calculations'!$B$11,VLOOKUP($A283,EnrollData2324,'2324 Jun 24 Enroll'!D$1,FALSE),'District Calculations'!$B$11)),5)</f>
        <v>5.5530000000000003E-2</v>
      </c>
      <c r="K283" s="11">
        <f t="shared" si="65"/>
        <v>4.365E-3</v>
      </c>
      <c r="L283">
        <f>ROUND(IF(VLOOKUP($A283,EnrollData2324,'2324 Jun 24 Enroll'!D$1,FALSE)='District Calculations'!$B$11,VLOOKUP($A283,EnrollData2324,'2324 Jun 24 Enroll'!D$1,FALSE),'District Calculations'!$B$11)*K283,3)</f>
        <v>0</v>
      </c>
      <c r="M283">
        <f>ROUND(IF(VLOOKUP($A283,EnrollData2324,'2324 Jun 24 Enroll'!E$1,FALSE)='District Calculations'!$B$12,VLOOKUP($A283,EnrollData2324,'2324 Jun 24 Enroll'!E$1,FALSE),'District Calculations'!$B$12)*K283,3)</f>
        <v>3.5379999999999998</v>
      </c>
      <c r="N283">
        <f>ROUND(IF(VLOOKUP($A283,EnrollData2324,'2324 Jun 24 Enroll'!F$1,FALSE)='District Calculations'!$B$13,VLOOKUP($A283,EnrollData2324,'2324 Jun 24 Enroll'!F$1,FALSE),'District Calculations'!$B$13)*Apport_223A2324,3)</f>
        <v>0.84199999999999997</v>
      </c>
      <c r="O283">
        <f>ROUND(IF(VLOOKUP($A283,EnrollData2324,'2324 Jun 24 Enroll'!G$1,FALSE)='District Calculations'!$B$14,VLOOKUP($A283,EnrollData2324,'2324 Jun 24 Enroll'!G$1,FALSE),'District Calculations'!$B$14)*Apport_211A2324,3)</f>
        <v>1.867</v>
      </c>
      <c r="P283">
        <f>ROUND(IF(VLOOKUP($A283,EnrollData2324,'2324 Jun 24 Enroll'!H$1,FALSE)='District Calculations'!$B$14,VLOOKUP($A283,EnrollData2324,'2324 Jun 24 Enroll'!H$1,FALSE),'District Calculations'!$B$14)*Apport_214A2324,3)</f>
        <v>1.8660000000000001</v>
      </c>
      <c r="Q283">
        <f>ROUND(IF(VLOOKUP($A283,EnrollData2324,'2324 Jun 24 Enroll'!I$1,FALSE)+VLOOKUP($A283,EnrollData2324,'2324 Jun 24 Enroll'!M$1,FALSE)-VLOOKUP($A283,EnrollData2324,'2324 Jun 24 Enroll'!J$1,FALSE)='District Calculations'!$B$16+'District Calculations'!$B$25-'District Calculations'!$B$17,VLOOKUP($A283,EnrollData2324,'2324 Jun 24 Enroll'!I$1,FALSE)+VLOOKUP($A283,EnrollData2324,'2324 Jun 24 Enroll'!M$1,FALSE)-VLOOKUP($A283,EnrollData2324,'2324 Jun 24 Enroll'!J$1,FALSE),'District Calculations'!$B$16+'District Calculations'!$B$25-'District Calculations'!$B$17)*Apport_217A2324,3)</f>
        <v>4.6980000000000004</v>
      </c>
      <c r="R283">
        <f>ROUND(SUM(L283:Q283)/IF(VLOOKUP($A283,EnrollData2324,'2324 Jun 24 Enroll'!M$1,FALSE)+VLOOKUP($A283,EnrollData2324,'2324 Jun 24 Enroll'!D$1,FALSE)='District Calculations'!$B$25+'District Calculations'!$B$11,VLOOKUP($A283,EnrollData2324,'2324 Jun 24 Enroll'!M$1,FALSE)+VLOOKUP($A283,EnrollData2324,'2324 Jun 24 Enroll'!D$1,FALSE),'District Calculations'!$B$25+'District Calculations'!$B$11),5)</f>
        <v>4.1000000000000003E-3</v>
      </c>
      <c r="S283" s="11">
        <f t="shared" si="66"/>
        <v>1.8294500000000002E-2</v>
      </c>
      <c r="T283">
        <f>ROUND(IF(VLOOKUP($A283,EnrollData2324,'2324 Jun 24 Enroll'!D$1,FALSE)='District Calculations'!$B$11,VLOOKUP($A283,EnrollData2324,'2324 Jun 24 Enroll'!D$1,FALSE),'District Calculations'!$B$11)*S283,3)</f>
        <v>0</v>
      </c>
      <c r="U283">
        <f>ROUND(IF(VLOOKUP($A283,EnrollData2324,'2324 Jun 24 Enroll'!E$1,FALSE)='District Calculations'!$B$12,VLOOKUP($A283,EnrollData2324,'2324 Jun 24 Enroll'!E$1,FALSE),'District Calculations'!$B$12)*S283,3)</f>
        <v>14.827999999999999</v>
      </c>
      <c r="V283">
        <f>ROUND(IF(VLOOKUP($A283,EnrollData2324,'2324 Jun 24 Enroll'!F$1,FALSE)='District Calculations'!$B$13,VLOOKUP($A283,EnrollData2324,'2324 Jun 24 Enroll'!F$1,FALSE),'District Calculations'!$B$13)*Apport_224A2324,3)</f>
        <v>3.6190000000000002</v>
      </c>
      <c r="W283">
        <f>ROUND(IF(VLOOKUP($A283,EnrollData2324,'2324 Jun 24 Enroll'!G$1,FALSE)='District Calculations'!$B$14,VLOOKUP($A283,EnrollData2324,'2324 Jun 24 Enroll'!G$1,FALSE),'District Calculations'!$B$14)*Apport_212A2324,3)</f>
        <v>8.0239999999999991</v>
      </c>
      <c r="X283">
        <f>ROUND(IF(VLOOKUP($A283,EnrollData2324,'2324 Jun 24 Enroll'!H$1,FALSE)='District Calculations'!$B$14,VLOOKUP($A283,EnrollData2324,'2324 Jun 24 Enroll'!H$1,FALSE),'District Calculations'!$B$14)*Apport_215A2324,3)</f>
        <v>7.9279999999999999</v>
      </c>
      <c r="Y283">
        <f>ROUND(IF(VLOOKUP($A283,EnrollData2324,'2324 Jun 24 Enroll'!I$1,FALSE)+VLOOKUP($A283,EnrollData2324,'2324 Jun 24 Enroll'!M$1,FALSE)-VLOOKUP($A283,EnrollData2324,'2324 Jun 24 Enroll'!J$1,FALSE)='District Calculations'!$B$16+'District Calculations'!$B$25-'District Calculations'!$B$17,VLOOKUP($A283,EnrollData2324,'2324 Jun 24 Enroll'!I$1,FALSE)+VLOOKUP($A283,EnrollData2324,'2324 Jun 24 Enroll'!M$1,FALSE)-VLOOKUP($A283,EnrollData2324,'2324 Jun 24 Enroll'!J$1,FALSE),'District Calculations'!$B$16+'District Calculations'!$B$25-'District Calculations'!$B$17)*Apport_218A2324,3)</f>
        <v>19.917999999999999</v>
      </c>
      <c r="Z283">
        <f>ROUND(SUM(T283:Y283)/IF(VLOOKUP($A283,EnrollData2324,'2324 Jun 24 Enroll'!M$1,FALSE)+VLOOKUP($A283,EnrollData2324,'2324 Jun 24 Enroll'!D$1,FALSE)='District Calculations'!$B$25+'District Calculations'!$B$11,VLOOKUP($A283,EnrollData2324,'2324 Jun 24 Enroll'!M$1,FALSE)+VLOOKUP($A283,EnrollData2324,'2324 Jun 24 Enroll'!D$1,FALSE),'District Calculations'!$B$25+'District Calculations'!$B$11),5)</f>
        <v>1.7399999999999999E-2</v>
      </c>
      <c r="AA283" s="6">
        <f>ROUND($J283*CIS_Base_Salary2324*VLOOKUP($A283,EnrollData2324,'2324 Jun 24 Enroll'!S$1,FALSE),2)</f>
        <v>4038.59</v>
      </c>
      <c r="AB283" s="6">
        <f>ROUND($J283*CIS_Inc_Salary2324*(VLOOKUP($A283,EnrollData2324,'2324 Jun 24 Enroll'!T$1,FALSE)+VLOOKUP($A283,EnrollData2324,'2324 Jun 24 Enroll'!U$1,FALSE)),2)-AA283</f>
        <v>149.43000000000029</v>
      </c>
      <c r="AC283" s="6">
        <f>ROUND($R283*CAS_Base_Salary2324*VLOOKUP($A283,EnrollData2324,'2324 Jun 24 Enroll'!S$1,FALSE),2)</f>
        <v>442.62</v>
      </c>
      <c r="AD283" s="6">
        <f>ROUND($R283*CAS_Inc_Salary2324*VLOOKUP($A283,EnrollData2324,'2324 Jun 24 Enroll'!T$1,FALSE),2)-AC283</f>
        <v>16.379999999999995</v>
      </c>
      <c r="AE283" s="6">
        <f>ROUND($Z283*CLS_Base_Salary2324*VLOOKUP($A283,EnrollData2324,'2324 Jun 24 Enroll'!S$1,FALSE),2)</f>
        <v>907.81</v>
      </c>
      <c r="AF283" s="6">
        <f>ROUND($Z283*CLS_Inc_Salary2324*VLOOKUP($A283,EnrollData2324,'2324 Jun 24 Enroll'!T$1,FALSE),2)-AE283</f>
        <v>33.580000000000041</v>
      </c>
      <c r="AG283">
        <f t="shared" si="76"/>
        <v>734.16</v>
      </c>
      <c r="AH283" s="69">
        <f t="shared" si="67"/>
        <v>68.700000000000045</v>
      </c>
      <c r="AI283">
        <f t="shared" si="77"/>
        <v>214.23</v>
      </c>
      <c r="AJ283">
        <f t="shared" si="68"/>
        <v>114.21000000000001</v>
      </c>
      <c r="AK283">
        <f t="shared" si="69"/>
        <v>805.27</v>
      </c>
      <c r="AL283">
        <f t="shared" si="70"/>
        <v>28.73</v>
      </c>
      <c r="AM283">
        <f t="shared" si="71"/>
        <v>200.26</v>
      </c>
      <c r="AN283">
        <f t="shared" si="72"/>
        <v>6.23</v>
      </c>
      <c r="AO283">
        <f>ROUND(($J283*CIS_Inc_Salary2324*(VLOOKUP($A283,EnrollData2324,'2324 Jun 24 Enroll'!T$1,FALSE)+VLOOKUP($A283,EnrollData2324,'2324 Jun 24 Enroll'!U$1,FALSE))/Apport_613Xpd)*Apport_614Xpd,2)</f>
        <v>69.8</v>
      </c>
      <c r="AP283">
        <f t="shared" si="73"/>
        <v>12.1</v>
      </c>
      <c r="AQ283">
        <f t="shared" si="74"/>
        <v>30.93</v>
      </c>
      <c r="AR283" s="6">
        <f>ROUND((VLOOKUP($A283,EnrollData2324,'2324 Jun 24 Enroll'!D$1,FALSE)*Apport_M802324+VLOOKUP($A283,EnrollData2324,'2324 Jun 24 Enroll'!M$1,FALSE)*Apport_M802324+(VLOOKUP($A283,EnrollData2324,'2324 Jun 24 Enroll'!P$1,FALSE)+VLOOKUP($A283,EnrollData2324,'2324 Jun 24 Enroll'!Q$1,FALSE)+VLOOKUP($A283,EnrollData2324,'2324 Jun 24 Enroll'!R$1,FALSE)+VLOOKUP($A283,EnrollData2324,'2324 Jun 24 Enroll'!I$1,FALSE)+VLOOKUP($A283,EnrollData2324,'2324 Jun 24 Enroll'!N$1,FALSE)+VLOOKUP($A283,EnrollData2324,'2324 Jun 24 Enroll'!O$1,FALSE)+VLOOKUP($A283,EnrollData2324,'2324 Jun 24 Enroll'!K$1,FALSE)+VLOOKUP($A283,EnrollData2324,'2324 Jun 24 Enroll'!L$1,FALSE))*Apport_M812324)/(VLOOKUP($A283,EnrollData2324,'2324 Jun 24 Enroll'!M$1,FALSE)+VLOOKUP($A283,EnrollData2324,'2324 Jun 24 Enroll'!D$1,FALSE)),2)</f>
        <v>1548.08</v>
      </c>
      <c r="AS283" s="7">
        <f t="shared" si="75"/>
        <v>9421.11</v>
      </c>
    </row>
    <row r="284" spans="1:45">
      <c r="A284" s="40" t="s">
        <v>827</v>
      </c>
      <c r="B284" s="40" t="s">
        <v>828</v>
      </c>
      <c r="C284" s="11">
        <f>ROUND((IFERROR((1/IF(VLOOKUP($A284,EnrollData2324,28,FALSE)='District Calculations'!$B$10,VLOOKUP($A284,EnrollData2324,28,FALSE),'District Calculations'!$B$10))*(1+Apport_Z315),0))+Apport_201A2324,6)</f>
        <v>7.3449E-2</v>
      </c>
      <c r="D284">
        <f>ROUND(IF(VLOOKUP($A284,EnrollData2324,'2324 Jun 24 Enroll'!D$1,FALSE)='District Calculations'!$B$11,VLOOKUP($A284,EnrollData2324,'2324 Jun 24 Enroll'!D$1,FALSE),'District Calculations'!$B$11)*C284,3)</f>
        <v>0</v>
      </c>
      <c r="E284">
        <f>ROUND(IF(VLOOKUP($A284,EnrollData2324,'2324 Jun 24 Enroll'!E$1,FALSE)='District Calculations'!$B$12,VLOOKUP($A284,EnrollData2324,'2324 Jun 24 Enroll'!E$1,FALSE),'District Calculations'!$B$12)*C284,3)</f>
        <v>59.53</v>
      </c>
      <c r="F284">
        <f>ROUND(IF(VLOOKUP($A284,EnrollData2324,'2324 Jun 24 Enroll'!F$1,FALSE)='District Calculations'!$B$13,VLOOKUP($A284,EnrollData2324,'2324 Jun 24 Enroll'!F$1,FALSE),'District Calculations'!$B$13)*Apport_222A2324,3)</f>
        <v>10.101000000000001</v>
      </c>
      <c r="G284">
        <f>ROUND(IF(VLOOKUP($A284,EnrollData2324,'2324 Jun 24 Enroll'!G$1,FALSE)='District Calculations'!$B$14,VLOOKUP($A284,EnrollData2324,'2324 Jun 24 Enroll'!G$1,FALSE),'District Calculations'!$B$14)*Apport_210A2324,3)</f>
        <v>22.395</v>
      </c>
      <c r="H284">
        <f>ROUND(IF(VLOOKUP($A284,EnrollData2324,'2324 Jun 24 Enroll'!H$1,FALSE)='District Calculations'!$B$15,VLOOKUP($A284,EnrollData2324,'2324 Jun 24 Enroll'!H$1,FALSE),'District Calculations'!$B$15)*Apport_213A2324,3)</f>
        <v>23.091999999999999</v>
      </c>
      <c r="I284">
        <f>ROUND(IF(VLOOKUP($A284,EnrollData2324,'2324 Jun 24 Enroll'!I$1,FALSE)+VLOOKUP($A284,EnrollData2324,'2324 Jun 24 Enroll'!M$1,FALSE)-VLOOKUP($A284,EnrollData2324,'2324 Jun 24 Enroll'!J$1,FALSE)='District Calculations'!$B$16+'District Calculations'!$B$25-'District Calculations'!$B$17,VLOOKUP($A284,EnrollData2324,'2324 Jun 24 Enroll'!I$1,FALSE)+VLOOKUP($A284,EnrollData2324,'2324 Jun 24 Enroll'!M$1,FALSE)-VLOOKUP($A284,EnrollData2324,'2324 Jun 24 Enroll'!J$1,FALSE),'District Calculations'!$B$16+'District Calculations'!$B$25-'District Calculations'!$B$17)*Apport_216A2324,3)</f>
        <v>58.183999999999997</v>
      </c>
      <c r="J284">
        <f>ROUND(SUM(D284:I284)/(IF(VLOOKUP($A284,EnrollData2324,'2324 Jun 24 Enroll'!M$1,FALSE)='District Calculations'!$B$25,VLOOKUP($A284,EnrollData2324,'2324 Jun 24 Enroll'!M$1,FALSE),'District Calculations'!$B$25)+IF(VLOOKUP($A284,EnrollData2324,'2324 Jun 24 Enroll'!D$1,FALSE)='District Calculations'!$B$11,VLOOKUP($A284,EnrollData2324,'2324 Jun 24 Enroll'!D$1,FALSE),'District Calculations'!$B$11)),5)</f>
        <v>5.5530000000000003E-2</v>
      </c>
      <c r="K284" s="11">
        <f t="shared" si="65"/>
        <v>4.365E-3</v>
      </c>
      <c r="L284">
        <f>ROUND(IF(VLOOKUP($A284,EnrollData2324,'2324 Jun 24 Enroll'!D$1,FALSE)='District Calculations'!$B$11,VLOOKUP($A284,EnrollData2324,'2324 Jun 24 Enroll'!D$1,FALSE),'District Calculations'!$B$11)*K284,3)</f>
        <v>0</v>
      </c>
      <c r="M284">
        <f>ROUND(IF(VLOOKUP($A284,EnrollData2324,'2324 Jun 24 Enroll'!E$1,FALSE)='District Calculations'!$B$12,VLOOKUP($A284,EnrollData2324,'2324 Jun 24 Enroll'!E$1,FALSE),'District Calculations'!$B$12)*K284,3)</f>
        <v>3.5379999999999998</v>
      </c>
      <c r="N284">
        <f>ROUND(IF(VLOOKUP($A284,EnrollData2324,'2324 Jun 24 Enroll'!F$1,FALSE)='District Calculations'!$B$13,VLOOKUP($A284,EnrollData2324,'2324 Jun 24 Enroll'!F$1,FALSE),'District Calculations'!$B$13)*Apport_223A2324,3)</f>
        <v>0.84199999999999997</v>
      </c>
      <c r="O284">
        <f>ROUND(IF(VLOOKUP($A284,EnrollData2324,'2324 Jun 24 Enroll'!G$1,FALSE)='District Calculations'!$B$14,VLOOKUP($A284,EnrollData2324,'2324 Jun 24 Enroll'!G$1,FALSE),'District Calculations'!$B$14)*Apport_211A2324,3)</f>
        <v>1.867</v>
      </c>
      <c r="P284">
        <f>ROUND(IF(VLOOKUP($A284,EnrollData2324,'2324 Jun 24 Enroll'!H$1,FALSE)='District Calculations'!$B$14,VLOOKUP($A284,EnrollData2324,'2324 Jun 24 Enroll'!H$1,FALSE),'District Calculations'!$B$14)*Apport_214A2324,3)</f>
        <v>1.8660000000000001</v>
      </c>
      <c r="Q284">
        <f>ROUND(IF(VLOOKUP($A284,EnrollData2324,'2324 Jun 24 Enroll'!I$1,FALSE)+VLOOKUP($A284,EnrollData2324,'2324 Jun 24 Enroll'!M$1,FALSE)-VLOOKUP($A284,EnrollData2324,'2324 Jun 24 Enroll'!J$1,FALSE)='District Calculations'!$B$16+'District Calculations'!$B$25-'District Calculations'!$B$17,VLOOKUP($A284,EnrollData2324,'2324 Jun 24 Enroll'!I$1,FALSE)+VLOOKUP($A284,EnrollData2324,'2324 Jun 24 Enroll'!M$1,FALSE)-VLOOKUP($A284,EnrollData2324,'2324 Jun 24 Enroll'!J$1,FALSE),'District Calculations'!$B$16+'District Calculations'!$B$25-'District Calculations'!$B$17)*Apport_217A2324,3)</f>
        <v>4.6980000000000004</v>
      </c>
      <c r="R284">
        <f>ROUND(SUM(L284:Q284)/IF(VLOOKUP($A284,EnrollData2324,'2324 Jun 24 Enroll'!M$1,FALSE)+VLOOKUP($A284,EnrollData2324,'2324 Jun 24 Enroll'!D$1,FALSE)='District Calculations'!$B$25+'District Calculations'!$B$11,VLOOKUP($A284,EnrollData2324,'2324 Jun 24 Enroll'!M$1,FALSE)+VLOOKUP($A284,EnrollData2324,'2324 Jun 24 Enroll'!D$1,FALSE),'District Calculations'!$B$25+'District Calculations'!$B$11),5)</f>
        <v>4.1000000000000003E-3</v>
      </c>
      <c r="S284" s="11">
        <f t="shared" si="66"/>
        <v>1.8294500000000002E-2</v>
      </c>
      <c r="T284">
        <f>ROUND(IF(VLOOKUP($A284,EnrollData2324,'2324 Jun 24 Enroll'!D$1,FALSE)='District Calculations'!$B$11,VLOOKUP($A284,EnrollData2324,'2324 Jun 24 Enroll'!D$1,FALSE),'District Calculations'!$B$11)*S284,3)</f>
        <v>0</v>
      </c>
      <c r="U284">
        <f>ROUND(IF(VLOOKUP($A284,EnrollData2324,'2324 Jun 24 Enroll'!E$1,FALSE)='District Calculations'!$B$12,VLOOKUP($A284,EnrollData2324,'2324 Jun 24 Enroll'!E$1,FALSE),'District Calculations'!$B$12)*S284,3)</f>
        <v>14.827999999999999</v>
      </c>
      <c r="V284">
        <f>ROUND(IF(VLOOKUP($A284,EnrollData2324,'2324 Jun 24 Enroll'!F$1,FALSE)='District Calculations'!$B$13,VLOOKUP($A284,EnrollData2324,'2324 Jun 24 Enroll'!F$1,FALSE),'District Calculations'!$B$13)*Apport_224A2324,3)</f>
        <v>3.6190000000000002</v>
      </c>
      <c r="W284">
        <f>ROUND(IF(VLOOKUP($A284,EnrollData2324,'2324 Jun 24 Enroll'!G$1,FALSE)='District Calculations'!$B$14,VLOOKUP($A284,EnrollData2324,'2324 Jun 24 Enroll'!G$1,FALSE),'District Calculations'!$B$14)*Apport_212A2324,3)</f>
        <v>8.0239999999999991</v>
      </c>
      <c r="X284">
        <f>ROUND(IF(VLOOKUP($A284,EnrollData2324,'2324 Jun 24 Enroll'!H$1,FALSE)='District Calculations'!$B$14,VLOOKUP($A284,EnrollData2324,'2324 Jun 24 Enroll'!H$1,FALSE),'District Calculations'!$B$14)*Apport_215A2324,3)</f>
        <v>7.9279999999999999</v>
      </c>
      <c r="Y284">
        <f>ROUND(IF(VLOOKUP($A284,EnrollData2324,'2324 Jun 24 Enroll'!I$1,FALSE)+VLOOKUP($A284,EnrollData2324,'2324 Jun 24 Enroll'!M$1,FALSE)-VLOOKUP($A284,EnrollData2324,'2324 Jun 24 Enroll'!J$1,FALSE)='District Calculations'!$B$16+'District Calculations'!$B$25-'District Calculations'!$B$17,VLOOKUP($A284,EnrollData2324,'2324 Jun 24 Enroll'!I$1,FALSE)+VLOOKUP($A284,EnrollData2324,'2324 Jun 24 Enroll'!M$1,FALSE)-VLOOKUP($A284,EnrollData2324,'2324 Jun 24 Enroll'!J$1,FALSE),'District Calculations'!$B$16+'District Calculations'!$B$25-'District Calculations'!$B$17)*Apport_218A2324,3)</f>
        <v>19.917999999999999</v>
      </c>
      <c r="Z284">
        <f>ROUND(SUM(T284:Y284)/IF(VLOOKUP($A284,EnrollData2324,'2324 Jun 24 Enroll'!M$1,FALSE)+VLOOKUP($A284,EnrollData2324,'2324 Jun 24 Enroll'!D$1,FALSE)='District Calculations'!$B$25+'District Calculations'!$B$11,VLOOKUP($A284,EnrollData2324,'2324 Jun 24 Enroll'!M$1,FALSE)+VLOOKUP($A284,EnrollData2324,'2324 Jun 24 Enroll'!D$1,FALSE),'District Calculations'!$B$25+'District Calculations'!$B$11),5)</f>
        <v>1.7399999999999999E-2</v>
      </c>
      <c r="AA284" s="6">
        <f>ROUND($J284*CIS_Base_Salary2324*VLOOKUP($A284,EnrollData2324,'2324 Jun 24 Enroll'!S$1,FALSE),2)</f>
        <v>4038.59</v>
      </c>
      <c r="AB284" s="6">
        <f>ROUND($J284*CIS_Inc_Salary2324*(VLOOKUP($A284,EnrollData2324,'2324 Jun 24 Enroll'!T$1,FALSE)+VLOOKUP($A284,EnrollData2324,'2324 Jun 24 Enroll'!U$1,FALSE)),2)-AA284</f>
        <v>149.43000000000029</v>
      </c>
      <c r="AC284" s="6">
        <f>ROUND($R284*CAS_Base_Salary2324*VLOOKUP($A284,EnrollData2324,'2324 Jun 24 Enroll'!S$1,FALSE),2)</f>
        <v>442.62</v>
      </c>
      <c r="AD284" s="6">
        <f>ROUND($R284*CAS_Inc_Salary2324*VLOOKUP($A284,EnrollData2324,'2324 Jun 24 Enroll'!T$1,FALSE),2)-AC284</f>
        <v>16.379999999999995</v>
      </c>
      <c r="AE284" s="6">
        <f>ROUND($Z284*CLS_Base_Salary2324*VLOOKUP($A284,EnrollData2324,'2324 Jun 24 Enroll'!S$1,FALSE),2)</f>
        <v>907.81</v>
      </c>
      <c r="AF284" s="6">
        <f>ROUND($Z284*CLS_Inc_Salary2324*VLOOKUP($A284,EnrollData2324,'2324 Jun 24 Enroll'!T$1,FALSE),2)-AE284</f>
        <v>33.580000000000041</v>
      </c>
      <c r="AG284">
        <f t="shared" si="76"/>
        <v>734.16</v>
      </c>
      <c r="AH284" s="69">
        <f t="shared" si="67"/>
        <v>68.700000000000045</v>
      </c>
      <c r="AI284">
        <f t="shared" si="77"/>
        <v>214.23</v>
      </c>
      <c r="AJ284">
        <f t="shared" si="68"/>
        <v>114.21000000000001</v>
      </c>
      <c r="AK284">
        <f t="shared" si="69"/>
        <v>805.27</v>
      </c>
      <c r="AL284">
        <f t="shared" si="70"/>
        <v>28.73</v>
      </c>
      <c r="AM284">
        <f t="shared" si="71"/>
        <v>200.26</v>
      </c>
      <c r="AN284">
        <f t="shared" si="72"/>
        <v>6.23</v>
      </c>
      <c r="AO284">
        <f>ROUND(($J284*CIS_Inc_Salary2324*(VLOOKUP($A284,EnrollData2324,'2324 Jun 24 Enroll'!T$1,FALSE)+VLOOKUP($A284,EnrollData2324,'2324 Jun 24 Enroll'!U$1,FALSE))/Apport_613Xpd)*Apport_614Xpd,2)</f>
        <v>69.8</v>
      </c>
      <c r="AP284">
        <f t="shared" si="73"/>
        <v>12.1</v>
      </c>
      <c r="AQ284">
        <f t="shared" si="74"/>
        <v>30.93</v>
      </c>
      <c r="AR284" s="6">
        <f>ROUND((VLOOKUP($A284,EnrollData2324,'2324 Jun 24 Enroll'!D$1,FALSE)*Apport_M802324+VLOOKUP($A284,EnrollData2324,'2324 Jun 24 Enroll'!M$1,FALSE)*Apport_M802324+(VLOOKUP($A284,EnrollData2324,'2324 Jun 24 Enroll'!P$1,FALSE)+VLOOKUP($A284,EnrollData2324,'2324 Jun 24 Enroll'!Q$1,FALSE)+VLOOKUP($A284,EnrollData2324,'2324 Jun 24 Enroll'!R$1,FALSE)+VLOOKUP($A284,EnrollData2324,'2324 Jun 24 Enroll'!I$1,FALSE)+VLOOKUP($A284,EnrollData2324,'2324 Jun 24 Enroll'!N$1,FALSE)+VLOOKUP($A284,EnrollData2324,'2324 Jun 24 Enroll'!O$1,FALSE)+VLOOKUP($A284,EnrollData2324,'2324 Jun 24 Enroll'!K$1,FALSE)+VLOOKUP($A284,EnrollData2324,'2324 Jun 24 Enroll'!L$1,FALSE))*Apport_M812324)/(VLOOKUP($A284,EnrollData2324,'2324 Jun 24 Enroll'!M$1,FALSE)+VLOOKUP($A284,EnrollData2324,'2324 Jun 24 Enroll'!D$1,FALSE)),2)</f>
        <v>1553.03</v>
      </c>
      <c r="AS284" s="7">
        <f t="shared" si="75"/>
        <v>9426.06</v>
      </c>
    </row>
    <row r="285" spans="1:45">
      <c r="A285" s="40" t="s">
        <v>398</v>
      </c>
      <c r="B285" s="40" t="s">
        <v>399</v>
      </c>
      <c r="C285" s="11">
        <f>ROUND((IFERROR((1/IF(VLOOKUP($A285,EnrollData2324,28,FALSE)='District Calculations'!$B$10,VLOOKUP($A285,EnrollData2324,28,FALSE),'District Calculations'!$B$10))*(1+Apport_Z315),0))+Apport_201A2324,6)</f>
        <v>7.3449E-2</v>
      </c>
      <c r="D285">
        <f>ROUND(IF(VLOOKUP($A285,EnrollData2324,'2324 Jun 24 Enroll'!D$1,FALSE)='District Calculations'!$B$11,VLOOKUP($A285,EnrollData2324,'2324 Jun 24 Enroll'!D$1,FALSE),'District Calculations'!$B$11)*C285,3)</f>
        <v>0</v>
      </c>
      <c r="E285">
        <f>ROUND(IF(VLOOKUP($A285,EnrollData2324,'2324 Jun 24 Enroll'!E$1,FALSE)='District Calculations'!$B$12,VLOOKUP($A285,EnrollData2324,'2324 Jun 24 Enroll'!E$1,FALSE),'District Calculations'!$B$12)*C285,3)</f>
        <v>59.53</v>
      </c>
      <c r="F285">
        <f>ROUND(IF(VLOOKUP($A285,EnrollData2324,'2324 Jun 24 Enroll'!F$1,FALSE)='District Calculations'!$B$13,VLOOKUP($A285,EnrollData2324,'2324 Jun 24 Enroll'!F$1,FALSE),'District Calculations'!$B$13)*Apport_222A2324,3)</f>
        <v>10.101000000000001</v>
      </c>
      <c r="G285">
        <f>ROUND(IF(VLOOKUP($A285,EnrollData2324,'2324 Jun 24 Enroll'!G$1,FALSE)='District Calculations'!$B$14,VLOOKUP($A285,EnrollData2324,'2324 Jun 24 Enroll'!G$1,FALSE),'District Calculations'!$B$14)*Apport_210A2324,3)</f>
        <v>22.395</v>
      </c>
      <c r="H285">
        <f>ROUND(IF(VLOOKUP($A285,EnrollData2324,'2324 Jun 24 Enroll'!H$1,FALSE)='District Calculations'!$B$15,VLOOKUP($A285,EnrollData2324,'2324 Jun 24 Enroll'!H$1,FALSE),'District Calculations'!$B$15)*Apport_213A2324,3)</f>
        <v>23.091999999999999</v>
      </c>
      <c r="I285">
        <f>ROUND(IF(VLOOKUP($A285,EnrollData2324,'2324 Jun 24 Enroll'!I$1,FALSE)+VLOOKUP($A285,EnrollData2324,'2324 Jun 24 Enroll'!M$1,FALSE)-VLOOKUP($A285,EnrollData2324,'2324 Jun 24 Enroll'!J$1,FALSE)='District Calculations'!$B$16+'District Calculations'!$B$25-'District Calculations'!$B$17,VLOOKUP($A285,EnrollData2324,'2324 Jun 24 Enroll'!I$1,FALSE)+VLOOKUP($A285,EnrollData2324,'2324 Jun 24 Enroll'!M$1,FALSE)-VLOOKUP($A285,EnrollData2324,'2324 Jun 24 Enroll'!J$1,FALSE),'District Calculations'!$B$16+'District Calculations'!$B$25-'District Calculations'!$B$17)*Apport_216A2324,3)</f>
        <v>58.183999999999997</v>
      </c>
      <c r="J285">
        <f>ROUND(SUM(D285:I285)/(IF(VLOOKUP($A285,EnrollData2324,'2324 Jun 24 Enroll'!M$1,FALSE)='District Calculations'!$B$25,VLOOKUP($A285,EnrollData2324,'2324 Jun 24 Enroll'!M$1,FALSE),'District Calculations'!$B$25)+IF(VLOOKUP($A285,EnrollData2324,'2324 Jun 24 Enroll'!D$1,FALSE)='District Calculations'!$B$11,VLOOKUP($A285,EnrollData2324,'2324 Jun 24 Enroll'!D$1,FALSE),'District Calculations'!$B$11)),5)</f>
        <v>5.5530000000000003E-2</v>
      </c>
      <c r="K285" s="11">
        <f t="shared" si="65"/>
        <v>4.365E-3</v>
      </c>
      <c r="L285">
        <f>ROUND(IF(VLOOKUP($A285,EnrollData2324,'2324 Jun 24 Enroll'!D$1,FALSE)='District Calculations'!$B$11,VLOOKUP($A285,EnrollData2324,'2324 Jun 24 Enroll'!D$1,FALSE),'District Calculations'!$B$11)*K285,3)</f>
        <v>0</v>
      </c>
      <c r="M285">
        <f>ROUND(IF(VLOOKUP($A285,EnrollData2324,'2324 Jun 24 Enroll'!E$1,FALSE)='District Calculations'!$B$12,VLOOKUP($A285,EnrollData2324,'2324 Jun 24 Enroll'!E$1,FALSE),'District Calculations'!$B$12)*K285,3)</f>
        <v>3.5379999999999998</v>
      </c>
      <c r="N285">
        <f>ROUND(IF(VLOOKUP($A285,EnrollData2324,'2324 Jun 24 Enroll'!F$1,FALSE)='District Calculations'!$B$13,VLOOKUP($A285,EnrollData2324,'2324 Jun 24 Enroll'!F$1,FALSE),'District Calculations'!$B$13)*Apport_223A2324,3)</f>
        <v>0.84199999999999997</v>
      </c>
      <c r="O285">
        <f>ROUND(IF(VLOOKUP($A285,EnrollData2324,'2324 Jun 24 Enroll'!G$1,FALSE)='District Calculations'!$B$14,VLOOKUP($A285,EnrollData2324,'2324 Jun 24 Enroll'!G$1,FALSE),'District Calculations'!$B$14)*Apport_211A2324,3)</f>
        <v>1.867</v>
      </c>
      <c r="P285">
        <f>ROUND(IF(VLOOKUP($A285,EnrollData2324,'2324 Jun 24 Enroll'!H$1,FALSE)='District Calculations'!$B$14,VLOOKUP($A285,EnrollData2324,'2324 Jun 24 Enroll'!H$1,FALSE),'District Calculations'!$B$14)*Apport_214A2324,3)</f>
        <v>1.8660000000000001</v>
      </c>
      <c r="Q285">
        <f>ROUND(IF(VLOOKUP($A285,EnrollData2324,'2324 Jun 24 Enroll'!I$1,FALSE)+VLOOKUP($A285,EnrollData2324,'2324 Jun 24 Enroll'!M$1,FALSE)-VLOOKUP($A285,EnrollData2324,'2324 Jun 24 Enroll'!J$1,FALSE)='District Calculations'!$B$16+'District Calculations'!$B$25-'District Calculations'!$B$17,VLOOKUP($A285,EnrollData2324,'2324 Jun 24 Enroll'!I$1,FALSE)+VLOOKUP($A285,EnrollData2324,'2324 Jun 24 Enroll'!M$1,FALSE)-VLOOKUP($A285,EnrollData2324,'2324 Jun 24 Enroll'!J$1,FALSE),'District Calculations'!$B$16+'District Calculations'!$B$25-'District Calculations'!$B$17)*Apport_217A2324,3)</f>
        <v>4.6980000000000004</v>
      </c>
      <c r="R285">
        <f>ROUND(SUM(L285:Q285)/IF(VLOOKUP($A285,EnrollData2324,'2324 Jun 24 Enroll'!M$1,FALSE)+VLOOKUP($A285,EnrollData2324,'2324 Jun 24 Enroll'!D$1,FALSE)='District Calculations'!$B$25+'District Calculations'!$B$11,VLOOKUP($A285,EnrollData2324,'2324 Jun 24 Enroll'!M$1,FALSE)+VLOOKUP($A285,EnrollData2324,'2324 Jun 24 Enroll'!D$1,FALSE),'District Calculations'!$B$25+'District Calculations'!$B$11),5)</f>
        <v>4.1000000000000003E-3</v>
      </c>
      <c r="S285" s="11">
        <f t="shared" si="66"/>
        <v>1.8294500000000002E-2</v>
      </c>
      <c r="T285">
        <f>ROUND(IF(VLOOKUP($A285,EnrollData2324,'2324 Jun 24 Enroll'!D$1,FALSE)='District Calculations'!$B$11,VLOOKUP($A285,EnrollData2324,'2324 Jun 24 Enroll'!D$1,FALSE),'District Calculations'!$B$11)*S285,3)</f>
        <v>0</v>
      </c>
      <c r="U285">
        <f>ROUND(IF(VLOOKUP($A285,EnrollData2324,'2324 Jun 24 Enroll'!E$1,FALSE)='District Calculations'!$B$12,VLOOKUP($A285,EnrollData2324,'2324 Jun 24 Enroll'!E$1,FALSE),'District Calculations'!$B$12)*S285,3)</f>
        <v>14.827999999999999</v>
      </c>
      <c r="V285">
        <f>ROUND(IF(VLOOKUP($A285,EnrollData2324,'2324 Jun 24 Enroll'!F$1,FALSE)='District Calculations'!$B$13,VLOOKUP($A285,EnrollData2324,'2324 Jun 24 Enroll'!F$1,FALSE),'District Calculations'!$B$13)*Apport_224A2324,3)</f>
        <v>3.6190000000000002</v>
      </c>
      <c r="W285">
        <f>ROUND(IF(VLOOKUP($A285,EnrollData2324,'2324 Jun 24 Enroll'!G$1,FALSE)='District Calculations'!$B$14,VLOOKUP($A285,EnrollData2324,'2324 Jun 24 Enroll'!G$1,FALSE),'District Calculations'!$B$14)*Apport_212A2324,3)</f>
        <v>8.0239999999999991</v>
      </c>
      <c r="X285">
        <f>ROUND(IF(VLOOKUP($A285,EnrollData2324,'2324 Jun 24 Enroll'!H$1,FALSE)='District Calculations'!$B$14,VLOOKUP($A285,EnrollData2324,'2324 Jun 24 Enroll'!H$1,FALSE),'District Calculations'!$B$14)*Apport_215A2324,3)</f>
        <v>7.9279999999999999</v>
      </c>
      <c r="Y285">
        <f>ROUND(IF(VLOOKUP($A285,EnrollData2324,'2324 Jun 24 Enroll'!I$1,FALSE)+VLOOKUP($A285,EnrollData2324,'2324 Jun 24 Enroll'!M$1,FALSE)-VLOOKUP($A285,EnrollData2324,'2324 Jun 24 Enroll'!J$1,FALSE)='District Calculations'!$B$16+'District Calculations'!$B$25-'District Calculations'!$B$17,VLOOKUP($A285,EnrollData2324,'2324 Jun 24 Enroll'!I$1,FALSE)+VLOOKUP($A285,EnrollData2324,'2324 Jun 24 Enroll'!M$1,FALSE)-VLOOKUP($A285,EnrollData2324,'2324 Jun 24 Enroll'!J$1,FALSE),'District Calculations'!$B$16+'District Calculations'!$B$25-'District Calculations'!$B$17)*Apport_218A2324,3)</f>
        <v>19.917999999999999</v>
      </c>
      <c r="Z285">
        <f>ROUND(SUM(T285:Y285)/IF(VLOOKUP($A285,EnrollData2324,'2324 Jun 24 Enroll'!M$1,FALSE)+VLOOKUP($A285,EnrollData2324,'2324 Jun 24 Enroll'!D$1,FALSE)='District Calculations'!$B$25+'District Calculations'!$B$11,VLOOKUP($A285,EnrollData2324,'2324 Jun 24 Enroll'!M$1,FALSE)+VLOOKUP($A285,EnrollData2324,'2324 Jun 24 Enroll'!D$1,FALSE),'District Calculations'!$B$25+'District Calculations'!$B$11),5)</f>
        <v>1.7399999999999999E-2</v>
      </c>
      <c r="AA285" s="6">
        <f>ROUND($J285*CIS_Base_Salary2324*VLOOKUP($A285,EnrollData2324,'2324 Jun 24 Enroll'!S$1,FALSE),2)</f>
        <v>4038.59</v>
      </c>
      <c r="AB285" s="6">
        <f>ROUND($J285*CIS_Inc_Salary2324*(VLOOKUP($A285,EnrollData2324,'2324 Jun 24 Enroll'!T$1,FALSE)+VLOOKUP($A285,EnrollData2324,'2324 Jun 24 Enroll'!U$1,FALSE)),2)-AA285</f>
        <v>233.1899999999996</v>
      </c>
      <c r="AC285" s="6">
        <f>ROUND($R285*CAS_Base_Salary2324*VLOOKUP($A285,EnrollData2324,'2324 Jun 24 Enroll'!S$1,FALSE),2)</f>
        <v>442.62</v>
      </c>
      <c r="AD285" s="6">
        <f>ROUND($R285*CAS_Inc_Salary2324*VLOOKUP($A285,EnrollData2324,'2324 Jun 24 Enroll'!T$1,FALSE),2)-AC285</f>
        <v>16.379999999999995</v>
      </c>
      <c r="AE285" s="6">
        <f>ROUND($Z285*CLS_Base_Salary2324*VLOOKUP($A285,EnrollData2324,'2324 Jun 24 Enroll'!S$1,FALSE),2)</f>
        <v>907.81</v>
      </c>
      <c r="AF285" s="6">
        <f>ROUND($Z285*CLS_Inc_Salary2324*VLOOKUP($A285,EnrollData2324,'2324 Jun 24 Enroll'!T$1,FALSE),2)-AE285</f>
        <v>33.580000000000041</v>
      </c>
      <c r="AG285">
        <f t="shared" si="76"/>
        <v>734.16</v>
      </c>
      <c r="AH285" s="69">
        <f t="shared" si="67"/>
        <v>68.700000000000045</v>
      </c>
      <c r="AI285">
        <f t="shared" si="77"/>
        <v>214.23</v>
      </c>
      <c r="AJ285">
        <f t="shared" si="68"/>
        <v>114.21000000000001</v>
      </c>
      <c r="AK285">
        <f t="shared" si="69"/>
        <v>805.27</v>
      </c>
      <c r="AL285">
        <f t="shared" si="70"/>
        <v>43.25</v>
      </c>
      <c r="AM285">
        <f t="shared" si="71"/>
        <v>200.26</v>
      </c>
      <c r="AN285">
        <f t="shared" si="72"/>
        <v>6.23</v>
      </c>
      <c r="AO285">
        <f>ROUND(($J285*CIS_Inc_Salary2324*(VLOOKUP($A285,EnrollData2324,'2324 Jun 24 Enroll'!T$1,FALSE)+VLOOKUP($A285,EnrollData2324,'2324 Jun 24 Enroll'!U$1,FALSE))/Apport_613Xpd)*Apport_614Xpd,2)</f>
        <v>71.2</v>
      </c>
      <c r="AP285">
        <f t="shared" si="73"/>
        <v>12.34</v>
      </c>
      <c r="AQ285">
        <f t="shared" si="74"/>
        <v>30.93</v>
      </c>
      <c r="AR285" s="6">
        <f>ROUND((VLOOKUP($A285,EnrollData2324,'2324 Jun 24 Enroll'!D$1,FALSE)*Apport_M802324+VLOOKUP($A285,EnrollData2324,'2324 Jun 24 Enroll'!M$1,FALSE)*Apport_M802324+(VLOOKUP($A285,EnrollData2324,'2324 Jun 24 Enroll'!P$1,FALSE)+VLOOKUP($A285,EnrollData2324,'2324 Jun 24 Enroll'!Q$1,FALSE)+VLOOKUP($A285,EnrollData2324,'2324 Jun 24 Enroll'!R$1,FALSE)+VLOOKUP($A285,EnrollData2324,'2324 Jun 24 Enroll'!I$1,FALSE)+VLOOKUP($A285,EnrollData2324,'2324 Jun 24 Enroll'!N$1,FALSE)+VLOOKUP($A285,EnrollData2324,'2324 Jun 24 Enroll'!O$1,FALSE)+VLOOKUP($A285,EnrollData2324,'2324 Jun 24 Enroll'!K$1,FALSE)+VLOOKUP($A285,EnrollData2324,'2324 Jun 24 Enroll'!L$1,FALSE))*Apport_M812324)/(VLOOKUP($A285,EnrollData2324,'2324 Jun 24 Enroll'!M$1,FALSE)+VLOOKUP($A285,EnrollData2324,'2324 Jun 24 Enroll'!D$1,FALSE)),2)</f>
        <v>1540.65</v>
      </c>
      <c r="AS285" s="7">
        <f t="shared" si="75"/>
        <v>9513.6</v>
      </c>
    </row>
    <row r="286" spans="1:45">
      <c r="A286" s="40" t="s">
        <v>699</v>
      </c>
      <c r="B286" s="40" t="s">
        <v>700</v>
      </c>
      <c r="C286" s="11">
        <f>ROUND((IFERROR((1/IF(VLOOKUP($A286,EnrollData2324,28,FALSE)='District Calculations'!$B$10,VLOOKUP($A286,EnrollData2324,28,FALSE),'District Calculations'!$B$10))*(1+Apport_Z315),0))+Apport_201A2324,6)</f>
        <v>7.3449E-2</v>
      </c>
      <c r="D286">
        <f>ROUND(IF(VLOOKUP($A286,EnrollData2324,'2324 Jun 24 Enroll'!D$1,FALSE)='District Calculations'!$B$11,VLOOKUP($A286,EnrollData2324,'2324 Jun 24 Enroll'!D$1,FALSE),'District Calculations'!$B$11)*C286,3)</f>
        <v>0</v>
      </c>
      <c r="E286">
        <f>ROUND(IF(VLOOKUP($A286,EnrollData2324,'2324 Jun 24 Enroll'!E$1,FALSE)='District Calculations'!$B$12,VLOOKUP($A286,EnrollData2324,'2324 Jun 24 Enroll'!E$1,FALSE),'District Calculations'!$B$12)*C286,3)</f>
        <v>59.53</v>
      </c>
      <c r="F286">
        <f>ROUND(IF(VLOOKUP($A286,EnrollData2324,'2324 Jun 24 Enroll'!F$1,FALSE)='District Calculations'!$B$13,VLOOKUP($A286,EnrollData2324,'2324 Jun 24 Enroll'!F$1,FALSE),'District Calculations'!$B$13)*Apport_222A2324,3)</f>
        <v>10.101000000000001</v>
      </c>
      <c r="G286">
        <f>ROUND(IF(VLOOKUP($A286,EnrollData2324,'2324 Jun 24 Enroll'!G$1,FALSE)='District Calculations'!$B$14,VLOOKUP($A286,EnrollData2324,'2324 Jun 24 Enroll'!G$1,FALSE),'District Calculations'!$B$14)*Apport_210A2324,3)</f>
        <v>22.395</v>
      </c>
      <c r="H286">
        <f>ROUND(IF(VLOOKUP($A286,EnrollData2324,'2324 Jun 24 Enroll'!H$1,FALSE)='District Calculations'!$B$15,VLOOKUP($A286,EnrollData2324,'2324 Jun 24 Enroll'!H$1,FALSE),'District Calculations'!$B$15)*Apport_213A2324,3)</f>
        <v>23.091999999999999</v>
      </c>
      <c r="I286">
        <f>ROUND(IF(VLOOKUP($A286,EnrollData2324,'2324 Jun 24 Enroll'!I$1,FALSE)+VLOOKUP($A286,EnrollData2324,'2324 Jun 24 Enroll'!M$1,FALSE)-VLOOKUP($A286,EnrollData2324,'2324 Jun 24 Enroll'!J$1,FALSE)='District Calculations'!$B$16+'District Calculations'!$B$25-'District Calculations'!$B$17,VLOOKUP($A286,EnrollData2324,'2324 Jun 24 Enroll'!I$1,FALSE)+VLOOKUP($A286,EnrollData2324,'2324 Jun 24 Enroll'!M$1,FALSE)-VLOOKUP($A286,EnrollData2324,'2324 Jun 24 Enroll'!J$1,FALSE),'District Calculations'!$B$16+'District Calculations'!$B$25-'District Calculations'!$B$17)*Apport_216A2324,3)</f>
        <v>58.183999999999997</v>
      </c>
      <c r="J286">
        <f>ROUND(SUM(D286:I286)/(IF(VLOOKUP($A286,EnrollData2324,'2324 Jun 24 Enroll'!M$1,FALSE)='District Calculations'!$B$25,VLOOKUP($A286,EnrollData2324,'2324 Jun 24 Enroll'!M$1,FALSE),'District Calculations'!$B$25)+IF(VLOOKUP($A286,EnrollData2324,'2324 Jun 24 Enroll'!D$1,FALSE)='District Calculations'!$B$11,VLOOKUP($A286,EnrollData2324,'2324 Jun 24 Enroll'!D$1,FALSE),'District Calculations'!$B$11)),5)</f>
        <v>5.5530000000000003E-2</v>
      </c>
      <c r="K286" s="11">
        <f t="shared" si="65"/>
        <v>4.365E-3</v>
      </c>
      <c r="L286">
        <f>ROUND(IF(VLOOKUP($A286,EnrollData2324,'2324 Jun 24 Enroll'!D$1,FALSE)='District Calculations'!$B$11,VLOOKUP($A286,EnrollData2324,'2324 Jun 24 Enroll'!D$1,FALSE),'District Calculations'!$B$11)*K286,3)</f>
        <v>0</v>
      </c>
      <c r="M286">
        <f>ROUND(IF(VLOOKUP($A286,EnrollData2324,'2324 Jun 24 Enroll'!E$1,FALSE)='District Calculations'!$B$12,VLOOKUP($A286,EnrollData2324,'2324 Jun 24 Enroll'!E$1,FALSE),'District Calculations'!$B$12)*K286,3)</f>
        <v>3.5379999999999998</v>
      </c>
      <c r="N286">
        <f>ROUND(IF(VLOOKUP($A286,EnrollData2324,'2324 Jun 24 Enroll'!F$1,FALSE)='District Calculations'!$B$13,VLOOKUP($A286,EnrollData2324,'2324 Jun 24 Enroll'!F$1,FALSE),'District Calculations'!$B$13)*Apport_223A2324,3)</f>
        <v>0.84199999999999997</v>
      </c>
      <c r="O286">
        <f>ROUND(IF(VLOOKUP($A286,EnrollData2324,'2324 Jun 24 Enroll'!G$1,FALSE)='District Calculations'!$B$14,VLOOKUP($A286,EnrollData2324,'2324 Jun 24 Enroll'!G$1,FALSE),'District Calculations'!$B$14)*Apport_211A2324,3)</f>
        <v>1.867</v>
      </c>
      <c r="P286">
        <f>ROUND(IF(VLOOKUP($A286,EnrollData2324,'2324 Jun 24 Enroll'!H$1,FALSE)='District Calculations'!$B$14,VLOOKUP($A286,EnrollData2324,'2324 Jun 24 Enroll'!H$1,FALSE),'District Calculations'!$B$14)*Apport_214A2324,3)</f>
        <v>1.8660000000000001</v>
      </c>
      <c r="Q286">
        <f>ROUND(IF(VLOOKUP($A286,EnrollData2324,'2324 Jun 24 Enroll'!I$1,FALSE)+VLOOKUP($A286,EnrollData2324,'2324 Jun 24 Enroll'!M$1,FALSE)-VLOOKUP($A286,EnrollData2324,'2324 Jun 24 Enroll'!J$1,FALSE)='District Calculations'!$B$16+'District Calculations'!$B$25-'District Calculations'!$B$17,VLOOKUP($A286,EnrollData2324,'2324 Jun 24 Enroll'!I$1,FALSE)+VLOOKUP($A286,EnrollData2324,'2324 Jun 24 Enroll'!M$1,FALSE)-VLOOKUP($A286,EnrollData2324,'2324 Jun 24 Enroll'!J$1,FALSE),'District Calculations'!$B$16+'District Calculations'!$B$25-'District Calculations'!$B$17)*Apport_217A2324,3)</f>
        <v>4.6980000000000004</v>
      </c>
      <c r="R286">
        <f>ROUND(SUM(L286:Q286)/IF(VLOOKUP($A286,EnrollData2324,'2324 Jun 24 Enroll'!M$1,FALSE)+VLOOKUP($A286,EnrollData2324,'2324 Jun 24 Enroll'!D$1,FALSE)='District Calculations'!$B$25+'District Calculations'!$B$11,VLOOKUP($A286,EnrollData2324,'2324 Jun 24 Enroll'!M$1,FALSE)+VLOOKUP($A286,EnrollData2324,'2324 Jun 24 Enroll'!D$1,FALSE),'District Calculations'!$B$25+'District Calculations'!$B$11),5)</f>
        <v>4.1000000000000003E-3</v>
      </c>
      <c r="S286" s="11">
        <f t="shared" si="66"/>
        <v>1.8294500000000002E-2</v>
      </c>
      <c r="T286">
        <f>ROUND(IF(VLOOKUP($A286,EnrollData2324,'2324 Jun 24 Enroll'!D$1,FALSE)='District Calculations'!$B$11,VLOOKUP($A286,EnrollData2324,'2324 Jun 24 Enroll'!D$1,FALSE),'District Calculations'!$B$11)*S286,3)</f>
        <v>0</v>
      </c>
      <c r="U286">
        <f>ROUND(IF(VLOOKUP($A286,EnrollData2324,'2324 Jun 24 Enroll'!E$1,FALSE)='District Calculations'!$B$12,VLOOKUP($A286,EnrollData2324,'2324 Jun 24 Enroll'!E$1,FALSE),'District Calculations'!$B$12)*S286,3)</f>
        <v>14.827999999999999</v>
      </c>
      <c r="V286">
        <f>ROUND(IF(VLOOKUP($A286,EnrollData2324,'2324 Jun 24 Enroll'!F$1,FALSE)='District Calculations'!$B$13,VLOOKUP($A286,EnrollData2324,'2324 Jun 24 Enroll'!F$1,FALSE),'District Calculations'!$B$13)*Apport_224A2324,3)</f>
        <v>3.6190000000000002</v>
      </c>
      <c r="W286">
        <f>ROUND(IF(VLOOKUP($A286,EnrollData2324,'2324 Jun 24 Enroll'!G$1,FALSE)='District Calculations'!$B$14,VLOOKUP($A286,EnrollData2324,'2324 Jun 24 Enroll'!G$1,FALSE),'District Calculations'!$B$14)*Apport_212A2324,3)</f>
        <v>8.0239999999999991</v>
      </c>
      <c r="X286">
        <f>ROUND(IF(VLOOKUP($A286,EnrollData2324,'2324 Jun 24 Enroll'!H$1,FALSE)='District Calculations'!$B$14,VLOOKUP($A286,EnrollData2324,'2324 Jun 24 Enroll'!H$1,FALSE),'District Calculations'!$B$14)*Apport_215A2324,3)</f>
        <v>7.9279999999999999</v>
      </c>
      <c r="Y286">
        <f>ROUND(IF(VLOOKUP($A286,EnrollData2324,'2324 Jun 24 Enroll'!I$1,FALSE)+VLOOKUP($A286,EnrollData2324,'2324 Jun 24 Enroll'!M$1,FALSE)-VLOOKUP($A286,EnrollData2324,'2324 Jun 24 Enroll'!J$1,FALSE)='District Calculations'!$B$16+'District Calculations'!$B$25-'District Calculations'!$B$17,VLOOKUP($A286,EnrollData2324,'2324 Jun 24 Enroll'!I$1,FALSE)+VLOOKUP($A286,EnrollData2324,'2324 Jun 24 Enroll'!M$1,FALSE)-VLOOKUP($A286,EnrollData2324,'2324 Jun 24 Enroll'!J$1,FALSE),'District Calculations'!$B$16+'District Calculations'!$B$25-'District Calculations'!$B$17)*Apport_218A2324,3)</f>
        <v>19.917999999999999</v>
      </c>
      <c r="Z286">
        <f>ROUND(SUM(T286:Y286)/IF(VLOOKUP($A286,EnrollData2324,'2324 Jun 24 Enroll'!M$1,FALSE)+VLOOKUP($A286,EnrollData2324,'2324 Jun 24 Enroll'!D$1,FALSE)='District Calculations'!$B$25+'District Calculations'!$B$11,VLOOKUP($A286,EnrollData2324,'2324 Jun 24 Enroll'!M$1,FALSE)+VLOOKUP($A286,EnrollData2324,'2324 Jun 24 Enroll'!D$1,FALSE),'District Calculations'!$B$25+'District Calculations'!$B$11),5)</f>
        <v>1.7399999999999999E-2</v>
      </c>
      <c r="AA286" s="6">
        <f>ROUND($J286*CIS_Base_Salary2324*VLOOKUP($A286,EnrollData2324,'2324 Jun 24 Enroll'!S$1,FALSE),2)</f>
        <v>4038.59</v>
      </c>
      <c r="AB286" s="6">
        <f>ROUND($J286*CIS_Inc_Salary2324*(VLOOKUP($A286,EnrollData2324,'2324 Jun 24 Enroll'!T$1,FALSE)+VLOOKUP($A286,EnrollData2324,'2324 Jun 24 Enroll'!U$1,FALSE)),2)-AA286</f>
        <v>149.43000000000029</v>
      </c>
      <c r="AC286" s="6">
        <f>ROUND($R286*CAS_Base_Salary2324*VLOOKUP($A286,EnrollData2324,'2324 Jun 24 Enroll'!S$1,FALSE),2)</f>
        <v>442.62</v>
      </c>
      <c r="AD286" s="6">
        <f>ROUND($R286*CAS_Inc_Salary2324*VLOOKUP($A286,EnrollData2324,'2324 Jun 24 Enroll'!T$1,FALSE),2)-AC286</f>
        <v>16.379999999999995</v>
      </c>
      <c r="AE286" s="6">
        <f>ROUND($Z286*CLS_Base_Salary2324*VLOOKUP($A286,EnrollData2324,'2324 Jun 24 Enroll'!S$1,FALSE),2)</f>
        <v>907.81</v>
      </c>
      <c r="AF286" s="6">
        <f>ROUND($Z286*CLS_Inc_Salary2324*VLOOKUP($A286,EnrollData2324,'2324 Jun 24 Enroll'!T$1,FALSE),2)-AE286</f>
        <v>33.580000000000041</v>
      </c>
      <c r="AG286">
        <f t="shared" si="76"/>
        <v>734.16</v>
      </c>
      <c r="AH286" s="69">
        <f t="shared" si="67"/>
        <v>68.700000000000045</v>
      </c>
      <c r="AI286">
        <f t="shared" si="77"/>
        <v>214.23</v>
      </c>
      <c r="AJ286">
        <f t="shared" si="68"/>
        <v>114.21000000000001</v>
      </c>
      <c r="AK286">
        <f t="shared" si="69"/>
        <v>805.27</v>
      </c>
      <c r="AL286">
        <f t="shared" si="70"/>
        <v>28.73</v>
      </c>
      <c r="AM286">
        <f t="shared" si="71"/>
        <v>200.26</v>
      </c>
      <c r="AN286">
        <f t="shared" si="72"/>
        <v>6.23</v>
      </c>
      <c r="AO286">
        <f>ROUND(($J286*CIS_Inc_Salary2324*(VLOOKUP($A286,EnrollData2324,'2324 Jun 24 Enroll'!T$1,FALSE)+VLOOKUP($A286,EnrollData2324,'2324 Jun 24 Enroll'!U$1,FALSE))/Apport_613Xpd)*Apport_614Xpd,2)</f>
        <v>69.8</v>
      </c>
      <c r="AP286">
        <f t="shared" si="73"/>
        <v>12.1</v>
      </c>
      <c r="AQ286">
        <f t="shared" si="74"/>
        <v>30.93</v>
      </c>
      <c r="AR286" s="6">
        <f>ROUND((VLOOKUP($A286,EnrollData2324,'2324 Jun 24 Enroll'!D$1,FALSE)*Apport_M802324+VLOOKUP($A286,EnrollData2324,'2324 Jun 24 Enroll'!M$1,FALSE)*Apport_M802324+(VLOOKUP($A286,EnrollData2324,'2324 Jun 24 Enroll'!P$1,FALSE)+VLOOKUP($A286,EnrollData2324,'2324 Jun 24 Enroll'!Q$1,FALSE)+VLOOKUP($A286,EnrollData2324,'2324 Jun 24 Enroll'!R$1,FALSE)+VLOOKUP($A286,EnrollData2324,'2324 Jun 24 Enroll'!I$1,FALSE)+VLOOKUP($A286,EnrollData2324,'2324 Jun 24 Enroll'!N$1,FALSE)+VLOOKUP($A286,EnrollData2324,'2324 Jun 24 Enroll'!O$1,FALSE)+VLOOKUP($A286,EnrollData2324,'2324 Jun 24 Enroll'!K$1,FALSE)+VLOOKUP($A286,EnrollData2324,'2324 Jun 24 Enroll'!L$1,FALSE))*Apport_M812324)/(VLOOKUP($A286,EnrollData2324,'2324 Jun 24 Enroll'!M$1,FALSE)+VLOOKUP($A286,EnrollData2324,'2324 Jun 24 Enroll'!D$1,FALSE)),2)</f>
        <v>1535.08</v>
      </c>
      <c r="AS286" s="7">
        <f t="shared" si="75"/>
        <v>9408.11</v>
      </c>
    </row>
    <row r="287" spans="1:45">
      <c r="A287" s="40" t="s">
        <v>335</v>
      </c>
      <c r="B287" s="40" t="s">
        <v>336</v>
      </c>
      <c r="C287" s="11">
        <f>ROUND((IFERROR((1/IF(VLOOKUP($A287,EnrollData2324,28,FALSE)='District Calculations'!$B$10,VLOOKUP($A287,EnrollData2324,28,FALSE),'District Calculations'!$B$10))*(1+Apport_Z315),0))+Apport_201A2324,6)</f>
        <v>7.3449E-2</v>
      </c>
      <c r="D287">
        <f>ROUND(IF(VLOOKUP($A287,EnrollData2324,'2324 Jun 24 Enroll'!D$1,FALSE)='District Calculations'!$B$11,VLOOKUP($A287,EnrollData2324,'2324 Jun 24 Enroll'!D$1,FALSE),'District Calculations'!$B$11)*C287,3)</f>
        <v>0</v>
      </c>
      <c r="E287">
        <f>ROUND(IF(VLOOKUP($A287,EnrollData2324,'2324 Jun 24 Enroll'!E$1,FALSE)='District Calculations'!$B$12,VLOOKUP($A287,EnrollData2324,'2324 Jun 24 Enroll'!E$1,FALSE),'District Calculations'!$B$12)*C287,3)</f>
        <v>59.53</v>
      </c>
      <c r="F287">
        <f>ROUND(IF(VLOOKUP($A287,EnrollData2324,'2324 Jun 24 Enroll'!F$1,FALSE)='District Calculations'!$B$13,VLOOKUP($A287,EnrollData2324,'2324 Jun 24 Enroll'!F$1,FALSE),'District Calculations'!$B$13)*Apport_222A2324,3)</f>
        <v>10.101000000000001</v>
      </c>
      <c r="G287">
        <f>ROUND(IF(VLOOKUP($A287,EnrollData2324,'2324 Jun 24 Enroll'!G$1,FALSE)='District Calculations'!$B$14,VLOOKUP($A287,EnrollData2324,'2324 Jun 24 Enroll'!G$1,FALSE),'District Calculations'!$B$14)*Apport_210A2324,3)</f>
        <v>22.395</v>
      </c>
      <c r="H287">
        <f>ROUND(IF(VLOOKUP($A287,EnrollData2324,'2324 Jun 24 Enroll'!H$1,FALSE)='District Calculations'!$B$15,VLOOKUP($A287,EnrollData2324,'2324 Jun 24 Enroll'!H$1,FALSE),'District Calculations'!$B$15)*Apport_213A2324,3)</f>
        <v>23.091999999999999</v>
      </c>
      <c r="I287">
        <f>ROUND(IF(VLOOKUP($A287,EnrollData2324,'2324 Jun 24 Enroll'!I$1,FALSE)+VLOOKUP($A287,EnrollData2324,'2324 Jun 24 Enroll'!M$1,FALSE)-VLOOKUP($A287,EnrollData2324,'2324 Jun 24 Enroll'!J$1,FALSE)='District Calculations'!$B$16+'District Calculations'!$B$25-'District Calculations'!$B$17,VLOOKUP($A287,EnrollData2324,'2324 Jun 24 Enroll'!I$1,FALSE)+VLOOKUP($A287,EnrollData2324,'2324 Jun 24 Enroll'!M$1,FALSE)-VLOOKUP($A287,EnrollData2324,'2324 Jun 24 Enroll'!J$1,FALSE),'District Calculations'!$B$16+'District Calculations'!$B$25-'District Calculations'!$B$17)*Apport_216A2324,3)</f>
        <v>58.183999999999997</v>
      </c>
      <c r="J287">
        <f>ROUND(SUM(D287:I287)/(IF(VLOOKUP($A287,EnrollData2324,'2324 Jun 24 Enroll'!M$1,FALSE)='District Calculations'!$B$25,VLOOKUP($A287,EnrollData2324,'2324 Jun 24 Enroll'!M$1,FALSE),'District Calculations'!$B$25)+IF(VLOOKUP($A287,EnrollData2324,'2324 Jun 24 Enroll'!D$1,FALSE)='District Calculations'!$B$11,VLOOKUP($A287,EnrollData2324,'2324 Jun 24 Enroll'!D$1,FALSE),'District Calculations'!$B$11)),5)</f>
        <v>5.5530000000000003E-2</v>
      </c>
      <c r="K287" s="11">
        <f t="shared" ref="K287:K325" si="78">ROUND(((($C287+Apport_203A2324+Apport_202A2324)*Apport_557X)*Apport_558X)+Apport_202A2324,6)</f>
        <v>4.365E-3</v>
      </c>
      <c r="L287">
        <f>ROUND(IF(VLOOKUP($A287,EnrollData2324,'2324 Jun 24 Enroll'!D$1,FALSE)='District Calculations'!$B$11,VLOOKUP($A287,EnrollData2324,'2324 Jun 24 Enroll'!D$1,FALSE),'District Calculations'!$B$11)*K287,3)</f>
        <v>0</v>
      </c>
      <c r="M287">
        <f>ROUND(IF(VLOOKUP($A287,EnrollData2324,'2324 Jun 24 Enroll'!E$1,FALSE)='District Calculations'!$B$12,VLOOKUP($A287,EnrollData2324,'2324 Jun 24 Enroll'!E$1,FALSE),'District Calculations'!$B$12)*K287,3)</f>
        <v>3.5379999999999998</v>
      </c>
      <c r="N287">
        <f>ROUND(IF(VLOOKUP($A287,EnrollData2324,'2324 Jun 24 Enroll'!F$1,FALSE)='District Calculations'!$B$13,VLOOKUP($A287,EnrollData2324,'2324 Jun 24 Enroll'!F$1,FALSE),'District Calculations'!$B$13)*Apport_223A2324,3)</f>
        <v>0.84199999999999997</v>
      </c>
      <c r="O287">
        <f>ROUND(IF(VLOOKUP($A287,EnrollData2324,'2324 Jun 24 Enroll'!G$1,FALSE)='District Calculations'!$B$14,VLOOKUP($A287,EnrollData2324,'2324 Jun 24 Enroll'!G$1,FALSE),'District Calculations'!$B$14)*Apport_211A2324,3)</f>
        <v>1.867</v>
      </c>
      <c r="P287">
        <f>ROUND(IF(VLOOKUP($A287,EnrollData2324,'2324 Jun 24 Enroll'!H$1,FALSE)='District Calculations'!$B$14,VLOOKUP($A287,EnrollData2324,'2324 Jun 24 Enroll'!H$1,FALSE),'District Calculations'!$B$14)*Apport_214A2324,3)</f>
        <v>1.8660000000000001</v>
      </c>
      <c r="Q287">
        <f>ROUND(IF(VLOOKUP($A287,EnrollData2324,'2324 Jun 24 Enroll'!I$1,FALSE)+VLOOKUP($A287,EnrollData2324,'2324 Jun 24 Enroll'!M$1,FALSE)-VLOOKUP($A287,EnrollData2324,'2324 Jun 24 Enroll'!J$1,FALSE)='District Calculations'!$B$16+'District Calculations'!$B$25-'District Calculations'!$B$17,VLOOKUP($A287,EnrollData2324,'2324 Jun 24 Enroll'!I$1,FALSE)+VLOOKUP($A287,EnrollData2324,'2324 Jun 24 Enroll'!M$1,FALSE)-VLOOKUP($A287,EnrollData2324,'2324 Jun 24 Enroll'!J$1,FALSE),'District Calculations'!$B$16+'District Calculations'!$B$25-'District Calculations'!$B$17)*Apport_217A2324,3)</f>
        <v>4.6980000000000004</v>
      </c>
      <c r="R287">
        <f>ROUND(SUM(L287:Q287)/IF(VLOOKUP($A287,EnrollData2324,'2324 Jun 24 Enroll'!M$1,FALSE)+VLOOKUP($A287,EnrollData2324,'2324 Jun 24 Enroll'!D$1,FALSE)='District Calculations'!$B$25+'District Calculations'!$B$11,VLOOKUP($A287,EnrollData2324,'2324 Jun 24 Enroll'!M$1,FALSE)+VLOOKUP($A287,EnrollData2324,'2324 Jun 24 Enroll'!D$1,FALSE),'District Calculations'!$B$25+'District Calculations'!$B$11),5)</f>
        <v>4.1000000000000003E-3</v>
      </c>
      <c r="S287" s="11">
        <f t="shared" ref="S287:S325" si="79">ROUND(((($C287+Apport_203A2324+Apport_202A2324)*Apport_557X)*Apport_559X)+Apport_203A2324,7)</f>
        <v>1.8294500000000002E-2</v>
      </c>
      <c r="T287">
        <f>ROUND(IF(VLOOKUP($A287,EnrollData2324,'2324 Jun 24 Enroll'!D$1,FALSE)='District Calculations'!$B$11,VLOOKUP($A287,EnrollData2324,'2324 Jun 24 Enroll'!D$1,FALSE),'District Calculations'!$B$11)*S287,3)</f>
        <v>0</v>
      </c>
      <c r="U287">
        <f>ROUND(IF(VLOOKUP($A287,EnrollData2324,'2324 Jun 24 Enroll'!E$1,FALSE)='District Calculations'!$B$12,VLOOKUP($A287,EnrollData2324,'2324 Jun 24 Enroll'!E$1,FALSE),'District Calculations'!$B$12)*S287,3)</f>
        <v>14.827999999999999</v>
      </c>
      <c r="V287">
        <f>ROUND(IF(VLOOKUP($A287,EnrollData2324,'2324 Jun 24 Enroll'!F$1,FALSE)='District Calculations'!$B$13,VLOOKUP($A287,EnrollData2324,'2324 Jun 24 Enroll'!F$1,FALSE),'District Calculations'!$B$13)*Apport_224A2324,3)</f>
        <v>3.6190000000000002</v>
      </c>
      <c r="W287">
        <f>ROUND(IF(VLOOKUP($A287,EnrollData2324,'2324 Jun 24 Enroll'!G$1,FALSE)='District Calculations'!$B$14,VLOOKUP($A287,EnrollData2324,'2324 Jun 24 Enroll'!G$1,FALSE),'District Calculations'!$B$14)*Apport_212A2324,3)</f>
        <v>8.0239999999999991</v>
      </c>
      <c r="X287">
        <f>ROUND(IF(VLOOKUP($A287,EnrollData2324,'2324 Jun 24 Enroll'!H$1,FALSE)='District Calculations'!$B$14,VLOOKUP($A287,EnrollData2324,'2324 Jun 24 Enroll'!H$1,FALSE),'District Calculations'!$B$14)*Apport_215A2324,3)</f>
        <v>7.9279999999999999</v>
      </c>
      <c r="Y287">
        <f>ROUND(IF(VLOOKUP($A287,EnrollData2324,'2324 Jun 24 Enroll'!I$1,FALSE)+VLOOKUP($A287,EnrollData2324,'2324 Jun 24 Enroll'!M$1,FALSE)-VLOOKUP($A287,EnrollData2324,'2324 Jun 24 Enroll'!J$1,FALSE)='District Calculations'!$B$16+'District Calculations'!$B$25-'District Calculations'!$B$17,VLOOKUP($A287,EnrollData2324,'2324 Jun 24 Enroll'!I$1,FALSE)+VLOOKUP($A287,EnrollData2324,'2324 Jun 24 Enroll'!M$1,FALSE)-VLOOKUP($A287,EnrollData2324,'2324 Jun 24 Enroll'!J$1,FALSE),'District Calculations'!$B$16+'District Calculations'!$B$25-'District Calculations'!$B$17)*Apport_218A2324,3)</f>
        <v>19.917999999999999</v>
      </c>
      <c r="Z287">
        <f>ROUND(SUM(T287:Y287)/IF(VLOOKUP($A287,EnrollData2324,'2324 Jun 24 Enroll'!M$1,FALSE)+VLOOKUP($A287,EnrollData2324,'2324 Jun 24 Enroll'!D$1,FALSE)='District Calculations'!$B$25+'District Calculations'!$B$11,VLOOKUP($A287,EnrollData2324,'2324 Jun 24 Enroll'!M$1,FALSE)+VLOOKUP($A287,EnrollData2324,'2324 Jun 24 Enroll'!D$1,FALSE),'District Calculations'!$B$25+'District Calculations'!$B$11),5)</f>
        <v>1.7399999999999999E-2</v>
      </c>
      <c r="AA287" s="6">
        <f>ROUND($J287*CIS_Base_Salary2324*VLOOKUP($A287,EnrollData2324,'2324 Jun 24 Enroll'!S$1,FALSE),2)</f>
        <v>4341.4799999999996</v>
      </c>
      <c r="AB287" s="6">
        <f>ROUND($J287*CIS_Inc_Salary2324*(VLOOKUP($A287,EnrollData2324,'2324 Jun 24 Enroll'!T$1,FALSE)+VLOOKUP($A287,EnrollData2324,'2324 Jun 24 Enroll'!U$1,FALSE)),2)-AA287</f>
        <v>160.64000000000033</v>
      </c>
      <c r="AC287" s="6">
        <f>ROUND($R287*CAS_Base_Salary2324*VLOOKUP($A287,EnrollData2324,'2324 Jun 24 Enroll'!S$1,FALSE),2)</f>
        <v>475.81</v>
      </c>
      <c r="AD287" s="6">
        <f>ROUND($R287*CAS_Inc_Salary2324*VLOOKUP($A287,EnrollData2324,'2324 Jun 24 Enroll'!T$1,FALSE),2)-AC287</f>
        <v>17.610000000000014</v>
      </c>
      <c r="AE287" s="6">
        <f>ROUND($Z287*CLS_Base_Salary2324*VLOOKUP($A287,EnrollData2324,'2324 Jun 24 Enroll'!S$1,FALSE),2)</f>
        <v>975.9</v>
      </c>
      <c r="AF287" s="6">
        <f>ROUND($Z287*CLS_Inc_Salary2324*VLOOKUP($A287,EnrollData2324,'2324 Jun 24 Enroll'!T$1,FALSE),2)-AE287</f>
        <v>36.100000000000023</v>
      </c>
      <c r="AG287">
        <f t="shared" si="76"/>
        <v>734.16</v>
      </c>
      <c r="AH287" s="69">
        <f t="shared" ref="AH287:AH325" si="80">ROUND(($J287+$R287)*Apport_621X2324*Apport_125XC2324,2)-AG287</f>
        <v>68.700000000000045</v>
      </c>
      <c r="AI287">
        <f t="shared" si="77"/>
        <v>214.23</v>
      </c>
      <c r="AJ287">
        <f t="shared" ref="AJ287:AJ325" si="81">ROUND($Z287*Apport_621X2324*Apport_125X2324,2)-AI287</f>
        <v>114.21000000000001</v>
      </c>
      <c r="AK287">
        <f t="shared" ref="AK287:AK325" si="82">ROUND((AA287+AC287)*Apport_126X2324,2)</f>
        <v>865.67</v>
      </c>
      <c r="AL287">
        <f t="shared" ref="AL287:AL325" si="83">ROUND((AB287+AD287)*Apport_127X2324,2)</f>
        <v>30.89</v>
      </c>
      <c r="AM287">
        <f t="shared" ref="AM287:AM325" si="84">ROUND(AE287*Apport_128X2324,2)</f>
        <v>215.28</v>
      </c>
      <c r="AN287">
        <f t="shared" ref="AN287:AN325" si="85">ROUND(AF287*Apport_129X2324,2)</f>
        <v>6.7</v>
      </c>
      <c r="AO287">
        <f>ROUND(($J287*CIS_Inc_Salary2324*(VLOOKUP($A287,EnrollData2324,'2324 Jun 24 Enroll'!T$1,FALSE)+VLOOKUP($A287,EnrollData2324,'2324 Jun 24 Enroll'!U$1,FALSE))/Apport_613Xpd)*Apport_614Xpd,2)</f>
        <v>75.040000000000006</v>
      </c>
      <c r="AP287">
        <f t="shared" ref="AP287:AP325" si="86">ROUND(AO287*Apport_127X2324,2)</f>
        <v>13</v>
      </c>
      <c r="AQ287">
        <f t="shared" si="74"/>
        <v>30.93</v>
      </c>
      <c r="AR287" s="6">
        <f>ROUND((VLOOKUP($A287,EnrollData2324,'2324 Jun 24 Enroll'!D$1,FALSE)*Apport_M802324+VLOOKUP($A287,EnrollData2324,'2324 Jun 24 Enroll'!M$1,FALSE)*Apport_M802324+(VLOOKUP($A287,EnrollData2324,'2324 Jun 24 Enroll'!P$1,FALSE)+VLOOKUP($A287,EnrollData2324,'2324 Jun 24 Enroll'!Q$1,FALSE)+VLOOKUP($A287,EnrollData2324,'2324 Jun 24 Enroll'!R$1,FALSE)+VLOOKUP($A287,EnrollData2324,'2324 Jun 24 Enroll'!I$1,FALSE)+VLOOKUP($A287,EnrollData2324,'2324 Jun 24 Enroll'!N$1,FALSE)+VLOOKUP($A287,EnrollData2324,'2324 Jun 24 Enroll'!O$1,FALSE)+VLOOKUP($A287,EnrollData2324,'2324 Jun 24 Enroll'!K$1,FALSE)+VLOOKUP($A287,EnrollData2324,'2324 Jun 24 Enroll'!L$1,FALSE))*Apport_M812324)/(VLOOKUP($A287,EnrollData2324,'2324 Jun 24 Enroll'!M$1,FALSE)+VLOOKUP($A287,EnrollData2324,'2324 Jun 24 Enroll'!D$1,FALSE)),2)</f>
        <v>1554.6</v>
      </c>
      <c r="AS287" s="7">
        <f t="shared" si="75"/>
        <v>9930.9500000000025</v>
      </c>
    </row>
    <row r="288" spans="1:45">
      <c r="A288" s="40" t="s">
        <v>466</v>
      </c>
      <c r="B288" s="40" t="s">
        <v>467</v>
      </c>
      <c r="C288" s="11">
        <f>ROUND((IFERROR((1/IF(VLOOKUP($A288,EnrollData2324,28,FALSE)='District Calculations'!$B$10,VLOOKUP($A288,EnrollData2324,28,FALSE),'District Calculations'!$B$10))*(1+Apport_Z315),0))+Apport_201A2324,6)</f>
        <v>7.3449E-2</v>
      </c>
      <c r="D288">
        <f>ROUND(IF(VLOOKUP($A288,EnrollData2324,'2324 Jun 24 Enroll'!D$1,FALSE)='District Calculations'!$B$11,VLOOKUP($A288,EnrollData2324,'2324 Jun 24 Enroll'!D$1,FALSE),'District Calculations'!$B$11)*C288,3)</f>
        <v>0</v>
      </c>
      <c r="E288">
        <f>ROUND(IF(VLOOKUP($A288,EnrollData2324,'2324 Jun 24 Enroll'!E$1,FALSE)='District Calculations'!$B$12,VLOOKUP($A288,EnrollData2324,'2324 Jun 24 Enroll'!E$1,FALSE),'District Calculations'!$B$12)*C288,3)</f>
        <v>59.53</v>
      </c>
      <c r="F288">
        <f>ROUND(IF(VLOOKUP($A288,EnrollData2324,'2324 Jun 24 Enroll'!F$1,FALSE)='District Calculations'!$B$13,VLOOKUP($A288,EnrollData2324,'2324 Jun 24 Enroll'!F$1,FALSE),'District Calculations'!$B$13)*Apport_222A2324,3)</f>
        <v>10.101000000000001</v>
      </c>
      <c r="G288">
        <f>ROUND(IF(VLOOKUP($A288,EnrollData2324,'2324 Jun 24 Enroll'!G$1,FALSE)='District Calculations'!$B$14,VLOOKUP($A288,EnrollData2324,'2324 Jun 24 Enroll'!G$1,FALSE),'District Calculations'!$B$14)*Apport_210A2324,3)</f>
        <v>22.395</v>
      </c>
      <c r="H288">
        <f>ROUND(IF(VLOOKUP($A288,EnrollData2324,'2324 Jun 24 Enroll'!H$1,FALSE)='District Calculations'!$B$15,VLOOKUP($A288,EnrollData2324,'2324 Jun 24 Enroll'!H$1,FALSE),'District Calculations'!$B$15)*Apport_213A2324,3)</f>
        <v>23.091999999999999</v>
      </c>
      <c r="I288">
        <f>ROUND(IF(VLOOKUP($A288,EnrollData2324,'2324 Jun 24 Enroll'!I$1,FALSE)+VLOOKUP($A288,EnrollData2324,'2324 Jun 24 Enroll'!M$1,FALSE)-VLOOKUP($A288,EnrollData2324,'2324 Jun 24 Enroll'!J$1,FALSE)='District Calculations'!$B$16+'District Calculations'!$B$25-'District Calculations'!$B$17,VLOOKUP($A288,EnrollData2324,'2324 Jun 24 Enroll'!I$1,FALSE)+VLOOKUP($A288,EnrollData2324,'2324 Jun 24 Enroll'!M$1,FALSE)-VLOOKUP($A288,EnrollData2324,'2324 Jun 24 Enroll'!J$1,FALSE),'District Calculations'!$B$16+'District Calculations'!$B$25-'District Calculations'!$B$17)*Apport_216A2324,3)</f>
        <v>58.183999999999997</v>
      </c>
      <c r="J288">
        <f>ROUND(SUM(D288:I288)/(IF(VLOOKUP($A288,EnrollData2324,'2324 Jun 24 Enroll'!M$1,FALSE)='District Calculations'!$B$25,VLOOKUP($A288,EnrollData2324,'2324 Jun 24 Enroll'!M$1,FALSE),'District Calculations'!$B$25)+IF(VLOOKUP($A288,EnrollData2324,'2324 Jun 24 Enroll'!D$1,FALSE)='District Calculations'!$B$11,VLOOKUP($A288,EnrollData2324,'2324 Jun 24 Enroll'!D$1,FALSE),'District Calculations'!$B$11)),5)</f>
        <v>5.5530000000000003E-2</v>
      </c>
      <c r="K288" s="11">
        <f t="shared" si="78"/>
        <v>4.365E-3</v>
      </c>
      <c r="L288">
        <f>ROUND(IF(VLOOKUP($A288,EnrollData2324,'2324 Jun 24 Enroll'!D$1,FALSE)='District Calculations'!$B$11,VLOOKUP($A288,EnrollData2324,'2324 Jun 24 Enroll'!D$1,FALSE),'District Calculations'!$B$11)*K288,3)</f>
        <v>0</v>
      </c>
      <c r="M288">
        <f>ROUND(IF(VLOOKUP($A288,EnrollData2324,'2324 Jun 24 Enroll'!E$1,FALSE)='District Calculations'!$B$12,VLOOKUP($A288,EnrollData2324,'2324 Jun 24 Enroll'!E$1,FALSE),'District Calculations'!$B$12)*K288,3)</f>
        <v>3.5379999999999998</v>
      </c>
      <c r="N288">
        <f>ROUND(IF(VLOOKUP($A288,EnrollData2324,'2324 Jun 24 Enroll'!F$1,FALSE)='District Calculations'!$B$13,VLOOKUP($A288,EnrollData2324,'2324 Jun 24 Enroll'!F$1,FALSE),'District Calculations'!$B$13)*Apport_223A2324,3)</f>
        <v>0.84199999999999997</v>
      </c>
      <c r="O288">
        <f>ROUND(IF(VLOOKUP($A288,EnrollData2324,'2324 Jun 24 Enroll'!G$1,FALSE)='District Calculations'!$B$14,VLOOKUP($A288,EnrollData2324,'2324 Jun 24 Enroll'!G$1,FALSE),'District Calculations'!$B$14)*Apport_211A2324,3)</f>
        <v>1.867</v>
      </c>
      <c r="P288">
        <f>ROUND(IF(VLOOKUP($A288,EnrollData2324,'2324 Jun 24 Enroll'!H$1,FALSE)='District Calculations'!$B$14,VLOOKUP($A288,EnrollData2324,'2324 Jun 24 Enroll'!H$1,FALSE),'District Calculations'!$B$14)*Apport_214A2324,3)</f>
        <v>1.8660000000000001</v>
      </c>
      <c r="Q288">
        <f>ROUND(IF(VLOOKUP($A288,EnrollData2324,'2324 Jun 24 Enroll'!I$1,FALSE)+VLOOKUP($A288,EnrollData2324,'2324 Jun 24 Enroll'!M$1,FALSE)-VLOOKUP($A288,EnrollData2324,'2324 Jun 24 Enroll'!J$1,FALSE)='District Calculations'!$B$16+'District Calculations'!$B$25-'District Calculations'!$B$17,VLOOKUP($A288,EnrollData2324,'2324 Jun 24 Enroll'!I$1,FALSE)+VLOOKUP($A288,EnrollData2324,'2324 Jun 24 Enroll'!M$1,FALSE)-VLOOKUP($A288,EnrollData2324,'2324 Jun 24 Enroll'!J$1,FALSE),'District Calculations'!$B$16+'District Calculations'!$B$25-'District Calculations'!$B$17)*Apport_217A2324,3)</f>
        <v>4.6980000000000004</v>
      </c>
      <c r="R288">
        <f>ROUND(SUM(L288:Q288)/IF(VLOOKUP($A288,EnrollData2324,'2324 Jun 24 Enroll'!M$1,FALSE)+VLOOKUP($A288,EnrollData2324,'2324 Jun 24 Enroll'!D$1,FALSE)='District Calculations'!$B$25+'District Calculations'!$B$11,VLOOKUP($A288,EnrollData2324,'2324 Jun 24 Enroll'!M$1,FALSE)+VLOOKUP($A288,EnrollData2324,'2324 Jun 24 Enroll'!D$1,FALSE),'District Calculations'!$B$25+'District Calculations'!$B$11),5)</f>
        <v>4.1000000000000003E-3</v>
      </c>
      <c r="S288" s="11">
        <f t="shared" si="79"/>
        <v>1.8294500000000002E-2</v>
      </c>
      <c r="T288">
        <f>ROUND(IF(VLOOKUP($A288,EnrollData2324,'2324 Jun 24 Enroll'!D$1,FALSE)='District Calculations'!$B$11,VLOOKUP($A288,EnrollData2324,'2324 Jun 24 Enroll'!D$1,FALSE),'District Calculations'!$B$11)*S288,3)</f>
        <v>0</v>
      </c>
      <c r="U288">
        <f>ROUND(IF(VLOOKUP($A288,EnrollData2324,'2324 Jun 24 Enroll'!E$1,FALSE)='District Calculations'!$B$12,VLOOKUP($A288,EnrollData2324,'2324 Jun 24 Enroll'!E$1,FALSE),'District Calculations'!$B$12)*S288,3)</f>
        <v>14.827999999999999</v>
      </c>
      <c r="V288">
        <f>ROUND(IF(VLOOKUP($A288,EnrollData2324,'2324 Jun 24 Enroll'!F$1,FALSE)='District Calculations'!$B$13,VLOOKUP($A288,EnrollData2324,'2324 Jun 24 Enroll'!F$1,FALSE),'District Calculations'!$B$13)*Apport_224A2324,3)</f>
        <v>3.6190000000000002</v>
      </c>
      <c r="W288">
        <f>ROUND(IF(VLOOKUP($A288,EnrollData2324,'2324 Jun 24 Enroll'!G$1,FALSE)='District Calculations'!$B$14,VLOOKUP($A288,EnrollData2324,'2324 Jun 24 Enroll'!G$1,FALSE),'District Calculations'!$B$14)*Apport_212A2324,3)</f>
        <v>8.0239999999999991</v>
      </c>
      <c r="X288">
        <f>ROUND(IF(VLOOKUP($A288,EnrollData2324,'2324 Jun 24 Enroll'!H$1,FALSE)='District Calculations'!$B$14,VLOOKUP($A288,EnrollData2324,'2324 Jun 24 Enroll'!H$1,FALSE),'District Calculations'!$B$14)*Apport_215A2324,3)</f>
        <v>7.9279999999999999</v>
      </c>
      <c r="Y288">
        <f>ROUND(IF(VLOOKUP($A288,EnrollData2324,'2324 Jun 24 Enroll'!I$1,FALSE)+VLOOKUP($A288,EnrollData2324,'2324 Jun 24 Enroll'!M$1,FALSE)-VLOOKUP($A288,EnrollData2324,'2324 Jun 24 Enroll'!J$1,FALSE)='District Calculations'!$B$16+'District Calculations'!$B$25-'District Calculations'!$B$17,VLOOKUP($A288,EnrollData2324,'2324 Jun 24 Enroll'!I$1,FALSE)+VLOOKUP($A288,EnrollData2324,'2324 Jun 24 Enroll'!M$1,FALSE)-VLOOKUP($A288,EnrollData2324,'2324 Jun 24 Enroll'!J$1,FALSE),'District Calculations'!$B$16+'District Calculations'!$B$25-'District Calculations'!$B$17)*Apport_218A2324,3)</f>
        <v>19.917999999999999</v>
      </c>
      <c r="Z288">
        <f>ROUND(SUM(T288:Y288)/IF(VLOOKUP($A288,EnrollData2324,'2324 Jun 24 Enroll'!M$1,FALSE)+VLOOKUP($A288,EnrollData2324,'2324 Jun 24 Enroll'!D$1,FALSE)='District Calculations'!$B$25+'District Calculations'!$B$11,VLOOKUP($A288,EnrollData2324,'2324 Jun 24 Enroll'!M$1,FALSE)+VLOOKUP($A288,EnrollData2324,'2324 Jun 24 Enroll'!D$1,FALSE),'District Calculations'!$B$25+'District Calculations'!$B$11),5)</f>
        <v>1.7399999999999999E-2</v>
      </c>
      <c r="AA288" s="6">
        <f>ROUND($J288*CIS_Base_Salary2324*VLOOKUP($A288,EnrollData2324,'2324 Jun 24 Enroll'!S$1,FALSE),2)</f>
        <v>4341.4799999999996</v>
      </c>
      <c r="AB288" s="6">
        <f>ROUND($J288*CIS_Inc_Salary2324*(VLOOKUP($A288,EnrollData2324,'2324 Jun 24 Enroll'!T$1,FALSE)+VLOOKUP($A288,EnrollData2324,'2324 Jun 24 Enroll'!U$1,FALSE)),2)-AA288</f>
        <v>160.64000000000033</v>
      </c>
      <c r="AC288" s="6">
        <f>ROUND($R288*CAS_Base_Salary2324*VLOOKUP($A288,EnrollData2324,'2324 Jun 24 Enroll'!S$1,FALSE),2)</f>
        <v>475.81</v>
      </c>
      <c r="AD288" s="6">
        <f>ROUND($R288*CAS_Inc_Salary2324*VLOOKUP($A288,EnrollData2324,'2324 Jun 24 Enroll'!T$1,FALSE),2)-AC288</f>
        <v>17.610000000000014</v>
      </c>
      <c r="AE288" s="6">
        <f>ROUND($Z288*CLS_Base_Salary2324*VLOOKUP($A288,EnrollData2324,'2324 Jun 24 Enroll'!S$1,FALSE),2)</f>
        <v>975.9</v>
      </c>
      <c r="AF288" s="6">
        <f>ROUND($Z288*CLS_Inc_Salary2324*VLOOKUP($A288,EnrollData2324,'2324 Jun 24 Enroll'!T$1,FALSE),2)-AE288</f>
        <v>36.100000000000023</v>
      </c>
      <c r="AG288">
        <f t="shared" si="76"/>
        <v>734.16</v>
      </c>
      <c r="AH288" s="69">
        <f t="shared" si="80"/>
        <v>68.700000000000045</v>
      </c>
      <c r="AI288">
        <f t="shared" si="77"/>
        <v>214.23</v>
      </c>
      <c r="AJ288">
        <f t="shared" si="81"/>
        <v>114.21000000000001</v>
      </c>
      <c r="AK288">
        <f t="shared" si="82"/>
        <v>865.67</v>
      </c>
      <c r="AL288">
        <f t="shared" si="83"/>
        <v>30.89</v>
      </c>
      <c r="AM288">
        <f t="shared" si="84"/>
        <v>215.28</v>
      </c>
      <c r="AN288">
        <f t="shared" si="85"/>
        <v>6.7</v>
      </c>
      <c r="AO288">
        <f>ROUND(($J288*CIS_Inc_Salary2324*(VLOOKUP($A288,EnrollData2324,'2324 Jun 24 Enroll'!T$1,FALSE)+VLOOKUP($A288,EnrollData2324,'2324 Jun 24 Enroll'!U$1,FALSE))/Apport_613Xpd)*Apport_614Xpd,2)</f>
        <v>75.040000000000006</v>
      </c>
      <c r="AP288">
        <f t="shared" si="86"/>
        <v>13</v>
      </c>
      <c r="AQ288">
        <f t="shared" ref="AQ288:AQ325" si="87">ROUND((J288*Apport_581X)*(Apport_116X*Apport_132X),2)</f>
        <v>30.93</v>
      </c>
      <c r="AR288" s="6">
        <f>ROUND((VLOOKUP($A288,EnrollData2324,'2324 Jun 24 Enroll'!D$1,FALSE)*Apport_M802324+VLOOKUP($A288,EnrollData2324,'2324 Jun 24 Enroll'!M$1,FALSE)*Apport_M802324+(VLOOKUP($A288,EnrollData2324,'2324 Jun 24 Enroll'!P$1,FALSE)+VLOOKUP($A288,EnrollData2324,'2324 Jun 24 Enroll'!Q$1,FALSE)+VLOOKUP($A288,EnrollData2324,'2324 Jun 24 Enroll'!R$1,FALSE)+VLOOKUP($A288,EnrollData2324,'2324 Jun 24 Enroll'!I$1,FALSE)+VLOOKUP($A288,EnrollData2324,'2324 Jun 24 Enroll'!N$1,FALSE)+VLOOKUP($A288,EnrollData2324,'2324 Jun 24 Enroll'!O$1,FALSE)+VLOOKUP($A288,EnrollData2324,'2324 Jun 24 Enroll'!K$1,FALSE)+VLOOKUP($A288,EnrollData2324,'2324 Jun 24 Enroll'!L$1,FALSE))*Apport_M812324)/(VLOOKUP($A288,EnrollData2324,'2324 Jun 24 Enroll'!M$1,FALSE)+VLOOKUP($A288,EnrollData2324,'2324 Jun 24 Enroll'!D$1,FALSE)),2)</f>
        <v>1549.08</v>
      </c>
      <c r="AS288" s="7">
        <f t="shared" si="75"/>
        <v>9925.4300000000021</v>
      </c>
    </row>
    <row r="289" spans="1:45">
      <c r="A289" s="40" t="s">
        <v>343</v>
      </c>
      <c r="B289" s="40" t="s">
        <v>344</v>
      </c>
      <c r="C289" s="11">
        <f>ROUND((IFERROR((1/IF(VLOOKUP($A289,EnrollData2324,28,FALSE)='District Calculations'!$B$10,VLOOKUP($A289,EnrollData2324,28,FALSE),'District Calculations'!$B$10))*(1+Apport_Z315),0))+Apport_201A2324,6)</f>
        <v>7.3449E-2</v>
      </c>
      <c r="D289">
        <f>ROUND(IF(VLOOKUP($A289,EnrollData2324,'2324 Jun 24 Enroll'!D$1,FALSE)='District Calculations'!$B$11,VLOOKUP($A289,EnrollData2324,'2324 Jun 24 Enroll'!D$1,FALSE),'District Calculations'!$B$11)*C289,3)</f>
        <v>0</v>
      </c>
      <c r="E289">
        <f>ROUND(IF(VLOOKUP($A289,EnrollData2324,'2324 Jun 24 Enroll'!E$1,FALSE)='District Calculations'!$B$12,VLOOKUP($A289,EnrollData2324,'2324 Jun 24 Enroll'!E$1,FALSE),'District Calculations'!$B$12)*C289,3)</f>
        <v>59.53</v>
      </c>
      <c r="F289">
        <f>ROUND(IF(VLOOKUP($A289,EnrollData2324,'2324 Jun 24 Enroll'!F$1,FALSE)='District Calculations'!$B$13,VLOOKUP($A289,EnrollData2324,'2324 Jun 24 Enroll'!F$1,FALSE),'District Calculations'!$B$13)*Apport_222A2324,3)</f>
        <v>10.101000000000001</v>
      </c>
      <c r="G289">
        <f>ROUND(IF(VLOOKUP($A289,EnrollData2324,'2324 Jun 24 Enroll'!G$1,FALSE)='District Calculations'!$B$14,VLOOKUP($A289,EnrollData2324,'2324 Jun 24 Enroll'!G$1,FALSE),'District Calculations'!$B$14)*Apport_210A2324,3)</f>
        <v>22.395</v>
      </c>
      <c r="H289">
        <f>ROUND(IF(VLOOKUP($A289,EnrollData2324,'2324 Jun 24 Enroll'!H$1,FALSE)='District Calculations'!$B$15,VLOOKUP($A289,EnrollData2324,'2324 Jun 24 Enroll'!H$1,FALSE),'District Calculations'!$B$15)*Apport_213A2324,3)</f>
        <v>23.091999999999999</v>
      </c>
      <c r="I289">
        <f>ROUND(IF(VLOOKUP($A289,EnrollData2324,'2324 Jun 24 Enroll'!I$1,FALSE)+VLOOKUP($A289,EnrollData2324,'2324 Jun 24 Enroll'!M$1,FALSE)-VLOOKUP($A289,EnrollData2324,'2324 Jun 24 Enroll'!J$1,FALSE)='District Calculations'!$B$16+'District Calculations'!$B$25-'District Calculations'!$B$17,VLOOKUP($A289,EnrollData2324,'2324 Jun 24 Enroll'!I$1,FALSE)+VLOOKUP($A289,EnrollData2324,'2324 Jun 24 Enroll'!M$1,FALSE)-VLOOKUP($A289,EnrollData2324,'2324 Jun 24 Enroll'!J$1,FALSE),'District Calculations'!$B$16+'District Calculations'!$B$25-'District Calculations'!$B$17)*Apport_216A2324,3)</f>
        <v>58.183999999999997</v>
      </c>
      <c r="J289">
        <f>ROUND(SUM(D289:I289)/(IF(VLOOKUP($A289,EnrollData2324,'2324 Jun 24 Enroll'!M$1,FALSE)='District Calculations'!$B$25,VLOOKUP($A289,EnrollData2324,'2324 Jun 24 Enroll'!M$1,FALSE),'District Calculations'!$B$25)+IF(VLOOKUP($A289,EnrollData2324,'2324 Jun 24 Enroll'!D$1,FALSE)='District Calculations'!$B$11,VLOOKUP($A289,EnrollData2324,'2324 Jun 24 Enroll'!D$1,FALSE),'District Calculations'!$B$11)),5)</f>
        <v>5.5530000000000003E-2</v>
      </c>
      <c r="K289" s="11">
        <f t="shared" si="78"/>
        <v>4.365E-3</v>
      </c>
      <c r="L289">
        <f>ROUND(IF(VLOOKUP($A289,EnrollData2324,'2324 Jun 24 Enroll'!D$1,FALSE)='District Calculations'!$B$11,VLOOKUP($A289,EnrollData2324,'2324 Jun 24 Enroll'!D$1,FALSE),'District Calculations'!$B$11)*K289,3)</f>
        <v>0</v>
      </c>
      <c r="M289">
        <f>ROUND(IF(VLOOKUP($A289,EnrollData2324,'2324 Jun 24 Enroll'!E$1,FALSE)='District Calculations'!$B$12,VLOOKUP($A289,EnrollData2324,'2324 Jun 24 Enroll'!E$1,FALSE),'District Calculations'!$B$12)*K289,3)</f>
        <v>3.5379999999999998</v>
      </c>
      <c r="N289">
        <f>ROUND(IF(VLOOKUP($A289,EnrollData2324,'2324 Jun 24 Enroll'!F$1,FALSE)='District Calculations'!$B$13,VLOOKUP($A289,EnrollData2324,'2324 Jun 24 Enroll'!F$1,FALSE),'District Calculations'!$B$13)*Apport_223A2324,3)</f>
        <v>0.84199999999999997</v>
      </c>
      <c r="O289">
        <f>ROUND(IF(VLOOKUP($A289,EnrollData2324,'2324 Jun 24 Enroll'!G$1,FALSE)='District Calculations'!$B$14,VLOOKUP($A289,EnrollData2324,'2324 Jun 24 Enroll'!G$1,FALSE),'District Calculations'!$B$14)*Apport_211A2324,3)</f>
        <v>1.867</v>
      </c>
      <c r="P289">
        <f>ROUND(IF(VLOOKUP($A289,EnrollData2324,'2324 Jun 24 Enroll'!H$1,FALSE)='District Calculations'!$B$14,VLOOKUP($A289,EnrollData2324,'2324 Jun 24 Enroll'!H$1,FALSE),'District Calculations'!$B$14)*Apport_214A2324,3)</f>
        <v>1.8660000000000001</v>
      </c>
      <c r="Q289">
        <f>ROUND(IF(VLOOKUP($A289,EnrollData2324,'2324 Jun 24 Enroll'!I$1,FALSE)+VLOOKUP($A289,EnrollData2324,'2324 Jun 24 Enroll'!M$1,FALSE)-VLOOKUP($A289,EnrollData2324,'2324 Jun 24 Enroll'!J$1,FALSE)='District Calculations'!$B$16+'District Calculations'!$B$25-'District Calculations'!$B$17,VLOOKUP($A289,EnrollData2324,'2324 Jun 24 Enroll'!I$1,FALSE)+VLOOKUP($A289,EnrollData2324,'2324 Jun 24 Enroll'!M$1,FALSE)-VLOOKUP($A289,EnrollData2324,'2324 Jun 24 Enroll'!J$1,FALSE),'District Calculations'!$B$16+'District Calculations'!$B$25-'District Calculations'!$B$17)*Apport_217A2324,3)</f>
        <v>4.6980000000000004</v>
      </c>
      <c r="R289">
        <f>ROUND(SUM(L289:Q289)/IF(VLOOKUP($A289,EnrollData2324,'2324 Jun 24 Enroll'!M$1,FALSE)+VLOOKUP($A289,EnrollData2324,'2324 Jun 24 Enroll'!D$1,FALSE)='District Calculations'!$B$25+'District Calculations'!$B$11,VLOOKUP($A289,EnrollData2324,'2324 Jun 24 Enroll'!M$1,FALSE)+VLOOKUP($A289,EnrollData2324,'2324 Jun 24 Enroll'!D$1,FALSE),'District Calculations'!$B$25+'District Calculations'!$B$11),5)</f>
        <v>4.1000000000000003E-3</v>
      </c>
      <c r="S289" s="11">
        <f t="shared" si="79"/>
        <v>1.8294500000000002E-2</v>
      </c>
      <c r="T289">
        <f>ROUND(IF(VLOOKUP($A289,EnrollData2324,'2324 Jun 24 Enroll'!D$1,FALSE)='District Calculations'!$B$11,VLOOKUP($A289,EnrollData2324,'2324 Jun 24 Enroll'!D$1,FALSE),'District Calculations'!$B$11)*S289,3)</f>
        <v>0</v>
      </c>
      <c r="U289">
        <f>ROUND(IF(VLOOKUP($A289,EnrollData2324,'2324 Jun 24 Enroll'!E$1,FALSE)='District Calculations'!$B$12,VLOOKUP($A289,EnrollData2324,'2324 Jun 24 Enroll'!E$1,FALSE),'District Calculations'!$B$12)*S289,3)</f>
        <v>14.827999999999999</v>
      </c>
      <c r="V289">
        <f>ROUND(IF(VLOOKUP($A289,EnrollData2324,'2324 Jun 24 Enroll'!F$1,FALSE)='District Calculations'!$B$13,VLOOKUP($A289,EnrollData2324,'2324 Jun 24 Enroll'!F$1,FALSE),'District Calculations'!$B$13)*Apport_224A2324,3)</f>
        <v>3.6190000000000002</v>
      </c>
      <c r="W289">
        <f>ROUND(IF(VLOOKUP($A289,EnrollData2324,'2324 Jun 24 Enroll'!G$1,FALSE)='District Calculations'!$B$14,VLOOKUP($A289,EnrollData2324,'2324 Jun 24 Enroll'!G$1,FALSE),'District Calculations'!$B$14)*Apport_212A2324,3)</f>
        <v>8.0239999999999991</v>
      </c>
      <c r="X289">
        <f>ROUND(IF(VLOOKUP($A289,EnrollData2324,'2324 Jun 24 Enroll'!H$1,FALSE)='District Calculations'!$B$14,VLOOKUP($A289,EnrollData2324,'2324 Jun 24 Enroll'!H$1,FALSE),'District Calculations'!$B$14)*Apport_215A2324,3)</f>
        <v>7.9279999999999999</v>
      </c>
      <c r="Y289">
        <f>ROUND(IF(VLOOKUP($A289,EnrollData2324,'2324 Jun 24 Enroll'!I$1,FALSE)+VLOOKUP($A289,EnrollData2324,'2324 Jun 24 Enroll'!M$1,FALSE)-VLOOKUP($A289,EnrollData2324,'2324 Jun 24 Enroll'!J$1,FALSE)='District Calculations'!$B$16+'District Calculations'!$B$25-'District Calculations'!$B$17,VLOOKUP($A289,EnrollData2324,'2324 Jun 24 Enroll'!I$1,FALSE)+VLOOKUP($A289,EnrollData2324,'2324 Jun 24 Enroll'!M$1,FALSE)-VLOOKUP($A289,EnrollData2324,'2324 Jun 24 Enroll'!J$1,FALSE),'District Calculations'!$B$16+'District Calculations'!$B$25-'District Calculations'!$B$17)*Apport_218A2324,3)</f>
        <v>19.917999999999999</v>
      </c>
      <c r="Z289">
        <f>ROUND(SUM(T289:Y289)/IF(VLOOKUP($A289,EnrollData2324,'2324 Jun 24 Enroll'!M$1,FALSE)+VLOOKUP($A289,EnrollData2324,'2324 Jun 24 Enroll'!D$1,FALSE)='District Calculations'!$B$25+'District Calculations'!$B$11,VLOOKUP($A289,EnrollData2324,'2324 Jun 24 Enroll'!M$1,FALSE)+VLOOKUP($A289,EnrollData2324,'2324 Jun 24 Enroll'!D$1,FALSE),'District Calculations'!$B$25+'District Calculations'!$B$11),5)</f>
        <v>1.7399999999999999E-2</v>
      </c>
      <c r="AA289" s="6">
        <f>ROUND($J289*CIS_Base_Salary2324*VLOOKUP($A289,EnrollData2324,'2324 Jun 24 Enroll'!S$1,FALSE),2)</f>
        <v>4523.22</v>
      </c>
      <c r="AB289" s="6">
        <f>ROUND($J289*CIS_Inc_Salary2324*(VLOOKUP($A289,EnrollData2324,'2324 Jun 24 Enroll'!T$1,FALSE)+VLOOKUP($A289,EnrollData2324,'2324 Jun 24 Enroll'!U$1,FALSE)),2)-AA289</f>
        <v>251.11999999999989</v>
      </c>
      <c r="AC289" s="6">
        <f>ROUND($R289*CAS_Base_Salary2324*VLOOKUP($A289,EnrollData2324,'2324 Jun 24 Enroll'!S$1,FALSE),2)</f>
        <v>495.73</v>
      </c>
      <c r="AD289" s="6">
        <f>ROUND($R289*CAS_Inc_Salary2324*VLOOKUP($A289,EnrollData2324,'2324 Jun 24 Enroll'!T$1,FALSE),2)-AC289</f>
        <v>18.340000000000032</v>
      </c>
      <c r="AE289" s="6">
        <f>ROUND($Z289*CLS_Base_Salary2324*VLOOKUP($A289,EnrollData2324,'2324 Jun 24 Enroll'!S$1,FALSE),2)</f>
        <v>1016.75</v>
      </c>
      <c r="AF289" s="6">
        <f>ROUND($Z289*CLS_Inc_Salary2324*VLOOKUP($A289,EnrollData2324,'2324 Jun 24 Enroll'!T$1,FALSE),2)-AE289</f>
        <v>37.6099999999999</v>
      </c>
      <c r="AG289">
        <f t="shared" si="76"/>
        <v>734.16</v>
      </c>
      <c r="AH289" s="69">
        <f t="shared" si="80"/>
        <v>68.700000000000045</v>
      </c>
      <c r="AI289">
        <f t="shared" si="77"/>
        <v>214.23</v>
      </c>
      <c r="AJ289">
        <f t="shared" si="81"/>
        <v>114.21000000000001</v>
      </c>
      <c r="AK289">
        <f t="shared" si="82"/>
        <v>901.91</v>
      </c>
      <c r="AL289">
        <f t="shared" si="83"/>
        <v>46.7</v>
      </c>
      <c r="AM289">
        <f t="shared" si="84"/>
        <v>224.3</v>
      </c>
      <c r="AN289">
        <f t="shared" si="85"/>
        <v>6.98</v>
      </c>
      <c r="AO289">
        <f>ROUND(($J289*CIS_Inc_Salary2324*(VLOOKUP($A289,EnrollData2324,'2324 Jun 24 Enroll'!T$1,FALSE)+VLOOKUP($A289,EnrollData2324,'2324 Jun 24 Enroll'!U$1,FALSE))/Apport_613Xpd)*Apport_614Xpd,2)</f>
        <v>79.569999999999993</v>
      </c>
      <c r="AP289">
        <f t="shared" si="86"/>
        <v>13.79</v>
      </c>
      <c r="AQ289">
        <f t="shared" si="87"/>
        <v>30.93</v>
      </c>
      <c r="AR289" s="6">
        <f>ROUND((VLOOKUP($A289,EnrollData2324,'2324 Jun 24 Enroll'!D$1,FALSE)*Apport_M802324+VLOOKUP($A289,EnrollData2324,'2324 Jun 24 Enroll'!M$1,FALSE)*Apport_M802324+(VLOOKUP($A289,EnrollData2324,'2324 Jun 24 Enroll'!P$1,FALSE)+VLOOKUP($A289,EnrollData2324,'2324 Jun 24 Enroll'!Q$1,FALSE)+VLOOKUP($A289,EnrollData2324,'2324 Jun 24 Enroll'!R$1,FALSE)+VLOOKUP($A289,EnrollData2324,'2324 Jun 24 Enroll'!I$1,FALSE)+VLOOKUP($A289,EnrollData2324,'2324 Jun 24 Enroll'!N$1,FALSE)+VLOOKUP($A289,EnrollData2324,'2324 Jun 24 Enroll'!O$1,FALSE)+VLOOKUP($A289,EnrollData2324,'2324 Jun 24 Enroll'!K$1,FALSE)+VLOOKUP($A289,EnrollData2324,'2324 Jun 24 Enroll'!L$1,FALSE))*Apport_M812324)/(VLOOKUP($A289,EnrollData2324,'2324 Jun 24 Enroll'!M$1,FALSE)+VLOOKUP($A289,EnrollData2324,'2324 Jun 24 Enroll'!D$1,FALSE)),2)</f>
        <v>1547.96</v>
      </c>
      <c r="AS289" s="7">
        <f t="shared" si="75"/>
        <v>10326.209999999999</v>
      </c>
    </row>
    <row r="290" spans="1:45">
      <c r="A290" s="40" t="s">
        <v>566</v>
      </c>
      <c r="B290" s="40" t="s">
        <v>567</v>
      </c>
      <c r="C290" s="11">
        <f>ROUND((IFERROR((1/IF(VLOOKUP($A290,EnrollData2324,28,FALSE)='District Calculations'!$B$10,VLOOKUP($A290,EnrollData2324,28,FALSE),'District Calculations'!$B$10))*(1+Apport_Z315),0))+Apport_201A2324,6)</f>
        <v>7.3449E-2</v>
      </c>
      <c r="D290">
        <f>ROUND(IF(VLOOKUP($A290,EnrollData2324,'2324 Jun 24 Enroll'!D$1,FALSE)='District Calculations'!$B$11,VLOOKUP($A290,EnrollData2324,'2324 Jun 24 Enroll'!D$1,FALSE),'District Calculations'!$B$11)*C290,3)</f>
        <v>0</v>
      </c>
      <c r="E290">
        <f>ROUND(IF(VLOOKUP($A290,EnrollData2324,'2324 Jun 24 Enroll'!E$1,FALSE)='District Calculations'!$B$12,VLOOKUP($A290,EnrollData2324,'2324 Jun 24 Enroll'!E$1,FALSE),'District Calculations'!$B$12)*C290,3)</f>
        <v>59.53</v>
      </c>
      <c r="F290">
        <f>ROUND(IF(VLOOKUP($A290,EnrollData2324,'2324 Jun 24 Enroll'!F$1,FALSE)='District Calculations'!$B$13,VLOOKUP($A290,EnrollData2324,'2324 Jun 24 Enroll'!F$1,FALSE),'District Calculations'!$B$13)*Apport_222A2324,3)</f>
        <v>10.101000000000001</v>
      </c>
      <c r="G290">
        <f>ROUND(IF(VLOOKUP($A290,EnrollData2324,'2324 Jun 24 Enroll'!G$1,FALSE)='District Calculations'!$B$14,VLOOKUP($A290,EnrollData2324,'2324 Jun 24 Enroll'!G$1,FALSE),'District Calculations'!$B$14)*Apport_210A2324,3)</f>
        <v>22.395</v>
      </c>
      <c r="H290">
        <f>ROUND(IF(VLOOKUP($A290,EnrollData2324,'2324 Jun 24 Enroll'!H$1,FALSE)='District Calculations'!$B$15,VLOOKUP($A290,EnrollData2324,'2324 Jun 24 Enroll'!H$1,FALSE),'District Calculations'!$B$15)*Apport_213A2324,3)</f>
        <v>23.091999999999999</v>
      </c>
      <c r="I290">
        <f>ROUND(IF(VLOOKUP($A290,EnrollData2324,'2324 Jun 24 Enroll'!I$1,FALSE)+VLOOKUP($A290,EnrollData2324,'2324 Jun 24 Enroll'!M$1,FALSE)-VLOOKUP($A290,EnrollData2324,'2324 Jun 24 Enroll'!J$1,FALSE)='District Calculations'!$B$16+'District Calculations'!$B$25-'District Calculations'!$B$17,VLOOKUP($A290,EnrollData2324,'2324 Jun 24 Enroll'!I$1,FALSE)+VLOOKUP($A290,EnrollData2324,'2324 Jun 24 Enroll'!M$1,FALSE)-VLOOKUP($A290,EnrollData2324,'2324 Jun 24 Enroll'!J$1,FALSE),'District Calculations'!$B$16+'District Calculations'!$B$25-'District Calculations'!$B$17)*Apport_216A2324,3)</f>
        <v>58.183999999999997</v>
      </c>
      <c r="J290">
        <f>ROUND(SUM(D290:I290)/(IF(VLOOKUP($A290,EnrollData2324,'2324 Jun 24 Enroll'!M$1,FALSE)='District Calculations'!$B$25,VLOOKUP($A290,EnrollData2324,'2324 Jun 24 Enroll'!M$1,FALSE),'District Calculations'!$B$25)+IF(VLOOKUP($A290,EnrollData2324,'2324 Jun 24 Enroll'!D$1,FALSE)='District Calculations'!$B$11,VLOOKUP($A290,EnrollData2324,'2324 Jun 24 Enroll'!D$1,FALSE),'District Calculations'!$B$11)),5)</f>
        <v>5.5530000000000003E-2</v>
      </c>
      <c r="K290" s="11">
        <f t="shared" si="78"/>
        <v>4.365E-3</v>
      </c>
      <c r="L290">
        <f>ROUND(IF(VLOOKUP($A290,EnrollData2324,'2324 Jun 24 Enroll'!D$1,FALSE)='District Calculations'!$B$11,VLOOKUP($A290,EnrollData2324,'2324 Jun 24 Enroll'!D$1,FALSE),'District Calculations'!$B$11)*K290,3)</f>
        <v>0</v>
      </c>
      <c r="M290">
        <f>ROUND(IF(VLOOKUP($A290,EnrollData2324,'2324 Jun 24 Enroll'!E$1,FALSE)='District Calculations'!$B$12,VLOOKUP($A290,EnrollData2324,'2324 Jun 24 Enroll'!E$1,FALSE),'District Calculations'!$B$12)*K290,3)</f>
        <v>3.5379999999999998</v>
      </c>
      <c r="N290">
        <f>ROUND(IF(VLOOKUP($A290,EnrollData2324,'2324 Jun 24 Enroll'!F$1,FALSE)='District Calculations'!$B$13,VLOOKUP($A290,EnrollData2324,'2324 Jun 24 Enroll'!F$1,FALSE),'District Calculations'!$B$13)*Apport_223A2324,3)</f>
        <v>0.84199999999999997</v>
      </c>
      <c r="O290">
        <f>ROUND(IF(VLOOKUP($A290,EnrollData2324,'2324 Jun 24 Enroll'!G$1,FALSE)='District Calculations'!$B$14,VLOOKUP($A290,EnrollData2324,'2324 Jun 24 Enroll'!G$1,FALSE),'District Calculations'!$B$14)*Apport_211A2324,3)</f>
        <v>1.867</v>
      </c>
      <c r="P290">
        <f>ROUND(IF(VLOOKUP($A290,EnrollData2324,'2324 Jun 24 Enroll'!H$1,FALSE)='District Calculations'!$B$14,VLOOKUP($A290,EnrollData2324,'2324 Jun 24 Enroll'!H$1,FALSE),'District Calculations'!$B$14)*Apport_214A2324,3)</f>
        <v>1.8660000000000001</v>
      </c>
      <c r="Q290">
        <f>ROUND(IF(VLOOKUP($A290,EnrollData2324,'2324 Jun 24 Enroll'!I$1,FALSE)+VLOOKUP($A290,EnrollData2324,'2324 Jun 24 Enroll'!M$1,FALSE)-VLOOKUP($A290,EnrollData2324,'2324 Jun 24 Enroll'!J$1,FALSE)='District Calculations'!$B$16+'District Calculations'!$B$25-'District Calculations'!$B$17,VLOOKUP($A290,EnrollData2324,'2324 Jun 24 Enroll'!I$1,FALSE)+VLOOKUP($A290,EnrollData2324,'2324 Jun 24 Enroll'!M$1,FALSE)-VLOOKUP($A290,EnrollData2324,'2324 Jun 24 Enroll'!J$1,FALSE),'District Calculations'!$B$16+'District Calculations'!$B$25-'District Calculations'!$B$17)*Apport_217A2324,3)</f>
        <v>4.6980000000000004</v>
      </c>
      <c r="R290">
        <f>ROUND(SUM(L290:Q290)/IF(VLOOKUP($A290,EnrollData2324,'2324 Jun 24 Enroll'!M$1,FALSE)+VLOOKUP($A290,EnrollData2324,'2324 Jun 24 Enroll'!D$1,FALSE)='District Calculations'!$B$25+'District Calculations'!$B$11,VLOOKUP($A290,EnrollData2324,'2324 Jun 24 Enroll'!M$1,FALSE)+VLOOKUP($A290,EnrollData2324,'2324 Jun 24 Enroll'!D$1,FALSE),'District Calculations'!$B$25+'District Calculations'!$B$11),5)</f>
        <v>4.1000000000000003E-3</v>
      </c>
      <c r="S290" s="11">
        <f t="shared" si="79"/>
        <v>1.8294500000000002E-2</v>
      </c>
      <c r="T290">
        <f>ROUND(IF(VLOOKUP($A290,EnrollData2324,'2324 Jun 24 Enroll'!D$1,FALSE)='District Calculations'!$B$11,VLOOKUP($A290,EnrollData2324,'2324 Jun 24 Enroll'!D$1,FALSE),'District Calculations'!$B$11)*S290,3)</f>
        <v>0</v>
      </c>
      <c r="U290">
        <f>ROUND(IF(VLOOKUP($A290,EnrollData2324,'2324 Jun 24 Enroll'!E$1,FALSE)='District Calculations'!$B$12,VLOOKUP($A290,EnrollData2324,'2324 Jun 24 Enroll'!E$1,FALSE),'District Calculations'!$B$12)*S290,3)</f>
        <v>14.827999999999999</v>
      </c>
      <c r="V290">
        <f>ROUND(IF(VLOOKUP($A290,EnrollData2324,'2324 Jun 24 Enroll'!F$1,FALSE)='District Calculations'!$B$13,VLOOKUP($A290,EnrollData2324,'2324 Jun 24 Enroll'!F$1,FALSE),'District Calculations'!$B$13)*Apport_224A2324,3)</f>
        <v>3.6190000000000002</v>
      </c>
      <c r="W290">
        <f>ROUND(IF(VLOOKUP($A290,EnrollData2324,'2324 Jun 24 Enroll'!G$1,FALSE)='District Calculations'!$B$14,VLOOKUP($A290,EnrollData2324,'2324 Jun 24 Enroll'!G$1,FALSE),'District Calculations'!$B$14)*Apport_212A2324,3)</f>
        <v>8.0239999999999991</v>
      </c>
      <c r="X290">
        <f>ROUND(IF(VLOOKUP($A290,EnrollData2324,'2324 Jun 24 Enroll'!H$1,FALSE)='District Calculations'!$B$14,VLOOKUP($A290,EnrollData2324,'2324 Jun 24 Enroll'!H$1,FALSE),'District Calculations'!$B$14)*Apport_215A2324,3)</f>
        <v>7.9279999999999999</v>
      </c>
      <c r="Y290">
        <f>ROUND(IF(VLOOKUP($A290,EnrollData2324,'2324 Jun 24 Enroll'!I$1,FALSE)+VLOOKUP($A290,EnrollData2324,'2324 Jun 24 Enroll'!M$1,FALSE)-VLOOKUP($A290,EnrollData2324,'2324 Jun 24 Enroll'!J$1,FALSE)='District Calculations'!$B$16+'District Calculations'!$B$25-'District Calculations'!$B$17,VLOOKUP($A290,EnrollData2324,'2324 Jun 24 Enroll'!I$1,FALSE)+VLOOKUP($A290,EnrollData2324,'2324 Jun 24 Enroll'!M$1,FALSE)-VLOOKUP($A290,EnrollData2324,'2324 Jun 24 Enroll'!J$1,FALSE),'District Calculations'!$B$16+'District Calculations'!$B$25-'District Calculations'!$B$17)*Apport_218A2324,3)</f>
        <v>19.917999999999999</v>
      </c>
      <c r="Z290">
        <f>ROUND(SUM(T290:Y290)/IF(VLOOKUP($A290,EnrollData2324,'2324 Jun 24 Enroll'!M$1,FALSE)+VLOOKUP($A290,EnrollData2324,'2324 Jun 24 Enroll'!D$1,FALSE)='District Calculations'!$B$25+'District Calculations'!$B$11,VLOOKUP($A290,EnrollData2324,'2324 Jun 24 Enroll'!M$1,FALSE)+VLOOKUP($A290,EnrollData2324,'2324 Jun 24 Enroll'!D$1,FALSE),'District Calculations'!$B$25+'District Calculations'!$B$11),5)</f>
        <v>1.7399999999999999E-2</v>
      </c>
      <c r="AA290" s="6">
        <f>ROUND($J290*CIS_Base_Salary2324*VLOOKUP($A290,EnrollData2324,'2324 Jun 24 Enroll'!S$1,FALSE),2)</f>
        <v>4523.22</v>
      </c>
      <c r="AB290" s="6">
        <f>ROUND($J290*CIS_Inc_Salary2324*(VLOOKUP($A290,EnrollData2324,'2324 Jun 24 Enroll'!T$1,FALSE)+VLOOKUP($A290,EnrollData2324,'2324 Jun 24 Enroll'!U$1,FALSE)),2)-AA290</f>
        <v>167.35999999999967</v>
      </c>
      <c r="AC290" s="6">
        <f>ROUND($R290*CAS_Base_Salary2324*VLOOKUP($A290,EnrollData2324,'2324 Jun 24 Enroll'!S$1,FALSE),2)</f>
        <v>495.73</v>
      </c>
      <c r="AD290" s="6">
        <f>ROUND($R290*CAS_Inc_Salary2324*VLOOKUP($A290,EnrollData2324,'2324 Jun 24 Enroll'!T$1,FALSE),2)-AC290</f>
        <v>18.340000000000032</v>
      </c>
      <c r="AE290" s="6">
        <f>ROUND($Z290*CLS_Base_Salary2324*VLOOKUP($A290,EnrollData2324,'2324 Jun 24 Enroll'!S$1,FALSE),2)</f>
        <v>1016.75</v>
      </c>
      <c r="AF290" s="6">
        <f>ROUND($Z290*CLS_Inc_Salary2324*VLOOKUP($A290,EnrollData2324,'2324 Jun 24 Enroll'!T$1,FALSE),2)-AE290</f>
        <v>37.6099999999999</v>
      </c>
      <c r="AG290">
        <f t="shared" si="76"/>
        <v>734.16</v>
      </c>
      <c r="AH290" s="69">
        <f t="shared" si="80"/>
        <v>68.700000000000045</v>
      </c>
      <c r="AI290">
        <f t="shared" si="77"/>
        <v>214.23</v>
      </c>
      <c r="AJ290">
        <f t="shared" si="81"/>
        <v>114.21000000000001</v>
      </c>
      <c r="AK290">
        <f t="shared" si="82"/>
        <v>901.91</v>
      </c>
      <c r="AL290">
        <f t="shared" si="83"/>
        <v>32.18</v>
      </c>
      <c r="AM290">
        <f t="shared" si="84"/>
        <v>224.3</v>
      </c>
      <c r="AN290">
        <f t="shared" si="85"/>
        <v>6.98</v>
      </c>
      <c r="AO290">
        <f>ROUND(($J290*CIS_Inc_Salary2324*(VLOOKUP($A290,EnrollData2324,'2324 Jun 24 Enroll'!T$1,FALSE)+VLOOKUP($A290,EnrollData2324,'2324 Jun 24 Enroll'!U$1,FALSE))/Apport_613Xpd)*Apport_614Xpd,2)</f>
        <v>78.180000000000007</v>
      </c>
      <c r="AP290">
        <f t="shared" si="86"/>
        <v>13.55</v>
      </c>
      <c r="AQ290">
        <f t="shared" si="87"/>
        <v>30.93</v>
      </c>
      <c r="AR290" s="6">
        <f>ROUND((VLOOKUP($A290,EnrollData2324,'2324 Jun 24 Enroll'!D$1,FALSE)*Apport_M802324+VLOOKUP($A290,EnrollData2324,'2324 Jun 24 Enroll'!M$1,FALSE)*Apport_M802324+(VLOOKUP($A290,EnrollData2324,'2324 Jun 24 Enroll'!P$1,FALSE)+VLOOKUP($A290,EnrollData2324,'2324 Jun 24 Enroll'!Q$1,FALSE)+VLOOKUP($A290,EnrollData2324,'2324 Jun 24 Enroll'!R$1,FALSE)+VLOOKUP($A290,EnrollData2324,'2324 Jun 24 Enroll'!I$1,FALSE)+VLOOKUP($A290,EnrollData2324,'2324 Jun 24 Enroll'!N$1,FALSE)+VLOOKUP($A290,EnrollData2324,'2324 Jun 24 Enroll'!O$1,FALSE)+VLOOKUP($A290,EnrollData2324,'2324 Jun 24 Enroll'!K$1,FALSE)+VLOOKUP($A290,EnrollData2324,'2324 Jun 24 Enroll'!L$1,FALSE))*Apport_M812324)/(VLOOKUP($A290,EnrollData2324,'2324 Jun 24 Enroll'!M$1,FALSE)+VLOOKUP($A290,EnrollData2324,'2324 Jun 24 Enroll'!D$1,FALSE)),2)</f>
        <v>1561.32</v>
      </c>
      <c r="AS290" s="7">
        <f t="shared" si="75"/>
        <v>10239.659999999998</v>
      </c>
    </row>
    <row r="291" spans="1:45">
      <c r="A291" s="40" t="s">
        <v>588</v>
      </c>
      <c r="B291" s="40" t="s">
        <v>589</v>
      </c>
      <c r="C291" s="11">
        <f>ROUND((IFERROR((1/IF(VLOOKUP($A291,EnrollData2324,28,FALSE)='District Calculations'!$B$10,VLOOKUP($A291,EnrollData2324,28,FALSE),'District Calculations'!$B$10))*(1+Apport_Z315),0))+Apport_201A2324,6)</f>
        <v>7.3449E-2</v>
      </c>
      <c r="D291">
        <f>ROUND(IF(VLOOKUP($A291,EnrollData2324,'2324 Jun 24 Enroll'!D$1,FALSE)='District Calculations'!$B$11,VLOOKUP($A291,EnrollData2324,'2324 Jun 24 Enroll'!D$1,FALSE),'District Calculations'!$B$11)*C291,3)</f>
        <v>0</v>
      </c>
      <c r="E291">
        <f>ROUND(IF(VLOOKUP($A291,EnrollData2324,'2324 Jun 24 Enroll'!E$1,FALSE)='District Calculations'!$B$12,VLOOKUP($A291,EnrollData2324,'2324 Jun 24 Enroll'!E$1,FALSE),'District Calculations'!$B$12)*C291,3)</f>
        <v>59.53</v>
      </c>
      <c r="F291">
        <f>ROUND(IF(VLOOKUP($A291,EnrollData2324,'2324 Jun 24 Enroll'!F$1,FALSE)='District Calculations'!$B$13,VLOOKUP($A291,EnrollData2324,'2324 Jun 24 Enroll'!F$1,FALSE),'District Calculations'!$B$13)*Apport_222A2324,3)</f>
        <v>10.101000000000001</v>
      </c>
      <c r="G291">
        <f>ROUND(IF(VLOOKUP($A291,EnrollData2324,'2324 Jun 24 Enroll'!G$1,FALSE)='District Calculations'!$B$14,VLOOKUP($A291,EnrollData2324,'2324 Jun 24 Enroll'!G$1,FALSE),'District Calculations'!$B$14)*Apport_210A2324,3)</f>
        <v>22.395</v>
      </c>
      <c r="H291">
        <f>ROUND(IF(VLOOKUP($A291,EnrollData2324,'2324 Jun 24 Enroll'!H$1,FALSE)='District Calculations'!$B$15,VLOOKUP($A291,EnrollData2324,'2324 Jun 24 Enroll'!H$1,FALSE),'District Calculations'!$B$15)*Apport_213A2324,3)</f>
        <v>23.091999999999999</v>
      </c>
      <c r="I291">
        <f>ROUND(IF(VLOOKUP($A291,EnrollData2324,'2324 Jun 24 Enroll'!I$1,FALSE)+VLOOKUP($A291,EnrollData2324,'2324 Jun 24 Enroll'!M$1,FALSE)-VLOOKUP($A291,EnrollData2324,'2324 Jun 24 Enroll'!J$1,FALSE)='District Calculations'!$B$16+'District Calculations'!$B$25-'District Calculations'!$B$17,VLOOKUP($A291,EnrollData2324,'2324 Jun 24 Enroll'!I$1,FALSE)+VLOOKUP($A291,EnrollData2324,'2324 Jun 24 Enroll'!M$1,FALSE)-VLOOKUP($A291,EnrollData2324,'2324 Jun 24 Enroll'!J$1,FALSE),'District Calculations'!$B$16+'District Calculations'!$B$25-'District Calculations'!$B$17)*Apport_216A2324,3)</f>
        <v>58.183999999999997</v>
      </c>
      <c r="J291">
        <f>ROUND(SUM(D291:I291)/(IF(VLOOKUP($A291,EnrollData2324,'2324 Jun 24 Enroll'!M$1,FALSE)='District Calculations'!$B$25,VLOOKUP($A291,EnrollData2324,'2324 Jun 24 Enroll'!M$1,FALSE),'District Calculations'!$B$25)+IF(VLOOKUP($A291,EnrollData2324,'2324 Jun 24 Enroll'!D$1,FALSE)='District Calculations'!$B$11,VLOOKUP($A291,EnrollData2324,'2324 Jun 24 Enroll'!D$1,FALSE),'District Calculations'!$B$11)),5)</f>
        <v>5.5530000000000003E-2</v>
      </c>
      <c r="K291" s="11">
        <f t="shared" si="78"/>
        <v>4.365E-3</v>
      </c>
      <c r="L291">
        <f>ROUND(IF(VLOOKUP($A291,EnrollData2324,'2324 Jun 24 Enroll'!D$1,FALSE)='District Calculations'!$B$11,VLOOKUP($A291,EnrollData2324,'2324 Jun 24 Enroll'!D$1,FALSE),'District Calculations'!$B$11)*K291,3)</f>
        <v>0</v>
      </c>
      <c r="M291">
        <f>ROUND(IF(VLOOKUP($A291,EnrollData2324,'2324 Jun 24 Enroll'!E$1,FALSE)='District Calculations'!$B$12,VLOOKUP($A291,EnrollData2324,'2324 Jun 24 Enroll'!E$1,FALSE),'District Calculations'!$B$12)*K291,3)</f>
        <v>3.5379999999999998</v>
      </c>
      <c r="N291">
        <f>ROUND(IF(VLOOKUP($A291,EnrollData2324,'2324 Jun 24 Enroll'!F$1,FALSE)='District Calculations'!$B$13,VLOOKUP($A291,EnrollData2324,'2324 Jun 24 Enroll'!F$1,FALSE),'District Calculations'!$B$13)*Apport_223A2324,3)</f>
        <v>0.84199999999999997</v>
      </c>
      <c r="O291">
        <f>ROUND(IF(VLOOKUP($A291,EnrollData2324,'2324 Jun 24 Enroll'!G$1,FALSE)='District Calculations'!$B$14,VLOOKUP($A291,EnrollData2324,'2324 Jun 24 Enroll'!G$1,FALSE),'District Calculations'!$B$14)*Apport_211A2324,3)</f>
        <v>1.867</v>
      </c>
      <c r="P291">
        <f>ROUND(IF(VLOOKUP($A291,EnrollData2324,'2324 Jun 24 Enroll'!H$1,FALSE)='District Calculations'!$B$14,VLOOKUP($A291,EnrollData2324,'2324 Jun 24 Enroll'!H$1,FALSE),'District Calculations'!$B$14)*Apport_214A2324,3)</f>
        <v>1.8660000000000001</v>
      </c>
      <c r="Q291">
        <f>ROUND(IF(VLOOKUP($A291,EnrollData2324,'2324 Jun 24 Enroll'!I$1,FALSE)+VLOOKUP($A291,EnrollData2324,'2324 Jun 24 Enroll'!M$1,FALSE)-VLOOKUP($A291,EnrollData2324,'2324 Jun 24 Enroll'!J$1,FALSE)='District Calculations'!$B$16+'District Calculations'!$B$25-'District Calculations'!$B$17,VLOOKUP($A291,EnrollData2324,'2324 Jun 24 Enroll'!I$1,FALSE)+VLOOKUP($A291,EnrollData2324,'2324 Jun 24 Enroll'!M$1,FALSE)-VLOOKUP($A291,EnrollData2324,'2324 Jun 24 Enroll'!J$1,FALSE),'District Calculations'!$B$16+'District Calculations'!$B$25-'District Calculations'!$B$17)*Apport_217A2324,3)</f>
        <v>4.6980000000000004</v>
      </c>
      <c r="R291">
        <f>ROUND(SUM(L291:Q291)/IF(VLOOKUP($A291,EnrollData2324,'2324 Jun 24 Enroll'!M$1,FALSE)+VLOOKUP($A291,EnrollData2324,'2324 Jun 24 Enroll'!D$1,FALSE)='District Calculations'!$B$25+'District Calculations'!$B$11,VLOOKUP($A291,EnrollData2324,'2324 Jun 24 Enroll'!M$1,FALSE)+VLOOKUP($A291,EnrollData2324,'2324 Jun 24 Enroll'!D$1,FALSE),'District Calculations'!$B$25+'District Calculations'!$B$11),5)</f>
        <v>4.1000000000000003E-3</v>
      </c>
      <c r="S291" s="11">
        <f t="shared" si="79"/>
        <v>1.8294500000000002E-2</v>
      </c>
      <c r="T291">
        <f>ROUND(IF(VLOOKUP($A291,EnrollData2324,'2324 Jun 24 Enroll'!D$1,FALSE)='District Calculations'!$B$11,VLOOKUP($A291,EnrollData2324,'2324 Jun 24 Enroll'!D$1,FALSE),'District Calculations'!$B$11)*S291,3)</f>
        <v>0</v>
      </c>
      <c r="U291">
        <f>ROUND(IF(VLOOKUP($A291,EnrollData2324,'2324 Jun 24 Enroll'!E$1,FALSE)='District Calculations'!$B$12,VLOOKUP($A291,EnrollData2324,'2324 Jun 24 Enroll'!E$1,FALSE),'District Calculations'!$B$12)*S291,3)</f>
        <v>14.827999999999999</v>
      </c>
      <c r="V291">
        <f>ROUND(IF(VLOOKUP($A291,EnrollData2324,'2324 Jun 24 Enroll'!F$1,FALSE)='District Calculations'!$B$13,VLOOKUP($A291,EnrollData2324,'2324 Jun 24 Enroll'!F$1,FALSE),'District Calculations'!$B$13)*Apport_224A2324,3)</f>
        <v>3.6190000000000002</v>
      </c>
      <c r="W291">
        <f>ROUND(IF(VLOOKUP($A291,EnrollData2324,'2324 Jun 24 Enroll'!G$1,FALSE)='District Calculations'!$B$14,VLOOKUP($A291,EnrollData2324,'2324 Jun 24 Enroll'!G$1,FALSE),'District Calculations'!$B$14)*Apport_212A2324,3)</f>
        <v>8.0239999999999991</v>
      </c>
      <c r="X291">
        <f>ROUND(IF(VLOOKUP($A291,EnrollData2324,'2324 Jun 24 Enroll'!H$1,FALSE)='District Calculations'!$B$14,VLOOKUP($A291,EnrollData2324,'2324 Jun 24 Enroll'!H$1,FALSE),'District Calculations'!$B$14)*Apport_215A2324,3)</f>
        <v>7.9279999999999999</v>
      </c>
      <c r="Y291">
        <f>ROUND(IF(VLOOKUP($A291,EnrollData2324,'2324 Jun 24 Enroll'!I$1,FALSE)+VLOOKUP($A291,EnrollData2324,'2324 Jun 24 Enroll'!M$1,FALSE)-VLOOKUP($A291,EnrollData2324,'2324 Jun 24 Enroll'!J$1,FALSE)='District Calculations'!$B$16+'District Calculations'!$B$25-'District Calculations'!$B$17,VLOOKUP($A291,EnrollData2324,'2324 Jun 24 Enroll'!I$1,FALSE)+VLOOKUP($A291,EnrollData2324,'2324 Jun 24 Enroll'!M$1,FALSE)-VLOOKUP($A291,EnrollData2324,'2324 Jun 24 Enroll'!J$1,FALSE),'District Calculations'!$B$16+'District Calculations'!$B$25-'District Calculations'!$B$17)*Apport_218A2324,3)</f>
        <v>19.917999999999999</v>
      </c>
      <c r="Z291">
        <f>ROUND(SUM(T291:Y291)/IF(VLOOKUP($A291,EnrollData2324,'2324 Jun 24 Enroll'!M$1,FALSE)+VLOOKUP($A291,EnrollData2324,'2324 Jun 24 Enroll'!D$1,FALSE)='District Calculations'!$B$25+'District Calculations'!$B$11,VLOOKUP($A291,EnrollData2324,'2324 Jun 24 Enroll'!M$1,FALSE)+VLOOKUP($A291,EnrollData2324,'2324 Jun 24 Enroll'!D$1,FALSE),'District Calculations'!$B$25+'District Calculations'!$B$11),5)</f>
        <v>1.7399999999999999E-2</v>
      </c>
      <c r="AA291" s="6">
        <f>ROUND($J291*CIS_Base_Salary2324*VLOOKUP($A291,EnrollData2324,'2324 Jun 24 Enroll'!S$1,FALSE),2)</f>
        <v>4523.22</v>
      </c>
      <c r="AB291" s="6">
        <f>ROUND($J291*CIS_Inc_Salary2324*(VLOOKUP($A291,EnrollData2324,'2324 Jun 24 Enroll'!T$1,FALSE)+VLOOKUP($A291,EnrollData2324,'2324 Jun 24 Enroll'!U$1,FALSE)),2)-AA291</f>
        <v>167.35999999999967</v>
      </c>
      <c r="AC291" s="6">
        <f>ROUND($R291*CAS_Base_Salary2324*VLOOKUP($A291,EnrollData2324,'2324 Jun 24 Enroll'!S$1,FALSE),2)</f>
        <v>495.73</v>
      </c>
      <c r="AD291" s="6">
        <f>ROUND($R291*CAS_Inc_Salary2324*VLOOKUP($A291,EnrollData2324,'2324 Jun 24 Enroll'!T$1,FALSE),2)-AC291</f>
        <v>18.340000000000032</v>
      </c>
      <c r="AE291" s="6">
        <f>ROUND($Z291*CLS_Base_Salary2324*VLOOKUP($A291,EnrollData2324,'2324 Jun 24 Enroll'!S$1,FALSE),2)</f>
        <v>1016.75</v>
      </c>
      <c r="AF291" s="6">
        <f>ROUND($Z291*CLS_Inc_Salary2324*VLOOKUP($A291,EnrollData2324,'2324 Jun 24 Enroll'!T$1,FALSE),2)-AE291</f>
        <v>37.6099999999999</v>
      </c>
      <c r="AG291">
        <f t="shared" si="76"/>
        <v>734.16</v>
      </c>
      <c r="AH291" s="69">
        <f t="shared" si="80"/>
        <v>68.700000000000045</v>
      </c>
      <c r="AI291">
        <f t="shared" si="77"/>
        <v>214.23</v>
      </c>
      <c r="AJ291">
        <f t="shared" si="81"/>
        <v>114.21000000000001</v>
      </c>
      <c r="AK291">
        <f t="shared" si="82"/>
        <v>901.91</v>
      </c>
      <c r="AL291">
        <f t="shared" si="83"/>
        <v>32.18</v>
      </c>
      <c r="AM291">
        <f t="shared" si="84"/>
        <v>224.3</v>
      </c>
      <c r="AN291">
        <f t="shared" si="85"/>
        <v>6.98</v>
      </c>
      <c r="AO291">
        <f>ROUND(($J291*CIS_Inc_Salary2324*(VLOOKUP($A291,EnrollData2324,'2324 Jun 24 Enroll'!T$1,FALSE)+VLOOKUP($A291,EnrollData2324,'2324 Jun 24 Enroll'!U$1,FALSE))/Apport_613Xpd)*Apport_614Xpd,2)</f>
        <v>78.180000000000007</v>
      </c>
      <c r="AP291">
        <f t="shared" si="86"/>
        <v>13.55</v>
      </c>
      <c r="AQ291">
        <f t="shared" si="87"/>
        <v>30.93</v>
      </c>
      <c r="AR291" s="6">
        <f>ROUND((VLOOKUP($A291,EnrollData2324,'2324 Jun 24 Enroll'!D$1,FALSE)*Apport_M802324+VLOOKUP($A291,EnrollData2324,'2324 Jun 24 Enroll'!M$1,FALSE)*Apport_M802324+(VLOOKUP($A291,EnrollData2324,'2324 Jun 24 Enroll'!P$1,FALSE)+VLOOKUP($A291,EnrollData2324,'2324 Jun 24 Enroll'!Q$1,FALSE)+VLOOKUP($A291,EnrollData2324,'2324 Jun 24 Enroll'!R$1,FALSE)+VLOOKUP($A291,EnrollData2324,'2324 Jun 24 Enroll'!I$1,FALSE)+VLOOKUP($A291,EnrollData2324,'2324 Jun 24 Enroll'!N$1,FALSE)+VLOOKUP($A291,EnrollData2324,'2324 Jun 24 Enroll'!O$1,FALSE)+VLOOKUP($A291,EnrollData2324,'2324 Jun 24 Enroll'!K$1,FALSE)+VLOOKUP($A291,EnrollData2324,'2324 Jun 24 Enroll'!L$1,FALSE))*Apport_M812324)/(VLOOKUP($A291,EnrollData2324,'2324 Jun 24 Enroll'!M$1,FALSE)+VLOOKUP($A291,EnrollData2324,'2324 Jun 24 Enroll'!D$1,FALSE)),2)</f>
        <v>1562.63</v>
      </c>
      <c r="AS291" s="7">
        <f t="shared" ref="AS291:AS325" si="88">SUM(AA291:AR291)</f>
        <v>10240.969999999998</v>
      </c>
    </row>
    <row r="292" spans="1:45">
      <c r="A292" s="40" t="s">
        <v>625</v>
      </c>
      <c r="B292" s="40" t="s">
        <v>626</v>
      </c>
      <c r="C292" s="11">
        <f>ROUND((IFERROR((1/IF(VLOOKUP($A292,EnrollData2324,28,FALSE)='District Calculations'!$B$10,VLOOKUP($A292,EnrollData2324,28,FALSE),'District Calculations'!$B$10))*(1+Apport_Z315),0))+Apport_201A2324,6)</f>
        <v>7.3449E-2</v>
      </c>
      <c r="D292">
        <f>ROUND(IF(VLOOKUP($A292,EnrollData2324,'2324 Jun 24 Enroll'!D$1,FALSE)='District Calculations'!$B$11,VLOOKUP($A292,EnrollData2324,'2324 Jun 24 Enroll'!D$1,FALSE),'District Calculations'!$B$11)*C292,3)</f>
        <v>0</v>
      </c>
      <c r="E292">
        <f>ROUND(IF(VLOOKUP($A292,EnrollData2324,'2324 Jun 24 Enroll'!E$1,FALSE)='District Calculations'!$B$12,VLOOKUP($A292,EnrollData2324,'2324 Jun 24 Enroll'!E$1,FALSE),'District Calculations'!$B$12)*C292,3)</f>
        <v>59.53</v>
      </c>
      <c r="F292">
        <f>ROUND(IF(VLOOKUP($A292,EnrollData2324,'2324 Jun 24 Enroll'!F$1,FALSE)='District Calculations'!$B$13,VLOOKUP($A292,EnrollData2324,'2324 Jun 24 Enroll'!F$1,FALSE),'District Calculations'!$B$13)*Apport_222A2324,3)</f>
        <v>10.101000000000001</v>
      </c>
      <c r="G292">
        <f>ROUND(IF(VLOOKUP($A292,EnrollData2324,'2324 Jun 24 Enroll'!G$1,FALSE)='District Calculations'!$B$14,VLOOKUP($A292,EnrollData2324,'2324 Jun 24 Enroll'!G$1,FALSE),'District Calculations'!$B$14)*Apport_210A2324,3)</f>
        <v>22.395</v>
      </c>
      <c r="H292">
        <f>ROUND(IF(VLOOKUP($A292,EnrollData2324,'2324 Jun 24 Enroll'!H$1,FALSE)='District Calculations'!$B$15,VLOOKUP($A292,EnrollData2324,'2324 Jun 24 Enroll'!H$1,FALSE),'District Calculations'!$B$15)*Apport_213A2324,3)</f>
        <v>23.091999999999999</v>
      </c>
      <c r="I292">
        <f>ROUND(IF(VLOOKUP($A292,EnrollData2324,'2324 Jun 24 Enroll'!I$1,FALSE)+VLOOKUP($A292,EnrollData2324,'2324 Jun 24 Enroll'!M$1,FALSE)-VLOOKUP($A292,EnrollData2324,'2324 Jun 24 Enroll'!J$1,FALSE)='District Calculations'!$B$16+'District Calculations'!$B$25-'District Calculations'!$B$17,VLOOKUP($A292,EnrollData2324,'2324 Jun 24 Enroll'!I$1,FALSE)+VLOOKUP($A292,EnrollData2324,'2324 Jun 24 Enroll'!M$1,FALSE)-VLOOKUP($A292,EnrollData2324,'2324 Jun 24 Enroll'!J$1,FALSE),'District Calculations'!$B$16+'District Calculations'!$B$25-'District Calculations'!$B$17)*Apport_216A2324,3)</f>
        <v>58.183999999999997</v>
      </c>
      <c r="J292">
        <f>ROUND(SUM(D292:I292)/(IF(VLOOKUP($A292,EnrollData2324,'2324 Jun 24 Enroll'!M$1,FALSE)='District Calculations'!$B$25,VLOOKUP($A292,EnrollData2324,'2324 Jun 24 Enroll'!M$1,FALSE),'District Calculations'!$B$25)+IF(VLOOKUP($A292,EnrollData2324,'2324 Jun 24 Enroll'!D$1,FALSE)='District Calculations'!$B$11,VLOOKUP($A292,EnrollData2324,'2324 Jun 24 Enroll'!D$1,FALSE),'District Calculations'!$B$11)),5)</f>
        <v>5.5530000000000003E-2</v>
      </c>
      <c r="K292" s="11">
        <f t="shared" si="78"/>
        <v>4.365E-3</v>
      </c>
      <c r="L292">
        <f>ROUND(IF(VLOOKUP($A292,EnrollData2324,'2324 Jun 24 Enroll'!D$1,FALSE)='District Calculations'!$B$11,VLOOKUP($A292,EnrollData2324,'2324 Jun 24 Enroll'!D$1,FALSE),'District Calculations'!$B$11)*K292,3)</f>
        <v>0</v>
      </c>
      <c r="M292">
        <f>ROUND(IF(VLOOKUP($A292,EnrollData2324,'2324 Jun 24 Enroll'!E$1,FALSE)='District Calculations'!$B$12,VLOOKUP($A292,EnrollData2324,'2324 Jun 24 Enroll'!E$1,FALSE),'District Calculations'!$B$12)*K292,3)</f>
        <v>3.5379999999999998</v>
      </c>
      <c r="N292">
        <f>ROUND(IF(VLOOKUP($A292,EnrollData2324,'2324 Jun 24 Enroll'!F$1,FALSE)='District Calculations'!$B$13,VLOOKUP($A292,EnrollData2324,'2324 Jun 24 Enroll'!F$1,FALSE),'District Calculations'!$B$13)*Apport_223A2324,3)</f>
        <v>0.84199999999999997</v>
      </c>
      <c r="O292">
        <f>ROUND(IF(VLOOKUP($A292,EnrollData2324,'2324 Jun 24 Enroll'!G$1,FALSE)='District Calculations'!$B$14,VLOOKUP($A292,EnrollData2324,'2324 Jun 24 Enroll'!G$1,FALSE),'District Calculations'!$B$14)*Apport_211A2324,3)</f>
        <v>1.867</v>
      </c>
      <c r="P292">
        <f>ROUND(IF(VLOOKUP($A292,EnrollData2324,'2324 Jun 24 Enroll'!H$1,FALSE)='District Calculations'!$B$14,VLOOKUP($A292,EnrollData2324,'2324 Jun 24 Enroll'!H$1,FALSE),'District Calculations'!$B$14)*Apport_214A2324,3)</f>
        <v>1.8660000000000001</v>
      </c>
      <c r="Q292">
        <f>ROUND(IF(VLOOKUP($A292,EnrollData2324,'2324 Jun 24 Enroll'!I$1,FALSE)+VLOOKUP($A292,EnrollData2324,'2324 Jun 24 Enroll'!M$1,FALSE)-VLOOKUP($A292,EnrollData2324,'2324 Jun 24 Enroll'!J$1,FALSE)='District Calculations'!$B$16+'District Calculations'!$B$25-'District Calculations'!$B$17,VLOOKUP($A292,EnrollData2324,'2324 Jun 24 Enroll'!I$1,FALSE)+VLOOKUP($A292,EnrollData2324,'2324 Jun 24 Enroll'!M$1,FALSE)-VLOOKUP($A292,EnrollData2324,'2324 Jun 24 Enroll'!J$1,FALSE),'District Calculations'!$B$16+'District Calculations'!$B$25-'District Calculations'!$B$17)*Apport_217A2324,3)</f>
        <v>4.6980000000000004</v>
      </c>
      <c r="R292">
        <f>ROUND(SUM(L292:Q292)/IF(VLOOKUP($A292,EnrollData2324,'2324 Jun 24 Enroll'!M$1,FALSE)+VLOOKUP($A292,EnrollData2324,'2324 Jun 24 Enroll'!D$1,FALSE)='District Calculations'!$B$25+'District Calculations'!$B$11,VLOOKUP($A292,EnrollData2324,'2324 Jun 24 Enroll'!M$1,FALSE)+VLOOKUP($A292,EnrollData2324,'2324 Jun 24 Enroll'!D$1,FALSE),'District Calculations'!$B$25+'District Calculations'!$B$11),5)</f>
        <v>4.1000000000000003E-3</v>
      </c>
      <c r="S292" s="11">
        <f t="shared" si="79"/>
        <v>1.8294500000000002E-2</v>
      </c>
      <c r="T292">
        <f>ROUND(IF(VLOOKUP($A292,EnrollData2324,'2324 Jun 24 Enroll'!D$1,FALSE)='District Calculations'!$B$11,VLOOKUP($A292,EnrollData2324,'2324 Jun 24 Enroll'!D$1,FALSE),'District Calculations'!$B$11)*S292,3)</f>
        <v>0</v>
      </c>
      <c r="U292">
        <f>ROUND(IF(VLOOKUP($A292,EnrollData2324,'2324 Jun 24 Enroll'!E$1,FALSE)='District Calculations'!$B$12,VLOOKUP($A292,EnrollData2324,'2324 Jun 24 Enroll'!E$1,FALSE),'District Calculations'!$B$12)*S292,3)</f>
        <v>14.827999999999999</v>
      </c>
      <c r="V292">
        <f>ROUND(IF(VLOOKUP($A292,EnrollData2324,'2324 Jun 24 Enroll'!F$1,FALSE)='District Calculations'!$B$13,VLOOKUP($A292,EnrollData2324,'2324 Jun 24 Enroll'!F$1,FALSE),'District Calculations'!$B$13)*Apport_224A2324,3)</f>
        <v>3.6190000000000002</v>
      </c>
      <c r="W292">
        <f>ROUND(IF(VLOOKUP($A292,EnrollData2324,'2324 Jun 24 Enroll'!G$1,FALSE)='District Calculations'!$B$14,VLOOKUP($A292,EnrollData2324,'2324 Jun 24 Enroll'!G$1,FALSE),'District Calculations'!$B$14)*Apport_212A2324,3)</f>
        <v>8.0239999999999991</v>
      </c>
      <c r="X292">
        <f>ROUND(IF(VLOOKUP($A292,EnrollData2324,'2324 Jun 24 Enroll'!H$1,FALSE)='District Calculations'!$B$14,VLOOKUP($A292,EnrollData2324,'2324 Jun 24 Enroll'!H$1,FALSE),'District Calculations'!$B$14)*Apport_215A2324,3)</f>
        <v>7.9279999999999999</v>
      </c>
      <c r="Y292">
        <f>ROUND(IF(VLOOKUP($A292,EnrollData2324,'2324 Jun 24 Enroll'!I$1,FALSE)+VLOOKUP($A292,EnrollData2324,'2324 Jun 24 Enroll'!M$1,FALSE)-VLOOKUP($A292,EnrollData2324,'2324 Jun 24 Enroll'!J$1,FALSE)='District Calculations'!$B$16+'District Calculations'!$B$25-'District Calculations'!$B$17,VLOOKUP($A292,EnrollData2324,'2324 Jun 24 Enroll'!I$1,FALSE)+VLOOKUP($A292,EnrollData2324,'2324 Jun 24 Enroll'!M$1,FALSE)-VLOOKUP($A292,EnrollData2324,'2324 Jun 24 Enroll'!J$1,FALSE),'District Calculations'!$B$16+'District Calculations'!$B$25-'District Calculations'!$B$17)*Apport_218A2324,3)</f>
        <v>19.917999999999999</v>
      </c>
      <c r="Z292">
        <f>ROUND(SUM(T292:Y292)/IF(VLOOKUP($A292,EnrollData2324,'2324 Jun 24 Enroll'!M$1,FALSE)+VLOOKUP($A292,EnrollData2324,'2324 Jun 24 Enroll'!D$1,FALSE)='District Calculations'!$B$25+'District Calculations'!$B$11,VLOOKUP($A292,EnrollData2324,'2324 Jun 24 Enroll'!M$1,FALSE)+VLOOKUP($A292,EnrollData2324,'2324 Jun 24 Enroll'!D$1,FALSE),'District Calculations'!$B$25+'District Calculations'!$B$11),5)</f>
        <v>1.7399999999999999E-2</v>
      </c>
      <c r="AA292" s="6">
        <f>ROUND($J292*CIS_Base_Salary2324*VLOOKUP($A292,EnrollData2324,'2324 Jun 24 Enroll'!S$1,FALSE),2)</f>
        <v>4280.8999999999996</v>
      </c>
      <c r="AB292" s="6">
        <f>ROUND($J292*CIS_Inc_Salary2324*(VLOOKUP($A292,EnrollData2324,'2324 Jun 24 Enroll'!T$1,FALSE)+VLOOKUP($A292,EnrollData2324,'2324 Jun 24 Enroll'!U$1,FALSE)),2)-AA292</f>
        <v>158.40000000000055</v>
      </c>
      <c r="AC292" s="6">
        <f>ROUND($R292*CAS_Base_Salary2324*VLOOKUP($A292,EnrollData2324,'2324 Jun 24 Enroll'!S$1,FALSE),2)</f>
        <v>469.17</v>
      </c>
      <c r="AD292" s="6">
        <f>ROUND($R292*CAS_Inc_Salary2324*VLOOKUP($A292,EnrollData2324,'2324 Jun 24 Enroll'!T$1,FALSE),2)-AC292</f>
        <v>17.359999999999957</v>
      </c>
      <c r="AE292" s="6">
        <f>ROUND($Z292*CLS_Base_Salary2324*VLOOKUP($A292,EnrollData2324,'2324 Jun 24 Enroll'!S$1,FALSE),2)</f>
        <v>962.28</v>
      </c>
      <c r="AF292" s="6">
        <f>ROUND($Z292*CLS_Inc_Salary2324*VLOOKUP($A292,EnrollData2324,'2324 Jun 24 Enroll'!T$1,FALSE),2)-AE292</f>
        <v>35.600000000000023</v>
      </c>
      <c r="AG292">
        <f t="shared" si="76"/>
        <v>734.16</v>
      </c>
      <c r="AH292" s="69">
        <f t="shared" si="80"/>
        <v>68.700000000000045</v>
      </c>
      <c r="AI292">
        <f t="shared" si="77"/>
        <v>214.23</v>
      </c>
      <c r="AJ292">
        <f t="shared" si="81"/>
        <v>114.21000000000001</v>
      </c>
      <c r="AK292">
        <f t="shared" si="82"/>
        <v>853.59</v>
      </c>
      <c r="AL292">
        <f t="shared" si="83"/>
        <v>30.46</v>
      </c>
      <c r="AM292">
        <f t="shared" si="84"/>
        <v>212.28</v>
      </c>
      <c r="AN292">
        <f t="shared" si="85"/>
        <v>6.61</v>
      </c>
      <c r="AO292">
        <f>ROUND(($J292*CIS_Inc_Salary2324*(VLOOKUP($A292,EnrollData2324,'2324 Jun 24 Enroll'!T$1,FALSE)+VLOOKUP($A292,EnrollData2324,'2324 Jun 24 Enroll'!U$1,FALSE))/Apport_613Xpd)*Apport_614Xpd,2)</f>
        <v>73.989999999999995</v>
      </c>
      <c r="AP292">
        <f t="shared" si="86"/>
        <v>12.82</v>
      </c>
      <c r="AQ292">
        <f t="shared" si="87"/>
        <v>30.93</v>
      </c>
      <c r="AR292" s="6">
        <f>ROUND((VLOOKUP($A292,EnrollData2324,'2324 Jun 24 Enroll'!D$1,FALSE)*Apport_M802324+VLOOKUP($A292,EnrollData2324,'2324 Jun 24 Enroll'!M$1,FALSE)*Apport_M802324+(VLOOKUP($A292,EnrollData2324,'2324 Jun 24 Enroll'!P$1,FALSE)+VLOOKUP($A292,EnrollData2324,'2324 Jun 24 Enroll'!Q$1,FALSE)+VLOOKUP($A292,EnrollData2324,'2324 Jun 24 Enroll'!R$1,FALSE)+VLOOKUP($A292,EnrollData2324,'2324 Jun 24 Enroll'!I$1,FALSE)+VLOOKUP($A292,EnrollData2324,'2324 Jun 24 Enroll'!N$1,FALSE)+VLOOKUP($A292,EnrollData2324,'2324 Jun 24 Enroll'!O$1,FALSE)+VLOOKUP($A292,EnrollData2324,'2324 Jun 24 Enroll'!K$1,FALSE)+VLOOKUP($A292,EnrollData2324,'2324 Jun 24 Enroll'!L$1,FALSE))*Apport_M812324)/(VLOOKUP($A292,EnrollData2324,'2324 Jun 24 Enroll'!M$1,FALSE)+VLOOKUP($A292,EnrollData2324,'2324 Jun 24 Enroll'!D$1,FALSE)),2)</f>
        <v>1536.76</v>
      </c>
      <c r="AS292" s="7">
        <f t="shared" si="88"/>
        <v>9812.4499999999989</v>
      </c>
    </row>
    <row r="293" spans="1:45">
      <c r="A293" s="40" t="s">
        <v>606</v>
      </c>
      <c r="B293" s="40" t="s">
        <v>607</v>
      </c>
      <c r="C293" s="11">
        <f>ROUND((IFERROR((1/IF(VLOOKUP($A293,EnrollData2324,28,FALSE)='District Calculations'!$B$10,VLOOKUP($A293,EnrollData2324,28,FALSE),'District Calculations'!$B$10))*(1+Apport_Z315),0))+Apport_201A2324,6)</f>
        <v>7.3449E-2</v>
      </c>
      <c r="D293">
        <f>ROUND(IF(VLOOKUP($A293,EnrollData2324,'2324 Jun 24 Enroll'!D$1,FALSE)='District Calculations'!$B$11,VLOOKUP($A293,EnrollData2324,'2324 Jun 24 Enroll'!D$1,FALSE),'District Calculations'!$B$11)*C293,3)</f>
        <v>0</v>
      </c>
      <c r="E293">
        <f>ROUND(IF(VLOOKUP($A293,EnrollData2324,'2324 Jun 24 Enroll'!E$1,FALSE)='District Calculations'!$B$12,VLOOKUP($A293,EnrollData2324,'2324 Jun 24 Enroll'!E$1,FALSE),'District Calculations'!$B$12)*C293,3)</f>
        <v>59.53</v>
      </c>
      <c r="F293">
        <f>ROUND(IF(VLOOKUP($A293,EnrollData2324,'2324 Jun 24 Enroll'!F$1,FALSE)='District Calculations'!$B$13,VLOOKUP($A293,EnrollData2324,'2324 Jun 24 Enroll'!F$1,FALSE),'District Calculations'!$B$13)*Apport_222A2324,3)</f>
        <v>10.101000000000001</v>
      </c>
      <c r="G293">
        <f>ROUND(IF(VLOOKUP($A293,EnrollData2324,'2324 Jun 24 Enroll'!G$1,FALSE)='District Calculations'!$B$14,VLOOKUP($A293,EnrollData2324,'2324 Jun 24 Enroll'!G$1,FALSE),'District Calculations'!$B$14)*Apport_210A2324,3)</f>
        <v>22.395</v>
      </c>
      <c r="H293">
        <f>ROUND(IF(VLOOKUP($A293,EnrollData2324,'2324 Jun 24 Enroll'!H$1,FALSE)='District Calculations'!$B$15,VLOOKUP($A293,EnrollData2324,'2324 Jun 24 Enroll'!H$1,FALSE),'District Calculations'!$B$15)*Apport_213A2324,3)</f>
        <v>23.091999999999999</v>
      </c>
      <c r="I293">
        <f>ROUND(IF(VLOOKUP($A293,EnrollData2324,'2324 Jun 24 Enroll'!I$1,FALSE)+VLOOKUP($A293,EnrollData2324,'2324 Jun 24 Enroll'!M$1,FALSE)-VLOOKUP($A293,EnrollData2324,'2324 Jun 24 Enroll'!J$1,FALSE)='District Calculations'!$B$16+'District Calculations'!$B$25-'District Calculations'!$B$17,VLOOKUP($A293,EnrollData2324,'2324 Jun 24 Enroll'!I$1,FALSE)+VLOOKUP($A293,EnrollData2324,'2324 Jun 24 Enroll'!M$1,FALSE)-VLOOKUP($A293,EnrollData2324,'2324 Jun 24 Enroll'!J$1,FALSE),'District Calculations'!$B$16+'District Calculations'!$B$25-'District Calculations'!$B$17)*Apport_216A2324,3)</f>
        <v>58.183999999999997</v>
      </c>
      <c r="J293">
        <f>ROUND(SUM(D293:I293)/(IF(VLOOKUP($A293,EnrollData2324,'2324 Jun 24 Enroll'!M$1,FALSE)='District Calculations'!$B$25,VLOOKUP($A293,EnrollData2324,'2324 Jun 24 Enroll'!M$1,FALSE),'District Calculations'!$B$25)+IF(VLOOKUP($A293,EnrollData2324,'2324 Jun 24 Enroll'!D$1,FALSE)='District Calculations'!$B$11,VLOOKUP($A293,EnrollData2324,'2324 Jun 24 Enroll'!D$1,FALSE),'District Calculations'!$B$11)),5)</f>
        <v>5.5530000000000003E-2</v>
      </c>
      <c r="K293" s="11">
        <f t="shared" si="78"/>
        <v>4.365E-3</v>
      </c>
      <c r="L293">
        <f>ROUND(IF(VLOOKUP($A293,EnrollData2324,'2324 Jun 24 Enroll'!D$1,FALSE)='District Calculations'!$B$11,VLOOKUP($A293,EnrollData2324,'2324 Jun 24 Enroll'!D$1,FALSE),'District Calculations'!$B$11)*K293,3)</f>
        <v>0</v>
      </c>
      <c r="M293">
        <f>ROUND(IF(VLOOKUP($A293,EnrollData2324,'2324 Jun 24 Enroll'!E$1,FALSE)='District Calculations'!$B$12,VLOOKUP($A293,EnrollData2324,'2324 Jun 24 Enroll'!E$1,FALSE),'District Calculations'!$B$12)*K293,3)</f>
        <v>3.5379999999999998</v>
      </c>
      <c r="N293">
        <f>ROUND(IF(VLOOKUP($A293,EnrollData2324,'2324 Jun 24 Enroll'!F$1,FALSE)='District Calculations'!$B$13,VLOOKUP($A293,EnrollData2324,'2324 Jun 24 Enroll'!F$1,FALSE),'District Calculations'!$B$13)*Apport_223A2324,3)</f>
        <v>0.84199999999999997</v>
      </c>
      <c r="O293">
        <f>ROUND(IF(VLOOKUP($A293,EnrollData2324,'2324 Jun 24 Enroll'!G$1,FALSE)='District Calculations'!$B$14,VLOOKUP($A293,EnrollData2324,'2324 Jun 24 Enroll'!G$1,FALSE),'District Calculations'!$B$14)*Apport_211A2324,3)</f>
        <v>1.867</v>
      </c>
      <c r="P293">
        <f>ROUND(IF(VLOOKUP($A293,EnrollData2324,'2324 Jun 24 Enroll'!H$1,FALSE)='District Calculations'!$B$14,VLOOKUP($A293,EnrollData2324,'2324 Jun 24 Enroll'!H$1,FALSE),'District Calculations'!$B$14)*Apport_214A2324,3)</f>
        <v>1.8660000000000001</v>
      </c>
      <c r="Q293">
        <f>ROUND(IF(VLOOKUP($A293,EnrollData2324,'2324 Jun 24 Enroll'!I$1,FALSE)+VLOOKUP($A293,EnrollData2324,'2324 Jun 24 Enroll'!M$1,FALSE)-VLOOKUP($A293,EnrollData2324,'2324 Jun 24 Enroll'!J$1,FALSE)='District Calculations'!$B$16+'District Calculations'!$B$25-'District Calculations'!$B$17,VLOOKUP($A293,EnrollData2324,'2324 Jun 24 Enroll'!I$1,FALSE)+VLOOKUP($A293,EnrollData2324,'2324 Jun 24 Enroll'!M$1,FALSE)-VLOOKUP($A293,EnrollData2324,'2324 Jun 24 Enroll'!J$1,FALSE),'District Calculations'!$B$16+'District Calculations'!$B$25-'District Calculations'!$B$17)*Apport_217A2324,3)</f>
        <v>4.6980000000000004</v>
      </c>
      <c r="R293">
        <f>ROUND(SUM(L293:Q293)/IF(VLOOKUP($A293,EnrollData2324,'2324 Jun 24 Enroll'!M$1,FALSE)+VLOOKUP($A293,EnrollData2324,'2324 Jun 24 Enroll'!D$1,FALSE)='District Calculations'!$B$25+'District Calculations'!$B$11,VLOOKUP($A293,EnrollData2324,'2324 Jun 24 Enroll'!M$1,FALSE)+VLOOKUP($A293,EnrollData2324,'2324 Jun 24 Enroll'!D$1,FALSE),'District Calculations'!$B$25+'District Calculations'!$B$11),5)</f>
        <v>4.1000000000000003E-3</v>
      </c>
      <c r="S293" s="11">
        <f t="shared" si="79"/>
        <v>1.8294500000000002E-2</v>
      </c>
      <c r="T293">
        <f>ROUND(IF(VLOOKUP($A293,EnrollData2324,'2324 Jun 24 Enroll'!D$1,FALSE)='District Calculations'!$B$11,VLOOKUP($A293,EnrollData2324,'2324 Jun 24 Enroll'!D$1,FALSE),'District Calculations'!$B$11)*S293,3)</f>
        <v>0</v>
      </c>
      <c r="U293">
        <f>ROUND(IF(VLOOKUP($A293,EnrollData2324,'2324 Jun 24 Enroll'!E$1,FALSE)='District Calculations'!$B$12,VLOOKUP($A293,EnrollData2324,'2324 Jun 24 Enroll'!E$1,FALSE),'District Calculations'!$B$12)*S293,3)</f>
        <v>14.827999999999999</v>
      </c>
      <c r="V293">
        <f>ROUND(IF(VLOOKUP($A293,EnrollData2324,'2324 Jun 24 Enroll'!F$1,FALSE)='District Calculations'!$B$13,VLOOKUP($A293,EnrollData2324,'2324 Jun 24 Enroll'!F$1,FALSE),'District Calculations'!$B$13)*Apport_224A2324,3)</f>
        <v>3.6190000000000002</v>
      </c>
      <c r="W293">
        <f>ROUND(IF(VLOOKUP($A293,EnrollData2324,'2324 Jun 24 Enroll'!G$1,FALSE)='District Calculations'!$B$14,VLOOKUP($A293,EnrollData2324,'2324 Jun 24 Enroll'!G$1,FALSE),'District Calculations'!$B$14)*Apport_212A2324,3)</f>
        <v>8.0239999999999991</v>
      </c>
      <c r="X293">
        <f>ROUND(IF(VLOOKUP($A293,EnrollData2324,'2324 Jun 24 Enroll'!H$1,FALSE)='District Calculations'!$B$14,VLOOKUP($A293,EnrollData2324,'2324 Jun 24 Enroll'!H$1,FALSE),'District Calculations'!$B$14)*Apport_215A2324,3)</f>
        <v>7.9279999999999999</v>
      </c>
      <c r="Y293">
        <f>ROUND(IF(VLOOKUP($A293,EnrollData2324,'2324 Jun 24 Enroll'!I$1,FALSE)+VLOOKUP($A293,EnrollData2324,'2324 Jun 24 Enroll'!M$1,FALSE)-VLOOKUP($A293,EnrollData2324,'2324 Jun 24 Enroll'!J$1,FALSE)='District Calculations'!$B$16+'District Calculations'!$B$25-'District Calculations'!$B$17,VLOOKUP($A293,EnrollData2324,'2324 Jun 24 Enroll'!I$1,FALSE)+VLOOKUP($A293,EnrollData2324,'2324 Jun 24 Enroll'!M$1,FALSE)-VLOOKUP($A293,EnrollData2324,'2324 Jun 24 Enroll'!J$1,FALSE),'District Calculations'!$B$16+'District Calculations'!$B$25-'District Calculations'!$B$17)*Apport_218A2324,3)</f>
        <v>19.917999999999999</v>
      </c>
      <c r="Z293">
        <f>ROUND(SUM(T293:Y293)/IF(VLOOKUP($A293,EnrollData2324,'2324 Jun 24 Enroll'!M$1,FALSE)+VLOOKUP($A293,EnrollData2324,'2324 Jun 24 Enroll'!D$1,FALSE)='District Calculations'!$B$25+'District Calculations'!$B$11,VLOOKUP($A293,EnrollData2324,'2324 Jun 24 Enroll'!M$1,FALSE)+VLOOKUP($A293,EnrollData2324,'2324 Jun 24 Enroll'!D$1,FALSE),'District Calculations'!$B$25+'District Calculations'!$B$11),5)</f>
        <v>1.7399999999999999E-2</v>
      </c>
      <c r="AA293" s="6">
        <f>ROUND($J293*CIS_Base_Salary2324*VLOOKUP($A293,EnrollData2324,'2324 Jun 24 Enroll'!S$1,FALSE),2)</f>
        <v>4402.0600000000004</v>
      </c>
      <c r="AB293" s="6">
        <f>ROUND($J293*CIS_Inc_Salary2324*(VLOOKUP($A293,EnrollData2324,'2324 Jun 24 Enroll'!T$1,FALSE)+VLOOKUP($A293,EnrollData2324,'2324 Jun 24 Enroll'!U$1,FALSE)),2)-AA293</f>
        <v>162.8799999999992</v>
      </c>
      <c r="AC293" s="6">
        <f>ROUND($R293*CAS_Base_Salary2324*VLOOKUP($A293,EnrollData2324,'2324 Jun 24 Enroll'!S$1,FALSE),2)</f>
        <v>482.45</v>
      </c>
      <c r="AD293" s="6">
        <f>ROUND($R293*CAS_Inc_Salary2324*VLOOKUP($A293,EnrollData2324,'2324 Jun 24 Enroll'!T$1,FALSE),2)-AC293</f>
        <v>17.850000000000023</v>
      </c>
      <c r="AE293" s="6">
        <f>ROUND($Z293*CLS_Base_Salary2324*VLOOKUP($A293,EnrollData2324,'2324 Jun 24 Enroll'!S$1,FALSE),2)</f>
        <v>989.51</v>
      </c>
      <c r="AF293" s="6">
        <f>ROUND($Z293*CLS_Inc_Salary2324*VLOOKUP($A293,EnrollData2324,'2324 Jun 24 Enroll'!T$1,FALSE),2)-AE293</f>
        <v>36.6099999999999</v>
      </c>
      <c r="AG293">
        <f t="shared" si="76"/>
        <v>734.16</v>
      </c>
      <c r="AH293" s="69">
        <f t="shared" si="80"/>
        <v>68.700000000000045</v>
      </c>
      <c r="AI293">
        <f t="shared" si="77"/>
        <v>214.23</v>
      </c>
      <c r="AJ293">
        <f t="shared" si="81"/>
        <v>114.21000000000001</v>
      </c>
      <c r="AK293">
        <f t="shared" si="82"/>
        <v>877.75</v>
      </c>
      <c r="AL293">
        <f t="shared" si="83"/>
        <v>31.32</v>
      </c>
      <c r="AM293">
        <f t="shared" si="84"/>
        <v>218.29</v>
      </c>
      <c r="AN293">
        <f t="shared" si="85"/>
        <v>6.79</v>
      </c>
      <c r="AO293">
        <f>ROUND(($J293*CIS_Inc_Salary2324*(VLOOKUP($A293,EnrollData2324,'2324 Jun 24 Enroll'!T$1,FALSE)+VLOOKUP($A293,EnrollData2324,'2324 Jun 24 Enroll'!U$1,FALSE))/Apport_613Xpd)*Apport_614Xpd,2)</f>
        <v>76.08</v>
      </c>
      <c r="AP293">
        <f t="shared" si="86"/>
        <v>13.18</v>
      </c>
      <c r="AQ293">
        <f t="shared" si="87"/>
        <v>30.93</v>
      </c>
      <c r="AR293" s="6">
        <f>ROUND((VLOOKUP($A293,EnrollData2324,'2324 Jun 24 Enroll'!D$1,FALSE)*Apport_M802324+VLOOKUP($A293,EnrollData2324,'2324 Jun 24 Enroll'!M$1,FALSE)*Apport_M802324+(VLOOKUP($A293,EnrollData2324,'2324 Jun 24 Enroll'!P$1,FALSE)+VLOOKUP($A293,EnrollData2324,'2324 Jun 24 Enroll'!Q$1,FALSE)+VLOOKUP($A293,EnrollData2324,'2324 Jun 24 Enroll'!R$1,FALSE)+VLOOKUP($A293,EnrollData2324,'2324 Jun 24 Enroll'!I$1,FALSE)+VLOOKUP($A293,EnrollData2324,'2324 Jun 24 Enroll'!N$1,FALSE)+VLOOKUP($A293,EnrollData2324,'2324 Jun 24 Enroll'!O$1,FALSE)+VLOOKUP($A293,EnrollData2324,'2324 Jun 24 Enroll'!K$1,FALSE)+VLOOKUP($A293,EnrollData2324,'2324 Jun 24 Enroll'!L$1,FALSE))*Apport_M812324)/(VLOOKUP($A293,EnrollData2324,'2324 Jun 24 Enroll'!M$1,FALSE)+VLOOKUP($A293,EnrollData2324,'2324 Jun 24 Enroll'!D$1,FALSE)),2)</f>
        <v>1546.88</v>
      </c>
      <c r="AS293" s="7">
        <f t="shared" si="88"/>
        <v>10023.880000000001</v>
      </c>
    </row>
    <row r="294" spans="1:45">
      <c r="A294" s="40" t="s">
        <v>1020</v>
      </c>
      <c r="B294" s="40" t="s">
        <v>1021</v>
      </c>
      <c r="C294" s="11">
        <f>ROUND((IFERROR((1/IF(VLOOKUP($A294,EnrollData2324,28,FALSE)='District Calculations'!$B$10,VLOOKUP($A294,EnrollData2324,28,FALSE),'District Calculations'!$B$10))*(1+Apport_Z315),0))+Apport_201A2324,6)</f>
        <v>7.3449E-2</v>
      </c>
      <c r="D294">
        <f>ROUND(IF(VLOOKUP($A294,EnrollData2324,'2324 Jun 24 Enroll'!D$1,FALSE)='District Calculations'!$B$11,VLOOKUP($A294,EnrollData2324,'2324 Jun 24 Enroll'!D$1,FALSE),'District Calculations'!$B$11)*C294,3)</f>
        <v>0</v>
      </c>
      <c r="E294">
        <f>ROUND(IF(VLOOKUP($A294,EnrollData2324,'2324 Jun 24 Enroll'!E$1,FALSE)='District Calculations'!$B$12,VLOOKUP($A294,EnrollData2324,'2324 Jun 24 Enroll'!E$1,FALSE),'District Calculations'!$B$12)*C294,3)</f>
        <v>59.53</v>
      </c>
      <c r="F294">
        <f>ROUND(IF(VLOOKUP($A294,EnrollData2324,'2324 Jun 24 Enroll'!F$1,FALSE)='District Calculations'!$B$13,VLOOKUP($A294,EnrollData2324,'2324 Jun 24 Enroll'!F$1,FALSE),'District Calculations'!$B$13)*Apport_222A2324,3)</f>
        <v>10.101000000000001</v>
      </c>
      <c r="G294">
        <f>ROUND(IF(VLOOKUP($A294,EnrollData2324,'2324 Jun 24 Enroll'!G$1,FALSE)='District Calculations'!$B$14,VLOOKUP($A294,EnrollData2324,'2324 Jun 24 Enroll'!G$1,FALSE),'District Calculations'!$B$14)*Apport_210A2324,3)</f>
        <v>22.395</v>
      </c>
      <c r="H294">
        <f>ROUND(IF(VLOOKUP($A294,EnrollData2324,'2324 Jun 24 Enroll'!H$1,FALSE)='District Calculations'!$B$15,VLOOKUP($A294,EnrollData2324,'2324 Jun 24 Enroll'!H$1,FALSE),'District Calculations'!$B$15)*Apport_213A2324,3)</f>
        <v>23.091999999999999</v>
      </c>
      <c r="I294">
        <f>ROUND(IF(VLOOKUP($A294,EnrollData2324,'2324 Jun 24 Enroll'!I$1,FALSE)+VLOOKUP($A294,EnrollData2324,'2324 Jun 24 Enroll'!M$1,FALSE)-VLOOKUP($A294,EnrollData2324,'2324 Jun 24 Enroll'!J$1,FALSE)='District Calculations'!$B$16+'District Calculations'!$B$25-'District Calculations'!$B$17,VLOOKUP($A294,EnrollData2324,'2324 Jun 24 Enroll'!I$1,FALSE)+VLOOKUP($A294,EnrollData2324,'2324 Jun 24 Enroll'!M$1,FALSE)-VLOOKUP($A294,EnrollData2324,'2324 Jun 24 Enroll'!J$1,FALSE),'District Calculations'!$B$16+'District Calculations'!$B$25-'District Calculations'!$B$17)*Apport_216A2324,3)</f>
        <v>58.183999999999997</v>
      </c>
      <c r="J294">
        <f>ROUND(SUM(D294:I294)/(IF(VLOOKUP($A294,EnrollData2324,'2324 Jun 24 Enroll'!M$1,FALSE)='District Calculations'!$B$25,VLOOKUP($A294,EnrollData2324,'2324 Jun 24 Enroll'!M$1,FALSE),'District Calculations'!$B$25)+IF(VLOOKUP($A294,EnrollData2324,'2324 Jun 24 Enroll'!D$1,FALSE)='District Calculations'!$B$11,VLOOKUP($A294,EnrollData2324,'2324 Jun 24 Enroll'!D$1,FALSE),'District Calculations'!$B$11)),5)</f>
        <v>5.5530000000000003E-2</v>
      </c>
      <c r="K294" s="11">
        <f t="shared" si="78"/>
        <v>4.365E-3</v>
      </c>
      <c r="L294">
        <f>ROUND(IF(VLOOKUP($A294,EnrollData2324,'2324 Jun 24 Enroll'!D$1,FALSE)='District Calculations'!$B$11,VLOOKUP($A294,EnrollData2324,'2324 Jun 24 Enroll'!D$1,FALSE),'District Calculations'!$B$11)*K294,3)</f>
        <v>0</v>
      </c>
      <c r="M294">
        <f>ROUND(IF(VLOOKUP($A294,EnrollData2324,'2324 Jun 24 Enroll'!E$1,FALSE)='District Calculations'!$B$12,VLOOKUP($A294,EnrollData2324,'2324 Jun 24 Enroll'!E$1,FALSE),'District Calculations'!$B$12)*K294,3)</f>
        <v>3.5379999999999998</v>
      </c>
      <c r="N294">
        <f>ROUND(IF(VLOOKUP($A294,EnrollData2324,'2324 Jun 24 Enroll'!F$1,FALSE)='District Calculations'!$B$13,VLOOKUP($A294,EnrollData2324,'2324 Jun 24 Enroll'!F$1,FALSE),'District Calculations'!$B$13)*Apport_223A2324,3)</f>
        <v>0.84199999999999997</v>
      </c>
      <c r="O294">
        <f>ROUND(IF(VLOOKUP($A294,EnrollData2324,'2324 Jun 24 Enroll'!G$1,FALSE)='District Calculations'!$B$14,VLOOKUP($A294,EnrollData2324,'2324 Jun 24 Enroll'!G$1,FALSE),'District Calculations'!$B$14)*Apport_211A2324,3)</f>
        <v>1.867</v>
      </c>
      <c r="P294">
        <f>ROUND(IF(VLOOKUP($A294,EnrollData2324,'2324 Jun 24 Enroll'!H$1,FALSE)='District Calculations'!$B$14,VLOOKUP($A294,EnrollData2324,'2324 Jun 24 Enroll'!H$1,FALSE),'District Calculations'!$B$14)*Apport_214A2324,3)</f>
        <v>1.8660000000000001</v>
      </c>
      <c r="Q294">
        <f>ROUND(IF(VLOOKUP($A294,EnrollData2324,'2324 Jun 24 Enroll'!I$1,FALSE)+VLOOKUP($A294,EnrollData2324,'2324 Jun 24 Enroll'!M$1,FALSE)-VLOOKUP($A294,EnrollData2324,'2324 Jun 24 Enroll'!J$1,FALSE)='District Calculations'!$B$16+'District Calculations'!$B$25-'District Calculations'!$B$17,VLOOKUP($A294,EnrollData2324,'2324 Jun 24 Enroll'!I$1,FALSE)+VLOOKUP($A294,EnrollData2324,'2324 Jun 24 Enroll'!M$1,FALSE)-VLOOKUP($A294,EnrollData2324,'2324 Jun 24 Enroll'!J$1,FALSE),'District Calculations'!$B$16+'District Calculations'!$B$25-'District Calculations'!$B$17)*Apport_217A2324,3)</f>
        <v>4.6980000000000004</v>
      </c>
      <c r="R294">
        <f>ROUND(SUM(L294:Q294)/IF(VLOOKUP($A294,EnrollData2324,'2324 Jun 24 Enroll'!M$1,FALSE)+VLOOKUP($A294,EnrollData2324,'2324 Jun 24 Enroll'!D$1,FALSE)='District Calculations'!$B$25+'District Calculations'!$B$11,VLOOKUP($A294,EnrollData2324,'2324 Jun 24 Enroll'!M$1,FALSE)+VLOOKUP($A294,EnrollData2324,'2324 Jun 24 Enroll'!D$1,FALSE),'District Calculations'!$B$25+'District Calculations'!$B$11),5)</f>
        <v>4.1000000000000003E-3</v>
      </c>
      <c r="S294" s="11">
        <f t="shared" si="79"/>
        <v>1.8294500000000002E-2</v>
      </c>
      <c r="T294">
        <f>ROUND(IF(VLOOKUP($A294,EnrollData2324,'2324 Jun 24 Enroll'!D$1,FALSE)='District Calculations'!$B$11,VLOOKUP($A294,EnrollData2324,'2324 Jun 24 Enroll'!D$1,FALSE),'District Calculations'!$B$11)*S294,3)</f>
        <v>0</v>
      </c>
      <c r="U294">
        <f>ROUND(IF(VLOOKUP($A294,EnrollData2324,'2324 Jun 24 Enroll'!E$1,FALSE)='District Calculations'!$B$12,VLOOKUP($A294,EnrollData2324,'2324 Jun 24 Enroll'!E$1,FALSE),'District Calculations'!$B$12)*S294,3)</f>
        <v>14.827999999999999</v>
      </c>
      <c r="V294">
        <f>ROUND(IF(VLOOKUP($A294,EnrollData2324,'2324 Jun 24 Enroll'!F$1,FALSE)='District Calculations'!$B$13,VLOOKUP($A294,EnrollData2324,'2324 Jun 24 Enroll'!F$1,FALSE),'District Calculations'!$B$13)*Apport_224A2324,3)</f>
        <v>3.6190000000000002</v>
      </c>
      <c r="W294">
        <f>ROUND(IF(VLOOKUP($A294,EnrollData2324,'2324 Jun 24 Enroll'!G$1,FALSE)='District Calculations'!$B$14,VLOOKUP($A294,EnrollData2324,'2324 Jun 24 Enroll'!G$1,FALSE),'District Calculations'!$B$14)*Apport_212A2324,3)</f>
        <v>8.0239999999999991</v>
      </c>
      <c r="X294">
        <f>ROUND(IF(VLOOKUP($A294,EnrollData2324,'2324 Jun 24 Enroll'!H$1,FALSE)='District Calculations'!$B$14,VLOOKUP($A294,EnrollData2324,'2324 Jun 24 Enroll'!H$1,FALSE),'District Calculations'!$B$14)*Apport_215A2324,3)</f>
        <v>7.9279999999999999</v>
      </c>
      <c r="Y294">
        <f>ROUND(IF(VLOOKUP($A294,EnrollData2324,'2324 Jun 24 Enroll'!I$1,FALSE)+VLOOKUP($A294,EnrollData2324,'2324 Jun 24 Enroll'!M$1,FALSE)-VLOOKUP($A294,EnrollData2324,'2324 Jun 24 Enroll'!J$1,FALSE)='District Calculations'!$B$16+'District Calculations'!$B$25-'District Calculations'!$B$17,VLOOKUP($A294,EnrollData2324,'2324 Jun 24 Enroll'!I$1,FALSE)+VLOOKUP($A294,EnrollData2324,'2324 Jun 24 Enroll'!M$1,FALSE)-VLOOKUP($A294,EnrollData2324,'2324 Jun 24 Enroll'!J$1,FALSE),'District Calculations'!$B$16+'District Calculations'!$B$25-'District Calculations'!$B$17)*Apport_218A2324,3)</f>
        <v>19.917999999999999</v>
      </c>
      <c r="Z294">
        <f>ROUND(SUM(T294:Y294)/IF(VLOOKUP($A294,EnrollData2324,'2324 Jun 24 Enroll'!M$1,FALSE)+VLOOKUP($A294,EnrollData2324,'2324 Jun 24 Enroll'!D$1,FALSE)='District Calculations'!$B$25+'District Calculations'!$B$11,VLOOKUP($A294,EnrollData2324,'2324 Jun 24 Enroll'!M$1,FALSE)+VLOOKUP($A294,EnrollData2324,'2324 Jun 24 Enroll'!D$1,FALSE),'District Calculations'!$B$25+'District Calculations'!$B$11),5)</f>
        <v>1.7399999999999999E-2</v>
      </c>
      <c r="AA294" s="6">
        <f>ROUND($J294*CIS_Base_Salary2324*VLOOKUP($A294,EnrollData2324,'2324 Jun 24 Enroll'!S$1,FALSE),2)</f>
        <v>4341.4799999999996</v>
      </c>
      <c r="AB294" s="6">
        <f>ROUND($J294*CIS_Inc_Salary2324*(VLOOKUP($A294,EnrollData2324,'2324 Jun 24 Enroll'!T$1,FALSE)+VLOOKUP($A294,EnrollData2324,'2324 Jun 24 Enroll'!U$1,FALSE)),2)-AA294</f>
        <v>160.64000000000033</v>
      </c>
      <c r="AC294" s="6">
        <f>ROUND($R294*CAS_Base_Salary2324*VLOOKUP($A294,EnrollData2324,'2324 Jun 24 Enroll'!S$1,FALSE),2)</f>
        <v>475.81</v>
      </c>
      <c r="AD294" s="6">
        <f>ROUND($R294*CAS_Inc_Salary2324*VLOOKUP($A294,EnrollData2324,'2324 Jun 24 Enroll'!T$1,FALSE),2)-AC294</f>
        <v>17.610000000000014</v>
      </c>
      <c r="AE294" s="6">
        <f>ROUND($Z294*CLS_Base_Salary2324*VLOOKUP($A294,EnrollData2324,'2324 Jun 24 Enroll'!S$1,FALSE),2)</f>
        <v>975.9</v>
      </c>
      <c r="AF294" s="6">
        <f>ROUND($Z294*CLS_Inc_Salary2324*VLOOKUP($A294,EnrollData2324,'2324 Jun 24 Enroll'!T$1,FALSE),2)-AE294</f>
        <v>36.100000000000023</v>
      </c>
      <c r="AG294">
        <f t="shared" si="76"/>
        <v>734.16</v>
      </c>
      <c r="AH294" s="69">
        <f t="shared" si="80"/>
        <v>68.700000000000045</v>
      </c>
      <c r="AI294">
        <f t="shared" si="77"/>
        <v>214.23</v>
      </c>
      <c r="AJ294">
        <f t="shared" si="81"/>
        <v>114.21000000000001</v>
      </c>
      <c r="AK294">
        <f t="shared" si="82"/>
        <v>865.67</v>
      </c>
      <c r="AL294">
        <f t="shared" si="83"/>
        <v>30.89</v>
      </c>
      <c r="AM294">
        <f t="shared" si="84"/>
        <v>215.28</v>
      </c>
      <c r="AN294">
        <f t="shared" si="85"/>
        <v>6.7</v>
      </c>
      <c r="AO294">
        <f>ROUND(($J294*CIS_Inc_Salary2324*(VLOOKUP($A294,EnrollData2324,'2324 Jun 24 Enroll'!T$1,FALSE)+VLOOKUP($A294,EnrollData2324,'2324 Jun 24 Enroll'!U$1,FALSE))/Apport_613Xpd)*Apport_614Xpd,2)</f>
        <v>75.040000000000006</v>
      </c>
      <c r="AP294">
        <f t="shared" si="86"/>
        <v>13</v>
      </c>
      <c r="AQ294">
        <f t="shared" si="87"/>
        <v>30.93</v>
      </c>
      <c r="AR294" s="6">
        <f>ROUND((VLOOKUP($A294,EnrollData2324,'2324 Jun 24 Enroll'!D$1,FALSE)*Apport_M802324+VLOOKUP($A294,EnrollData2324,'2324 Jun 24 Enroll'!M$1,FALSE)*Apport_M802324+(VLOOKUP($A294,EnrollData2324,'2324 Jun 24 Enroll'!P$1,FALSE)+VLOOKUP($A294,EnrollData2324,'2324 Jun 24 Enroll'!Q$1,FALSE)+VLOOKUP($A294,EnrollData2324,'2324 Jun 24 Enroll'!R$1,FALSE)+VLOOKUP($A294,EnrollData2324,'2324 Jun 24 Enroll'!I$1,FALSE)+VLOOKUP($A294,EnrollData2324,'2324 Jun 24 Enroll'!N$1,FALSE)+VLOOKUP($A294,EnrollData2324,'2324 Jun 24 Enroll'!O$1,FALSE)+VLOOKUP($A294,EnrollData2324,'2324 Jun 24 Enroll'!K$1,FALSE)+VLOOKUP($A294,EnrollData2324,'2324 Jun 24 Enroll'!L$1,FALSE))*Apport_M812324)/(VLOOKUP($A294,EnrollData2324,'2324 Jun 24 Enroll'!M$1,FALSE)+VLOOKUP($A294,EnrollData2324,'2324 Jun 24 Enroll'!D$1,FALSE)),2)</f>
        <v>1683.67</v>
      </c>
      <c r="AS294" s="7">
        <f t="shared" si="88"/>
        <v>10060.020000000002</v>
      </c>
    </row>
    <row r="295" spans="1:45">
      <c r="A295" s="40" t="s">
        <v>897</v>
      </c>
      <c r="B295" s="40" t="s">
        <v>898</v>
      </c>
      <c r="C295" s="11">
        <f>ROUND((IFERROR((1/IF(VLOOKUP($A295,EnrollData2324,28,FALSE)='District Calculations'!$B$10,VLOOKUP($A295,EnrollData2324,28,FALSE),'District Calculations'!$B$10))*(1+Apport_Z315),0))+Apport_201A2324,6)</f>
        <v>7.3449E-2</v>
      </c>
      <c r="D295">
        <f>ROUND(IF(VLOOKUP($A295,EnrollData2324,'2324 Jun 24 Enroll'!D$1,FALSE)='District Calculations'!$B$11,VLOOKUP($A295,EnrollData2324,'2324 Jun 24 Enroll'!D$1,FALSE),'District Calculations'!$B$11)*C295,3)</f>
        <v>0</v>
      </c>
      <c r="E295">
        <f>ROUND(IF(VLOOKUP($A295,EnrollData2324,'2324 Jun 24 Enroll'!E$1,FALSE)='District Calculations'!$B$12,VLOOKUP($A295,EnrollData2324,'2324 Jun 24 Enroll'!E$1,FALSE),'District Calculations'!$B$12)*C295,3)</f>
        <v>59.53</v>
      </c>
      <c r="F295">
        <f>ROUND(IF(VLOOKUP($A295,EnrollData2324,'2324 Jun 24 Enroll'!F$1,FALSE)='District Calculations'!$B$13,VLOOKUP($A295,EnrollData2324,'2324 Jun 24 Enroll'!F$1,FALSE),'District Calculations'!$B$13)*Apport_222A2324,3)</f>
        <v>10.101000000000001</v>
      </c>
      <c r="G295">
        <f>ROUND(IF(VLOOKUP($A295,EnrollData2324,'2324 Jun 24 Enroll'!G$1,FALSE)='District Calculations'!$B$14,VLOOKUP($A295,EnrollData2324,'2324 Jun 24 Enroll'!G$1,FALSE),'District Calculations'!$B$14)*Apport_210A2324,3)</f>
        <v>22.395</v>
      </c>
      <c r="H295">
        <f>ROUND(IF(VLOOKUP($A295,EnrollData2324,'2324 Jun 24 Enroll'!H$1,FALSE)='District Calculations'!$B$15,VLOOKUP($A295,EnrollData2324,'2324 Jun 24 Enroll'!H$1,FALSE),'District Calculations'!$B$15)*Apport_213A2324,3)</f>
        <v>23.091999999999999</v>
      </c>
      <c r="I295">
        <f>ROUND(IF(VLOOKUP($A295,EnrollData2324,'2324 Jun 24 Enroll'!I$1,FALSE)+VLOOKUP($A295,EnrollData2324,'2324 Jun 24 Enroll'!M$1,FALSE)-VLOOKUP($A295,EnrollData2324,'2324 Jun 24 Enroll'!J$1,FALSE)='District Calculations'!$B$16+'District Calculations'!$B$25-'District Calculations'!$B$17,VLOOKUP($A295,EnrollData2324,'2324 Jun 24 Enroll'!I$1,FALSE)+VLOOKUP($A295,EnrollData2324,'2324 Jun 24 Enroll'!M$1,FALSE)-VLOOKUP($A295,EnrollData2324,'2324 Jun 24 Enroll'!J$1,FALSE),'District Calculations'!$B$16+'District Calculations'!$B$25-'District Calculations'!$B$17)*Apport_216A2324,3)</f>
        <v>58.183999999999997</v>
      </c>
      <c r="J295">
        <f>ROUND(SUM(D295:I295)/(IF(VLOOKUP($A295,EnrollData2324,'2324 Jun 24 Enroll'!M$1,FALSE)='District Calculations'!$B$25,VLOOKUP($A295,EnrollData2324,'2324 Jun 24 Enroll'!M$1,FALSE),'District Calculations'!$B$25)+IF(VLOOKUP($A295,EnrollData2324,'2324 Jun 24 Enroll'!D$1,FALSE)='District Calculations'!$B$11,VLOOKUP($A295,EnrollData2324,'2324 Jun 24 Enroll'!D$1,FALSE),'District Calculations'!$B$11)),5)</f>
        <v>5.5530000000000003E-2</v>
      </c>
      <c r="K295" s="11">
        <f t="shared" si="78"/>
        <v>4.365E-3</v>
      </c>
      <c r="L295">
        <f>ROUND(IF(VLOOKUP($A295,EnrollData2324,'2324 Jun 24 Enroll'!D$1,FALSE)='District Calculations'!$B$11,VLOOKUP($A295,EnrollData2324,'2324 Jun 24 Enroll'!D$1,FALSE),'District Calculations'!$B$11)*K295,3)</f>
        <v>0</v>
      </c>
      <c r="M295">
        <f>ROUND(IF(VLOOKUP($A295,EnrollData2324,'2324 Jun 24 Enroll'!E$1,FALSE)='District Calculations'!$B$12,VLOOKUP($A295,EnrollData2324,'2324 Jun 24 Enroll'!E$1,FALSE),'District Calculations'!$B$12)*K295,3)</f>
        <v>3.5379999999999998</v>
      </c>
      <c r="N295">
        <f>ROUND(IF(VLOOKUP($A295,EnrollData2324,'2324 Jun 24 Enroll'!F$1,FALSE)='District Calculations'!$B$13,VLOOKUP($A295,EnrollData2324,'2324 Jun 24 Enroll'!F$1,FALSE),'District Calculations'!$B$13)*Apport_223A2324,3)</f>
        <v>0.84199999999999997</v>
      </c>
      <c r="O295">
        <f>ROUND(IF(VLOOKUP($A295,EnrollData2324,'2324 Jun 24 Enroll'!G$1,FALSE)='District Calculations'!$B$14,VLOOKUP($A295,EnrollData2324,'2324 Jun 24 Enroll'!G$1,FALSE),'District Calculations'!$B$14)*Apport_211A2324,3)</f>
        <v>1.867</v>
      </c>
      <c r="P295">
        <f>ROUND(IF(VLOOKUP($A295,EnrollData2324,'2324 Jun 24 Enroll'!H$1,FALSE)='District Calculations'!$B$14,VLOOKUP($A295,EnrollData2324,'2324 Jun 24 Enroll'!H$1,FALSE),'District Calculations'!$B$14)*Apport_214A2324,3)</f>
        <v>1.8660000000000001</v>
      </c>
      <c r="Q295">
        <f>ROUND(IF(VLOOKUP($A295,EnrollData2324,'2324 Jun 24 Enroll'!I$1,FALSE)+VLOOKUP($A295,EnrollData2324,'2324 Jun 24 Enroll'!M$1,FALSE)-VLOOKUP($A295,EnrollData2324,'2324 Jun 24 Enroll'!J$1,FALSE)='District Calculations'!$B$16+'District Calculations'!$B$25-'District Calculations'!$B$17,VLOOKUP($A295,EnrollData2324,'2324 Jun 24 Enroll'!I$1,FALSE)+VLOOKUP($A295,EnrollData2324,'2324 Jun 24 Enroll'!M$1,FALSE)-VLOOKUP($A295,EnrollData2324,'2324 Jun 24 Enroll'!J$1,FALSE),'District Calculations'!$B$16+'District Calculations'!$B$25-'District Calculations'!$B$17)*Apport_217A2324,3)</f>
        <v>4.6980000000000004</v>
      </c>
      <c r="R295">
        <f>ROUND(SUM(L295:Q295)/IF(VLOOKUP($A295,EnrollData2324,'2324 Jun 24 Enroll'!M$1,FALSE)+VLOOKUP($A295,EnrollData2324,'2324 Jun 24 Enroll'!D$1,FALSE)='District Calculations'!$B$25+'District Calculations'!$B$11,VLOOKUP($A295,EnrollData2324,'2324 Jun 24 Enroll'!M$1,FALSE)+VLOOKUP($A295,EnrollData2324,'2324 Jun 24 Enroll'!D$1,FALSE),'District Calculations'!$B$25+'District Calculations'!$B$11),5)</f>
        <v>4.1000000000000003E-3</v>
      </c>
      <c r="S295" s="11">
        <f t="shared" si="79"/>
        <v>1.8294500000000002E-2</v>
      </c>
      <c r="T295">
        <f>ROUND(IF(VLOOKUP($A295,EnrollData2324,'2324 Jun 24 Enroll'!D$1,FALSE)='District Calculations'!$B$11,VLOOKUP($A295,EnrollData2324,'2324 Jun 24 Enroll'!D$1,FALSE),'District Calculations'!$B$11)*S295,3)</f>
        <v>0</v>
      </c>
      <c r="U295">
        <f>ROUND(IF(VLOOKUP($A295,EnrollData2324,'2324 Jun 24 Enroll'!E$1,FALSE)='District Calculations'!$B$12,VLOOKUP($A295,EnrollData2324,'2324 Jun 24 Enroll'!E$1,FALSE),'District Calculations'!$B$12)*S295,3)</f>
        <v>14.827999999999999</v>
      </c>
      <c r="V295">
        <f>ROUND(IF(VLOOKUP($A295,EnrollData2324,'2324 Jun 24 Enroll'!F$1,FALSE)='District Calculations'!$B$13,VLOOKUP($A295,EnrollData2324,'2324 Jun 24 Enroll'!F$1,FALSE),'District Calculations'!$B$13)*Apport_224A2324,3)</f>
        <v>3.6190000000000002</v>
      </c>
      <c r="W295">
        <f>ROUND(IF(VLOOKUP($A295,EnrollData2324,'2324 Jun 24 Enroll'!G$1,FALSE)='District Calculations'!$B$14,VLOOKUP($A295,EnrollData2324,'2324 Jun 24 Enroll'!G$1,FALSE),'District Calculations'!$B$14)*Apport_212A2324,3)</f>
        <v>8.0239999999999991</v>
      </c>
      <c r="X295">
        <f>ROUND(IF(VLOOKUP($A295,EnrollData2324,'2324 Jun 24 Enroll'!H$1,FALSE)='District Calculations'!$B$14,VLOOKUP($A295,EnrollData2324,'2324 Jun 24 Enroll'!H$1,FALSE),'District Calculations'!$B$14)*Apport_215A2324,3)</f>
        <v>7.9279999999999999</v>
      </c>
      <c r="Y295">
        <f>ROUND(IF(VLOOKUP($A295,EnrollData2324,'2324 Jun 24 Enroll'!I$1,FALSE)+VLOOKUP($A295,EnrollData2324,'2324 Jun 24 Enroll'!M$1,FALSE)-VLOOKUP($A295,EnrollData2324,'2324 Jun 24 Enroll'!J$1,FALSE)='District Calculations'!$B$16+'District Calculations'!$B$25-'District Calculations'!$B$17,VLOOKUP($A295,EnrollData2324,'2324 Jun 24 Enroll'!I$1,FALSE)+VLOOKUP($A295,EnrollData2324,'2324 Jun 24 Enroll'!M$1,FALSE)-VLOOKUP($A295,EnrollData2324,'2324 Jun 24 Enroll'!J$1,FALSE),'District Calculations'!$B$16+'District Calculations'!$B$25-'District Calculations'!$B$17)*Apport_218A2324,3)</f>
        <v>19.917999999999999</v>
      </c>
      <c r="Z295">
        <f>ROUND(SUM(T295:Y295)/IF(VLOOKUP($A295,EnrollData2324,'2324 Jun 24 Enroll'!M$1,FALSE)+VLOOKUP($A295,EnrollData2324,'2324 Jun 24 Enroll'!D$1,FALSE)='District Calculations'!$B$25+'District Calculations'!$B$11,VLOOKUP($A295,EnrollData2324,'2324 Jun 24 Enroll'!M$1,FALSE)+VLOOKUP($A295,EnrollData2324,'2324 Jun 24 Enroll'!D$1,FALSE),'District Calculations'!$B$25+'District Calculations'!$B$11),5)</f>
        <v>1.7399999999999999E-2</v>
      </c>
      <c r="AA295" s="6">
        <f>ROUND($J295*CIS_Base_Salary2324*VLOOKUP($A295,EnrollData2324,'2324 Jun 24 Enroll'!S$1,FALSE),2)</f>
        <v>4341.4799999999996</v>
      </c>
      <c r="AB295" s="6">
        <f>ROUND($J295*CIS_Inc_Salary2324*(VLOOKUP($A295,EnrollData2324,'2324 Jun 24 Enroll'!T$1,FALSE)+VLOOKUP($A295,EnrollData2324,'2324 Jun 24 Enroll'!U$1,FALSE)),2)-AA295</f>
        <v>160.64000000000033</v>
      </c>
      <c r="AC295" s="6">
        <f>ROUND($R295*CAS_Base_Salary2324*VLOOKUP($A295,EnrollData2324,'2324 Jun 24 Enroll'!S$1,FALSE),2)</f>
        <v>475.81</v>
      </c>
      <c r="AD295" s="6">
        <f>ROUND($R295*CAS_Inc_Salary2324*VLOOKUP($A295,EnrollData2324,'2324 Jun 24 Enroll'!T$1,FALSE),2)-AC295</f>
        <v>17.610000000000014</v>
      </c>
      <c r="AE295" s="6">
        <f>ROUND($Z295*CLS_Base_Salary2324*VLOOKUP($A295,EnrollData2324,'2324 Jun 24 Enroll'!S$1,FALSE),2)</f>
        <v>975.9</v>
      </c>
      <c r="AF295" s="6">
        <f>ROUND($Z295*CLS_Inc_Salary2324*VLOOKUP($A295,EnrollData2324,'2324 Jun 24 Enroll'!T$1,FALSE),2)-AE295</f>
        <v>36.100000000000023</v>
      </c>
      <c r="AG295">
        <f t="shared" si="76"/>
        <v>734.16</v>
      </c>
      <c r="AH295" s="69">
        <f t="shared" si="80"/>
        <v>68.700000000000045</v>
      </c>
      <c r="AI295">
        <f t="shared" si="77"/>
        <v>214.23</v>
      </c>
      <c r="AJ295">
        <f t="shared" si="81"/>
        <v>114.21000000000001</v>
      </c>
      <c r="AK295">
        <f t="shared" si="82"/>
        <v>865.67</v>
      </c>
      <c r="AL295">
        <f t="shared" si="83"/>
        <v>30.89</v>
      </c>
      <c r="AM295">
        <f t="shared" si="84"/>
        <v>215.28</v>
      </c>
      <c r="AN295">
        <f t="shared" si="85"/>
        <v>6.7</v>
      </c>
      <c r="AO295">
        <f>ROUND(($J295*CIS_Inc_Salary2324*(VLOOKUP($A295,EnrollData2324,'2324 Jun 24 Enroll'!T$1,FALSE)+VLOOKUP($A295,EnrollData2324,'2324 Jun 24 Enroll'!U$1,FALSE))/Apport_613Xpd)*Apport_614Xpd,2)</f>
        <v>75.040000000000006</v>
      </c>
      <c r="AP295">
        <f t="shared" si="86"/>
        <v>13</v>
      </c>
      <c r="AQ295">
        <f t="shared" si="87"/>
        <v>30.93</v>
      </c>
      <c r="AR295" s="6">
        <f>ROUND((VLOOKUP($A295,EnrollData2324,'2324 Jun 24 Enroll'!D$1,FALSE)*Apport_M802324+VLOOKUP($A295,EnrollData2324,'2324 Jun 24 Enroll'!M$1,FALSE)*Apport_M802324+(VLOOKUP($A295,EnrollData2324,'2324 Jun 24 Enroll'!P$1,FALSE)+VLOOKUP($A295,EnrollData2324,'2324 Jun 24 Enroll'!Q$1,FALSE)+VLOOKUP($A295,EnrollData2324,'2324 Jun 24 Enroll'!R$1,FALSE)+VLOOKUP($A295,EnrollData2324,'2324 Jun 24 Enroll'!I$1,FALSE)+VLOOKUP($A295,EnrollData2324,'2324 Jun 24 Enroll'!N$1,FALSE)+VLOOKUP($A295,EnrollData2324,'2324 Jun 24 Enroll'!O$1,FALSE)+VLOOKUP($A295,EnrollData2324,'2324 Jun 24 Enroll'!K$1,FALSE)+VLOOKUP($A295,EnrollData2324,'2324 Jun 24 Enroll'!L$1,FALSE))*Apport_M812324)/(VLOOKUP($A295,EnrollData2324,'2324 Jun 24 Enroll'!M$1,FALSE)+VLOOKUP($A295,EnrollData2324,'2324 Jun 24 Enroll'!D$1,FALSE)),2)</f>
        <v>1543.36</v>
      </c>
      <c r="AS295" s="7">
        <f t="shared" si="88"/>
        <v>9919.7100000000028</v>
      </c>
    </row>
    <row r="296" spans="1:45">
      <c r="A296" s="40" t="s">
        <v>540</v>
      </c>
      <c r="B296" s="40" t="s">
        <v>541</v>
      </c>
      <c r="C296" s="11">
        <f>ROUND((IFERROR((1/IF(VLOOKUP($A296,EnrollData2324,28,FALSE)='District Calculations'!$B$10,VLOOKUP($A296,EnrollData2324,28,FALSE),'District Calculations'!$B$10))*(1+Apport_Z315),0))+Apport_201A2324,6)</f>
        <v>7.3449E-2</v>
      </c>
      <c r="D296">
        <f>ROUND(IF(VLOOKUP($A296,EnrollData2324,'2324 Jun 24 Enroll'!D$1,FALSE)='District Calculations'!$B$11,VLOOKUP($A296,EnrollData2324,'2324 Jun 24 Enroll'!D$1,FALSE),'District Calculations'!$B$11)*C296,3)</f>
        <v>0</v>
      </c>
      <c r="E296">
        <f>ROUND(IF(VLOOKUP($A296,EnrollData2324,'2324 Jun 24 Enroll'!E$1,FALSE)='District Calculations'!$B$12,VLOOKUP($A296,EnrollData2324,'2324 Jun 24 Enroll'!E$1,FALSE),'District Calculations'!$B$12)*C296,3)</f>
        <v>59.53</v>
      </c>
      <c r="F296">
        <f>ROUND(IF(VLOOKUP($A296,EnrollData2324,'2324 Jun 24 Enroll'!F$1,FALSE)='District Calculations'!$B$13,VLOOKUP($A296,EnrollData2324,'2324 Jun 24 Enroll'!F$1,FALSE),'District Calculations'!$B$13)*Apport_222A2324,3)</f>
        <v>10.101000000000001</v>
      </c>
      <c r="G296">
        <f>ROUND(IF(VLOOKUP($A296,EnrollData2324,'2324 Jun 24 Enroll'!G$1,FALSE)='District Calculations'!$B$14,VLOOKUP($A296,EnrollData2324,'2324 Jun 24 Enroll'!G$1,FALSE),'District Calculations'!$B$14)*Apport_210A2324,3)</f>
        <v>22.395</v>
      </c>
      <c r="H296">
        <f>ROUND(IF(VLOOKUP($A296,EnrollData2324,'2324 Jun 24 Enroll'!H$1,FALSE)='District Calculations'!$B$15,VLOOKUP($A296,EnrollData2324,'2324 Jun 24 Enroll'!H$1,FALSE),'District Calculations'!$B$15)*Apport_213A2324,3)</f>
        <v>23.091999999999999</v>
      </c>
      <c r="I296">
        <f>ROUND(IF(VLOOKUP($A296,EnrollData2324,'2324 Jun 24 Enroll'!I$1,FALSE)+VLOOKUP($A296,EnrollData2324,'2324 Jun 24 Enroll'!M$1,FALSE)-VLOOKUP($A296,EnrollData2324,'2324 Jun 24 Enroll'!J$1,FALSE)='District Calculations'!$B$16+'District Calculations'!$B$25-'District Calculations'!$B$17,VLOOKUP($A296,EnrollData2324,'2324 Jun 24 Enroll'!I$1,FALSE)+VLOOKUP($A296,EnrollData2324,'2324 Jun 24 Enroll'!M$1,FALSE)-VLOOKUP($A296,EnrollData2324,'2324 Jun 24 Enroll'!J$1,FALSE),'District Calculations'!$B$16+'District Calculations'!$B$25-'District Calculations'!$B$17)*Apport_216A2324,3)</f>
        <v>58.183999999999997</v>
      </c>
      <c r="J296">
        <f>ROUND(SUM(D296:I296)/(IF(VLOOKUP($A296,EnrollData2324,'2324 Jun 24 Enroll'!M$1,FALSE)='District Calculations'!$B$25,VLOOKUP($A296,EnrollData2324,'2324 Jun 24 Enroll'!M$1,FALSE),'District Calculations'!$B$25)+IF(VLOOKUP($A296,EnrollData2324,'2324 Jun 24 Enroll'!D$1,FALSE)='District Calculations'!$B$11,VLOOKUP($A296,EnrollData2324,'2324 Jun 24 Enroll'!D$1,FALSE),'District Calculations'!$B$11)),5)</f>
        <v>5.5530000000000003E-2</v>
      </c>
      <c r="K296" s="11">
        <f t="shared" si="78"/>
        <v>4.365E-3</v>
      </c>
      <c r="L296">
        <f>ROUND(IF(VLOOKUP($A296,EnrollData2324,'2324 Jun 24 Enroll'!D$1,FALSE)='District Calculations'!$B$11,VLOOKUP($A296,EnrollData2324,'2324 Jun 24 Enroll'!D$1,FALSE),'District Calculations'!$B$11)*K296,3)</f>
        <v>0</v>
      </c>
      <c r="M296">
        <f>ROUND(IF(VLOOKUP($A296,EnrollData2324,'2324 Jun 24 Enroll'!E$1,FALSE)='District Calculations'!$B$12,VLOOKUP($A296,EnrollData2324,'2324 Jun 24 Enroll'!E$1,FALSE),'District Calculations'!$B$12)*K296,3)</f>
        <v>3.5379999999999998</v>
      </c>
      <c r="N296">
        <f>ROUND(IF(VLOOKUP($A296,EnrollData2324,'2324 Jun 24 Enroll'!F$1,FALSE)='District Calculations'!$B$13,VLOOKUP($A296,EnrollData2324,'2324 Jun 24 Enroll'!F$1,FALSE),'District Calculations'!$B$13)*Apport_223A2324,3)</f>
        <v>0.84199999999999997</v>
      </c>
      <c r="O296">
        <f>ROUND(IF(VLOOKUP($A296,EnrollData2324,'2324 Jun 24 Enroll'!G$1,FALSE)='District Calculations'!$B$14,VLOOKUP($A296,EnrollData2324,'2324 Jun 24 Enroll'!G$1,FALSE),'District Calculations'!$B$14)*Apport_211A2324,3)</f>
        <v>1.867</v>
      </c>
      <c r="P296">
        <f>ROUND(IF(VLOOKUP($A296,EnrollData2324,'2324 Jun 24 Enroll'!H$1,FALSE)='District Calculations'!$B$14,VLOOKUP($A296,EnrollData2324,'2324 Jun 24 Enroll'!H$1,FALSE),'District Calculations'!$B$14)*Apport_214A2324,3)</f>
        <v>1.8660000000000001</v>
      </c>
      <c r="Q296">
        <f>ROUND(IF(VLOOKUP($A296,EnrollData2324,'2324 Jun 24 Enroll'!I$1,FALSE)+VLOOKUP($A296,EnrollData2324,'2324 Jun 24 Enroll'!M$1,FALSE)-VLOOKUP($A296,EnrollData2324,'2324 Jun 24 Enroll'!J$1,FALSE)='District Calculations'!$B$16+'District Calculations'!$B$25-'District Calculations'!$B$17,VLOOKUP($A296,EnrollData2324,'2324 Jun 24 Enroll'!I$1,FALSE)+VLOOKUP($A296,EnrollData2324,'2324 Jun 24 Enroll'!M$1,FALSE)-VLOOKUP($A296,EnrollData2324,'2324 Jun 24 Enroll'!J$1,FALSE),'District Calculations'!$B$16+'District Calculations'!$B$25-'District Calculations'!$B$17)*Apport_217A2324,3)</f>
        <v>4.6980000000000004</v>
      </c>
      <c r="R296">
        <f>ROUND(SUM(L296:Q296)/IF(VLOOKUP($A296,EnrollData2324,'2324 Jun 24 Enroll'!M$1,FALSE)+VLOOKUP($A296,EnrollData2324,'2324 Jun 24 Enroll'!D$1,FALSE)='District Calculations'!$B$25+'District Calculations'!$B$11,VLOOKUP($A296,EnrollData2324,'2324 Jun 24 Enroll'!M$1,FALSE)+VLOOKUP($A296,EnrollData2324,'2324 Jun 24 Enroll'!D$1,FALSE),'District Calculations'!$B$25+'District Calculations'!$B$11),5)</f>
        <v>4.1000000000000003E-3</v>
      </c>
      <c r="S296" s="11">
        <f t="shared" si="79"/>
        <v>1.8294500000000002E-2</v>
      </c>
      <c r="T296">
        <f>ROUND(IF(VLOOKUP($A296,EnrollData2324,'2324 Jun 24 Enroll'!D$1,FALSE)='District Calculations'!$B$11,VLOOKUP($A296,EnrollData2324,'2324 Jun 24 Enroll'!D$1,FALSE),'District Calculations'!$B$11)*S296,3)</f>
        <v>0</v>
      </c>
      <c r="U296">
        <f>ROUND(IF(VLOOKUP($A296,EnrollData2324,'2324 Jun 24 Enroll'!E$1,FALSE)='District Calculations'!$B$12,VLOOKUP($A296,EnrollData2324,'2324 Jun 24 Enroll'!E$1,FALSE),'District Calculations'!$B$12)*S296,3)</f>
        <v>14.827999999999999</v>
      </c>
      <c r="V296">
        <f>ROUND(IF(VLOOKUP($A296,EnrollData2324,'2324 Jun 24 Enroll'!F$1,FALSE)='District Calculations'!$B$13,VLOOKUP($A296,EnrollData2324,'2324 Jun 24 Enroll'!F$1,FALSE),'District Calculations'!$B$13)*Apport_224A2324,3)</f>
        <v>3.6190000000000002</v>
      </c>
      <c r="W296">
        <f>ROUND(IF(VLOOKUP($A296,EnrollData2324,'2324 Jun 24 Enroll'!G$1,FALSE)='District Calculations'!$B$14,VLOOKUP($A296,EnrollData2324,'2324 Jun 24 Enroll'!G$1,FALSE),'District Calculations'!$B$14)*Apport_212A2324,3)</f>
        <v>8.0239999999999991</v>
      </c>
      <c r="X296">
        <f>ROUND(IF(VLOOKUP($A296,EnrollData2324,'2324 Jun 24 Enroll'!H$1,FALSE)='District Calculations'!$B$14,VLOOKUP($A296,EnrollData2324,'2324 Jun 24 Enroll'!H$1,FALSE),'District Calculations'!$B$14)*Apport_215A2324,3)</f>
        <v>7.9279999999999999</v>
      </c>
      <c r="Y296">
        <f>ROUND(IF(VLOOKUP($A296,EnrollData2324,'2324 Jun 24 Enroll'!I$1,FALSE)+VLOOKUP($A296,EnrollData2324,'2324 Jun 24 Enroll'!M$1,FALSE)-VLOOKUP($A296,EnrollData2324,'2324 Jun 24 Enroll'!J$1,FALSE)='District Calculations'!$B$16+'District Calculations'!$B$25-'District Calculations'!$B$17,VLOOKUP($A296,EnrollData2324,'2324 Jun 24 Enroll'!I$1,FALSE)+VLOOKUP($A296,EnrollData2324,'2324 Jun 24 Enroll'!M$1,FALSE)-VLOOKUP($A296,EnrollData2324,'2324 Jun 24 Enroll'!J$1,FALSE),'District Calculations'!$B$16+'District Calculations'!$B$25-'District Calculations'!$B$17)*Apport_218A2324,3)</f>
        <v>19.917999999999999</v>
      </c>
      <c r="Z296">
        <f>ROUND(SUM(T296:Y296)/IF(VLOOKUP($A296,EnrollData2324,'2324 Jun 24 Enroll'!M$1,FALSE)+VLOOKUP($A296,EnrollData2324,'2324 Jun 24 Enroll'!D$1,FALSE)='District Calculations'!$B$25+'District Calculations'!$B$11,VLOOKUP($A296,EnrollData2324,'2324 Jun 24 Enroll'!M$1,FALSE)+VLOOKUP($A296,EnrollData2324,'2324 Jun 24 Enroll'!D$1,FALSE),'District Calculations'!$B$25+'District Calculations'!$B$11),5)</f>
        <v>1.7399999999999999E-2</v>
      </c>
      <c r="AA296" s="6">
        <f>ROUND($J296*CIS_Base_Salary2324*VLOOKUP($A296,EnrollData2324,'2324 Jun 24 Enroll'!S$1,FALSE),2)</f>
        <v>4038.59</v>
      </c>
      <c r="AB296" s="6">
        <f>ROUND($J296*CIS_Inc_Salary2324*(VLOOKUP($A296,EnrollData2324,'2324 Jun 24 Enroll'!T$1,FALSE)+VLOOKUP($A296,EnrollData2324,'2324 Jun 24 Enroll'!U$1,FALSE)),2)-AA296</f>
        <v>233.1899999999996</v>
      </c>
      <c r="AC296" s="6">
        <f>ROUND($R296*CAS_Base_Salary2324*VLOOKUP($A296,EnrollData2324,'2324 Jun 24 Enroll'!S$1,FALSE),2)</f>
        <v>442.62</v>
      </c>
      <c r="AD296" s="6">
        <f>ROUND($R296*CAS_Inc_Salary2324*VLOOKUP($A296,EnrollData2324,'2324 Jun 24 Enroll'!T$1,FALSE),2)-AC296</f>
        <v>16.379999999999995</v>
      </c>
      <c r="AE296" s="6">
        <f>ROUND($Z296*CLS_Base_Salary2324*VLOOKUP($A296,EnrollData2324,'2324 Jun 24 Enroll'!S$1,FALSE),2)</f>
        <v>907.81</v>
      </c>
      <c r="AF296" s="6">
        <f>ROUND($Z296*CLS_Inc_Salary2324*VLOOKUP($A296,EnrollData2324,'2324 Jun 24 Enroll'!T$1,FALSE),2)-AE296</f>
        <v>33.580000000000041</v>
      </c>
      <c r="AG296">
        <f t="shared" si="76"/>
        <v>734.16</v>
      </c>
      <c r="AH296" s="69">
        <f t="shared" si="80"/>
        <v>68.700000000000045</v>
      </c>
      <c r="AI296">
        <f t="shared" si="77"/>
        <v>214.23</v>
      </c>
      <c r="AJ296">
        <f t="shared" si="81"/>
        <v>114.21000000000001</v>
      </c>
      <c r="AK296">
        <f t="shared" si="82"/>
        <v>805.27</v>
      </c>
      <c r="AL296">
        <f t="shared" si="83"/>
        <v>43.25</v>
      </c>
      <c r="AM296">
        <f t="shared" si="84"/>
        <v>200.26</v>
      </c>
      <c r="AN296">
        <f t="shared" si="85"/>
        <v>6.23</v>
      </c>
      <c r="AO296">
        <f>ROUND(($J296*CIS_Inc_Salary2324*(VLOOKUP($A296,EnrollData2324,'2324 Jun 24 Enroll'!T$1,FALSE)+VLOOKUP($A296,EnrollData2324,'2324 Jun 24 Enroll'!U$1,FALSE))/Apport_613Xpd)*Apport_614Xpd,2)</f>
        <v>71.2</v>
      </c>
      <c r="AP296">
        <f t="shared" si="86"/>
        <v>12.34</v>
      </c>
      <c r="AQ296">
        <f t="shared" si="87"/>
        <v>30.93</v>
      </c>
      <c r="AR296" s="6">
        <f>ROUND((VLOOKUP($A296,EnrollData2324,'2324 Jun 24 Enroll'!D$1,FALSE)*Apport_M802324+VLOOKUP($A296,EnrollData2324,'2324 Jun 24 Enroll'!M$1,FALSE)*Apport_M802324+(VLOOKUP($A296,EnrollData2324,'2324 Jun 24 Enroll'!P$1,FALSE)+VLOOKUP($A296,EnrollData2324,'2324 Jun 24 Enroll'!Q$1,FALSE)+VLOOKUP($A296,EnrollData2324,'2324 Jun 24 Enroll'!R$1,FALSE)+VLOOKUP($A296,EnrollData2324,'2324 Jun 24 Enroll'!I$1,FALSE)+VLOOKUP($A296,EnrollData2324,'2324 Jun 24 Enroll'!N$1,FALSE)+VLOOKUP($A296,EnrollData2324,'2324 Jun 24 Enroll'!O$1,FALSE)+VLOOKUP($A296,EnrollData2324,'2324 Jun 24 Enroll'!K$1,FALSE)+VLOOKUP($A296,EnrollData2324,'2324 Jun 24 Enroll'!L$1,FALSE))*Apport_M812324)/(VLOOKUP($A296,EnrollData2324,'2324 Jun 24 Enroll'!M$1,FALSE)+VLOOKUP($A296,EnrollData2324,'2324 Jun 24 Enroll'!D$1,FALSE)),2)</f>
        <v>1559.08</v>
      </c>
      <c r="AS296" s="7">
        <f t="shared" si="88"/>
        <v>9532.0299999999988</v>
      </c>
    </row>
    <row r="297" spans="1:45">
      <c r="A297" s="40" t="s">
        <v>552</v>
      </c>
      <c r="B297" s="40" t="s">
        <v>553</v>
      </c>
      <c r="C297" s="11">
        <f>ROUND((IFERROR((1/IF(VLOOKUP($A297,EnrollData2324,28,FALSE)='District Calculations'!$B$10,VLOOKUP($A297,EnrollData2324,28,FALSE),'District Calculations'!$B$10))*(1+Apport_Z315),0))+Apport_201A2324,6)</f>
        <v>7.3449E-2</v>
      </c>
      <c r="D297">
        <f>ROUND(IF(VLOOKUP($A297,EnrollData2324,'2324 Jun 24 Enroll'!D$1,FALSE)='District Calculations'!$B$11,VLOOKUP($A297,EnrollData2324,'2324 Jun 24 Enroll'!D$1,FALSE),'District Calculations'!$B$11)*C297,3)</f>
        <v>0</v>
      </c>
      <c r="E297">
        <f>ROUND(IF(VLOOKUP($A297,EnrollData2324,'2324 Jun 24 Enroll'!E$1,FALSE)='District Calculations'!$B$12,VLOOKUP($A297,EnrollData2324,'2324 Jun 24 Enroll'!E$1,FALSE),'District Calculations'!$B$12)*C297,3)</f>
        <v>59.53</v>
      </c>
      <c r="F297">
        <f>ROUND(IF(VLOOKUP($A297,EnrollData2324,'2324 Jun 24 Enroll'!F$1,FALSE)='District Calculations'!$B$13,VLOOKUP($A297,EnrollData2324,'2324 Jun 24 Enroll'!F$1,FALSE),'District Calculations'!$B$13)*Apport_222A2324,3)</f>
        <v>10.101000000000001</v>
      </c>
      <c r="G297">
        <f>ROUND(IF(VLOOKUP($A297,EnrollData2324,'2324 Jun 24 Enroll'!G$1,FALSE)='District Calculations'!$B$14,VLOOKUP($A297,EnrollData2324,'2324 Jun 24 Enroll'!G$1,FALSE),'District Calculations'!$B$14)*Apport_210A2324,3)</f>
        <v>22.395</v>
      </c>
      <c r="H297">
        <f>ROUND(IF(VLOOKUP($A297,EnrollData2324,'2324 Jun 24 Enroll'!H$1,FALSE)='District Calculations'!$B$15,VLOOKUP($A297,EnrollData2324,'2324 Jun 24 Enroll'!H$1,FALSE),'District Calculations'!$B$15)*Apport_213A2324,3)</f>
        <v>23.091999999999999</v>
      </c>
      <c r="I297">
        <f>ROUND(IF(VLOOKUP($A297,EnrollData2324,'2324 Jun 24 Enroll'!I$1,FALSE)+VLOOKUP($A297,EnrollData2324,'2324 Jun 24 Enroll'!M$1,FALSE)-VLOOKUP($A297,EnrollData2324,'2324 Jun 24 Enroll'!J$1,FALSE)='District Calculations'!$B$16+'District Calculations'!$B$25-'District Calculations'!$B$17,VLOOKUP($A297,EnrollData2324,'2324 Jun 24 Enroll'!I$1,FALSE)+VLOOKUP($A297,EnrollData2324,'2324 Jun 24 Enroll'!M$1,FALSE)-VLOOKUP($A297,EnrollData2324,'2324 Jun 24 Enroll'!J$1,FALSE),'District Calculations'!$B$16+'District Calculations'!$B$25-'District Calculations'!$B$17)*Apport_216A2324,3)</f>
        <v>58.183999999999997</v>
      </c>
      <c r="J297">
        <f>ROUND(SUM(D297:I297)/(IF(VLOOKUP($A297,EnrollData2324,'2324 Jun 24 Enroll'!M$1,FALSE)='District Calculations'!$B$25,VLOOKUP($A297,EnrollData2324,'2324 Jun 24 Enroll'!M$1,FALSE),'District Calculations'!$B$25)+IF(VLOOKUP($A297,EnrollData2324,'2324 Jun 24 Enroll'!D$1,FALSE)='District Calculations'!$B$11,VLOOKUP($A297,EnrollData2324,'2324 Jun 24 Enroll'!D$1,FALSE),'District Calculations'!$B$11)),5)</f>
        <v>5.5530000000000003E-2</v>
      </c>
      <c r="K297" s="11">
        <f t="shared" si="78"/>
        <v>4.365E-3</v>
      </c>
      <c r="L297">
        <f>ROUND(IF(VLOOKUP($A297,EnrollData2324,'2324 Jun 24 Enroll'!D$1,FALSE)='District Calculations'!$B$11,VLOOKUP($A297,EnrollData2324,'2324 Jun 24 Enroll'!D$1,FALSE),'District Calculations'!$B$11)*K297,3)</f>
        <v>0</v>
      </c>
      <c r="M297">
        <f>ROUND(IF(VLOOKUP($A297,EnrollData2324,'2324 Jun 24 Enroll'!E$1,FALSE)='District Calculations'!$B$12,VLOOKUP($A297,EnrollData2324,'2324 Jun 24 Enroll'!E$1,FALSE),'District Calculations'!$B$12)*K297,3)</f>
        <v>3.5379999999999998</v>
      </c>
      <c r="N297">
        <f>ROUND(IF(VLOOKUP($A297,EnrollData2324,'2324 Jun 24 Enroll'!F$1,FALSE)='District Calculations'!$B$13,VLOOKUP($A297,EnrollData2324,'2324 Jun 24 Enroll'!F$1,FALSE),'District Calculations'!$B$13)*Apport_223A2324,3)</f>
        <v>0.84199999999999997</v>
      </c>
      <c r="O297">
        <f>ROUND(IF(VLOOKUP($A297,EnrollData2324,'2324 Jun 24 Enroll'!G$1,FALSE)='District Calculations'!$B$14,VLOOKUP($A297,EnrollData2324,'2324 Jun 24 Enroll'!G$1,FALSE),'District Calculations'!$B$14)*Apport_211A2324,3)</f>
        <v>1.867</v>
      </c>
      <c r="P297">
        <f>ROUND(IF(VLOOKUP($A297,EnrollData2324,'2324 Jun 24 Enroll'!H$1,FALSE)='District Calculations'!$B$14,VLOOKUP($A297,EnrollData2324,'2324 Jun 24 Enroll'!H$1,FALSE),'District Calculations'!$B$14)*Apport_214A2324,3)</f>
        <v>1.8660000000000001</v>
      </c>
      <c r="Q297">
        <f>ROUND(IF(VLOOKUP($A297,EnrollData2324,'2324 Jun 24 Enroll'!I$1,FALSE)+VLOOKUP($A297,EnrollData2324,'2324 Jun 24 Enroll'!M$1,FALSE)-VLOOKUP($A297,EnrollData2324,'2324 Jun 24 Enroll'!J$1,FALSE)='District Calculations'!$B$16+'District Calculations'!$B$25-'District Calculations'!$B$17,VLOOKUP($A297,EnrollData2324,'2324 Jun 24 Enroll'!I$1,FALSE)+VLOOKUP($A297,EnrollData2324,'2324 Jun 24 Enroll'!M$1,FALSE)-VLOOKUP($A297,EnrollData2324,'2324 Jun 24 Enroll'!J$1,FALSE),'District Calculations'!$B$16+'District Calculations'!$B$25-'District Calculations'!$B$17)*Apport_217A2324,3)</f>
        <v>4.6980000000000004</v>
      </c>
      <c r="R297">
        <f>ROUND(SUM(L297:Q297)/IF(VLOOKUP($A297,EnrollData2324,'2324 Jun 24 Enroll'!M$1,FALSE)+VLOOKUP($A297,EnrollData2324,'2324 Jun 24 Enroll'!D$1,FALSE)='District Calculations'!$B$25+'District Calculations'!$B$11,VLOOKUP($A297,EnrollData2324,'2324 Jun 24 Enroll'!M$1,FALSE)+VLOOKUP($A297,EnrollData2324,'2324 Jun 24 Enroll'!D$1,FALSE),'District Calculations'!$B$25+'District Calculations'!$B$11),5)</f>
        <v>4.1000000000000003E-3</v>
      </c>
      <c r="S297" s="11">
        <f t="shared" si="79"/>
        <v>1.8294500000000002E-2</v>
      </c>
      <c r="T297">
        <f>ROUND(IF(VLOOKUP($A297,EnrollData2324,'2324 Jun 24 Enroll'!D$1,FALSE)='District Calculations'!$B$11,VLOOKUP($A297,EnrollData2324,'2324 Jun 24 Enroll'!D$1,FALSE),'District Calculations'!$B$11)*S297,3)</f>
        <v>0</v>
      </c>
      <c r="U297">
        <f>ROUND(IF(VLOOKUP($A297,EnrollData2324,'2324 Jun 24 Enroll'!E$1,FALSE)='District Calculations'!$B$12,VLOOKUP($A297,EnrollData2324,'2324 Jun 24 Enroll'!E$1,FALSE),'District Calculations'!$B$12)*S297,3)</f>
        <v>14.827999999999999</v>
      </c>
      <c r="V297">
        <f>ROUND(IF(VLOOKUP($A297,EnrollData2324,'2324 Jun 24 Enroll'!F$1,FALSE)='District Calculations'!$B$13,VLOOKUP($A297,EnrollData2324,'2324 Jun 24 Enroll'!F$1,FALSE),'District Calculations'!$B$13)*Apport_224A2324,3)</f>
        <v>3.6190000000000002</v>
      </c>
      <c r="W297">
        <f>ROUND(IF(VLOOKUP($A297,EnrollData2324,'2324 Jun 24 Enroll'!G$1,FALSE)='District Calculations'!$B$14,VLOOKUP($A297,EnrollData2324,'2324 Jun 24 Enroll'!G$1,FALSE),'District Calculations'!$B$14)*Apport_212A2324,3)</f>
        <v>8.0239999999999991</v>
      </c>
      <c r="X297">
        <f>ROUND(IF(VLOOKUP($A297,EnrollData2324,'2324 Jun 24 Enroll'!H$1,FALSE)='District Calculations'!$B$14,VLOOKUP($A297,EnrollData2324,'2324 Jun 24 Enroll'!H$1,FALSE),'District Calculations'!$B$14)*Apport_215A2324,3)</f>
        <v>7.9279999999999999</v>
      </c>
      <c r="Y297">
        <f>ROUND(IF(VLOOKUP($A297,EnrollData2324,'2324 Jun 24 Enroll'!I$1,FALSE)+VLOOKUP($A297,EnrollData2324,'2324 Jun 24 Enroll'!M$1,FALSE)-VLOOKUP($A297,EnrollData2324,'2324 Jun 24 Enroll'!J$1,FALSE)='District Calculations'!$B$16+'District Calculations'!$B$25-'District Calculations'!$B$17,VLOOKUP($A297,EnrollData2324,'2324 Jun 24 Enroll'!I$1,FALSE)+VLOOKUP($A297,EnrollData2324,'2324 Jun 24 Enroll'!M$1,FALSE)-VLOOKUP($A297,EnrollData2324,'2324 Jun 24 Enroll'!J$1,FALSE),'District Calculations'!$B$16+'District Calculations'!$B$25-'District Calculations'!$B$17)*Apport_218A2324,3)</f>
        <v>19.917999999999999</v>
      </c>
      <c r="Z297">
        <f>ROUND(SUM(T297:Y297)/IF(VLOOKUP($A297,EnrollData2324,'2324 Jun 24 Enroll'!M$1,FALSE)+VLOOKUP($A297,EnrollData2324,'2324 Jun 24 Enroll'!D$1,FALSE)='District Calculations'!$B$25+'District Calculations'!$B$11,VLOOKUP($A297,EnrollData2324,'2324 Jun 24 Enroll'!M$1,FALSE)+VLOOKUP($A297,EnrollData2324,'2324 Jun 24 Enroll'!D$1,FALSE),'District Calculations'!$B$25+'District Calculations'!$B$11),5)</f>
        <v>1.7399999999999999E-2</v>
      </c>
      <c r="AA297" s="6">
        <f>ROUND($J297*CIS_Base_Salary2324*VLOOKUP($A297,EnrollData2324,'2324 Jun 24 Enroll'!S$1,FALSE),2)</f>
        <v>4038.59</v>
      </c>
      <c r="AB297" s="6">
        <f>ROUND($J297*CIS_Inc_Salary2324*(VLOOKUP($A297,EnrollData2324,'2324 Jun 24 Enroll'!T$1,FALSE)+VLOOKUP($A297,EnrollData2324,'2324 Jun 24 Enroll'!U$1,FALSE)),2)-AA297</f>
        <v>149.43000000000029</v>
      </c>
      <c r="AC297" s="6">
        <f>ROUND($R297*CAS_Base_Salary2324*VLOOKUP($A297,EnrollData2324,'2324 Jun 24 Enroll'!S$1,FALSE),2)</f>
        <v>442.62</v>
      </c>
      <c r="AD297" s="6">
        <f>ROUND($R297*CAS_Inc_Salary2324*VLOOKUP($A297,EnrollData2324,'2324 Jun 24 Enroll'!T$1,FALSE),2)-AC297</f>
        <v>16.379999999999995</v>
      </c>
      <c r="AE297" s="6">
        <f>ROUND($Z297*CLS_Base_Salary2324*VLOOKUP($A297,EnrollData2324,'2324 Jun 24 Enroll'!S$1,FALSE),2)</f>
        <v>907.81</v>
      </c>
      <c r="AF297" s="6">
        <f>ROUND($Z297*CLS_Inc_Salary2324*VLOOKUP($A297,EnrollData2324,'2324 Jun 24 Enroll'!T$1,FALSE),2)-AE297</f>
        <v>33.580000000000041</v>
      </c>
      <c r="AG297">
        <f t="shared" si="76"/>
        <v>734.16</v>
      </c>
      <c r="AH297" s="69">
        <f t="shared" si="80"/>
        <v>68.700000000000045</v>
      </c>
      <c r="AI297">
        <f t="shared" si="77"/>
        <v>214.23</v>
      </c>
      <c r="AJ297">
        <f t="shared" si="81"/>
        <v>114.21000000000001</v>
      </c>
      <c r="AK297">
        <f t="shared" si="82"/>
        <v>805.27</v>
      </c>
      <c r="AL297">
        <f t="shared" si="83"/>
        <v>28.73</v>
      </c>
      <c r="AM297">
        <f t="shared" si="84"/>
        <v>200.26</v>
      </c>
      <c r="AN297">
        <f t="shared" si="85"/>
        <v>6.23</v>
      </c>
      <c r="AO297">
        <f>ROUND(($J297*CIS_Inc_Salary2324*(VLOOKUP($A297,EnrollData2324,'2324 Jun 24 Enroll'!T$1,FALSE)+VLOOKUP($A297,EnrollData2324,'2324 Jun 24 Enroll'!U$1,FALSE))/Apport_613Xpd)*Apport_614Xpd,2)</f>
        <v>69.8</v>
      </c>
      <c r="AP297">
        <f t="shared" si="86"/>
        <v>12.1</v>
      </c>
      <c r="AQ297">
        <f t="shared" si="87"/>
        <v>30.93</v>
      </c>
      <c r="AR297" s="6">
        <f>ROUND((VLOOKUP($A297,EnrollData2324,'2324 Jun 24 Enroll'!D$1,FALSE)*Apport_M802324+VLOOKUP($A297,EnrollData2324,'2324 Jun 24 Enroll'!M$1,FALSE)*Apport_M802324+(VLOOKUP($A297,EnrollData2324,'2324 Jun 24 Enroll'!P$1,FALSE)+VLOOKUP($A297,EnrollData2324,'2324 Jun 24 Enroll'!Q$1,FALSE)+VLOOKUP($A297,EnrollData2324,'2324 Jun 24 Enroll'!R$1,FALSE)+VLOOKUP($A297,EnrollData2324,'2324 Jun 24 Enroll'!I$1,FALSE)+VLOOKUP($A297,EnrollData2324,'2324 Jun 24 Enroll'!N$1,FALSE)+VLOOKUP($A297,EnrollData2324,'2324 Jun 24 Enroll'!O$1,FALSE)+VLOOKUP($A297,EnrollData2324,'2324 Jun 24 Enroll'!K$1,FALSE)+VLOOKUP($A297,EnrollData2324,'2324 Jun 24 Enroll'!L$1,FALSE))*Apport_M812324)/(VLOOKUP($A297,EnrollData2324,'2324 Jun 24 Enroll'!M$1,FALSE)+VLOOKUP($A297,EnrollData2324,'2324 Jun 24 Enroll'!D$1,FALSE)),2)</f>
        <v>1483.44</v>
      </c>
      <c r="AS297" s="7">
        <f t="shared" si="88"/>
        <v>9356.4699999999993</v>
      </c>
    </row>
    <row r="298" spans="1:45">
      <c r="A298" s="40" t="s">
        <v>815</v>
      </c>
      <c r="B298" s="40" t="s">
        <v>816</v>
      </c>
      <c r="C298" s="11">
        <f>ROUND((IFERROR((1/IF(VLOOKUP($A298,EnrollData2324,28,FALSE)='District Calculations'!$B$10,VLOOKUP($A298,EnrollData2324,28,FALSE),'District Calculations'!$B$10))*(1+Apport_Z315),0))+Apport_201A2324,6)</f>
        <v>7.3449E-2</v>
      </c>
      <c r="D298">
        <f>ROUND(IF(VLOOKUP($A298,EnrollData2324,'2324 Jun 24 Enroll'!D$1,FALSE)='District Calculations'!$B$11,VLOOKUP($A298,EnrollData2324,'2324 Jun 24 Enroll'!D$1,FALSE),'District Calculations'!$B$11)*C298,3)</f>
        <v>0</v>
      </c>
      <c r="E298">
        <f>ROUND(IF(VLOOKUP($A298,EnrollData2324,'2324 Jun 24 Enroll'!E$1,FALSE)='District Calculations'!$B$12,VLOOKUP($A298,EnrollData2324,'2324 Jun 24 Enroll'!E$1,FALSE),'District Calculations'!$B$12)*C298,3)</f>
        <v>59.53</v>
      </c>
      <c r="F298">
        <f>ROUND(IF(VLOOKUP($A298,EnrollData2324,'2324 Jun 24 Enroll'!F$1,FALSE)='District Calculations'!$B$13,VLOOKUP($A298,EnrollData2324,'2324 Jun 24 Enroll'!F$1,FALSE),'District Calculations'!$B$13)*Apport_222A2324,3)</f>
        <v>10.101000000000001</v>
      </c>
      <c r="G298">
        <f>ROUND(IF(VLOOKUP($A298,EnrollData2324,'2324 Jun 24 Enroll'!G$1,FALSE)='District Calculations'!$B$14,VLOOKUP($A298,EnrollData2324,'2324 Jun 24 Enroll'!G$1,FALSE),'District Calculations'!$B$14)*Apport_210A2324,3)</f>
        <v>22.395</v>
      </c>
      <c r="H298">
        <f>ROUND(IF(VLOOKUP($A298,EnrollData2324,'2324 Jun 24 Enroll'!H$1,FALSE)='District Calculations'!$B$15,VLOOKUP($A298,EnrollData2324,'2324 Jun 24 Enroll'!H$1,FALSE),'District Calculations'!$B$15)*Apport_213A2324,3)</f>
        <v>23.091999999999999</v>
      </c>
      <c r="I298">
        <f>ROUND(IF(VLOOKUP($A298,EnrollData2324,'2324 Jun 24 Enroll'!I$1,FALSE)+VLOOKUP($A298,EnrollData2324,'2324 Jun 24 Enroll'!M$1,FALSE)-VLOOKUP($A298,EnrollData2324,'2324 Jun 24 Enroll'!J$1,FALSE)='District Calculations'!$B$16+'District Calculations'!$B$25-'District Calculations'!$B$17,VLOOKUP($A298,EnrollData2324,'2324 Jun 24 Enroll'!I$1,FALSE)+VLOOKUP($A298,EnrollData2324,'2324 Jun 24 Enroll'!M$1,FALSE)-VLOOKUP($A298,EnrollData2324,'2324 Jun 24 Enroll'!J$1,FALSE),'District Calculations'!$B$16+'District Calculations'!$B$25-'District Calculations'!$B$17)*Apport_216A2324,3)</f>
        <v>58.183999999999997</v>
      </c>
      <c r="J298">
        <f>ROUND(SUM(D298:I298)/(IF(VLOOKUP($A298,EnrollData2324,'2324 Jun 24 Enroll'!M$1,FALSE)='District Calculations'!$B$25,VLOOKUP($A298,EnrollData2324,'2324 Jun 24 Enroll'!M$1,FALSE),'District Calculations'!$B$25)+IF(VLOOKUP($A298,EnrollData2324,'2324 Jun 24 Enroll'!D$1,FALSE)='District Calculations'!$B$11,VLOOKUP($A298,EnrollData2324,'2324 Jun 24 Enroll'!D$1,FALSE),'District Calculations'!$B$11)),5)</f>
        <v>5.5530000000000003E-2</v>
      </c>
      <c r="K298" s="11">
        <f t="shared" si="78"/>
        <v>4.365E-3</v>
      </c>
      <c r="L298">
        <f>ROUND(IF(VLOOKUP($A298,EnrollData2324,'2324 Jun 24 Enroll'!D$1,FALSE)='District Calculations'!$B$11,VLOOKUP($A298,EnrollData2324,'2324 Jun 24 Enroll'!D$1,FALSE),'District Calculations'!$B$11)*K298,3)</f>
        <v>0</v>
      </c>
      <c r="M298">
        <f>ROUND(IF(VLOOKUP($A298,EnrollData2324,'2324 Jun 24 Enroll'!E$1,FALSE)='District Calculations'!$B$12,VLOOKUP($A298,EnrollData2324,'2324 Jun 24 Enroll'!E$1,FALSE),'District Calculations'!$B$12)*K298,3)</f>
        <v>3.5379999999999998</v>
      </c>
      <c r="N298">
        <f>ROUND(IF(VLOOKUP($A298,EnrollData2324,'2324 Jun 24 Enroll'!F$1,FALSE)='District Calculations'!$B$13,VLOOKUP($A298,EnrollData2324,'2324 Jun 24 Enroll'!F$1,FALSE),'District Calculations'!$B$13)*Apport_223A2324,3)</f>
        <v>0.84199999999999997</v>
      </c>
      <c r="O298">
        <f>ROUND(IF(VLOOKUP($A298,EnrollData2324,'2324 Jun 24 Enroll'!G$1,FALSE)='District Calculations'!$B$14,VLOOKUP($A298,EnrollData2324,'2324 Jun 24 Enroll'!G$1,FALSE),'District Calculations'!$B$14)*Apport_211A2324,3)</f>
        <v>1.867</v>
      </c>
      <c r="P298">
        <f>ROUND(IF(VLOOKUP($A298,EnrollData2324,'2324 Jun 24 Enroll'!H$1,FALSE)='District Calculations'!$B$14,VLOOKUP($A298,EnrollData2324,'2324 Jun 24 Enroll'!H$1,FALSE),'District Calculations'!$B$14)*Apport_214A2324,3)</f>
        <v>1.8660000000000001</v>
      </c>
      <c r="Q298">
        <f>ROUND(IF(VLOOKUP($A298,EnrollData2324,'2324 Jun 24 Enroll'!I$1,FALSE)+VLOOKUP($A298,EnrollData2324,'2324 Jun 24 Enroll'!M$1,FALSE)-VLOOKUP($A298,EnrollData2324,'2324 Jun 24 Enroll'!J$1,FALSE)='District Calculations'!$B$16+'District Calculations'!$B$25-'District Calculations'!$B$17,VLOOKUP($A298,EnrollData2324,'2324 Jun 24 Enroll'!I$1,FALSE)+VLOOKUP($A298,EnrollData2324,'2324 Jun 24 Enroll'!M$1,FALSE)-VLOOKUP($A298,EnrollData2324,'2324 Jun 24 Enroll'!J$1,FALSE),'District Calculations'!$B$16+'District Calculations'!$B$25-'District Calculations'!$B$17)*Apport_217A2324,3)</f>
        <v>4.6980000000000004</v>
      </c>
      <c r="R298">
        <f>ROUND(SUM(L298:Q298)/IF(VLOOKUP($A298,EnrollData2324,'2324 Jun 24 Enroll'!M$1,FALSE)+VLOOKUP($A298,EnrollData2324,'2324 Jun 24 Enroll'!D$1,FALSE)='District Calculations'!$B$25+'District Calculations'!$B$11,VLOOKUP($A298,EnrollData2324,'2324 Jun 24 Enroll'!M$1,FALSE)+VLOOKUP($A298,EnrollData2324,'2324 Jun 24 Enroll'!D$1,FALSE),'District Calculations'!$B$25+'District Calculations'!$B$11),5)</f>
        <v>4.1000000000000003E-3</v>
      </c>
      <c r="S298" s="11">
        <f t="shared" si="79"/>
        <v>1.8294500000000002E-2</v>
      </c>
      <c r="T298">
        <f>ROUND(IF(VLOOKUP($A298,EnrollData2324,'2324 Jun 24 Enroll'!D$1,FALSE)='District Calculations'!$B$11,VLOOKUP($A298,EnrollData2324,'2324 Jun 24 Enroll'!D$1,FALSE),'District Calculations'!$B$11)*S298,3)</f>
        <v>0</v>
      </c>
      <c r="U298">
        <f>ROUND(IF(VLOOKUP($A298,EnrollData2324,'2324 Jun 24 Enroll'!E$1,FALSE)='District Calculations'!$B$12,VLOOKUP($A298,EnrollData2324,'2324 Jun 24 Enroll'!E$1,FALSE),'District Calculations'!$B$12)*S298,3)</f>
        <v>14.827999999999999</v>
      </c>
      <c r="V298">
        <f>ROUND(IF(VLOOKUP($A298,EnrollData2324,'2324 Jun 24 Enroll'!F$1,FALSE)='District Calculations'!$B$13,VLOOKUP($A298,EnrollData2324,'2324 Jun 24 Enroll'!F$1,FALSE),'District Calculations'!$B$13)*Apport_224A2324,3)</f>
        <v>3.6190000000000002</v>
      </c>
      <c r="W298">
        <f>ROUND(IF(VLOOKUP($A298,EnrollData2324,'2324 Jun 24 Enroll'!G$1,FALSE)='District Calculations'!$B$14,VLOOKUP($A298,EnrollData2324,'2324 Jun 24 Enroll'!G$1,FALSE),'District Calculations'!$B$14)*Apport_212A2324,3)</f>
        <v>8.0239999999999991</v>
      </c>
      <c r="X298">
        <f>ROUND(IF(VLOOKUP($A298,EnrollData2324,'2324 Jun 24 Enroll'!H$1,FALSE)='District Calculations'!$B$14,VLOOKUP($A298,EnrollData2324,'2324 Jun 24 Enroll'!H$1,FALSE),'District Calculations'!$B$14)*Apport_215A2324,3)</f>
        <v>7.9279999999999999</v>
      </c>
      <c r="Y298">
        <f>ROUND(IF(VLOOKUP($A298,EnrollData2324,'2324 Jun 24 Enroll'!I$1,FALSE)+VLOOKUP($A298,EnrollData2324,'2324 Jun 24 Enroll'!M$1,FALSE)-VLOOKUP($A298,EnrollData2324,'2324 Jun 24 Enroll'!J$1,FALSE)='District Calculations'!$B$16+'District Calculations'!$B$25-'District Calculations'!$B$17,VLOOKUP($A298,EnrollData2324,'2324 Jun 24 Enroll'!I$1,FALSE)+VLOOKUP($A298,EnrollData2324,'2324 Jun 24 Enroll'!M$1,FALSE)-VLOOKUP($A298,EnrollData2324,'2324 Jun 24 Enroll'!J$1,FALSE),'District Calculations'!$B$16+'District Calculations'!$B$25-'District Calculations'!$B$17)*Apport_218A2324,3)</f>
        <v>19.917999999999999</v>
      </c>
      <c r="Z298">
        <f>ROUND(SUM(T298:Y298)/IF(VLOOKUP($A298,EnrollData2324,'2324 Jun 24 Enroll'!M$1,FALSE)+VLOOKUP($A298,EnrollData2324,'2324 Jun 24 Enroll'!D$1,FALSE)='District Calculations'!$B$25+'District Calculations'!$B$11,VLOOKUP($A298,EnrollData2324,'2324 Jun 24 Enroll'!M$1,FALSE)+VLOOKUP($A298,EnrollData2324,'2324 Jun 24 Enroll'!D$1,FALSE),'District Calculations'!$B$25+'District Calculations'!$B$11),5)</f>
        <v>1.7399999999999999E-2</v>
      </c>
      <c r="AA298" s="6">
        <f>ROUND($J298*CIS_Base_Salary2324*VLOOKUP($A298,EnrollData2324,'2324 Jun 24 Enroll'!S$1,FALSE),2)</f>
        <v>4038.59</v>
      </c>
      <c r="AB298" s="6">
        <f>ROUND($J298*CIS_Inc_Salary2324*(VLOOKUP($A298,EnrollData2324,'2324 Jun 24 Enroll'!T$1,FALSE)+VLOOKUP($A298,EnrollData2324,'2324 Jun 24 Enroll'!U$1,FALSE)),2)-AA298</f>
        <v>233.1899999999996</v>
      </c>
      <c r="AC298" s="6">
        <f>ROUND($R298*CAS_Base_Salary2324*VLOOKUP($A298,EnrollData2324,'2324 Jun 24 Enroll'!S$1,FALSE),2)</f>
        <v>442.62</v>
      </c>
      <c r="AD298" s="6">
        <f>ROUND($R298*CAS_Inc_Salary2324*VLOOKUP($A298,EnrollData2324,'2324 Jun 24 Enroll'!T$1,FALSE),2)-AC298</f>
        <v>16.379999999999995</v>
      </c>
      <c r="AE298" s="6">
        <f>ROUND($Z298*CLS_Base_Salary2324*VLOOKUP($A298,EnrollData2324,'2324 Jun 24 Enroll'!S$1,FALSE),2)</f>
        <v>907.81</v>
      </c>
      <c r="AF298" s="6">
        <f>ROUND($Z298*CLS_Inc_Salary2324*VLOOKUP($A298,EnrollData2324,'2324 Jun 24 Enroll'!T$1,FALSE),2)-AE298</f>
        <v>33.580000000000041</v>
      </c>
      <c r="AG298">
        <f t="shared" si="76"/>
        <v>734.16</v>
      </c>
      <c r="AH298" s="69">
        <f t="shared" si="80"/>
        <v>68.700000000000045</v>
      </c>
      <c r="AI298">
        <f t="shared" si="77"/>
        <v>214.23</v>
      </c>
      <c r="AJ298">
        <f t="shared" si="81"/>
        <v>114.21000000000001</v>
      </c>
      <c r="AK298">
        <f t="shared" si="82"/>
        <v>805.27</v>
      </c>
      <c r="AL298">
        <f t="shared" si="83"/>
        <v>43.25</v>
      </c>
      <c r="AM298">
        <f t="shared" si="84"/>
        <v>200.26</v>
      </c>
      <c r="AN298">
        <f t="shared" si="85"/>
        <v>6.23</v>
      </c>
      <c r="AO298">
        <f>ROUND(($J298*CIS_Inc_Salary2324*(VLOOKUP($A298,EnrollData2324,'2324 Jun 24 Enroll'!T$1,FALSE)+VLOOKUP($A298,EnrollData2324,'2324 Jun 24 Enroll'!U$1,FALSE))/Apport_613Xpd)*Apport_614Xpd,2)</f>
        <v>71.2</v>
      </c>
      <c r="AP298">
        <f t="shared" si="86"/>
        <v>12.34</v>
      </c>
      <c r="AQ298">
        <f t="shared" si="87"/>
        <v>30.93</v>
      </c>
      <c r="AR298" s="6">
        <f>ROUND((VLOOKUP($A298,EnrollData2324,'2324 Jun 24 Enroll'!D$1,FALSE)*Apport_M802324+VLOOKUP($A298,EnrollData2324,'2324 Jun 24 Enroll'!M$1,FALSE)*Apport_M802324+(VLOOKUP($A298,EnrollData2324,'2324 Jun 24 Enroll'!P$1,FALSE)+VLOOKUP($A298,EnrollData2324,'2324 Jun 24 Enroll'!Q$1,FALSE)+VLOOKUP($A298,EnrollData2324,'2324 Jun 24 Enroll'!R$1,FALSE)+VLOOKUP($A298,EnrollData2324,'2324 Jun 24 Enroll'!I$1,FALSE)+VLOOKUP($A298,EnrollData2324,'2324 Jun 24 Enroll'!N$1,FALSE)+VLOOKUP($A298,EnrollData2324,'2324 Jun 24 Enroll'!O$1,FALSE)+VLOOKUP($A298,EnrollData2324,'2324 Jun 24 Enroll'!K$1,FALSE)+VLOOKUP($A298,EnrollData2324,'2324 Jun 24 Enroll'!L$1,FALSE))*Apport_M812324)/(VLOOKUP($A298,EnrollData2324,'2324 Jun 24 Enroll'!M$1,FALSE)+VLOOKUP($A298,EnrollData2324,'2324 Jun 24 Enroll'!D$1,FALSE)),2)</f>
        <v>1540.57</v>
      </c>
      <c r="AS298" s="7">
        <f t="shared" si="88"/>
        <v>9513.52</v>
      </c>
    </row>
    <row r="299" spans="1:45">
      <c r="A299" s="40" t="s">
        <v>703</v>
      </c>
      <c r="B299" s="40" t="s">
        <v>704</v>
      </c>
      <c r="C299" s="11">
        <f>ROUND((IFERROR((1/IF(VLOOKUP($A299,EnrollData2324,28,FALSE)='District Calculations'!$B$10,VLOOKUP($A299,EnrollData2324,28,FALSE),'District Calculations'!$B$10))*(1+Apport_Z315),0))+Apport_201A2324,6)</f>
        <v>7.3449E-2</v>
      </c>
      <c r="D299">
        <f>ROUND(IF(VLOOKUP($A299,EnrollData2324,'2324 Jun 24 Enroll'!D$1,FALSE)='District Calculations'!$B$11,VLOOKUP($A299,EnrollData2324,'2324 Jun 24 Enroll'!D$1,FALSE),'District Calculations'!$B$11)*C299,3)</f>
        <v>0</v>
      </c>
      <c r="E299">
        <f>ROUND(IF(VLOOKUP($A299,EnrollData2324,'2324 Jun 24 Enroll'!E$1,FALSE)='District Calculations'!$B$12,VLOOKUP($A299,EnrollData2324,'2324 Jun 24 Enroll'!E$1,FALSE),'District Calculations'!$B$12)*C299,3)</f>
        <v>59.53</v>
      </c>
      <c r="F299">
        <f>ROUND(IF(VLOOKUP($A299,EnrollData2324,'2324 Jun 24 Enroll'!F$1,FALSE)='District Calculations'!$B$13,VLOOKUP($A299,EnrollData2324,'2324 Jun 24 Enroll'!F$1,FALSE),'District Calculations'!$B$13)*Apport_222A2324,3)</f>
        <v>10.101000000000001</v>
      </c>
      <c r="G299">
        <f>ROUND(IF(VLOOKUP($A299,EnrollData2324,'2324 Jun 24 Enroll'!G$1,FALSE)='District Calculations'!$B$14,VLOOKUP($A299,EnrollData2324,'2324 Jun 24 Enroll'!G$1,FALSE),'District Calculations'!$B$14)*Apport_210A2324,3)</f>
        <v>22.395</v>
      </c>
      <c r="H299">
        <f>ROUND(IF(VLOOKUP($A299,EnrollData2324,'2324 Jun 24 Enroll'!H$1,FALSE)='District Calculations'!$B$15,VLOOKUP($A299,EnrollData2324,'2324 Jun 24 Enroll'!H$1,FALSE),'District Calculations'!$B$15)*Apport_213A2324,3)</f>
        <v>23.091999999999999</v>
      </c>
      <c r="I299">
        <f>ROUND(IF(VLOOKUP($A299,EnrollData2324,'2324 Jun 24 Enroll'!I$1,FALSE)+VLOOKUP($A299,EnrollData2324,'2324 Jun 24 Enroll'!M$1,FALSE)-VLOOKUP($A299,EnrollData2324,'2324 Jun 24 Enroll'!J$1,FALSE)='District Calculations'!$B$16+'District Calculations'!$B$25-'District Calculations'!$B$17,VLOOKUP($A299,EnrollData2324,'2324 Jun 24 Enroll'!I$1,FALSE)+VLOOKUP($A299,EnrollData2324,'2324 Jun 24 Enroll'!M$1,FALSE)-VLOOKUP($A299,EnrollData2324,'2324 Jun 24 Enroll'!J$1,FALSE),'District Calculations'!$B$16+'District Calculations'!$B$25-'District Calculations'!$B$17)*Apport_216A2324,3)</f>
        <v>58.183999999999997</v>
      </c>
      <c r="J299">
        <f>ROUND(SUM(D299:I299)/(IF(VLOOKUP($A299,EnrollData2324,'2324 Jun 24 Enroll'!M$1,FALSE)='District Calculations'!$B$25,VLOOKUP($A299,EnrollData2324,'2324 Jun 24 Enroll'!M$1,FALSE),'District Calculations'!$B$25)+IF(VLOOKUP($A299,EnrollData2324,'2324 Jun 24 Enroll'!D$1,FALSE)='District Calculations'!$B$11,VLOOKUP($A299,EnrollData2324,'2324 Jun 24 Enroll'!D$1,FALSE),'District Calculations'!$B$11)),5)</f>
        <v>5.5530000000000003E-2</v>
      </c>
      <c r="K299" s="11">
        <f t="shared" si="78"/>
        <v>4.365E-3</v>
      </c>
      <c r="L299">
        <f>ROUND(IF(VLOOKUP($A299,EnrollData2324,'2324 Jun 24 Enroll'!D$1,FALSE)='District Calculations'!$B$11,VLOOKUP($A299,EnrollData2324,'2324 Jun 24 Enroll'!D$1,FALSE),'District Calculations'!$B$11)*K299,3)</f>
        <v>0</v>
      </c>
      <c r="M299">
        <f>ROUND(IF(VLOOKUP($A299,EnrollData2324,'2324 Jun 24 Enroll'!E$1,FALSE)='District Calculations'!$B$12,VLOOKUP($A299,EnrollData2324,'2324 Jun 24 Enroll'!E$1,FALSE),'District Calculations'!$B$12)*K299,3)</f>
        <v>3.5379999999999998</v>
      </c>
      <c r="N299">
        <f>ROUND(IF(VLOOKUP($A299,EnrollData2324,'2324 Jun 24 Enroll'!F$1,FALSE)='District Calculations'!$B$13,VLOOKUP($A299,EnrollData2324,'2324 Jun 24 Enroll'!F$1,FALSE),'District Calculations'!$B$13)*Apport_223A2324,3)</f>
        <v>0.84199999999999997</v>
      </c>
      <c r="O299">
        <f>ROUND(IF(VLOOKUP($A299,EnrollData2324,'2324 Jun 24 Enroll'!G$1,FALSE)='District Calculations'!$B$14,VLOOKUP($A299,EnrollData2324,'2324 Jun 24 Enroll'!G$1,FALSE),'District Calculations'!$B$14)*Apport_211A2324,3)</f>
        <v>1.867</v>
      </c>
      <c r="P299">
        <f>ROUND(IF(VLOOKUP($A299,EnrollData2324,'2324 Jun 24 Enroll'!H$1,FALSE)='District Calculations'!$B$14,VLOOKUP($A299,EnrollData2324,'2324 Jun 24 Enroll'!H$1,FALSE),'District Calculations'!$B$14)*Apport_214A2324,3)</f>
        <v>1.8660000000000001</v>
      </c>
      <c r="Q299">
        <f>ROUND(IF(VLOOKUP($A299,EnrollData2324,'2324 Jun 24 Enroll'!I$1,FALSE)+VLOOKUP($A299,EnrollData2324,'2324 Jun 24 Enroll'!M$1,FALSE)-VLOOKUP($A299,EnrollData2324,'2324 Jun 24 Enroll'!J$1,FALSE)='District Calculations'!$B$16+'District Calculations'!$B$25-'District Calculations'!$B$17,VLOOKUP($A299,EnrollData2324,'2324 Jun 24 Enroll'!I$1,FALSE)+VLOOKUP($A299,EnrollData2324,'2324 Jun 24 Enroll'!M$1,FALSE)-VLOOKUP($A299,EnrollData2324,'2324 Jun 24 Enroll'!J$1,FALSE),'District Calculations'!$B$16+'District Calculations'!$B$25-'District Calculations'!$B$17)*Apport_217A2324,3)</f>
        <v>4.6980000000000004</v>
      </c>
      <c r="R299">
        <f>ROUND(SUM(L299:Q299)/IF(VLOOKUP($A299,EnrollData2324,'2324 Jun 24 Enroll'!M$1,FALSE)+VLOOKUP($A299,EnrollData2324,'2324 Jun 24 Enroll'!D$1,FALSE)='District Calculations'!$B$25+'District Calculations'!$B$11,VLOOKUP($A299,EnrollData2324,'2324 Jun 24 Enroll'!M$1,FALSE)+VLOOKUP($A299,EnrollData2324,'2324 Jun 24 Enroll'!D$1,FALSE),'District Calculations'!$B$25+'District Calculations'!$B$11),5)</f>
        <v>4.1000000000000003E-3</v>
      </c>
      <c r="S299" s="11">
        <f t="shared" si="79"/>
        <v>1.8294500000000002E-2</v>
      </c>
      <c r="T299">
        <f>ROUND(IF(VLOOKUP($A299,EnrollData2324,'2324 Jun 24 Enroll'!D$1,FALSE)='District Calculations'!$B$11,VLOOKUP($A299,EnrollData2324,'2324 Jun 24 Enroll'!D$1,FALSE),'District Calculations'!$B$11)*S299,3)</f>
        <v>0</v>
      </c>
      <c r="U299">
        <f>ROUND(IF(VLOOKUP($A299,EnrollData2324,'2324 Jun 24 Enroll'!E$1,FALSE)='District Calculations'!$B$12,VLOOKUP($A299,EnrollData2324,'2324 Jun 24 Enroll'!E$1,FALSE),'District Calculations'!$B$12)*S299,3)</f>
        <v>14.827999999999999</v>
      </c>
      <c r="V299">
        <f>ROUND(IF(VLOOKUP($A299,EnrollData2324,'2324 Jun 24 Enroll'!F$1,FALSE)='District Calculations'!$B$13,VLOOKUP($A299,EnrollData2324,'2324 Jun 24 Enroll'!F$1,FALSE),'District Calculations'!$B$13)*Apport_224A2324,3)</f>
        <v>3.6190000000000002</v>
      </c>
      <c r="W299">
        <f>ROUND(IF(VLOOKUP($A299,EnrollData2324,'2324 Jun 24 Enroll'!G$1,FALSE)='District Calculations'!$B$14,VLOOKUP($A299,EnrollData2324,'2324 Jun 24 Enroll'!G$1,FALSE),'District Calculations'!$B$14)*Apport_212A2324,3)</f>
        <v>8.0239999999999991</v>
      </c>
      <c r="X299">
        <f>ROUND(IF(VLOOKUP($A299,EnrollData2324,'2324 Jun 24 Enroll'!H$1,FALSE)='District Calculations'!$B$14,VLOOKUP($A299,EnrollData2324,'2324 Jun 24 Enroll'!H$1,FALSE),'District Calculations'!$B$14)*Apport_215A2324,3)</f>
        <v>7.9279999999999999</v>
      </c>
      <c r="Y299">
        <f>ROUND(IF(VLOOKUP($A299,EnrollData2324,'2324 Jun 24 Enroll'!I$1,FALSE)+VLOOKUP($A299,EnrollData2324,'2324 Jun 24 Enroll'!M$1,FALSE)-VLOOKUP($A299,EnrollData2324,'2324 Jun 24 Enroll'!J$1,FALSE)='District Calculations'!$B$16+'District Calculations'!$B$25-'District Calculations'!$B$17,VLOOKUP($A299,EnrollData2324,'2324 Jun 24 Enroll'!I$1,FALSE)+VLOOKUP($A299,EnrollData2324,'2324 Jun 24 Enroll'!M$1,FALSE)-VLOOKUP($A299,EnrollData2324,'2324 Jun 24 Enroll'!J$1,FALSE),'District Calculations'!$B$16+'District Calculations'!$B$25-'District Calculations'!$B$17)*Apport_218A2324,3)</f>
        <v>19.917999999999999</v>
      </c>
      <c r="Z299">
        <f>ROUND(SUM(T299:Y299)/IF(VLOOKUP($A299,EnrollData2324,'2324 Jun 24 Enroll'!M$1,FALSE)+VLOOKUP($A299,EnrollData2324,'2324 Jun 24 Enroll'!D$1,FALSE)='District Calculations'!$B$25+'District Calculations'!$B$11,VLOOKUP($A299,EnrollData2324,'2324 Jun 24 Enroll'!M$1,FALSE)+VLOOKUP($A299,EnrollData2324,'2324 Jun 24 Enroll'!D$1,FALSE),'District Calculations'!$B$25+'District Calculations'!$B$11),5)</f>
        <v>1.7399999999999999E-2</v>
      </c>
      <c r="AA299" s="6">
        <f>ROUND($J299*CIS_Base_Salary2324*VLOOKUP($A299,EnrollData2324,'2324 Jun 24 Enroll'!S$1,FALSE),2)</f>
        <v>4038.59</v>
      </c>
      <c r="AB299" s="6">
        <f>ROUND($J299*CIS_Inc_Salary2324*(VLOOKUP($A299,EnrollData2324,'2324 Jun 24 Enroll'!T$1,FALSE)+VLOOKUP($A299,EnrollData2324,'2324 Jun 24 Enroll'!U$1,FALSE)),2)-AA299</f>
        <v>149.43000000000029</v>
      </c>
      <c r="AC299" s="6">
        <f>ROUND($R299*CAS_Base_Salary2324*VLOOKUP($A299,EnrollData2324,'2324 Jun 24 Enroll'!S$1,FALSE),2)</f>
        <v>442.62</v>
      </c>
      <c r="AD299" s="6">
        <f>ROUND($R299*CAS_Inc_Salary2324*VLOOKUP($A299,EnrollData2324,'2324 Jun 24 Enroll'!T$1,FALSE),2)-AC299</f>
        <v>16.379999999999995</v>
      </c>
      <c r="AE299" s="6">
        <f>ROUND($Z299*CLS_Base_Salary2324*VLOOKUP($A299,EnrollData2324,'2324 Jun 24 Enroll'!S$1,FALSE),2)</f>
        <v>907.81</v>
      </c>
      <c r="AF299" s="6">
        <f>ROUND($Z299*CLS_Inc_Salary2324*VLOOKUP($A299,EnrollData2324,'2324 Jun 24 Enroll'!T$1,FALSE),2)-AE299</f>
        <v>33.580000000000041</v>
      </c>
      <c r="AG299">
        <f t="shared" si="76"/>
        <v>734.16</v>
      </c>
      <c r="AH299" s="69">
        <f t="shared" si="80"/>
        <v>68.700000000000045</v>
      </c>
      <c r="AI299">
        <f t="shared" si="77"/>
        <v>214.23</v>
      </c>
      <c r="AJ299">
        <f t="shared" si="81"/>
        <v>114.21000000000001</v>
      </c>
      <c r="AK299">
        <f t="shared" si="82"/>
        <v>805.27</v>
      </c>
      <c r="AL299">
        <f t="shared" si="83"/>
        <v>28.73</v>
      </c>
      <c r="AM299">
        <f t="shared" si="84"/>
        <v>200.26</v>
      </c>
      <c r="AN299">
        <f t="shared" si="85"/>
        <v>6.23</v>
      </c>
      <c r="AO299">
        <f>ROUND(($J299*CIS_Inc_Salary2324*(VLOOKUP($A299,EnrollData2324,'2324 Jun 24 Enroll'!T$1,FALSE)+VLOOKUP($A299,EnrollData2324,'2324 Jun 24 Enroll'!U$1,FALSE))/Apport_613Xpd)*Apport_614Xpd,2)</f>
        <v>69.8</v>
      </c>
      <c r="AP299">
        <f t="shared" si="86"/>
        <v>12.1</v>
      </c>
      <c r="AQ299">
        <f t="shared" si="87"/>
        <v>30.93</v>
      </c>
      <c r="AR299" s="6">
        <f>ROUND((VLOOKUP($A299,EnrollData2324,'2324 Jun 24 Enroll'!D$1,FALSE)*Apport_M802324+VLOOKUP($A299,EnrollData2324,'2324 Jun 24 Enroll'!M$1,FALSE)*Apport_M802324+(VLOOKUP($A299,EnrollData2324,'2324 Jun 24 Enroll'!P$1,FALSE)+VLOOKUP($A299,EnrollData2324,'2324 Jun 24 Enroll'!Q$1,FALSE)+VLOOKUP($A299,EnrollData2324,'2324 Jun 24 Enroll'!R$1,FALSE)+VLOOKUP($A299,EnrollData2324,'2324 Jun 24 Enroll'!I$1,FALSE)+VLOOKUP($A299,EnrollData2324,'2324 Jun 24 Enroll'!N$1,FALSE)+VLOOKUP($A299,EnrollData2324,'2324 Jun 24 Enroll'!O$1,FALSE)+VLOOKUP($A299,EnrollData2324,'2324 Jun 24 Enroll'!K$1,FALSE)+VLOOKUP($A299,EnrollData2324,'2324 Jun 24 Enroll'!L$1,FALSE))*Apport_M812324)/(VLOOKUP($A299,EnrollData2324,'2324 Jun 24 Enroll'!M$1,FALSE)+VLOOKUP($A299,EnrollData2324,'2324 Jun 24 Enroll'!D$1,FALSE)),2)</f>
        <v>1546.58</v>
      </c>
      <c r="AS299" s="7">
        <f t="shared" si="88"/>
        <v>9419.61</v>
      </c>
    </row>
    <row r="300" spans="1:45">
      <c r="A300" s="40" t="s">
        <v>390</v>
      </c>
      <c r="B300" s="40" t="s">
        <v>391</v>
      </c>
      <c r="C300" s="11">
        <f>ROUND((IFERROR((1/IF(VLOOKUP($A300,EnrollData2324,28,FALSE)='District Calculations'!$B$10,VLOOKUP($A300,EnrollData2324,28,FALSE),'District Calculations'!$B$10))*(1+Apport_Z315),0))+Apport_201A2324,6)</f>
        <v>7.3449E-2</v>
      </c>
      <c r="D300">
        <f>ROUND(IF(VLOOKUP($A300,EnrollData2324,'2324 Jun 24 Enroll'!D$1,FALSE)='District Calculations'!$B$11,VLOOKUP($A300,EnrollData2324,'2324 Jun 24 Enroll'!D$1,FALSE),'District Calculations'!$B$11)*C300,3)</f>
        <v>0</v>
      </c>
      <c r="E300">
        <f>ROUND(IF(VLOOKUP($A300,EnrollData2324,'2324 Jun 24 Enroll'!E$1,FALSE)='District Calculations'!$B$12,VLOOKUP($A300,EnrollData2324,'2324 Jun 24 Enroll'!E$1,FALSE),'District Calculations'!$B$12)*C300,3)</f>
        <v>59.53</v>
      </c>
      <c r="F300">
        <f>ROUND(IF(VLOOKUP($A300,EnrollData2324,'2324 Jun 24 Enroll'!F$1,FALSE)='District Calculations'!$B$13,VLOOKUP($A300,EnrollData2324,'2324 Jun 24 Enroll'!F$1,FALSE),'District Calculations'!$B$13)*Apport_222A2324,3)</f>
        <v>10.101000000000001</v>
      </c>
      <c r="G300">
        <f>ROUND(IF(VLOOKUP($A300,EnrollData2324,'2324 Jun 24 Enroll'!G$1,FALSE)='District Calculations'!$B$14,VLOOKUP($A300,EnrollData2324,'2324 Jun 24 Enroll'!G$1,FALSE),'District Calculations'!$B$14)*Apport_210A2324,3)</f>
        <v>22.395</v>
      </c>
      <c r="H300">
        <f>ROUND(IF(VLOOKUP($A300,EnrollData2324,'2324 Jun 24 Enroll'!H$1,FALSE)='District Calculations'!$B$15,VLOOKUP($A300,EnrollData2324,'2324 Jun 24 Enroll'!H$1,FALSE),'District Calculations'!$B$15)*Apport_213A2324,3)</f>
        <v>23.091999999999999</v>
      </c>
      <c r="I300">
        <f>ROUND(IF(VLOOKUP($A300,EnrollData2324,'2324 Jun 24 Enroll'!I$1,FALSE)+VLOOKUP($A300,EnrollData2324,'2324 Jun 24 Enroll'!M$1,FALSE)-VLOOKUP($A300,EnrollData2324,'2324 Jun 24 Enroll'!J$1,FALSE)='District Calculations'!$B$16+'District Calculations'!$B$25-'District Calculations'!$B$17,VLOOKUP($A300,EnrollData2324,'2324 Jun 24 Enroll'!I$1,FALSE)+VLOOKUP($A300,EnrollData2324,'2324 Jun 24 Enroll'!M$1,FALSE)-VLOOKUP($A300,EnrollData2324,'2324 Jun 24 Enroll'!J$1,FALSE),'District Calculations'!$B$16+'District Calculations'!$B$25-'District Calculations'!$B$17)*Apport_216A2324,3)</f>
        <v>58.183999999999997</v>
      </c>
      <c r="J300">
        <f>ROUND(SUM(D300:I300)/(IF(VLOOKUP($A300,EnrollData2324,'2324 Jun 24 Enroll'!M$1,FALSE)='District Calculations'!$B$25,VLOOKUP($A300,EnrollData2324,'2324 Jun 24 Enroll'!M$1,FALSE),'District Calculations'!$B$25)+IF(VLOOKUP($A300,EnrollData2324,'2324 Jun 24 Enroll'!D$1,FALSE)='District Calculations'!$B$11,VLOOKUP($A300,EnrollData2324,'2324 Jun 24 Enroll'!D$1,FALSE),'District Calculations'!$B$11)),5)</f>
        <v>5.5530000000000003E-2</v>
      </c>
      <c r="K300" s="11">
        <f t="shared" si="78"/>
        <v>4.365E-3</v>
      </c>
      <c r="L300">
        <f>ROUND(IF(VLOOKUP($A300,EnrollData2324,'2324 Jun 24 Enroll'!D$1,FALSE)='District Calculations'!$B$11,VLOOKUP($A300,EnrollData2324,'2324 Jun 24 Enroll'!D$1,FALSE),'District Calculations'!$B$11)*K300,3)</f>
        <v>0</v>
      </c>
      <c r="M300">
        <f>ROUND(IF(VLOOKUP($A300,EnrollData2324,'2324 Jun 24 Enroll'!E$1,FALSE)='District Calculations'!$B$12,VLOOKUP($A300,EnrollData2324,'2324 Jun 24 Enroll'!E$1,FALSE),'District Calculations'!$B$12)*K300,3)</f>
        <v>3.5379999999999998</v>
      </c>
      <c r="N300">
        <f>ROUND(IF(VLOOKUP($A300,EnrollData2324,'2324 Jun 24 Enroll'!F$1,FALSE)='District Calculations'!$B$13,VLOOKUP($A300,EnrollData2324,'2324 Jun 24 Enroll'!F$1,FALSE),'District Calculations'!$B$13)*Apport_223A2324,3)</f>
        <v>0.84199999999999997</v>
      </c>
      <c r="O300">
        <f>ROUND(IF(VLOOKUP($A300,EnrollData2324,'2324 Jun 24 Enroll'!G$1,FALSE)='District Calculations'!$B$14,VLOOKUP($A300,EnrollData2324,'2324 Jun 24 Enroll'!G$1,FALSE),'District Calculations'!$B$14)*Apport_211A2324,3)</f>
        <v>1.867</v>
      </c>
      <c r="P300">
        <f>ROUND(IF(VLOOKUP($A300,EnrollData2324,'2324 Jun 24 Enroll'!H$1,FALSE)='District Calculations'!$B$14,VLOOKUP($A300,EnrollData2324,'2324 Jun 24 Enroll'!H$1,FALSE),'District Calculations'!$B$14)*Apport_214A2324,3)</f>
        <v>1.8660000000000001</v>
      </c>
      <c r="Q300">
        <f>ROUND(IF(VLOOKUP($A300,EnrollData2324,'2324 Jun 24 Enroll'!I$1,FALSE)+VLOOKUP($A300,EnrollData2324,'2324 Jun 24 Enroll'!M$1,FALSE)-VLOOKUP($A300,EnrollData2324,'2324 Jun 24 Enroll'!J$1,FALSE)='District Calculations'!$B$16+'District Calculations'!$B$25-'District Calculations'!$B$17,VLOOKUP($A300,EnrollData2324,'2324 Jun 24 Enroll'!I$1,FALSE)+VLOOKUP($A300,EnrollData2324,'2324 Jun 24 Enroll'!M$1,FALSE)-VLOOKUP($A300,EnrollData2324,'2324 Jun 24 Enroll'!J$1,FALSE),'District Calculations'!$B$16+'District Calculations'!$B$25-'District Calculations'!$B$17)*Apport_217A2324,3)</f>
        <v>4.6980000000000004</v>
      </c>
      <c r="R300">
        <f>ROUND(SUM(L300:Q300)/IF(VLOOKUP($A300,EnrollData2324,'2324 Jun 24 Enroll'!M$1,FALSE)+VLOOKUP($A300,EnrollData2324,'2324 Jun 24 Enroll'!D$1,FALSE)='District Calculations'!$B$25+'District Calculations'!$B$11,VLOOKUP($A300,EnrollData2324,'2324 Jun 24 Enroll'!M$1,FALSE)+VLOOKUP($A300,EnrollData2324,'2324 Jun 24 Enroll'!D$1,FALSE),'District Calculations'!$B$25+'District Calculations'!$B$11),5)</f>
        <v>4.1000000000000003E-3</v>
      </c>
      <c r="S300" s="11">
        <f t="shared" si="79"/>
        <v>1.8294500000000002E-2</v>
      </c>
      <c r="T300">
        <f>ROUND(IF(VLOOKUP($A300,EnrollData2324,'2324 Jun 24 Enroll'!D$1,FALSE)='District Calculations'!$B$11,VLOOKUP($A300,EnrollData2324,'2324 Jun 24 Enroll'!D$1,FALSE),'District Calculations'!$B$11)*S300,3)</f>
        <v>0</v>
      </c>
      <c r="U300">
        <f>ROUND(IF(VLOOKUP($A300,EnrollData2324,'2324 Jun 24 Enroll'!E$1,FALSE)='District Calculations'!$B$12,VLOOKUP($A300,EnrollData2324,'2324 Jun 24 Enroll'!E$1,FALSE),'District Calculations'!$B$12)*S300,3)</f>
        <v>14.827999999999999</v>
      </c>
      <c r="V300">
        <f>ROUND(IF(VLOOKUP($A300,EnrollData2324,'2324 Jun 24 Enroll'!F$1,FALSE)='District Calculations'!$B$13,VLOOKUP($A300,EnrollData2324,'2324 Jun 24 Enroll'!F$1,FALSE),'District Calculations'!$B$13)*Apport_224A2324,3)</f>
        <v>3.6190000000000002</v>
      </c>
      <c r="W300">
        <f>ROUND(IF(VLOOKUP($A300,EnrollData2324,'2324 Jun 24 Enroll'!G$1,FALSE)='District Calculations'!$B$14,VLOOKUP($A300,EnrollData2324,'2324 Jun 24 Enroll'!G$1,FALSE),'District Calculations'!$B$14)*Apport_212A2324,3)</f>
        <v>8.0239999999999991</v>
      </c>
      <c r="X300">
        <f>ROUND(IF(VLOOKUP($A300,EnrollData2324,'2324 Jun 24 Enroll'!H$1,FALSE)='District Calculations'!$B$14,VLOOKUP($A300,EnrollData2324,'2324 Jun 24 Enroll'!H$1,FALSE),'District Calculations'!$B$14)*Apport_215A2324,3)</f>
        <v>7.9279999999999999</v>
      </c>
      <c r="Y300">
        <f>ROUND(IF(VLOOKUP($A300,EnrollData2324,'2324 Jun 24 Enroll'!I$1,FALSE)+VLOOKUP($A300,EnrollData2324,'2324 Jun 24 Enroll'!M$1,FALSE)-VLOOKUP($A300,EnrollData2324,'2324 Jun 24 Enroll'!J$1,FALSE)='District Calculations'!$B$16+'District Calculations'!$B$25-'District Calculations'!$B$17,VLOOKUP($A300,EnrollData2324,'2324 Jun 24 Enroll'!I$1,FALSE)+VLOOKUP($A300,EnrollData2324,'2324 Jun 24 Enroll'!M$1,FALSE)-VLOOKUP($A300,EnrollData2324,'2324 Jun 24 Enroll'!J$1,FALSE),'District Calculations'!$B$16+'District Calculations'!$B$25-'District Calculations'!$B$17)*Apport_218A2324,3)</f>
        <v>19.917999999999999</v>
      </c>
      <c r="Z300">
        <f>ROUND(SUM(T300:Y300)/IF(VLOOKUP($A300,EnrollData2324,'2324 Jun 24 Enroll'!M$1,FALSE)+VLOOKUP($A300,EnrollData2324,'2324 Jun 24 Enroll'!D$1,FALSE)='District Calculations'!$B$25+'District Calculations'!$B$11,VLOOKUP($A300,EnrollData2324,'2324 Jun 24 Enroll'!M$1,FALSE)+VLOOKUP($A300,EnrollData2324,'2324 Jun 24 Enroll'!D$1,FALSE),'District Calculations'!$B$25+'District Calculations'!$B$11),5)</f>
        <v>1.7399999999999999E-2</v>
      </c>
      <c r="AA300" s="6">
        <f>ROUND($J300*CIS_Base_Salary2324*VLOOKUP($A300,EnrollData2324,'2324 Jun 24 Enroll'!S$1,FALSE),2)</f>
        <v>4038.59</v>
      </c>
      <c r="AB300" s="6">
        <f>ROUND($J300*CIS_Inc_Salary2324*(VLOOKUP($A300,EnrollData2324,'2324 Jun 24 Enroll'!T$1,FALSE)+VLOOKUP($A300,EnrollData2324,'2324 Jun 24 Enroll'!U$1,FALSE)),2)-AA300</f>
        <v>316.94999999999982</v>
      </c>
      <c r="AC300" s="6">
        <f>ROUND($R300*CAS_Base_Salary2324*VLOOKUP($A300,EnrollData2324,'2324 Jun 24 Enroll'!S$1,FALSE),2)</f>
        <v>442.62</v>
      </c>
      <c r="AD300" s="6">
        <f>ROUND($R300*CAS_Inc_Salary2324*VLOOKUP($A300,EnrollData2324,'2324 Jun 24 Enroll'!T$1,FALSE),2)-AC300</f>
        <v>16.379999999999995</v>
      </c>
      <c r="AE300" s="6">
        <f>ROUND($Z300*CLS_Base_Salary2324*VLOOKUP($A300,EnrollData2324,'2324 Jun 24 Enroll'!S$1,FALSE),2)</f>
        <v>907.81</v>
      </c>
      <c r="AF300" s="6">
        <f>ROUND($Z300*CLS_Inc_Salary2324*VLOOKUP($A300,EnrollData2324,'2324 Jun 24 Enroll'!T$1,FALSE),2)-AE300</f>
        <v>33.580000000000041</v>
      </c>
      <c r="AG300">
        <f t="shared" si="76"/>
        <v>734.16</v>
      </c>
      <c r="AH300" s="69">
        <f t="shared" si="80"/>
        <v>68.700000000000045</v>
      </c>
      <c r="AI300">
        <f t="shared" si="77"/>
        <v>214.23</v>
      </c>
      <c r="AJ300">
        <f t="shared" si="81"/>
        <v>114.21000000000001</v>
      </c>
      <c r="AK300">
        <f t="shared" si="82"/>
        <v>805.27</v>
      </c>
      <c r="AL300">
        <f t="shared" si="83"/>
        <v>57.77</v>
      </c>
      <c r="AM300">
        <f t="shared" si="84"/>
        <v>200.26</v>
      </c>
      <c r="AN300">
        <f t="shared" si="85"/>
        <v>6.23</v>
      </c>
      <c r="AO300">
        <f>ROUND(($J300*CIS_Inc_Salary2324*(VLOOKUP($A300,EnrollData2324,'2324 Jun 24 Enroll'!T$1,FALSE)+VLOOKUP($A300,EnrollData2324,'2324 Jun 24 Enroll'!U$1,FALSE))/Apport_613Xpd)*Apport_614Xpd,2)</f>
        <v>72.59</v>
      </c>
      <c r="AP300">
        <f t="shared" si="86"/>
        <v>12.58</v>
      </c>
      <c r="AQ300">
        <f t="shared" si="87"/>
        <v>30.93</v>
      </c>
      <c r="AR300" s="6">
        <f>ROUND((VLOOKUP($A300,EnrollData2324,'2324 Jun 24 Enroll'!D$1,FALSE)*Apport_M802324+VLOOKUP($A300,EnrollData2324,'2324 Jun 24 Enroll'!M$1,FALSE)*Apport_M802324+(VLOOKUP($A300,EnrollData2324,'2324 Jun 24 Enroll'!P$1,FALSE)+VLOOKUP($A300,EnrollData2324,'2324 Jun 24 Enroll'!Q$1,FALSE)+VLOOKUP($A300,EnrollData2324,'2324 Jun 24 Enroll'!R$1,FALSE)+VLOOKUP($A300,EnrollData2324,'2324 Jun 24 Enroll'!I$1,FALSE)+VLOOKUP($A300,EnrollData2324,'2324 Jun 24 Enroll'!N$1,FALSE)+VLOOKUP($A300,EnrollData2324,'2324 Jun 24 Enroll'!O$1,FALSE)+VLOOKUP($A300,EnrollData2324,'2324 Jun 24 Enroll'!K$1,FALSE)+VLOOKUP($A300,EnrollData2324,'2324 Jun 24 Enroll'!L$1,FALSE))*Apport_M812324)/(VLOOKUP($A300,EnrollData2324,'2324 Jun 24 Enroll'!M$1,FALSE)+VLOOKUP($A300,EnrollData2324,'2324 Jun 24 Enroll'!D$1,FALSE)),2)</f>
        <v>1546.68</v>
      </c>
      <c r="AS300" s="7">
        <f t="shared" si="88"/>
        <v>9619.5400000000009</v>
      </c>
    </row>
    <row r="301" spans="1:45">
      <c r="A301" s="40" t="s">
        <v>679</v>
      </c>
      <c r="B301" s="40" t="s">
        <v>680</v>
      </c>
      <c r="C301" s="11">
        <f>ROUND((IFERROR((1/IF(VLOOKUP($A301,EnrollData2324,28,FALSE)='District Calculations'!$B$10,VLOOKUP($A301,EnrollData2324,28,FALSE),'District Calculations'!$B$10))*(1+Apport_Z315),0))+Apport_201A2324,6)</f>
        <v>7.3449E-2</v>
      </c>
      <c r="D301">
        <f>ROUND(IF(VLOOKUP($A301,EnrollData2324,'2324 Jun 24 Enroll'!D$1,FALSE)='District Calculations'!$B$11,VLOOKUP($A301,EnrollData2324,'2324 Jun 24 Enroll'!D$1,FALSE),'District Calculations'!$B$11)*C301,3)</f>
        <v>0</v>
      </c>
      <c r="E301">
        <f>ROUND(IF(VLOOKUP($A301,EnrollData2324,'2324 Jun 24 Enroll'!E$1,FALSE)='District Calculations'!$B$12,VLOOKUP($A301,EnrollData2324,'2324 Jun 24 Enroll'!E$1,FALSE),'District Calculations'!$B$12)*C301,3)</f>
        <v>59.53</v>
      </c>
      <c r="F301">
        <f>ROUND(IF(VLOOKUP($A301,EnrollData2324,'2324 Jun 24 Enroll'!F$1,FALSE)='District Calculations'!$B$13,VLOOKUP($A301,EnrollData2324,'2324 Jun 24 Enroll'!F$1,FALSE),'District Calculations'!$B$13)*Apport_222A2324,3)</f>
        <v>10.101000000000001</v>
      </c>
      <c r="G301">
        <f>ROUND(IF(VLOOKUP($A301,EnrollData2324,'2324 Jun 24 Enroll'!G$1,FALSE)='District Calculations'!$B$14,VLOOKUP($A301,EnrollData2324,'2324 Jun 24 Enroll'!G$1,FALSE),'District Calculations'!$B$14)*Apport_210A2324,3)</f>
        <v>22.395</v>
      </c>
      <c r="H301">
        <f>ROUND(IF(VLOOKUP($A301,EnrollData2324,'2324 Jun 24 Enroll'!H$1,FALSE)='District Calculations'!$B$15,VLOOKUP($A301,EnrollData2324,'2324 Jun 24 Enroll'!H$1,FALSE),'District Calculations'!$B$15)*Apport_213A2324,3)</f>
        <v>23.091999999999999</v>
      </c>
      <c r="I301">
        <f>ROUND(IF(VLOOKUP($A301,EnrollData2324,'2324 Jun 24 Enroll'!I$1,FALSE)+VLOOKUP($A301,EnrollData2324,'2324 Jun 24 Enroll'!M$1,FALSE)-VLOOKUP($A301,EnrollData2324,'2324 Jun 24 Enroll'!J$1,FALSE)='District Calculations'!$B$16+'District Calculations'!$B$25-'District Calculations'!$B$17,VLOOKUP($A301,EnrollData2324,'2324 Jun 24 Enroll'!I$1,FALSE)+VLOOKUP($A301,EnrollData2324,'2324 Jun 24 Enroll'!M$1,FALSE)-VLOOKUP($A301,EnrollData2324,'2324 Jun 24 Enroll'!J$1,FALSE),'District Calculations'!$B$16+'District Calculations'!$B$25-'District Calculations'!$B$17)*Apport_216A2324,3)</f>
        <v>58.183999999999997</v>
      </c>
      <c r="J301">
        <f>ROUND(SUM(D301:I301)/(IF(VLOOKUP($A301,EnrollData2324,'2324 Jun 24 Enroll'!M$1,FALSE)='District Calculations'!$B$25,VLOOKUP($A301,EnrollData2324,'2324 Jun 24 Enroll'!M$1,FALSE),'District Calculations'!$B$25)+IF(VLOOKUP($A301,EnrollData2324,'2324 Jun 24 Enroll'!D$1,FALSE)='District Calculations'!$B$11,VLOOKUP($A301,EnrollData2324,'2324 Jun 24 Enroll'!D$1,FALSE),'District Calculations'!$B$11)),5)</f>
        <v>5.5530000000000003E-2</v>
      </c>
      <c r="K301" s="11">
        <f t="shared" si="78"/>
        <v>4.365E-3</v>
      </c>
      <c r="L301">
        <f>ROUND(IF(VLOOKUP($A301,EnrollData2324,'2324 Jun 24 Enroll'!D$1,FALSE)='District Calculations'!$B$11,VLOOKUP($A301,EnrollData2324,'2324 Jun 24 Enroll'!D$1,FALSE),'District Calculations'!$B$11)*K301,3)</f>
        <v>0</v>
      </c>
      <c r="M301">
        <f>ROUND(IF(VLOOKUP($A301,EnrollData2324,'2324 Jun 24 Enroll'!E$1,FALSE)='District Calculations'!$B$12,VLOOKUP($A301,EnrollData2324,'2324 Jun 24 Enroll'!E$1,FALSE),'District Calculations'!$B$12)*K301,3)</f>
        <v>3.5379999999999998</v>
      </c>
      <c r="N301">
        <f>ROUND(IF(VLOOKUP($A301,EnrollData2324,'2324 Jun 24 Enroll'!F$1,FALSE)='District Calculations'!$B$13,VLOOKUP($A301,EnrollData2324,'2324 Jun 24 Enroll'!F$1,FALSE),'District Calculations'!$B$13)*Apport_223A2324,3)</f>
        <v>0.84199999999999997</v>
      </c>
      <c r="O301">
        <f>ROUND(IF(VLOOKUP($A301,EnrollData2324,'2324 Jun 24 Enroll'!G$1,FALSE)='District Calculations'!$B$14,VLOOKUP($A301,EnrollData2324,'2324 Jun 24 Enroll'!G$1,FALSE),'District Calculations'!$B$14)*Apport_211A2324,3)</f>
        <v>1.867</v>
      </c>
      <c r="P301">
        <f>ROUND(IF(VLOOKUP($A301,EnrollData2324,'2324 Jun 24 Enroll'!H$1,FALSE)='District Calculations'!$B$14,VLOOKUP($A301,EnrollData2324,'2324 Jun 24 Enroll'!H$1,FALSE),'District Calculations'!$B$14)*Apport_214A2324,3)</f>
        <v>1.8660000000000001</v>
      </c>
      <c r="Q301">
        <f>ROUND(IF(VLOOKUP($A301,EnrollData2324,'2324 Jun 24 Enroll'!I$1,FALSE)+VLOOKUP($A301,EnrollData2324,'2324 Jun 24 Enroll'!M$1,FALSE)-VLOOKUP($A301,EnrollData2324,'2324 Jun 24 Enroll'!J$1,FALSE)='District Calculations'!$B$16+'District Calculations'!$B$25-'District Calculations'!$B$17,VLOOKUP($A301,EnrollData2324,'2324 Jun 24 Enroll'!I$1,FALSE)+VLOOKUP($A301,EnrollData2324,'2324 Jun 24 Enroll'!M$1,FALSE)-VLOOKUP($A301,EnrollData2324,'2324 Jun 24 Enroll'!J$1,FALSE),'District Calculations'!$B$16+'District Calculations'!$B$25-'District Calculations'!$B$17)*Apport_217A2324,3)</f>
        <v>4.6980000000000004</v>
      </c>
      <c r="R301">
        <f>ROUND(SUM(L301:Q301)/IF(VLOOKUP($A301,EnrollData2324,'2324 Jun 24 Enroll'!M$1,FALSE)+VLOOKUP($A301,EnrollData2324,'2324 Jun 24 Enroll'!D$1,FALSE)='District Calculations'!$B$25+'District Calculations'!$B$11,VLOOKUP($A301,EnrollData2324,'2324 Jun 24 Enroll'!M$1,FALSE)+VLOOKUP($A301,EnrollData2324,'2324 Jun 24 Enroll'!D$1,FALSE),'District Calculations'!$B$25+'District Calculations'!$B$11),5)</f>
        <v>4.1000000000000003E-3</v>
      </c>
      <c r="S301" s="11">
        <f t="shared" si="79"/>
        <v>1.8294500000000002E-2</v>
      </c>
      <c r="T301">
        <f>ROUND(IF(VLOOKUP($A301,EnrollData2324,'2324 Jun 24 Enroll'!D$1,FALSE)='District Calculations'!$B$11,VLOOKUP($A301,EnrollData2324,'2324 Jun 24 Enroll'!D$1,FALSE),'District Calculations'!$B$11)*S301,3)</f>
        <v>0</v>
      </c>
      <c r="U301">
        <f>ROUND(IF(VLOOKUP($A301,EnrollData2324,'2324 Jun 24 Enroll'!E$1,FALSE)='District Calculations'!$B$12,VLOOKUP($A301,EnrollData2324,'2324 Jun 24 Enroll'!E$1,FALSE),'District Calculations'!$B$12)*S301,3)</f>
        <v>14.827999999999999</v>
      </c>
      <c r="V301">
        <f>ROUND(IF(VLOOKUP($A301,EnrollData2324,'2324 Jun 24 Enroll'!F$1,FALSE)='District Calculations'!$B$13,VLOOKUP($A301,EnrollData2324,'2324 Jun 24 Enroll'!F$1,FALSE),'District Calculations'!$B$13)*Apport_224A2324,3)</f>
        <v>3.6190000000000002</v>
      </c>
      <c r="W301">
        <f>ROUND(IF(VLOOKUP($A301,EnrollData2324,'2324 Jun 24 Enroll'!G$1,FALSE)='District Calculations'!$B$14,VLOOKUP($A301,EnrollData2324,'2324 Jun 24 Enroll'!G$1,FALSE),'District Calculations'!$B$14)*Apport_212A2324,3)</f>
        <v>8.0239999999999991</v>
      </c>
      <c r="X301">
        <f>ROUND(IF(VLOOKUP($A301,EnrollData2324,'2324 Jun 24 Enroll'!H$1,FALSE)='District Calculations'!$B$14,VLOOKUP($A301,EnrollData2324,'2324 Jun 24 Enroll'!H$1,FALSE),'District Calculations'!$B$14)*Apport_215A2324,3)</f>
        <v>7.9279999999999999</v>
      </c>
      <c r="Y301">
        <f>ROUND(IF(VLOOKUP($A301,EnrollData2324,'2324 Jun 24 Enroll'!I$1,FALSE)+VLOOKUP($A301,EnrollData2324,'2324 Jun 24 Enroll'!M$1,FALSE)-VLOOKUP($A301,EnrollData2324,'2324 Jun 24 Enroll'!J$1,FALSE)='District Calculations'!$B$16+'District Calculations'!$B$25-'District Calculations'!$B$17,VLOOKUP($A301,EnrollData2324,'2324 Jun 24 Enroll'!I$1,FALSE)+VLOOKUP($A301,EnrollData2324,'2324 Jun 24 Enroll'!M$1,FALSE)-VLOOKUP($A301,EnrollData2324,'2324 Jun 24 Enroll'!J$1,FALSE),'District Calculations'!$B$16+'District Calculations'!$B$25-'District Calculations'!$B$17)*Apport_218A2324,3)</f>
        <v>19.917999999999999</v>
      </c>
      <c r="Z301">
        <f>ROUND(SUM(T301:Y301)/IF(VLOOKUP($A301,EnrollData2324,'2324 Jun 24 Enroll'!M$1,FALSE)+VLOOKUP($A301,EnrollData2324,'2324 Jun 24 Enroll'!D$1,FALSE)='District Calculations'!$B$25+'District Calculations'!$B$11,VLOOKUP($A301,EnrollData2324,'2324 Jun 24 Enroll'!M$1,FALSE)+VLOOKUP($A301,EnrollData2324,'2324 Jun 24 Enroll'!D$1,FALSE),'District Calculations'!$B$25+'District Calculations'!$B$11),5)</f>
        <v>1.7399999999999999E-2</v>
      </c>
      <c r="AA301" s="6">
        <f>ROUND($J301*CIS_Base_Salary2324*VLOOKUP($A301,EnrollData2324,'2324 Jun 24 Enroll'!S$1,FALSE),2)</f>
        <v>4038.59</v>
      </c>
      <c r="AB301" s="6">
        <f>ROUND($J301*CIS_Inc_Salary2324*(VLOOKUP($A301,EnrollData2324,'2324 Jun 24 Enroll'!T$1,FALSE)+VLOOKUP($A301,EnrollData2324,'2324 Jun 24 Enroll'!U$1,FALSE)),2)-AA301</f>
        <v>149.43000000000029</v>
      </c>
      <c r="AC301" s="6">
        <f>ROUND($R301*CAS_Base_Salary2324*VLOOKUP($A301,EnrollData2324,'2324 Jun 24 Enroll'!S$1,FALSE),2)</f>
        <v>442.62</v>
      </c>
      <c r="AD301" s="6">
        <f>ROUND($R301*CAS_Inc_Salary2324*VLOOKUP($A301,EnrollData2324,'2324 Jun 24 Enroll'!T$1,FALSE),2)-AC301</f>
        <v>16.379999999999995</v>
      </c>
      <c r="AE301" s="6">
        <f>ROUND($Z301*CLS_Base_Salary2324*VLOOKUP($A301,EnrollData2324,'2324 Jun 24 Enroll'!S$1,FALSE),2)</f>
        <v>907.81</v>
      </c>
      <c r="AF301" s="6">
        <f>ROUND($Z301*CLS_Inc_Salary2324*VLOOKUP($A301,EnrollData2324,'2324 Jun 24 Enroll'!T$1,FALSE),2)-AE301</f>
        <v>33.580000000000041</v>
      </c>
      <c r="AG301">
        <f t="shared" si="76"/>
        <v>734.16</v>
      </c>
      <c r="AH301" s="69">
        <f t="shared" si="80"/>
        <v>68.700000000000045</v>
      </c>
      <c r="AI301">
        <f t="shared" si="77"/>
        <v>214.23</v>
      </c>
      <c r="AJ301">
        <f t="shared" si="81"/>
        <v>114.21000000000001</v>
      </c>
      <c r="AK301">
        <f t="shared" si="82"/>
        <v>805.27</v>
      </c>
      <c r="AL301">
        <f t="shared" si="83"/>
        <v>28.73</v>
      </c>
      <c r="AM301">
        <f t="shared" si="84"/>
        <v>200.26</v>
      </c>
      <c r="AN301">
        <f t="shared" si="85"/>
        <v>6.23</v>
      </c>
      <c r="AO301">
        <f>ROUND(($J301*CIS_Inc_Salary2324*(VLOOKUP($A301,EnrollData2324,'2324 Jun 24 Enroll'!T$1,FALSE)+VLOOKUP($A301,EnrollData2324,'2324 Jun 24 Enroll'!U$1,FALSE))/Apport_613Xpd)*Apport_614Xpd,2)</f>
        <v>69.8</v>
      </c>
      <c r="AP301">
        <f t="shared" si="86"/>
        <v>12.1</v>
      </c>
      <c r="AQ301">
        <f t="shared" si="87"/>
        <v>30.93</v>
      </c>
      <c r="AR301" s="6">
        <f>ROUND((VLOOKUP($A301,EnrollData2324,'2324 Jun 24 Enroll'!D$1,FALSE)*Apport_M802324+VLOOKUP($A301,EnrollData2324,'2324 Jun 24 Enroll'!M$1,FALSE)*Apport_M802324+(VLOOKUP($A301,EnrollData2324,'2324 Jun 24 Enroll'!P$1,FALSE)+VLOOKUP($A301,EnrollData2324,'2324 Jun 24 Enroll'!Q$1,FALSE)+VLOOKUP($A301,EnrollData2324,'2324 Jun 24 Enroll'!R$1,FALSE)+VLOOKUP($A301,EnrollData2324,'2324 Jun 24 Enroll'!I$1,FALSE)+VLOOKUP($A301,EnrollData2324,'2324 Jun 24 Enroll'!N$1,FALSE)+VLOOKUP($A301,EnrollData2324,'2324 Jun 24 Enroll'!O$1,FALSE)+VLOOKUP($A301,EnrollData2324,'2324 Jun 24 Enroll'!K$1,FALSE)+VLOOKUP($A301,EnrollData2324,'2324 Jun 24 Enroll'!L$1,FALSE))*Apport_M812324)/(VLOOKUP($A301,EnrollData2324,'2324 Jun 24 Enroll'!M$1,FALSE)+VLOOKUP($A301,EnrollData2324,'2324 Jun 24 Enroll'!D$1,FALSE)),2)</f>
        <v>1539.24</v>
      </c>
      <c r="AS301" s="7">
        <f t="shared" si="88"/>
        <v>9412.27</v>
      </c>
    </row>
    <row r="302" spans="1:45">
      <c r="A302" s="40" t="s">
        <v>476</v>
      </c>
      <c r="B302" s="40" t="s">
        <v>477</v>
      </c>
      <c r="C302" s="11">
        <f>ROUND((IFERROR((1/IF(VLOOKUP($A302,EnrollData2324,28,FALSE)='District Calculations'!$B$10,VLOOKUP($A302,EnrollData2324,28,FALSE),'District Calculations'!$B$10))*(1+Apport_Z315),0))+Apport_201A2324,6)</f>
        <v>7.3449E-2</v>
      </c>
      <c r="D302">
        <f>ROUND(IF(VLOOKUP($A302,EnrollData2324,'2324 Jun 24 Enroll'!D$1,FALSE)='District Calculations'!$B$11,VLOOKUP($A302,EnrollData2324,'2324 Jun 24 Enroll'!D$1,FALSE),'District Calculations'!$B$11)*C302,3)</f>
        <v>0</v>
      </c>
      <c r="E302">
        <f>ROUND(IF(VLOOKUP($A302,EnrollData2324,'2324 Jun 24 Enroll'!E$1,FALSE)='District Calculations'!$B$12,VLOOKUP($A302,EnrollData2324,'2324 Jun 24 Enroll'!E$1,FALSE),'District Calculations'!$B$12)*C302,3)</f>
        <v>59.53</v>
      </c>
      <c r="F302">
        <f>ROUND(IF(VLOOKUP($A302,EnrollData2324,'2324 Jun 24 Enroll'!F$1,FALSE)='District Calculations'!$B$13,VLOOKUP($A302,EnrollData2324,'2324 Jun 24 Enroll'!F$1,FALSE),'District Calculations'!$B$13)*Apport_222A2324,3)</f>
        <v>10.101000000000001</v>
      </c>
      <c r="G302">
        <f>ROUND(IF(VLOOKUP($A302,EnrollData2324,'2324 Jun 24 Enroll'!G$1,FALSE)='District Calculations'!$B$14,VLOOKUP($A302,EnrollData2324,'2324 Jun 24 Enroll'!G$1,FALSE),'District Calculations'!$B$14)*Apport_210A2324,3)</f>
        <v>22.395</v>
      </c>
      <c r="H302">
        <f>ROUND(IF(VLOOKUP($A302,EnrollData2324,'2324 Jun 24 Enroll'!H$1,FALSE)='District Calculations'!$B$15,VLOOKUP($A302,EnrollData2324,'2324 Jun 24 Enroll'!H$1,FALSE),'District Calculations'!$B$15)*Apport_213A2324,3)</f>
        <v>23.091999999999999</v>
      </c>
      <c r="I302">
        <f>ROUND(IF(VLOOKUP($A302,EnrollData2324,'2324 Jun 24 Enroll'!I$1,FALSE)+VLOOKUP($A302,EnrollData2324,'2324 Jun 24 Enroll'!M$1,FALSE)-VLOOKUP($A302,EnrollData2324,'2324 Jun 24 Enroll'!J$1,FALSE)='District Calculations'!$B$16+'District Calculations'!$B$25-'District Calculations'!$B$17,VLOOKUP($A302,EnrollData2324,'2324 Jun 24 Enroll'!I$1,FALSE)+VLOOKUP($A302,EnrollData2324,'2324 Jun 24 Enroll'!M$1,FALSE)-VLOOKUP($A302,EnrollData2324,'2324 Jun 24 Enroll'!J$1,FALSE),'District Calculations'!$B$16+'District Calculations'!$B$25-'District Calculations'!$B$17)*Apport_216A2324,3)</f>
        <v>58.183999999999997</v>
      </c>
      <c r="J302">
        <f>ROUND(SUM(D302:I302)/(IF(VLOOKUP($A302,EnrollData2324,'2324 Jun 24 Enroll'!M$1,FALSE)='District Calculations'!$B$25,VLOOKUP($A302,EnrollData2324,'2324 Jun 24 Enroll'!M$1,FALSE),'District Calculations'!$B$25)+IF(VLOOKUP($A302,EnrollData2324,'2324 Jun 24 Enroll'!D$1,FALSE)='District Calculations'!$B$11,VLOOKUP($A302,EnrollData2324,'2324 Jun 24 Enroll'!D$1,FALSE),'District Calculations'!$B$11)),5)</f>
        <v>5.5530000000000003E-2</v>
      </c>
      <c r="K302" s="11">
        <f t="shared" si="78"/>
        <v>4.365E-3</v>
      </c>
      <c r="L302">
        <f>ROUND(IF(VLOOKUP($A302,EnrollData2324,'2324 Jun 24 Enroll'!D$1,FALSE)='District Calculations'!$B$11,VLOOKUP($A302,EnrollData2324,'2324 Jun 24 Enroll'!D$1,FALSE),'District Calculations'!$B$11)*K302,3)</f>
        <v>0</v>
      </c>
      <c r="M302">
        <f>ROUND(IF(VLOOKUP($A302,EnrollData2324,'2324 Jun 24 Enroll'!E$1,FALSE)='District Calculations'!$B$12,VLOOKUP($A302,EnrollData2324,'2324 Jun 24 Enroll'!E$1,FALSE),'District Calculations'!$B$12)*K302,3)</f>
        <v>3.5379999999999998</v>
      </c>
      <c r="N302">
        <f>ROUND(IF(VLOOKUP($A302,EnrollData2324,'2324 Jun 24 Enroll'!F$1,FALSE)='District Calculations'!$B$13,VLOOKUP($A302,EnrollData2324,'2324 Jun 24 Enroll'!F$1,FALSE),'District Calculations'!$B$13)*Apport_223A2324,3)</f>
        <v>0.84199999999999997</v>
      </c>
      <c r="O302">
        <f>ROUND(IF(VLOOKUP($A302,EnrollData2324,'2324 Jun 24 Enroll'!G$1,FALSE)='District Calculations'!$B$14,VLOOKUP($A302,EnrollData2324,'2324 Jun 24 Enroll'!G$1,FALSE),'District Calculations'!$B$14)*Apport_211A2324,3)</f>
        <v>1.867</v>
      </c>
      <c r="P302">
        <f>ROUND(IF(VLOOKUP($A302,EnrollData2324,'2324 Jun 24 Enroll'!H$1,FALSE)='District Calculations'!$B$14,VLOOKUP($A302,EnrollData2324,'2324 Jun 24 Enroll'!H$1,FALSE),'District Calculations'!$B$14)*Apport_214A2324,3)</f>
        <v>1.8660000000000001</v>
      </c>
      <c r="Q302">
        <f>ROUND(IF(VLOOKUP($A302,EnrollData2324,'2324 Jun 24 Enroll'!I$1,FALSE)+VLOOKUP($A302,EnrollData2324,'2324 Jun 24 Enroll'!M$1,FALSE)-VLOOKUP($A302,EnrollData2324,'2324 Jun 24 Enroll'!J$1,FALSE)='District Calculations'!$B$16+'District Calculations'!$B$25-'District Calculations'!$B$17,VLOOKUP($A302,EnrollData2324,'2324 Jun 24 Enroll'!I$1,FALSE)+VLOOKUP($A302,EnrollData2324,'2324 Jun 24 Enroll'!M$1,FALSE)-VLOOKUP($A302,EnrollData2324,'2324 Jun 24 Enroll'!J$1,FALSE),'District Calculations'!$B$16+'District Calculations'!$B$25-'District Calculations'!$B$17)*Apport_217A2324,3)</f>
        <v>4.6980000000000004</v>
      </c>
      <c r="R302">
        <f>ROUND(SUM(L302:Q302)/IF(VLOOKUP($A302,EnrollData2324,'2324 Jun 24 Enroll'!M$1,FALSE)+VLOOKUP($A302,EnrollData2324,'2324 Jun 24 Enroll'!D$1,FALSE)='District Calculations'!$B$25+'District Calculations'!$B$11,VLOOKUP($A302,EnrollData2324,'2324 Jun 24 Enroll'!M$1,FALSE)+VLOOKUP($A302,EnrollData2324,'2324 Jun 24 Enroll'!D$1,FALSE),'District Calculations'!$B$25+'District Calculations'!$B$11),5)</f>
        <v>4.1000000000000003E-3</v>
      </c>
      <c r="S302" s="11">
        <f t="shared" si="79"/>
        <v>1.8294500000000002E-2</v>
      </c>
      <c r="T302">
        <f>ROUND(IF(VLOOKUP($A302,EnrollData2324,'2324 Jun 24 Enroll'!D$1,FALSE)='District Calculations'!$B$11,VLOOKUP($A302,EnrollData2324,'2324 Jun 24 Enroll'!D$1,FALSE),'District Calculations'!$B$11)*S302,3)</f>
        <v>0</v>
      </c>
      <c r="U302">
        <f>ROUND(IF(VLOOKUP($A302,EnrollData2324,'2324 Jun 24 Enroll'!E$1,FALSE)='District Calculations'!$B$12,VLOOKUP($A302,EnrollData2324,'2324 Jun 24 Enroll'!E$1,FALSE),'District Calculations'!$B$12)*S302,3)</f>
        <v>14.827999999999999</v>
      </c>
      <c r="V302">
        <f>ROUND(IF(VLOOKUP($A302,EnrollData2324,'2324 Jun 24 Enroll'!F$1,FALSE)='District Calculations'!$B$13,VLOOKUP($A302,EnrollData2324,'2324 Jun 24 Enroll'!F$1,FALSE),'District Calculations'!$B$13)*Apport_224A2324,3)</f>
        <v>3.6190000000000002</v>
      </c>
      <c r="W302">
        <f>ROUND(IF(VLOOKUP($A302,EnrollData2324,'2324 Jun 24 Enroll'!G$1,FALSE)='District Calculations'!$B$14,VLOOKUP($A302,EnrollData2324,'2324 Jun 24 Enroll'!G$1,FALSE),'District Calculations'!$B$14)*Apport_212A2324,3)</f>
        <v>8.0239999999999991</v>
      </c>
      <c r="X302">
        <f>ROUND(IF(VLOOKUP($A302,EnrollData2324,'2324 Jun 24 Enroll'!H$1,FALSE)='District Calculations'!$B$14,VLOOKUP($A302,EnrollData2324,'2324 Jun 24 Enroll'!H$1,FALSE),'District Calculations'!$B$14)*Apport_215A2324,3)</f>
        <v>7.9279999999999999</v>
      </c>
      <c r="Y302">
        <f>ROUND(IF(VLOOKUP($A302,EnrollData2324,'2324 Jun 24 Enroll'!I$1,FALSE)+VLOOKUP($A302,EnrollData2324,'2324 Jun 24 Enroll'!M$1,FALSE)-VLOOKUP($A302,EnrollData2324,'2324 Jun 24 Enroll'!J$1,FALSE)='District Calculations'!$B$16+'District Calculations'!$B$25-'District Calculations'!$B$17,VLOOKUP($A302,EnrollData2324,'2324 Jun 24 Enroll'!I$1,FALSE)+VLOOKUP($A302,EnrollData2324,'2324 Jun 24 Enroll'!M$1,FALSE)-VLOOKUP($A302,EnrollData2324,'2324 Jun 24 Enroll'!J$1,FALSE),'District Calculations'!$B$16+'District Calculations'!$B$25-'District Calculations'!$B$17)*Apport_218A2324,3)</f>
        <v>19.917999999999999</v>
      </c>
      <c r="Z302">
        <f>ROUND(SUM(T302:Y302)/IF(VLOOKUP($A302,EnrollData2324,'2324 Jun 24 Enroll'!M$1,FALSE)+VLOOKUP($A302,EnrollData2324,'2324 Jun 24 Enroll'!D$1,FALSE)='District Calculations'!$B$25+'District Calculations'!$B$11,VLOOKUP($A302,EnrollData2324,'2324 Jun 24 Enroll'!M$1,FALSE)+VLOOKUP($A302,EnrollData2324,'2324 Jun 24 Enroll'!D$1,FALSE),'District Calculations'!$B$25+'District Calculations'!$B$11),5)</f>
        <v>1.7399999999999999E-2</v>
      </c>
      <c r="AA302" s="6">
        <f>ROUND($J302*CIS_Base_Salary2324*VLOOKUP($A302,EnrollData2324,'2324 Jun 24 Enroll'!S$1,FALSE),2)</f>
        <v>4038.59</v>
      </c>
      <c r="AB302" s="6">
        <f>ROUND($J302*CIS_Inc_Salary2324*(VLOOKUP($A302,EnrollData2324,'2324 Jun 24 Enroll'!T$1,FALSE)+VLOOKUP($A302,EnrollData2324,'2324 Jun 24 Enroll'!U$1,FALSE)),2)-AA302</f>
        <v>149.43000000000029</v>
      </c>
      <c r="AC302" s="6">
        <f>ROUND($R302*CAS_Base_Salary2324*VLOOKUP($A302,EnrollData2324,'2324 Jun 24 Enroll'!S$1,FALSE),2)</f>
        <v>442.62</v>
      </c>
      <c r="AD302" s="6">
        <f>ROUND($R302*CAS_Inc_Salary2324*VLOOKUP($A302,EnrollData2324,'2324 Jun 24 Enroll'!T$1,FALSE),2)-AC302</f>
        <v>16.379999999999995</v>
      </c>
      <c r="AE302" s="6">
        <f>ROUND($Z302*CLS_Base_Salary2324*VLOOKUP($A302,EnrollData2324,'2324 Jun 24 Enroll'!S$1,FALSE),2)</f>
        <v>907.81</v>
      </c>
      <c r="AF302" s="6">
        <f>ROUND($Z302*CLS_Inc_Salary2324*VLOOKUP($A302,EnrollData2324,'2324 Jun 24 Enroll'!T$1,FALSE),2)-AE302</f>
        <v>33.580000000000041</v>
      </c>
      <c r="AG302">
        <f t="shared" si="76"/>
        <v>734.16</v>
      </c>
      <c r="AH302" s="69">
        <f t="shared" si="80"/>
        <v>68.700000000000045</v>
      </c>
      <c r="AI302">
        <f t="shared" si="77"/>
        <v>214.23</v>
      </c>
      <c r="AJ302">
        <f t="shared" si="81"/>
        <v>114.21000000000001</v>
      </c>
      <c r="AK302">
        <f t="shared" si="82"/>
        <v>805.27</v>
      </c>
      <c r="AL302">
        <f t="shared" si="83"/>
        <v>28.73</v>
      </c>
      <c r="AM302">
        <f t="shared" si="84"/>
        <v>200.26</v>
      </c>
      <c r="AN302">
        <f t="shared" si="85"/>
        <v>6.23</v>
      </c>
      <c r="AO302">
        <f>ROUND(($J302*CIS_Inc_Salary2324*(VLOOKUP($A302,EnrollData2324,'2324 Jun 24 Enroll'!T$1,FALSE)+VLOOKUP($A302,EnrollData2324,'2324 Jun 24 Enroll'!U$1,FALSE))/Apport_613Xpd)*Apport_614Xpd,2)</f>
        <v>69.8</v>
      </c>
      <c r="AP302">
        <f t="shared" si="86"/>
        <v>12.1</v>
      </c>
      <c r="AQ302">
        <f t="shared" si="87"/>
        <v>30.93</v>
      </c>
      <c r="AR302" s="6">
        <f>ROUND((VLOOKUP($A302,EnrollData2324,'2324 Jun 24 Enroll'!D$1,FALSE)*Apport_M802324+VLOOKUP($A302,EnrollData2324,'2324 Jun 24 Enroll'!M$1,FALSE)*Apport_M802324+(VLOOKUP($A302,EnrollData2324,'2324 Jun 24 Enroll'!P$1,FALSE)+VLOOKUP($A302,EnrollData2324,'2324 Jun 24 Enroll'!Q$1,FALSE)+VLOOKUP($A302,EnrollData2324,'2324 Jun 24 Enroll'!R$1,FALSE)+VLOOKUP($A302,EnrollData2324,'2324 Jun 24 Enroll'!I$1,FALSE)+VLOOKUP($A302,EnrollData2324,'2324 Jun 24 Enroll'!N$1,FALSE)+VLOOKUP($A302,EnrollData2324,'2324 Jun 24 Enroll'!O$1,FALSE)+VLOOKUP($A302,EnrollData2324,'2324 Jun 24 Enroll'!K$1,FALSE)+VLOOKUP($A302,EnrollData2324,'2324 Jun 24 Enroll'!L$1,FALSE))*Apport_M812324)/(VLOOKUP($A302,EnrollData2324,'2324 Jun 24 Enroll'!M$1,FALSE)+VLOOKUP($A302,EnrollData2324,'2324 Jun 24 Enroll'!D$1,FALSE)),2)</f>
        <v>1551.48</v>
      </c>
      <c r="AS302" s="7">
        <f t="shared" si="88"/>
        <v>9424.51</v>
      </c>
    </row>
    <row r="303" spans="1:45">
      <c r="A303" s="40" t="s">
        <v>797</v>
      </c>
      <c r="B303" s="40" t="s">
        <v>798</v>
      </c>
      <c r="C303" s="11">
        <f>ROUND((IFERROR((1/IF(VLOOKUP($A303,EnrollData2324,28,FALSE)='District Calculations'!$B$10,VLOOKUP($A303,EnrollData2324,28,FALSE),'District Calculations'!$B$10))*(1+Apport_Z315),0))+Apport_201A2324,6)</f>
        <v>7.3449E-2</v>
      </c>
      <c r="D303">
        <f>ROUND(IF(VLOOKUP($A303,EnrollData2324,'2324 Jun 24 Enroll'!D$1,FALSE)='District Calculations'!$B$11,VLOOKUP($A303,EnrollData2324,'2324 Jun 24 Enroll'!D$1,FALSE),'District Calculations'!$B$11)*C303,3)</f>
        <v>0</v>
      </c>
      <c r="E303">
        <f>ROUND(IF(VLOOKUP($A303,EnrollData2324,'2324 Jun 24 Enroll'!E$1,FALSE)='District Calculations'!$B$12,VLOOKUP($A303,EnrollData2324,'2324 Jun 24 Enroll'!E$1,FALSE),'District Calculations'!$B$12)*C303,3)</f>
        <v>59.53</v>
      </c>
      <c r="F303">
        <f>ROUND(IF(VLOOKUP($A303,EnrollData2324,'2324 Jun 24 Enroll'!F$1,FALSE)='District Calculations'!$B$13,VLOOKUP($A303,EnrollData2324,'2324 Jun 24 Enroll'!F$1,FALSE),'District Calculations'!$B$13)*Apport_222A2324,3)</f>
        <v>10.101000000000001</v>
      </c>
      <c r="G303">
        <f>ROUND(IF(VLOOKUP($A303,EnrollData2324,'2324 Jun 24 Enroll'!G$1,FALSE)='District Calculations'!$B$14,VLOOKUP($A303,EnrollData2324,'2324 Jun 24 Enroll'!G$1,FALSE),'District Calculations'!$B$14)*Apport_210A2324,3)</f>
        <v>22.395</v>
      </c>
      <c r="H303">
        <f>ROUND(IF(VLOOKUP($A303,EnrollData2324,'2324 Jun 24 Enroll'!H$1,FALSE)='District Calculations'!$B$15,VLOOKUP($A303,EnrollData2324,'2324 Jun 24 Enroll'!H$1,FALSE),'District Calculations'!$B$15)*Apport_213A2324,3)</f>
        <v>23.091999999999999</v>
      </c>
      <c r="I303">
        <f>ROUND(IF(VLOOKUP($A303,EnrollData2324,'2324 Jun 24 Enroll'!I$1,FALSE)+VLOOKUP($A303,EnrollData2324,'2324 Jun 24 Enroll'!M$1,FALSE)-VLOOKUP($A303,EnrollData2324,'2324 Jun 24 Enroll'!J$1,FALSE)='District Calculations'!$B$16+'District Calculations'!$B$25-'District Calculations'!$B$17,VLOOKUP($A303,EnrollData2324,'2324 Jun 24 Enroll'!I$1,FALSE)+VLOOKUP($A303,EnrollData2324,'2324 Jun 24 Enroll'!M$1,FALSE)-VLOOKUP($A303,EnrollData2324,'2324 Jun 24 Enroll'!J$1,FALSE),'District Calculations'!$B$16+'District Calculations'!$B$25-'District Calculations'!$B$17)*Apport_216A2324,3)</f>
        <v>58.183999999999997</v>
      </c>
      <c r="J303">
        <f>ROUND(SUM(D303:I303)/(IF(VLOOKUP($A303,EnrollData2324,'2324 Jun 24 Enroll'!M$1,FALSE)='District Calculations'!$B$25,VLOOKUP($A303,EnrollData2324,'2324 Jun 24 Enroll'!M$1,FALSE),'District Calculations'!$B$25)+IF(VLOOKUP($A303,EnrollData2324,'2324 Jun 24 Enroll'!D$1,FALSE)='District Calculations'!$B$11,VLOOKUP($A303,EnrollData2324,'2324 Jun 24 Enroll'!D$1,FALSE),'District Calculations'!$B$11)),5)</f>
        <v>5.5530000000000003E-2</v>
      </c>
      <c r="K303" s="11">
        <f t="shared" si="78"/>
        <v>4.365E-3</v>
      </c>
      <c r="L303">
        <f>ROUND(IF(VLOOKUP($A303,EnrollData2324,'2324 Jun 24 Enroll'!D$1,FALSE)='District Calculations'!$B$11,VLOOKUP($A303,EnrollData2324,'2324 Jun 24 Enroll'!D$1,FALSE),'District Calculations'!$B$11)*K303,3)</f>
        <v>0</v>
      </c>
      <c r="M303">
        <f>ROUND(IF(VLOOKUP($A303,EnrollData2324,'2324 Jun 24 Enroll'!E$1,FALSE)='District Calculations'!$B$12,VLOOKUP($A303,EnrollData2324,'2324 Jun 24 Enroll'!E$1,FALSE),'District Calculations'!$B$12)*K303,3)</f>
        <v>3.5379999999999998</v>
      </c>
      <c r="N303">
        <f>ROUND(IF(VLOOKUP($A303,EnrollData2324,'2324 Jun 24 Enroll'!F$1,FALSE)='District Calculations'!$B$13,VLOOKUP($A303,EnrollData2324,'2324 Jun 24 Enroll'!F$1,FALSE),'District Calculations'!$B$13)*Apport_223A2324,3)</f>
        <v>0.84199999999999997</v>
      </c>
      <c r="O303">
        <f>ROUND(IF(VLOOKUP($A303,EnrollData2324,'2324 Jun 24 Enroll'!G$1,FALSE)='District Calculations'!$B$14,VLOOKUP($A303,EnrollData2324,'2324 Jun 24 Enroll'!G$1,FALSE),'District Calculations'!$B$14)*Apport_211A2324,3)</f>
        <v>1.867</v>
      </c>
      <c r="P303">
        <f>ROUND(IF(VLOOKUP($A303,EnrollData2324,'2324 Jun 24 Enroll'!H$1,FALSE)='District Calculations'!$B$14,VLOOKUP($A303,EnrollData2324,'2324 Jun 24 Enroll'!H$1,FALSE),'District Calculations'!$B$14)*Apport_214A2324,3)</f>
        <v>1.8660000000000001</v>
      </c>
      <c r="Q303">
        <f>ROUND(IF(VLOOKUP($A303,EnrollData2324,'2324 Jun 24 Enroll'!I$1,FALSE)+VLOOKUP($A303,EnrollData2324,'2324 Jun 24 Enroll'!M$1,FALSE)-VLOOKUP($A303,EnrollData2324,'2324 Jun 24 Enroll'!J$1,FALSE)='District Calculations'!$B$16+'District Calculations'!$B$25-'District Calculations'!$B$17,VLOOKUP($A303,EnrollData2324,'2324 Jun 24 Enroll'!I$1,FALSE)+VLOOKUP($A303,EnrollData2324,'2324 Jun 24 Enroll'!M$1,FALSE)-VLOOKUP($A303,EnrollData2324,'2324 Jun 24 Enroll'!J$1,FALSE),'District Calculations'!$B$16+'District Calculations'!$B$25-'District Calculations'!$B$17)*Apport_217A2324,3)</f>
        <v>4.6980000000000004</v>
      </c>
      <c r="R303">
        <f>ROUND(SUM(L303:Q303)/IF(VLOOKUP($A303,EnrollData2324,'2324 Jun 24 Enroll'!M$1,FALSE)+VLOOKUP($A303,EnrollData2324,'2324 Jun 24 Enroll'!D$1,FALSE)='District Calculations'!$B$25+'District Calculations'!$B$11,VLOOKUP($A303,EnrollData2324,'2324 Jun 24 Enroll'!M$1,FALSE)+VLOOKUP($A303,EnrollData2324,'2324 Jun 24 Enroll'!D$1,FALSE),'District Calculations'!$B$25+'District Calculations'!$B$11),5)</f>
        <v>4.1000000000000003E-3</v>
      </c>
      <c r="S303" s="11">
        <f t="shared" si="79"/>
        <v>1.8294500000000002E-2</v>
      </c>
      <c r="T303">
        <f>ROUND(IF(VLOOKUP($A303,EnrollData2324,'2324 Jun 24 Enroll'!D$1,FALSE)='District Calculations'!$B$11,VLOOKUP($A303,EnrollData2324,'2324 Jun 24 Enroll'!D$1,FALSE),'District Calculations'!$B$11)*S303,3)</f>
        <v>0</v>
      </c>
      <c r="U303">
        <f>ROUND(IF(VLOOKUP($A303,EnrollData2324,'2324 Jun 24 Enroll'!E$1,FALSE)='District Calculations'!$B$12,VLOOKUP($A303,EnrollData2324,'2324 Jun 24 Enroll'!E$1,FALSE),'District Calculations'!$B$12)*S303,3)</f>
        <v>14.827999999999999</v>
      </c>
      <c r="V303">
        <f>ROUND(IF(VLOOKUP($A303,EnrollData2324,'2324 Jun 24 Enroll'!F$1,FALSE)='District Calculations'!$B$13,VLOOKUP($A303,EnrollData2324,'2324 Jun 24 Enroll'!F$1,FALSE),'District Calculations'!$B$13)*Apport_224A2324,3)</f>
        <v>3.6190000000000002</v>
      </c>
      <c r="W303">
        <f>ROUND(IF(VLOOKUP($A303,EnrollData2324,'2324 Jun 24 Enroll'!G$1,FALSE)='District Calculations'!$B$14,VLOOKUP($A303,EnrollData2324,'2324 Jun 24 Enroll'!G$1,FALSE),'District Calculations'!$B$14)*Apport_212A2324,3)</f>
        <v>8.0239999999999991</v>
      </c>
      <c r="X303">
        <f>ROUND(IF(VLOOKUP($A303,EnrollData2324,'2324 Jun 24 Enroll'!H$1,FALSE)='District Calculations'!$B$14,VLOOKUP($A303,EnrollData2324,'2324 Jun 24 Enroll'!H$1,FALSE),'District Calculations'!$B$14)*Apport_215A2324,3)</f>
        <v>7.9279999999999999</v>
      </c>
      <c r="Y303">
        <f>ROUND(IF(VLOOKUP($A303,EnrollData2324,'2324 Jun 24 Enroll'!I$1,FALSE)+VLOOKUP($A303,EnrollData2324,'2324 Jun 24 Enroll'!M$1,FALSE)-VLOOKUP($A303,EnrollData2324,'2324 Jun 24 Enroll'!J$1,FALSE)='District Calculations'!$B$16+'District Calculations'!$B$25-'District Calculations'!$B$17,VLOOKUP($A303,EnrollData2324,'2324 Jun 24 Enroll'!I$1,FALSE)+VLOOKUP($A303,EnrollData2324,'2324 Jun 24 Enroll'!M$1,FALSE)-VLOOKUP($A303,EnrollData2324,'2324 Jun 24 Enroll'!J$1,FALSE),'District Calculations'!$B$16+'District Calculations'!$B$25-'District Calculations'!$B$17)*Apport_218A2324,3)</f>
        <v>19.917999999999999</v>
      </c>
      <c r="Z303">
        <f>ROUND(SUM(T303:Y303)/IF(VLOOKUP($A303,EnrollData2324,'2324 Jun 24 Enroll'!M$1,FALSE)+VLOOKUP($A303,EnrollData2324,'2324 Jun 24 Enroll'!D$1,FALSE)='District Calculations'!$B$25+'District Calculations'!$B$11,VLOOKUP($A303,EnrollData2324,'2324 Jun 24 Enroll'!M$1,FALSE)+VLOOKUP($A303,EnrollData2324,'2324 Jun 24 Enroll'!D$1,FALSE),'District Calculations'!$B$25+'District Calculations'!$B$11),5)</f>
        <v>1.7399999999999999E-2</v>
      </c>
      <c r="AA303" s="6">
        <f>ROUND($J303*CIS_Base_Salary2324*VLOOKUP($A303,EnrollData2324,'2324 Jun 24 Enroll'!S$1,FALSE),2)</f>
        <v>4038.59</v>
      </c>
      <c r="AB303" s="6">
        <f>ROUND($J303*CIS_Inc_Salary2324*(VLOOKUP($A303,EnrollData2324,'2324 Jun 24 Enroll'!T$1,FALSE)+VLOOKUP($A303,EnrollData2324,'2324 Jun 24 Enroll'!U$1,FALSE)),2)-AA303</f>
        <v>316.94999999999982</v>
      </c>
      <c r="AC303" s="6">
        <f>ROUND($R303*CAS_Base_Salary2324*VLOOKUP($A303,EnrollData2324,'2324 Jun 24 Enroll'!S$1,FALSE),2)</f>
        <v>442.62</v>
      </c>
      <c r="AD303" s="6">
        <f>ROUND($R303*CAS_Inc_Salary2324*VLOOKUP($A303,EnrollData2324,'2324 Jun 24 Enroll'!T$1,FALSE),2)-AC303</f>
        <v>16.379999999999995</v>
      </c>
      <c r="AE303" s="6">
        <f>ROUND($Z303*CLS_Base_Salary2324*VLOOKUP($A303,EnrollData2324,'2324 Jun 24 Enroll'!S$1,FALSE),2)</f>
        <v>907.81</v>
      </c>
      <c r="AF303" s="6">
        <f>ROUND($Z303*CLS_Inc_Salary2324*VLOOKUP($A303,EnrollData2324,'2324 Jun 24 Enroll'!T$1,FALSE),2)-AE303</f>
        <v>33.580000000000041</v>
      </c>
      <c r="AG303">
        <f t="shared" si="76"/>
        <v>734.16</v>
      </c>
      <c r="AH303" s="69">
        <f t="shared" si="80"/>
        <v>68.700000000000045</v>
      </c>
      <c r="AI303">
        <f t="shared" si="77"/>
        <v>214.23</v>
      </c>
      <c r="AJ303">
        <f t="shared" si="81"/>
        <v>114.21000000000001</v>
      </c>
      <c r="AK303">
        <f t="shared" si="82"/>
        <v>805.27</v>
      </c>
      <c r="AL303">
        <f t="shared" si="83"/>
        <v>57.77</v>
      </c>
      <c r="AM303">
        <f t="shared" si="84"/>
        <v>200.26</v>
      </c>
      <c r="AN303">
        <f t="shared" si="85"/>
        <v>6.23</v>
      </c>
      <c r="AO303">
        <f>ROUND(($J303*CIS_Inc_Salary2324*(VLOOKUP($A303,EnrollData2324,'2324 Jun 24 Enroll'!T$1,FALSE)+VLOOKUP($A303,EnrollData2324,'2324 Jun 24 Enroll'!U$1,FALSE))/Apport_613Xpd)*Apport_614Xpd,2)</f>
        <v>72.59</v>
      </c>
      <c r="AP303">
        <f t="shared" si="86"/>
        <v>12.58</v>
      </c>
      <c r="AQ303">
        <f t="shared" si="87"/>
        <v>30.93</v>
      </c>
      <c r="AR303" s="6">
        <f>ROUND((VLOOKUP($A303,EnrollData2324,'2324 Jun 24 Enroll'!D$1,FALSE)*Apport_M802324+VLOOKUP($A303,EnrollData2324,'2324 Jun 24 Enroll'!M$1,FALSE)*Apport_M802324+(VLOOKUP($A303,EnrollData2324,'2324 Jun 24 Enroll'!P$1,FALSE)+VLOOKUP($A303,EnrollData2324,'2324 Jun 24 Enroll'!Q$1,FALSE)+VLOOKUP($A303,EnrollData2324,'2324 Jun 24 Enroll'!R$1,FALSE)+VLOOKUP($A303,EnrollData2324,'2324 Jun 24 Enroll'!I$1,FALSE)+VLOOKUP($A303,EnrollData2324,'2324 Jun 24 Enroll'!N$1,FALSE)+VLOOKUP($A303,EnrollData2324,'2324 Jun 24 Enroll'!O$1,FALSE)+VLOOKUP($A303,EnrollData2324,'2324 Jun 24 Enroll'!K$1,FALSE)+VLOOKUP($A303,EnrollData2324,'2324 Jun 24 Enroll'!L$1,FALSE))*Apport_M812324)/(VLOOKUP($A303,EnrollData2324,'2324 Jun 24 Enroll'!M$1,FALSE)+VLOOKUP($A303,EnrollData2324,'2324 Jun 24 Enroll'!D$1,FALSE)),2)</f>
        <v>1483.44</v>
      </c>
      <c r="AS303" s="7">
        <f t="shared" si="88"/>
        <v>9556.3000000000011</v>
      </c>
    </row>
    <row r="304" spans="1:45">
      <c r="A304" s="40" t="s">
        <v>394</v>
      </c>
      <c r="B304" s="40" t="s">
        <v>395</v>
      </c>
      <c r="C304" s="11">
        <f>ROUND((IFERROR((1/IF(VLOOKUP($A304,EnrollData2324,28,FALSE)='District Calculations'!$B$10,VLOOKUP($A304,EnrollData2324,28,FALSE),'District Calculations'!$B$10))*(1+Apport_Z315),0))+Apport_201A2324,6)</f>
        <v>7.3449E-2</v>
      </c>
      <c r="D304">
        <f>ROUND(IF(VLOOKUP($A304,EnrollData2324,'2324 Jun 24 Enroll'!D$1,FALSE)='District Calculations'!$B$11,VLOOKUP($A304,EnrollData2324,'2324 Jun 24 Enroll'!D$1,FALSE),'District Calculations'!$B$11)*C304,3)</f>
        <v>0</v>
      </c>
      <c r="E304">
        <f>ROUND(IF(VLOOKUP($A304,EnrollData2324,'2324 Jun 24 Enroll'!E$1,FALSE)='District Calculations'!$B$12,VLOOKUP($A304,EnrollData2324,'2324 Jun 24 Enroll'!E$1,FALSE),'District Calculations'!$B$12)*C304,3)</f>
        <v>59.53</v>
      </c>
      <c r="F304">
        <f>ROUND(IF(VLOOKUP($A304,EnrollData2324,'2324 Jun 24 Enroll'!F$1,FALSE)='District Calculations'!$B$13,VLOOKUP($A304,EnrollData2324,'2324 Jun 24 Enroll'!F$1,FALSE),'District Calculations'!$B$13)*Apport_222A2324,3)</f>
        <v>10.101000000000001</v>
      </c>
      <c r="G304">
        <f>ROUND(IF(VLOOKUP($A304,EnrollData2324,'2324 Jun 24 Enroll'!G$1,FALSE)='District Calculations'!$B$14,VLOOKUP($A304,EnrollData2324,'2324 Jun 24 Enroll'!G$1,FALSE),'District Calculations'!$B$14)*Apport_210A2324,3)</f>
        <v>22.395</v>
      </c>
      <c r="H304">
        <f>ROUND(IF(VLOOKUP($A304,EnrollData2324,'2324 Jun 24 Enroll'!H$1,FALSE)='District Calculations'!$B$15,VLOOKUP($A304,EnrollData2324,'2324 Jun 24 Enroll'!H$1,FALSE),'District Calculations'!$B$15)*Apport_213A2324,3)</f>
        <v>23.091999999999999</v>
      </c>
      <c r="I304">
        <f>ROUND(IF(VLOOKUP($A304,EnrollData2324,'2324 Jun 24 Enroll'!I$1,FALSE)+VLOOKUP($A304,EnrollData2324,'2324 Jun 24 Enroll'!M$1,FALSE)-VLOOKUP($A304,EnrollData2324,'2324 Jun 24 Enroll'!J$1,FALSE)='District Calculations'!$B$16+'District Calculations'!$B$25-'District Calculations'!$B$17,VLOOKUP($A304,EnrollData2324,'2324 Jun 24 Enroll'!I$1,FALSE)+VLOOKUP($A304,EnrollData2324,'2324 Jun 24 Enroll'!M$1,FALSE)-VLOOKUP($A304,EnrollData2324,'2324 Jun 24 Enroll'!J$1,FALSE),'District Calculations'!$B$16+'District Calculations'!$B$25-'District Calculations'!$B$17)*Apport_216A2324,3)</f>
        <v>58.183999999999997</v>
      </c>
      <c r="J304">
        <f>ROUND(SUM(D304:I304)/(IF(VLOOKUP($A304,EnrollData2324,'2324 Jun 24 Enroll'!M$1,FALSE)='District Calculations'!$B$25,VLOOKUP($A304,EnrollData2324,'2324 Jun 24 Enroll'!M$1,FALSE),'District Calculations'!$B$25)+IF(VLOOKUP($A304,EnrollData2324,'2324 Jun 24 Enroll'!D$1,FALSE)='District Calculations'!$B$11,VLOOKUP($A304,EnrollData2324,'2324 Jun 24 Enroll'!D$1,FALSE),'District Calculations'!$B$11)),5)</f>
        <v>5.5530000000000003E-2</v>
      </c>
      <c r="K304" s="11">
        <f t="shared" si="78"/>
        <v>4.365E-3</v>
      </c>
      <c r="L304">
        <f>ROUND(IF(VLOOKUP($A304,EnrollData2324,'2324 Jun 24 Enroll'!D$1,FALSE)='District Calculations'!$B$11,VLOOKUP($A304,EnrollData2324,'2324 Jun 24 Enroll'!D$1,FALSE),'District Calculations'!$B$11)*K304,3)</f>
        <v>0</v>
      </c>
      <c r="M304">
        <f>ROUND(IF(VLOOKUP($A304,EnrollData2324,'2324 Jun 24 Enroll'!E$1,FALSE)='District Calculations'!$B$12,VLOOKUP($A304,EnrollData2324,'2324 Jun 24 Enroll'!E$1,FALSE),'District Calculations'!$B$12)*K304,3)</f>
        <v>3.5379999999999998</v>
      </c>
      <c r="N304">
        <f>ROUND(IF(VLOOKUP($A304,EnrollData2324,'2324 Jun 24 Enroll'!F$1,FALSE)='District Calculations'!$B$13,VLOOKUP($A304,EnrollData2324,'2324 Jun 24 Enroll'!F$1,FALSE),'District Calculations'!$B$13)*Apport_223A2324,3)</f>
        <v>0.84199999999999997</v>
      </c>
      <c r="O304">
        <f>ROUND(IF(VLOOKUP($A304,EnrollData2324,'2324 Jun 24 Enroll'!G$1,FALSE)='District Calculations'!$B$14,VLOOKUP($A304,EnrollData2324,'2324 Jun 24 Enroll'!G$1,FALSE),'District Calculations'!$B$14)*Apport_211A2324,3)</f>
        <v>1.867</v>
      </c>
      <c r="P304">
        <f>ROUND(IF(VLOOKUP($A304,EnrollData2324,'2324 Jun 24 Enroll'!H$1,FALSE)='District Calculations'!$B$14,VLOOKUP($A304,EnrollData2324,'2324 Jun 24 Enroll'!H$1,FALSE),'District Calculations'!$B$14)*Apport_214A2324,3)</f>
        <v>1.8660000000000001</v>
      </c>
      <c r="Q304">
        <f>ROUND(IF(VLOOKUP($A304,EnrollData2324,'2324 Jun 24 Enroll'!I$1,FALSE)+VLOOKUP($A304,EnrollData2324,'2324 Jun 24 Enroll'!M$1,FALSE)-VLOOKUP($A304,EnrollData2324,'2324 Jun 24 Enroll'!J$1,FALSE)='District Calculations'!$B$16+'District Calculations'!$B$25-'District Calculations'!$B$17,VLOOKUP($A304,EnrollData2324,'2324 Jun 24 Enroll'!I$1,FALSE)+VLOOKUP($A304,EnrollData2324,'2324 Jun 24 Enroll'!M$1,FALSE)-VLOOKUP($A304,EnrollData2324,'2324 Jun 24 Enroll'!J$1,FALSE),'District Calculations'!$B$16+'District Calculations'!$B$25-'District Calculations'!$B$17)*Apport_217A2324,3)</f>
        <v>4.6980000000000004</v>
      </c>
      <c r="R304">
        <f>ROUND(SUM(L304:Q304)/IF(VLOOKUP($A304,EnrollData2324,'2324 Jun 24 Enroll'!M$1,FALSE)+VLOOKUP($A304,EnrollData2324,'2324 Jun 24 Enroll'!D$1,FALSE)='District Calculations'!$B$25+'District Calculations'!$B$11,VLOOKUP($A304,EnrollData2324,'2324 Jun 24 Enroll'!M$1,FALSE)+VLOOKUP($A304,EnrollData2324,'2324 Jun 24 Enroll'!D$1,FALSE),'District Calculations'!$B$25+'District Calculations'!$B$11),5)</f>
        <v>4.1000000000000003E-3</v>
      </c>
      <c r="S304" s="11">
        <f t="shared" si="79"/>
        <v>1.8294500000000002E-2</v>
      </c>
      <c r="T304">
        <f>ROUND(IF(VLOOKUP($A304,EnrollData2324,'2324 Jun 24 Enroll'!D$1,FALSE)='District Calculations'!$B$11,VLOOKUP($A304,EnrollData2324,'2324 Jun 24 Enroll'!D$1,FALSE),'District Calculations'!$B$11)*S304,3)</f>
        <v>0</v>
      </c>
      <c r="U304">
        <f>ROUND(IF(VLOOKUP($A304,EnrollData2324,'2324 Jun 24 Enroll'!E$1,FALSE)='District Calculations'!$B$12,VLOOKUP($A304,EnrollData2324,'2324 Jun 24 Enroll'!E$1,FALSE),'District Calculations'!$B$12)*S304,3)</f>
        <v>14.827999999999999</v>
      </c>
      <c r="V304">
        <f>ROUND(IF(VLOOKUP($A304,EnrollData2324,'2324 Jun 24 Enroll'!F$1,FALSE)='District Calculations'!$B$13,VLOOKUP($A304,EnrollData2324,'2324 Jun 24 Enroll'!F$1,FALSE),'District Calculations'!$B$13)*Apport_224A2324,3)</f>
        <v>3.6190000000000002</v>
      </c>
      <c r="W304">
        <f>ROUND(IF(VLOOKUP($A304,EnrollData2324,'2324 Jun 24 Enroll'!G$1,FALSE)='District Calculations'!$B$14,VLOOKUP($A304,EnrollData2324,'2324 Jun 24 Enroll'!G$1,FALSE),'District Calculations'!$B$14)*Apport_212A2324,3)</f>
        <v>8.0239999999999991</v>
      </c>
      <c r="X304">
        <f>ROUND(IF(VLOOKUP($A304,EnrollData2324,'2324 Jun 24 Enroll'!H$1,FALSE)='District Calculations'!$B$14,VLOOKUP($A304,EnrollData2324,'2324 Jun 24 Enroll'!H$1,FALSE),'District Calculations'!$B$14)*Apport_215A2324,3)</f>
        <v>7.9279999999999999</v>
      </c>
      <c r="Y304">
        <f>ROUND(IF(VLOOKUP($A304,EnrollData2324,'2324 Jun 24 Enroll'!I$1,FALSE)+VLOOKUP($A304,EnrollData2324,'2324 Jun 24 Enroll'!M$1,FALSE)-VLOOKUP($A304,EnrollData2324,'2324 Jun 24 Enroll'!J$1,FALSE)='District Calculations'!$B$16+'District Calculations'!$B$25-'District Calculations'!$B$17,VLOOKUP($A304,EnrollData2324,'2324 Jun 24 Enroll'!I$1,FALSE)+VLOOKUP($A304,EnrollData2324,'2324 Jun 24 Enroll'!M$1,FALSE)-VLOOKUP($A304,EnrollData2324,'2324 Jun 24 Enroll'!J$1,FALSE),'District Calculations'!$B$16+'District Calculations'!$B$25-'District Calculations'!$B$17)*Apport_218A2324,3)</f>
        <v>19.917999999999999</v>
      </c>
      <c r="Z304">
        <f>ROUND(SUM(T304:Y304)/IF(VLOOKUP($A304,EnrollData2324,'2324 Jun 24 Enroll'!M$1,FALSE)+VLOOKUP($A304,EnrollData2324,'2324 Jun 24 Enroll'!D$1,FALSE)='District Calculations'!$B$25+'District Calculations'!$B$11,VLOOKUP($A304,EnrollData2324,'2324 Jun 24 Enroll'!M$1,FALSE)+VLOOKUP($A304,EnrollData2324,'2324 Jun 24 Enroll'!D$1,FALSE),'District Calculations'!$B$25+'District Calculations'!$B$11),5)</f>
        <v>1.7399999999999999E-2</v>
      </c>
      <c r="AA304" s="6">
        <f>ROUND($J304*CIS_Base_Salary2324*VLOOKUP($A304,EnrollData2324,'2324 Jun 24 Enroll'!S$1,FALSE),2)</f>
        <v>4038.59</v>
      </c>
      <c r="AB304" s="6">
        <f>ROUND($J304*CIS_Inc_Salary2324*(VLOOKUP($A304,EnrollData2324,'2324 Jun 24 Enroll'!T$1,FALSE)+VLOOKUP($A304,EnrollData2324,'2324 Jun 24 Enroll'!U$1,FALSE)),2)-AA304</f>
        <v>233.1899999999996</v>
      </c>
      <c r="AC304" s="6">
        <f>ROUND($R304*CAS_Base_Salary2324*VLOOKUP($A304,EnrollData2324,'2324 Jun 24 Enroll'!S$1,FALSE),2)</f>
        <v>442.62</v>
      </c>
      <c r="AD304" s="6">
        <f>ROUND($R304*CAS_Inc_Salary2324*VLOOKUP($A304,EnrollData2324,'2324 Jun 24 Enroll'!T$1,FALSE),2)-AC304</f>
        <v>16.379999999999995</v>
      </c>
      <c r="AE304" s="6">
        <f>ROUND($Z304*CLS_Base_Salary2324*VLOOKUP($A304,EnrollData2324,'2324 Jun 24 Enroll'!S$1,FALSE),2)</f>
        <v>907.81</v>
      </c>
      <c r="AF304" s="6">
        <f>ROUND($Z304*CLS_Inc_Salary2324*VLOOKUP($A304,EnrollData2324,'2324 Jun 24 Enroll'!T$1,FALSE),2)-AE304</f>
        <v>33.580000000000041</v>
      </c>
      <c r="AG304">
        <f t="shared" si="76"/>
        <v>734.16</v>
      </c>
      <c r="AH304" s="69">
        <f t="shared" si="80"/>
        <v>68.700000000000045</v>
      </c>
      <c r="AI304">
        <f t="shared" si="77"/>
        <v>214.23</v>
      </c>
      <c r="AJ304">
        <f t="shared" si="81"/>
        <v>114.21000000000001</v>
      </c>
      <c r="AK304">
        <f t="shared" si="82"/>
        <v>805.27</v>
      </c>
      <c r="AL304">
        <f t="shared" si="83"/>
        <v>43.25</v>
      </c>
      <c r="AM304">
        <f t="shared" si="84"/>
        <v>200.26</v>
      </c>
      <c r="AN304">
        <f t="shared" si="85"/>
        <v>6.23</v>
      </c>
      <c r="AO304">
        <f>ROUND(($J304*CIS_Inc_Salary2324*(VLOOKUP($A304,EnrollData2324,'2324 Jun 24 Enroll'!T$1,FALSE)+VLOOKUP($A304,EnrollData2324,'2324 Jun 24 Enroll'!U$1,FALSE))/Apport_613Xpd)*Apport_614Xpd,2)</f>
        <v>71.2</v>
      </c>
      <c r="AP304">
        <f t="shared" si="86"/>
        <v>12.34</v>
      </c>
      <c r="AQ304">
        <f t="shared" si="87"/>
        <v>30.93</v>
      </c>
      <c r="AR304" s="6">
        <f>ROUND((VLOOKUP($A304,EnrollData2324,'2324 Jun 24 Enroll'!D$1,FALSE)*Apport_M802324+VLOOKUP($A304,EnrollData2324,'2324 Jun 24 Enroll'!M$1,FALSE)*Apport_M802324+(VLOOKUP($A304,EnrollData2324,'2324 Jun 24 Enroll'!P$1,FALSE)+VLOOKUP($A304,EnrollData2324,'2324 Jun 24 Enroll'!Q$1,FALSE)+VLOOKUP($A304,EnrollData2324,'2324 Jun 24 Enroll'!R$1,FALSE)+VLOOKUP($A304,EnrollData2324,'2324 Jun 24 Enroll'!I$1,FALSE)+VLOOKUP($A304,EnrollData2324,'2324 Jun 24 Enroll'!N$1,FALSE)+VLOOKUP($A304,EnrollData2324,'2324 Jun 24 Enroll'!O$1,FALSE)+VLOOKUP($A304,EnrollData2324,'2324 Jun 24 Enroll'!K$1,FALSE)+VLOOKUP($A304,EnrollData2324,'2324 Jun 24 Enroll'!L$1,FALSE))*Apport_M812324)/(VLOOKUP($A304,EnrollData2324,'2324 Jun 24 Enroll'!M$1,FALSE)+VLOOKUP($A304,EnrollData2324,'2324 Jun 24 Enroll'!D$1,FALSE)),2)</f>
        <v>1527.35</v>
      </c>
      <c r="AS304" s="7">
        <f t="shared" si="88"/>
        <v>9500.2999999999993</v>
      </c>
    </row>
    <row r="305" spans="1:45">
      <c r="A305" s="40" t="s">
        <v>448</v>
      </c>
      <c r="B305" s="40" t="s">
        <v>449</v>
      </c>
      <c r="C305" s="11">
        <f>ROUND((IFERROR((1/IF(VLOOKUP($A305,EnrollData2324,28,FALSE)='District Calculations'!$B$10,VLOOKUP($A305,EnrollData2324,28,FALSE),'District Calculations'!$B$10))*(1+Apport_Z315),0))+Apport_201A2324,6)</f>
        <v>7.3449E-2</v>
      </c>
      <c r="D305">
        <f>ROUND(IF(VLOOKUP($A305,EnrollData2324,'2324 Jun 24 Enroll'!D$1,FALSE)='District Calculations'!$B$11,VLOOKUP($A305,EnrollData2324,'2324 Jun 24 Enroll'!D$1,FALSE),'District Calculations'!$B$11)*C305,3)</f>
        <v>0</v>
      </c>
      <c r="E305">
        <f>ROUND(IF(VLOOKUP($A305,EnrollData2324,'2324 Jun 24 Enroll'!E$1,FALSE)='District Calculations'!$B$12,VLOOKUP($A305,EnrollData2324,'2324 Jun 24 Enroll'!E$1,FALSE),'District Calculations'!$B$12)*C305,3)</f>
        <v>59.53</v>
      </c>
      <c r="F305">
        <f>ROUND(IF(VLOOKUP($A305,EnrollData2324,'2324 Jun 24 Enroll'!F$1,FALSE)='District Calculations'!$B$13,VLOOKUP($A305,EnrollData2324,'2324 Jun 24 Enroll'!F$1,FALSE),'District Calculations'!$B$13)*Apport_222A2324,3)</f>
        <v>10.101000000000001</v>
      </c>
      <c r="G305">
        <f>ROUND(IF(VLOOKUP($A305,EnrollData2324,'2324 Jun 24 Enroll'!G$1,FALSE)='District Calculations'!$B$14,VLOOKUP($A305,EnrollData2324,'2324 Jun 24 Enroll'!G$1,FALSE),'District Calculations'!$B$14)*Apport_210A2324,3)</f>
        <v>22.395</v>
      </c>
      <c r="H305">
        <f>ROUND(IF(VLOOKUP($A305,EnrollData2324,'2324 Jun 24 Enroll'!H$1,FALSE)='District Calculations'!$B$15,VLOOKUP($A305,EnrollData2324,'2324 Jun 24 Enroll'!H$1,FALSE),'District Calculations'!$B$15)*Apport_213A2324,3)</f>
        <v>23.091999999999999</v>
      </c>
      <c r="I305">
        <f>ROUND(IF(VLOOKUP($A305,EnrollData2324,'2324 Jun 24 Enroll'!I$1,FALSE)+VLOOKUP($A305,EnrollData2324,'2324 Jun 24 Enroll'!M$1,FALSE)-VLOOKUP($A305,EnrollData2324,'2324 Jun 24 Enroll'!J$1,FALSE)='District Calculations'!$B$16+'District Calculations'!$B$25-'District Calculations'!$B$17,VLOOKUP($A305,EnrollData2324,'2324 Jun 24 Enroll'!I$1,FALSE)+VLOOKUP($A305,EnrollData2324,'2324 Jun 24 Enroll'!M$1,FALSE)-VLOOKUP($A305,EnrollData2324,'2324 Jun 24 Enroll'!J$1,FALSE),'District Calculations'!$B$16+'District Calculations'!$B$25-'District Calculations'!$B$17)*Apport_216A2324,3)</f>
        <v>58.183999999999997</v>
      </c>
      <c r="J305">
        <f>ROUND(SUM(D305:I305)/(IF(VLOOKUP($A305,EnrollData2324,'2324 Jun 24 Enroll'!M$1,FALSE)='District Calculations'!$B$25,VLOOKUP($A305,EnrollData2324,'2324 Jun 24 Enroll'!M$1,FALSE),'District Calculations'!$B$25)+IF(VLOOKUP($A305,EnrollData2324,'2324 Jun 24 Enroll'!D$1,FALSE)='District Calculations'!$B$11,VLOOKUP($A305,EnrollData2324,'2324 Jun 24 Enroll'!D$1,FALSE),'District Calculations'!$B$11)),5)</f>
        <v>5.5530000000000003E-2</v>
      </c>
      <c r="K305" s="11">
        <f t="shared" si="78"/>
        <v>4.365E-3</v>
      </c>
      <c r="L305">
        <f>ROUND(IF(VLOOKUP($A305,EnrollData2324,'2324 Jun 24 Enroll'!D$1,FALSE)='District Calculations'!$B$11,VLOOKUP($A305,EnrollData2324,'2324 Jun 24 Enroll'!D$1,FALSE),'District Calculations'!$B$11)*K305,3)</f>
        <v>0</v>
      </c>
      <c r="M305">
        <f>ROUND(IF(VLOOKUP($A305,EnrollData2324,'2324 Jun 24 Enroll'!E$1,FALSE)='District Calculations'!$B$12,VLOOKUP($A305,EnrollData2324,'2324 Jun 24 Enroll'!E$1,FALSE),'District Calculations'!$B$12)*K305,3)</f>
        <v>3.5379999999999998</v>
      </c>
      <c r="N305">
        <f>ROUND(IF(VLOOKUP($A305,EnrollData2324,'2324 Jun 24 Enroll'!F$1,FALSE)='District Calculations'!$B$13,VLOOKUP($A305,EnrollData2324,'2324 Jun 24 Enroll'!F$1,FALSE),'District Calculations'!$B$13)*Apport_223A2324,3)</f>
        <v>0.84199999999999997</v>
      </c>
      <c r="O305">
        <f>ROUND(IF(VLOOKUP($A305,EnrollData2324,'2324 Jun 24 Enroll'!G$1,FALSE)='District Calculations'!$B$14,VLOOKUP($A305,EnrollData2324,'2324 Jun 24 Enroll'!G$1,FALSE),'District Calculations'!$B$14)*Apport_211A2324,3)</f>
        <v>1.867</v>
      </c>
      <c r="P305">
        <f>ROUND(IF(VLOOKUP($A305,EnrollData2324,'2324 Jun 24 Enroll'!H$1,FALSE)='District Calculations'!$B$14,VLOOKUP($A305,EnrollData2324,'2324 Jun 24 Enroll'!H$1,FALSE),'District Calculations'!$B$14)*Apport_214A2324,3)</f>
        <v>1.8660000000000001</v>
      </c>
      <c r="Q305">
        <f>ROUND(IF(VLOOKUP($A305,EnrollData2324,'2324 Jun 24 Enroll'!I$1,FALSE)+VLOOKUP($A305,EnrollData2324,'2324 Jun 24 Enroll'!M$1,FALSE)-VLOOKUP($A305,EnrollData2324,'2324 Jun 24 Enroll'!J$1,FALSE)='District Calculations'!$B$16+'District Calculations'!$B$25-'District Calculations'!$B$17,VLOOKUP($A305,EnrollData2324,'2324 Jun 24 Enroll'!I$1,FALSE)+VLOOKUP($A305,EnrollData2324,'2324 Jun 24 Enroll'!M$1,FALSE)-VLOOKUP($A305,EnrollData2324,'2324 Jun 24 Enroll'!J$1,FALSE),'District Calculations'!$B$16+'District Calculations'!$B$25-'District Calculations'!$B$17)*Apport_217A2324,3)</f>
        <v>4.6980000000000004</v>
      </c>
      <c r="R305">
        <f>ROUND(SUM(L305:Q305)/IF(VLOOKUP($A305,EnrollData2324,'2324 Jun 24 Enroll'!M$1,FALSE)+VLOOKUP($A305,EnrollData2324,'2324 Jun 24 Enroll'!D$1,FALSE)='District Calculations'!$B$25+'District Calculations'!$B$11,VLOOKUP($A305,EnrollData2324,'2324 Jun 24 Enroll'!M$1,FALSE)+VLOOKUP($A305,EnrollData2324,'2324 Jun 24 Enroll'!D$1,FALSE),'District Calculations'!$B$25+'District Calculations'!$B$11),5)</f>
        <v>4.1000000000000003E-3</v>
      </c>
      <c r="S305" s="11">
        <f t="shared" si="79"/>
        <v>1.8294500000000002E-2</v>
      </c>
      <c r="T305">
        <f>ROUND(IF(VLOOKUP($A305,EnrollData2324,'2324 Jun 24 Enroll'!D$1,FALSE)='District Calculations'!$B$11,VLOOKUP($A305,EnrollData2324,'2324 Jun 24 Enroll'!D$1,FALSE),'District Calculations'!$B$11)*S305,3)</f>
        <v>0</v>
      </c>
      <c r="U305">
        <f>ROUND(IF(VLOOKUP($A305,EnrollData2324,'2324 Jun 24 Enroll'!E$1,FALSE)='District Calculations'!$B$12,VLOOKUP($A305,EnrollData2324,'2324 Jun 24 Enroll'!E$1,FALSE),'District Calculations'!$B$12)*S305,3)</f>
        <v>14.827999999999999</v>
      </c>
      <c r="V305">
        <f>ROUND(IF(VLOOKUP($A305,EnrollData2324,'2324 Jun 24 Enroll'!F$1,FALSE)='District Calculations'!$B$13,VLOOKUP($A305,EnrollData2324,'2324 Jun 24 Enroll'!F$1,FALSE),'District Calculations'!$B$13)*Apport_224A2324,3)</f>
        <v>3.6190000000000002</v>
      </c>
      <c r="W305">
        <f>ROUND(IF(VLOOKUP($A305,EnrollData2324,'2324 Jun 24 Enroll'!G$1,FALSE)='District Calculations'!$B$14,VLOOKUP($A305,EnrollData2324,'2324 Jun 24 Enroll'!G$1,FALSE),'District Calculations'!$B$14)*Apport_212A2324,3)</f>
        <v>8.0239999999999991</v>
      </c>
      <c r="X305">
        <f>ROUND(IF(VLOOKUP($A305,EnrollData2324,'2324 Jun 24 Enroll'!H$1,FALSE)='District Calculations'!$B$14,VLOOKUP($A305,EnrollData2324,'2324 Jun 24 Enroll'!H$1,FALSE),'District Calculations'!$B$14)*Apport_215A2324,3)</f>
        <v>7.9279999999999999</v>
      </c>
      <c r="Y305">
        <f>ROUND(IF(VLOOKUP($A305,EnrollData2324,'2324 Jun 24 Enroll'!I$1,FALSE)+VLOOKUP($A305,EnrollData2324,'2324 Jun 24 Enroll'!M$1,FALSE)-VLOOKUP($A305,EnrollData2324,'2324 Jun 24 Enroll'!J$1,FALSE)='District Calculations'!$B$16+'District Calculations'!$B$25-'District Calculations'!$B$17,VLOOKUP($A305,EnrollData2324,'2324 Jun 24 Enroll'!I$1,FALSE)+VLOOKUP($A305,EnrollData2324,'2324 Jun 24 Enroll'!M$1,FALSE)-VLOOKUP($A305,EnrollData2324,'2324 Jun 24 Enroll'!J$1,FALSE),'District Calculations'!$B$16+'District Calculations'!$B$25-'District Calculations'!$B$17)*Apport_218A2324,3)</f>
        <v>19.917999999999999</v>
      </c>
      <c r="Z305">
        <f>ROUND(SUM(T305:Y305)/IF(VLOOKUP($A305,EnrollData2324,'2324 Jun 24 Enroll'!M$1,FALSE)+VLOOKUP($A305,EnrollData2324,'2324 Jun 24 Enroll'!D$1,FALSE)='District Calculations'!$B$25+'District Calculations'!$B$11,VLOOKUP($A305,EnrollData2324,'2324 Jun 24 Enroll'!M$1,FALSE)+VLOOKUP($A305,EnrollData2324,'2324 Jun 24 Enroll'!D$1,FALSE),'District Calculations'!$B$25+'District Calculations'!$B$11),5)</f>
        <v>1.7399999999999999E-2</v>
      </c>
      <c r="AA305" s="6">
        <f>ROUND($J305*CIS_Base_Salary2324*VLOOKUP($A305,EnrollData2324,'2324 Jun 24 Enroll'!S$1,FALSE),2)</f>
        <v>4038.59</v>
      </c>
      <c r="AB305" s="6">
        <f>ROUND($J305*CIS_Inc_Salary2324*(VLOOKUP($A305,EnrollData2324,'2324 Jun 24 Enroll'!T$1,FALSE)+VLOOKUP($A305,EnrollData2324,'2324 Jun 24 Enroll'!U$1,FALSE)),2)-AA305</f>
        <v>149.43000000000029</v>
      </c>
      <c r="AC305" s="6">
        <f>ROUND($R305*CAS_Base_Salary2324*VLOOKUP($A305,EnrollData2324,'2324 Jun 24 Enroll'!S$1,FALSE),2)</f>
        <v>442.62</v>
      </c>
      <c r="AD305" s="6">
        <f>ROUND($R305*CAS_Inc_Salary2324*VLOOKUP($A305,EnrollData2324,'2324 Jun 24 Enroll'!T$1,FALSE),2)-AC305</f>
        <v>16.379999999999995</v>
      </c>
      <c r="AE305" s="6">
        <f>ROUND($Z305*CLS_Base_Salary2324*VLOOKUP($A305,EnrollData2324,'2324 Jun 24 Enroll'!S$1,FALSE),2)</f>
        <v>907.81</v>
      </c>
      <c r="AF305" s="6">
        <f>ROUND($Z305*CLS_Inc_Salary2324*VLOOKUP($A305,EnrollData2324,'2324 Jun 24 Enroll'!T$1,FALSE),2)-AE305</f>
        <v>33.580000000000041</v>
      </c>
      <c r="AG305">
        <f t="shared" si="76"/>
        <v>734.16</v>
      </c>
      <c r="AH305" s="69">
        <f t="shared" si="80"/>
        <v>68.700000000000045</v>
      </c>
      <c r="AI305">
        <f t="shared" si="77"/>
        <v>214.23</v>
      </c>
      <c r="AJ305">
        <f t="shared" si="81"/>
        <v>114.21000000000001</v>
      </c>
      <c r="AK305">
        <f t="shared" si="82"/>
        <v>805.27</v>
      </c>
      <c r="AL305">
        <f t="shared" si="83"/>
        <v>28.73</v>
      </c>
      <c r="AM305">
        <f t="shared" si="84"/>
        <v>200.26</v>
      </c>
      <c r="AN305">
        <f t="shared" si="85"/>
        <v>6.23</v>
      </c>
      <c r="AO305">
        <f>ROUND(($J305*CIS_Inc_Salary2324*(VLOOKUP($A305,EnrollData2324,'2324 Jun 24 Enroll'!T$1,FALSE)+VLOOKUP($A305,EnrollData2324,'2324 Jun 24 Enroll'!U$1,FALSE))/Apport_613Xpd)*Apport_614Xpd,2)</f>
        <v>69.8</v>
      </c>
      <c r="AP305">
        <f t="shared" si="86"/>
        <v>12.1</v>
      </c>
      <c r="AQ305">
        <f t="shared" si="87"/>
        <v>30.93</v>
      </c>
      <c r="AR305" s="6">
        <f>ROUND((VLOOKUP($A305,EnrollData2324,'2324 Jun 24 Enroll'!D$1,FALSE)*Apport_M802324+VLOOKUP($A305,EnrollData2324,'2324 Jun 24 Enroll'!M$1,FALSE)*Apport_M802324+(VLOOKUP($A305,EnrollData2324,'2324 Jun 24 Enroll'!P$1,FALSE)+VLOOKUP($A305,EnrollData2324,'2324 Jun 24 Enroll'!Q$1,FALSE)+VLOOKUP($A305,EnrollData2324,'2324 Jun 24 Enroll'!R$1,FALSE)+VLOOKUP($A305,EnrollData2324,'2324 Jun 24 Enroll'!I$1,FALSE)+VLOOKUP($A305,EnrollData2324,'2324 Jun 24 Enroll'!N$1,FALSE)+VLOOKUP($A305,EnrollData2324,'2324 Jun 24 Enroll'!O$1,FALSE)+VLOOKUP($A305,EnrollData2324,'2324 Jun 24 Enroll'!K$1,FALSE)+VLOOKUP($A305,EnrollData2324,'2324 Jun 24 Enroll'!L$1,FALSE))*Apport_M812324)/(VLOOKUP($A305,EnrollData2324,'2324 Jun 24 Enroll'!M$1,FALSE)+VLOOKUP($A305,EnrollData2324,'2324 Jun 24 Enroll'!D$1,FALSE)),2)</f>
        <v>1531.69</v>
      </c>
      <c r="AS305" s="7">
        <f t="shared" si="88"/>
        <v>9404.7199999999993</v>
      </c>
    </row>
    <row r="306" spans="1:45">
      <c r="A306" s="40" t="s">
        <v>739</v>
      </c>
      <c r="B306" s="40" t="s">
        <v>740</v>
      </c>
      <c r="C306" s="11">
        <f>ROUND((IFERROR((1/IF(VLOOKUP($A306,EnrollData2324,28,FALSE)='District Calculations'!$B$10,VLOOKUP($A306,EnrollData2324,28,FALSE),'District Calculations'!$B$10))*(1+Apport_Z315),0))+Apport_201A2324,6)</f>
        <v>7.3449E-2</v>
      </c>
      <c r="D306">
        <f>ROUND(IF(VLOOKUP($A306,EnrollData2324,'2324 Jun 24 Enroll'!D$1,FALSE)='District Calculations'!$B$11,VLOOKUP($A306,EnrollData2324,'2324 Jun 24 Enroll'!D$1,FALSE),'District Calculations'!$B$11)*C306,3)</f>
        <v>0</v>
      </c>
      <c r="E306">
        <f>ROUND(IF(VLOOKUP($A306,EnrollData2324,'2324 Jun 24 Enroll'!E$1,FALSE)='District Calculations'!$B$12,VLOOKUP($A306,EnrollData2324,'2324 Jun 24 Enroll'!E$1,FALSE),'District Calculations'!$B$12)*C306,3)</f>
        <v>59.53</v>
      </c>
      <c r="F306">
        <f>ROUND(IF(VLOOKUP($A306,EnrollData2324,'2324 Jun 24 Enroll'!F$1,FALSE)='District Calculations'!$B$13,VLOOKUP($A306,EnrollData2324,'2324 Jun 24 Enroll'!F$1,FALSE),'District Calculations'!$B$13)*Apport_222A2324,3)</f>
        <v>10.101000000000001</v>
      </c>
      <c r="G306">
        <f>ROUND(IF(VLOOKUP($A306,EnrollData2324,'2324 Jun 24 Enroll'!G$1,FALSE)='District Calculations'!$B$14,VLOOKUP($A306,EnrollData2324,'2324 Jun 24 Enroll'!G$1,FALSE),'District Calculations'!$B$14)*Apport_210A2324,3)</f>
        <v>22.395</v>
      </c>
      <c r="H306">
        <f>ROUND(IF(VLOOKUP($A306,EnrollData2324,'2324 Jun 24 Enroll'!H$1,FALSE)='District Calculations'!$B$15,VLOOKUP($A306,EnrollData2324,'2324 Jun 24 Enroll'!H$1,FALSE),'District Calculations'!$B$15)*Apport_213A2324,3)</f>
        <v>23.091999999999999</v>
      </c>
      <c r="I306">
        <f>ROUND(IF(VLOOKUP($A306,EnrollData2324,'2324 Jun 24 Enroll'!I$1,FALSE)+VLOOKUP($A306,EnrollData2324,'2324 Jun 24 Enroll'!M$1,FALSE)-VLOOKUP($A306,EnrollData2324,'2324 Jun 24 Enroll'!J$1,FALSE)='District Calculations'!$B$16+'District Calculations'!$B$25-'District Calculations'!$B$17,VLOOKUP($A306,EnrollData2324,'2324 Jun 24 Enroll'!I$1,FALSE)+VLOOKUP($A306,EnrollData2324,'2324 Jun 24 Enroll'!M$1,FALSE)-VLOOKUP($A306,EnrollData2324,'2324 Jun 24 Enroll'!J$1,FALSE),'District Calculations'!$B$16+'District Calculations'!$B$25-'District Calculations'!$B$17)*Apport_216A2324,3)</f>
        <v>58.183999999999997</v>
      </c>
      <c r="J306">
        <f>ROUND(SUM(D306:I306)/(IF(VLOOKUP($A306,EnrollData2324,'2324 Jun 24 Enroll'!M$1,FALSE)='District Calculations'!$B$25,VLOOKUP($A306,EnrollData2324,'2324 Jun 24 Enroll'!M$1,FALSE),'District Calculations'!$B$25)+IF(VLOOKUP($A306,EnrollData2324,'2324 Jun 24 Enroll'!D$1,FALSE)='District Calculations'!$B$11,VLOOKUP($A306,EnrollData2324,'2324 Jun 24 Enroll'!D$1,FALSE),'District Calculations'!$B$11)),5)</f>
        <v>5.5530000000000003E-2</v>
      </c>
      <c r="K306" s="11">
        <f t="shared" si="78"/>
        <v>4.365E-3</v>
      </c>
      <c r="L306">
        <f>ROUND(IF(VLOOKUP($A306,EnrollData2324,'2324 Jun 24 Enroll'!D$1,FALSE)='District Calculations'!$B$11,VLOOKUP($A306,EnrollData2324,'2324 Jun 24 Enroll'!D$1,FALSE),'District Calculations'!$B$11)*K306,3)</f>
        <v>0</v>
      </c>
      <c r="M306">
        <f>ROUND(IF(VLOOKUP($A306,EnrollData2324,'2324 Jun 24 Enroll'!E$1,FALSE)='District Calculations'!$B$12,VLOOKUP($A306,EnrollData2324,'2324 Jun 24 Enroll'!E$1,FALSE),'District Calculations'!$B$12)*K306,3)</f>
        <v>3.5379999999999998</v>
      </c>
      <c r="N306">
        <f>ROUND(IF(VLOOKUP($A306,EnrollData2324,'2324 Jun 24 Enroll'!F$1,FALSE)='District Calculations'!$B$13,VLOOKUP($A306,EnrollData2324,'2324 Jun 24 Enroll'!F$1,FALSE),'District Calculations'!$B$13)*Apport_223A2324,3)</f>
        <v>0.84199999999999997</v>
      </c>
      <c r="O306">
        <f>ROUND(IF(VLOOKUP($A306,EnrollData2324,'2324 Jun 24 Enroll'!G$1,FALSE)='District Calculations'!$B$14,VLOOKUP($A306,EnrollData2324,'2324 Jun 24 Enroll'!G$1,FALSE),'District Calculations'!$B$14)*Apport_211A2324,3)</f>
        <v>1.867</v>
      </c>
      <c r="P306">
        <f>ROUND(IF(VLOOKUP($A306,EnrollData2324,'2324 Jun 24 Enroll'!H$1,FALSE)='District Calculations'!$B$14,VLOOKUP($A306,EnrollData2324,'2324 Jun 24 Enroll'!H$1,FALSE),'District Calculations'!$B$14)*Apport_214A2324,3)</f>
        <v>1.8660000000000001</v>
      </c>
      <c r="Q306">
        <f>ROUND(IF(VLOOKUP($A306,EnrollData2324,'2324 Jun 24 Enroll'!I$1,FALSE)+VLOOKUP($A306,EnrollData2324,'2324 Jun 24 Enroll'!M$1,FALSE)-VLOOKUP($A306,EnrollData2324,'2324 Jun 24 Enroll'!J$1,FALSE)='District Calculations'!$B$16+'District Calculations'!$B$25-'District Calculations'!$B$17,VLOOKUP($A306,EnrollData2324,'2324 Jun 24 Enroll'!I$1,FALSE)+VLOOKUP($A306,EnrollData2324,'2324 Jun 24 Enroll'!M$1,FALSE)-VLOOKUP($A306,EnrollData2324,'2324 Jun 24 Enroll'!J$1,FALSE),'District Calculations'!$B$16+'District Calculations'!$B$25-'District Calculations'!$B$17)*Apport_217A2324,3)</f>
        <v>4.6980000000000004</v>
      </c>
      <c r="R306">
        <f>ROUND(SUM(L306:Q306)/IF(VLOOKUP($A306,EnrollData2324,'2324 Jun 24 Enroll'!M$1,FALSE)+VLOOKUP($A306,EnrollData2324,'2324 Jun 24 Enroll'!D$1,FALSE)='District Calculations'!$B$25+'District Calculations'!$B$11,VLOOKUP($A306,EnrollData2324,'2324 Jun 24 Enroll'!M$1,FALSE)+VLOOKUP($A306,EnrollData2324,'2324 Jun 24 Enroll'!D$1,FALSE),'District Calculations'!$B$25+'District Calculations'!$B$11),5)</f>
        <v>4.1000000000000003E-3</v>
      </c>
      <c r="S306" s="11">
        <f t="shared" si="79"/>
        <v>1.8294500000000002E-2</v>
      </c>
      <c r="T306">
        <f>ROUND(IF(VLOOKUP($A306,EnrollData2324,'2324 Jun 24 Enroll'!D$1,FALSE)='District Calculations'!$B$11,VLOOKUP($A306,EnrollData2324,'2324 Jun 24 Enroll'!D$1,FALSE),'District Calculations'!$B$11)*S306,3)</f>
        <v>0</v>
      </c>
      <c r="U306">
        <f>ROUND(IF(VLOOKUP($A306,EnrollData2324,'2324 Jun 24 Enroll'!E$1,FALSE)='District Calculations'!$B$12,VLOOKUP($A306,EnrollData2324,'2324 Jun 24 Enroll'!E$1,FALSE),'District Calculations'!$B$12)*S306,3)</f>
        <v>14.827999999999999</v>
      </c>
      <c r="V306">
        <f>ROUND(IF(VLOOKUP($A306,EnrollData2324,'2324 Jun 24 Enroll'!F$1,FALSE)='District Calculations'!$B$13,VLOOKUP($A306,EnrollData2324,'2324 Jun 24 Enroll'!F$1,FALSE),'District Calculations'!$B$13)*Apport_224A2324,3)</f>
        <v>3.6190000000000002</v>
      </c>
      <c r="W306">
        <f>ROUND(IF(VLOOKUP($A306,EnrollData2324,'2324 Jun 24 Enroll'!G$1,FALSE)='District Calculations'!$B$14,VLOOKUP($A306,EnrollData2324,'2324 Jun 24 Enroll'!G$1,FALSE),'District Calculations'!$B$14)*Apport_212A2324,3)</f>
        <v>8.0239999999999991</v>
      </c>
      <c r="X306">
        <f>ROUND(IF(VLOOKUP($A306,EnrollData2324,'2324 Jun 24 Enroll'!H$1,FALSE)='District Calculations'!$B$14,VLOOKUP($A306,EnrollData2324,'2324 Jun 24 Enroll'!H$1,FALSE),'District Calculations'!$B$14)*Apport_215A2324,3)</f>
        <v>7.9279999999999999</v>
      </c>
      <c r="Y306">
        <f>ROUND(IF(VLOOKUP($A306,EnrollData2324,'2324 Jun 24 Enroll'!I$1,FALSE)+VLOOKUP($A306,EnrollData2324,'2324 Jun 24 Enroll'!M$1,FALSE)-VLOOKUP($A306,EnrollData2324,'2324 Jun 24 Enroll'!J$1,FALSE)='District Calculations'!$B$16+'District Calculations'!$B$25-'District Calculations'!$B$17,VLOOKUP($A306,EnrollData2324,'2324 Jun 24 Enroll'!I$1,FALSE)+VLOOKUP($A306,EnrollData2324,'2324 Jun 24 Enroll'!M$1,FALSE)-VLOOKUP($A306,EnrollData2324,'2324 Jun 24 Enroll'!J$1,FALSE),'District Calculations'!$B$16+'District Calculations'!$B$25-'District Calculations'!$B$17)*Apport_218A2324,3)</f>
        <v>19.917999999999999</v>
      </c>
      <c r="Z306">
        <f>ROUND(SUM(T306:Y306)/IF(VLOOKUP($A306,EnrollData2324,'2324 Jun 24 Enroll'!M$1,FALSE)+VLOOKUP($A306,EnrollData2324,'2324 Jun 24 Enroll'!D$1,FALSE)='District Calculations'!$B$25+'District Calculations'!$B$11,VLOOKUP($A306,EnrollData2324,'2324 Jun 24 Enroll'!M$1,FALSE)+VLOOKUP($A306,EnrollData2324,'2324 Jun 24 Enroll'!D$1,FALSE),'District Calculations'!$B$25+'District Calculations'!$B$11),5)</f>
        <v>1.7399999999999999E-2</v>
      </c>
      <c r="AA306" s="6">
        <f>ROUND($J306*CIS_Base_Salary2324*VLOOKUP($A306,EnrollData2324,'2324 Jun 24 Enroll'!S$1,FALSE),2)</f>
        <v>4038.59</v>
      </c>
      <c r="AB306" s="6">
        <f>ROUND($J306*CIS_Inc_Salary2324*(VLOOKUP($A306,EnrollData2324,'2324 Jun 24 Enroll'!T$1,FALSE)+VLOOKUP($A306,EnrollData2324,'2324 Jun 24 Enroll'!U$1,FALSE)),2)-AA306</f>
        <v>316.94999999999982</v>
      </c>
      <c r="AC306" s="6">
        <f>ROUND($R306*CAS_Base_Salary2324*VLOOKUP($A306,EnrollData2324,'2324 Jun 24 Enroll'!S$1,FALSE),2)</f>
        <v>442.62</v>
      </c>
      <c r="AD306" s="6">
        <f>ROUND($R306*CAS_Inc_Salary2324*VLOOKUP($A306,EnrollData2324,'2324 Jun 24 Enroll'!T$1,FALSE),2)-AC306</f>
        <v>16.379999999999995</v>
      </c>
      <c r="AE306" s="6">
        <f>ROUND($Z306*CLS_Base_Salary2324*VLOOKUP($A306,EnrollData2324,'2324 Jun 24 Enroll'!S$1,FALSE),2)</f>
        <v>907.81</v>
      </c>
      <c r="AF306" s="6">
        <f>ROUND($Z306*CLS_Inc_Salary2324*VLOOKUP($A306,EnrollData2324,'2324 Jun 24 Enroll'!T$1,FALSE),2)-AE306</f>
        <v>33.580000000000041</v>
      </c>
      <c r="AG306">
        <f t="shared" si="76"/>
        <v>734.16</v>
      </c>
      <c r="AH306" s="69">
        <f t="shared" si="80"/>
        <v>68.700000000000045</v>
      </c>
      <c r="AI306">
        <f t="shared" si="77"/>
        <v>214.23</v>
      </c>
      <c r="AJ306">
        <f t="shared" si="81"/>
        <v>114.21000000000001</v>
      </c>
      <c r="AK306">
        <f t="shared" si="82"/>
        <v>805.27</v>
      </c>
      <c r="AL306">
        <f t="shared" si="83"/>
        <v>57.77</v>
      </c>
      <c r="AM306">
        <f t="shared" si="84"/>
        <v>200.26</v>
      </c>
      <c r="AN306">
        <f t="shared" si="85"/>
        <v>6.23</v>
      </c>
      <c r="AO306">
        <f>ROUND(($J306*CIS_Inc_Salary2324*(VLOOKUP($A306,EnrollData2324,'2324 Jun 24 Enroll'!T$1,FALSE)+VLOOKUP($A306,EnrollData2324,'2324 Jun 24 Enroll'!U$1,FALSE))/Apport_613Xpd)*Apport_614Xpd,2)</f>
        <v>72.59</v>
      </c>
      <c r="AP306">
        <f t="shared" si="86"/>
        <v>12.58</v>
      </c>
      <c r="AQ306">
        <f t="shared" si="87"/>
        <v>30.93</v>
      </c>
      <c r="AR306" s="6">
        <f>ROUND((VLOOKUP($A306,EnrollData2324,'2324 Jun 24 Enroll'!D$1,FALSE)*Apport_M802324+VLOOKUP($A306,EnrollData2324,'2324 Jun 24 Enroll'!M$1,FALSE)*Apport_M802324+(VLOOKUP($A306,EnrollData2324,'2324 Jun 24 Enroll'!P$1,FALSE)+VLOOKUP($A306,EnrollData2324,'2324 Jun 24 Enroll'!Q$1,FALSE)+VLOOKUP($A306,EnrollData2324,'2324 Jun 24 Enroll'!R$1,FALSE)+VLOOKUP($A306,EnrollData2324,'2324 Jun 24 Enroll'!I$1,FALSE)+VLOOKUP($A306,EnrollData2324,'2324 Jun 24 Enroll'!N$1,FALSE)+VLOOKUP($A306,EnrollData2324,'2324 Jun 24 Enroll'!O$1,FALSE)+VLOOKUP($A306,EnrollData2324,'2324 Jun 24 Enroll'!K$1,FALSE)+VLOOKUP($A306,EnrollData2324,'2324 Jun 24 Enroll'!L$1,FALSE))*Apport_M812324)/(VLOOKUP($A306,EnrollData2324,'2324 Jun 24 Enroll'!M$1,FALSE)+VLOOKUP($A306,EnrollData2324,'2324 Jun 24 Enroll'!D$1,FALSE)),2)</f>
        <v>1532.24</v>
      </c>
      <c r="AS306" s="7">
        <f t="shared" si="88"/>
        <v>9605.1</v>
      </c>
    </row>
    <row r="307" spans="1:45">
      <c r="A307" s="40" t="s">
        <v>785</v>
      </c>
      <c r="B307" s="40" t="s">
        <v>786</v>
      </c>
      <c r="C307" s="11">
        <f>ROUND((IFERROR((1/IF(VLOOKUP($A307,EnrollData2324,28,FALSE)='District Calculations'!$B$10,VLOOKUP($A307,EnrollData2324,28,FALSE),'District Calculations'!$B$10))*(1+Apport_Z315),0))+Apport_201A2324,6)</f>
        <v>7.3449E-2</v>
      </c>
      <c r="D307">
        <f>ROUND(IF(VLOOKUP($A307,EnrollData2324,'2324 Jun 24 Enroll'!D$1,FALSE)='District Calculations'!$B$11,VLOOKUP($A307,EnrollData2324,'2324 Jun 24 Enroll'!D$1,FALSE),'District Calculations'!$B$11)*C307,3)</f>
        <v>0</v>
      </c>
      <c r="E307">
        <f>ROUND(IF(VLOOKUP($A307,EnrollData2324,'2324 Jun 24 Enroll'!E$1,FALSE)='District Calculations'!$B$12,VLOOKUP($A307,EnrollData2324,'2324 Jun 24 Enroll'!E$1,FALSE),'District Calculations'!$B$12)*C307,3)</f>
        <v>59.53</v>
      </c>
      <c r="F307">
        <f>ROUND(IF(VLOOKUP($A307,EnrollData2324,'2324 Jun 24 Enroll'!F$1,FALSE)='District Calculations'!$B$13,VLOOKUP($A307,EnrollData2324,'2324 Jun 24 Enroll'!F$1,FALSE),'District Calculations'!$B$13)*Apport_222A2324,3)</f>
        <v>10.101000000000001</v>
      </c>
      <c r="G307">
        <f>ROUND(IF(VLOOKUP($A307,EnrollData2324,'2324 Jun 24 Enroll'!G$1,FALSE)='District Calculations'!$B$14,VLOOKUP($A307,EnrollData2324,'2324 Jun 24 Enroll'!G$1,FALSE),'District Calculations'!$B$14)*Apport_210A2324,3)</f>
        <v>22.395</v>
      </c>
      <c r="H307">
        <f>ROUND(IF(VLOOKUP($A307,EnrollData2324,'2324 Jun 24 Enroll'!H$1,FALSE)='District Calculations'!$B$15,VLOOKUP($A307,EnrollData2324,'2324 Jun 24 Enroll'!H$1,FALSE),'District Calculations'!$B$15)*Apport_213A2324,3)</f>
        <v>23.091999999999999</v>
      </c>
      <c r="I307">
        <f>ROUND(IF(VLOOKUP($A307,EnrollData2324,'2324 Jun 24 Enroll'!I$1,FALSE)+VLOOKUP($A307,EnrollData2324,'2324 Jun 24 Enroll'!M$1,FALSE)-VLOOKUP($A307,EnrollData2324,'2324 Jun 24 Enroll'!J$1,FALSE)='District Calculations'!$B$16+'District Calculations'!$B$25-'District Calculations'!$B$17,VLOOKUP($A307,EnrollData2324,'2324 Jun 24 Enroll'!I$1,FALSE)+VLOOKUP($A307,EnrollData2324,'2324 Jun 24 Enroll'!M$1,FALSE)-VLOOKUP($A307,EnrollData2324,'2324 Jun 24 Enroll'!J$1,FALSE),'District Calculations'!$B$16+'District Calculations'!$B$25-'District Calculations'!$B$17)*Apport_216A2324,3)</f>
        <v>58.183999999999997</v>
      </c>
      <c r="J307">
        <f>ROUND(SUM(D307:I307)/(IF(VLOOKUP($A307,EnrollData2324,'2324 Jun 24 Enroll'!M$1,FALSE)='District Calculations'!$B$25,VLOOKUP($A307,EnrollData2324,'2324 Jun 24 Enroll'!M$1,FALSE),'District Calculations'!$B$25)+IF(VLOOKUP($A307,EnrollData2324,'2324 Jun 24 Enroll'!D$1,FALSE)='District Calculations'!$B$11,VLOOKUP($A307,EnrollData2324,'2324 Jun 24 Enroll'!D$1,FALSE),'District Calculations'!$B$11)),5)</f>
        <v>5.5530000000000003E-2</v>
      </c>
      <c r="K307" s="11">
        <f t="shared" si="78"/>
        <v>4.365E-3</v>
      </c>
      <c r="L307">
        <f>ROUND(IF(VLOOKUP($A307,EnrollData2324,'2324 Jun 24 Enroll'!D$1,FALSE)='District Calculations'!$B$11,VLOOKUP($A307,EnrollData2324,'2324 Jun 24 Enroll'!D$1,FALSE),'District Calculations'!$B$11)*K307,3)</f>
        <v>0</v>
      </c>
      <c r="M307">
        <f>ROUND(IF(VLOOKUP($A307,EnrollData2324,'2324 Jun 24 Enroll'!E$1,FALSE)='District Calculations'!$B$12,VLOOKUP($A307,EnrollData2324,'2324 Jun 24 Enroll'!E$1,FALSE),'District Calculations'!$B$12)*K307,3)</f>
        <v>3.5379999999999998</v>
      </c>
      <c r="N307">
        <f>ROUND(IF(VLOOKUP($A307,EnrollData2324,'2324 Jun 24 Enroll'!F$1,FALSE)='District Calculations'!$B$13,VLOOKUP($A307,EnrollData2324,'2324 Jun 24 Enroll'!F$1,FALSE),'District Calculations'!$B$13)*Apport_223A2324,3)</f>
        <v>0.84199999999999997</v>
      </c>
      <c r="O307">
        <f>ROUND(IF(VLOOKUP($A307,EnrollData2324,'2324 Jun 24 Enroll'!G$1,FALSE)='District Calculations'!$B$14,VLOOKUP($A307,EnrollData2324,'2324 Jun 24 Enroll'!G$1,FALSE),'District Calculations'!$B$14)*Apport_211A2324,3)</f>
        <v>1.867</v>
      </c>
      <c r="P307">
        <f>ROUND(IF(VLOOKUP($A307,EnrollData2324,'2324 Jun 24 Enroll'!H$1,FALSE)='District Calculations'!$B$14,VLOOKUP($A307,EnrollData2324,'2324 Jun 24 Enroll'!H$1,FALSE),'District Calculations'!$B$14)*Apport_214A2324,3)</f>
        <v>1.8660000000000001</v>
      </c>
      <c r="Q307">
        <f>ROUND(IF(VLOOKUP($A307,EnrollData2324,'2324 Jun 24 Enroll'!I$1,FALSE)+VLOOKUP($A307,EnrollData2324,'2324 Jun 24 Enroll'!M$1,FALSE)-VLOOKUP($A307,EnrollData2324,'2324 Jun 24 Enroll'!J$1,FALSE)='District Calculations'!$B$16+'District Calculations'!$B$25-'District Calculations'!$B$17,VLOOKUP($A307,EnrollData2324,'2324 Jun 24 Enroll'!I$1,FALSE)+VLOOKUP($A307,EnrollData2324,'2324 Jun 24 Enroll'!M$1,FALSE)-VLOOKUP($A307,EnrollData2324,'2324 Jun 24 Enroll'!J$1,FALSE),'District Calculations'!$B$16+'District Calculations'!$B$25-'District Calculations'!$B$17)*Apport_217A2324,3)</f>
        <v>4.6980000000000004</v>
      </c>
      <c r="R307">
        <f>ROUND(SUM(L307:Q307)/IF(VLOOKUP($A307,EnrollData2324,'2324 Jun 24 Enroll'!M$1,FALSE)+VLOOKUP($A307,EnrollData2324,'2324 Jun 24 Enroll'!D$1,FALSE)='District Calculations'!$B$25+'District Calculations'!$B$11,VLOOKUP($A307,EnrollData2324,'2324 Jun 24 Enroll'!M$1,FALSE)+VLOOKUP($A307,EnrollData2324,'2324 Jun 24 Enroll'!D$1,FALSE),'District Calculations'!$B$25+'District Calculations'!$B$11),5)</f>
        <v>4.1000000000000003E-3</v>
      </c>
      <c r="S307" s="11">
        <f t="shared" si="79"/>
        <v>1.8294500000000002E-2</v>
      </c>
      <c r="T307">
        <f>ROUND(IF(VLOOKUP($A307,EnrollData2324,'2324 Jun 24 Enroll'!D$1,FALSE)='District Calculations'!$B$11,VLOOKUP($A307,EnrollData2324,'2324 Jun 24 Enroll'!D$1,FALSE),'District Calculations'!$B$11)*S307,3)</f>
        <v>0</v>
      </c>
      <c r="U307">
        <f>ROUND(IF(VLOOKUP($A307,EnrollData2324,'2324 Jun 24 Enroll'!E$1,FALSE)='District Calculations'!$B$12,VLOOKUP($A307,EnrollData2324,'2324 Jun 24 Enroll'!E$1,FALSE),'District Calculations'!$B$12)*S307,3)</f>
        <v>14.827999999999999</v>
      </c>
      <c r="V307">
        <f>ROUND(IF(VLOOKUP($A307,EnrollData2324,'2324 Jun 24 Enroll'!F$1,FALSE)='District Calculations'!$B$13,VLOOKUP($A307,EnrollData2324,'2324 Jun 24 Enroll'!F$1,FALSE),'District Calculations'!$B$13)*Apport_224A2324,3)</f>
        <v>3.6190000000000002</v>
      </c>
      <c r="W307">
        <f>ROUND(IF(VLOOKUP($A307,EnrollData2324,'2324 Jun 24 Enroll'!G$1,FALSE)='District Calculations'!$B$14,VLOOKUP($A307,EnrollData2324,'2324 Jun 24 Enroll'!G$1,FALSE),'District Calculations'!$B$14)*Apport_212A2324,3)</f>
        <v>8.0239999999999991</v>
      </c>
      <c r="X307">
        <f>ROUND(IF(VLOOKUP($A307,EnrollData2324,'2324 Jun 24 Enroll'!H$1,FALSE)='District Calculations'!$B$14,VLOOKUP($A307,EnrollData2324,'2324 Jun 24 Enroll'!H$1,FALSE),'District Calculations'!$B$14)*Apport_215A2324,3)</f>
        <v>7.9279999999999999</v>
      </c>
      <c r="Y307">
        <f>ROUND(IF(VLOOKUP($A307,EnrollData2324,'2324 Jun 24 Enroll'!I$1,FALSE)+VLOOKUP($A307,EnrollData2324,'2324 Jun 24 Enroll'!M$1,FALSE)-VLOOKUP($A307,EnrollData2324,'2324 Jun 24 Enroll'!J$1,FALSE)='District Calculations'!$B$16+'District Calculations'!$B$25-'District Calculations'!$B$17,VLOOKUP($A307,EnrollData2324,'2324 Jun 24 Enroll'!I$1,FALSE)+VLOOKUP($A307,EnrollData2324,'2324 Jun 24 Enroll'!M$1,FALSE)-VLOOKUP($A307,EnrollData2324,'2324 Jun 24 Enroll'!J$1,FALSE),'District Calculations'!$B$16+'District Calculations'!$B$25-'District Calculations'!$B$17)*Apport_218A2324,3)</f>
        <v>19.917999999999999</v>
      </c>
      <c r="Z307">
        <f>ROUND(SUM(T307:Y307)/IF(VLOOKUP($A307,EnrollData2324,'2324 Jun 24 Enroll'!M$1,FALSE)+VLOOKUP($A307,EnrollData2324,'2324 Jun 24 Enroll'!D$1,FALSE)='District Calculations'!$B$25+'District Calculations'!$B$11,VLOOKUP($A307,EnrollData2324,'2324 Jun 24 Enroll'!M$1,FALSE)+VLOOKUP($A307,EnrollData2324,'2324 Jun 24 Enroll'!D$1,FALSE),'District Calculations'!$B$25+'District Calculations'!$B$11),5)</f>
        <v>1.7399999999999999E-2</v>
      </c>
      <c r="AA307" s="6">
        <f>ROUND($J307*CIS_Base_Salary2324*VLOOKUP($A307,EnrollData2324,'2324 Jun 24 Enroll'!S$1,FALSE),2)</f>
        <v>4038.59</v>
      </c>
      <c r="AB307" s="6">
        <f>ROUND($J307*CIS_Inc_Salary2324*(VLOOKUP($A307,EnrollData2324,'2324 Jun 24 Enroll'!T$1,FALSE)+VLOOKUP($A307,EnrollData2324,'2324 Jun 24 Enroll'!U$1,FALSE)),2)-AA307</f>
        <v>149.43000000000029</v>
      </c>
      <c r="AC307" s="6">
        <f>ROUND($R307*CAS_Base_Salary2324*VLOOKUP($A307,EnrollData2324,'2324 Jun 24 Enroll'!S$1,FALSE),2)</f>
        <v>442.62</v>
      </c>
      <c r="AD307" s="6">
        <f>ROUND($R307*CAS_Inc_Salary2324*VLOOKUP($A307,EnrollData2324,'2324 Jun 24 Enroll'!T$1,FALSE),2)-AC307</f>
        <v>16.379999999999995</v>
      </c>
      <c r="AE307" s="6">
        <f>ROUND($Z307*CLS_Base_Salary2324*VLOOKUP($A307,EnrollData2324,'2324 Jun 24 Enroll'!S$1,FALSE),2)</f>
        <v>907.81</v>
      </c>
      <c r="AF307" s="6">
        <f>ROUND($Z307*CLS_Inc_Salary2324*VLOOKUP($A307,EnrollData2324,'2324 Jun 24 Enroll'!T$1,FALSE),2)-AE307</f>
        <v>33.580000000000041</v>
      </c>
      <c r="AG307">
        <f t="shared" si="76"/>
        <v>734.16</v>
      </c>
      <c r="AH307" s="69">
        <f t="shared" si="80"/>
        <v>68.700000000000045</v>
      </c>
      <c r="AI307">
        <f t="shared" si="77"/>
        <v>214.23</v>
      </c>
      <c r="AJ307">
        <f t="shared" si="81"/>
        <v>114.21000000000001</v>
      </c>
      <c r="AK307">
        <f t="shared" si="82"/>
        <v>805.27</v>
      </c>
      <c r="AL307">
        <f t="shared" si="83"/>
        <v>28.73</v>
      </c>
      <c r="AM307">
        <f t="shared" si="84"/>
        <v>200.26</v>
      </c>
      <c r="AN307">
        <f t="shared" si="85"/>
        <v>6.23</v>
      </c>
      <c r="AO307">
        <f>ROUND(($J307*CIS_Inc_Salary2324*(VLOOKUP($A307,EnrollData2324,'2324 Jun 24 Enroll'!T$1,FALSE)+VLOOKUP($A307,EnrollData2324,'2324 Jun 24 Enroll'!U$1,FALSE))/Apport_613Xpd)*Apport_614Xpd,2)</f>
        <v>69.8</v>
      </c>
      <c r="AP307">
        <f t="shared" si="86"/>
        <v>12.1</v>
      </c>
      <c r="AQ307">
        <f t="shared" si="87"/>
        <v>30.93</v>
      </c>
      <c r="AR307" s="6">
        <f>ROUND((VLOOKUP($A307,EnrollData2324,'2324 Jun 24 Enroll'!D$1,FALSE)*Apport_M802324+VLOOKUP($A307,EnrollData2324,'2324 Jun 24 Enroll'!M$1,FALSE)*Apport_M802324+(VLOOKUP($A307,EnrollData2324,'2324 Jun 24 Enroll'!P$1,FALSE)+VLOOKUP($A307,EnrollData2324,'2324 Jun 24 Enroll'!Q$1,FALSE)+VLOOKUP($A307,EnrollData2324,'2324 Jun 24 Enroll'!R$1,FALSE)+VLOOKUP($A307,EnrollData2324,'2324 Jun 24 Enroll'!I$1,FALSE)+VLOOKUP($A307,EnrollData2324,'2324 Jun 24 Enroll'!N$1,FALSE)+VLOOKUP($A307,EnrollData2324,'2324 Jun 24 Enroll'!O$1,FALSE)+VLOOKUP($A307,EnrollData2324,'2324 Jun 24 Enroll'!K$1,FALSE)+VLOOKUP($A307,EnrollData2324,'2324 Jun 24 Enroll'!L$1,FALSE))*Apport_M812324)/(VLOOKUP($A307,EnrollData2324,'2324 Jun 24 Enroll'!M$1,FALSE)+VLOOKUP($A307,EnrollData2324,'2324 Jun 24 Enroll'!D$1,FALSE)),2)</f>
        <v>1545.91</v>
      </c>
      <c r="AS307" s="7">
        <f t="shared" si="88"/>
        <v>9418.94</v>
      </c>
    </row>
    <row r="308" spans="1:45">
      <c r="A308" s="40" t="s">
        <v>645</v>
      </c>
      <c r="B308" s="40" t="s">
        <v>646</v>
      </c>
      <c r="C308" s="11">
        <f>ROUND((IFERROR((1/IF(VLOOKUP($A308,EnrollData2324,28,FALSE)='District Calculations'!$B$10,VLOOKUP($A308,EnrollData2324,28,FALSE),'District Calculations'!$B$10))*(1+Apport_Z315),0))+Apport_201A2324,6)</f>
        <v>7.3449E-2</v>
      </c>
      <c r="D308">
        <f>ROUND(IF(VLOOKUP($A308,EnrollData2324,'2324 Jun 24 Enroll'!D$1,FALSE)='District Calculations'!$B$11,VLOOKUP($A308,EnrollData2324,'2324 Jun 24 Enroll'!D$1,FALSE),'District Calculations'!$B$11)*C308,3)</f>
        <v>0</v>
      </c>
      <c r="E308">
        <f>ROUND(IF(VLOOKUP($A308,EnrollData2324,'2324 Jun 24 Enroll'!E$1,FALSE)='District Calculations'!$B$12,VLOOKUP($A308,EnrollData2324,'2324 Jun 24 Enroll'!E$1,FALSE),'District Calculations'!$B$12)*C308,3)</f>
        <v>59.53</v>
      </c>
      <c r="F308">
        <f>ROUND(IF(VLOOKUP($A308,EnrollData2324,'2324 Jun 24 Enroll'!F$1,FALSE)='District Calculations'!$B$13,VLOOKUP($A308,EnrollData2324,'2324 Jun 24 Enroll'!F$1,FALSE),'District Calculations'!$B$13)*Apport_222A2324,3)</f>
        <v>10.101000000000001</v>
      </c>
      <c r="G308">
        <f>ROUND(IF(VLOOKUP($A308,EnrollData2324,'2324 Jun 24 Enroll'!G$1,FALSE)='District Calculations'!$B$14,VLOOKUP($A308,EnrollData2324,'2324 Jun 24 Enroll'!G$1,FALSE),'District Calculations'!$B$14)*Apport_210A2324,3)</f>
        <v>22.395</v>
      </c>
      <c r="H308">
        <f>ROUND(IF(VLOOKUP($A308,EnrollData2324,'2324 Jun 24 Enroll'!H$1,FALSE)='District Calculations'!$B$15,VLOOKUP($A308,EnrollData2324,'2324 Jun 24 Enroll'!H$1,FALSE),'District Calculations'!$B$15)*Apport_213A2324,3)</f>
        <v>23.091999999999999</v>
      </c>
      <c r="I308">
        <f>ROUND(IF(VLOOKUP($A308,EnrollData2324,'2324 Jun 24 Enroll'!I$1,FALSE)+VLOOKUP($A308,EnrollData2324,'2324 Jun 24 Enroll'!M$1,FALSE)-VLOOKUP($A308,EnrollData2324,'2324 Jun 24 Enroll'!J$1,FALSE)='District Calculations'!$B$16+'District Calculations'!$B$25-'District Calculations'!$B$17,VLOOKUP($A308,EnrollData2324,'2324 Jun 24 Enroll'!I$1,FALSE)+VLOOKUP($A308,EnrollData2324,'2324 Jun 24 Enroll'!M$1,FALSE)-VLOOKUP($A308,EnrollData2324,'2324 Jun 24 Enroll'!J$1,FALSE),'District Calculations'!$B$16+'District Calculations'!$B$25-'District Calculations'!$B$17)*Apport_216A2324,3)</f>
        <v>58.183999999999997</v>
      </c>
      <c r="J308">
        <f>ROUND(SUM(D308:I308)/(IF(VLOOKUP($A308,EnrollData2324,'2324 Jun 24 Enroll'!M$1,FALSE)='District Calculations'!$B$25,VLOOKUP($A308,EnrollData2324,'2324 Jun 24 Enroll'!M$1,FALSE),'District Calculations'!$B$25)+IF(VLOOKUP($A308,EnrollData2324,'2324 Jun 24 Enroll'!D$1,FALSE)='District Calculations'!$B$11,VLOOKUP($A308,EnrollData2324,'2324 Jun 24 Enroll'!D$1,FALSE),'District Calculations'!$B$11)),5)</f>
        <v>5.5530000000000003E-2</v>
      </c>
      <c r="K308" s="11">
        <f t="shared" si="78"/>
        <v>4.365E-3</v>
      </c>
      <c r="L308">
        <f>ROUND(IF(VLOOKUP($A308,EnrollData2324,'2324 Jun 24 Enroll'!D$1,FALSE)='District Calculations'!$B$11,VLOOKUP($A308,EnrollData2324,'2324 Jun 24 Enroll'!D$1,FALSE),'District Calculations'!$B$11)*K308,3)</f>
        <v>0</v>
      </c>
      <c r="M308">
        <f>ROUND(IF(VLOOKUP($A308,EnrollData2324,'2324 Jun 24 Enroll'!E$1,FALSE)='District Calculations'!$B$12,VLOOKUP($A308,EnrollData2324,'2324 Jun 24 Enroll'!E$1,FALSE),'District Calculations'!$B$12)*K308,3)</f>
        <v>3.5379999999999998</v>
      </c>
      <c r="N308">
        <f>ROUND(IF(VLOOKUP($A308,EnrollData2324,'2324 Jun 24 Enroll'!F$1,FALSE)='District Calculations'!$B$13,VLOOKUP($A308,EnrollData2324,'2324 Jun 24 Enroll'!F$1,FALSE),'District Calculations'!$B$13)*Apport_223A2324,3)</f>
        <v>0.84199999999999997</v>
      </c>
      <c r="O308">
        <f>ROUND(IF(VLOOKUP($A308,EnrollData2324,'2324 Jun 24 Enroll'!G$1,FALSE)='District Calculations'!$B$14,VLOOKUP($A308,EnrollData2324,'2324 Jun 24 Enroll'!G$1,FALSE),'District Calculations'!$B$14)*Apport_211A2324,3)</f>
        <v>1.867</v>
      </c>
      <c r="P308">
        <f>ROUND(IF(VLOOKUP($A308,EnrollData2324,'2324 Jun 24 Enroll'!H$1,FALSE)='District Calculations'!$B$14,VLOOKUP($A308,EnrollData2324,'2324 Jun 24 Enroll'!H$1,FALSE),'District Calculations'!$B$14)*Apport_214A2324,3)</f>
        <v>1.8660000000000001</v>
      </c>
      <c r="Q308">
        <f>ROUND(IF(VLOOKUP($A308,EnrollData2324,'2324 Jun 24 Enroll'!I$1,FALSE)+VLOOKUP($A308,EnrollData2324,'2324 Jun 24 Enroll'!M$1,FALSE)-VLOOKUP($A308,EnrollData2324,'2324 Jun 24 Enroll'!J$1,FALSE)='District Calculations'!$B$16+'District Calculations'!$B$25-'District Calculations'!$B$17,VLOOKUP($A308,EnrollData2324,'2324 Jun 24 Enroll'!I$1,FALSE)+VLOOKUP($A308,EnrollData2324,'2324 Jun 24 Enroll'!M$1,FALSE)-VLOOKUP($A308,EnrollData2324,'2324 Jun 24 Enroll'!J$1,FALSE),'District Calculations'!$B$16+'District Calculations'!$B$25-'District Calculations'!$B$17)*Apport_217A2324,3)</f>
        <v>4.6980000000000004</v>
      </c>
      <c r="R308">
        <f>ROUND(SUM(L308:Q308)/IF(VLOOKUP($A308,EnrollData2324,'2324 Jun 24 Enroll'!M$1,FALSE)+VLOOKUP($A308,EnrollData2324,'2324 Jun 24 Enroll'!D$1,FALSE)='District Calculations'!$B$25+'District Calculations'!$B$11,VLOOKUP($A308,EnrollData2324,'2324 Jun 24 Enroll'!M$1,FALSE)+VLOOKUP($A308,EnrollData2324,'2324 Jun 24 Enroll'!D$1,FALSE),'District Calculations'!$B$25+'District Calculations'!$B$11),5)</f>
        <v>4.1000000000000003E-3</v>
      </c>
      <c r="S308" s="11">
        <f t="shared" si="79"/>
        <v>1.8294500000000002E-2</v>
      </c>
      <c r="T308">
        <f>ROUND(IF(VLOOKUP($A308,EnrollData2324,'2324 Jun 24 Enroll'!D$1,FALSE)='District Calculations'!$B$11,VLOOKUP($A308,EnrollData2324,'2324 Jun 24 Enroll'!D$1,FALSE),'District Calculations'!$B$11)*S308,3)</f>
        <v>0</v>
      </c>
      <c r="U308">
        <f>ROUND(IF(VLOOKUP($A308,EnrollData2324,'2324 Jun 24 Enroll'!E$1,FALSE)='District Calculations'!$B$12,VLOOKUP($A308,EnrollData2324,'2324 Jun 24 Enroll'!E$1,FALSE),'District Calculations'!$B$12)*S308,3)</f>
        <v>14.827999999999999</v>
      </c>
      <c r="V308">
        <f>ROUND(IF(VLOOKUP($A308,EnrollData2324,'2324 Jun 24 Enroll'!F$1,FALSE)='District Calculations'!$B$13,VLOOKUP($A308,EnrollData2324,'2324 Jun 24 Enroll'!F$1,FALSE),'District Calculations'!$B$13)*Apport_224A2324,3)</f>
        <v>3.6190000000000002</v>
      </c>
      <c r="W308">
        <f>ROUND(IF(VLOOKUP($A308,EnrollData2324,'2324 Jun 24 Enroll'!G$1,FALSE)='District Calculations'!$B$14,VLOOKUP($A308,EnrollData2324,'2324 Jun 24 Enroll'!G$1,FALSE),'District Calculations'!$B$14)*Apport_212A2324,3)</f>
        <v>8.0239999999999991</v>
      </c>
      <c r="X308">
        <f>ROUND(IF(VLOOKUP($A308,EnrollData2324,'2324 Jun 24 Enroll'!H$1,FALSE)='District Calculations'!$B$14,VLOOKUP($A308,EnrollData2324,'2324 Jun 24 Enroll'!H$1,FALSE),'District Calculations'!$B$14)*Apport_215A2324,3)</f>
        <v>7.9279999999999999</v>
      </c>
      <c r="Y308">
        <f>ROUND(IF(VLOOKUP($A308,EnrollData2324,'2324 Jun 24 Enroll'!I$1,FALSE)+VLOOKUP($A308,EnrollData2324,'2324 Jun 24 Enroll'!M$1,FALSE)-VLOOKUP($A308,EnrollData2324,'2324 Jun 24 Enroll'!J$1,FALSE)='District Calculations'!$B$16+'District Calculations'!$B$25-'District Calculations'!$B$17,VLOOKUP($A308,EnrollData2324,'2324 Jun 24 Enroll'!I$1,FALSE)+VLOOKUP($A308,EnrollData2324,'2324 Jun 24 Enroll'!M$1,FALSE)-VLOOKUP($A308,EnrollData2324,'2324 Jun 24 Enroll'!J$1,FALSE),'District Calculations'!$B$16+'District Calculations'!$B$25-'District Calculations'!$B$17)*Apport_218A2324,3)</f>
        <v>19.917999999999999</v>
      </c>
      <c r="Z308">
        <f>ROUND(SUM(T308:Y308)/IF(VLOOKUP($A308,EnrollData2324,'2324 Jun 24 Enroll'!M$1,FALSE)+VLOOKUP($A308,EnrollData2324,'2324 Jun 24 Enroll'!D$1,FALSE)='District Calculations'!$B$25+'District Calculations'!$B$11,VLOOKUP($A308,EnrollData2324,'2324 Jun 24 Enroll'!M$1,FALSE)+VLOOKUP($A308,EnrollData2324,'2324 Jun 24 Enroll'!D$1,FALSE),'District Calculations'!$B$25+'District Calculations'!$B$11),5)</f>
        <v>1.7399999999999999E-2</v>
      </c>
      <c r="AA308" s="6">
        <f>ROUND($J308*CIS_Base_Salary2324*VLOOKUP($A308,EnrollData2324,'2324 Jun 24 Enroll'!S$1,FALSE),2)</f>
        <v>4038.59</v>
      </c>
      <c r="AB308" s="6">
        <f>ROUND($J308*CIS_Inc_Salary2324*(VLOOKUP($A308,EnrollData2324,'2324 Jun 24 Enroll'!T$1,FALSE)+VLOOKUP($A308,EnrollData2324,'2324 Jun 24 Enroll'!U$1,FALSE)),2)-AA308</f>
        <v>233.1899999999996</v>
      </c>
      <c r="AC308" s="6">
        <f>ROUND($R308*CAS_Base_Salary2324*VLOOKUP($A308,EnrollData2324,'2324 Jun 24 Enroll'!S$1,FALSE),2)</f>
        <v>442.62</v>
      </c>
      <c r="AD308" s="6">
        <f>ROUND($R308*CAS_Inc_Salary2324*VLOOKUP($A308,EnrollData2324,'2324 Jun 24 Enroll'!T$1,FALSE),2)-AC308</f>
        <v>16.379999999999995</v>
      </c>
      <c r="AE308" s="6">
        <f>ROUND($Z308*CLS_Base_Salary2324*VLOOKUP($A308,EnrollData2324,'2324 Jun 24 Enroll'!S$1,FALSE),2)</f>
        <v>907.81</v>
      </c>
      <c r="AF308" s="6">
        <f>ROUND($Z308*CLS_Inc_Salary2324*VLOOKUP($A308,EnrollData2324,'2324 Jun 24 Enroll'!T$1,FALSE),2)-AE308</f>
        <v>33.580000000000041</v>
      </c>
      <c r="AG308">
        <f t="shared" si="76"/>
        <v>734.16</v>
      </c>
      <c r="AH308" s="69">
        <f t="shared" si="80"/>
        <v>68.700000000000045</v>
      </c>
      <c r="AI308">
        <f t="shared" si="77"/>
        <v>214.23</v>
      </c>
      <c r="AJ308">
        <f t="shared" si="81"/>
        <v>114.21000000000001</v>
      </c>
      <c r="AK308">
        <f t="shared" si="82"/>
        <v>805.27</v>
      </c>
      <c r="AL308">
        <f t="shared" si="83"/>
        <v>43.25</v>
      </c>
      <c r="AM308">
        <f t="shared" si="84"/>
        <v>200.26</v>
      </c>
      <c r="AN308">
        <f t="shared" si="85"/>
        <v>6.23</v>
      </c>
      <c r="AO308">
        <f>ROUND(($J308*CIS_Inc_Salary2324*(VLOOKUP($A308,EnrollData2324,'2324 Jun 24 Enroll'!T$1,FALSE)+VLOOKUP($A308,EnrollData2324,'2324 Jun 24 Enroll'!U$1,FALSE))/Apport_613Xpd)*Apport_614Xpd,2)</f>
        <v>71.2</v>
      </c>
      <c r="AP308">
        <f t="shared" si="86"/>
        <v>12.34</v>
      </c>
      <c r="AQ308">
        <f t="shared" si="87"/>
        <v>30.93</v>
      </c>
      <c r="AR308" s="6">
        <f>ROUND((VLOOKUP($A308,EnrollData2324,'2324 Jun 24 Enroll'!D$1,FALSE)*Apport_M802324+VLOOKUP($A308,EnrollData2324,'2324 Jun 24 Enroll'!M$1,FALSE)*Apport_M802324+(VLOOKUP($A308,EnrollData2324,'2324 Jun 24 Enroll'!P$1,FALSE)+VLOOKUP($A308,EnrollData2324,'2324 Jun 24 Enroll'!Q$1,FALSE)+VLOOKUP($A308,EnrollData2324,'2324 Jun 24 Enroll'!R$1,FALSE)+VLOOKUP($A308,EnrollData2324,'2324 Jun 24 Enroll'!I$1,FALSE)+VLOOKUP($A308,EnrollData2324,'2324 Jun 24 Enroll'!N$1,FALSE)+VLOOKUP($A308,EnrollData2324,'2324 Jun 24 Enroll'!O$1,FALSE)+VLOOKUP($A308,EnrollData2324,'2324 Jun 24 Enroll'!K$1,FALSE)+VLOOKUP($A308,EnrollData2324,'2324 Jun 24 Enroll'!L$1,FALSE))*Apport_M812324)/(VLOOKUP($A308,EnrollData2324,'2324 Jun 24 Enroll'!M$1,FALSE)+VLOOKUP($A308,EnrollData2324,'2324 Jun 24 Enroll'!D$1,FALSE)),2)</f>
        <v>1541.35</v>
      </c>
      <c r="AS308" s="7">
        <f t="shared" si="88"/>
        <v>9514.2999999999993</v>
      </c>
    </row>
    <row r="309" spans="1:45">
      <c r="A309" s="40" t="s">
        <v>1035</v>
      </c>
      <c r="B309" s="40" t="s">
        <v>1036</v>
      </c>
      <c r="C309" s="11">
        <f>ROUND((IFERROR((1/IF(VLOOKUP($A309,EnrollData2324,28,FALSE)='District Calculations'!$B$10,VLOOKUP($A309,EnrollData2324,28,FALSE),'District Calculations'!$B$10))*(1+Apport_Z315),0))+Apport_201A2324,6)</f>
        <v>7.3449E-2</v>
      </c>
      <c r="D309">
        <f>ROUND(IF(VLOOKUP($A309,EnrollData2324,'2324 Jun 24 Enroll'!D$1,FALSE)='District Calculations'!$B$11,VLOOKUP($A309,EnrollData2324,'2324 Jun 24 Enroll'!D$1,FALSE),'District Calculations'!$B$11)*C309,3)</f>
        <v>0</v>
      </c>
      <c r="E309">
        <f>ROUND(IF(VLOOKUP($A309,EnrollData2324,'2324 Jun 24 Enroll'!E$1,FALSE)='District Calculations'!$B$12,VLOOKUP($A309,EnrollData2324,'2324 Jun 24 Enroll'!E$1,FALSE),'District Calculations'!$B$12)*C309,3)</f>
        <v>59.53</v>
      </c>
      <c r="F309">
        <f>ROUND(IF(VLOOKUP($A309,EnrollData2324,'2324 Jun 24 Enroll'!F$1,FALSE)='District Calculations'!$B$13,VLOOKUP($A309,EnrollData2324,'2324 Jun 24 Enroll'!F$1,FALSE),'District Calculations'!$B$13)*Apport_222A2324,3)</f>
        <v>10.101000000000001</v>
      </c>
      <c r="G309">
        <f>ROUND(IF(VLOOKUP($A309,EnrollData2324,'2324 Jun 24 Enroll'!G$1,FALSE)='District Calculations'!$B$14,VLOOKUP($A309,EnrollData2324,'2324 Jun 24 Enroll'!G$1,FALSE),'District Calculations'!$B$14)*Apport_210A2324,3)</f>
        <v>22.395</v>
      </c>
      <c r="H309">
        <f>ROUND(IF(VLOOKUP($A309,EnrollData2324,'2324 Jun 24 Enroll'!H$1,FALSE)='District Calculations'!$B$15,VLOOKUP($A309,EnrollData2324,'2324 Jun 24 Enroll'!H$1,FALSE),'District Calculations'!$B$15)*Apport_213A2324,3)</f>
        <v>23.091999999999999</v>
      </c>
      <c r="I309">
        <f>ROUND(IF(VLOOKUP($A309,EnrollData2324,'2324 Jun 24 Enroll'!I$1,FALSE)+VLOOKUP($A309,EnrollData2324,'2324 Jun 24 Enroll'!M$1,FALSE)-VLOOKUP($A309,EnrollData2324,'2324 Jun 24 Enroll'!J$1,FALSE)='District Calculations'!$B$16+'District Calculations'!$B$25-'District Calculations'!$B$17,VLOOKUP($A309,EnrollData2324,'2324 Jun 24 Enroll'!I$1,FALSE)+VLOOKUP($A309,EnrollData2324,'2324 Jun 24 Enroll'!M$1,FALSE)-VLOOKUP($A309,EnrollData2324,'2324 Jun 24 Enroll'!J$1,FALSE),'District Calculations'!$B$16+'District Calculations'!$B$25-'District Calculations'!$B$17)*Apport_216A2324,3)</f>
        <v>58.183999999999997</v>
      </c>
      <c r="J309">
        <f>ROUND(SUM(D309:I309)/(IF(VLOOKUP($A309,EnrollData2324,'2324 Jun 24 Enroll'!M$1,FALSE)='District Calculations'!$B$25,VLOOKUP($A309,EnrollData2324,'2324 Jun 24 Enroll'!M$1,FALSE),'District Calculations'!$B$25)+IF(VLOOKUP($A309,EnrollData2324,'2324 Jun 24 Enroll'!D$1,FALSE)='District Calculations'!$B$11,VLOOKUP($A309,EnrollData2324,'2324 Jun 24 Enroll'!D$1,FALSE),'District Calculations'!$B$11)),5)</f>
        <v>5.5530000000000003E-2</v>
      </c>
      <c r="K309" s="11">
        <f t="shared" si="78"/>
        <v>4.365E-3</v>
      </c>
      <c r="L309">
        <f>ROUND(IF(VLOOKUP($A309,EnrollData2324,'2324 Jun 24 Enroll'!D$1,FALSE)='District Calculations'!$B$11,VLOOKUP($A309,EnrollData2324,'2324 Jun 24 Enroll'!D$1,FALSE),'District Calculations'!$B$11)*K309,3)</f>
        <v>0</v>
      </c>
      <c r="M309">
        <f>ROUND(IF(VLOOKUP($A309,EnrollData2324,'2324 Jun 24 Enroll'!E$1,FALSE)='District Calculations'!$B$12,VLOOKUP($A309,EnrollData2324,'2324 Jun 24 Enroll'!E$1,FALSE),'District Calculations'!$B$12)*K309,3)</f>
        <v>3.5379999999999998</v>
      </c>
      <c r="N309">
        <f>ROUND(IF(VLOOKUP($A309,EnrollData2324,'2324 Jun 24 Enroll'!F$1,FALSE)='District Calculations'!$B$13,VLOOKUP($A309,EnrollData2324,'2324 Jun 24 Enroll'!F$1,FALSE),'District Calculations'!$B$13)*Apport_223A2324,3)</f>
        <v>0.84199999999999997</v>
      </c>
      <c r="O309">
        <f>ROUND(IF(VLOOKUP($A309,EnrollData2324,'2324 Jun 24 Enroll'!G$1,FALSE)='District Calculations'!$B$14,VLOOKUP($A309,EnrollData2324,'2324 Jun 24 Enroll'!G$1,FALSE),'District Calculations'!$B$14)*Apport_211A2324,3)</f>
        <v>1.867</v>
      </c>
      <c r="P309">
        <f>ROUND(IF(VLOOKUP($A309,EnrollData2324,'2324 Jun 24 Enroll'!H$1,FALSE)='District Calculations'!$B$14,VLOOKUP($A309,EnrollData2324,'2324 Jun 24 Enroll'!H$1,FALSE),'District Calculations'!$B$14)*Apport_214A2324,3)</f>
        <v>1.8660000000000001</v>
      </c>
      <c r="Q309">
        <f>ROUND(IF(VLOOKUP($A309,EnrollData2324,'2324 Jun 24 Enroll'!I$1,FALSE)+VLOOKUP($A309,EnrollData2324,'2324 Jun 24 Enroll'!M$1,FALSE)-VLOOKUP($A309,EnrollData2324,'2324 Jun 24 Enroll'!J$1,FALSE)='District Calculations'!$B$16+'District Calculations'!$B$25-'District Calculations'!$B$17,VLOOKUP($A309,EnrollData2324,'2324 Jun 24 Enroll'!I$1,FALSE)+VLOOKUP($A309,EnrollData2324,'2324 Jun 24 Enroll'!M$1,FALSE)-VLOOKUP($A309,EnrollData2324,'2324 Jun 24 Enroll'!J$1,FALSE),'District Calculations'!$B$16+'District Calculations'!$B$25-'District Calculations'!$B$17)*Apport_217A2324,3)</f>
        <v>4.6980000000000004</v>
      </c>
      <c r="R309">
        <f>ROUND(SUM(L309:Q309)/IF(VLOOKUP($A309,EnrollData2324,'2324 Jun 24 Enroll'!M$1,FALSE)+VLOOKUP($A309,EnrollData2324,'2324 Jun 24 Enroll'!D$1,FALSE)='District Calculations'!$B$25+'District Calculations'!$B$11,VLOOKUP($A309,EnrollData2324,'2324 Jun 24 Enroll'!M$1,FALSE)+VLOOKUP($A309,EnrollData2324,'2324 Jun 24 Enroll'!D$1,FALSE),'District Calculations'!$B$25+'District Calculations'!$B$11),5)</f>
        <v>4.1000000000000003E-3</v>
      </c>
      <c r="S309" s="11">
        <f t="shared" si="79"/>
        <v>1.8294500000000002E-2</v>
      </c>
      <c r="T309">
        <f>ROUND(IF(VLOOKUP($A309,EnrollData2324,'2324 Jun 24 Enroll'!D$1,FALSE)='District Calculations'!$B$11,VLOOKUP($A309,EnrollData2324,'2324 Jun 24 Enroll'!D$1,FALSE),'District Calculations'!$B$11)*S309,3)</f>
        <v>0</v>
      </c>
      <c r="U309">
        <f>ROUND(IF(VLOOKUP($A309,EnrollData2324,'2324 Jun 24 Enroll'!E$1,FALSE)='District Calculations'!$B$12,VLOOKUP($A309,EnrollData2324,'2324 Jun 24 Enroll'!E$1,FALSE),'District Calculations'!$B$12)*S309,3)</f>
        <v>14.827999999999999</v>
      </c>
      <c r="V309">
        <f>ROUND(IF(VLOOKUP($A309,EnrollData2324,'2324 Jun 24 Enroll'!F$1,FALSE)='District Calculations'!$B$13,VLOOKUP($A309,EnrollData2324,'2324 Jun 24 Enroll'!F$1,FALSE),'District Calculations'!$B$13)*Apport_224A2324,3)</f>
        <v>3.6190000000000002</v>
      </c>
      <c r="W309">
        <f>ROUND(IF(VLOOKUP($A309,EnrollData2324,'2324 Jun 24 Enroll'!G$1,FALSE)='District Calculations'!$B$14,VLOOKUP($A309,EnrollData2324,'2324 Jun 24 Enroll'!G$1,FALSE),'District Calculations'!$B$14)*Apport_212A2324,3)</f>
        <v>8.0239999999999991</v>
      </c>
      <c r="X309">
        <f>ROUND(IF(VLOOKUP($A309,EnrollData2324,'2324 Jun 24 Enroll'!H$1,FALSE)='District Calculations'!$B$14,VLOOKUP($A309,EnrollData2324,'2324 Jun 24 Enroll'!H$1,FALSE),'District Calculations'!$B$14)*Apport_215A2324,3)</f>
        <v>7.9279999999999999</v>
      </c>
      <c r="Y309">
        <f>ROUND(IF(VLOOKUP($A309,EnrollData2324,'2324 Jun 24 Enroll'!I$1,FALSE)+VLOOKUP($A309,EnrollData2324,'2324 Jun 24 Enroll'!M$1,FALSE)-VLOOKUP($A309,EnrollData2324,'2324 Jun 24 Enroll'!J$1,FALSE)='District Calculations'!$B$16+'District Calculations'!$B$25-'District Calculations'!$B$17,VLOOKUP($A309,EnrollData2324,'2324 Jun 24 Enroll'!I$1,FALSE)+VLOOKUP($A309,EnrollData2324,'2324 Jun 24 Enroll'!M$1,FALSE)-VLOOKUP($A309,EnrollData2324,'2324 Jun 24 Enroll'!J$1,FALSE),'District Calculations'!$B$16+'District Calculations'!$B$25-'District Calculations'!$B$17)*Apport_218A2324,3)</f>
        <v>19.917999999999999</v>
      </c>
      <c r="Z309">
        <f>ROUND(SUM(T309:Y309)/IF(VLOOKUP($A309,EnrollData2324,'2324 Jun 24 Enroll'!M$1,FALSE)+VLOOKUP($A309,EnrollData2324,'2324 Jun 24 Enroll'!D$1,FALSE)='District Calculations'!$B$25+'District Calculations'!$B$11,VLOOKUP($A309,EnrollData2324,'2324 Jun 24 Enroll'!M$1,FALSE)+VLOOKUP($A309,EnrollData2324,'2324 Jun 24 Enroll'!D$1,FALSE),'District Calculations'!$B$25+'District Calculations'!$B$11),5)</f>
        <v>1.7399999999999999E-2</v>
      </c>
      <c r="AA309" s="6">
        <f>ROUND($J309*CIS_Base_Salary2324*VLOOKUP($A309,EnrollData2324,'2324 Jun 24 Enroll'!S$1,FALSE),2)</f>
        <v>4038.59</v>
      </c>
      <c r="AB309" s="6">
        <f>ROUND($J309*CIS_Inc_Salary2324*(VLOOKUP($A309,EnrollData2324,'2324 Jun 24 Enroll'!T$1,FALSE)+VLOOKUP($A309,EnrollData2324,'2324 Jun 24 Enroll'!U$1,FALSE)),2)-AA309</f>
        <v>149.43000000000029</v>
      </c>
      <c r="AC309" s="6">
        <f>ROUND($R309*CAS_Base_Salary2324*VLOOKUP($A309,EnrollData2324,'2324 Jun 24 Enroll'!S$1,FALSE),2)</f>
        <v>442.62</v>
      </c>
      <c r="AD309" s="6">
        <f>ROUND($R309*CAS_Inc_Salary2324*VLOOKUP($A309,EnrollData2324,'2324 Jun 24 Enroll'!T$1,FALSE),2)-AC309</f>
        <v>16.379999999999995</v>
      </c>
      <c r="AE309" s="6">
        <f>ROUND($Z309*CLS_Base_Salary2324*VLOOKUP($A309,EnrollData2324,'2324 Jun 24 Enroll'!S$1,FALSE),2)</f>
        <v>907.81</v>
      </c>
      <c r="AF309" s="6">
        <f>ROUND($Z309*CLS_Inc_Salary2324*VLOOKUP($A309,EnrollData2324,'2324 Jun 24 Enroll'!T$1,FALSE),2)-AE309</f>
        <v>33.580000000000041</v>
      </c>
      <c r="AG309">
        <f t="shared" si="76"/>
        <v>734.16</v>
      </c>
      <c r="AH309" s="69">
        <f t="shared" si="80"/>
        <v>68.700000000000045</v>
      </c>
      <c r="AI309">
        <f t="shared" si="77"/>
        <v>214.23</v>
      </c>
      <c r="AJ309">
        <f t="shared" si="81"/>
        <v>114.21000000000001</v>
      </c>
      <c r="AK309">
        <f t="shared" si="82"/>
        <v>805.27</v>
      </c>
      <c r="AL309">
        <f t="shared" si="83"/>
        <v>28.73</v>
      </c>
      <c r="AM309">
        <f t="shared" si="84"/>
        <v>200.26</v>
      </c>
      <c r="AN309">
        <f t="shared" si="85"/>
        <v>6.23</v>
      </c>
      <c r="AO309">
        <f>ROUND(($J309*CIS_Inc_Salary2324*(VLOOKUP($A309,EnrollData2324,'2324 Jun 24 Enroll'!T$1,FALSE)+VLOOKUP($A309,EnrollData2324,'2324 Jun 24 Enroll'!U$1,FALSE))/Apport_613Xpd)*Apport_614Xpd,2)</f>
        <v>69.8</v>
      </c>
      <c r="AP309">
        <f t="shared" si="86"/>
        <v>12.1</v>
      </c>
      <c r="AQ309">
        <f t="shared" si="87"/>
        <v>30.93</v>
      </c>
      <c r="AR309" s="6">
        <f>ROUND((VLOOKUP($A309,EnrollData2324,'2324 Jun 24 Enroll'!D$1,FALSE)*Apport_M802324+VLOOKUP($A309,EnrollData2324,'2324 Jun 24 Enroll'!M$1,FALSE)*Apport_M802324+(VLOOKUP($A309,EnrollData2324,'2324 Jun 24 Enroll'!P$1,FALSE)+VLOOKUP($A309,EnrollData2324,'2324 Jun 24 Enroll'!Q$1,FALSE)+VLOOKUP($A309,EnrollData2324,'2324 Jun 24 Enroll'!R$1,FALSE)+VLOOKUP($A309,EnrollData2324,'2324 Jun 24 Enroll'!I$1,FALSE)+VLOOKUP($A309,EnrollData2324,'2324 Jun 24 Enroll'!N$1,FALSE)+VLOOKUP($A309,EnrollData2324,'2324 Jun 24 Enroll'!O$1,FALSE)+VLOOKUP($A309,EnrollData2324,'2324 Jun 24 Enroll'!K$1,FALSE)+VLOOKUP($A309,EnrollData2324,'2324 Jun 24 Enroll'!L$1,FALSE))*Apport_M812324)/(VLOOKUP($A309,EnrollData2324,'2324 Jun 24 Enroll'!M$1,FALSE)+VLOOKUP($A309,EnrollData2324,'2324 Jun 24 Enroll'!D$1,FALSE)),2)</f>
        <v>1483.44</v>
      </c>
      <c r="AS309" s="7">
        <f t="shared" si="88"/>
        <v>9356.4699999999993</v>
      </c>
    </row>
    <row r="310" spans="1:45">
      <c r="A310" s="40" t="s">
        <v>835</v>
      </c>
      <c r="B310" s="40" t="s">
        <v>836</v>
      </c>
      <c r="C310" s="11">
        <f>ROUND((IFERROR((1/IF(VLOOKUP($A310,EnrollData2324,28,FALSE)='District Calculations'!$B$10,VLOOKUP($A310,EnrollData2324,28,FALSE),'District Calculations'!$B$10))*(1+Apport_Z315),0))+Apport_201A2324,6)</f>
        <v>7.3449E-2</v>
      </c>
      <c r="D310">
        <f>ROUND(IF(VLOOKUP($A310,EnrollData2324,'2324 Jun 24 Enroll'!D$1,FALSE)='District Calculations'!$B$11,VLOOKUP($A310,EnrollData2324,'2324 Jun 24 Enroll'!D$1,FALSE),'District Calculations'!$B$11)*C310,3)</f>
        <v>0</v>
      </c>
      <c r="E310">
        <f>ROUND(IF(VLOOKUP($A310,EnrollData2324,'2324 Jun 24 Enroll'!E$1,FALSE)='District Calculations'!$B$12,VLOOKUP($A310,EnrollData2324,'2324 Jun 24 Enroll'!E$1,FALSE),'District Calculations'!$B$12)*C310,3)</f>
        <v>59.53</v>
      </c>
      <c r="F310">
        <f>ROUND(IF(VLOOKUP($A310,EnrollData2324,'2324 Jun 24 Enroll'!F$1,FALSE)='District Calculations'!$B$13,VLOOKUP($A310,EnrollData2324,'2324 Jun 24 Enroll'!F$1,FALSE),'District Calculations'!$B$13)*Apport_222A2324,3)</f>
        <v>10.101000000000001</v>
      </c>
      <c r="G310">
        <f>ROUND(IF(VLOOKUP($A310,EnrollData2324,'2324 Jun 24 Enroll'!G$1,FALSE)='District Calculations'!$B$14,VLOOKUP($A310,EnrollData2324,'2324 Jun 24 Enroll'!G$1,FALSE),'District Calculations'!$B$14)*Apport_210A2324,3)</f>
        <v>22.395</v>
      </c>
      <c r="H310">
        <f>ROUND(IF(VLOOKUP($A310,EnrollData2324,'2324 Jun 24 Enroll'!H$1,FALSE)='District Calculations'!$B$15,VLOOKUP($A310,EnrollData2324,'2324 Jun 24 Enroll'!H$1,FALSE),'District Calculations'!$B$15)*Apport_213A2324,3)</f>
        <v>23.091999999999999</v>
      </c>
      <c r="I310">
        <f>ROUND(IF(VLOOKUP($A310,EnrollData2324,'2324 Jun 24 Enroll'!I$1,FALSE)+VLOOKUP($A310,EnrollData2324,'2324 Jun 24 Enroll'!M$1,FALSE)-VLOOKUP($A310,EnrollData2324,'2324 Jun 24 Enroll'!J$1,FALSE)='District Calculations'!$B$16+'District Calculations'!$B$25-'District Calculations'!$B$17,VLOOKUP($A310,EnrollData2324,'2324 Jun 24 Enroll'!I$1,FALSE)+VLOOKUP($A310,EnrollData2324,'2324 Jun 24 Enroll'!M$1,FALSE)-VLOOKUP($A310,EnrollData2324,'2324 Jun 24 Enroll'!J$1,FALSE),'District Calculations'!$B$16+'District Calculations'!$B$25-'District Calculations'!$B$17)*Apport_216A2324,3)</f>
        <v>58.183999999999997</v>
      </c>
      <c r="J310">
        <f>ROUND(SUM(D310:I310)/(IF(VLOOKUP($A310,EnrollData2324,'2324 Jun 24 Enroll'!M$1,FALSE)='District Calculations'!$B$25,VLOOKUP($A310,EnrollData2324,'2324 Jun 24 Enroll'!M$1,FALSE),'District Calculations'!$B$25)+IF(VLOOKUP($A310,EnrollData2324,'2324 Jun 24 Enroll'!D$1,FALSE)='District Calculations'!$B$11,VLOOKUP($A310,EnrollData2324,'2324 Jun 24 Enroll'!D$1,FALSE),'District Calculations'!$B$11)),5)</f>
        <v>5.5530000000000003E-2</v>
      </c>
      <c r="K310" s="11">
        <f t="shared" si="78"/>
        <v>4.365E-3</v>
      </c>
      <c r="L310">
        <f>ROUND(IF(VLOOKUP($A310,EnrollData2324,'2324 Jun 24 Enroll'!D$1,FALSE)='District Calculations'!$B$11,VLOOKUP($A310,EnrollData2324,'2324 Jun 24 Enroll'!D$1,FALSE),'District Calculations'!$B$11)*K310,3)</f>
        <v>0</v>
      </c>
      <c r="M310">
        <f>ROUND(IF(VLOOKUP($A310,EnrollData2324,'2324 Jun 24 Enroll'!E$1,FALSE)='District Calculations'!$B$12,VLOOKUP($A310,EnrollData2324,'2324 Jun 24 Enroll'!E$1,FALSE),'District Calculations'!$B$12)*K310,3)</f>
        <v>3.5379999999999998</v>
      </c>
      <c r="N310">
        <f>ROUND(IF(VLOOKUP($A310,EnrollData2324,'2324 Jun 24 Enroll'!F$1,FALSE)='District Calculations'!$B$13,VLOOKUP($A310,EnrollData2324,'2324 Jun 24 Enroll'!F$1,FALSE),'District Calculations'!$B$13)*Apport_223A2324,3)</f>
        <v>0.84199999999999997</v>
      </c>
      <c r="O310">
        <f>ROUND(IF(VLOOKUP($A310,EnrollData2324,'2324 Jun 24 Enroll'!G$1,FALSE)='District Calculations'!$B$14,VLOOKUP($A310,EnrollData2324,'2324 Jun 24 Enroll'!G$1,FALSE),'District Calculations'!$B$14)*Apport_211A2324,3)</f>
        <v>1.867</v>
      </c>
      <c r="P310">
        <f>ROUND(IF(VLOOKUP($A310,EnrollData2324,'2324 Jun 24 Enroll'!H$1,FALSE)='District Calculations'!$B$14,VLOOKUP($A310,EnrollData2324,'2324 Jun 24 Enroll'!H$1,FALSE),'District Calculations'!$B$14)*Apport_214A2324,3)</f>
        <v>1.8660000000000001</v>
      </c>
      <c r="Q310">
        <f>ROUND(IF(VLOOKUP($A310,EnrollData2324,'2324 Jun 24 Enroll'!I$1,FALSE)+VLOOKUP($A310,EnrollData2324,'2324 Jun 24 Enroll'!M$1,FALSE)-VLOOKUP($A310,EnrollData2324,'2324 Jun 24 Enroll'!J$1,FALSE)='District Calculations'!$B$16+'District Calculations'!$B$25-'District Calculations'!$B$17,VLOOKUP($A310,EnrollData2324,'2324 Jun 24 Enroll'!I$1,FALSE)+VLOOKUP($A310,EnrollData2324,'2324 Jun 24 Enroll'!M$1,FALSE)-VLOOKUP($A310,EnrollData2324,'2324 Jun 24 Enroll'!J$1,FALSE),'District Calculations'!$B$16+'District Calculations'!$B$25-'District Calculations'!$B$17)*Apport_217A2324,3)</f>
        <v>4.6980000000000004</v>
      </c>
      <c r="R310">
        <f>ROUND(SUM(L310:Q310)/IF(VLOOKUP($A310,EnrollData2324,'2324 Jun 24 Enroll'!M$1,FALSE)+VLOOKUP($A310,EnrollData2324,'2324 Jun 24 Enroll'!D$1,FALSE)='District Calculations'!$B$25+'District Calculations'!$B$11,VLOOKUP($A310,EnrollData2324,'2324 Jun 24 Enroll'!M$1,FALSE)+VLOOKUP($A310,EnrollData2324,'2324 Jun 24 Enroll'!D$1,FALSE),'District Calculations'!$B$25+'District Calculations'!$B$11),5)</f>
        <v>4.1000000000000003E-3</v>
      </c>
      <c r="S310" s="11">
        <f t="shared" si="79"/>
        <v>1.8294500000000002E-2</v>
      </c>
      <c r="T310">
        <f>ROUND(IF(VLOOKUP($A310,EnrollData2324,'2324 Jun 24 Enroll'!D$1,FALSE)='District Calculations'!$B$11,VLOOKUP($A310,EnrollData2324,'2324 Jun 24 Enroll'!D$1,FALSE),'District Calculations'!$B$11)*S310,3)</f>
        <v>0</v>
      </c>
      <c r="U310">
        <f>ROUND(IF(VLOOKUP($A310,EnrollData2324,'2324 Jun 24 Enroll'!E$1,FALSE)='District Calculations'!$B$12,VLOOKUP($A310,EnrollData2324,'2324 Jun 24 Enroll'!E$1,FALSE),'District Calculations'!$B$12)*S310,3)</f>
        <v>14.827999999999999</v>
      </c>
      <c r="V310">
        <f>ROUND(IF(VLOOKUP($A310,EnrollData2324,'2324 Jun 24 Enroll'!F$1,FALSE)='District Calculations'!$B$13,VLOOKUP($A310,EnrollData2324,'2324 Jun 24 Enroll'!F$1,FALSE),'District Calculations'!$B$13)*Apport_224A2324,3)</f>
        <v>3.6190000000000002</v>
      </c>
      <c r="W310">
        <f>ROUND(IF(VLOOKUP($A310,EnrollData2324,'2324 Jun 24 Enroll'!G$1,FALSE)='District Calculations'!$B$14,VLOOKUP($A310,EnrollData2324,'2324 Jun 24 Enroll'!G$1,FALSE),'District Calculations'!$B$14)*Apport_212A2324,3)</f>
        <v>8.0239999999999991</v>
      </c>
      <c r="X310">
        <f>ROUND(IF(VLOOKUP($A310,EnrollData2324,'2324 Jun 24 Enroll'!H$1,FALSE)='District Calculations'!$B$14,VLOOKUP($A310,EnrollData2324,'2324 Jun 24 Enroll'!H$1,FALSE),'District Calculations'!$B$14)*Apport_215A2324,3)</f>
        <v>7.9279999999999999</v>
      </c>
      <c r="Y310">
        <f>ROUND(IF(VLOOKUP($A310,EnrollData2324,'2324 Jun 24 Enroll'!I$1,FALSE)+VLOOKUP($A310,EnrollData2324,'2324 Jun 24 Enroll'!M$1,FALSE)-VLOOKUP($A310,EnrollData2324,'2324 Jun 24 Enroll'!J$1,FALSE)='District Calculations'!$B$16+'District Calculations'!$B$25-'District Calculations'!$B$17,VLOOKUP($A310,EnrollData2324,'2324 Jun 24 Enroll'!I$1,FALSE)+VLOOKUP($A310,EnrollData2324,'2324 Jun 24 Enroll'!M$1,FALSE)-VLOOKUP($A310,EnrollData2324,'2324 Jun 24 Enroll'!J$1,FALSE),'District Calculations'!$B$16+'District Calculations'!$B$25-'District Calculations'!$B$17)*Apport_218A2324,3)</f>
        <v>19.917999999999999</v>
      </c>
      <c r="Z310">
        <f>ROUND(SUM(T310:Y310)/IF(VLOOKUP($A310,EnrollData2324,'2324 Jun 24 Enroll'!M$1,FALSE)+VLOOKUP($A310,EnrollData2324,'2324 Jun 24 Enroll'!D$1,FALSE)='District Calculations'!$B$25+'District Calculations'!$B$11,VLOOKUP($A310,EnrollData2324,'2324 Jun 24 Enroll'!M$1,FALSE)+VLOOKUP($A310,EnrollData2324,'2324 Jun 24 Enroll'!D$1,FALSE),'District Calculations'!$B$25+'District Calculations'!$B$11),5)</f>
        <v>1.7399999999999999E-2</v>
      </c>
      <c r="AA310" s="6">
        <f>ROUND($J310*CIS_Base_Salary2324*VLOOKUP($A310,EnrollData2324,'2324 Jun 24 Enroll'!S$1,FALSE),2)</f>
        <v>4038.59</v>
      </c>
      <c r="AB310" s="6">
        <f>ROUND($J310*CIS_Inc_Salary2324*(VLOOKUP($A310,EnrollData2324,'2324 Jun 24 Enroll'!T$1,FALSE)+VLOOKUP($A310,EnrollData2324,'2324 Jun 24 Enroll'!U$1,FALSE)),2)-AA310</f>
        <v>149.43000000000029</v>
      </c>
      <c r="AC310" s="6">
        <f>ROUND($R310*CAS_Base_Salary2324*VLOOKUP($A310,EnrollData2324,'2324 Jun 24 Enroll'!S$1,FALSE),2)</f>
        <v>442.62</v>
      </c>
      <c r="AD310" s="6">
        <f>ROUND($R310*CAS_Inc_Salary2324*VLOOKUP($A310,EnrollData2324,'2324 Jun 24 Enroll'!T$1,FALSE),2)-AC310</f>
        <v>16.379999999999995</v>
      </c>
      <c r="AE310" s="6">
        <f>ROUND($Z310*CLS_Base_Salary2324*VLOOKUP($A310,EnrollData2324,'2324 Jun 24 Enroll'!S$1,FALSE),2)</f>
        <v>907.81</v>
      </c>
      <c r="AF310" s="6">
        <f>ROUND($Z310*CLS_Inc_Salary2324*VLOOKUP($A310,EnrollData2324,'2324 Jun 24 Enroll'!T$1,FALSE),2)-AE310</f>
        <v>33.580000000000041</v>
      </c>
      <c r="AG310">
        <f t="shared" si="76"/>
        <v>734.16</v>
      </c>
      <c r="AH310" s="69">
        <f t="shared" si="80"/>
        <v>68.700000000000045</v>
      </c>
      <c r="AI310">
        <f t="shared" si="77"/>
        <v>214.23</v>
      </c>
      <c r="AJ310">
        <f t="shared" si="81"/>
        <v>114.21000000000001</v>
      </c>
      <c r="AK310">
        <f t="shared" si="82"/>
        <v>805.27</v>
      </c>
      <c r="AL310">
        <f t="shared" si="83"/>
        <v>28.73</v>
      </c>
      <c r="AM310">
        <f t="shared" si="84"/>
        <v>200.26</v>
      </c>
      <c r="AN310">
        <f t="shared" si="85"/>
        <v>6.23</v>
      </c>
      <c r="AO310">
        <f>ROUND(($J310*CIS_Inc_Salary2324*(VLOOKUP($A310,EnrollData2324,'2324 Jun 24 Enroll'!T$1,FALSE)+VLOOKUP($A310,EnrollData2324,'2324 Jun 24 Enroll'!U$1,FALSE))/Apport_613Xpd)*Apport_614Xpd,2)</f>
        <v>69.8</v>
      </c>
      <c r="AP310">
        <f t="shared" si="86"/>
        <v>12.1</v>
      </c>
      <c r="AQ310">
        <f t="shared" si="87"/>
        <v>30.93</v>
      </c>
      <c r="AR310" s="6">
        <f>ROUND((VLOOKUP($A310,EnrollData2324,'2324 Jun 24 Enroll'!D$1,FALSE)*Apport_M802324+VLOOKUP($A310,EnrollData2324,'2324 Jun 24 Enroll'!M$1,FALSE)*Apport_M802324+(VLOOKUP($A310,EnrollData2324,'2324 Jun 24 Enroll'!P$1,FALSE)+VLOOKUP($A310,EnrollData2324,'2324 Jun 24 Enroll'!Q$1,FALSE)+VLOOKUP($A310,EnrollData2324,'2324 Jun 24 Enroll'!R$1,FALSE)+VLOOKUP($A310,EnrollData2324,'2324 Jun 24 Enroll'!I$1,FALSE)+VLOOKUP($A310,EnrollData2324,'2324 Jun 24 Enroll'!N$1,FALSE)+VLOOKUP($A310,EnrollData2324,'2324 Jun 24 Enroll'!O$1,FALSE)+VLOOKUP($A310,EnrollData2324,'2324 Jun 24 Enroll'!K$1,FALSE)+VLOOKUP($A310,EnrollData2324,'2324 Jun 24 Enroll'!L$1,FALSE))*Apport_M812324)/(VLOOKUP($A310,EnrollData2324,'2324 Jun 24 Enroll'!M$1,FALSE)+VLOOKUP($A310,EnrollData2324,'2324 Jun 24 Enroll'!D$1,FALSE)),2)</f>
        <v>1483.44</v>
      </c>
      <c r="AS310" s="7">
        <f t="shared" si="88"/>
        <v>9356.4699999999993</v>
      </c>
    </row>
    <row r="311" spans="1:45">
      <c r="A311" s="40" t="s">
        <v>614</v>
      </c>
      <c r="B311" s="40" t="s">
        <v>615</v>
      </c>
      <c r="C311" s="11">
        <f>ROUND((IFERROR((1/IF(VLOOKUP($A311,EnrollData2324,28,FALSE)='District Calculations'!$B$10,VLOOKUP($A311,EnrollData2324,28,FALSE),'District Calculations'!$B$10))*(1+Apport_Z315),0))+Apport_201A2324,6)</f>
        <v>7.3449E-2</v>
      </c>
      <c r="D311">
        <f>ROUND(IF(VLOOKUP($A311,EnrollData2324,'2324 Jun 24 Enroll'!D$1,FALSE)='District Calculations'!$B$11,VLOOKUP($A311,EnrollData2324,'2324 Jun 24 Enroll'!D$1,FALSE),'District Calculations'!$B$11)*C311,3)</f>
        <v>0</v>
      </c>
      <c r="E311">
        <f>ROUND(IF(VLOOKUP($A311,EnrollData2324,'2324 Jun 24 Enroll'!E$1,FALSE)='District Calculations'!$B$12,VLOOKUP($A311,EnrollData2324,'2324 Jun 24 Enroll'!E$1,FALSE),'District Calculations'!$B$12)*C311,3)</f>
        <v>59.53</v>
      </c>
      <c r="F311">
        <f>ROUND(IF(VLOOKUP($A311,EnrollData2324,'2324 Jun 24 Enroll'!F$1,FALSE)='District Calculations'!$B$13,VLOOKUP($A311,EnrollData2324,'2324 Jun 24 Enroll'!F$1,FALSE),'District Calculations'!$B$13)*Apport_222A2324,3)</f>
        <v>10.101000000000001</v>
      </c>
      <c r="G311">
        <f>ROUND(IF(VLOOKUP($A311,EnrollData2324,'2324 Jun 24 Enroll'!G$1,FALSE)='District Calculations'!$B$14,VLOOKUP($A311,EnrollData2324,'2324 Jun 24 Enroll'!G$1,FALSE),'District Calculations'!$B$14)*Apport_210A2324,3)</f>
        <v>22.395</v>
      </c>
      <c r="H311">
        <f>ROUND(IF(VLOOKUP($A311,EnrollData2324,'2324 Jun 24 Enroll'!H$1,FALSE)='District Calculations'!$B$15,VLOOKUP($A311,EnrollData2324,'2324 Jun 24 Enroll'!H$1,FALSE),'District Calculations'!$B$15)*Apport_213A2324,3)</f>
        <v>23.091999999999999</v>
      </c>
      <c r="I311">
        <f>ROUND(IF(VLOOKUP($A311,EnrollData2324,'2324 Jun 24 Enroll'!I$1,FALSE)+VLOOKUP($A311,EnrollData2324,'2324 Jun 24 Enroll'!M$1,FALSE)-VLOOKUP($A311,EnrollData2324,'2324 Jun 24 Enroll'!J$1,FALSE)='District Calculations'!$B$16+'District Calculations'!$B$25-'District Calculations'!$B$17,VLOOKUP($A311,EnrollData2324,'2324 Jun 24 Enroll'!I$1,FALSE)+VLOOKUP($A311,EnrollData2324,'2324 Jun 24 Enroll'!M$1,FALSE)-VLOOKUP($A311,EnrollData2324,'2324 Jun 24 Enroll'!J$1,FALSE),'District Calculations'!$B$16+'District Calculations'!$B$25-'District Calculations'!$B$17)*Apport_216A2324,3)</f>
        <v>58.183999999999997</v>
      </c>
      <c r="J311">
        <f>ROUND(SUM(D311:I311)/(IF(VLOOKUP($A311,EnrollData2324,'2324 Jun 24 Enroll'!M$1,FALSE)='District Calculations'!$B$25,VLOOKUP($A311,EnrollData2324,'2324 Jun 24 Enroll'!M$1,FALSE),'District Calculations'!$B$25)+IF(VLOOKUP($A311,EnrollData2324,'2324 Jun 24 Enroll'!D$1,FALSE)='District Calculations'!$B$11,VLOOKUP($A311,EnrollData2324,'2324 Jun 24 Enroll'!D$1,FALSE),'District Calculations'!$B$11)),5)</f>
        <v>5.5530000000000003E-2</v>
      </c>
      <c r="K311" s="11">
        <f t="shared" si="78"/>
        <v>4.365E-3</v>
      </c>
      <c r="L311">
        <f>ROUND(IF(VLOOKUP($A311,EnrollData2324,'2324 Jun 24 Enroll'!D$1,FALSE)='District Calculations'!$B$11,VLOOKUP($A311,EnrollData2324,'2324 Jun 24 Enroll'!D$1,FALSE),'District Calculations'!$B$11)*K311,3)</f>
        <v>0</v>
      </c>
      <c r="M311">
        <f>ROUND(IF(VLOOKUP($A311,EnrollData2324,'2324 Jun 24 Enroll'!E$1,FALSE)='District Calculations'!$B$12,VLOOKUP($A311,EnrollData2324,'2324 Jun 24 Enroll'!E$1,FALSE),'District Calculations'!$B$12)*K311,3)</f>
        <v>3.5379999999999998</v>
      </c>
      <c r="N311">
        <f>ROUND(IF(VLOOKUP($A311,EnrollData2324,'2324 Jun 24 Enroll'!F$1,FALSE)='District Calculations'!$B$13,VLOOKUP($A311,EnrollData2324,'2324 Jun 24 Enroll'!F$1,FALSE),'District Calculations'!$B$13)*Apport_223A2324,3)</f>
        <v>0.84199999999999997</v>
      </c>
      <c r="O311">
        <f>ROUND(IF(VLOOKUP($A311,EnrollData2324,'2324 Jun 24 Enroll'!G$1,FALSE)='District Calculations'!$B$14,VLOOKUP($A311,EnrollData2324,'2324 Jun 24 Enroll'!G$1,FALSE),'District Calculations'!$B$14)*Apport_211A2324,3)</f>
        <v>1.867</v>
      </c>
      <c r="P311">
        <f>ROUND(IF(VLOOKUP($A311,EnrollData2324,'2324 Jun 24 Enroll'!H$1,FALSE)='District Calculations'!$B$14,VLOOKUP($A311,EnrollData2324,'2324 Jun 24 Enroll'!H$1,FALSE),'District Calculations'!$B$14)*Apport_214A2324,3)</f>
        <v>1.8660000000000001</v>
      </c>
      <c r="Q311">
        <f>ROUND(IF(VLOOKUP($A311,EnrollData2324,'2324 Jun 24 Enroll'!I$1,FALSE)+VLOOKUP($A311,EnrollData2324,'2324 Jun 24 Enroll'!M$1,FALSE)-VLOOKUP($A311,EnrollData2324,'2324 Jun 24 Enroll'!J$1,FALSE)='District Calculations'!$B$16+'District Calculations'!$B$25-'District Calculations'!$B$17,VLOOKUP($A311,EnrollData2324,'2324 Jun 24 Enroll'!I$1,FALSE)+VLOOKUP($A311,EnrollData2324,'2324 Jun 24 Enroll'!M$1,FALSE)-VLOOKUP($A311,EnrollData2324,'2324 Jun 24 Enroll'!J$1,FALSE),'District Calculations'!$B$16+'District Calculations'!$B$25-'District Calculations'!$B$17)*Apport_217A2324,3)</f>
        <v>4.6980000000000004</v>
      </c>
      <c r="R311">
        <f>ROUND(SUM(L311:Q311)/IF(VLOOKUP($A311,EnrollData2324,'2324 Jun 24 Enroll'!M$1,FALSE)+VLOOKUP($A311,EnrollData2324,'2324 Jun 24 Enroll'!D$1,FALSE)='District Calculations'!$B$25+'District Calculations'!$B$11,VLOOKUP($A311,EnrollData2324,'2324 Jun 24 Enroll'!M$1,FALSE)+VLOOKUP($A311,EnrollData2324,'2324 Jun 24 Enroll'!D$1,FALSE),'District Calculations'!$B$25+'District Calculations'!$B$11),5)</f>
        <v>4.1000000000000003E-3</v>
      </c>
      <c r="S311" s="11">
        <f t="shared" si="79"/>
        <v>1.8294500000000002E-2</v>
      </c>
      <c r="T311">
        <f>ROUND(IF(VLOOKUP($A311,EnrollData2324,'2324 Jun 24 Enroll'!D$1,FALSE)='District Calculations'!$B$11,VLOOKUP($A311,EnrollData2324,'2324 Jun 24 Enroll'!D$1,FALSE),'District Calculations'!$B$11)*S311,3)</f>
        <v>0</v>
      </c>
      <c r="U311">
        <f>ROUND(IF(VLOOKUP($A311,EnrollData2324,'2324 Jun 24 Enroll'!E$1,FALSE)='District Calculations'!$B$12,VLOOKUP($A311,EnrollData2324,'2324 Jun 24 Enroll'!E$1,FALSE),'District Calculations'!$B$12)*S311,3)</f>
        <v>14.827999999999999</v>
      </c>
      <c r="V311">
        <f>ROUND(IF(VLOOKUP($A311,EnrollData2324,'2324 Jun 24 Enroll'!F$1,FALSE)='District Calculations'!$B$13,VLOOKUP($A311,EnrollData2324,'2324 Jun 24 Enroll'!F$1,FALSE),'District Calculations'!$B$13)*Apport_224A2324,3)</f>
        <v>3.6190000000000002</v>
      </c>
      <c r="W311">
        <f>ROUND(IF(VLOOKUP($A311,EnrollData2324,'2324 Jun 24 Enroll'!G$1,FALSE)='District Calculations'!$B$14,VLOOKUP($A311,EnrollData2324,'2324 Jun 24 Enroll'!G$1,FALSE),'District Calculations'!$B$14)*Apport_212A2324,3)</f>
        <v>8.0239999999999991</v>
      </c>
      <c r="X311">
        <f>ROUND(IF(VLOOKUP($A311,EnrollData2324,'2324 Jun 24 Enroll'!H$1,FALSE)='District Calculations'!$B$14,VLOOKUP($A311,EnrollData2324,'2324 Jun 24 Enroll'!H$1,FALSE),'District Calculations'!$B$14)*Apport_215A2324,3)</f>
        <v>7.9279999999999999</v>
      </c>
      <c r="Y311">
        <f>ROUND(IF(VLOOKUP($A311,EnrollData2324,'2324 Jun 24 Enroll'!I$1,FALSE)+VLOOKUP($A311,EnrollData2324,'2324 Jun 24 Enroll'!M$1,FALSE)-VLOOKUP($A311,EnrollData2324,'2324 Jun 24 Enroll'!J$1,FALSE)='District Calculations'!$B$16+'District Calculations'!$B$25-'District Calculations'!$B$17,VLOOKUP($A311,EnrollData2324,'2324 Jun 24 Enroll'!I$1,FALSE)+VLOOKUP($A311,EnrollData2324,'2324 Jun 24 Enroll'!M$1,FALSE)-VLOOKUP($A311,EnrollData2324,'2324 Jun 24 Enroll'!J$1,FALSE),'District Calculations'!$B$16+'District Calculations'!$B$25-'District Calculations'!$B$17)*Apport_218A2324,3)</f>
        <v>19.917999999999999</v>
      </c>
      <c r="Z311">
        <f>ROUND(SUM(T311:Y311)/IF(VLOOKUP($A311,EnrollData2324,'2324 Jun 24 Enroll'!M$1,FALSE)+VLOOKUP($A311,EnrollData2324,'2324 Jun 24 Enroll'!D$1,FALSE)='District Calculations'!$B$25+'District Calculations'!$B$11,VLOOKUP($A311,EnrollData2324,'2324 Jun 24 Enroll'!M$1,FALSE)+VLOOKUP($A311,EnrollData2324,'2324 Jun 24 Enroll'!D$1,FALSE),'District Calculations'!$B$25+'District Calculations'!$B$11),5)</f>
        <v>1.7399999999999999E-2</v>
      </c>
      <c r="AA311" s="6">
        <f>ROUND($J311*CIS_Base_Salary2324*VLOOKUP($A311,EnrollData2324,'2324 Jun 24 Enroll'!S$1,FALSE),2)</f>
        <v>4038.59</v>
      </c>
      <c r="AB311" s="6">
        <f>ROUND($J311*CIS_Inc_Salary2324*(VLOOKUP($A311,EnrollData2324,'2324 Jun 24 Enroll'!T$1,FALSE)+VLOOKUP($A311,EnrollData2324,'2324 Jun 24 Enroll'!U$1,FALSE)),2)-AA311</f>
        <v>149.43000000000029</v>
      </c>
      <c r="AC311" s="6">
        <f>ROUND($R311*CAS_Base_Salary2324*VLOOKUP($A311,EnrollData2324,'2324 Jun 24 Enroll'!S$1,FALSE),2)</f>
        <v>442.62</v>
      </c>
      <c r="AD311" s="6">
        <f>ROUND($R311*CAS_Inc_Salary2324*VLOOKUP($A311,EnrollData2324,'2324 Jun 24 Enroll'!T$1,FALSE),2)-AC311</f>
        <v>16.379999999999995</v>
      </c>
      <c r="AE311" s="6">
        <f>ROUND($Z311*CLS_Base_Salary2324*VLOOKUP($A311,EnrollData2324,'2324 Jun 24 Enroll'!S$1,FALSE),2)</f>
        <v>907.81</v>
      </c>
      <c r="AF311" s="6">
        <f>ROUND($Z311*CLS_Inc_Salary2324*VLOOKUP($A311,EnrollData2324,'2324 Jun 24 Enroll'!T$1,FALSE),2)-AE311</f>
        <v>33.580000000000041</v>
      </c>
      <c r="AG311">
        <f t="shared" si="76"/>
        <v>734.16</v>
      </c>
      <c r="AH311" s="69">
        <f t="shared" si="80"/>
        <v>68.700000000000045</v>
      </c>
      <c r="AI311">
        <f t="shared" si="77"/>
        <v>214.23</v>
      </c>
      <c r="AJ311">
        <f t="shared" si="81"/>
        <v>114.21000000000001</v>
      </c>
      <c r="AK311">
        <f t="shared" si="82"/>
        <v>805.27</v>
      </c>
      <c r="AL311">
        <f t="shared" si="83"/>
        <v>28.73</v>
      </c>
      <c r="AM311">
        <f t="shared" si="84"/>
        <v>200.26</v>
      </c>
      <c r="AN311">
        <f t="shared" si="85"/>
        <v>6.23</v>
      </c>
      <c r="AO311">
        <f>ROUND(($J311*CIS_Inc_Salary2324*(VLOOKUP($A311,EnrollData2324,'2324 Jun 24 Enroll'!T$1,FALSE)+VLOOKUP($A311,EnrollData2324,'2324 Jun 24 Enroll'!U$1,FALSE))/Apport_613Xpd)*Apport_614Xpd,2)</f>
        <v>69.8</v>
      </c>
      <c r="AP311">
        <f t="shared" si="86"/>
        <v>12.1</v>
      </c>
      <c r="AQ311">
        <f t="shared" si="87"/>
        <v>30.93</v>
      </c>
      <c r="AR311" s="6">
        <f>ROUND((VLOOKUP($A311,EnrollData2324,'2324 Jun 24 Enroll'!D$1,FALSE)*Apport_M802324+VLOOKUP($A311,EnrollData2324,'2324 Jun 24 Enroll'!M$1,FALSE)*Apport_M802324+(VLOOKUP($A311,EnrollData2324,'2324 Jun 24 Enroll'!P$1,FALSE)+VLOOKUP($A311,EnrollData2324,'2324 Jun 24 Enroll'!Q$1,FALSE)+VLOOKUP($A311,EnrollData2324,'2324 Jun 24 Enroll'!R$1,FALSE)+VLOOKUP($A311,EnrollData2324,'2324 Jun 24 Enroll'!I$1,FALSE)+VLOOKUP($A311,EnrollData2324,'2324 Jun 24 Enroll'!N$1,FALSE)+VLOOKUP($A311,EnrollData2324,'2324 Jun 24 Enroll'!O$1,FALSE)+VLOOKUP($A311,EnrollData2324,'2324 Jun 24 Enroll'!K$1,FALSE)+VLOOKUP($A311,EnrollData2324,'2324 Jun 24 Enroll'!L$1,FALSE))*Apport_M812324)/(VLOOKUP($A311,EnrollData2324,'2324 Jun 24 Enroll'!M$1,FALSE)+VLOOKUP($A311,EnrollData2324,'2324 Jun 24 Enroll'!D$1,FALSE)),2)</f>
        <v>1547.02</v>
      </c>
      <c r="AS311" s="7">
        <f t="shared" si="88"/>
        <v>9420.0499999999993</v>
      </c>
    </row>
    <row r="312" spans="1:45">
      <c r="A312" s="40" t="s">
        <v>891</v>
      </c>
      <c r="B312" s="40" t="s">
        <v>892</v>
      </c>
      <c r="C312" s="11">
        <f>ROUND((IFERROR((1/IF(VLOOKUP($A312,EnrollData2324,28,FALSE)='District Calculations'!$B$10,VLOOKUP($A312,EnrollData2324,28,FALSE),'District Calculations'!$B$10))*(1+Apport_Z315),0))+Apport_201A2324,6)</f>
        <v>7.3449E-2</v>
      </c>
      <c r="D312">
        <f>ROUND(IF(VLOOKUP($A312,EnrollData2324,'2324 Jun 24 Enroll'!D$1,FALSE)='District Calculations'!$B$11,VLOOKUP($A312,EnrollData2324,'2324 Jun 24 Enroll'!D$1,FALSE),'District Calculations'!$B$11)*C312,3)</f>
        <v>0</v>
      </c>
      <c r="E312">
        <f>ROUND(IF(VLOOKUP($A312,EnrollData2324,'2324 Jun 24 Enroll'!E$1,FALSE)='District Calculations'!$B$12,VLOOKUP($A312,EnrollData2324,'2324 Jun 24 Enroll'!E$1,FALSE),'District Calculations'!$B$12)*C312,3)</f>
        <v>59.53</v>
      </c>
      <c r="F312">
        <f>ROUND(IF(VLOOKUP($A312,EnrollData2324,'2324 Jun 24 Enroll'!F$1,FALSE)='District Calculations'!$B$13,VLOOKUP($A312,EnrollData2324,'2324 Jun 24 Enroll'!F$1,FALSE),'District Calculations'!$B$13)*Apport_222A2324,3)</f>
        <v>10.101000000000001</v>
      </c>
      <c r="G312">
        <f>ROUND(IF(VLOOKUP($A312,EnrollData2324,'2324 Jun 24 Enroll'!G$1,FALSE)='District Calculations'!$B$14,VLOOKUP($A312,EnrollData2324,'2324 Jun 24 Enroll'!G$1,FALSE),'District Calculations'!$B$14)*Apport_210A2324,3)</f>
        <v>22.395</v>
      </c>
      <c r="H312">
        <f>ROUND(IF(VLOOKUP($A312,EnrollData2324,'2324 Jun 24 Enroll'!H$1,FALSE)='District Calculations'!$B$15,VLOOKUP($A312,EnrollData2324,'2324 Jun 24 Enroll'!H$1,FALSE),'District Calculations'!$B$15)*Apport_213A2324,3)</f>
        <v>23.091999999999999</v>
      </c>
      <c r="I312">
        <f>ROUND(IF(VLOOKUP($A312,EnrollData2324,'2324 Jun 24 Enroll'!I$1,FALSE)+VLOOKUP($A312,EnrollData2324,'2324 Jun 24 Enroll'!M$1,FALSE)-VLOOKUP($A312,EnrollData2324,'2324 Jun 24 Enroll'!J$1,FALSE)='District Calculations'!$B$16+'District Calculations'!$B$25-'District Calculations'!$B$17,VLOOKUP($A312,EnrollData2324,'2324 Jun 24 Enroll'!I$1,FALSE)+VLOOKUP($A312,EnrollData2324,'2324 Jun 24 Enroll'!M$1,FALSE)-VLOOKUP($A312,EnrollData2324,'2324 Jun 24 Enroll'!J$1,FALSE),'District Calculations'!$B$16+'District Calculations'!$B$25-'District Calculations'!$B$17)*Apport_216A2324,3)</f>
        <v>58.183999999999997</v>
      </c>
      <c r="J312">
        <f>ROUND(SUM(D312:I312)/(IF(VLOOKUP($A312,EnrollData2324,'2324 Jun 24 Enroll'!M$1,FALSE)='District Calculations'!$B$25,VLOOKUP($A312,EnrollData2324,'2324 Jun 24 Enroll'!M$1,FALSE),'District Calculations'!$B$25)+IF(VLOOKUP($A312,EnrollData2324,'2324 Jun 24 Enroll'!D$1,FALSE)='District Calculations'!$B$11,VLOOKUP($A312,EnrollData2324,'2324 Jun 24 Enroll'!D$1,FALSE),'District Calculations'!$B$11)),5)</f>
        <v>5.5530000000000003E-2</v>
      </c>
      <c r="K312" s="11">
        <f t="shared" si="78"/>
        <v>4.365E-3</v>
      </c>
      <c r="L312">
        <f>ROUND(IF(VLOOKUP($A312,EnrollData2324,'2324 Jun 24 Enroll'!D$1,FALSE)='District Calculations'!$B$11,VLOOKUP($A312,EnrollData2324,'2324 Jun 24 Enroll'!D$1,FALSE),'District Calculations'!$B$11)*K312,3)</f>
        <v>0</v>
      </c>
      <c r="M312">
        <f>ROUND(IF(VLOOKUP($A312,EnrollData2324,'2324 Jun 24 Enroll'!E$1,FALSE)='District Calculations'!$B$12,VLOOKUP($A312,EnrollData2324,'2324 Jun 24 Enroll'!E$1,FALSE),'District Calculations'!$B$12)*K312,3)</f>
        <v>3.5379999999999998</v>
      </c>
      <c r="N312">
        <f>ROUND(IF(VLOOKUP($A312,EnrollData2324,'2324 Jun 24 Enroll'!F$1,FALSE)='District Calculations'!$B$13,VLOOKUP($A312,EnrollData2324,'2324 Jun 24 Enroll'!F$1,FALSE),'District Calculations'!$B$13)*Apport_223A2324,3)</f>
        <v>0.84199999999999997</v>
      </c>
      <c r="O312">
        <f>ROUND(IF(VLOOKUP($A312,EnrollData2324,'2324 Jun 24 Enroll'!G$1,FALSE)='District Calculations'!$B$14,VLOOKUP($A312,EnrollData2324,'2324 Jun 24 Enroll'!G$1,FALSE),'District Calculations'!$B$14)*Apport_211A2324,3)</f>
        <v>1.867</v>
      </c>
      <c r="P312">
        <f>ROUND(IF(VLOOKUP($A312,EnrollData2324,'2324 Jun 24 Enroll'!H$1,FALSE)='District Calculations'!$B$14,VLOOKUP($A312,EnrollData2324,'2324 Jun 24 Enroll'!H$1,FALSE),'District Calculations'!$B$14)*Apport_214A2324,3)</f>
        <v>1.8660000000000001</v>
      </c>
      <c r="Q312">
        <f>ROUND(IF(VLOOKUP($A312,EnrollData2324,'2324 Jun 24 Enroll'!I$1,FALSE)+VLOOKUP($A312,EnrollData2324,'2324 Jun 24 Enroll'!M$1,FALSE)-VLOOKUP($A312,EnrollData2324,'2324 Jun 24 Enroll'!J$1,FALSE)='District Calculations'!$B$16+'District Calculations'!$B$25-'District Calculations'!$B$17,VLOOKUP($A312,EnrollData2324,'2324 Jun 24 Enroll'!I$1,FALSE)+VLOOKUP($A312,EnrollData2324,'2324 Jun 24 Enroll'!M$1,FALSE)-VLOOKUP($A312,EnrollData2324,'2324 Jun 24 Enroll'!J$1,FALSE),'District Calculations'!$B$16+'District Calculations'!$B$25-'District Calculations'!$B$17)*Apport_217A2324,3)</f>
        <v>4.6980000000000004</v>
      </c>
      <c r="R312">
        <f>ROUND(SUM(L312:Q312)/IF(VLOOKUP($A312,EnrollData2324,'2324 Jun 24 Enroll'!M$1,FALSE)+VLOOKUP($A312,EnrollData2324,'2324 Jun 24 Enroll'!D$1,FALSE)='District Calculations'!$B$25+'District Calculations'!$B$11,VLOOKUP($A312,EnrollData2324,'2324 Jun 24 Enroll'!M$1,FALSE)+VLOOKUP($A312,EnrollData2324,'2324 Jun 24 Enroll'!D$1,FALSE),'District Calculations'!$B$25+'District Calculations'!$B$11),5)</f>
        <v>4.1000000000000003E-3</v>
      </c>
      <c r="S312" s="11">
        <f t="shared" si="79"/>
        <v>1.8294500000000002E-2</v>
      </c>
      <c r="T312">
        <f>ROUND(IF(VLOOKUP($A312,EnrollData2324,'2324 Jun 24 Enroll'!D$1,FALSE)='District Calculations'!$B$11,VLOOKUP($A312,EnrollData2324,'2324 Jun 24 Enroll'!D$1,FALSE),'District Calculations'!$B$11)*S312,3)</f>
        <v>0</v>
      </c>
      <c r="U312">
        <f>ROUND(IF(VLOOKUP($A312,EnrollData2324,'2324 Jun 24 Enroll'!E$1,FALSE)='District Calculations'!$B$12,VLOOKUP($A312,EnrollData2324,'2324 Jun 24 Enroll'!E$1,FALSE),'District Calculations'!$B$12)*S312,3)</f>
        <v>14.827999999999999</v>
      </c>
      <c r="V312">
        <f>ROUND(IF(VLOOKUP($A312,EnrollData2324,'2324 Jun 24 Enroll'!F$1,FALSE)='District Calculations'!$B$13,VLOOKUP($A312,EnrollData2324,'2324 Jun 24 Enroll'!F$1,FALSE),'District Calculations'!$B$13)*Apport_224A2324,3)</f>
        <v>3.6190000000000002</v>
      </c>
      <c r="W312">
        <f>ROUND(IF(VLOOKUP($A312,EnrollData2324,'2324 Jun 24 Enroll'!G$1,FALSE)='District Calculations'!$B$14,VLOOKUP($A312,EnrollData2324,'2324 Jun 24 Enroll'!G$1,FALSE),'District Calculations'!$B$14)*Apport_212A2324,3)</f>
        <v>8.0239999999999991</v>
      </c>
      <c r="X312">
        <f>ROUND(IF(VLOOKUP($A312,EnrollData2324,'2324 Jun 24 Enroll'!H$1,FALSE)='District Calculations'!$B$14,VLOOKUP($A312,EnrollData2324,'2324 Jun 24 Enroll'!H$1,FALSE),'District Calculations'!$B$14)*Apport_215A2324,3)</f>
        <v>7.9279999999999999</v>
      </c>
      <c r="Y312">
        <f>ROUND(IF(VLOOKUP($A312,EnrollData2324,'2324 Jun 24 Enroll'!I$1,FALSE)+VLOOKUP($A312,EnrollData2324,'2324 Jun 24 Enroll'!M$1,FALSE)-VLOOKUP($A312,EnrollData2324,'2324 Jun 24 Enroll'!J$1,FALSE)='District Calculations'!$B$16+'District Calculations'!$B$25-'District Calculations'!$B$17,VLOOKUP($A312,EnrollData2324,'2324 Jun 24 Enroll'!I$1,FALSE)+VLOOKUP($A312,EnrollData2324,'2324 Jun 24 Enroll'!M$1,FALSE)-VLOOKUP($A312,EnrollData2324,'2324 Jun 24 Enroll'!J$1,FALSE),'District Calculations'!$B$16+'District Calculations'!$B$25-'District Calculations'!$B$17)*Apport_218A2324,3)</f>
        <v>19.917999999999999</v>
      </c>
      <c r="Z312">
        <f>ROUND(SUM(T312:Y312)/IF(VLOOKUP($A312,EnrollData2324,'2324 Jun 24 Enroll'!M$1,FALSE)+VLOOKUP($A312,EnrollData2324,'2324 Jun 24 Enroll'!D$1,FALSE)='District Calculations'!$B$25+'District Calculations'!$B$11,VLOOKUP($A312,EnrollData2324,'2324 Jun 24 Enroll'!M$1,FALSE)+VLOOKUP($A312,EnrollData2324,'2324 Jun 24 Enroll'!D$1,FALSE),'District Calculations'!$B$25+'District Calculations'!$B$11),5)</f>
        <v>1.7399999999999999E-2</v>
      </c>
      <c r="AA312" s="6">
        <f>ROUND($J312*CIS_Base_Salary2324*VLOOKUP($A312,EnrollData2324,'2324 Jun 24 Enroll'!S$1,FALSE),2)</f>
        <v>4038.59</v>
      </c>
      <c r="AB312" s="6">
        <f>ROUND($J312*CIS_Inc_Salary2324*(VLOOKUP($A312,EnrollData2324,'2324 Jun 24 Enroll'!T$1,FALSE)+VLOOKUP($A312,EnrollData2324,'2324 Jun 24 Enroll'!U$1,FALSE)),2)-AA312</f>
        <v>149.43000000000029</v>
      </c>
      <c r="AC312" s="6">
        <f>ROUND($R312*CAS_Base_Salary2324*VLOOKUP($A312,EnrollData2324,'2324 Jun 24 Enroll'!S$1,FALSE),2)</f>
        <v>442.62</v>
      </c>
      <c r="AD312" s="6">
        <f>ROUND($R312*CAS_Inc_Salary2324*VLOOKUP($A312,EnrollData2324,'2324 Jun 24 Enroll'!T$1,FALSE),2)-AC312</f>
        <v>16.379999999999995</v>
      </c>
      <c r="AE312" s="6">
        <f>ROUND($Z312*CLS_Base_Salary2324*VLOOKUP($A312,EnrollData2324,'2324 Jun 24 Enroll'!S$1,FALSE),2)</f>
        <v>907.81</v>
      </c>
      <c r="AF312" s="6">
        <f>ROUND($Z312*CLS_Inc_Salary2324*VLOOKUP($A312,EnrollData2324,'2324 Jun 24 Enroll'!T$1,FALSE),2)-AE312</f>
        <v>33.580000000000041</v>
      </c>
      <c r="AG312">
        <f t="shared" si="76"/>
        <v>734.16</v>
      </c>
      <c r="AH312" s="69">
        <f t="shared" si="80"/>
        <v>68.700000000000045</v>
      </c>
      <c r="AI312">
        <f t="shared" si="77"/>
        <v>214.23</v>
      </c>
      <c r="AJ312">
        <f t="shared" si="81"/>
        <v>114.21000000000001</v>
      </c>
      <c r="AK312">
        <f t="shared" si="82"/>
        <v>805.27</v>
      </c>
      <c r="AL312">
        <f t="shared" si="83"/>
        <v>28.73</v>
      </c>
      <c r="AM312">
        <f t="shared" si="84"/>
        <v>200.26</v>
      </c>
      <c r="AN312">
        <f t="shared" si="85"/>
        <v>6.23</v>
      </c>
      <c r="AO312">
        <f>ROUND(($J312*CIS_Inc_Salary2324*(VLOOKUP($A312,EnrollData2324,'2324 Jun 24 Enroll'!T$1,FALSE)+VLOOKUP($A312,EnrollData2324,'2324 Jun 24 Enroll'!U$1,FALSE))/Apport_613Xpd)*Apport_614Xpd,2)</f>
        <v>69.8</v>
      </c>
      <c r="AP312">
        <f t="shared" si="86"/>
        <v>12.1</v>
      </c>
      <c r="AQ312">
        <f t="shared" si="87"/>
        <v>30.93</v>
      </c>
      <c r="AR312" s="6">
        <f>ROUND((VLOOKUP($A312,EnrollData2324,'2324 Jun 24 Enroll'!D$1,FALSE)*Apport_M802324+VLOOKUP($A312,EnrollData2324,'2324 Jun 24 Enroll'!M$1,FALSE)*Apport_M802324+(VLOOKUP($A312,EnrollData2324,'2324 Jun 24 Enroll'!P$1,FALSE)+VLOOKUP($A312,EnrollData2324,'2324 Jun 24 Enroll'!Q$1,FALSE)+VLOOKUP($A312,EnrollData2324,'2324 Jun 24 Enroll'!R$1,FALSE)+VLOOKUP($A312,EnrollData2324,'2324 Jun 24 Enroll'!I$1,FALSE)+VLOOKUP($A312,EnrollData2324,'2324 Jun 24 Enroll'!N$1,FALSE)+VLOOKUP($A312,EnrollData2324,'2324 Jun 24 Enroll'!O$1,FALSE)+VLOOKUP($A312,EnrollData2324,'2324 Jun 24 Enroll'!K$1,FALSE)+VLOOKUP($A312,EnrollData2324,'2324 Jun 24 Enroll'!L$1,FALSE))*Apport_M812324)/(VLOOKUP($A312,EnrollData2324,'2324 Jun 24 Enroll'!M$1,FALSE)+VLOOKUP($A312,EnrollData2324,'2324 Jun 24 Enroll'!D$1,FALSE)),2)</f>
        <v>1556.92</v>
      </c>
      <c r="AS312" s="7">
        <f t="shared" si="88"/>
        <v>9429.9500000000007</v>
      </c>
    </row>
    <row r="313" spans="1:45">
      <c r="A313" s="40" t="s">
        <v>436</v>
      </c>
      <c r="B313" s="40" t="s">
        <v>437</v>
      </c>
      <c r="C313" s="11">
        <f>ROUND((IFERROR((1/IF(VLOOKUP($A313,EnrollData2324,28,FALSE)='District Calculations'!$B$10,VLOOKUP($A313,EnrollData2324,28,FALSE),'District Calculations'!$B$10))*(1+Apport_Z315),0))+Apport_201A2324,6)</f>
        <v>7.3449E-2</v>
      </c>
      <c r="D313">
        <f>ROUND(IF(VLOOKUP($A313,EnrollData2324,'2324 Jun 24 Enroll'!D$1,FALSE)='District Calculations'!$B$11,VLOOKUP($A313,EnrollData2324,'2324 Jun 24 Enroll'!D$1,FALSE),'District Calculations'!$B$11)*C313,3)</f>
        <v>0</v>
      </c>
      <c r="E313">
        <f>ROUND(IF(VLOOKUP($A313,EnrollData2324,'2324 Jun 24 Enroll'!E$1,FALSE)='District Calculations'!$B$12,VLOOKUP($A313,EnrollData2324,'2324 Jun 24 Enroll'!E$1,FALSE),'District Calculations'!$B$12)*C313,3)</f>
        <v>59.53</v>
      </c>
      <c r="F313">
        <f>ROUND(IF(VLOOKUP($A313,EnrollData2324,'2324 Jun 24 Enroll'!F$1,FALSE)='District Calculations'!$B$13,VLOOKUP($A313,EnrollData2324,'2324 Jun 24 Enroll'!F$1,FALSE),'District Calculations'!$B$13)*Apport_222A2324,3)</f>
        <v>10.101000000000001</v>
      </c>
      <c r="G313">
        <f>ROUND(IF(VLOOKUP($A313,EnrollData2324,'2324 Jun 24 Enroll'!G$1,FALSE)='District Calculations'!$B$14,VLOOKUP($A313,EnrollData2324,'2324 Jun 24 Enroll'!G$1,FALSE),'District Calculations'!$B$14)*Apport_210A2324,3)</f>
        <v>22.395</v>
      </c>
      <c r="H313">
        <f>ROUND(IF(VLOOKUP($A313,EnrollData2324,'2324 Jun 24 Enroll'!H$1,FALSE)='District Calculations'!$B$15,VLOOKUP($A313,EnrollData2324,'2324 Jun 24 Enroll'!H$1,FALSE),'District Calculations'!$B$15)*Apport_213A2324,3)</f>
        <v>23.091999999999999</v>
      </c>
      <c r="I313">
        <f>ROUND(IF(VLOOKUP($A313,EnrollData2324,'2324 Jun 24 Enroll'!I$1,FALSE)+VLOOKUP($A313,EnrollData2324,'2324 Jun 24 Enroll'!M$1,FALSE)-VLOOKUP($A313,EnrollData2324,'2324 Jun 24 Enroll'!J$1,FALSE)='District Calculations'!$B$16+'District Calculations'!$B$25-'District Calculations'!$B$17,VLOOKUP($A313,EnrollData2324,'2324 Jun 24 Enroll'!I$1,FALSE)+VLOOKUP($A313,EnrollData2324,'2324 Jun 24 Enroll'!M$1,FALSE)-VLOOKUP($A313,EnrollData2324,'2324 Jun 24 Enroll'!J$1,FALSE),'District Calculations'!$B$16+'District Calculations'!$B$25-'District Calculations'!$B$17)*Apport_216A2324,3)</f>
        <v>58.183999999999997</v>
      </c>
      <c r="J313">
        <f>ROUND(SUM(D313:I313)/(IF(VLOOKUP($A313,EnrollData2324,'2324 Jun 24 Enroll'!M$1,FALSE)='District Calculations'!$B$25,VLOOKUP($A313,EnrollData2324,'2324 Jun 24 Enroll'!M$1,FALSE),'District Calculations'!$B$25)+IF(VLOOKUP($A313,EnrollData2324,'2324 Jun 24 Enroll'!D$1,FALSE)='District Calculations'!$B$11,VLOOKUP($A313,EnrollData2324,'2324 Jun 24 Enroll'!D$1,FALSE),'District Calculations'!$B$11)),5)</f>
        <v>5.5530000000000003E-2</v>
      </c>
      <c r="K313" s="11">
        <f t="shared" si="78"/>
        <v>4.365E-3</v>
      </c>
      <c r="L313">
        <f>ROUND(IF(VLOOKUP($A313,EnrollData2324,'2324 Jun 24 Enroll'!D$1,FALSE)='District Calculations'!$B$11,VLOOKUP($A313,EnrollData2324,'2324 Jun 24 Enroll'!D$1,FALSE),'District Calculations'!$B$11)*K313,3)</f>
        <v>0</v>
      </c>
      <c r="M313">
        <f>ROUND(IF(VLOOKUP($A313,EnrollData2324,'2324 Jun 24 Enroll'!E$1,FALSE)='District Calculations'!$B$12,VLOOKUP($A313,EnrollData2324,'2324 Jun 24 Enroll'!E$1,FALSE),'District Calculations'!$B$12)*K313,3)</f>
        <v>3.5379999999999998</v>
      </c>
      <c r="N313">
        <f>ROUND(IF(VLOOKUP($A313,EnrollData2324,'2324 Jun 24 Enroll'!F$1,FALSE)='District Calculations'!$B$13,VLOOKUP($A313,EnrollData2324,'2324 Jun 24 Enroll'!F$1,FALSE),'District Calculations'!$B$13)*Apport_223A2324,3)</f>
        <v>0.84199999999999997</v>
      </c>
      <c r="O313">
        <f>ROUND(IF(VLOOKUP($A313,EnrollData2324,'2324 Jun 24 Enroll'!G$1,FALSE)='District Calculations'!$B$14,VLOOKUP($A313,EnrollData2324,'2324 Jun 24 Enroll'!G$1,FALSE),'District Calculations'!$B$14)*Apport_211A2324,3)</f>
        <v>1.867</v>
      </c>
      <c r="P313">
        <f>ROUND(IF(VLOOKUP($A313,EnrollData2324,'2324 Jun 24 Enroll'!H$1,FALSE)='District Calculations'!$B$14,VLOOKUP($A313,EnrollData2324,'2324 Jun 24 Enroll'!H$1,FALSE),'District Calculations'!$B$14)*Apport_214A2324,3)</f>
        <v>1.8660000000000001</v>
      </c>
      <c r="Q313">
        <f>ROUND(IF(VLOOKUP($A313,EnrollData2324,'2324 Jun 24 Enroll'!I$1,FALSE)+VLOOKUP($A313,EnrollData2324,'2324 Jun 24 Enroll'!M$1,FALSE)-VLOOKUP($A313,EnrollData2324,'2324 Jun 24 Enroll'!J$1,FALSE)='District Calculations'!$B$16+'District Calculations'!$B$25-'District Calculations'!$B$17,VLOOKUP($A313,EnrollData2324,'2324 Jun 24 Enroll'!I$1,FALSE)+VLOOKUP($A313,EnrollData2324,'2324 Jun 24 Enroll'!M$1,FALSE)-VLOOKUP($A313,EnrollData2324,'2324 Jun 24 Enroll'!J$1,FALSE),'District Calculations'!$B$16+'District Calculations'!$B$25-'District Calculations'!$B$17)*Apport_217A2324,3)</f>
        <v>4.6980000000000004</v>
      </c>
      <c r="R313">
        <f>ROUND(SUM(L313:Q313)/IF(VLOOKUP($A313,EnrollData2324,'2324 Jun 24 Enroll'!M$1,FALSE)+VLOOKUP($A313,EnrollData2324,'2324 Jun 24 Enroll'!D$1,FALSE)='District Calculations'!$B$25+'District Calculations'!$B$11,VLOOKUP($A313,EnrollData2324,'2324 Jun 24 Enroll'!M$1,FALSE)+VLOOKUP($A313,EnrollData2324,'2324 Jun 24 Enroll'!D$1,FALSE),'District Calculations'!$B$25+'District Calculations'!$B$11),5)</f>
        <v>4.1000000000000003E-3</v>
      </c>
      <c r="S313" s="11">
        <f t="shared" si="79"/>
        <v>1.8294500000000002E-2</v>
      </c>
      <c r="T313">
        <f>ROUND(IF(VLOOKUP($A313,EnrollData2324,'2324 Jun 24 Enroll'!D$1,FALSE)='District Calculations'!$B$11,VLOOKUP($A313,EnrollData2324,'2324 Jun 24 Enroll'!D$1,FALSE),'District Calculations'!$B$11)*S313,3)</f>
        <v>0</v>
      </c>
      <c r="U313">
        <f>ROUND(IF(VLOOKUP($A313,EnrollData2324,'2324 Jun 24 Enroll'!E$1,FALSE)='District Calculations'!$B$12,VLOOKUP($A313,EnrollData2324,'2324 Jun 24 Enroll'!E$1,FALSE),'District Calculations'!$B$12)*S313,3)</f>
        <v>14.827999999999999</v>
      </c>
      <c r="V313">
        <f>ROUND(IF(VLOOKUP($A313,EnrollData2324,'2324 Jun 24 Enroll'!F$1,FALSE)='District Calculations'!$B$13,VLOOKUP($A313,EnrollData2324,'2324 Jun 24 Enroll'!F$1,FALSE),'District Calculations'!$B$13)*Apport_224A2324,3)</f>
        <v>3.6190000000000002</v>
      </c>
      <c r="W313">
        <f>ROUND(IF(VLOOKUP($A313,EnrollData2324,'2324 Jun 24 Enroll'!G$1,FALSE)='District Calculations'!$B$14,VLOOKUP($A313,EnrollData2324,'2324 Jun 24 Enroll'!G$1,FALSE),'District Calculations'!$B$14)*Apport_212A2324,3)</f>
        <v>8.0239999999999991</v>
      </c>
      <c r="X313">
        <f>ROUND(IF(VLOOKUP($A313,EnrollData2324,'2324 Jun 24 Enroll'!H$1,FALSE)='District Calculations'!$B$14,VLOOKUP($A313,EnrollData2324,'2324 Jun 24 Enroll'!H$1,FALSE),'District Calculations'!$B$14)*Apport_215A2324,3)</f>
        <v>7.9279999999999999</v>
      </c>
      <c r="Y313">
        <f>ROUND(IF(VLOOKUP($A313,EnrollData2324,'2324 Jun 24 Enroll'!I$1,FALSE)+VLOOKUP($A313,EnrollData2324,'2324 Jun 24 Enroll'!M$1,FALSE)-VLOOKUP($A313,EnrollData2324,'2324 Jun 24 Enroll'!J$1,FALSE)='District Calculations'!$B$16+'District Calculations'!$B$25-'District Calculations'!$B$17,VLOOKUP($A313,EnrollData2324,'2324 Jun 24 Enroll'!I$1,FALSE)+VLOOKUP($A313,EnrollData2324,'2324 Jun 24 Enroll'!M$1,FALSE)-VLOOKUP($A313,EnrollData2324,'2324 Jun 24 Enroll'!J$1,FALSE),'District Calculations'!$B$16+'District Calculations'!$B$25-'District Calculations'!$B$17)*Apport_218A2324,3)</f>
        <v>19.917999999999999</v>
      </c>
      <c r="Z313">
        <f>ROUND(SUM(T313:Y313)/IF(VLOOKUP($A313,EnrollData2324,'2324 Jun 24 Enroll'!M$1,FALSE)+VLOOKUP($A313,EnrollData2324,'2324 Jun 24 Enroll'!D$1,FALSE)='District Calculations'!$B$25+'District Calculations'!$B$11,VLOOKUP($A313,EnrollData2324,'2324 Jun 24 Enroll'!M$1,FALSE)+VLOOKUP($A313,EnrollData2324,'2324 Jun 24 Enroll'!D$1,FALSE),'District Calculations'!$B$25+'District Calculations'!$B$11),5)</f>
        <v>1.7399999999999999E-2</v>
      </c>
      <c r="AA313" s="6">
        <f>ROUND($J313*CIS_Base_Salary2324*VLOOKUP($A313,EnrollData2324,'2324 Jun 24 Enroll'!S$1,FALSE),2)</f>
        <v>4038.59</v>
      </c>
      <c r="AB313" s="6">
        <f>ROUND($J313*CIS_Inc_Salary2324*(VLOOKUP($A313,EnrollData2324,'2324 Jun 24 Enroll'!T$1,FALSE)+VLOOKUP($A313,EnrollData2324,'2324 Jun 24 Enroll'!U$1,FALSE)),2)-AA313</f>
        <v>149.43000000000029</v>
      </c>
      <c r="AC313" s="6">
        <f>ROUND($R313*CAS_Base_Salary2324*VLOOKUP($A313,EnrollData2324,'2324 Jun 24 Enroll'!S$1,FALSE),2)</f>
        <v>442.62</v>
      </c>
      <c r="AD313" s="6">
        <f>ROUND($R313*CAS_Inc_Salary2324*VLOOKUP($A313,EnrollData2324,'2324 Jun 24 Enroll'!T$1,FALSE),2)-AC313</f>
        <v>16.379999999999995</v>
      </c>
      <c r="AE313" s="6">
        <f>ROUND($Z313*CLS_Base_Salary2324*VLOOKUP($A313,EnrollData2324,'2324 Jun 24 Enroll'!S$1,FALSE),2)</f>
        <v>907.81</v>
      </c>
      <c r="AF313" s="6">
        <f>ROUND($Z313*CLS_Inc_Salary2324*VLOOKUP($A313,EnrollData2324,'2324 Jun 24 Enroll'!T$1,FALSE),2)-AE313</f>
        <v>33.580000000000041</v>
      </c>
      <c r="AG313">
        <f t="shared" si="76"/>
        <v>734.16</v>
      </c>
      <c r="AH313" s="69">
        <f t="shared" si="80"/>
        <v>68.700000000000045</v>
      </c>
      <c r="AI313">
        <f t="shared" si="77"/>
        <v>214.23</v>
      </c>
      <c r="AJ313">
        <f t="shared" si="81"/>
        <v>114.21000000000001</v>
      </c>
      <c r="AK313">
        <f t="shared" si="82"/>
        <v>805.27</v>
      </c>
      <c r="AL313">
        <f t="shared" si="83"/>
        <v>28.73</v>
      </c>
      <c r="AM313">
        <f t="shared" si="84"/>
        <v>200.26</v>
      </c>
      <c r="AN313">
        <f t="shared" si="85"/>
        <v>6.23</v>
      </c>
      <c r="AO313">
        <f>ROUND(($J313*CIS_Inc_Salary2324*(VLOOKUP($A313,EnrollData2324,'2324 Jun 24 Enroll'!T$1,FALSE)+VLOOKUP($A313,EnrollData2324,'2324 Jun 24 Enroll'!U$1,FALSE))/Apport_613Xpd)*Apport_614Xpd,2)</f>
        <v>69.8</v>
      </c>
      <c r="AP313">
        <f t="shared" si="86"/>
        <v>12.1</v>
      </c>
      <c r="AQ313">
        <f t="shared" si="87"/>
        <v>30.93</v>
      </c>
      <c r="AR313" s="6">
        <f>ROUND((VLOOKUP($A313,EnrollData2324,'2324 Jun 24 Enroll'!D$1,FALSE)*Apport_M802324+VLOOKUP($A313,EnrollData2324,'2324 Jun 24 Enroll'!M$1,FALSE)*Apport_M802324+(VLOOKUP($A313,EnrollData2324,'2324 Jun 24 Enroll'!P$1,FALSE)+VLOOKUP($A313,EnrollData2324,'2324 Jun 24 Enroll'!Q$1,FALSE)+VLOOKUP($A313,EnrollData2324,'2324 Jun 24 Enroll'!R$1,FALSE)+VLOOKUP($A313,EnrollData2324,'2324 Jun 24 Enroll'!I$1,FALSE)+VLOOKUP($A313,EnrollData2324,'2324 Jun 24 Enroll'!N$1,FALSE)+VLOOKUP($A313,EnrollData2324,'2324 Jun 24 Enroll'!O$1,FALSE)+VLOOKUP($A313,EnrollData2324,'2324 Jun 24 Enroll'!K$1,FALSE)+VLOOKUP($A313,EnrollData2324,'2324 Jun 24 Enroll'!L$1,FALSE))*Apport_M812324)/(VLOOKUP($A313,EnrollData2324,'2324 Jun 24 Enroll'!M$1,FALSE)+VLOOKUP($A313,EnrollData2324,'2324 Jun 24 Enroll'!D$1,FALSE)),2)</f>
        <v>1545.36</v>
      </c>
      <c r="AS313" s="7">
        <f t="shared" si="88"/>
        <v>9418.39</v>
      </c>
    </row>
    <row r="314" spans="1:45">
      <c r="A314" s="40" t="s">
        <v>751</v>
      </c>
      <c r="B314" s="40" t="s">
        <v>752</v>
      </c>
      <c r="C314" s="11">
        <f>ROUND((IFERROR((1/IF(VLOOKUP($A314,EnrollData2324,28,FALSE)='District Calculations'!$B$10,VLOOKUP($A314,EnrollData2324,28,FALSE),'District Calculations'!$B$10))*(1+Apport_Z315),0))+Apport_201A2324,6)</f>
        <v>7.3449E-2</v>
      </c>
      <c r="D314">
        <f>ROUND(IF(VLOOKUP($A314,EnrollData2324,'2324 Jun 24 Enroll'!D$1,FALSE)='District Calculations'!$B$11,VLOOKUP($A314,EnrollData2324,'2324 Jun 24 Enroll'!D$1,FALSE),'District Calculations'!$B$11)*C314,3)</f>
        <v>0</v>
      </c>
      <c r="E314">
        <f>ROUND(IF(VLOOKUP($A314,EnrollData2324,'2324 Jun 24 Enroll'!E$1,FALSE)='District Calculations'!$B$12,VLOOKUP($A314,EnrollData2324,'2324 Jun 24 Enroll'!E$1,FALSE),'District Calculations'!$B$12)*C314,3)</f>
        <v>59.53</v>
      </c>
      <c r="F314">
        <f>ROUND(IF(VLOOKUP($A314,EnrollData2324,'2324 Jun 24 Enroll'!F$1,FALSE)='District Calculations'!$B$13,VLOOKUP($A314,EnrollData2324,'2324 Jun 24 Enroll'!F$1,FALSE),'District Calculations'!$B$13)*Apport_222A2324,3)</f>
        <v>10.101000000000001</v>
      </c>
      <c r="G314">
        <f>ROUND(IF(VLOOKUP($A314,EnrollData2324,'2324 Jun 24 Enroll'!G$1,FALSE)='District Calculations'!$B$14,VLOOKUP($A314,EnrollData2324,'2324 Jun 24 Enroll'!G$1,FALSE),'District Calculations'!$B$14)*Apport_210A2324,3)</f>
        <v>22.395</v>
      </c>
      <c r="H314">
        <f>ROUND(IF(VLOOKUP($A314,EnrollData2324,'2324 Jun 24 Enroll'!H$1,FALSE)='District Calculations'!$B$15,VLOOKUP($A314,EnrollData2324,'2324 Jun 24 Enroll'!H$1,FALSE),'District Calculations'!$B$15)*Apport_213A2324,3)</f>
        <v>23.091999999999999</v>
      </c>
      <c r="I314">
        <f>ROUND(IF(VLOOKUP($A314,EnrollData2324,'2324 Jun 24 Enroll'!I$1,FALSE)+VLOOKUP($A314,EnrollData2324,'2324 Jun 24 Enroll'!M$1,FALSE)-VLOOKUP($A314,EnrollData2324,'2324 Jun 24 Enroll'!J$1,FALSE)='District Calculations'!$B$16+'District Calculations'!$B$25-'District Calculations'!$B$17,VLOOKUP($A314,EnrollData2324,'2324 Jun 24 Enroll'!I$1,FALSE)+VLOOKUP($A314,EnrollData2324,'2324 Jun 24 Enroll'!M$1,FALSE)-VLOOKUP($A314,EnrollData2324,'2324 Jun 24 Enroll'!J$1,FALSE),'District Calculations'!$B$16+'District Calculations'!$B$25-'District Calculations'!$B$17)*Apport_216A2324,3)</f>
        <v>58.183999999999997</v>
      </c>
      <c r="J314">
        <f>ROUND(SUM(D314:I314)/(IF(VLOOKUP($A314,EnrollData2324,'2324 Jun 24 Enroll'!M$1,FALSE)='District Calculations'!$B$25,VLOOKUP($A314,EnrollData2324,'2324 Jun 24 Enroll'!M$1,FALSE),'District Calculations'!$B$25)+IF(VLOOKUP($A314,EnrollData2324,'2324 Jun 24 Enroll'!D$1,FALSE)='District Calculations'!$B$11,VLOOKUP($A314,EnrollData2324,'2324 Jun 24 Enroll'!D$1,FALSE),'District Calculations'!$B$11)),5)</f>
        <v>5.5530000000000003E-2</v>
      </c>
      <c r="K314" s="11">
        <f t="shared" si="78"/>
        <v>4.365E-3</v>
      </c>
      <c r="L314">
        <f>ROUND(IF(VLOOKUP($A314,EnrollData2324,'2324 Jun 24 Enroll'!D$1,FALSE)='District Calculations'!$B$11,VLOOKUP($A314,EnrollData2324,'2324 Jun 24 Enroll'!D$1,FALSE),'District Calculations'!$B$11)*K314,3)</f>
        <v>0</v>
      </c>
      <c r="M314">
        <f>ROUND(IF(VLOOKUP($A314,EnrollData2324,'2324 Jun 24 Enroll'!E$1,FALSE)='District Calculations'!$B$12,VLOOKUP($A314,EnrollData2324,'2324 Jun 24 Enroll'!E$1,FALSE),'District Calculations'!$B$12)*K314,3)</f>
        <v>3.5379999999999998</v>
      </c>
      <c r="N314">
        <f>ROUND(IF(VLOOKUP($A314,EnrollData2324,'2324 Jun 24 Enroll'!F$1,FALSE)='District Calculations'!$B$13,VLOOKUP($A314,EnrollData2324,'2324 Jun 24 Enroll'!F$1,FALSE),'District Calculations'!$B$13)*Apport_223A2324,3)</f>
        <v>0.84199999999999997</v>
      </c>
      <c r="O314">
        <f>ROUND(IF(VLOOKUP($A314,EnrollData2324,'2324 Jun 24 Enroll'!G$1,FALSE)='District Calculations'!$B$14,VLOOKUP($A314,EnrollData2324,'2324 Jun 24 Enroll'!G$1,FALSE),'District Calculations'!$B$14)*Apport_211A2324,3)</f>
        <v>1.867</v>
      </c>
      <c r="P314">
        <f>ROUND(IF(VLOOKUP($A314,EnrollData2324,'2324 Jun 24 Enroll'!H$1,FALSE)='District Calculations'!$B$14,VLOOKUP($A314,EnrollData2324,'2324 Jun 24 Enroll'!H$1,FALSE),'District Calculations'!$B$14)*Apport_214A2324,3)</f>
        <v>1.8660000000000001</v>
      </c>
      <c r="Q314">
        <f>ROUND(IF(VLOOKUP($A314,EnrollData2324,'2324 Jun 24 Enroll'!I$1,FALSE)+VLOOKUP($A314,EnrollData2324,'2324 Jun 24 Enroll'!M$1,FALSE)-VLOOKUP($A314,EnrollData2324,'2324 Jun 24 Enroll'!J$1,FALSE)='District Calculations'!$B$16+'District Calculations'!$B$25-'District Calculations'!$B$17,VLOOKUP($A314,EnrollData2324,'2324 Jun 24 Enroll'!I$1,FALSE)+VLOOKUP($A314,EnrollData2324,'2324 Jun 24 Enroll'!M$1,FALSE)-VLOOKUP($A314,EnrollData2324,'2324 Jun 24 Enroll'!J$1,FALSE),'District Calculations'!$B$16+'District Calculations'!$B$25-'District Calculations'!$B$17)*Apport_217A2324,3)</f>
        <v>4.6980000000000004</v>
      </c>
      <c r="R314">
        <f>ROUND(SUM(L314:Q314)/IF(VLOOKUP($A314,EnrollData2324,'2324 Jun 24 Enroll'!M$1,FALSE)+VLOOKUP($A314,EnrollData2324,'2324 Jun 24 Enroll'!D$1,FALSE)='District Calculations'!$B$25+'District Calculations'!$B$11,VLOOKUP($A314,EnrollData2324,'2324 Jun 24 Enroll'!M$1,FALSE)+VLOOKUP($A314,EnrollData2324,'2324 Jun 24 Enroll'!D$1,FALSE),'District Calculations'!$B$25+'District Calculations'!$B$11),5)</f>
        <v>4.1000000000000003E-3</v>
      </c>
      <c r="S314" s="11">
        <f t="shared" si="79"/>
        <v>1.8294500000000002E-2</v>
      </c>
      <c r="T314">
        <f>ROUND(IF(VLOOKUP($A314,EnrollData2324,'2324 Jun 24 Enroll'!D$1,FALSE)='District Calculations'!$B$11,VLOOKUP($A314,EnrollData2324,'2324 Jun 24 Enroll'!D$1,FALSE),'District Calculations'!$B$11)*S314,3)</f>
        <v>0</v>
      </c>
      <c r="U314">
        <f>ROUND(IF(VLOOKUP($A314,EnrollData2324,'2324 Jun 24 Enroll'!E$1,FALSE)='District Calculations'!$B$12,VLOOKUP($A314,EnrollData2324,'2324 Jun 24 Enroll'!E$1,FALSE),'District Calculations'!$B$12)*S314,3)</f>
        <v>14.827999999999999</v>
      </c>
      <c r="V314">
        <f>ROUND(IF(VLOOKUP($A314,EnrollData2324,'2324 Jun 24 Enroll'!F$1,FALSE)='District Calculations'!$B$13,VLOOKUP($A314,EnrollData2324,'2324 Jun 24 Enroll'!F$1,FALSE),'District Calculations'!$B$13)*Apport_224A2324,3)</f>
        <v>3.6190000000000002</v>
      </c>
      <c r="W314">
        <f>ROUND(IF(VLOOKUP($A314,EnrollData2324,'2324 Jun 24 Enroll'!G$1,FALSE)='District Calculations'!$B$14,VLOOKUP($A314,EnrollData2324,'2324 Jun 24 Enroll'!G$1,FALSE),'District Calculations'!$B$14)*Apport_212A2324,3)</f>
        <v>8.0239999999999991</v>
      </c>
      <c r="X314">
        <f>ROUND(IF(VLOOKUP($A314,EnrollData2324,'2324 Jun 24 Enroll'!H$1,FALSE)='District Calculations'!$B$14,VLOOKUP($A314,EnrollData2324,'2324 Jun 24 Enroll'!H$1,FALSE),'District Calculations'!$B$14)*Apport_215A2324,3)</f>
        <v>7.9279999999999999</v>
      </c>
      <c r="Y314">
        <f>ROUND(IF(VLOOKUP($A314,EnrollData2324,'2324 Jun 24 Enroll'!I$1,FALSE)+VLOOKUP($A314,EnrollData2324,'2324 Jun 24 Enroll'!M$1,FALSE)-VLOOKUP($A314,EnrollData2324,'2324 Jun 24 Enroll'!J$1,FALSE)='District Calculations'!$B$16+'District Calculations'!$B$25-'District Calculations'!$B$17,VLOOKUP($A314,EnrollData2324,'2324 Jun 24 Enroll'!I$1,FALSE)+VLOOKUP($A314,EnrollData2324,'2324 Jun 24 Enroll'!M$1,FALSE)-VLOOKUP($A314,EnrollData2324,'2324 Jun 24 Enroll'!J$1,FALSE),'District Calculations'!$B$16+'District Calculations'!$B$25-'District Calculations'!$B$17)*Apport_218A2324,3)</f>
        <v>19.917999999999999</v>
      </c>
      <c r="Z314">
        <f>ROUND(SUM(T314:Y314)/IF(VLOOKUP($A314,EnrollData2324,'2324 Jun 24 Enroll'!M$1,FALSE)+VLOOKUP($A314,EnrollData2324,'2324 Jun 24 Enroll'!D$1,FALSE)='District Calculations'!$B$25+'District Calculations'!$B$11,VLOOKUP($A314,EnrollData2324,'2324 Jun 24 Enroll'!M$1,FALSE)+VLOOKUP($A314,EnrollData2324,'2324 Jun 24 Enroll'!D$1,FALSE),'District Calculations'!$B$25+'District Calculations'!$B$11),5)</f>
        <v>1.7399999999999999E-2</v>
      </c>
      <c r="AA314" s="6">
        <f>ROUND($J314*CIS_Base_Salary2324*VLOOKUP($A314,EnrollData2324,'2324 Jun 24 Enroll'!S$1,FALSE),2)</f>
        <v>4038.59</v>
      </c>
      <c r="AB314" s="6">
        <f>ROUND($J314*CIS_Inc_Salary2324*(VLOOKUP($A314,EnrollData2324,'2324 Jun 24 Enroll'!T$1,FALSE)+VLOOKUP($A314,EnrollData2324,'2324 Jun 24 Enroll'!U$1,FALSE)),2)-AA314</f>
        <v>149.43000000000029</v>
      </c>
      <c r="AC314" s="6">
        <f>ROUND($R314*CAS_Base_Salary2324*VLOOKUP($A314,EnrollData2324,'2324 Jun 24 Enroll'!S$1,FALSE),2)</f>
        <v>442.62</v>
      </c>
      <c r="AD314" s="6">
        <f>ROUND($R314*CAS_Inc_Salary2324*VLOOKUP($A314,EnrollData2324,'2324 Jun 24 Enroll'!T$1,FALSE),2)-AC314</f>
        <v>16.379999999999995</v>
      </c>
      <c r="AE314" s="6">
        <f>ROUND($Z314*CLS_Base_Salary2324*VLOOKUP($A314,EnrollData2324,'2324 Jun 24 Enroll'!S$1,FALSE),2)</f>
        <v>907.81</v>
      </c>
      <c r="AF314" s="6">
        <f>ROUND($Z314*CLS_Inc_Salary2324*VLOOKUP($A314,EnrollData2324,'2324 Jun 24 Enroll'!T$1,FALSE),2)-AE314</f>
        <v>33.580000000000041</v>
      </c>
      <c r="AG314">
        <f t="shared" si="76"/>
        <v>734.16</v>
      </c>
      <c r="AH314" s="69">
        <f t="shared" si="80"/>
        <v>68.700000000000045</v>
      </c>
      <c r="AI314">
        <f t="shared" si="77"/>
        <v>214.23</v>
      </c>
      <c r="AJ314">
        <f t="shared" si="81"/>
        <v>114.21000000000001</v>
      </c>
      <c r="AK314">
        <f t="shared" si="82"/>
        <v>805.27</v>
      </c>
      <c r="AL314">
        <f t="shared" si="83"/>
        <v>28.73</v>
      </c>
      <c r="AM314">
        <f t="shared" si="84"/>
        <v>200.26</v>
      </c>
      <c r="AN314">
        <f t="shared" si="85"/>
        <v>6.23</v>
      </c>
      <c r="AO314">
        <f>ROUND(($J314*CIS_Inc_Salary2324*(VLOOKUP($A314,EnrollData2324,'2324 Jun 24 Enroll'!T$1,FALSE)+VLOOKUP($A314,EnrollData2324,'2324 Jun 24 Enroll'!U$1,FALSE))/Apport_613Xpd)*Apport_614Xpd,2)</f>
        <v>69.8</v>
      </c>
      <c r="AP314">
        <f t="shared" si="86"/>
        <v>12.1</v>
      </c>
      <c r="AQ314">
        <f t="shared" si="87"/>
        <v>30.93</v>
      </c>
      <c r="AR314" s="6">
        <f>ROUND((VLOOKUP($A314,EnrollData2324,'2324 Jun 24 Enroll'!D$1,FALSE)*Apport_M802324+VLOOKUP($A314,EnrollData2324,'2324 Jun 24 Enroll'!M$1,FALSE)*Apport_M802324+(VLOOKUP($A314,EnrollData2324,'2324 Jun 24 Enroll'!P$1,FALSE)+VLOOKUP($A314,EnrollData2324,'2324 Jun 24 Enroll'!Q$1,FALSE)+VLOOKUP($A314,EnrollData2324,'2324 Jun 24 Enroll'!R$1,FALSE)+VLOOKUP($A314,EnrollData2324,'2324 Jun 24 Enroll'!I$1,FALSE)+VLOOKUP($A314,EnrollData2324,'2324 Jun 24 Enroll'!N$1,FALSE)+VLOOKUP($A314,EnrollData2324,'2324 Jun 24 Enroll'!O$1,FALSE)+VLOOKUP($A314,EnrollData2324,'2324 Jun 24 Enroll'!K$1,FALSE)+VLOOKUP($A314,EnrollData2324,'2324 Jun 24 Enroll'!L$1,FALSE))*Apport_M812324)/(VLOOKUP($A314,EnrollData2324,'2324 Jun 24 Enroll'!M$1,FALSE)+VLOOKUP($A314,EnrollData2324,'2324 Jun 24 Enroll'!D$1,FALSE)),2)</f>
        <v>1548.22</v>
      </c>
      <c r="AS314" s="7">
        <f t="shared" si="88"/>
        <v>9421.25</v>
      </c>
    </row>
    <row r="315" spans="1:45">
      <c r="A315" s="40" t="s">
        <v>568</v>
      </c>
      <c r="B315" s="40" t="s">
        <v>569</v>
      </c>
      <c r="C315" s="11">
        <f>ROUND((IFERROR((1/IF(VLOOKUP($A315,EnrollData2324,28,FALSE)='District Calculations'!$B$10,VLOOKUP($A315,EnrollData2324,28,FALSE),'District Calculations'!$B$10))*(1+Apport_Z315),0))+Apport_201A2324,6)</f>
        <v>7.3449E-2</v>
      </c>
      <c r="D315">
        <f>ROUND(IF(VLOOKUP($A315,EnrollData2324,'2324 Jun 24 Enroll'!D$1,FALSE)='District Calculations'!$B$11,VLOOKUP($A315,EnrollData2324,'2324 Jun 24 Enroll'!D$1,FALSE),'District Calculations'!$B$11)*C315,3)</f>
        <v>0</v>
      </c>
      <c r="E315">
        <f>ROUND(IF(VLOOKUP($A315,EnrollData2324,'2324 Jun 24 Enroll'!E$1,FALSE)='District Calculations'!$B$12,VLOOKUP($A315,EnrollData2324,'2324 Jun 24 Enroll'!E$1,FALSE),'District Calculations'!$B$12)*C315,3)</f>
        <v>59.53</v>
      </c>
      <c r="F315">
        <f>ROUND(IF(VLOOKUP($A315,EnrollData2324,'2324 Jun 24 Enroll'!F$1,FALSE)='District Calculations'!$B$13,VLOOKUP($A315,EnrollData2324,'2324 Jun 24 Enroll'!F$1,FALSE),'District Calculations'!$B$13)*Apport_222A2324,3)</f>
        <v>10.101000000000001</v>
      </c>
      <c r="G315">
        <f>ROUND(IF(VLOOKUP($A315,EnrollData2324,'2324 Jun 24 Enroll'!G$1,FALSE)='District Calculations'!$B$14,VLOOKUP($A315,EnrollData2324,'2324 Jun 24 Enroll'!G$1,FALSE),'District Calculations'!$B$14)*Apport_210A2324,3)</f>
        <v>22.395</v>
      </c>
      <c r="H315">
        <f>ROUND(IF(VLOOKUP($A315,EnrollData2324,'2324 Jun 24 Enroll'!H$1,FALSE)='District Calculations'!$B$15,VLOOKUP($A315,EnrollData2324,'2324 Jun 24 Enroll'!H$1,FALSE),'District Calculations'!$B$15)*Apport_213A2324,3)</f>
        <v>23.091999999999999</v>
      </c>
      <c r="I315">
        <f>ROUND(IF(VLOOKUP($A315,EnrollData2324,'2324 Jun 24 Enroll'!I$1,FALSE)+VLOOKUP($A315,EnrollData2324,'2324 Jun 24 Enroll'!M$1,FALSE)-VLOOKUP($A315,EnrollData2324,'2324 Jun 24 Enroll'!J$1,FALSE)='District Calculations'!$B$16+'District Calculations'!$B$25-'District Calculations'!$B$17,VLOOKUP($A315,EnrollData2324,'2324 Jun 24 Enroll'!I$1,FALSE)+VLOOKUP($A315,EnrollData2324,'2324 Jun 24 Enroll'!M$1,FALSE)-VLOOKUP($A315,EnrollData2324,'2324 Jun 24 Enroll'!J$1,FALSE),'District Calculations'!$B$16+'District Calculations'!$B$25-'District Calculations'!$B$17)*Apport_216A2324,3)</f>
        <v>58.183999999999997</v>
      </c>
      <c r="J315">
        <f>ROUND(SUM(D315:I315)/(IF(VLOOKUP($A315,EnrollData2324,'2324 Jun 24 Enroll'!M$1,FALSE)='District Calculations'!$B$25,VLOOKUP($A315,EnrollData2324,'2324 Jun 24 Enroll'!M$1,FALSE),'District Calculations'!$B$25)+IF(VLOOKUP($A315,EnrollData2324,'2324 Jun 24 Enroll'!D$1,FALSE)='District Calculations'!$B$11,VLOOKUP($A315,EnrollData2324,'2324 Jun 24 Enroll'!D$1,FALSE),'District Calculations'!$B$11)),5)</f>
        <v>5.5530000000000003E-2</v>
      </c>
      <c r="K315" s="11">
        <f t="shared" si="78"/>
        <v>4.365E-3</v>
      </c>
      <c r="L315">
        <f>ROUND(IF(VLOOKUP($A315,EnrollData2324,'2324 Jun 24 Enroll'!D$1,FALSE)='District Calculations'!$B$11,VLOOKUP($A315,EnrollData2324,'2324 Jun 24 Enroll'!D$1,FALSE),'District Calculations'!$B$11)*K315,3)</f>
        <v>0</v>
      </c>
      <c r="M315">
        <f>ROUND(IF(VLOOKUP($A315,EnrollData2324,'2324 Jun 24 Enroll'!E$1,FALSE)='District Calculations'!$B$12,VLOOKUP($A315,EnrollData2324,'2324 Jun 24 Enroll'!E$1,FALSE),'District Calculations'!$B$12)*K315,3)</f>
        <v>3.5379999999999998</v>
      </c>
      <c r="N315">
        <f>ROUND(IF(VLOOKUP($A315,EnrollData2324,'2324 Jun 24 Enroll'!F$1,FALSE)='District Calculations'!$B$13,VLOOKUP($A315,EnrollData2324,'2324 Jun 24 Enroll'!F$1,FALSE),'District Calculations'!$B$13)*Apport_223A2324,3)</f>
        <v>0.84199999999999997</v>
      </c>
      <c r="O315">
        <f>ROUND(IF(VLOOKUP($A315,EnrollData2324,'2324 Jun 24 Enroll'!G$1,FALSE)='District Calculations'!$B$14,VLOOKUP($A315,EnrollData2324,'2324 Jun 24 Enroll'!G$1,FALSE),'District Calculations'!$B$14)*Apport_211A2324,3)</f>
        <v>1.867</v>
      </c>
      <c r="P315">
        <f>ROUND(IF(VLOOKUP($A315,EnrollData2324,'2324 Jun 24 Enroll'!H$1,FALSE)='District Calculations'!$B$14,VLOOKUP($A315,EnrollData2324,'2324 Jun 24 Enroll'!H$1,FALSE),'District Calculations'!$B$14)*Apport_214A2324,3)</f>
        <v>1.8660000000000001</v>
      </c>
      <c r="Q315">
        <f>ROUND(IF(VLOOKUP($A315,EnrollData2324,'2324 Jun 24 Enroll'!I$1,FALSE)+VLOOKUP($A315,EnrollData2324,'2324 Jun 24 Enroll'!M$1,FALSE)-VLOOKUP($A315,EnrollData2324,'2324 Jun 24 Enroll'!J$1,FALSE)='District Calculations'!$B$16+'District Calculations'!$B$25-'District Calculations'!$B$17,VLOOKUP($A315,EnrollData2324,'2324 Jun 24 Enroll'!I$1,FALSE)+VLOOKUP($A315,EnrollData2324,'2324 Jun 24 Enroll'!M$1,FALSE)-VLOOKUP($A315,EnrollData2324,'2324 Jun 24 Enroll'!J$1,FALSE),'District Calculations'!$B$16+'District Calculations'!$B$25-'District Calculations'!$B$17)*Apport_217A2324,3)</f>
        <v>4.6980000000000004</v>
      </c>
      <c r="R315">
        <f>ROUND(SUM(L315:Q315)/IF(VLOOKUP($A315,EnrollData2324,'2324 Jun 24 Enroll'!M$1,FALSE)+VLOOKUP($A315,EnrollData2324,'2324 Jun 24 Enroll'!D$1,FALSE)='District Calculations'!$B$25+'District Calculations'!$B$11,VLOOKUP($A315,EnrollData2324,'2324 Jun 24 Enroll'!M$1,FALSE)+VLOOKUP($A315,EnrollData2324,'2324 Jun 24 Enroll'!D$1,FALSE),'District Calculations'!$B$25+'District Calculations'!$B$11),5)</f>
        <v>4.1000000000000003E-3</v>
      </c>
      <c r="S315" s="11">
        <f t="shared" si="79"/>
        <v>1.8294500000000002E-2</v>
      </c>
      <c r="T315">
        <f>ROUND(IF(VLOOKUP($A315,EnrollData2324,'2324 Jun 24 Enroll'!D$1,FALSE)='District Calculations'!$B$11,VLOOKUP($A315,EnrollData2324,'2324 Jun 24 Enroll'!D$1,FALSE),'District Calculations'!$B$11)*S315,3)</f>
        <v>0</v>
      </c>
      <c r="U315">
        <f>ROUND(IF(VLOOKUP($A315,EnrollData2324,'2324 Jun 24 Enroll'!E$1,FALSE)='District Calculations'!$B$12,VLOOKUP($A315,EnrollData2324,'2324 Jun 24 Enroll'!E$1,FALSE),'District Calculations'!$B$12)*S315,3)</f>
        <v>14.827999999999999</v>
      </c>
      <c r="V315">
        <f>ROUND(IF(VLOOKUP($A315,EnrollData2324,'2324 Jun 24 Enroll'!F$1,FALSE)='District Calculations'!$B$13,VLOOKUP($A315,EnrollData2324,'2324 Jun 24 Enroll'!F$1,FALSE),'District Calculations'!$B$13)*Apport_224A2324,3)</f>
        <v>3.6190000000000002</v>
      </c>
      <c r="W315">
        <f>ROUND(IF(VLOOKUP($A315,EnrollData2324,'2324 Jun 24 Enroll'!G$1,FALSE)='District Calculations'!$B$14,VLOOKUP($A315,EnrollData2324,'2324 Jun 24 Enroll'!G$1,FALSE),'District Calculations'!$B$14)*Apport_212A2324,3)</f>
        <v>8.0239999999999991</v>
      </c>
      <c r="X315">
        <f>ROUND(IF(VLOOKUP($A315,EnrollData2324,'2324 Jun 24 Enroll'!H$1,FALSE)='District Calculations'!$B$14,VLOOKUP($A315,EnrollData2324,'2324 Jun 24 Enroll'!H$1,FALSE),'District Calculations'!$B$14)*Apport_215A2324,3)</f>
        <v>7.9279999999999999</v>
      </c>
      <c r="Y315">
        <f>ROUND(IF(VLOOKUP($A315,EnrollData2324,'2324 Jun 24 Enroll'!I$1,FALSE)+VLOOKUP($A315,EnrollData2324,'2324 Jun 24 Enroll'!M$1,FALSE)-VLOOKUP($A315,EnrollData2324,'2324 Jun 24 Enroll'!J$1,FALSE)='District Calculations'!$B$16+'District Calculations'!$B$25-'District Calculations'!$B$17,VLOOKUP($A315,EnrollData2324,'2324 Jun 24 Enroll'!I$1,FALSE)+VLOOKUP($A315,EnrollData2324,'2324 Jun 24 Enroll'!M$1,FALSE)-VLOOKUP($A315,EnrollData2324,'2324 Jun 24 Enroll'!J$1,FALSE),'District Calculations'!$B$16+'District Calculations'!$B$25-'District Calculations'!$B$17)*Apport_218A2324,3)</f>
        <v>19.917999999999999</v>
      </c>
      <c r="Z315">
        <f>ROUND(SUM(T315:Y315)/IF(VLOOKUP($A315,EnrollData2324,'2324 Jun 24 Enroll'!M$1,FALSE)+VLOOKUP($A315,EnrollData2324,'2324 Jun 24 Enroll'!D$1,FALSE)='District Calculations'!$B$25+'District Calculations'!$B$11,VLOOKUP($A315,EnrollData2324,'2324 Jun 24 Enroll'!M$1,FALSE)+VLOOKUP($A315,EnrollData2324,'2324 Jun 24 Enroll'!D$1,FALSE),'District Calculations'!$B$25+'District Calculations'!$B$11),5)</f>
        <v>1.7399999999999999E-2</v>
      </c>
      <c r="AA315" s="6">
        <f>ROUND($J315*CIS_Base_Salary2324*VLOOKUP($A315,EnrollData2324,'2324 Jun 24 Enroll'!S$1,FALSE),2)</f>
        <v>4038.59</v>
      </c>
      <c r="AB315" s="6">
        <f>ROUND($J315*CIS_Inc_Salary2324*(VLOOKUP($A315,EnrollData2324,'2324 Jun 24 Enroll'!T$1,FALSE)+VLOOKUP($A315,EnrollData2324,'2324 Jun 24 Enroll'!U$1,FALSE)),2)-AA315</f>
        <v>149.43000000000029</v>
      </c>
      <c r="AC315" s="6">
        <f>ROUND($R315*CAS_Base_Salary2324*VLOOKUP($A315,EnrollData2324,'2324 Jun 24 Enroll'!S$1,FALSE),2)</f>
        <v>442.62</v>
      </c>
      <c r="AD315" s="6">
        <f>ROUND($R315*CAS_Inc_Salary2324*VLOOKUP($A315,EnrollData2324,'2324 Jun 24 Enroll'!T$1,FALSE),2)-AC315</f>
        <v>16.379999999999995</v>
      </c>
      <c r="AE315" s="6">
        <f>ROUND($Z315*CLS_Base_Salary2324*VLOOKUP($A315,EnrollData2324,'2324 Jun 24 Enroll'!S$1,FALSE),2)</f>
        <v>907.81</v>
      </c>
      <c r="AF315" s="6">
        <f>ROUND($Z315*CLS_Inc_Salary2324*VLOOKUP($A315,EnrollData2324,'2324 Jun 24 Enroll'!T$1,FALSE),2)-AE315</f>
        <v>33.580000000000041</v>
      </c>
      <c r="AG315">
        <f t="shared" si="76"/>
        <v>734.16</v>
      </c>
      <c r="AH315" s="69">
        <f t="shared" si="80"/>
        <v>68.700000000000045</v>
      </c>
      <c r="AI315">
        <f t="shared" si="77"/>
        <v>214.23</v>
      </c>
      <c r="AJ315">
        <f t="shared" si="81"/>
        <v>114.21000000000001</v>
      </c>
      <c r="AK315">
        <f t="shared" si="82"/>
        <v>805.27</v>
      </c>
      <c r="AL315">
        <f t="shared" si="83"/>
        <v>28.73</v>
      </c>
      <c r="AM315">
        <f t="shared" si="84"/>
        <v>200.26</v>
      </c>
      <c r="AN315">
        <f t="shared" si="85"/>
        <v>6.23</v>
      </c>
      <c r="AO315">
        <f>ROUND(($J315*CIS_Inc_Salary2324*(VLOOKUP($A315,EnrollData2324,'2324 Jun 24 Enroll'!T$1,FALSE)+VLOOKUP($A315,EnrollData2324,'2324 Jun 24 Enroll'!U$1,FALSE))/Apport_613Xpd)*Apport_614Xpd,2)</f>
        <v>69.8</v>
      </c>
      <c r="AP315">
        <f t="shared" si="86"/>
        <v>12.1</v>
      </c>
      <c r="AQ315">
        <f t="shared" si="87"/>
        <v>30.93</v>
      </c>
      <c r="AR315" s="6">
        <f>ROUND((VLOOKUP($A315,EnrollData2324,'2324 Jun 24 Enroll'!D$1,FALSE)*Apport_M802324+VLOOKUP($A315,EnrollData2324,'2324 Jun 24 Enroll'!M$1,FALSE)*Apport_M802324+(VLOOKUP($A315,EnrollData2324,'2324 Jun 24 Enroll'!P$1,FALSE)+VLOOKUP($A315,EnrollData2324,'2324 Jun 24 Enroll'!Q$1,FALSE)+VLOOKUP($A315,EnrollData2324,'2324 Jun 24 Enroll'!R$1,FALSE)+VLOOKUP($A315,EnrollData2324,'2324 Jun 24 Enroll'!I$1,FALSE)+VLOOKUP($A315,EnrollData2324,'2324 Jun 24 Enroll'!N$1,FALSE)+VLOOKUP($A315,EnrollData2324,'2324 Jun 24 Enroll'!O$1,FALSE)+VLOOKUP($A315,EnrollData2324,'2324 Jun 24 Enroll'!K$1,FALSE)+VLOOKUP($A315,EnrollData2324,'2324 Jun 24 Enroll'!L$1,FALSE))*Apport_M812324)/(VLOOKUP($A315,EnrollData2324,'2324 Jun 24 Enroll'!M$1,FALSE)+VLOOKUP($A315,EnrollData2324,'2324 Jun 24 Enroll'!D$1,FALSE)),2)</f>
        <v>1550.09</v>
      </c>
      <c r="AS315" s="7">
        <f t="shared" si="88"/>
        <v>9423.119999999999</v>
      </c>
    </row>
    <row r="316" spans="1:45">
      <c r="A316" s="40" t="s">
        <v>484</v>
      </c>
      <c r="B316" s="40" t="s">
        <v>485</v>
      </c>
      <c r="C316" s="11">
        <f>ROUND((IFERROR((1/IF(VLOOKUP($A316,EnrollData2324,28,FALSE)='District Calculations'!$B$10,VLOOKUP($A316,EnrollData2324,28,FALSE),'District Calculations'!$B$10))*(1+Apport_Z315),0))+Apport_201A2324,6)</f>
        <v>7.3449E-2</v>
      </c>
      <c r="D316">
        <f>ROUND(IF(VLOOKUP($A316,EnrollData2324,'2324 Jun 24 Enroll'!D$1,FALSE)='District Calculations'!$B$11,VLOOKUP($A316,EnrollData2324,'2324 Jun 24 Enroll'!D$1,FALSE),'District Calculations'!$B$11)*C316,3)</f>
        <v>0</v>
      </c>
      <c r="E316">
        <f>ROUND(IF(VLOOKUP($A316,EnrollData2324,'2324 Jun 24 Enroll'!E$1,FALSE)='District Calculations'!$B$12,VLOOKUP($A316,EnrollData2324,'2324 Jun 24 Enroll'!E$1,FALSE),'District Calculations'!$B$12)*C316,3)</f>
        <v>59.53</v>
      </c>
      <c r="F316">
        <f>ROUND(IF(VLOOKUP($A316,EnrollData2324,'2324 Jun 24 Enroll'!F$1,FALSE)='District Calculations'!$B$13,VLOOKUP($A316,EnrollData2324,'2324 Jun 24 Enroll'!F$1,FALSE),'District Calculations'!$B$13)*Apport_222A2324,3)</f>
        <v>10.101000000000001</v>
      </c>
      <c r="G316">
        <f>ROUND(IF(VLOOKUP($A316,EnrollData2324,'2324 Jun 24 Enroll'!G$1,FALSE)='District Calculations'!$B$14,VLOOKUP($A316,EnrollData2324,'2324 Jun 24 Enroll'!G$1,FALSE),'District Calculations'!$B$14)*Apport_210A2324,3)</f>
        <v>22.395</v>
      </c>
      <c r="H316">
        <f>ROUND(IF(VLOOKUP($A316,EnrollData2324,'2324 Jun 24 Enroll'!H$1,FALSE)='District Calculations'!$B$15,VLOOKUP($A316,EnrollData2324,'2324 Jun 24 Enroll'!H$1,FALSE),'District Calculations'!$B$15)*Apport_213A2324,3)</f>
        <v>23.091999999999999</v>
      </c>
      <c r="I316">
        <f>ROUND(IF(VLOOKUP($A316,EnrollData2324,'2324 Jun 24 Enroll'!I$1,FALSE)+VLOOKUP($A316,EnrollData2324,'2324 Jun 24 Enroll'!M$1,FALSE)-VLOOKUP($A316,EnrollData2324,'2324 Jun 24 Enroll'!J$1,FALSE)='District Calculations'!$B$16+'District Calculations'!$B$25-'District Calculations'!$B$17,VLOOKUP($A316,EnrollData2324,'2324 Jun 24 Enroll'!I$1,FALSE)+VLOOKUP($A316,EnrollData2324,'2324 Jun 24 Enroll'!M$1,FALSE)-VLOOKUP($A316,EnrollData2324,'2324 Jun 24 Enroll'!J$1,FALSE),'District Calculations'!$B$16+'District Calculations'!$B$25-'District Calculations'!$B$17)*Apport_216A2324,3)</f>
        <v>58.183999999999997</v>
      </c>
      <c r="J316">
        <f>ROUND(SUM(D316:I316)/(IF(VLOOKUP($A316,EnrollData2324,'2324 Jun 24 Enroll'!M$1,FALSE)='District Calculations'!$B$25,VLOOKUP($A316,EnrollData2324,'2324 Jun 24 Enroll'!M$1,FALSE),'District Calculations'!$B$25)+IF(VLOOKUP($A316,EnrollData2324,'2324 Jun 24 Enroll'!D$1,FALSE)='District Calculations'!$B$11,VLOOKUP($A316,EnrollData2324,'2324 Jun 24 Enroll'!D$1,FALSE),'District Calculations'!$B$11)),5)</f>
        <v>5.5530000000000003E-2</v>
      </c>
      <c r="K316" s="11">
        <f t="shared" si="78"/>
        <v>4.365E-3</v>
      </c>
      <c r="L316">
        <f>ROUND(IF(VLOOKUP($A316,EnrollData2324,'2324 Jun 24 Enroll'!D$1,FALSE)='District Calculations'!$B$11,VLOOKUP($A316,EnrollData2324,'2324 Jun 24 Enroll'!D$1,FALSE),'District Calculations'!$B$11)*K316,3)</f>
        <v>0</v>
      </c>
      <c r="M316">
        <f>ROUND(IF(VLOOKUP($A316,EnrollData2324,'2324 Jun 24 Enroll'!E$1,FALSE)='District Calculations'!$B$12,VLOOKUP($A316,EnrollData2324,'2324 Jun 24 Enroll'!E$1,FALSE),'District Calculations'!$B$12)*K316,3)</f>
        <v>3.5379999999999998</v>
      </c>
      <c r="N316">
        <f>ROUND(IF(VLOOKUP($A316,EnrollData2324,'2324 Jun 24 Enroll'!F$1,FALSE)='District Calculations'!$B$13,VLOOKUP($A316,EnrollData2324,'2324 Jun 24 Enroll'!F$1,FALSE),'District Calculations'!$B$13)*Apport_223A2324,3)</f>
        <v>0.84199999999999997</v>
      </c>
      <c r="O316">
        <f>ROUND(IF(VLOOKUP($A316,EnrollData2324,'2324 Jun 24 Enroll'!G$1,FALSE)='District Calculations'!$B$14,VLOOKUP($A316,EnrollData2324,'2324 Jun 24 Enroll'!G$1,FALSE),'District Calculations'!$B$14)*Apport_211A2324,3)</f>
        <v>1.867</v>
      </c>
      <c r="P316">
        <f>ROUND(IF(VLOOKUP($A316,EnrollData2324,'2324 Jun 24 Enroll'!H$1,FALSE)='District Calculations'!$B$14,VLOOKUP($A316,EnrollData2324,'2324 Jun 24 Enroll'!H$1,FALSE),'District Calculations'!$B$14)*Apport_214A2324,3)</f>
        <v>1.8660000000000001</v>
      </c>
      <c r="Q316">
        <f>ROUND(IF(VLOOKUP($A316,EnrollData2324,'2324 Jun 24 Enroll'!I$1,FALSE)+VLOOKUP($A316,EnrollData2324,'2324 Jun 24 Enroll'!M$1,FALSE)-VLOOKUP($A316,EnrollData2324,'2324 Jun 24 Enroll'!J$1,FALSE)='District Calculations'!$B$16+'District Calculations'!$B$25-'District Calculations'!$B$17,VLOOKUP($A316,EnrollData2324,'2324 Jun 24 Enroll'!I$1,FALSE)+VLOOKUP($A316,EnrollData2324,'2324 Jun 24 Enroll'!M$1,FALSE)-VLOOKUP($A316,EnrollData2324,'2324 Jun 24 Enroll'!J$1,FALSE),'District Calculations'!$B$16+'District Calculations'!$B$25-'District Calculations'!$B$17)*Apport_217A2324,3)</f>
        <v>4.6980000000000004</v>
      </c>
      <c r="R316">
        <f>ROUND(SUM(L316:Q316)/IF(VLOOKUP($A316,EnrollData2324,'2324 Jun 24 Enroll'!M$1,FALSE)+VLOOKUP($A316,EnrollData2324,'2324 Jun 24 Enroll'!D$1,FALSE)='District Calculations'!$B$25+'District Calculations'!$B$11,VLOOKUP($A316,EnrollData2324,'2324 Jun 24 Enroll'!M$1,FALSE)+VLOOKUP($A316,EnrollData2324,'2324 Jun 24 Enroll'!D$1,FALSE),'District Calculations'!$B$25+'District Calculations'!$B$11),5)</f>
        <v>4.1000000000000003E-3</v>
      </c>
      <c r="S316" s="11">
        <f t="shared" si="79"/>
        <v>1.8294500000000002E-2</v>
      </c>
      <c r="T316">
        <f>ROUND(IF(VLOOKUP($A316,EnrollData2324,'2324 Jun 24 Enroll'!D$1,FALSE)='District Calculations'!$B$11,VLOOKUP($A316,EnrollData2324,'2324 Jun 24 Enroll'!D$1,FALSE),'District Calculations'!$B$11)*S316,3)</f>
        <v>0</v>
      </c>
      <c r="U316">
        <f>ROUND(IF(VLOOKUP($A316,EnrollData2324,'2324 Jun 24 Enroll'!E$1,FALSE)='District Calculations'!$B$12,VLOOKUP($A316,EnrollData2324,'2324 Jun 24 Enroll'!E$1,FALSE),'District Calculations'!$B$12)*S316,3)</f>
        <v>14.827999999999999</v>
      </c>
      <c r="V316">
        <f>ROUND(IF(VLOOKUP($A316,EnrollData2324,'2324 Jun 24 Enroll'!F$1,FALSE)='District Calculations'!$B$13,VLOOKUP($A316,EnrollData2324,'2324 Jun 24 Enroll'!F$1,FALSE),'District Calculations'!$B$13)*Apport_224A2324,3)</f>
        <v>3.6190000000000002</v>
      </c>
      <c r="W316">
        <f>ROUND(IF(VLOOKUP($A316,EnrollData2324,'2324 Jun 24 Enroll'!G$1,FALSE)='District Calculations'!$B$14,VLOOKUP($A316,EnrollData2324,'2324 Jun 24 Enroll'!G$1,FALSE),'District Calculations'!$B$14)*Apport_212A2324,3)</f>
        <v>8.0239999999999991</v>
      </c>
      <c r="X316">
        <f>ROUND(IF(VLOOKUP($A316,EnrollData2324,'2324 Jun 24 Enroll'!H$1,FALSE)='District Calculations'!$B$14,VLOOKUP($A316,EnrollData2324,'2324 Jun 24 Enroll'!H$1,FALSE),'District Calculations'!$B$14)*Apport_215A2324,3)</f>
        <v>7.9279999999999999</v>
      </c>
      <c r="Y316">
        <f>ROUND(IF(VLOOKUP($A316,EnrollData2324,'2324 Jun 24 Enroll'!I$1,FALSE)+VLOOKUP($A316,EnrollData2324,'2324 Jun 24 Enroll'!M$1,FALSE)-VLOOKUP($A316,EnrollData2324,'2324 Jun 24 Enroll'!J$1,FALSE)='District Calculations'!$B$16+'District Calculations'!$B$25-'District Calculations'!$B$17,VLOOKUP($A316,EnrollData2324,'2324 Jun 24 Enroll'!I$1,FALSE)+VLOOKUP($A316,EnrollData2324,'2324 Jun 24 Enroll'!M$1,FALSE)-VLOOKUP($A316,EnrollData2324,'2324 Jun 24 Enroll'!J$1,FALSE),'District Calculations'!$B$16+'District Calculations'!$B$25-'District Calculations'!$B$17)*Apport_218A2324,3)</f>
        <v>19.917999999999999</v>
      </c>
      <c r="Z316">
        <f>ROUND(SUM(T316:Y316)/IF(VLOOKUP($A316,EnrollData2324,'2324 Jun 24 Enroll'!M$1,FALSE)+VLOOKUP($A316,EnrollData2324,'2324 Jun 24 Enroll'!D$1,FALSE)='District Calculations'!$B$25+'District Calculations'!$B$11,VLOOKUP($A316,EnrollData2324,'2324 Jun 24 Enroll'!M$1,FALSE)+VLOOKUP($A316,EnrollData2324,'2324 Jun 24 Enroll'!D$1,FALSE),'District Calculations'!$B$25+'District Calculations'!$B$11),5)</f>
        <v>1.7399999999999999E-2</v>
      </c>
      <c r="AA316" s="6">
        <f>ROUND($J316*CIS_Base_Salary2324*VLOOKUP($A316,EnrollData2324,'2324 Jun 24 Enroll'!S$1,FALSE),2)</f>
        <v>4038.59</v>
      </c>
      <c r="AB316" s="6">
        <f>ROUND($J316*CIS_Inc_Salary2324*(VLOOKUP($A316,EnrollData2324,'2324 Jun 24 Enroll'!T$1,FALSE)+VLOOKUP($A316,EnrollData2324,'2324 Jun 24 Enroll'!U$1,FALSE)),2)-AA316</f>
        <v>149.43000000000029</v>
      </c>
      <c r="AC316" s="6">
        <f>ROUND($R316*CAS_Base_Salary2324*VLOOKUP($A316,EnrollData2324,'2324 Jun 24 Enroll'!S$1,FALSE),2)</f>
        <v>442.62</v>
      </c>
      <c r="AD316" s="6">
        <f>ROUND($R316*CAS_Inc_Salary2324*VLOOKUP($A316,EnrollData2324,'2324 Jun 24 Enroll'!T$1,FALSE),2)-AC316</f>
        <v>16.379999999999995</v>
      </c>
      <c r="AE316" s="6">
        <f>ROUND($Z316*CLS_Base_Salary2324*VLOOKUP($A316,EnrollData2324,'2324 Jun 24 Enroll'!S$1,FALSE),2)</f>
        <v>907.81</v>
      </c>
      <c r="AF316" s="6">
        <f>ROUND($Z316*CLS_Inc_Salary2324*VLOOKUP($A316,EnrollData2324,'2324 Jun 24 Enroll'!T$1,FALSE),2)-AE316</f>
        <v>33.580000000000041</v>
      </c>
      <c r="AG316">
        <f t="shared" si="76"/>
        <v>734.16</v>
      </c>
      <c r="AH316" s="69">
        <f t="shared" si="80"/>
        <v>68.700000000000045</v>
      </c>
      <c r="AI316">
        <f t="shared" si="77"/>
        <v>214.23</v>
      </c>
      <c r="AJ316">
        <f t="shared" si="81"/>
        <v>114.21000000000001</v>
      </c>
      <c r="AK316">
        <f t="shared" si="82"/>
        <v>805.27</v>
      </c>
      <c r="AL316">
        <f t="shared" si="83"/>
        <v>28.73</v>
      </c>
      <c r="AM316">
        <f t="shared" si="84"/>
        <v>200.26</v>
      </c>
      <c r="AN316">
        <f t="shared" si="85"/>
        <v>6.23</v>
      </c>
      <c r="AO316">
        <f>ROUND(($J316*CIS_Inc_Salary2324*(VLOOKUP($A316,EnrollData2324,'2324 Jun 24 Enroll'!T$1,FALSE)+VLOOKUP($A316,EnrollData2324,'2324 Jun 24 Enroll'!U$1,FALSE))/Apport_613Xpd)*Apport_614Xpd,2)</f>
        <v>69.8</v>
      </c>
      <c r="AP316">
        <f t="shared" si="86"/>
        <v>12.1</v>
      </c>
      <c r="AQ316">
        <f t="shared" si="87"/>
        <v>30.93</v>
      </c>
      <c r="AR316" s="6">
        <f>ROUND((VLOOKUP($A316,EnrollData2324,'2324 Jun 24 Enroll'!D$1,FALSE)*Apport_M802324+VLOOKUP($A316,EnrollData2324,'2324 Jun 24 Enroll'!M$1,FALSE)*Apport_M802324+(VLOOKUP($A316,EnrollData2324,'2324 Jun 24 Enroll'!P$1,FALSE)+VLOOKUP($A316,EnrollData2324,'2324 Jun 24 Enroll'!Q$1,FALSE)+VLOOKUP($A316,EnrollData2324,'2324 Jun 24 Enroll'!R$1,FALSE)+VLOOKUP($A316,EnrollData2324,'2324 Jun 24 Enroll'!I$1,FALSE)+VLOOKUP($A316,EnrollData2324,'2324 Jun 24 Enroll'!N$1,FALSE)+VLOOKUP($A316,EnrollData2324,'2324 Jun 24 Enroll'!O$1,FALSE)+VLOOKUP($A316,EnrollData2324,'2324 Jun 24 Enroll'!K$1,FALSE)+VLOOKUP($A316,EnrollData2324,'2324 Jun 24 Enroll'!L$1,FALSE))*Apport_M812324)/(VLOOKUP($A316,EnrollData2324,'2324 Jun 24 Enroll'!M$1,FALSE)+VLOOKUP($A316,EnrollData2324,'2324 Jun 24 Enroll'!D$1,FALSE)),2)</f>
        <v>1548.79</v>
      </c>
      <c r="AS316" s="7">
        <f t="shared" si="88"/>
        <v>9421.82</v>
      </c>
    </row>
    <row r="317" spans="1:45">
      <c r="A317" s="40" t="s">
        <v>807</v>
      </c>
      <c r="B317" s="40" t="s">
        <v>808</v>
      </c>
      <c r="C317" s="11">
        <f>ROUND((IFERROR((1/IF(VLOOKUP($A317,EnrollData2324,28,FALSE)='District Calculations'!$B$10,VLOOKUP($A317,EnrollData2324,28,FALSE),'District Calculations'!$B$10))*(1+Apport_Z315),0))+Apport_201A2324,6)</f>
        <v>7.3449E-2</v>
      </c>
      <c r="D317">
        <f>ROUND(IF(VLOOKUP($A317,EnrollData2324,'2324 Jun 24 Enroll'!D$1,FALSE)='District Calculations'!$B$11,VLOOKUP($A317,EnrollData2324,'2324 Jun 24 Enroll'!D$1,FALSE),'District Calculations'!$B$11)*C317,3)</f>
        <v>0</v>
      </c>
      <c r="E317">
        <f>ROUND(IF(VLOOKUP($A317,EnrollData2324,'2324 Jun 24 Enroll'!E$1,FALSE)='District Calculations'!$B$12,VLOOKUP($A317,EnrollData2324,'2324 Jun 24 Enroll'!E$1,FALSE),'District Calculations'!$B$12)*C317,3)</f>
        <v>59.53</v>
      </c>
      <c r="F317">
        <f>ROUND(IF(VLOOKUP($A317,EnrollData2324,'2324 Jun 24 Enroll'!F$1,FALSE)='District Calculations'!$B$13,VLOOKUP($A317,EnrollData2324,'2324 Jun 24 Enroll'!F$1,FALSE),'District Calculations'!$B$13)*Apport_222A2324,3)</f>
        <v>10.101000000000001</v>
      </c>
      <c r="G317">
        <f>ROUND(IF(VLOOKUP($A317,EnrollData2324,'2324 Jun 24 Enroll'!G$1,FALSE)='District Calculations'!$B$14,VLOOKUP($A317,EnrollData2324,'2324 Jun 24 Enroll'!G$1,FALSE),'District Calculations'!$B$14)*Apport_210A2324,3)</f>
        <v>22.395</v>
      </c>
      <c r="H317">
        <f>ROUND(IF(VLOOKUP($A317,EnrollData2324,'2324 Jun 24 Enroll'!H$1,FALSE)='District Calculations'!$B$15,VLOOKUP($A317,EnrollData2324,'2324 Jun 24 Enroll'!H$1,FALSE),'District Calculations'!$B$15)*Apport_213A2324,3)</f>
        <v>23.091999999999999</v>
      </c>
      <c r="I317">
        <f>ROUND(IF(VLOOKUP($A317,EnrollData2324,'2324 Jun 24 Enroll'!I$1,FALSE)+VLOOKUP($A317,EnrollData2324,'2324 Jun 24 Enroll'!M$1,FALSE)-VLOOKUP($A317,EnrollData2324,'2324 Jun 24 Enroll'!J$1,FALSE)='District Calculations'!$B$16+'District Calculations'!$B$25-'District Calculations'!$B$17,VLOOKUP($A317,EnrollData2324,'2324 Jun 24 Enroll'!I$1,FALSE)+VLOOKUP($A317,EnrollData2324,'2324 Jun 24 Enroll'!M$1,FALSE)-VLOOKUP($A317,EnrollData2324,'2324 Jun 24 Enroll'!J$1,FALSE),'District Calculations'!$B$16+'District Calculations'!$B$25-'District Calculations'!$B$17)*Apport_216A2324,3)</f>
        <v>58.183999999999997</v>
      </c>
      <c r="J317">
        <f>ROUND(SUM(D317:I317)/(IF(VLOOKUP($A317,EnrollData2324,'2324 Jun 24 Enroll'!M$1,FALSE)='District Calculations'!$B$25,VLOOKUP($A317,EnrollData2324,'2324 Jun 24 Enroll'!M$1,FALSE),'District Calculations'!$B$25)+IF(VLOOKUP($A317,EnrollData2324,'2324 Jun 24 Enroll'!D$1,FALSE)='District Calculations'!$B$11,VLOOKUP($A317,EnrollData2324,'2324 Jun 24 Enroll'!D$1,FALSE),'District Calculations'!$B$11)),5)</f>
        <v>5.5530000000000003E-2</v>
      </c>
      <c r="K317" s="11">
        <f t="shared" si="78"/>
        <v>4.365E-3</v>
      </c>
      <c r="L317">
        <f>ROUND(IF(VLOOKUP($A317,EnrollData2324,'2324 Jun 24 Enroll'!D$1,FALSE)='District Calculations'!$B$11,VLOOKUP($A317,EnrollData2324,'2324 Jun 24 Enroll'!D$1,FALSE),'District Calculations'!$B$11)*K317,3)</f>
        <v>0</v>
      </c>
      <c r="M317">
        <f>ROUND(IF(VLOOKUP($A317,EnrollData2324,'2324 Jun 24 Enroll'!E$1,FALSE)='District Calculations'!$B$12,VLOOKUP($A317,EnrollData2324,'2324 Jun 24 Enroll'!E$1,FALSE),'District Calculations'!$B$12)*K317,3)</f>
        <v>3.5379999999999998</v>
      </c>
      <c r="N317">
        <f>ROUND(IF(VLOOKUP($A317,EnrollData2324,'2324 Jun 24 Enroll'!F$1,FALSE)='District Calculations'!$B$13,VLOOKUP($A317,EnrollData2324,'2324 Jun 24 Enroll'!F$1,FALSE),'District Calculations'!$B$13)*Apport_223A2324,3)</f>
        <v>0.84199999999999997</v>
      </c>
      <c r="O317">
        <f>ROUND(IF(VLOOKUP($A317,EnrollData2324,'2324 Jun 24 Enroll'!G$1,FALSE)='District Calculations'!$B$14,VLOOKUP($A317,EnrollData2324,'2324 Jun 24 Enroll'!G$1,FALSE),'District Calculations'!$B$14)*Apport_211A2324,3)</f>
        <v>1.867</v>
      </c>
      <c r="P317">
        <f>ROUND(IF(VLOOKUP($A317,EnrollData2324,'2324 Jun 24 Enroll'!H$1,FALSE)='District Calculations'!$B$14,VLOOKUP($A317,EnrollData2324,'2324 Jun 24 Enroll'!H$1,FALSE),'District Calculations'!$B$14)*Apport_214A2324,3)</f>
        <v>1.8660000000000001</v>
      </c>
      <c r="Q317">
        <f>ROUND(IF(VLOOKUP($A317,EnrollData2324,'2324 Jun 24 Enroll'!I$1,FALSE)+VLOOKUP($A317,EnrollData2324,'2324 Jun 24 Enroll'!M$1,FALSE)-VLOOKUP($A317,EnrollData2324,'2324 Jun 24 Enroll'!J$1,FALSE)='District Calculations'!$B$16+'District Calculations'!$B$25-'District Calculations'!$B$17,VLOOKUP($A317,EnrollData2324,'2324 Jun 24 Enroll'!I$1,FALSE)+VLOOKUP($A317,EnrollData2324,'2324 Jun 24 Enroll'!M$1,FALSE)-VLOOKUP($A317,EnrollData2324,'2324 Jun 24 Enroll'!J$1,FALSE),'District Calculations'!$B$16+'District Calculations'!$B$25-'District Calculations'!$B$17)*Apport_217A2324,3)</f>
        <v>4.6980000000000004</v>
      </c>
      <c r="R317">
        <f>ROUND(SUM(L317:Q317)/IF(VLOOKUP($A317,EnrollData2324,'2324 Jun 24 Enroll'!M$1,FALSE)+VLOOKUP($A317,EnrollData2324,'2324 Jun 24 Enroll'!D$1,FALSE)='District Calculations'!$B$25+'District Calculations'!$B$11,VLOOKUP($A317,EnrollData2324,'2324 Jun 24 Enroll'!M$1,FALSE)+VLOOKUP($A317,EnrollData2324,'2324 Jun 24 Enroll'!D$1,FALSE),'District Calculations'!$B$25+'District Calculations'!$B$11),5)</f>
        <v>4.1000000000000003E-3</v>
      </c>
      <c r="S317" s="11">
        <f t="shared" si="79"/>
        <v>1.8294500000000002E-2</v>
      </c>
      <c r="T317">
        <f>ROUND(IF(VLOOKUP($A317,EnrollData2324,'2324 Jun 24 Enroll'!D$1,FALSE)='District Calculations'!$B$11,VLOOKUP($A317,EnrollData2324,'2324 Jun 24 Enroll'!D$1,FALSE),'District Calculations'!$B$11)*S317,3)</f>
        <v>0</v>
      </c>
      <c r="U317">
        <f>ROUND(IF(VLOOKUP($A317,EnrollData2324,'2324 Jun 24 Enroll'!E$1,FALSE)='District Calculations'!$B$12,VLOOKUP($A317,EnrollData2324,'2324 Jun 24 Enroll'!E$1,FALSE),'District Calculations'!$B$12)*S317,3)</f>
        <v>14.827999999999999</v>
      </c>
      <c r="V317">
        <f>ROUND(IF(VLOOKUP($A317,EnrollData2324,'2324 Jun 24 Enroll'!F$1,FALSE)='District Calculations'!$B$13,VLOOKUP($A317,EnrollData2324,'2324 Jun 24 Enroll'!F$1,FALSE),'District Calculations'!$B$13)*Apport_224A2324,3)</f>
        <v>3.6190000000000002</v>
      </c>
      <c r="W317">
        <f>ROUND(IF(VLOOKUP($A317,EnrollData2324,'2324 Jun 24 Enroll'!G$1,FALSE)='District Calculations'!$B$14,VLOOKUP($A317,EnrollData2324,'2324 Jun 24 Enroll'!G$1,FALSE),'District Calculations'!$B$14)*Apport_212A2324,3)</f>
        <v>8.0239999999999991</v>
      </c>
      <c r="X317">
        <f>ROUND(IF(VLOOKUP($A317,EnrollData2324,'2324 Jun 24 Enroll'!H$1,FALSE)='District Calculations'!$B$14,VLOOKUP($A317,EnrollData2324,'2324 Jun 24 Enroll'!H$1,FALSE),'District Calculations'!$B$14)*Apport_215A2324,3)</f>
        <v>7.9279999999999999</v>
      </c>
      <c r="Y317">
        <f>ROUND(IF(VLOOKUP($A317,EnrollData2324,'2324 Jun 24 Enroll'!I$1,FALSE)+VLOOKUP($A317,EnrollData2324,'2324 Jun 24 Enroll'!M$1,FALSE)-VLOOKUP($A317,EnrollData2324,'2324 Jun 24 Enroll'!J$1,FALSE)='District Calculations'!$B$16+'District Calculations'!$B$25-'District Calculations'!$B$17,VLOOKUP($A317,EnrollData2324,'2324 Jun 24 Enroll'!I$1,FALSE)+VLOOKUP($A317,EnrollData2324,'2324 Jun 24 Enroll'!M$1,FALSE)-VLOOKUP($A317,EnrollData2324,'2324 Jun 24 Enroll'!J$1,FALSE),'District Calculations'!$B$16+'District Calculations'!$B$25-'District Calculations'!$B$17)*Apport_218A2324,3)</f>
        <v>19.917999999999999</v>
      </c>
      <c r="Z317">
        <f>ROUND(SUM(T317:Y317)/IF(VLOOKUP($A317,EnrollData2324,'2324 Jun 24 Enroll'!M$1,FALSE)+VLOOKUP($A317,EnrollData2324,'2324 Jun 24 Enroll'!D$1,FALSE)='District Calculations'!$B$25+'District Calculations'!$B$11,VLOOKUP($A317,EnrollData2324,'2324 Jun 24 Enroll'!M$1,FALSE)+VLOOKUP($A317,EnrollData2324,'2324 Jun 24 Enroll'!D$1,FALSE),'District Calculations'!$B$25+'District Calculations'!$B$11),5)</f>
        <v>1.7399999999999999E-2</v>
      </c>
      <c r="AA317" s="6">
        <f>ROUND($J317*CIS_Base_Salary2324*VLOOKUP($A317,EnrollData2324,'2324 Jun 24 Enroll'!S$1,FALSE),2)</f>
        <v>4038.59</v>
      </c>
      <c r="AB317" s="6">
        <f>ROUND($J317*CIS_Inc_Salary2324*(VLOOKUP($A317,EnrollData2324,'2324 Jun 24 Enroll'!T$1,FALSE)+VLOOKUP($A317,EnrollData2324,'2324 Jun 24 Enroll'!U$1,FALSE)),2)-AA317</f>
        <v>149.43000000000029</v>
      </c>
      <c r="AC317" s="6">
        <f>ROUND($R317*CAS_Base_Salary2324*VLOOKUP($A317,EnrollData2324,'2324 Jun 24 Enroll'!S$1,FALSE),2)</f>
        <v>442.62</v>
      </c>
      <c r="AD317" s="6">
        <f>ROUND($R317*CAS_Inc_Salary2324*VLOOKUP($A317,EnrollData2324,'2324 Jun 24 Enroll'!T$1,FALSE),2)-AC317</f>
        <v>16.379999999999995</v>
      </c>
      <c r="AE317" s="6">
        <f>ROUND($Z317*CLS_Base_Salary2324*VLOOKUP($A317,EnrollData2324,'2324 Jun 24 Enroll'!S$1,FALSE),2)</f>
        <v>907.81</v>
      </c>
      <c r="AF317" s="6">
        <f>ROUND($Z317*CLS_Inc_Salary2324*VLOOKUP($A317,EnrollData2324,'2324 Jun 24 Enroll'!T$1,FALSE),2)-AE317</f>
        <v>33.580000000000041</v>
      </c>
      <c r="AG317">
        <f t="shared" si="76"/>
        <v>734.16</v>
      </c>
      <c r="AH317" s="69">
        <f t="shared" si="80"/>
        <v>68.700000000000045</v>
      </c>
      <c r="AI317">
        <f t="shared" si="77"/>
        <v>214.23</v>
      </c>
      <c r="AJ317">
        <f t="shared" si="81"/>
        <v>114.21000000000001</v>
      </c>
      <c r="AK317">
        <f t="shared" si="82"/>
        <v>805.27</v>
      </c>
      <c r="AL317">
        <f t="shared" si="83"/>
        <v>28.73</v>
      </c>
      <c r="AM317">
        <f t="shared" si="84"/>
        <v>200.26</v>
      </c>
      <c r="AN317">
        <f t="shared" si="85"/>
        <v>6.23</v>
      </c>
      <c r="AO317">
        <f>ROUND(($J317*CIS_Inc_Salary2324*(VLOOKUP($A317,EnrollData2324,'2324 Jun 24 Enroll'!T$1,FALSE)+VLOOKUP($A317,EnrollData2324,'2324 Jun 24 Enroll'!U$1,FALSE))/Apport_613Xpd)*Apport_614Xpd,2)</f>
        <v>69.8</v>
      </c>
      <c r="AP317">
        <f t="shared" si="86"/>
        <v>12.1</v>
      </c>
      <c r="AQ317">
        <f t="shared" si="87"/>
        <v>30.93</v>
      </c>
      <c r="AR317" s="6">
        <f>ROUND((VLOOKUP($A317,EnrollData2324,'2324 Jun 24 Enroll'!D$1,FALSE)*Apport_M802324+VLOOKUP($A317,EnrollData2324,'2324 Jun 24 Enroll'!M$1,FALSE)*Apport_M802324+(VLOOKUP($A317,EnrollData2324,'2324 Jun 24 Enroll'!P$1,FALSE)+VLOOKUP($A317,EnrollData2324,'2324 Jun 24 Enroll'!Q$1,FALSE)+VLOOKUP($A317,EnrollData2324,'2324 Jun 24 Enroll'!R$1,FALSE)+VLOOKUP($A317,EnrollData2324,'2324 Jun 24 Enroll'!I$1,FALSE)+VLOOKUP($A317,EnrollData2324,'2324 Jun 24 Enroll'!N$1,FALSE)+VLOOKUP($A317,EnrollData2324,'2324 Jun 24 Enroll'!O$1,FALSE)+VLOOKUP($A317,EnrollData2324,'2324 Jun 24 Enroll'!K$1,FALSE)+VLOOKUP($A317,EnrollData2324,'2324 Jun 24 Enroll'!L$1,FALSE))*Apport_M812324)/(VLOOKUP($A317,EnrollData2324,'2324 Jun 24 Enroll'!M$1,FALSE)+VLOOKUP($A317,EnrollData2324,'2324 Jun 24 Enroll'!D$1,FALSE)),2)</f>
        <v>1552.38</v>
      </c>
      <c r="AS317" s="7">
        <f t="shared" si="88"/>
        <v>9425.41</v>
      </c>
    </row>
    <row r="318" spans="1:45">
      <c r="A318" s="40" t="s">
        <v>825</v>
      </c>
      <c r="B318" s="40" t="s">
        <v>826</v>
      </c>
      <c r="C318" s="11">
        <f>ROUND((IFERROR((1/IF(VLOOKUP($A318,EnrollData2324,28,FALSE)='District Calculations'!$B$10,VLOOKUP($A318,EnrollData2324,28,FALSE),'District Calculations'!$B$10))*(1+Apport_Z315),0))+Apport_201A2324,6)</f>
        <v>7.3449E-2</v>
      </c>
      <c r="D318">
        <f>ROUND(IF(VLOOKUP($A318,EnrollData2324,'2324 Jun 24 Enroll'!D$1,FALSE)='District Calculations'!$B$11,VLOOKUP($A318,EnrollData2324,'2324 Jun 24 Enroll'!D$1,FALSE),'District Calculations'!$B$11)*C318,3)</f>
        <v>0</v>
      </c>
      <c r="E318">
        <f>ROUND(IF(VLOOKUP($A318,EnrollData2324,'2324 Jun 24 Enroll'!E$1,FALSE)='District Calculations'!$B$12,VLOOKUP($A318,EnrollData2324,'2324 Jun 24 Enroll'!E$1,FALSE),'District Calculations'!$B$12)*C318,3)</f>
        <v>59.53</v>
      </c>
      <c r="F318">
        <f>ROUND(IF(VLOOKUP($A318,EnrollData2324,'2324 Jun 24 Enroll'!F$1,FALSE)='District Calculations'!$B$13,VLOOKUP($A318,EnrollData2324,'2324 Jun 24 Enroll'!F$1,FALSE),'District Calculations'!$B$13)*Apport_222A2324,3)</f>
        <v>10.101000000000001</v>
      </c>
      <c r="G318">
        <f>ROUND(IF(VLOOKUP($A318,EnrollData2324,'2324 Jun 24 Enroll'!G$1,FALSE)='District Calculations'!$B$14,VLOOKUP($A318,EnrollData2324,'2324 Jun 24 Enroll'!G$1,FALSE),'District Calculations'!$B$14)*Apport_210A2324,3)</f>
        <v>22.395</v>
      </c>
      <c r="H318">
        <f>ROUND(IF(VLOOKUP($A318,EnrollData2324,'2324 Jun 24 Enroll'!H$1,FALSE)='District Calculations'!$B$15,VLOOKUP($A318,EnrollData2324,'2324 Jun 24 Enroll'!H$1,FALSE),'District Calculations'!$B$15)*Apport_213A2324,3)</f>
        <v>23.091999999999999</v>
      </c>
      <c r="I318">
        <f>ROUND(IF(VLOOKUP($A318,EnrollData2324,'2324 Jun 24 Enroll'!I$1,FALSE)+VLOOKUP($A318,EnrollData2324,'2324 Jun 24 Enroll'!M$1,FALSE)-VLOOKUP($A318,EnrollData2324,'2324 Jun 24 Enroll'!J$1,FALSE)='District Calculations'!$B$16+'District Calculations'!$B$25-'District Calculations'!$B$17,VLOOKUP($A318,EnrollData2324,'2324 Jun 24 Enroll'!I$1,FALSE)+VLOOKUP($A318,EnrollData2324,'2324 Jun 24 Enroll'!M$1,FALSE)-VLOOKUP($A318,EnrollData2324,'2324 Jun 24 Enroll'!J$1,FALSE),'District Calculations'!$B$16+'District Calculations'!$B$25-'District Calculations'!$B$17)*Apport_216A2324,3)</f>
        <v>58.183999999999997</v>
      </c>
      <c r="J318">
        <f>ROUND(SUM(D318:I318)/(IF(VLOOKUP($A318,EnrollData2324,'2324 Jun 24 Enroll'!M$1,FALSE)='District Calculations'!$B$25,VLOOKUP($A318,EnrollData2324,'2324 Jun 24 Enroll'!M$1,FALSE),'District Calculations'!$B$25)+IF(VLOOKUP($A318,EnrollData2324,'2324 Jun 24 Enroll'!D$1,FALSE)='District Calculations'!$B$11,VLOOKUP($A318,EnrollData2324,'2324 Jun 24 Enroll'!D$1,FALSE),'District Calculations'!$B$11)),5)</f>
        <v>5.5530000000000003E-2</v>
      </c>
      <c r="K318" s="11">
        <f t="shared" si="78"/>
        <v>4.365E-3</v>
      </c>
      <c r="L318">
        <f>ROUND(IF(VLOOKUP($A318,EnrollData2324,'2324 Jun 24 Enroll'!D$1,FALSE)='District Calculations'!$B$11,VLOOKUP($A318,EnrollData2324,'2324 Jun 24 Enroll'!D$1,FALSE),'District Calculations'!$B$11)*K318,3)</f>
        <v>0</v>
      </c>
      <c r="M318">
        <f>ROUND(IF(VLOOKUP($A318,EnrollData2324,'2324 Jun 24 Enroll'!E$1,FALSE)='District Calculations'!$B$12,VLOOKUP($A318,EnrollData2324,'2324 Jun 24 Enroll'!E$1,FALSE),'District Calculations'!$B$12)*K318,3)</f>
        <v>3.5379999999999998</v>
      </c>
      <c r="N318">
        <f>ROUND(IF(VLOOKUP($A318,EnrollData2324,'2324 Jun 24 Enroll'!F$1,FALSE)='District Calculations'!$B$13,VLOOKUP($A318,EnrollData2324,'2324 Jun 24 Enroll'!F$1,FALSE),'District Calculations'!$B$13)*Apport_223A2324,3)</f>
        <v>0.84199999999999997</v>
      </c>
      <c r="O318">
        <f>ROUND(IF(VLOOKUP($A318,EnrollData2324,'2324 Jun 24 Enroll'!G$1,FALSE)='District Calculations'!$B$14,VLOOKUP($A318,EnrollData2324,'2324 Jun 24 Enroll'!G$1,FALSE),'District Calculations'!$B$14)*Apport_211A2324,3)</f>
        <v>1.867</v>
      </c>
      <c r="P318">
        <f>ROUND(IF(VLOOKUP($A318,EnrollData2324,'2324 Jun 24 Enroll'!H$1,FALSE)='District Calculations'!$B$14,VLOOKUP($A318,EnrollData2324,'2324 Jun 24 Enroll'!H$1,FALSE),'District Calculations'!$B$14)*Apport_214A2324,3)</f>
        <v>1.8660000000000001</v>
      </c>
      <c r="Q318">
        <f>ROUND(IF(VLOOKUP($A318,EnrollData2324,'2324 Jun 24 Enroll'!I$1,FALSE)+VLOOKUP($A318,EnrollData2324,'2324 Jun 24 Enroll'!M$1,FALSE)-VLOOKUP($A318,EnrollData2324,'2324 Jun 24 Enroll'!J$1,FALSE)='District Calculations'!$B$16+'District Calculations'!$B$25-'District Calculations'!$B$17,VLOOKUP($A318,EnrollData2324,'2324 Jun 24 Enroll'!I$1,FALSE)+VLOOKUP($A318,EnrollData2324,'2324 Jun 24 Enroll'!M$1,FALSE)-VLOOKUP($A318,EnrollData2324,'2324 Jun 24 Enroll'!J$1,FALSE),'District Calculations'!$B$16+'District Calculations'!$B$25-'District Calculations'!$B$17)*Apport_217A2324,3)</f>
        <v>4.6980000000000004</v>
      </c>
      <c r="R318">
        <f>ROUND(SUM(L318:Q318)/IF(VLOOKUP($A318,EnrollData2324,'2324 Jun 24 Enroll'!M$1,FALSE)+VLOOKUP($A318,EnrollData2324,'2324 Jun 24 Enroll'!D$1,FALSE)='District Calculations'!$B$25+'District Calculations'!$B$11,VLOOKUP($A318,EnrollData2324,'2324 Jun 24 Enroll'!M$1,FALSE)+VLOOKUP($A318,EnrollData2324,'2324 Jun 24 Enroll'!D$1,FALSE),'District Calculations'!$B$25+'District Calculations'!$B$11),5)</f>
        <v>4.1000000000000003E-3</v>
      </c>
      <c r="S318" s="11">
        <f t="shared" si="79"/>
        <v>1.8294500000000002E-2</v>
      </c>
      <c r="T318">
        <f>ROUND(IF(VLOOKUP($A318,EnrollData2324,'2324 Jun 24 Enroll'!D$1,FALSE)='District Calculations'!$B$11,VLOOKUP($A318,EnrollData2324,'2324 Jun 24 Enroll'!D$1,FALSE),'District Calculations'!$B$11)*S318,3)</f>
        <v>0</v>
      </c>
      <c r="U318">
        <f>ROUND(IF(VLOOKUP($A318,EnrollData2324,'2324 Jun 24 Enroll'!E$1,FALSE)='District Calculations'!$B$12,VLOOKUP($A318,EnrollData2324,'2324 Jun 24 Enroll'!E$1,FALSE),'District Calculations'!$B$12)*S318,3)</f>
        <v>14.827999999999999</v>
      </c>
      <c r="V318">
        <f>ROUND(IF(VLOOKUP($A318,EnrollData2324,'2324 Jun 24 Enroll'!F$1,FALSE)='District Calculations'!$B$13,VLOOKUP($A318,EnrollData2324,'2324 Jun 24 Enroll'!F$1,FALSE),'District Calculations'!$B$13)*Apport_224A2324,3)</f>
        <v>3.6190000000000002</v>
      </c>
      <c r="W318">
        <f>ROUND(IF(VLOOKUP($A318,EnrollData2324,'2324 Jun 24 Enroll'!G$1,FALSE)='District Calculations'!$B$14,VLOOKUP($A318,EnrollData2324,'2324 Jun 24 Enroll'!G$1,FALSE),'District Calculations'!$B$14)*Apport_212A2324,3)</f>
        <v>8.0239999999999991</v>
      </c>
      <c r="X318">
        <f>ROUND(IF(VLOOKUP($A318,EnrollData2324,'2324 Jun 24 Enroll'!H$1,FALSE)='District Calculations'!$B$14,VLOOKUP($A318,EnrollData2324,'2324 Jun 24 Enroll'!H$1,FALSE),'District Calculations'!$B$14)*Apport_215A2324,3)</f>
        <v>7.9279999999999999</v>
      </c>
      <c r="Y318">
        <f>ROUND(IF(VLOOKUP($A318,EnrollData2324,'2324 Jun 24 Enroll'!I$1,FALSE)+VLOOKUP($A318,EnrollData2324,'2324 Jun 24 Enroll'!M$1,FALSE)-VLOOKUP($A318,EnrollData2324,'2324 Jun 24 Enroll'!J$1,FALSE)='District Calculations'!$B$16+'District Calculations'!$B$25-'District Calculations'!$B$17,VLOOKUP($A318,EnrollData2324,'2324 Jun 24 Enroll'!I$1,FALSE)+VLOOKUP($A318,EnrollData2324,'2324 Jun 24 Enroll'!M$1,FALSE)-VLOOKUP($A318,EnrollData2324,'2324 Jun 24 Enroll'!J$1,FALSE),'District Calculations'!$B$16+'District Calculations'!$B$25-'District Calculations'!$B$17)*Apport_218A2324,3)</f>
        <v>19.917999999999999</v>
      </c>
      <c r="Z318">
        <f>ROUND(SUM(T318:Y318)/IF(VLOOKUP($A318,EnrollData2324,'2324 Jun 24 Enroll'!M$1,FALSE)+VLOOKUP($A318,EnrollData2324,'2324 Jun 24 Enroll'!D$1,FALSE)='District Calculations'!$B$25+'District Calculations'!$B$11,VLOOKUP($A318,EnrollData2324,'2324 Jun 24 Enroll'!M$1,FALSE)+VLOOKUP($A318,EnrollData2324,'2324 Jun 24 Enroll'!D$1,FALSE),'District Calculations'!$B$25+'District Calculations'!$B$11),5)</f>
        <v>1.7399999999999999E-2</v>
      </c>
      <c r="AA318" s="6">
        <f>ROUND($J318*CIS_Base_Salary2324*VLOOKUP($A318,EnrollData2324,'2324 Jun 24 Enroll'!S$1,FALSE),2)</f>
        <v>4038.59</v>
      </c>
      <c r="AB318" s="6">
        <f>ROUND($J318*CIS_Inc_Salary2324*(VLOOKUP($A318,EnrollData2324,'2324 Jun 24 Enroll'!T$1,FALSE)+VLOOKUP($A318,EnrollData2324,'2324 Jun 24 Enroll'!U$1,FALSE)),2)-AA318</f>
        <v>149.43000000000029</v>
      </c>
      <c r="AC318" s="6">
        <f>ROUND($R318*CAS_Base_Salary2324*VLOOKUP($A318,EnrollData2324,'2324 Jun 24 Enroll'!S$1,FALSE),2)</f>
        <v>442.62</v>
      </c>
      <c r="AD318" s="6">
        <f>ROUND($R318*CAS_Inc_Salary2324*VLOOKUP($A318,EnrollData2324,'2324 Jun 24 Enroll'!T$1,FALSE),2)-AC318</f>
        <v>16.379999999999995</v>
      </c>
      <c r="AE318" s="6">
        <f>ROUND($Z318*CLS_Base_Salary2324*VLOOKUP($A318,EnrollData2324,'2324 Jun 24 Enroll'!S$1,FALSE),2)</f>
        <v>907.81</v>
      </c>
      <c r="AF318" s="6">
        <f>ROUND($Z318*CLS_Inc_Salary2324*VLOOKUP($A318,EnrollData2324,'2324 Jun 24 Enroll'!T$1,FALSE),2)-AE318</f>
        <v>33.580000000000041</v>
      </c>
      <c r="AG318">
        <f t="shared" si="76"/>
        <v>734.16</v>
      </c>
      <c r="AH318" s="69">
        <f t="shared" si="80"/>
        <v>68.700000000000045</v>
      </c>
      <c r="AI318">
        <f t="shared" si="77"/>
        <v>214.23</v>
      </c>
      <c r="AJ318">
        <f t="shared" si="81"/>
        <v>114.21000000000001</v>
      </c>
      <c r="AK318">
        <f t="shared" si="82"/>
        <v>805.27</v>
      </c>
      <c r="AL318">
        <f t="shared" si="83"/>
        <v>28.73</v>
      </c>
      <c r="AM318">
        <f t="shared" si="84"/>
        <v>200.26</v>
      </c>
      <c r="AN318">
        <f t="shared" si="85"/>
        <v>6.23</v>
      </c>
      <c r="AO318">
        <f>ROUND(($J318*CIS_Inc_Salary2324*(VLOOKUP($A318,EnrollData2324,'2324 Jun 24 Enroll'!T$1,FALSE)+VLOOKUP($A318,EnrollData2324,'2324 Jun 24 Enroll'!U$1,FALSE))/Apport_613Xpd)*Apport_614Xpd,2)</f>
        <v>69.8</v>
      </c>
      <c r="AP318">
        <f t="shared" si="86"/>
        <v>12.1</v>
      </c>
      <c r="AQ318">
        <f t="shared" si="87"/>
        <v>30.93</v>
      </c>
      <c r="AR318" s="6">
        <f>ROUND((VLOOKUP($A318,EnrollData2324,'2324 Jun 24 Enroll'!D$1,FALSE)*Apport_M802324+VLOOKUP($A318,EnrollData2324,'2324 Jun 24 Enroll'!M$1,FALSE)*Apport_M802324+(VLOOKUP($A318,EnrollData2324,'2324 Jun 24 Enroll'!P$1,FALSE)+VLOOKUP($A318,EnrollData2324,'2324 Jun 24 Enroll'!Q$1,FALSE)+VLOOKUP($A318,EnrollData2324,'2324 Jun 24 Enroll'!R$1,FALSE)+VLOOKUP($A318,EnrollData2324,'2324 Jun 24 Enroll'!I$1,FALSE)+VLOOKUP($A318,EnrollData2324,'2324 Jun 24 Enroll'!N$1,FALSE)+VLOOKUP($A318,EnrollData2324,'2324 Jun 24 Enroll'!O$1,FALSE)+VLOOKUP($A318,EnrollData2324,'2324 Jun 24 Enroll'!K$1,FALSE)+VLOOKUP($A318,EnrollData2324,'2324 Jun 24 Enroll'!L$1,FALSE))*Apport_M812324)/(VLOOKUP($A318,EnrollData2324,'2324 Jun 24 Enroll'!M$1,FALSE)+VLOOKUP($A318,EnrollData2324,'2324 Jun 24 Enroll'!D$1,FALSE)),2)</f>
        <v>1569.23</v>
      </c>
      <c r="AS318" s="7">
        <f t="shared" si="88"/>
        <v>9442.26</v>
      </c>
    </row>
    <row r="319" spans="1:45">
      <c r="A319" s="40" t="s">
        <v>500</v>
      </c>
      <c r="B319" s="40" t="s">
        <v>501</v>
      </c>
      <c r="C319" s="11">
        <f>ROUND((IFERROR((1/IF(VLOOKUP($A319,EnrollData2324,28,FALSE)='District Calculations'!$B$10,VLOOKUP($A319,EnrollData2324,28,FALSE),'District Calculations'!$B$10))*(1+Apport_Z315),0))+Apport_201A2324,6)</f>
        <v>7.3449E-2</v>
      </c>
      <c r="D319">
        <f>ROUND(IF(VLOOKUP($A319,EnrollData2324,'2324 Jun 24 Enroll'!D$1,FALSE)='District Calculations'!$B$11,VLOOKUP($A319,EnrollData2324,'2324 Jun 24 Enroll'!D$1,FALSE),'District Calculations'!$B$11)*C319,3)</f>
        <v>0</v>
      </c>
      <c r="E319">
        <f>ROUND(IF(VLOOKUP($A319,EnrollData2324,'2324 Jun 24 Enroll'!E$1,FALSE)='District Calculations'!$B$12,VLOOKUP($A319,EnrollData2324,'2324 Jun 24 Enroll'!E$1,FALSE),'District Calculations'!$B$12)*C319,3)</f>
        <v>59.53</v>
      </c>
      <c r="F319">
        <f>ROUND(IF(VLOOKUP($A319,EnrollData2324,'2324 Jun 24 Enroll'!F$1,FALSE)='District Calculations'!$B$13,VLOOKUP($A319,EnrollData2324,'2324 Jun 24 Enroll'!F$1,FALSE),'District Calculations'!$B$13)*Apport_222A2324,3)</f>
        <v>10.101000000000001</v>
      </c>
      <c r="G319">
        <f>ROUND(IF(VLOOKUP($A319,EnrollData2324,'2324 Jun 24 Enroll'!G$1,FALSE)='District Calculations'!$B$14,VLOOKUP($A319,EnrollData2324,'2324 Jun 24 Enroll'!G$1,FALSE),'District Calculations'!$B$14)*Apport_210A2324,3)</f>
        <v>22.395</v>
      </c>
      <c r="H319">
        <f>ROUND(IF(VLOOKUP($A319,EnrollData2324,'2324 Jun 24 Enroll'!H$1,FALSE)='District Calculations'!$B$15,VLOOKUP($A319,EnrollData2324,'2324 Jun 24 Enroll'!H$1,FALSE),'District Calculations'!$B$15)*Apport_213A2324,3)</f>
        <v>23.091999999999999</v>
      </c>
      <c r="I319">
        <f>ROUND(IF(VLOOKUP($A319,EnrollData2324,'2324 Jun 24 Enroll'!I$1,FALSE)+VLOOKUP($A319,EnrollData2324,'2324 Jun 24 Enroll'!M$1,FALSE)-VLOOKUP($A319,EnrollData2324,'2324 Jun 24 Enroll'!J$1,FALSE)='District Calculations'!$B$16+'District Calculations'!$B$25-'District Calculations'!$B$17,VLOOKUP($A319,EnrollData2324,'2324 Jun 24 Enroll'!I$1,FALSE)+VLOOKUP($A319,EnrollData2324,'2324 Jun 24 Enroll'!M$1,FALSE)-VLOOKUP($A319,EnrollData2324,'2324 Jun 24 Enroll'!J$1,FALSE),'District Calculations'!$B$16+'District Calculations'!$B$25-'District Calculations'!$B$17)*Apport_216A2324,3)</f>
        <v>58.183999999999997</v>
      </c>
      <c r="J319">
        <f>ROUND(SUM(D319:I319)/(IF(VLOOKUP($A319,EnrollData2324,'2324 Jun 24 Enroll'!M$1,FALSE)='District Calculations'!$B$25,VLOOKUP($A319,EnrollData2324,'2324 Jun 24 Enroll'!M$1,FALSE),'District Calculations'!$B$25)+IF(VLOOKUP($A319,EnrollData2324,'2324 Jun 24 Enroll'!D$1,FALSE)='District Calculations'!$B$11,VLOOKUP($A319,EnrollData2324,'2324 Jun 24 Enroll'!D$1,FALSE),'District Calculations'!$B$11)),5)</f>
        <v>5.5530000000000003E-2</v>
      </c>
      <c r="K319" s="11">
        <f t="shared" si="78"/>
        <v>4.365E-3</v>
      </c>
      <c r="L319">
        <f>ROUND(IF(VLOOKUP($A319,EnrollData2324,'2324 Jun 24 Enroll'!D$1,FALSE)='District Calculations'!$B$11,VLOOKUP($A319,EnrollData2324,'2324 Jun 24 Enroll'!D$1,FALSE),'District Calculations'!$B$11)*K319,3)</f>
        <v>0</v>
      </c>
      <c r="M319">
        <f>ROUND(IF(VLOOKUP($A319,EnrollData2324,'2324 Jun 24 Enroll'!E$1,FALSE)='District Calculations'!$B$12,VLOOKUP($A319,EnrollData2324,'2324 Jun 24 Enroll'!E$1,FALSE),'District Calculations'!$B$12)*K319,3)</f>
        <v>3.5379999999999998</v>
      </c>
      <c r="N319">
        <f>ROUND(IF(VLOOKUP($A319,EnrollData2324,'2324 Jun 24 Enroll'!F$1,FALSE)='District Calculations'!$B$13,VLOOKUP($A319,EnrollData2324,'2324 Jun 24 Enroll'!F$1,FALSE),'District Calculations'!$B$13)*Apport_223A2324,3)</f>
        <v>0.84199999999999997</v>
      </c>
      <c r="O319">
        <f>ROUND(IF(VLOOKUP($A319,EnrollData2324,'2324 Jun 24 Enroll'!G$1,FALSE)='District Calculations'!$B$14,VLOOKUP($A319,EnrollData2324,'2324 Jun 24 Enroll'!G$1,FALSE),'District Calculations'!$B$14)*Apport_211A2324,3)</f>
        <v>1.867</v>
      </c>
      <c r="P319">
        <f>ROUND(IF(VLOOKUP($A319,EnrollData2324,'2324 Jun 24 Enroll'!H$1,FALSE)='District Calculations'!$B$14,VLOOKUP($A319,EnrollData2324,'2324 Jun 24 Enroll'!H$1,FALSE),'District Calculations'!$B$14)*Apport_214A2324,3)</f>
        <v>1.8660000000000001</v>
      </c>
      <c r="Q319">
        <f>ROUND(IF(VLOOKUP($A319,EnrollData2324,'2324 Jun 24 Enroll'!I$1,FALSE)+VLOOKUP($A319,EnrollData2324,'2324 Jun 24 Enroll'!M$1,FALSE)-VLOOKUP($A319,EnrollData2324,'2324 Jun 24 Enroll'!J$1,FALSE)='District Calculations'!$B$16+'District Calculations'!$B$25-'District Calculations'!$B$17,VLOOKUP($A319,EnrollData2324,'2324 Jun 24 Enroll'!I$1,FALSE)+VLOOKUP($A319,EnrollData2324,'2324 Jun 24 Enroll'!M$1,FALSE)-VLOOKUP($A319,EnrollData2324,'2324 Jun 24 Enroll'!J$1,FALSE),'District Calculations'!$B$16+'District Calculations'!$B$25-'District Calculations'!$B$17)*Apport_217A2324,3)</f>
        <v>4.6980000000000004</v>
      </c>
      <c r="R319">
        <f>ROUND(SUM(L319:Q319)/IF(VLOOKUP($A319,EnrollData2324,'2324 Jun 24 Enroll'!M$1,FALSE)+VLOOKUP($A319,EnrollData2324,'2324 Jun 24 Enroll'!D$1,FALSE)='District Calculations'!$B$25+'District Calculations'!$B$11,VLOOKUP($A319,EnrollData2324,'2324 Jun 24 Enroll'!M$1,FALSE)+VLOOKUP($A319,EnrollData2324,'2324 Jun 24 Enroll'!D$1,FALSE),'District Calculations'!$B$25+'District Calculations'!$B$11),5)</f>
        <v>4.1000000000000003E-3</v>
      </c>
      <c r="S319" s="11">
        <f t="shared" si="79"/>
        <v>1.8294500000000002E-2</v>
      </c>
      <c r="T319">
        <f>ROUND(IF(VLOOKUP($A319,EnrollData2324,'2324 Jun 24 Enroll'!D$1,FALSE)='District Calculations'!$B$11,VLOOKUP($A319,EnrollData2324,'2324 Jun 24 Enroll'!D$1,FALSE),'District Calculations'!$B$11)*S319,3)</f>
        <v>0</v>
      </c>
      <c r="U319">
        <f>ROUND(IF(VLOOKUP($A319,EnrollData2324,'2324 Jun 24 Enroll'!E$1,FALSE)='District Calculations'!$B$12,VLOOKUP($A319,EnrollData2324,'2324 Jun 24 Enroll'!E$1,FALSE),'District Calculations'!$B$12)*S319,3)</f>
        <v>14.827999999999999</v>
      </c>
      <c r="V319">
        <f>ROUND(IF(VLOOKUP($A319,EnrollData2324,'2324 Jun 24 Enroll'!F$1,FALSE)='District Calculations'!$B$13,VLOOKUP($A319,EnrollData2324,'2324 Jun 24 Enroll'!F$1,FALSE),'District Calculations'!$B$13)*Apport_224A2324,3)</f>
        <v>3.6190000000000002</v>
      </c>
      <c r="W319">
        <f>ROUND(IF(VLOOKUP($A319,EnrollData2324,'2324 Jun 24 Enroll'!G$1,FALSE)='District Calculations'!$B$14,VLOOKUP($A319,EnrollData2324,'2324 Jun 24 Enroll'!G$1,FALSE),'District Calculations'!$B$14)*Apport_212A2324,3)</f>
        <v>8.0239999999999991</v>
      </c>
      <c r="X319">
        <f>ROUND(IF(VLOOKUP($A319,EnrollData2324,'2324 Jun 24 Enroll'!H$1,FALSE)='District Calculations'!$B$14,VLOOKUP($A319,EnrollData2324,'2324 Jun 24 Enroll'!H$1,FALSE),'District Calculations'!$B$14)*Apport_215A2324,3)</f>
        <v>7.9279999999999999</v>
      </c>
      <c r="Y319">
        <f>ROUND(IF(VLOOKUP($A319,EnrollData2324,'2324 Jun 24 Enroll'!I$1,FALSE)+VLOOKUP($A319,EnrollData2324,'2324 Jun 24 Enroll'!M$1,FALSE)-VLOOKUP($A319,EnrollData2324,'2324 Jun 24 Enroll'!J$1,FALSE)='District Calculations'!$B$16+'District Calculations'!$B$25-'District Calculations'!$B$17,VLOOKUP($A319,EnrollData2324,'2324 Jun 24 Enroll'!I$1,FALSE)+VLOOKUP($A319,EnrollData2324,'2324 Jun 24 Enroll'!M$1,FALSE)-VLOOKUP($A319,EnrollData2324,'2324 Jun 24 Enroll'!J$1,FALSE),'District Calculations'!$B$16+'District Calculations'!$B$25-'District Calculations'!$B$17)*Apport_218A2324,3)</f>
        <v>19.917999999999999</v>
      </c>
      <c r="Z319">
        <f>ROUND(SUM(T319:Y319)/IF(VLOOKUP($A319,EnrollData2324,'2324 Jun 24 Enroll'!M$1,FALSE)+VLOOKUP($A319,EnrollData2324,'2324 Jun 24 Enroll'!D$1,FALSE)='District Calculations'!$B$25+'District Calculations'!$B$11,VLOOKUP($A319,EnrollData2324,'2324 Jun 24 Enroll'!M$1,FALSE)+VLOOKUP($A319,EnrollData2324,'2324 Jun 24 Enroll'!D$1,FALSE),'District Calculations'!$B$25+'District Calculations'!$B$11),5)</f>
        <v>1.7399999999999999E-2</v>
      </c>
      <c r="AA319" s="6">
        <f>ROUND($J319*CIS_Base_Salary2324*VLOOKUP($A319,EnrollData2324,'2324 Jun 24 Enroll'!S$1,FALSE),2)</f>
        <v>4038.59</v>
      </c>
      <c r="AB319" s="6">
        <f>ROUND($J319*CIS_Inc_Salary2324*(VLOOKUP($A319,EnrollData2324,'2324 Jun 24 Enroll'!T$1,FALSE)+VLOOKUP($A319,EnrollData2324,'2324 Jun 24 Enroll'!U$1,FALSE)),2)-AA319</f>
        <v>149.43000000000029</v>
      </c>
      <c r="AC319" s="6">
        <f>ROUND($R319*CAS_Base_Salary2324*VLOOKUP($A319,EnrollData2324,'2324 Jun 24 Enroll'!S$1,FALSE),2)</f>
        <v>442.62</v>
      </c>
      <c r="AD319" s="6">
        <f>ROUND($R319*CAS_Inc_Salary2324*VLOOKUP($A319,EnrollData2324,'2324 Jun 24 Enroll'!T$1,FALSE),2)-AC319</f>
        <v>16.379999999999995</v>
      </c>
      <c r="AE319" s="6">
        <f>ROUND($Z319*CLS_Base_Salary2324*VLOOKUP($A319,EnrollData2324,'2324 Jun 24 Enroll'!S$1,FALSE),2)</f>
        <v>907.81</v>
      </c>
      <c r="AF319" s="6">
        <f>ROUND($Z319*CLS_Inc_Salary2324*VLOOKUP($A319,EnrollData2324,'2324 Jun 24 Enroll'!T$1,FALSE),2)-AE319</f>
        <v>33.580000000000041</v>
      </c>
      <c r="AG319">
        <f t="shared" si="76"/>
        <v>734.16</v>
      </c>
      <c r="AH319" s="69">
        <f t="shared" si="80"/>
        <v>68.700000000000045</v>
      </c>
      <c r="AI319">
        <f t="shared" si="77"/>
        <v>214.23</v>
      </c>
      <c r="AJ319">
        <f t="shared" si="81"/>
        <v>114.21000000000001</v>
      </c>
      <c r="AK319">
        <f t="shared" si="82"/>
        <v>805.27</v>
      </c>
      <c r="AL319">
        <f t="shared" si="83"/>
        <v>28.73</v>
      </c>
      <c r="AM319">
        <f t="shared" si="84"/>
        <v>200.26</v>
      </c>
      <c r="AN319">
        <f t="shared" si="85"/>
        <v>6.23</v>
      </c>
      <c r="AO319">
        <f>ROUND(($J319*CIS_Inc_Salary2324*(VLOOKUP($A319,EnrollData2324,'2324 Jun 24 Enroll'!T$1,FALSE)+VLOOKUP($A319,EnrollData2324,'2324 Jun 24 Enroll'!U$1,FALSE))/Apport_613Xpd)*Apport_614Xpd,2)</f>
        <v>69.8</v>
      </c>
      <c r="AP319">
        <f t="shared" si="86"/>
        <v>12.1</v>
      </c>
      <c r="AQ319">
        <f t="shared" si="87"/>
        <v>30.93</v>
      </c>
      <c r="AR319" s="6">
        <f>ROUND((VLOOKUP($A319,EnrollData2324,'2324 Jun 24 Enroll'!D$1,FALSE)*Apport_M802324+VLOOKUP($A319,EnrollData2324,'2324 Jun 24 Enroll'!M$1,FALSE)*Apport_M802324+(VLOOKUP($A319,EnrollData2324,'2324 Jun 24 Enroll'!P$1,FALSE)+VLOOKUP($A319,EnrollData2324,'2324 Jun 24 Enroll'!Q$1,FALSE)+VLOOKUP($A319,EnrollData2324,'2324 Jun 24 Enroll'!R$1,FALSE)+VLOOKUP($A319,EnrollData2324,'2324 Jun 24 Enroll'!I$1,FALSE)+VLOOKUP($A319,EnrollData2324,'2324 Jun 24 Enroll'!N$1,FALSE)+VLOOKUP($A319,EnrollData2324,'2324 Jun 24 Enroll'!O$1,FALSE)+VLOOKUP($A319,EnrollData2324,'2324 Jun 24 Enroll'!K$1,FALSE)+VLOOKUP($A319,EnrollData2324,'2324 Jun 24 Enroll'!L$1,FALSE))*Apport_M812324)/(VLOOKUP($A319,EnrollData2324,'2324 Jun 24 Enroll'!M$1,FALSE)+VLOOKUP($A319,EnrollData2324,'2324 Jun 24 Enroll'!D$1,FALSE)),2)</f>
        <v>1551.33</v>
      </c>
      <c r="AS319" s="7">
        <f t="shared" si="88"/>
        <v>9424.36</v>
      </c>
    </row>
    <row r="320" spans="1:45">
      <c r="A320" s="40" t="s">
        <v>486</v>
      </c>
      <c r="B320" s="40" t="s">
        <v>487</v>
      </c>
      <c r="C320" s="11">
        <f>ROUND((IFERROR((1/IF(VLOOKUP($A320,EnrollData2324,28,FALSE)='District Calculations'!$B$10,VLOOKUP($A320,EnrollData2324,28,FALSE),'District Calculations'!$B$10))*(1+Apport_Z315),0))+Apport_201A2324,6)</f>
        <v>7.3449E-2</v>
      </c>
      <c r="D320">
        <f>ROUND(IF(VLOOKUP($A320,EnrollData2324,'2324 Jun 24 Enroll'!D$1,FALSE)='District Calculations'!$B$11,VLOOKUP($A320,EnrollData2324,'2324 Jun 24 Enroll'!D$1,FALSE),'District Calculations'!$B$11)*C320,3)</f>
        <v>0</v>
      </c>
      <c r="E320">
        <f>ROUND(IF(VLOOKUP($A320,EnrollData2324,'2324 Jun 24 Enroll'!E$1,FALSE)='District Calculations'!$B$12,VLOOKUP($A320,EnrollData2324,'2324 Jun 24 Enroll'!E$1,FALSE),'District Calculations'!$B$12)*C320,3)</f>
        <v>59.53</v>
      </c>
      <c r="F320">
        <f>ROUND(IF(VLOOKUP($A320,EnrollData2324,'2324 Jun 24 Enroll'!F$1,FALSE)='District Calculations'!$B$13,VLOOKUP($A320,EnrollData2324,'2324 Jun 24 Enroll'!F$1,FALSE),'District Calculations'!$B$13)*Apport_222A2324,3)</f>
        <v>10.101000000000001</v>
      </c>
      <c r="G320">
        <f>ROUND(IF(VLOOKUP($A320,EnrollData2324,'2324 Jun 24 Enroll'!G$1,FALSE)='District Calculations'!$B$14,VLOOKUP($A320,EnrollData2324,'2324 Jun 24 Enroll'!G$1,FALSE),'District Calculations'!$B$14)*Apport_210A2324,3)</f>
        <v>22.395</v>
      </c>
      <c r="H320">
        <f>ROUND(IF(VLOOKUP($A320,EnrollData2324,'2324 Jun 24 Enroll'!H$1,FALSE)='District Calculations'!$B$15,VLOOKUP($A320,EnrollData2324,'2324 Jun 24 Enroll'!H$1,FALSE),'District Calculations'!$B$15)*Apport_213A2324,3)</f>
        <v>23.091999999999999</v>
      </c>
      <c r="I320">
        <f>ROUND(IF(VLOOKUP($A320,EnrollData2324,'2324 Jun 24 Enroll'!I$1,FALSE)+VLOOKUP($A320,EnrollData2324,'2324 Jun 24 Enroll'!M$1,FALSE)-VLOOKUP($A320,EnrollData2324,'2324 Jun 24 Enroll'!J$1,FALSE)='District Calculations'!$B$16+'District Calculations'!$B$25-'District Calculations'!$B$17,VLOOKUP($A320,EnrollData2324,'2324 Jun 24 Enroll'!I$1,FALSE)+VLOOKUP($A320,EnrollData2324,'2324 Jun 24 Enroll'!M$1,FALSE)-VLOOKUP($A320,EnrollData2324,'2324 Jun 24 Enroll'!J$1,FALSE),'District Calculations'!$B$16+'District Calculations'!$B$25-'District Calculations'!$B$17)*Apport_216A2324,3)</f>
        <v>58.183999999999997</v>
      </c>
      <c r="J320">
        <f>ROUND(SUM(D320:I320)/(IF(VLOOKUP($A320,EnrollData2324,'2324 Jun 24 Enroll'!M$1,FALSE)='District Calculations'!$B$25,VLOOKUP($A320,EnrollData2324,'2324 Jun 24 Enroll'!M$1,FALSE),'District Calculations'!$B$25)+IF(VLOOKUP($A320,EnrollData2324,'2324 Jun 24 Enroll'!D$1,FALSE)='District Calculations'!$B$11,VLOOKUP($A320,EnrollData2324,'2324 Jun 24 Enroll'!D$1,FALSE),'District Calculations'!$B$11)),5)</f>
        <v>5.5530000000000003E-2</v>
      </c>
      <c r="K320" s="11">
        <f t="shared" si="78"/>
        <v>4.365E-3</v>
      </c>
      <c r="L320">
        <f>ROUND(IF(VLOOKUP($A320,EnrollData2324,'2324 Jun 24 Enroll'!D$1,FALSE)='District Calculations'!$B$11,VLOOKUP($A320,EnrollData2324,'2324 Jun 24 Enroll'!D$1,FALSE),'District Calculations'!$B$11)*K320,3)</f>
        <v>0</v>
      </c>
      <c r="M320">
        <f>ROUND(IF(VLOOKUP($A320,EnrollData2324,'2324 Jun 24 Enroll'!E$1,FALSE)='District Calculations'!$B$12,VLOOKUP($A320,EnrollData2324,'2324 Jun 24 Enroll'!E$1,FALSE),'District Calculations'!$B$12)*K320,3)</f>
        <v>3.5379999999999998</v>
      </c>
      <c r="N320">
        <f>ROUND(IF(VLOOKUP($A320,EnrollData2324,'2324 Jun 24 Enroll'!F$1,FALSE)='District Calculations'!$B$13,VLOOKUP($A320,EnrollData2324,'2324 Jun 24 Enroll'!F$1,FALSE),'District Calculations'!$B$13)*Apport_223A2324,3)</f>
        <v>0.84199999999999997</v>
      </c>
      <c r="O320">
        <f>ROUND(IF(VLOOKUP($A320,EnrollData2324,'2324 Jun 24 Enroll'!G$1,FALSE)='District Calculations'!$B$14,VLOOKUP($A320,EnrollData2324,'2324 Jun 24 Enroll'!G$1,FALSE),'District Calculations'!$B$14)*Apport_211A2324,3)</f>
        <v>1.867</v>
      </c>
      <c r="P320">
        <f>ROUND(IF(VLOOKUP($A320,EnrollData2324,'2324 Jun 24 Enroll'!H$1,FALSE)='District Calculations'!$B$14,VLOOKUP($A320,EnrollData2324,'2324 Jun 24 Enroll'!H$1,FALSE),'District Calculations'!$B$14)*Apport_214A2324,3)</f>
        <v>1.8660000000000001</v>
      </c>
      <c r="Q320">
        <f>ROUND(IF(VLOOKUP($A320,EnrollData2324,'2324 Jun 24 Enroll'!I$1,FALSE)+VLOOKUP($A320,EnrollData2324,'2324 Jun 24 Enroll'!M$1,FALSE)-VLOOKUP($A320,EnrollData2324,'2324 Jun 24 Enroll'!J$1,FALSE)='District Calculations'!$B$16+'District Calculations'!$B$25-'District Calculations'!$B$17,VLOOKUP($A320,EnrollData2324,'2324 Jun 24 Enroll'!I$1,FALSE)+VLOOKUP($A320,EnrollData2324,'2324 Jun 24 Enroll'!M$1,FALSE)-VLOOKUP($A320,EnrollData2324,'2324 Jun 24 Enroll'!J$1,FALSE),'District Calculations'!$B$16+'District Calculations'!$B$25-'District Calculations'!$B$17)*Apport_217A2324,3)</f>
        <v>4.6980000000000004</v>
      </c>
      <c r="R320">
        <f>ROUND(SUM(L320:Q320)/IF(VLOOKUP($A320,EnrollData2324,'2324 Jun 24 Enroll'!M$1,FALSE)+VLOOKUP($A320,EnrollData2324,'2324 Jun 24 Enroll'!D$1,FALSE)='District Calculations'!$B$25+'District Calculations'!$B$11,VLOOKUP($A320,EnrollData2324,'2324 Jun 24 Enroll'!M$1,FALSE)+VLOOKUP($A320,EnrollData2324,'2324 Jun 24 Enroll'!D$1,FALSE),'District Calculations'!$B$25+'District Calculations'!$B$11),5)</f>
        <v>4.1000000000000003E-3</v>
      </c>
      <c r="S320" s="11">
        <f t="shared" si="79"/>
        <v>1.8294500000000002E-2</v>
      </c>
      <c r="T320">
        <f>ROUND(IF(VLOOKUP($A320,EnrollData2324,'2324 Jun 24 Enroll'!D$1,FALSE)='District Calculations'!$B$11,VLOOKUP($A320,EnrollData2324,'2324 Jun 24 Enroll'!D$1,FALSE),'District Calculations'!$B$11)*S320,3)</f>
        <v>0</v>
      </c>
      <c r="U320">
        <f>ROUND(IF(VLOOKUP($A320,EnrollData2324,'2324 Jun 24 Enroll'!E$1,FALSE)='District Calculations'!$B$12,VLOOKUP($A320,EnrollData2324,'2324 Jun 24 Enroll'!E$1,FALSE),'District Calculations'!$B$12)*S320,3)</f>
        <v>14.827999999999999</v>
      </c>
      <c r="V320">
        <f>ROUND(IF(VLOOKUP($A320,EnrollData2324,'2324 Jun 24 Enroll'!F$1,FALSE)='District Calculations'!$B$13,VLOOKUP($A320,EnrollData2324,'2324 Jun 24 Enroll'!F$1,FALSE),'District Calculations'!$B$13)*Apport_224A2324,3)</f>
        <v>3.6190000000000002</v>
      </c>
      <c r="W320">
        <f>ROUND(IF(VLOOKUP($A320,EnrollData2324,'2324 Jun 24 Enroll'!G$1,FALSE)='District Calculations'!$B$14,VLOOKUP($A320,EnrollData2324,'2324 Jun 24 Enroll'!G$1,FALSE),'District Calculations'!$B$14)*Apport_212A2324,3)</f>
        <v>8.0239999999999991</v>
      </c>
      <c r="X320">
        <f>ROUND(IF(VLOOKUP($A320,EnrollData2324,'2324 Jun 24 Enroll'!H$1,FALSE)='District Calculations'!$B$14,VLOOKUP($A320,EnrollData2324,'2324 Jun 24 Enroll'!H$1,FALSE),'District Calculations'!$B$14)*Apport_215A2324,3)</f>
        <v>7.9279999999999999</v>
      </c>
      <c r="Y320">
        <f>ROUND(IF(VLOOKUP($A320,EnrollData2324,'2324 Jun 24 Enroll'!I$1,FALSE)+VLOOKUP($A320,EnrollData2324,'2324 Jun 24 Enroll'!M$1,FALSE)-VLOOKUP($A320,EnrollData2324,'2324 Jun 24 Enroll'!J$1,FALSE)='District Calculations'!$B$16+'District Calculations'!$B$25-'District Calculations'!$B$17,VLOOKUP($A320,EnrollData2324,'2324 Jun 24 Enroll'!I$1,FALSE)+VLOOKUP($A320,EnrollData2324,'2324 Jun 24 Enroll'!M$1,FALSE)-VLOOKUP($A320,EnrollData2324,'2324 Jun 24 Enroll'!J$1,FALSE),'District Calculations'!$B$16+'District Calculations'!$B$25-'District Calculations'!$B$17)*Apport_218A2324,3)</f>
        <v>19.917999999999999</v>
      </c>
      <c r="Z320">
        <f>ROUND(SUM(T320:Y320)/IF(VLOOKUP($A320,EnrollData2324,'2324 Jun 24 Enroll'!M$1,FALSE)+VLOOKUP($A320,EnrollData2324,'2324 Jun 24 Enroll'!D$1,FALSE)='District Calculations'!$B$25+'District Calculations'!$B$11,VLOOKUP($A320,EnrollData2324,'2324 Jun 24 Enroll'!M$1,FALSE)+VLOOKUP($A320,EnrollData2324,'2324 Jun 24 Enroll'!D$1,FALSE),'District Calculations'!$B$25+'District Calculations'!$B$11),5)</f>
        <v>1.7399999999999999E-2</v>
      </c>
      <c r="AA320" s="6">
        <f>ROUND($J320*CIS_Base_Salary2324*VLOOKUP($A320,EnrollData2324,'2324 Jun 24 Enroll'!S$1,FALSE),2)</f>
        <v>4038.59</v>
      </c>
      <c r="AB320" s="6">
        <f>ROUND($J320*CIS_Inc_Salary2324*(VLOOKUP($A320,EnrollData2324,'2324 Jun 24 Enroll'!T$1,FALSE)+VLOOKUP($A320,EnrollData2324,'2324 Jun 24 Enroll'!U$1,FALSE)),2)-AA320</f>
        <v>149.43000000000029</v>
      </c>
      <c r="AC320" s="6">
        <f>ROUND($R320*CAS_Base_Salary2324*VLOOKUP($A320,EnrollData2324,'2324 Jun 24 Enroll'!S$1,FALSE),2)</f>
        <v>442.62</v>
      </c>
      <c r="AD320" s="6">
        <f>ROUND($R320*CAS_Inc_Salary2324*VLOOKUP($A320,EnrollData2324,'2324 Jun 24 Enroll'!T$1,FALSE),2)-AC320</f>
        <v>16.379999999999995</v>
      </c>
      <c r="AE320" s="6">
        <f>ROUND($Z320*CLS_Base_Salary2324*VLOOKUP($A320,EnrollData2324,'2324 Jun 24 Enroll'!S$1,FALSE),2)</f>
        <v>907.81</v>
      </c>
      <c r="AF320" s="6">
        <f>ROUND($Z320*CLS_Inc_Salary2324*VLOOKUP($A320,EnrollData2324,'2324 Jun 24 Enroll'!T$1,FALSE),2)-AE320</f>
        <v>33.580000000000041</v>
      </c>
      <c r="AG320">
        <f t="shared" si="76"/>
        <v>734.16</v>
      </c>
      <c r="AH320" s="69">
        <f t="shared" si="80"/>
        <v>68.700000000000045</v>
      </c>
      <c r="AI320">
        <f t="shared" si="77"/>
        <v>214.23</v>
      </c>
      <c r="AJ320">
        <f t="shared" si="81"/>
        <v>114.21000000000001</v>
      </c>
      <c r="AK320">
        <f t="shared" si="82"/>
        <v>805.27</v>
      </c>
      <c r="AL320">
        <f t="shared" si="83"/>
        <v>28.73</v>
      </c>
      <c r="AM320">
        <f t="shared" si="84"/>
        <v>200.26</v>
      </c>
      <c r="AN320">
        <f t="shared" si="85"/>
        <v>6.23</v>
      </c>
      <c r="AO320">
        <f>ROUND(($J320*CIS_Inc_Salary2324*(VLOOKUP($A320,EnrollData2324,'2324 Jun 24 Enroll'!T$1,FALSE)+VLOOKUP($A320,EnrollData2324,'2324 Jun 24 Enroll'!U$1,FALSE))/Apport_613Xpd)*Apport_614Xpd,2)</f>
        <v>69.8</v>
      </c>
      <c r="AP320">
        <f t="shared" si="86"/>
        <v>12.1</v>
      </c>
      <c r="AQ320">
        <f t="shared" si="87"/>
        <v>30.93</v>
      </c>
      <c r="AR320" s="6">
        <f>ROUND((VLOOKUP($A320,EnrollData2324,'2324 Jun 24 Enroll'!D$1,FALSE)*Apport_M802324+VLOOKUP($A320,EnrollData2324,'2324 Jun 24 Enroll'!M$1,FALSE)*Apport_M802324+(VLOOKUP($A320,EnrollData2324,'2324 Jun 24 Enroll'!P$1,FALSE)+VLOOKUP($A320,EnrollData2324,'2324 Jun 24 Enroll'!Q$1,FALSE)+VLOOKUP($A320,EnrollData2324,'2324 Jun 24 Enroll'!R$1,FALSE)+VLOOKUP($A320,EnrollData2324,'2324 Jun 24 Enroll'!I$1,FALSE)+VLOOKUP($A320,EnrollData2324,'2324 Jun 24 Enroll'!N$1,FALSE)+VLOOKUP($A320,EnrollData2324,'2324 Jun 24 Enroll'!O$1,FALSE)+VLOOKUP($A320,EnrollData2324,'2324 Jun 24 Enroll'!K$1,FALSE)+VLOOKUP($A320,EnrollData2324,'2324 Jun 24 Enroll'!L$1,FALSE))*Apport_M812324)/(VLOOKUP($A320,EnrollData2324,'2324 Jun 24 Enroll'!M$1,FALSE)+VLOOKUP($A320,EnrollData2324,'2324 Jun 24 Enroll'!D$1,FALSE)),2)</f>
        <v>1543</v>
      </c>
      <c r="AS320" s="7">
        <f t="shared" si="88"/>
        <v>9416.0299999999988</v>
      </c>
    </row>
    <row r="321" spans="1:45">
      <c r="A321" s="40" t="s">
        <v>895</v>
      </c>
      <c r="B321" s="40" t="s">
        <v>896</v>
      </c>
      <c r="C321" s="11">
        <f>ROUND((IFERROR((1/IF(VLOOKUP($A321,EnrollData2324,28,FALSE)='District Calculations'!$B$10,VLOOKUP($A321,EnrollData2324,28,FALSE),'District Calculations'!$B$10))*(1+Apport_Z315),0))+Apport_201A2324,6)</f>
        <v>7.3449E-2</v>
      </c>
      <c r="D321">
        <f>ROUND(IF(VLOOKUP($A321,EnrollData2324,'2324 Jun 24 Enroll'!D$1,FALSE)='District Calculations'!$B$11,VLOOKUP($A321,EnrollData2324,'2324 Jun 24 Enroll'!D$1,FALSE),'District Calculations'!$B$11)*C321,3)</f>
        <v>0</v>
      </c>
      <c r="E321">
        <f>ROUND(IF(VLOOKUP($A321,EnrollData2324,'2324 Jun 24 Enroll'!E$1,FALSE)='District Calculations'!$B$12,VLOOKUP($A321,EnrollData2324,'2324 Jun 24 Enroll'!E$1,FALSE),'District Calculations'!$B$12)*C321,3)</f>
        <v>59.53</v>
      </c>
      <c r="F321">
        <f>ROUND(IF(VLOOKUP($A321,EnrollData2324,'2324 Jun 24 Enroll'!F$1,FALSE)='District Calculations'!$B$13,VLOOKUP($A321,EnrollData2324,'2324 Jun 24 Enroll'!F$1,FALSE),'District Calculations'!$B$13)*Apport_222A2324,3)</f>
        <v>10.101000000000001</v>
      </c>
      <c r="G321">
        <f>ROUND(IF(VLOOKUP($A321,EnrollData2324,'2324 Jun 24 Enroll'!G$1,FALSE)='District Calculations'!$B$14,VLOOKUP($A321,EnrollData2324,'2324 Jun 24 Enroll'!G$1,FALSE),'District Calculations'!$B$14)*Apport_210A2324,3)</f>
        <v>22.395</v>
      </c>
      <c r="H321">
        <f>ROUND(IF(VLOOKUP($A321,EnrollData2324,'2324 Jun 24 Enroll'!H$1,FALSE)='District Calculations'!$B$15,VLOOKUP($A321,EnrollData2324,'2324 Jun 24 Enroll'!H$1,FALSE),'District Calculations'!$B$15)*Apport_213A2324,3)</f>
        <v>23.091999999999999</v>
      </c>
      <c r="I321">
        <f>ROUND(IF(VLOOKUP($A321,EnrollData2324,'2324 Jun 24 Enroll'!I$1,FALSE)+VLOOKUP($A321,EnrollData2324,'2324 Jun 24 Enroll'!M$1,FALSE)-VLOOKUP($A321,EnrollData2324,'2324 Jun 24 Enroll'!J$1,FALSE)='District Calculations'!$B$16+'District Calculations'!$B$25-'District Calculations'!$B$17,VLOOKUP($A321,EnrollData2324,'2324 Jun 24 Enroll'!I$1,FALSE)+VLOOKUP($A321,EnrollData2324,'2324 Jun 24 Enroll'!M$1,FALSE)-VLOOKUP($A321,EnrollData2324,'2324 Jun 24 Enroll'!J$1,FALSE),'District Calculations'!$B$16+'District Calculations'!$B$25-'District Calculations'!$B$17)*Apport_216A2324,3)</f>
        <v>58.183999999999997</v>
      </c>
      <c r="J321">
        <f>ROUND(SUM(D321:I321)/(IF(VLOOKUP($A321,EnrollData2324,'2324 Jun 24 Enroll'!M$1,FALSE)='District Calculations'!$B$25,VLOOKUP($A321,EnrollData2324,'2324 Jun 24 Enroll'!M$1,FALSE),'District Calculations'!$B$25)+IF(VLOOKUP($A321,EnrollData2324,'2324 Jun 24 Enroll'!D$1,FALSE)='District Calculations'!$B$11,VLOOKUP($A321,EnrollData2324,'2324 Jun 24 Enroll'!D$1,FALSE),'District Calculations'!$B$11)),5)</f>
        <v>5.5530000000000003E-2</v>
      </c>
      <c r="K321" s="11">
        <f t="shared" si="78"/>
        <v>4.365E-3</v>
      </c>
      <c r="L321">
        <f>ROUND(IF(VLOOKUP($A321,EnrollData2324,'2324 Jun 24 Enroll'!D$1,FALSE)='District Calculations'!$B$11,VLOOKUP($A321,EnrollData2324,'2324 Jun 24 Enroll'!D$1,FALSE),'District Calculations'!$B$11)*K321,3)</f>
        <v>0</v>
      </c>
      <c r="M321">
        <f>ROUND(IF(VLOOKUP($A321,EnrollData2324,'2324 Jun 24 Enroll'!E$1,FALSE)='District Calculations'!$B$12,VLOOKUP($A321,EnrollData2324,'2324 Jun 24 Enroll'!E$1,FALSE),'District Calculations'!$B$12)*K321,3)</f>
        <v>3.5379999999999998</v>
      </c>
      <c r="N321">
        <f>ROUND(IF(VLOOKUP($A321,EnrollData2324,'2324 Jun 24 Enroll'!F$1,FALSE)='District Calculations'!$B$13,VLOOKUP($A321,EnrollData2324,'2324 Jun 24 Enroll'!F$1,FALSE),'District Calculations'!$B$13)*Apport_223A2324,3)</f>
        <v>0.84199999999999997</v>
      </c>
      <c r="O321">
        <f>ROUND(IF(VLOOKUP($A321,EnrollData2324,'2324 Jun 24 Enroll'!G$1,FALSE)='District Calculations'!$B$14,VLOOKUP($A321,EnrollData2324,'2324 Jun 24 Enroll'!G$1,FALSE),'District Calculations'!$B$14)*Apport_211A2324,3)</f>
        <v>1.867</v>
      </c>
      <c r="P321">
        <f>ROUND(IF(VLOOKUP($A321,EnrollData2324,'2324 Jun 24 Enroll'!H$1,FALSE)='District Calculations'!$B$14,VLOOKUP($A321,EnrollData2324,'2324 Jun 24 Enroll'!H$1,FALSE),'District Calculations'!$B$14)*Apport_214A2324,3)</f>
        <v>1.8660000000000001</v>
      </c>
      <c r="Q321">
        <f>ROUND(IF(VLOOKUP($A321,EnrollData2324,'2324 Jun 24 Enroll'!I$1,FALSE)+VLOOKUP($A321,EnrollData2324,'2324 Jun 24 Enroll'!M$1,FALSE)-VLOOKUP($A321,EnrollData2324,'2324 Jun 24 Enroll'!J$1,FALSE)='District Calculations'!$B$16+'District Calculations'!$B$25-'District Calculations'!$B$17,VLOOKUP($A321,EnrollData2324,'2324 Jun 24 Enroll'!I$1,FALSE)+VLOOKUP($A321,EnrollData2324,'2324 Jun 24 Enroll'!M$1,FALSE)-VLOOKUP($A321,EnrollData2324,'2324 Jun 24 Enroll'!J$1,FALSE),'District Calculations'!$B$16+'District Calculations'!$B$25-'District Calculations'!$B$17)*Apport_217A2324,3)</f>
        <v>4.6980000000000004</v>
      </c>
      <c r="R321">
        <f>ROUND(SUM(L321:Q321)/IF(VLOOKUP($A321,EnrollData2324,'2324 Jun 24 Enroll'!M$1,FALSE)+VLOOKUP($A321,EnrollData2324,'2324 Jun 24 Enroll'!D$1,FALSE)='District Calculations'!$B$25+'District Calculations'!$B$11,VLOOKUP($A321,EnrollData2324,'2324 Jun 24 Enroll'!M$1,FALSE)+VLOOKUP($A321,EnrollData2324,'2324 Jun 24 Enroll'!D$1,FALSE),'District Calculations'!$B$25+'District Calculations'!$B$11),5)</f>
        <v>4.1000000000000003E-3</v>
      </c>
      <c r="S321" s="11">
        <f t="shared" si="79"/>
        <v>1.8294500000000002E-2</v>
      </c>
      <c r="T321">
        <f>ROUND(IF(VLOOKUP($A321,EnrollData2324,'2324 Jun 24 Enroll'!D$1,FALSE)='District Calculations'!$B$11,VLOOKUP($A321,EnrollData2324,'2324 Jun 24 Enroll'!D$1,FALSE),'District Calculations'!$B$11)*S321,3)</f>
        <v>0</v>
      </c>
      <c r="U321">
        <f>ROUND(IF(VLOOKUP($A321,EnrollData2324,'2324 Jun 24 Enroll'!E$1,FALSE)='District Calculations'!$B$12,VLOOKUP($A321,EnrollData2324,'2324 Jun 24 Enroll'!E$1,FALSE),'District Calculations'!$B$12)*S321,3)</f>
        <v>14.827999999999999</v>
      </c>
      <c r="V321">
        <f>ROUND(IF(VLOOKUP($A321,EnrollData2324,'2324 Jun 24 Enroll'!F$1,FALSE)='District Calculations'!$B$13,VLOOKUP($A321,EnrollData2324,'2324 Jun 24 Enroll'!F$1,FALSE),'District Calculations'!$B$13)*Apport_224A2324,3)</f>
        <v>3.6190000000000002</v>
      </c>
      <c r="W321">
        <f>ROUND(IF(VLOOKUP($A321,EnrollData2324,'2324 Jun 24 Enroll'!G$1,FALSE)='District Calculations'!$B$14,VLOOKUP($A321,EnrollData2324,'2324 Jun 24 Enroll'!G$1,FALSE),'District Calculations'!$B$14)*Apport_212A2324,3)</f>
        <v>8.0239999999999991</v>
      </c>
      <c r="X321">
        <f>ROUND(IF(VLOOKUP($A321,EnrollData2324,'2324 Jun 24 Enroll'!H$1,FALSE)='District Calculations'!$B$14,VLOOKUP($A321,EnrollData2324,'2324 Jun 24 Enroll'!H$1,FALSE),'District Calculations'!$B$14)*Apport_215A2324,3)</f>
        <v>7.9279999999999999</v>
      </c>
      <c r="Y321">
        <f>ROUND(IF(VLOOKUP($A321,EnrollData2324,'2324 Jun 24 Enroll'!I$1,FALSE)+VLOOKUP($A321,EnrollData2324,'2324 Jun 24 Enroll'!M$1,FALSE)-VLOOKUP($A321,EnrollData2324,'2324 Jun 24 Enroll'!J$1,FALSE)='District Calculations'!$B$16+'District Calculations'!$B$25-'District Calculations'!$B$17,VLOOKUP($A321,EnrollData2324,'2324 Jun 24 Enroll'!I$1,FALSE)+VLOOKUP($A321,EnrollData2324,'2324 Jun 24 Enroll'!M$1,FALSE)-VLOOKUP($A321,EnrollData2324,'2324 Jun 24 Enroll'!J$1,FALSE),'District Calculations'!$B$16+'District Calculations'!$B$25-'District Calculations'!$B$17)*Apport_218A2324,3)</f>
        <v>19.917999999999999</v>
      </c>
      <c r="Z321">
        <f>ROUND(SUM(T321:Y321)/IF(VLOOKUP($A321,EnrollData2324,'2324 Jun 24 Enroll'!M$1,FALSE)+VLOOKUP($A321,EnrollData2324,'2324 Jun 24 Enroll'!D$1,FALSE)='District Calculations'!$B$25+'District Calculations'!$B$11,VLOOKUP($A321,EnrollData2324,'2324 Jun 24 Enroll'!M$1,FALSE)+VLOOKUP($A321,EnrollData2324,'2324 Jun 24 Enroll'!D$1,FALSE),'District Calculations'!$B$25+'District Calculations'!$B$11),5)</f>
        <v>1.7399999999999999E-2</v>
      </c>
      <c r="AA321" s="6">
        <f>ROUND($J321*CIS_Base_Salary2324*VLOOKUP($A321,EnrollData2324,'2324 Jun 24 Enroll'!S$1,FALSE),2)</f>
        <v>4038.59</v>
      </c>
      <c r="AB321" s="6">
        <f>ROUND($J321*CIS_Inc_Salary2324*(VLOOKUP($A321,EnrollData2324,'2324 Jun 24 Enroll'!T$1,FALSE)+VLOOKUP($A321,EnrollData2324,'2324 Jun 24 Enroll'!U$1,FALSE)),2)-AA321</f>
        <v>149.43000000000029</v>
      </c>
      <c r="AC321" s="6">
        <f>ROUND($R321*CAS_Base_Salary2324*VLOOKUP($A321,EnrollData2324,'2324 Jun 24 Enroll'!S$1,FALSE),2)</f>
        <v>442.62</v>
      </c>
      <c r="AD321" s="6">
        <f>ROUND($R321*CAS_Inc_Salary2324*VLOOKUP($A321,EnrollData2324,'2324 Jun 24 Enroll'!T$1,FALSE),2)-AC321</f>
        <v>16.379999999999995</v>
      </c>
      <c r="AE321" s="6">
        <f>ROUND($Z321*CLS_Base_Salary2324*VLOOKUP($A321,EnrollData2324,'2324 Jun 24 Enroll'!S$1,FALSE),2)</f>
        <v>907.81</v>
      </c>
      <c r="AF321" s="6">
        <f>ROUND($Z321*CLS_Inc_Salary2324*VLOOKUP($A321,EnrollData2324,'2324 Jun 24 Enroll'!T$1,FALSE),2)-AE321</f>
        <v>33.580000000000041</v>
      </c>
      <c r="AG321">
        <f t="shared" si="76"/>
        <v>734.16</v>
      </c>
      <c r="AH321" s="69">
        <f t="shared" si="80"/>
        <v>68.700000000000045</v>
      </c>
      <c r="AI321">
        <f t="shared" si="77"/>
        <v>214.23</v>
      </c>
      <c r="AJ321">
        <f t="shared" si="81"/>
        <v>114.21000000000001</v>
      </c>
      <c r="AK321">
        <f t="shared" si="82"/>
        <v>805.27</v>
      </c>
      <c r="AL321">
        <f t="shared" si="83"/>
        <v>28.73</v>
      </c>
      <c r="AM321">
        <f t="shared" si="84"/>
        <v>200.26</v>
      </c>
      <c r="AN321">
        <f t="shared" si="85"/>
        <v>6.23</v>
      </c>
      <c r="AO321">
        <f>ROUND(($J321*CIS_Inc_Salary2324*(VLOOKUP($A321,EnrollData2324,'2324 Jun 24 Enroll'!T$1,FALSE)+VLOOKUP($A321,EnrollData2324,'2324 Jun 24 Enroll'!U$1,FALSE))/Apport_613Xpd)*Apport_614Xpd,2)</f>
        <v>69.8</v>
      </c>
      <c r="AP321">
        <f t="shared" si="86"/>
        <v>12.1</v>
      </c>
      <c r="AQ321">
        <f t="shared" si="87"/>
        <v>30.93</v>
      </c>
      <c r="AR321" s="6">
        <f>ROUND((VLOOKUP($A321,EnrollData2324,'2324 Jun 24 Enroll'!D$1,FALSE)*Apport_M802324+VLOOKUP($A321,EnrollData2324,'2324 Jun 24 Enroll'!M$1,FALSE)*Apport_M802324+(VLOOKUP($A321,EnrollData2324,'2324 Jun 24 Enroll'!P$1,FALSE)+VLOOKUP($A321,EnrollData2324,'2324 Jun 24 Enroll'!Q$1,FALSE)+VLOOKUP($A321,EnrollData2324,'2324 Jun 24 Enroll'!R$1,FALSE)+VLOOKUP($A321,EnrollData2324,'2324 Jun 24 Enroll'!I$1,FALSE)+VLOOKUP($A321,EnrollData2324,'2324 Jun 24 Enroll'!N$1,FALSE)+VLOOKUP($A321,EnrollData2324,'2324 Jun 24 Enroll'!O$1,FALSE)+VLOOKUP($A321,EnrollData2324,'2324 Jun 24 Enroll'!K$1,FALSE)+VLOOKUP($A321,EnrollData2324,'2324 Jun 24 Enroll'!L$1,FALSE))*Apport_M812324)/(VLOOKUP($A321,EnrollData2324,'2324 Jun 24 Enroll'!M$1,FALSE)+VLOOKUP($A321,EnrollData2324,'2324 Jun 24 Enroll'!D$1,FALSE)),2)</f>
        <v>1549.4</v>
      </c>
      <c r="AS321" s="7">
        <f t="shared" si="88"/>
        <v>9422.43</v>
      </c>
    </row>
    <row r="322" spans="1:45">
      <c r="A322" s="40" t="s">
        <v>853</v>
      </c>
      <c r="B322" s="40" t="s">
        <v>854</v>
      </c>
      <c r="C322" s="11">
        <f>ROUND((IFERROR((1/IF(VLOOKUP($A322,EnrollData2324,28,FALSE)='District Calculations'!$B$10,VLOOKUP($A322,EnrollData2324,28,FALSE),'District Calculations'!$B$10))*(1+Apport_Z315),0))+Apport_201A2324,6)</f>
        <v>7.3449E-2</v>
      </c>
      <c r="D322">
        <f>ROUND(IF(VLOOKUP($A322,EnrollData2324,'2324 Jun 24 Enroll'!D$1,FALSE)='District Calculations'!$B$11,VLOOKUP($A322,EnrollData2324,'2324 Jun 24 Enroll'!D$1,FALSE),'District Calculations'!$B$11)*C322,3)</f>
        <v>0</v>
      </c>
      <c r="E322">
        <f>ROUND(IF(VLOOKUP($A322,EnrollData2324,'2324 Jun 24 Enroll'!E$1,FALSE)='District Calculations'!$B$12,VLOOKUP($A322,EnrollData2324,'2324 Jun 24 Enroll'!E$1,FALSE),'District Calculations'!$B$12)*C322,3)</f>
        <v>59.53</v>
      </c>
      <c r="F322">
        <f>ROUND(IF(VLOOKUP($A322,EnrollData2324,'2324 Jun 24 Enroll'!F$1,FALSE)='District Calculations'!$B$13,VLOOKUP($A322,EnrollData2324,'2324 Jun 24 Enroll'!F$1,FALSE),'District Calculations'!$B$13)*Apport_222A2324,3)</f>
        <v>10.101000000000001</v>
      </c>
      <c r="G322">
        <f>ROUND(IF(VLOOKUP($A322,EnrollData2324,'2324 Jun 24 Enroll'!G$1,FALSE)='District Calculations'!$B$14,VLOOKUP($A322,EnrollData2324,'2324 Jun 24 Enroll'!G$1,FALSE),'District Calculations'!$B$14)*Apport_210A2324,3)</f>
        <v>22.395</v>
      </c>
      <c r="H322">
        <f>ROUND(IF(VLOOKUP($A322,EnrollData2324,'2324 Jun 24 Enroll'!H$1,FALSE)='District Calculations'!$B$15,VLOOKUP($A322,EnrollData2324,'2324 Jun 24 Enroll'!H$1,FALSE),'District Calculations'!$B$15)*Apport_213A2324,3)</f>
        <v>23.091999999999999</v>
      </c>
      <c r="I322">
        <f>ROUND(IF(VLOOKUP($A322,EnrollData2324,'2324 Jun 24 Enroll'!I$1,FALSE)+VLOOKUP($A322,EnrollData2324,'2324 Jun 24 Enroll'!M$1,FALSE)-VLOOKUP($A322,EnrollData2324,'2324 Jun 24 Enroll'!J$1,FALSE)='District Calculations'!$B$16+'District Calculations'!$B$25-'District Calculations'!$B$17,VLOOKUP($A322,EnrollData2324,'2324 Jun 24 Enroll'!I$1,FALSE)+VLOOKUP($A322,EnrollData2324,'2324 Jun 24 Enroll'!M$1,FALSE)-VLOOKUP($A322,EnrollData2324,'2324 Jun 24 Enroll'!J$1,FALSE),'District Calculations'!$B$16+'District Calculations'!$B$25-'District Calculations'!$B$17)*Apport_216A2324,3)</f>
        <v>58.183999999999997</v>
      </c>
      <c r="J322">
        <f>ROUND(SUM(D322:I322)/(IF(VLOOKUP($A322,EnrollData2324,'2324 Jun 24 Enroll'!M$1,FALSE)='District Calculations'!$B$25,VLOOKUP($A322,EnrollData2324,'2324 Jun 24 Enroll'!M$1,FALSE),'District Calculations'!$B$25)+IF(VLOOKUP($A322,EnrollData2324,'2324 Jun 24 Enroll'!D$1,FALSE)='District Calculations'!$B$11,VLOOKUP($A322,EnrollData2324,'2324 Jun 24 Enroll'!D$1,FALSE),'District Calculations'!$B$11)),5)</f>
        <v>5.5530000000000003E-2</v>
      </c>
      <c r="K322" s="11">
        <f t="shared" si="78"/>
        <v>4.365E-3</v>
      </c>
      <c r="L322">
        <f>ROUND(IF(VLOOKUP($A322,EnrollData2324,'2324 Jun 24 Enroll'!D$1,FALSE)='District Calculations'!$B$11,VLOOKUP($A322,EnrollData2324,'2324 Jun 24 Enroll'!D$1,FALSE),'District Calculations'!$B$11)*K322,3)</f>
        <v>0</v>
      </c>
      <c r="M322">
        <f>ROUND(IF(VLOOKUP($A322,EnrollData2324,'2324 Jun 24 Enroll'!E$1,FALSE)='District Calculations'!$B$12,VLOOKUP($A322,EnrollData2324,'2324 Jun 24 Enroll'!E$1,FALSE),'District Calculations'!$B$12)*K322,3)</f>
        <v>3.5379999999999998</v>
      </c>
      <c r="N322">
        <f>ROUND(IF(VLOOKUP($A322,EnrollData2324,'2324 Jun 24 Enroll'!F$1,FALSE)='District Calculations'!$B$13,VLOOKUP($A322,EnrollData2324,'2324 Jun 24 Enroll'!F$1,FALSE),'District Calculations'!$B$13)*Apport_223A2324,3)</f>
        <v>0.84199999999999997</v>
      </c>
      <c r="O322">
        <f>ROUND(IF(VLOOKUP($A322,EnrollData2324,'2324 Jun 24 Enroll'!G$1,FALSE)='District Calculations'!$B$14,VLOOKUP($A322,EnrollData2324,'2324 Jun 24 Enroll'!G$1,FALSE),'District Calculations'!$B$14)*Apport_211A2324,3)</f>
        <v>1.867</v>
      </c>
      <c r="P322">
        <f>ROUND(IF(VLOOKUP($A322,EnrollData2324,'2324 Jun 24 Enroll'!H$1,FALSE)='District Calculations'!$B$14,VLOOKUP($A322,EnrollData2324,'2324 Jun 24 Enroll'!H$1,FALSE),'District Calculations'!$B$14)*Apport_214A2324,3)</f>
        <v>1.8660000000000001</v>
      </c>
      <c r="Q322">
        <f>ROUND(IF(VLOOKUP($A322,EnrollData2324,'2324 Jun 24 Enroll'!I$1,FALSE)+VLOOKUP($A322,EnrollData2324,'2324 Jun 24 Enroll'!M$1,FALSE)-VLOOKUP($A322,EnrollData2324,'2324 Jun 24 Enroll'!J$1,FALSE)='District Calculations'!$B$16+'District Calculations'!$B$25-'District Calculations'!$B$17,VLOOKUP($A322,EnrollData2324,'2324 Jun 24 Enroll'!I$1,FALSE)+VLOOKUP($A322,EnrollData2324,'2324 Jun 24 Enroll'!M$1,FALSE)-VLOOKUP($A322,EnrollData2324,'2324 Jun 24 Enroll'!J$1,FALSE),'District Calculations'!$B$16+'District Calculations'!$B$25-'District Calculations'!$B$17)*Apport_217A2324,3)</f>
        <v>4.6980000000000004</v>
      </c>
      <c r="R322">
        <f>ROUND(SUM(L322:Q322)/IF(VLOOKUP($A322,EnrollData2324,'2324 Jun 24 Enroll'!M$1,FALSE)+VLOOKUP($A322,EnrollData2324,'2324 Jun 24 Enroll'!D$1,FALSE)='District Calculations'!$B$25+'District Calculations'!$B$11,VLOOKUP($A322,EnrollData2324,'2324 Jun 24 Enroll'!M$1,FALSE)+VLOOKUP($A322,EnrollData2324,'2324 Jun 24 Enroll'!D$1,FALSE),'District Calculations'!$B$25+'District Calculations'!$B$11),5)</f>
        <v>4.1000000000000003E-3</v>
      </c>
      <c r="S322" s="11">
        <f t="shared" si="79"/>
        <v>1.8294500000000002E-2</v>
      </c>
      <c r="T322">
        <f>ROUND(IF(VLOOKUP($A322,EnrollData2324,'2324 Jun 24 Enroll'!D$1,FALSE)='District Calculations'!$B$11,VLOOKUP($A322,EnrollData2324,'2324 Jun 24 Enroll'!D$1,FALSE),'District Calculations'!$B$11)*S322,3)</f>
        <v>0</v>
      </c>
      <c r="U322">
        <f>ROUND(IF(VLOOKUP($A322,EnrollData2324,'2324 Jun 24 Enroll'!E$1,FALSE)='District Calculations'!$B$12,VLOOKUP($A322,EnrollData2324,'2324 Jun 24 Enroll'!E$1,FALSE),'District Calculations'!$B$12)*S322,3)</f>
        <v>14.827999999999999</v>
      </c>
      <c r="V322">
        <f>ROUND(IF(VLOOKUP($A322,EnrollData2324,'2324 Jun 24 Enroll'!F$1,FALSE)='District Calculations'!$B$13,VLOOKUP($A322,EnrollData2324,'2324 Jun 24 Enroll'!F$1,FALSE),'District Calculations'!$B$13)*Apport_224A2324,3)</f>
        <v>3.6190000000000002</v>
      </c>
      <c r="W322">
        <f>ROUND(IF(VLOOKUP($A322,EnrollData2324,'2324 Jun 24 Enroll'!G$1,FALSE)='District Calculations'!$B$14,VLOOKUP($A322,EnrollData2324,'2324 Jun 24 Enroll'!G$1,FALSE),'District Calculations'!$B$14)*Apport_212A2324,3)</f>
        <v>8.0239999999999991</v>
      </c>
      <c r="X322">
        <f>ROUND(IF(VLOOKUP($A322,EnrollData2324,'2324 Jun 24 Enroll'!H$1,FALSE)='District Calculations'!$B$14,VLOOKUP($A322,EnrollData2324,'2324 Jun 24 Enroll'!H$1,FALSE),'District Calculations'!$B$14)*Apport_215A2324,3)</f>
        <v>7.9279999999999999</v>
      </c>
      <c r="Y322">
        <f>ROUND(IF(VLOOKUP($A322,EnrollData2324,'2324 Jun 24 Enroll'!I$1,FALSE)+VLOOKUP($A322,EnrollData2324,'2324 Jun 24 Enroll'!M$1,FALSE)-VLOOKUP($A322,EnrollData2324,'2324 Jun 24 Enroll'!J$1,FALSE)='District Calculations'!$B$16+'District Calculations'!$B$25-'District Calculations'!$B$17,VLOOKUP($A322,EnrollData2324,'2324 Jun 24 Enroll'!I$1,FALSE)+VLOOKUP($A322,EnrollData2324,'2324 Jun 24 Enroll'!M$1,FALSE)-VLOOKUP($A322,EnrollData2324,'2324 Jun 24 Enroll'!J$1,FALSE),'District Calculations'!$B$16+'District Calculations'!$B$25-'District Calculations'!$B$17)*Apport_218A2324,3)</f>
        <v>19.917999999999999</v>
      </c>
      <c r="Z322">
        <f>ROUND(SUM(T322:Y322)/IF(VLOOKUP($A322,EnrollData2324,'2324 Jun 24 Enroll'!M$1,FALSE)+VLOOKUP($A322,EnrollData2324,'2324 Jun 24 Enroll'!D$1,FALSE)='District Calculations'!$B$25+'District Calculations'!$B$11,VLOOKUP($A322,EnrollData2324,'2324 Jun 24 Enroll'!M$1,FALSE)+VLOOKUP($A322,EnrollData2324,'2324 Jun 24 Enroll'!D$1,FALSE),'District Calculations'!$B$25+'District Calculations'!$B$11),5)</f>
        <v>1.7399999999999999E-2</v>
      </c>
      <c r="AA322" s="6">
        <f>ROUND($J322*CIS_Base_Salary2324*VLOOKUP($A322,EnrollData2324,'2324 Jun 24 Enroll'!S$1,FALSE),2)</f>
        <v>4038.59</v>
      </c>
      <c r="AB322" s="6">
        <f>ROUND($J322*CIS_Inc_Salary2324*(VLOOKUP($A322,EnrollData2324,'2324 Jun 24 Enroll'!T$1,FALSE)+VLOOKUP($A322,EnrollData2324,'2324 Jun 24 Enroll'!U$1,FALSE)),2)-AA322</f>
        <v>149.43000000000029</v>
      </c>
      <c r="AC322" s="6">
        <f>ROUND($R322*CAS_Base_Salary2324*VLOOKUP($A322,EnrollData2324,'2324 Jun 24 Enroll'!S$1,FALSE),2)</f>
        <v>442.62</v>
      </c>
      <c r="AD322" s="6">
        <f>ROUND($R322*CAS_Inc_Salary2324*VLOOKUP($A322,EnrollData2324,'2324 Jun 24 Enroll'!T$1,FALSE),2)-AC322</f>
        <v>16.379999999999995</v>
      </c>
      <c r="AE322" s="6">
        <f>ROUND($Z322*CLS_Base_Salary2324*VLOOKUP($A322,EnrollData2324,'2324 Jun 24 Enroll'!S$1,FALSE),2)</f>
        <v>907.81</v>
      </c>
      <c r="AF322" s="6">
        <f>ROUND($Z322*CLS_Inc_Salary2324*VLOOKUP($A322,EnrollData2324,'2324 Jun 24 Enroll'!T$1,FALSE),2)-AE322</f>
        <v>33.580000000000041</v>
      </c>
      <c r="AG322">
        <f t="shared" si="76"/>
        <v>734.16</v>
      </c>
      <c r="AH322" s="69">
        <f t="shared" si="80"/>
        <v>68.700000000000045</v>
      </c>
      <c r="AI322">
        <f t="shared" si="77"/>
        <v>214.23</v>
      </c>
      <c r="AJ322">
        <f t="shared" si="81"/>
        <v>114.21000000000001</v>
      </c>
      <c r="AK322">
        <f t="shared" si="82"/>
        <v>805.27</v>
      </c>
      <c r="AL322">
        <f t="shared" si="83"/>
        <v>28.73</v>
      </c>
      <c r="AM322">
        <f t="shared" si="84"/>
        <v>200.26</v>
      </c>
      <c r="AN322">
        <f t="shared" si="85"/>
        <v>6.23</v>
      </c>
      <c r="AO322">
        <f>ROUND(($J322*CIS_Inc_Salary2324*(VLOOKUP($A322,EnrollData2324,'2324 Jun 24 Enroll'!T$1,FALSE)+VLOOKUP($A322,EnrollData2324,'2324 Jun 24 Enroll'!U$1,FALSE))/Apport_613Xpd)*Apport_614Xpd,2)</f>
        <v>69.8</v>
      </c>
      <c r="AP322">
        <f t="shared" si="86"/>
        <v>12.1</v>
      </c>
      <c r="AQ322">
        <f t="shared" si="87"/>
        <v>30.93</v>
      </c>
      <c r="AR322" s="6">
        <f>ROUND((VLOOKUP($A322,EnrollData2324,'2324 Jun 24 Enroll'!D$1,FALSE)*Apport_M802324+VLOOKUP($A322,EnrollData2324,'2324 Jun 24 Enroll'!M$1,FALSE)*Apport_M802324+(VLOOKUP($A322,EnrollData2324,'2324 Jun 24 Enroll'!P$1,FALSE)+VLOOKUP($A322,EnrollData2324,'2324 Jun 24 Enroll'!Q$1,FALSE)+VLOOKUP($A322,EnrollData2324,'2324 Jun 24 Enroll'!R$1,FALSE)+VLOOKUP($A322,EnrollData2324,'2324 Jun 24 Enroll'!I$1,FALSE)+VLOOKUP($A322,EnrollData2324,'2324 Jun 24 Enroll'!N$1,FALSE)+VLOOKUP($A322,EnrollData2324,'2324 Jun 24 Enroll'!O$1,FALSE)+VLOOKUP($A322,EnrollData2324,'2324 Jun 24 Enroll'!K$1,FALSE)+VLOOKUP($A322,EnrollData2324,'2324 Jun 24 Enroll'!L$1,FALSE))*Apport_M812324)/(VLOOKUP($A322,EnrollData2324,'2324 Jun 24 Enroll'!M$1,FALSE)+VLOOKUP($A322,EnrollData2324,'2324 Jun 24 Enroll'!D$1,FALSE)),2)</f>
        <v>1546.54</v>
      </c>
      <c r="AS322" s="7">
        <f t="shared" si="88"/>
        <v>9419.57</v>
      </c>
    </row>
    <row r="323" spans="1:45">
      <c r="A323" s="40" t="s">
        <v>869</v>
      </c>
      <c r="B323" s="40" t="s">
        <v>870</v>
      </c>
      <c r="C323" s="11">
        <f>ROUND((IFERROR((1/IF(VLOOKUP($A323,EnrollData2324,28,FALSE)='District Calculations'!$B$10,VLOOKUP($A323,EnrollData2324,28,FALSE),'District Calculations'!$B$10))*(1+Apport_Z315),0))+Apport_201A2324,6)</f>
        <v>7.3449E-2</v>
      </c>
      <c r="D323">
        <f>ROUND(IF(VLOOKUP($A323,EnrollData2324,'2324 Jun 24 Enroll'!D$1,FALSE)='District Calculations'!$B$11,VLOOKUP($A323,EnrollData2324,'2324 Jun 24 Enroll'!D$1,FALSE),'District Calculations'!$B$11)*C323,3)</f>
        <v>0</v>
      </c>
      <c r="E323">
        <f>ROUND(IF(VLOOKUP($A323,EnrollData2324,'2324 Jun 24 Enroll'!E$1,FALSE)='District Calculations'!$B$12,VLOOKUP($A323,EnrollData2324,'2324 Jun 24 Enroll'!E$1,FALSE),'District Calculations'!$B$12)*C323,3)</f>
        <v>59.53</v>
      </c>
      <c r="F323">
        <f>ROUND(IF(VLOOKUP($A323,EnrollData2324,'2324 Jun 24 Enroll'!F$1,FALSE)='District Calculations'!$B$13,VLOOKUP($A323,EnrollData2324,'2324 Jun 24 Enroll'!F$1,FALSE),'District Calculations'!$B$13)*Apport_222A2324,3)</f>
        <v>10.101000000000001</v>
      </c>
      <c r="G323">
        <f>ROUND(IF(VLOOKUP($A323,EnrollData2324,'2324 Jun 24 Enroll'!G$1,FALSE)='District Calculations'!$B$14,VLOOKUP($A323,EnrollData2324,'2324 Jun 24 Enroll'!G$1,FALSE),'District Calculations'!$B$14)*Apport_210A2324,3)</f>
        <v>22.395</v>
      </c>
      <c r="H323">
        <f>ROUND(IF(VLOOKUP($A323,EnrollData2324,'2324 Jun 24 Enroll'!H$1,FALSE)='District Calculations'!$B$15,VLOOKUP($A323,EnrollData2324,'2324 Jun 24 Enroll'!H$1,FALSE),'District Calculations'!$B$15)*Apport_213A2324,3)</f>
        <v>23.091999999999999</v>
      </c>
      <c r="I323">
        <f>ROUND(IF(VLOOKUP($A323,EnrollData2324,'2324 Jun 24 Enroll'!I$1,FALSE)+VLOOKUP($A323,EnrollData2324,'2324 Jun 24 Enroll'!M$1,FALSE)-VLOOKUP($A323,EnrollData2324,'2324 Jun 24 Enroll'!J$1,FALSE)='District Calculations'!$B$16+'District Calculations'!$B$25-'District Calculations'!$B$17,VLOOKUP($A323,EnrollData2324,'2324 Jun 24 Enroll'!I$1,FALSE)+VLOOKUP($A323,EnrollData2324,'2324 Jun 24 Enroll'!M$1,FALSE)-VLOOKUP($A323,EnrollData2324,'2324 Jun 24 Enroll'!J$1,FALSE),'District Calculations'!$B$16+'District Calculations'!$B$25-'District Calculations'!$B$17)*Apport_216A2324,3)</f>
        <v>58.183999999999997</v>
      </c>
      <c r="J323">
        <f>ROUND(SUM(D323:I323)/(IF(VLOOKUP($A323,EnrollData2324,'2324 Jun 24 Enroll'!M$1,FALSE)='District Calculations'!$B$25,VLOOKUP($A323,EnrollData2324,'2324 Jun 24 Enroll'!M$1,FALSE),'District Calculations'!$B$25)+IF(VLOOKUP($A323,EnrollData2324,'2324 Jun 24 Enroll'!D$1,FALSE)='District Calculations'!$B$11,VLOOKUP($A323,EnrollData2324,'2324 Jun 24 Enroll'!D$1,FALSE),'District Calculations'!$B$11)),5)</f>
        <v>5.5530000000000003E-2</v>
      </c>
      <c r="K323" s="11">
        <f t="shared" si="78"/>
        <v>4.365E-3</v>
      </c>
      <c r="L323">
        <f>ROUND(IF(VLOOKUP($A323,EnrollData2324,'2324 Jun 24 Enroll'!D$1,FALSE)='District Calculations'!$B$11,VLOOKUP($A323,EnrollData2324,'2324 Jun 24 Enroll'!D$1,FALSE),'District Calculations'!$B$11)*K323,3)</f>
        <v>0</v>
      </c>
      <c r="M323">
        <f>ROUND(IF(VLOOKUP($A323,EnrollData2324,'2324 Jun 24 Enroll'!E$1,FALSE)='District Calculations'!$B$12,VLOOKUP($A323,EnrollData2324,'2324 Jun 24 Enroll'!E$1,FALSE),'District Calculations'!$B$12)*K323,3)</f>
        <v>3.5379999999999998</v>
      </c>
      <c r="N323">
        <f>ROUND(IF(VLOOKUP($A323,EnrollData2324,'2324 Jun 24 Enroll'!F$1,FALSE)='District Calculations'!$B$13,VLOOKUP($A323,EnrollData2324,'2324 Jun 24 Enroll'!F$1,FALSE),'District Calculations'!$B$13)*Apport_223A2324,3)</f>
        <v>0.84199999999999997</v>
      </c>
      <c r="O323">
        <f>ROUND(IF(VLOOKUP($A323,EnrollData2324,'2324 Jun 24 Enroll'!G$1,FALSE)='District Calculations'!$B$14,VLOOKUP($A323,EnrollData2324,'2324 Jun 24 Enroll'!G$1,FALSE),'District Calculations'!$B$14)*Apport_211A2324,3)</f>
        <v>1.867</v>
      </c>
      <c r="P323">
        <f>ROUND(IF(VLOOKUP($A323,EnrollData2324,'2324 Jun 24 Enroll'!H$1,FALSE)='District Calculations'!$B$14,VLOOKUP($A323,EnrollData2324,'2324 Jun 24 Enroll'!H$1,FALSE),'District Calculations'!$B$14)*Apport_214A2324,3)</f>
        <v>1.8660000000000001</v>
      </c>
      <c r="Q323">
        <f>ROUND(IF(VLOOKUP($A323,EnrollData2324,'2324 Jun 24 Enroll'!I$1,FALSE)+VLOOKUP($A323,EnrollData2324,'2324 Jun 24 Enroll'!M$1,FALSE)-VLOOKUP($A323,EnrollData2324,'2324 Jun 24 Enroll'!J$1,FALSE)='District Calculations'!$B$16+'District Calculations'!$B$25-'District Calculations'!$B$17,VLOOKUP($A323,EnrollData2324,'2324 Jun 24 Enroll'!I$1,FALSE)+VLOOKUP($A323,EnrollData2324,'2324 Jun 24 Enroll'!M$1,FALSE)-VLOOKUP($A323,EnrollData2324,'2324 Jun 24 Enroll'!J$1,FALSE),'District Calculations'!$B$16+'District Calculations'!$B$25-'District Calculations'!$B$17)*Apport_217A2324,3)</f>
        <v>4.6980000000000004</v>
      </c>
      <c r="R323">
        <f>ROUND(SUM(L323:Q323)/IF(VLOOKUP($A323,EnrollData2324,'2324 Jun 24 Enroll'!M$1,FALSE)+VLOOKUP($A323,EnrollData2324,'2324 Jun 24 Enroll'!D$1,FALSE)='District Calculations'!$B$25+'District Calculations'!$B$11,VLOOKUP($A323,EnrollData2324,'2324 Jun 24 Enroll'!M$1,FALSE)+VLOOKUP($A323,EnrollData2324,'2324 Jun 24 Enroll'!D$1,FALSE),'District Calculations'!$B$25+'District Calculations'!$B$11),5)</f>
        <v>4.1000000000000003E-3</v>
      </c>
      <c r="S323" s="11">
        <f t="shared" si="79"/>
        <v>1.8294500000000002E-2</v>
      </c>
      <c r="T323">
        <f>ROUND(IF(VLOOKUP($A323,EnrollData2324,'2324 Jun 24 Enroll'!D$1,FALSE)='District Calculations'!$B$11,VLOOKUP($A323,EnrollData2324,'2324 Jun 24 Enroll'!D$1,FALSE),'District Calculations'!$B$11)*S323,3)</f>
        <v>0</v>
      </c>
      <c r="U323">
        <f>ROUND(IF(VLOOKUP($A323,EnrollData2324,'2324 Jun 24 Enroll'!E$1,FALSE)='District Calculations'!$B$12,VLOOKUP($A323,EnrollData2324,'2324 Jun 24 Enroll'!E$1,FALSE),'District Calculations'!$B$12)*S323,3)</f>
        <v>14.827999999999999</v>
      </c>
      <c r="V323">
        <f>ROUND(IF(VLOOKUP($A323,EnrollData2324,'2324 Jun 24 Enroll'!F$1,FALSE)='District Calculations'!$B$13,VLOOKUP($A323,EnrollData2324,'2324 Jun 24 Enroll'!F$1,FALSE),'District Calculations'!$B$13)*Apport_224A2324,3)</f>
        <v>3.6190000000000002</v>
      </c>
      <c r="W323">
        <f>ROUND(IF(VLOOKUP($A323,EnrollData2324,'2324 Jun 24 Enroll'!G$1,FALSE)='District Calculations'!$B$14,VLOOKUP($A323,EnrollData2324,'2324 Jun 24 Enroll'!G$1,FALSE),'District Calculations'!$B$14)*Apport_212A2324,3)</f>
        <v>8.0239999999999991</v>
      </c>
      <c r="X323">
        <f>ROUND(IF(VLOOKUP($A323,EnrollData2324,'2324 Jun 24 Enroll'!H$1,FALSE)='District Calculations'!$B$14,VLOOKUP($A323,EnrollData2324,'2324 Jun 24 Enroll'!H$1,FALSE),'District Calculations'!$B$14)*Apport_215A2324,3)</f>
        <v>7.9279999999999999</v>
      </c>
      <c r="Y323">
        <f>ROUND(IF(VLOOKUP($A323,EnrollData2324,'2324 Jun 24 Enroll'!I$1,FALSE)+VLOOKUP($A323,EnrollData2324,'2324 Jun 24 Enroll'!M$1,FALSE)-VLOOKUP($A323,EnrollData2324,'2324 Jun 24 Enroll'!J$1,FALSE)='District Calculations'!$B$16+'District Calculations'!$B$25-'District Calculations'!$B$17,VLOOKUP($A323,EnrollData2324,'2324 Jun 24 Enroll'!I$1,FALSE)+VLOOKUP($A323,EnrollData2324,'2324 Jun 24 Enroll'!M$1,FALSE)-VLOOKUP($A323,EnrollData2324,'2324 Jun 24 Enroll'!J$1,FALSE),'District Calculations'!$B$16+'District Calculations'!$B$25-'District Calculations'!$B$17)*Apport_218A2324,3)</f>
        <v>19.917999999999999</v>
      </c>
      <c r="Z323">
        <f>ROUND(SUM(T323:Y323)/IF(VLOOKUP($A323,EnrollData2324,'2324 Jun 24 Enroll'!M$1,FALSE)+VLOOKUP($A323,EnrollData2324,'2324 Jun 24 Enroll'!D$1,FALSE)='District Calculations'!$B$25+'District Calculations'!$B$11,VLOOKUP($A323,EnrollData2324,'2324 Jun 24 Enroll'!M$1,FALSE)+VLOOKUP($A323,EnrollData2324,'2324 Jun 24 Enroll'!D$1,FALSE),'District Calculations'!$B$25+'District Calculations'!$B$11),5)</f>
        <v>1.7399999999999999E-2</v>
      </c>
      <c r="AA323" s="6">
        <f>ROUND($J323*CIS_Base_Salary2324*VLOOKUP($A323,EnrollData2324,'2324 Jun 24 Enroll'!S$1,FALSE),2)</f>
        <v>4099.16</v>
      </c>
      <c r="AB323" s="6">
        <f>ROUND($J323*CIS_Inc_Salary2324*(VLOOKUP($A323,EnrollData2324,'2324 Jun 24 Enroll'!T$1,FALSE)+VLOOKUP($A323,EnrollData2324,'2324 Jun 24 Enroll'!U$1,FALSE)),2)-AA323</f>
        <v>151.68000000000029</v>
      </c>
      <c r="AC323" s="6">
        <f>ROUND($R323*CAS_Base_Salary2324*VLOOKUP($A323,EnrollData2324,'2324 Jun 24 Enroll'!S$1,FALSE),2)</f>
        <v>449.25</v>
      </c>
      <c r="AD323" s="6">
        <f>ROUND($R323*CAS_Inc_Salary2324*VLOOKUP($A323,EnrollData2324,'2324 Jun 24 Enroll'!T$1,FALSE),2)-AC323</f>
        <v>16.629999999999995</v>
      </c>
      <c r="AE323" s="6">
        <f>ROUND($Z323*CLS_Base_Salary2324*VLOOKUP($A323,EnrollData2324,'2324 Jun 24 Enroll'!S$1,FALSE),2)</f>
        <v>921.43</v>
      </c>
      <c r="AF323" s="6">
        <f>ROUND($Z323*CLS_Inc_Salary2324*VLOOKUP($A323,EnrollData2324,'2324 Jun 24 Enroll'!T$1,FALSE),2)-AE323</f>
        <v>34.080000000000041</v>
      </c>
      <c r="AG323">
        <f t="shared" ref="AG323:AG325" si="89">ROUND(($J323+$R323)*Apport_124X2324,2)</f>
        <v>734.16</v>
      </c>
      <c r="AH323" s="69">
        <f t="shared" si="80"/>
        <v>68.700000000000045</v>
      </c>
      <c r="AI323">
        <f t="shared" ref="AI323:AI325" si="90">ROUND($Z323*Apport_124X2324,2)</f>
        <v>214.23</v>
      </c>
      <c r="AJ323">
        <f t="shared" si="81"/>
        <v>114.21000000000001</v>
      </c>
      <c r="AK323">
        <f t="shared" si="82"/>
        <v>817.35</v>
      </c>
      <c r="AL323">
        <f t="shared" si="83"/>
        <v>29.17</v>
      </c>
      <c r="AM323">
        <f t="shared" si="84"/>
        <v>203.27</v>
      </c>
      <c r="AN323">
        <f t="shared" si="85"/>
        <v>6.33</v>
      </c>
      <c r="AO323">
        <f>ROUND(($J323*CIS_Inc_Salary2324*(VLOOKUP($A323,EnrollData2324,'2324 Jun 24 Enroll'!T$1,FALSE)+VLOOKUP($A323,EnrollData2324,'2324 Jun 24 Enroll'!U$1,FALSE))/Apport_613Xpd)*Apport_614Xpd,2)</f>
        <v>70.849999999999994</v>
      </c>
      <c r="AP323">
        <f t="shared" si="86"/>
        <v>12.28</v>
      </c>
      <c r="AQ323">
        <f t="shared" si="87"/>
        <v>30.93</v>
      </c>
      <c r="AR323" s="6">
        <f>ROUND((VLOOKUP($A323,EnrollData2324,'2324 Jun 24 Enroll'!D$1,FALSE)*Apport_M802324+VLOOKUP($A323,EnrollData2324,'2324 Jun 24 Enroll'!M$1,FALSE)*Apport_M802324+(VLOOKUP($A323,EnrollData2324,'2324 Jun 24 Enroll'!P$1,FALSE)+VLOOKUP($A323,EnrollData2324,'2324 Jun 24 Enroll'!Q$1,FALSE)+VLOOKUP($A323,EnrollData2324,'2324 Jun 24 Enroll'!R$1,FALSE)+VLOOKUP($A323,EnrollData2324,'2324 Jun 24 Enroll'!I$1,FALSE)+VLOOKUP($A323,EnrollData2324,'2324 Jun 24 Enroll'!N$1,FALSE)+VLOOKUP($A323,EnrollData2324,'2324 Jun 24 Enroll'!O$1,FALSE)+VLOOKUP($A323,EnrollData2324,'2324 Jun 24 Enroll'!K$1,FALSE)+VLOOKUP($A323,EnrollData2324,'2324 Jun 24 Enroll'!L$1,FALSE))*Apport_M812324)/(VLOOKUP($A323,EnrollData2324,'2324 Jun 24 Enroll'!M$1,FALSE)+VLOOKUP($A323,EnrollData2324,'2324 Jun 24 Enroll'!D$1,FALSE)),2)</f>
        <v>1549.38</v>
      </c>
      <c r="AS323" s="7">
        <f t="shared" si="88"/>
        <v>9523.09</v>
      </c>
    </row>
    <row r="324" spans="1:45">
      <c r="A324" s="40" t="s">
        <v>604</v>
      </c>
      <c r="B324" s="40" t="s">
        <v>605</v>
      </c>
      <c r="C324" s="11">
        <f>ROUND((IFERROR((1/IF(VLOOKUP($A324,EnrollData2324,28,FALSE)='District Calculations'!$B$10,VLOOKUP($A324,EnrollData2324,28,FALSE),'District Calculations'!$B$10))*(1+Apport_Z315),0))+Apport_201A2324,6)</f>
        <v>7.3449E-2</v>
      </c>
      <c r="D324">
        <f>ROUND(IF(VLOOKUP($A324,EnrollData2324,'2324 Jun 24 Enroll'!D$1,FALSE)='District Calculations'!$B$11,VLOOKUP($A324,EnrollData2324,'2324 Jun 24 Enroll'!D$1,FALSE),'District Calculations'!$B$11)*C324,3)</f>
        <v>0</v>
      </c>
      <c r="E324">
        <f>ROUND(IF(VLOOKUP($A324,EnrollData2324,'2324 Jun 24 Enroll'!E$1,FALSE)='District Calculations'!$B$12,VLOOKUP($A324,EnrollData2324,'2324 Jun 24 Enroll'!E$1,FALSE),'District Calculations'!$B$12)*C324,3)</f>
        <v>59.53</v>
      </c>
      <c r="F324">
        <f>ROUND(IF(VLOOKUP($A324,EnrollData2324,'2324 Jun 24 Enroll'!F$1,FALSE)='District Calculations'!$B$13,VLOOKUP($A324,EnrollData2324,'2324 Jun 24 Enroll'!F$1,FALSE),'District Calculations'!$B$13)*Apport_222A2324,3)</f>
        <v>10.101000000000001</v>
      </c>
      <c r="G324">
        <f>ROUND(IF(VLOOKUP($A324,EnrollData2324,'2324 Jun 24 Enroll'!G$1,FALSE)='District Calculations'!$B$14,VLOOKUP($A324,EnrollData2324,'2324 Jun 24 Enroll'!G$1,FALSE),'District Calculations'!$B$14)*Apport_210A2324,3)</f>
        <v>22.395</v>
      </c>
      <c r="H324">
        <f>ROUND(IF(VLOOKUP($A324,EnrollData2324,'2324 Jun 24 Enroll'!H$1,FALSE)='District Calculations'!$B$15,VLOOKUP($A324,EnrollData2324,'2324 Jun 24 Enroll'!H$1,FALSE),'District Calculations'!$B$15)*Apport_213A2324,3)</f>
        <v>23.091999999999999</v>
      </c>
      <c r="I324">
        <f>ROUND(IF(VLOOKUP($A324,EnrollData2324,'2324 Jun 24 Enroll'!I$1,FALSE)+VLOOKUP($A324,EnrollData2324,'2324 Jun 24 Enroll'!M$1,FALSE)-VLOOKUP($A324,EnrollData2324,'2324 Jun 24 Enroll'!J$1,FALSE)='District Calculations'!$B$16+'District Calculations'!$B$25-'District Calculations'!$B$17,VLOOKUP($A324,EnrollData2324,'2324 Jun 24 Enroll'!I$1,FALSE)+VLOOKUP($A324,EnrollData2324,'2324 Jun 24 Enroll'!M$1,FALSE)-VLOOKUP($A324,EnrollData2324,'2324 Jun 24 Enroll'!J$1,FALSE),'District Calculations'!$B$16+'District Calculations'!$B$25-'District Calculations'!$B$17)*Apport_216A2324,3)</f>
        <v>58.183999999999997</v>
      </c>
      <c r="J324">
        <f>ROUND(SUM(D324:I324)/(IF(VLOOKUP($A324,EnrollData2324,'2324 Jun 24 Enroll'!M$1,FALSE)='District Calculations'!$B$25,VLOOKUP($A324,EnrollData2324,'2324 Jun 24 Enroll'!M$1,FALSE),'District Calculations'!$B$25)+IF(VLOOKUP($A324,EnrollData2324,'2324 Jun 24 Enroll'!D$1,FALSE)='District Calculations'!$B$11,VLOOKUP($A324,EnrollData2324,'2324 Jun 24 Enroll'!D$1,FALSE),'District Calculations'!$B$11)),5)</f>
        <v>5.5530000000000003E-2</v>
      </c>
      <c r="K324" s="11">
        <f t="shared" si="78"/>
        <v>4.365E-3</v>
      </c>
      <c r="L324">
        <f>ROUND(IF(VLOOKUP($A324,EnrollData2324,'2324 Jun 24 Enroll'!D$1,FALSE)='District Calculations'!$B$11,VLOOKUP($A324,EnrollData2324,'2324 Jun 24 Enroll'!D$1,FALSE),'District Calculations'!$B$11)*K324,3)</f>
        <v>0</v>
      </c>
      <c r="M324">
        <f>ROUND(IF(VLOOKUP($A324,EnrollData2324,'2324 Jun 24 Enroll'!E$1,FALSE)='District Calculations'!$B$12,VLOOKUP($A324,EnrollData2324,'2324 Jun 24 Enroll'!E$1,FALSE),'District Calculations'!$B$12)*K324,3)</f>
        <v>3.5379999999999998</v>
      </c>
      <c r="N324">
        <f>ROUND(IF(VLOOKUP($A324,EnrollData2324,'2324 Jun 24 Enroll'!F$1,FALSE)='District Calculations'!$B$13,VLOOKUP($A324,EnrollData2324,'2324 Jun 24 Enroll'!F$1,FALSE),'District Calculations'!$B$13)*Apport_223A2324,3)</f>
        <v>0.84199999999999997</v>
      </c>
      <c r="O324">
        <f>ROUND(IF(VLOOKUP($A324,EnrollData2324,'2324 Jun 24 Enroll'!G$1,FALSE)='District Calculations'!$B$14,VLOOKUP($A324,EnrollData2324,'2324 Jun 24 Enroll'!G$1,FALSE),'District Calculations'!$B$14)*Apport_211A2324,3)</f>
        <v>1.867</v>
      </c>
      <c r="P324">
        <f>ROUND(IF(VLOOKUP($A324,EnrollData2324,'2324 Jun 24 Enroll'!H$1,FALSE)='District Calculations'!$B$14,VLOOKUP($A324,EnrollData2324,'2324 Jun 24 Enroll'!H$1,FALSE),'District Calculations'!$B$14)*Apport_214A2324,3)</f>
        <v>1.8660000000000001</v>
      </c>
      <c r="Q324">
        <f>ROUND(IF(VLOOKUP($A324,EnrollData2324,'2324 Jun 24 Enroll'!I$1,FALSE)+VLOOKUP($A324,EnrollData2324,'2324 Jun 24 Enroll'!M$1,FALSE)-VLOOKUP($A324,EnrollData2324,'2324 Jun 24 Enroll'!J$1,FALSE)='District Calculations'!$B$16+'District Calculations'!$B$25-'District Calculations'!$B$17,VLOOKUP($A324,EnrollData2324,'2324 Jun 24 Enroll'!I$1,FALSE)+VLOOKUP($A324,EnrollData2324,'2324 Jun 24 Enroll'!M$1,FALSE)-VLOOKUP($A324,EnrollData2324,'2324 Jun 24 Enroll'!J$1,FALSE),'District Calculations'!$B$16+'District Calculations'!$B$25-'District Calculations'!$B$17)*Apport_217A2324,3)</f>
        <v>4.6980000000000004</v>
      </c>
      <c r="R324">
        <f>ROUND(SUM(L324:Q324)/IF(VLOOKUP($A324,EnrollData2324,'2324 Jun 24 Enroll'!M$1,FALSE)+VLOOKUP($A324,EnrollData2324,'2324 Jun 24 Enroll'!D$1,FALSE)='District Calculations'!$B$25+'District Calculations'!$B$11,VLOOKUP($A324,EnrollData2324,'2324 Jun 24 Enroll'!M$1,FALSE)+VLOOKUP($A324,EnrollData2324,'2324 Jun 24 Enroll'!D$1,FALSE),'District Calculations'!$B$25+'District Calculations'!$B$11),5)</f>
        <v>4.1000000000000003E-3</v>
      </c>
      <c r="S324" s="11">
        <f t="shared" si="79"/>
        <v>1.8294500000000002E-2</v>
      </c>
      <c r="T324">
        <f>ROUND(IF(VLOOKUP($A324,EnrollData2324,'2324 Jun 24 Enroll'!D$1,FALSE)='District Calculations'!$B$11,VLOOKUP($A324,EnrollData2324,'2324 Jun 24 Enroll'!D$1,FALSE),'District Calculations'!$B$11)*S324,3)</f>
        <v>0</v>
      </c>
      <c r="U324">
        <f>ROUND(IF(VLOOKUP($A324,EnrollData2324,'2324 Jun 24 Enroll'!E$1,FALSE)='District Calculations'!$B$12,VLOOKUP($A324,EnrollData2324,'2324 Jun 24 Enroll'!E$1,FALSE),'District Calculations'!$B$12)*S324,3)</f>
        <v>14.827999999999999</v>
      </c>
      <c r="V324">
        <f>ROUND(IF(VLOOKUP($A324,EnrollData2324,'2324 Jun 24 Enroll'!F$1,FALSE)='District Calculations'!$B$13,VLOOKUP($A324,EnrollData2324,'2324 Jun 24 Enroll'!F$1,FALSE),'District Calculations'!$B$13)*Apport_224A2324,3)</f>
        <v>3.6190000000000002</v>
      </c>
      <c r="W324">
        <f>ROUND(IF(VLOOKUP($A324,EnrollData2324,'2324 Jun 24 Enroll'!G$1,FALSE)='District Calculations'!$B$14,VLOOKUP($A324,EnrollData2324,'2324 Jun 24 Enroll'!G$1,FALSE),'District Calculations'!$B$14)*Apport_212A2324,3)</f>
        <v>8.0239999999999991</v>
      </c>
      <c r="X324">
        <f>ROUND(IF(VLOOKUP($A324,EnrollData2324,'2324 Jun 24 Enroll'!H$1,FALSE)='District Calculations'!$B$14,VLOOKUP($A324,EnrollData2324,'2324 Jun 24 Enroll'!H$1,FALSE),'District Calculations'!$B$14)*Apport_215A2324,3)</f>
        <v>7.9279999999999999</v>
      </c>
      <c r="Y324">
        <f>ROUND(IF(VLOOKUP($A324,EnrollData2324,'2324 Jun 24 Enroll'!I$1,FALSE)+VLOOKUP($A324,EnrollData2324,'2324 Jun 24 Enroll'!M$1,FALSE)-VLOOKUP($A324,EnrollData2324,'2324 Jun 24 Enroll'!J$1,FALSE)='District Calculations'!$B$16+'District Calculations'!$B$25-'District Calculations'!$B$17,VLOOKUP($A324,EnrollData2324,'2324 Jun 24 Enroll'!I$1,FALSE)+VLOOKUP($A324,EnrollData2324,'2324 Jun 24 Enroll'!M$1,FALSE)-VLOOKUP($A324,EnrollData2324,'2324 Jun 24 Enroll'!J$1,FALSE),'District Calculations'!$B$16+'District Calculations'!$B$25-'District Calculations'!$B$17)*Apport_218A2324,3)</f>
        <v>19.917999999999999</v>
      </c>
      <c r="Z324">
        <f>ROUND(SUM(T324:Y324)/IF(VLOOKUP($A324,EnrollData2324,'2324 Jun 24 Enroll'!M$1,FALSE)+VLOOKUP($A324,EnrollData2324,'2324 Jun 24 Enroll'!D$1,FALSE)='District Calculations'!$B$25+'District Calculations'!$B$11,VLOOKUP($A324,EnrollData2324,'2324 Jun 24 Enroll'!M$1,FALSE)+VLOOKUP($A324,EnrollData2324,'2324 Jun 24 Enroll'!D$1,FALSE),'District Calculations'!$B$25+'District Calculations'!$B$11),5)</f>
        <v>1.7399999999999999E-2</v>
      </c>
      <c r="AA324" s="6">
        <f>ROUND($J324*CIS_Base_Salary2324*VLOOKUP($A324,EnrollData2324,'2324 Jun 24 Enroll'!S$1,FALSE),2)</f>
        <v>4038.59</v>
      </c>
      <c r="AB324" s="6">
        <f>ROUND($J324*CIS_Inc_Salary2324*(VLOOKUP($A324,EnrollData2324,'2324 Jun 24 Enroll'!T$1,FALSE)+VLOOKUP($A324,EnrollData2324,'2324 Jun 24 Enroll'!U$1,FALSE)),2)-AA324</f>
        <v>149.43000000000029</v>
      </c>
      <c r="AC324" s="6">
        <f>ROUND($R324*CAS_Base_Salary2324*VLOOKUP($A324,EnrollData2324,'2324 Jun 24 Enroll'!S$1,FALSE),2)</f>
        <v>442.62</v>
      </c>
      <c r="AD324" s="6">
        <f>ROUND($R324*CAS_Inc_Salary2324*VLOOKUP($A324,EnrollData2324,'2324 Jun 24 Enroll'!T$1,FALSE),2)-AC324</f>
        <v>16.379999999999995</v>
      </c>
      <c r="AE324" s="6">
        <f>ROUND($Z324*CLS_Base_Salary2324*VLOOKUP($A324,EnrollData2324,'2324 Jun 24 Enroll'!S$1,FALSE),2)</f>
        <v>907.81</v>
      </c>
      <c r="AF324" s="6">
        <f>ROUND($Z324*CLS_Inc_Salary2324*VLOOKUP($A324,EnrollData2324,'2324 Jun 24 Enroll'!T$1,FALSE),2)-AE324</f>
        <v>33.580000000000041</v>
      </c>
      <c r="AG324">
        <f t="shared" si="89"/>
        <v>734.16</v>
      </c>
      <c r="AH324" s="69">
        <f t="shared" si="80"/>
        <v>68.700000000000045</v>
      </c>
      <c r="AI324">
        <f t="shared" si="90"/>
        <v>214.23</v>
      </c>
      <c r="AJ324">
        <f t="shared" si="81"/>
        <v>114.21000000000001</v>
      </c>
      <c r="AK324">
        <f t="shared" si="82"/>
        <v>805.27</v>
      </c>
      <c r="AL324">
        <f t="shared" si="83"/>
        <v>28.73</v>
      </c>
      <c r="AM324">
        <f t="shared" si="84"/>
        <v>200.26</v>
      </c>
      <c r="AN324">
        <f t="shared" si="85"/>
        <v>6.23</v>
      </c>
      <c r="AO324">
        <f>ROUND(($J324*CIS_Inc_Salary2324*(VLOOKUP($A324,EnrollData2324,'2324 Jun 24 Enroll'!T$1,FALSE)+VLOOKUP($A324,EnrollData2324,'2324 Jun 24 Enroll'!U$1,FALSE))/Apport_613Xpd)*Apport_614Xpd,2)</f>
        <v>69.8</v>
      </c>
      <c r="AP324">
        <f t="shared" si="86"/>
        <v>12.1</v>
      </c>
      <c r="AQ324">
        <f t="shared" si="87"/>
        <v>30.93</v>
      </c>
      <c r="AR324" s="6">
        <f>ROUND((VLOOKUP($A324,EnrollData2324,'2324 Jun 24 Enroll'!D$1,FALSE)*Apport_M802324+VLOOKUP($A324,EnrollData2324,'2324 Jun 24 Enroll'!M$1,FALSE)*Apport_M802324+(VLOOKUP($A324,EnrollData2324,'2324 Jun 24 Enroll'!P$1,FALSE)+VLOOKUP($A324,EnrollData2324,'2324 Jun 24 Enroll'!Q$1,FALSE)+VLOOKUP($A324,EnrollData2324,'2324 Jun 24 Enroll'!R$1,FALSE)+VLOOKUP($A324,EnrollData2324,'2324 Jun 24 Enroll'!I$1,FALSE)+VLOOKUP($A324,EnrollData2324,'2324 Jun 24 Enroll'!N$1,FALSE)+VLOOKUP($A324,EnrollData2324,'2324 Jun 24 Enroll'!O$1,FALSE)+VLOOKUP($A324,EnrollData2324,'2324 Jun 24 Enroll'!K$1,FALSE)+VLOOKUP($A324,EnrollData2324,'2324 Jun 24 Enroll'!L$1,FALSE))*Apport_M812324)/(VLOOKUP($A324,EnrollData2324,'2324 Jun 24 Enroll'!M$1,FALSE)+VLOOKUP($A324,EnrollData2324,'2324 Jun 24 Enroll'!D$1,FALSE)),2)</f>
        <v>1546.85</v>
      </c>
      <c r="AS324" s="7">
        <f t="shared" si="88"/>
        <v>9419.8799999999992</v>
      </c>
    </row>
    <row r="325" spans="1:45">
      <c r="A325" s="40" t="s">
        <v>993</v>
      </c>
      <c r="B325" s="40" t="s">
        <v>994</v>
      </c>
      <c r="C325" s="11">
        <f>ROUND((IFERROR((1/IF(VLOOKUP($A325,EnrollData2324,28,FALSE)='District Calculations'!$B$10,VLOOKUP($A325,EnrollData2324,28,FALSE),'District Calculations'!$B$10))*(1+Apport_Z315),0))+Apport_201A2324,6)</f>
        <v>7.3449E-2</v>
      </c>
      <c r="D325">
        <f>ROUND(IF(VLOOKUP($A325,EnrollData2324,'2324 Jun 24 Enroll'!D$1,FALSE)='District Calculations'!$B$11,VLOOKUP($A325,EnrollData2324,'2324 Jun 24 Enroll'!D$1,FALSE),'District Calculations'!$B$11)*C325,3)</f>
        <v>0</v>
      </c>
      <c r="E325">
        <f>ROUND(IF(VLOOKUP($A325,EnrollData2324,'2324 Jun 24 Enroll'!E$1,FALSE)='District Calculations'!$B$12,VLOOKUP($A325,EnrollData2324,'2324 Jun 24 Enroll'!E$1,FALSE),'District Calculations'!$B$12)*C325,3)</f>
        <v>59.53</v>
      </c>
      <c r="F325">
        <f>ROUND(IF(VLOOKUP($A325,EnrollData2324,'2324 Jun 24 Enroll'!F$1,FALSE)='District Calculations'!$B$13,VLOOKUP($A325,EnrollData2324,'2324 Jun 24 Enroll'!F$1,FALSE),'District Calculations'!$B$13)*Apport_222A2324,3)</f>
        <v>10.101000000000001</v>
      </c>
      <c r="G325">
        <f>ROUND(IF(VLOOKUP($A325,EnrollData2324,'2324 Jun 24 Enroll'!G$1,FALSE)='District Calculations'!$B$14,VLOOKUP($A325,EnrollData2324,'2324 Jun 24 Enroll'!G$1,FALSE),'District Calculations'!$B$14)*Apport_210A2324,3)</f>
        <v>22.395</v>
      </c>
      <c r="H325">
        <f>ROUND(IF(VLOOKUP($A325,EnrollData2324,'2324 Jun 24 Enroll'!H$1,FALSE)='District Calculations'!$B$15,VLOOKUP($A325,EnrollData2324,'2324 Jun 24 Enroll'!H$1,FALSE),'District Calculations'!$B$15)*Apport_213A2324,3)</f>
        <v>23.091999999999999</v>
      </c>
      <c r="I325">
        <f>ROUND(IF(VLOOKUP($A325,EnrollData2324,'2324 Jun 24 Enroll'!I$1,FALSE)+VLOOKUP($A325,EnrollData2324,'2324 Jun 24 Enroll'!M$1,FALSE)-VLOOKUP($A325,EnrollData2324,'2324 Jun 24 Enroll'!J$1,FALSE)='District Calculations'!$B$16+'District Calculations'!$B$25-'District Calculations'!$B$17,VLOOKUP($A325,EnrollData2324,'2324 Jun 24 Enroll'!I$1,FALSE)+VLOOKUP($A325,EnrollData2324,'2324 Jun 24 Enroll'!M$1,FALSE)-VLOOKUP($A325,EnrollData2324,'2324 Jun 24 Enroll'!J$1,FALSE),'District Calculations'!$B$16+'District Calculations'!$B$25-'District Calculations'!$B$17)*Apport_216A2324,3)</f>
        <v>58.183999999999997</v>
      </c>
      <c r="J325">
        <f>ROUND(SUM(D325:I325)/(IF(VLOOKUP($A325,EnrollData2324,'2324 Jun 24 Enroll'!M$1,FALSE)='District Calculations'!$B$25,VLOOKUP($A325,EnrollData2324,'2324 Jun 24 Enroll'!M$1,FALSE),'District Calculations'!$B$25)+IF(VLOOKUP($A325,EnrollData2324,'2324 Jun 24 Enroll'!D$1,FALSE)='District Calculations'!$B$11,VLOOKUP($A325,EnrollData2324,'2324 Jun 24 Enroll'!D$1,FALSE),'District Calculations'!$B$11)),5)</f>
        <v>5.5530000000000003E-2</v>
      </c>
      <c r="K325" s="11">
        <f t="shared" si="78"/>
        <v>4.365E-3</v>
      </c>
      <c r="L325">
        <f>ROUND(IF(VLOOKUP($A325,EnrollData2324,'2324 Jun 24 Enroll'!D$1,FALSE)='District Calculations'!$B$11,VLOOKUP($A325,EnrollData2324,'2324 Jun 24 Enroll'!D$1,FALSE),'District Calculations'!$B$11)*K325,3)</f>
        <v>0</v>
      </c>
      <c r="M325">
        <f>ROUND(IF(VLOOKUP($A325,EnrollData2324,'2324 Jun 24 Enroll'!E$1,FALSE)='District Calculations'!$B$12,VLOOKUP($A325,EnrollData2324,'2324 Jun 24 Enroll'!E$1,FALSE),'District Calculations'!$B$12)*K325,3)</f>
        <v>3.5379999999999998</v>
      </c>
      <c r="N325">
        <f>ROUND(IF(VLOOKUP($A325,EnrollData2324,'2324 Jun 24 Enroll'!F$1,FALSE)='District Calculations'!$B$13,VLOOKUP($A325,EnrollData2324,'2324 Jun 24 Enroll'!F$1,FALSE),'District Calculations'!$B$13)*Apport_223A2324,3)</f>
        <v>0.84199999999999997</v>
      </c>
      <c r="O325">
        <f>ROUND(IF(VLOOKUP($A325,EnrollData2324,'2324 Jun 24 Enroll'!G$1,FALSE)='District Calculations'!$B$14,VLOOKUP($A325,EnrollData2324,'2324 Jun 24 Enroll'!G$1,FALSE),'District Calculations'!$B$14)*Apport_211A2324,3)</f>
        <v>1.867</v>
      </c>
      <c r="P325">
        <f>ROUND(IF(VLOOKUP($A325,EnrollData2324,'2324 Jun 24 Enroll'!H$1,FALSE)='District Calculations'!$B$14,VLOOKUP($A325,EnrollData2324,'2324 Jun 24 Enroll'!H$1,FALSE),'District Calculations'!$B$14)*Apport_214A2324,3)</f>
        <v>1.8660000000000001</v>
      </c>
      <c r="Q325">
        <f>ROUND(IF(VLOOKUP($A325,EnrollData2324,'2324 Jun 24 Enroll'!I$1,FALSE)+VLOOKUP($A325,EnrollData2324,'2324 Jun 24 Enroll'!M$1,FALSE)-VLOOKUP($A325,EnrollData2324,'2324 Jun 24 Enroll'!J$1,FALSE)='District Calculations'!$B$16+'District Calculations'!$B$25-'District Calculations'!$B$17,VLOOKUP($A325,EnrollData2324,'2324 Jun 24 Enroll'!I$1,FALSE)+VLOOKUP($A325,EnrollData2324,'2324 Jun 24 Enroll'!M$1,FALSE)-VLOOKUP($A325,EnrollData2324,'2324 Jun 24 Enroll'!J$1,FALSE),'District Calculations'!$B$16+'District Calculations'!$B$25-'District Calculations'!$B$17)*Apport_217A2324,3)</f>
        <v>4.6980000000000004</v>
      </c>
      <c r="R325">
        <f>ROUND(SUM(L325:Q325)/IF(VLOOKUP($A325,EnrollData2324,'2324 Jun 24 Enroll'!M$1,FALSE)+VLOOKUP($A325,EnrollData2324,'2324 Jun 24 Enroll'!D$1,FALSE)='District Calculations'!$B$25+'District Calculations'!$B$11,VLOOKUP($A325,EnrollData2324,'2324 Jun 24 Enroll'!M$1,FALSE)+VLOOKUP($A325,EnrollData2324,'2324 Jun 24 Enroll'!D$1,FALSE),'District Calculations'!$B$25+'District Calculations'!$B$11),5)</f>
        <v>4.1000000000000003E-3</v>
      </c>
      <c r="S325" s="11">
        <f t="shared" si="79"/>
        <v>1.8294500000000002E-2</v>
      </c>
      <c r="T325">
        <f>ROUND(IF(VLOOKUP($A325,EnrollData2324,'2324 Jun 24 Enroll'!D$1,FALSE)='District Calculations'!$B$11,VLOOKUP($A325,EnrollData2324,'2324 Jun 24 Enroll'!D$1,FALSE),'District Calculations'!$B$11)*S325,3)</f>
        <v>0</v>
      </c>
      <c r="U325">
        <f>ROUND(IF(VLOOKUP($A325,EnrollData2324,'2324 Jun 24 Enroll'!E$1,FALSE)='District Calculations'!$B$12,VLOOKUP($A325,EnrollData2324,'2324 Jun 24 Enroll'!E$1,FALSE),'District Calculations'!$B$12)*S325,3)</f>
        <v>14.827999999999999</v>
      </c>
      <c r="V325">
        <f>ROUND(IF(VLOOKUP($A325,EnrollData2324,'2324 Jun 24 Enroll'!F$1,FALSE)='District Calculations'!$B$13,VLOOKUP($A325,EnrollData2324,'2324 Jun 24 Enroll'!F$1,FALSE),'District Calculations'!$B$13)*Apport_224A2324,3)</f>
        <v>3.6190000000000002</v>
      </c>
      <c r="W325">
        <f>ROUND(IF(VLOOKUP($A325,EnrollData2324,'2324 Jun 24 Enroll'!G$1,FALSE)='District Calculations'!$B$14,VLOOKUP($A325,EnrollData2324,'2324 Jun 24 Enroll'!G$1,FALSE),'District Calculations'!$B$14)*Apport_212A2324,3)</f>
        <v>8.0239999999999991</v>
      </c>
      <c r="X325">
        <f>ROUND(IF(VLOOKUP($A325,EnrollData2324,'2324 Jun 24 Enroll'!H$1,FALSE)='District Calculations'!$B$14,VLOOKUP($A325,EnrollData2324,'2324 Jun 24 Enroll'!H$1,FALSE),'District Calculations'!$B$14)*Apport_215A2324,3)</f>
        <v>7.9279999999999999</v>
      </c>
      <c r="Y325">
        <f>ROUND(IF(VLOOKUP($A325,EnrollData2324,'2324 Jun 24 Enroll'!I$1,FALSE)+VLOOKUP($A325,EnrollData2324,'2324 Jun 24 Enroll'!M$1,FALSE)-VLOOKUP($A325,EnrollData2324,'2324 Jun 24 Enroll'!J$1,FALSE)='District Calculations'!$B$16+'District Calculations'!$B$25-'District Calculations'!$B$17,VLOOKUP($A325,EnrollData2324,'2324 Jun 24 Enroll'!I$1,FALSE)+VLOOKUP($A325,EnrollData2324,'2324 Jun 24 Enroll'!M$1,FALSE)-VLOOKUP($A325,EnrollData2324,'2324 Jun 24 Enroll'!J$1,FALSE),'District Calculations'!$B$16+'District Calculations'!$B$25-'District Calculations'!$B$17)*Apport_218A2324,3)</f>
        <v>19.917999999999999</v>
      </c>
      <c r="Z325">
        <f>ROUND(SUM(T325:Y325)/IF(VLOOKUP($A325,EnrollData2324,'2324 Jun 24 Enroll'!M$1,FALSE)+VLOOKUP($A325,EnrollData2324,'2324 Jun 24 Enroll'!D$1,FALSE)='District Calculations'!$B$25+'District Calculations'!$B$11,VLOOKUP($A325,EnrollData2324,'2324 Jun 24 Enroll'!M$1,FALSE)+VLOOKUP($A325,EnrollData2324,'2324 Jun 24 Enroll'!D$1,FALSE),'District Calculations'!$B$25+'District Calculations'!$B$11),5)</f>
        <v>1.7399999999999999E-2</v>
      </c>
      <c r="AA325" s="6">
        <f>ROUND($J325*CIS_Base_Salary2324*VLOOKUP($A325,EnrollData2324,'2324 Jun 24 Enroll'!S$1,FALSE),2)</f>
        <v>4038.59</v>
      </c>
      <c r="AB325" s="6">
        <f>ROUND($J325*CIS_Inc_Salary2324*(VLOOKUP($A325,EnrollData2324,'2324 Jun 24 Enroll'!T$1,FALSE)+VLOOKUP($A325,EnrollData2324,'2324 Jun 24 Enroll'!U$1,FALSE)),2)-AA325</f>
        <v>149.43000000000029</v>
      </c>
      <c r="AC325" s="6">
        <f>ROUND($R325*CAS_Base_Salary2324*VLOOKUP($A325,EnrollData2324,'2324 Jun 24 Enroll'!S$1,FALSE),2)</f>
        <v>442.62</v>
      </c>
      <c r="AD325" s="6">
        <f>ROUND($R325*CAS_Inc_Salary2324*VLOOKUP($A325,EnrollData2324,'2324 Jun 24 Enroll'!T$1,FALSE),2)-AC325</f>
        <v>16.379999999999995</v>
      </c>
      <c r="AE325" s="6">
        <f>ROUND($Z325*CLS_Base_Salary2324*VLOOKUP($A325,EnrollData2324,'2324 Jun 24 Enroll'!S$1,FALSE),2)</f>
        <v>907.81</v>
      </c>
      <c r="AF325" s="6">
        <f>ROUND($Z325*CLS_Inc_Salary2324*VLOOKUP($A325,EnrollData2324,'2324 Jun 24 Enroll'!T$1,FALSE),2)-AE325</f>
        <v>33.580000000000041</v>
      </c>
      <c r="AG325">
        <f t="shared" si="89"/>
        <v>734.16</v>
      </c>
      <c r="AH325" s="69">
        <f t="shared" si="80"/>
        <v>68.700000000000045</v>
      </c>
      <c r="AI325">
        <f t="shared" si="90"/>
        <v>214.23</v>
      </c>
      <c r="AJ325">
        <f t="shared" si="81"/>
        <v>114.21000000000001</v>
      </c>
      <c r="AK325">
        <f t="shared" si="82"/>
        <v>805.27</v>
      </c>
      <c r="AL325">
        <f t="shared" si="83"/>
        <v>28.73</v>
      </c>
      <c r="AM325">
        <f t="shared" si="84"/>
        <v>200.26</v>
      </c>
      <c r="AN325">
        <f t="shared" si="85"/>
        <v>6.23</v>
      </c>
      <c r="AO325">
        <f>ROUND(($J325*CIS_Inc_Salary2324*(VLOOKUP($A325,EnrollData2324,'2324 Jun 24 Enroll'!T$1,FALSE)+VLOOKUP($A325,EnrollData2324,'2324 Jun 24 Enroll'!U$1,FALSE))/Apport_613Xpd)*Apport_614Xpd,2)</f>
        <v>69.8</v>
      </c>
      <c r="AP325">
        <f t="shared" si="86"/>
        <v>12.1</v>
      </c>
      <c r="AQ325">
        <f t="shared" si="87"/>
        <v>30.93</v>
      </c>
      <c r="AR325" s="6">
        <f>ROUND((VLOOKUP($A325,EnrollData2324,'2324 Jun 24 Enroll'!D$1,FALSE)*Apport_M802324+VLOOKUP($A325,EnrollData2324,'2324 Jun 24 Enroll'!M$1,FALSE)*Apport_M802324+(VLOOKUP($A325,EnrollData2324,'2324 Jun 24 Enroll'!P$1,FALSE)+VLOOKUP($A325,EnrollData2324,'2324 Jun 24 Enroll'!Q$1,FALSE)+VLOOKUP($A325,EnrollData2324,'2324 Jun 24 Enroll'!R$1,FALSE)+VLOOKUP($A325,EnrollData2324,'2324 Jun 24 Enroll'!I$1,FALSE)+VLOOKUP($A325,EnrollData2324,'2324 Jun 24 Enroll'!N$1,FALSE)+VLOOKUP($A325,EnrollData2324,'2324 Jun 24 Enroll'!O$1,FALSE)+VLOOKUP($A325,EnrollData2324,'2324 Jun 24 Enroll'!K$1,FALSE)+VLOOKUP($A325,EnrollData2324,'2324 Jun 24 Enroll'!L$1,FALSE))*Apport_M812324)/(VLOOKUP($A325,EnrollData2324,'2324 Jun 24 Enroll'!M$1,FALSE)+VLOOKUP($A325,EnrollData2324,'2324 Jun 24 Enroll'!D$1,FALSE)),2)</f>
        <v>1659.26</v>
      </c>
      <c r="AS325" s="7">
        <f t="shared" si="88"/>
        <v>9532.2899999999991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9472D-548B-43A0-96EC-5B39DAC81A0F}">
  <dimension ref="A1:AW325"/>
  <sheetViews>
    <sheetView zoomScale="90" zoomScaleNormal="90" workbookViewId="0">
      <pane xSplit="2" ySplit="3" topLeftCell="C4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/>
  <cols>
    <col min="1" max="1" width="9.140625" style="40"/>
    <col min="2" max="2" width="30" style="40" customWidth="1"/>
    <col min="27" max="27" width="11.7109375" customWidth="1"/>
    <col min="28" max="28" width="10.140625" bestFit="1" customWidth="1"/>
    <col min="29" max="29" width="12.7109375" customWidth="1"/>
    <col min="30" max="30" width="10.140625" customWidth="1"/>
    <col min="31" max="32" width="12.85546875" customWidth="1"/>
    <col min="33" max="33" width="13.28515625" customWidth="1"/>
    <col min="34" max="34" width="12.140625" customWidth="1"/>
    <col min="35" max="35" width="11.5703125" customWidth="1"/>
    <col min="36" max="36" width="10" customWidth="1"/>
    <col min="37" max="37" width="12.28515625" customWidth="1"/>
    <col min="38" max="38" width="10.85546875" customWidth="1"/>
    <col min="39" max="39" width="11.7109375" customWidth="1"/>
    <col min="42" max="42" width="10" customWidth="1"/>
    <col min="44" max="44" width="10.140625" bestFit="1" customWidth="1"/>
    <col min="45" max="45" width="12.5703125" customWidth="1"/>
    <col min="46" max="46" width="12.140625" customWidth="1"/>
    <col min="47" max="48" width="12.28515625" bestFit="1" customWidth="1"/>
    <col min="49" max="49" width="13.5703125" customWidth="1"/>
  </cols>
  <sheetData>
    <row r="1" spans="1:49">
      <c r="A1" s="38">
        <v>1</v>
      </c>
      <c r="B1" s="38">
        <f>A1+1</f>
        <v>2</v>
      </c>
      <c r="C1" s="38">
        <f t="shared" ref="C1:AS1" si="0">B1+1</f>
        <v>3</v>
      </c>
      <c r="D1" s="38">
        <f t="shared" si="0"/>
        <v>4</v>
      </c>
      <c r="E1" s="38">
        <f t="shared" si="0"/>
        <v>5</v>
      </c>
      <c r="F1" s="38">
        <f t="shared" si="0"/>
        <v>6</v>
      </c>
      <c r="G1" s="38">
        <f t="shared" si="0"/>
        <v>7</v>
      </c>
      <c r="H1" s="38">
        <f t="shared" si="0"/>
        <v>8</v>
      </c>
      <c r="I1" s="38">
        <f t="shared" si="0"/>
        <v>9</v>
      </c>
      <c r="J1" s="38">
        <f t="shared" si="0"/>
        <v>10</v>
      </c>
      <c r="K1" s="38">
        <f t="shared" si="0"/>
        <v>11</v>
      </c>
      <c r="L1" s="38">
        <f t="shared" si="0"/>
        <v>12</v>
      </c>
      <c r="M1" s="38">
        <f t="shared" si="0"/>
        <v>13</v>
      </c>
      <c r="N1" s="38">
        <f t="shared" si="0"/>
        <v>14</v>
      </c>
      <c r="O1" s="38">
        <f t="shared" si="0"/>
        <v>15</v>
      </c>
      <c r="P1" s="38">
        <f t="shared" si="0"/>
        <v>16</v>
      </c>
      <c r="Q1" s="38">
        <f t="shared" si="0"/>
        <v>17</v>
      </c>
      <c r="R1" s="38">
        <f t="shared" si="0"/>
        <v>18</v>
      </c>
      <c r="S1" s="38">
        <f t="shared" si="0"/>
        <v>19</v>
      </c>
      <c r="T1" s="38">
        <f t="shared" si="0"/>
        <v>20</v>
      </c>
      <c r="U1" s="38">
        <f t="shared" si="0"/>
        <v>21</v>
      </c>
      <c r="V1" s="38">
        <f t="shared" si="0"/>
        <v>22</v>
      </c>
      <c r="W1" s="38">
        <f t="shared" si="0"/>
        <v>23</v>
      </c>
      <c r="X1" s="38">
        <f t="shared" si="0"/>
        <v>24</v>
      </c>
      <c r="Y1" s="38">
        <f t="shared" si="0"/>
        <v>25</v>
      </c>
      <c r="Z1" s="38">
        <f t="shared" si="0"/>
        <v>26</v>
      </c>
      <c r="AA1" s="38">
        <f t="shared" si="0"/>
        <v>27</v>
      </c>
      <c r="AB1" s="38">
        <f t="shared" si="0"/>
        <v>28</v>
      </c>
      <c r="AC1" s="38">
        <f t="shared" si="0"/>
        <v>29</v>
      </c>
      <c r="AD1" s="38">
        <f t="shared" si="0"/>
        <v>30</v>
      </c>
      <c r="AE1" s="38">
        <f t="shared" si="0"/>
        <v>31</v>
      </c>
      <c r="AF1" s="38">
        <f t="shared" si="0"/>
        <v>32</v>
      </c>
      <c r="AG1" s="38">
        <f t="shared" si="0"/>
        <v>33</v>
      </c>
      <c r="AH1" s="38">
        <f t="shared" si="0"/>
        <v>34</v>
      </c>
      <c r="AI1" s="38">
        <f t="shared" si="0"/>
        <v>35</v>
      </c>
      <c r="AJ1" s="38">
        <f t="shared" si="0"/>
        <v>36</v>
      </c>
      <c r="AK1" s="38">
        <f t="shared" si="0"/>
        <v>37</v>
      </c>
      <c r="AL1" s="38">
        <f t="shared" si="0"/>
        <v>38</v>
      </c>
      <c r="AM1" s="38">
        <f t="shared" si="0"/>
        <v>39</v>
      </c>
      <c r="AN1" s="38">
        <f t="shared" si="0"/>
        <v>40</v>
      </c>
      <c r="AO1" s="38">
        <f t="shared" si="0"/>
        <v>41</v>
      </c>
      <c r="AP1" s="38">
        <f t="shared" si="0"/>
        <v>42</v>
      </c>
      <c r="AQ1" s="38">
        <f t="shared" si="0"/>
        <v>43</v>
      </c>
      <c r="AR1" s="38">
        <f t="shared" si="0"/>
        <v>44</v>
      </c>
      <c r="AS1" s="38">
        <f t="shared" si="0"/>
        <v>45</v>
      </c>
    </row>
    <row r="2" spans="1:49" s="25" customFormat="1" ht="46.9" customHeight="1">
      <c r="A2" s="62"/>
      <c r="B2" s="62"/>
      <c r="C2" s="43" t="s">
        <v>113</v>
      </c>
      <c r="D2" s="43" t="s">
        <v>1096</v>
      </c>
      <c r="E2" s="43" t="s">
        <v>1</v>
      </c>
      <c r="F2" s="43" t="s">
        <v>1047</v>
      </c>
      <c r="G2" s="43" t="s">
        <v>4</v>
      </c>
      <c r="H2" s="43" t="s">
        <v>6</v>
      </c>
      <c r="I2" s="43" t="s">
        <v>26</v>
      </c>
      <c r="J2" s="43" t="s">
        <v>1048</v>
      </c>
      <c r="K2" s="43" t="s">
        <v>135</v>
      </c>
      <c r="L2" s="43" t="s">
        <v>1099</v>
      </c>
      <c r="M2" s="43" t="s">
        <v>27</v>
      </c>
      <c r="N2" s="43" t="s">
        <v>1049</v>
      </c>
      <c r="O2" s="43" t="s">
        <v>28</v>
      </c>
      <c r="P2" s="43" t="s">
        <v>29</v>
      </c>
      <c r="Q2" s="43" t="s">
        <v>30</v>
      </c>
      <c r="R2" s="43" t="s">
        <v>1050</v>
      </c>
      <c r="S2" s="43" t="s">
        <v>1051</v>
      </c>
      <c r="T2" s="43" t="s">
        <v>1100</v>
      </c>
      <c r="U2" s="43" t="s">
        <v>31</v>
      </c>
      <c r="V2" s="43" t="s">
        <v>1052</v>
      </c>
      <c r="W2" s="43" t="s">
        <v>32</v>
      </c>
      <c r="X2" s="43" t="s">
        <v>33</v>
      </c>
      <c r="Y2" s="43" t="s">
        <v>34</v>
      </c>
      <c r="Z2" s="43" t="s">
        <v>1053</v>
      </c>
      <c r="AA2" s="63" t="s">
        <v>1054</v>
      </c>
      <c r="AB2" s="63" t="s">
        <v>1055</v>
      </c>
      <c r="AC2" s="63" t="s">
        <v>1056</v>
      </c>
      <c r="AD2" s="63" t="s">
        <v>1057</v>
      </c>
      <c r="AE2" s="63" t="s">
        <v>40</v>
      </c>
      <c r="AF2" s="63" t="s">
        <v>42</v>
      </c>
      <c r="AG2" s="63" t="s">
        <v>1058</v>
      </c>
      <c r="AH2" s="63" t="s">
        <v>1059</v>
      </c>
      <c r="AI2" s="63" t="s">
        <v>1060</v>
      </c>
      <c r="AJ2" s="63" t="s">
        <v>1061</v>
      </c>
      <c r="AK2" s="63" t="s">
        <v>48</v>
      </c>
      <c r="AL2" s="63" t="s">
        <v>913</v>
      </c>
      <c r="AM2" s="63" t="s">
        <v>1062</v>
      </c>
      <c r="AN2" s="63" t="s">
        <v>52</v>
      </c>
      <c r="AO2" s="43" t="s">
        <v>1063</v>
      </c>
      <c r="AP2" s="43" t="s">
        <v>1064</v>
      </c>
      <c r="AQ2" s="43" t="s">
        <v>22</v>
      </c>
      <c r="AR2" s="43" t="s">
        <v>24</v>
      </c>
      <c r="AS2" s="43" t="s">
        <v>1065</v>
      </c>
    </row>
    <row r="3" spans="1:49" ht="45">
      <c r="A3" s="39" t="s">
        <v>1143</v>
      </c>
      <c r="B3" s="39" t="s">
        <v>293</v>
      </c>
      <c r="C3" s="41" t="s">
        <v>112</v>
      </c>
      <c r="D3" s="2" t="s">
        <v>1097</v>
      </c>
      <c r="E3" s="2" t="s">
        <v>0</v>
      </c>
      <c r="F3" s="2" t="s">
        <v>2</v>
      </c>
      <c r="G3" s="2" t="s">
        <v>3</v>
      </c>
      <c r="H3" s="2" t="s">
        <v>5</v>
      </c>
      <c r="I3" s="3" t="s">
        <v>7</v>
      </c>
      <c r="J3" s="42" t="s">
        <v>8</v>
      </c>
      <c r="K3" s="41" t="s">
        <v>134</v>
      </c>
      <c r="L3" s="2" t="s">
        <v>1098</v>
      </c>
      <c r="M3" s="2" t="s">
        <v>9</v>
      </c>
      <c r="N3" s="2" t="s">
        <v>10</v>
      </c>
      <c r="O3" s="2" t="s">
        <v>11</v>
      </c>
      <c r="P3" s="2" t="s">
        <v>12</v>
      </c>
      <c r="Q3" s="3" t="s">
        <v>13</v>
      </c>
      <c r="R3" s="42" t="s">
        <v>14</v>
      </c>
      <c r="S3" s="41" t="s">
        <v>81</v>
      </c>
      <c r="T3" s="2" t="s">
        <v>1101</v>
      </c>
      <c r="U3" s="2" t="s">
        <v>15</v>
      </c>
      <c r="V3" s="2" t="s">
        <v>16</v>
      </c>
      <c r="W3" s="2" t="s">
        <v>17</v>
      </c>
      <c r="X3" s="2" t="s">
        <v>18</v>
      </c>
      <c r="Y3" s="3" t="s">
        <v>19</v>
      </c>
      <c r="Z3" s="42" t="s">
        <v>20</v>
      </c>
      <c r="AA3" s="2" t="s">
        <v>35</v>
      </c>
      <c r="AB3" s="2" t="s">
        <v>36</v>
      </c>
      <c r="AC3" s="2" t="s">
        <v>37</v>
      </c>
      <c r="AD3" s="2" t="s">
        <v>38</v>
      </c>
      <c r="AE3" s="2" t="s">
        <v>39</v>
      </c>
      <c r="AF3" s="2" t="s">
        <v>41</v>
      </c>
      <c r="AG3" s="2" t="s">
        <v>43</v>
      </c>
      <c r="AH3" s="2" t="s">
        <v>44</v>
      </c>
      <c r="AI3" s="2" t="s">
        <v>45</v>
      </c>
      <c r="AJ3" s="2" t="s">
        <v>46</v>
      </c>
      <c r="AK3" s="2" t="s">
        <v>47</v>
      </c>
      <c r="AL3" s="2" t="s">
        <v>49</v>
      </c>
      <c r="AM3" s="2" t="s">
        <v>50</v>
      </c>
      <c r="AN3" s="2" t="s">
        <v>51</v>
      </c>
      <c r="AO3" s="2" t="s">
        <v>990</v>
      </c>
      <c r="AP3" s="2" t="s">
        <v>991</v>
      </c>
      <c r="AQ3" s="2" t="s">
        <v>21</v>
      </c>
      <c r="AR3" s="2" t="s">
        <v>23</v>
      </c>
      <c r="AS3" s="49" t="s">
        <v>25</v>
      </c>
      <c r="AT3" s="25" t="s">
        <v>1022</v>
      </c>
    </row>
    <row r="4" spans="1:49">
      <c r="A4" s="40" t="s">
        <v>494</v>
      </c>
      <c r="B4" s="40" t="s">
        <v>495</v>
      </c>
      <c r="C4" s="11">
        <f>ROUND((IFERROR((1/IF(VLOOKUP($A4,EnrollData2324,28,FALSE)=VLOOKUP($A4,'ESA Calculations 2324 Supp'!$A$4:$AE$34,3,FALSE),VLOOKUP($A4,EnrollData2324,28,FALSE),VLOOKUP($A4,'ESA Calculations 2324 Supp'!$A$4:$AE$34,3,FALSE)))*(1+Apport_Z315),0))+Apport_201A2324s,6)</f>
        <v>7.3449E-2</v>
      </c>
      <c r="D4">
        <f>ROUND(IF(VLOOKUP($A4,EnrollData2324,'2324 Jun 24 Enroll'!D$1,FALSE)=VLOOKUP($A4,'ESA Calculations 2324 Supp'!$A$4:$AE$34,4,FALSE),VLOOKUP($A4,EnrollData2324,'2324 Jun 24 Enroll'!D$1,FALSE),VLOOKUP($A4,'ESA Calculations 2324 Supp'!$A$4:$AE$34,4,FALSE))*C4,3)</f>
        <v>0</v>
      </c>
      <c r="E4">
        <f>ROUND(IF(VLOOKUP($A4,EnrollData2324,'2324 Jun 24 Enroll'!E$1,FALSE)=VLOOKUP($A4,'ESA Calculations 2324 Supp'!$A$4:$AE$34,5,FALSE),VLOOKUP($A4,EnrollData2324,'2324 Jun 24 Enroll'!E$1,FALSE),VLOOKUP($A4,'ESA Calculations 2324 Supp'!$A$4:$AE$34,5,FALSE))*C4,3)</f>
        <v>5.8250000000000002</v>
      </c>
      <c r="F4">
        <f>ROUND(IF(VLOOKUP($A4,EnrollData2324,'2324 Jun 24 Enroll'!F$1,FALSE)=VLOOKUP($A4,'ESA Calculations 2324 Supp'!$A$4:$AE$34,6,FALSE),VLOOKUP($A4,EnrollData2324,'2324 Jun 24 Enroll'!F$1,FALSE),VLOOKUP($A4,'ESA Calculations 2324 Supp'!$A$4:$AE$34,6,FALSE))*Apport_222A2324s,3)</f>
        <v>0.91700000000000004</v>
      </c>
      <c r="G4">
        <f>ROUND(IF(VLOOKUP($A4,EnrollData2324,'2324 Jun 24 Enroll'!G$1,FALSE)=VLOOKUP($A4,'ESA Calculations 2324 Supp'!$A$4:$AE$34,7,FALSE),VLOOKUP($A4,EnrollData2324,'2324 Jun 24 Enroll'!G$1,FALSE),VLOOKUP($A4,'ESA Calculations 2324 Supp'!$A$4:$AE$34,7,FALSE))*Apport_210A2324s,3)</f>
        <v>1.97</v>
      </c>
      <c r="H4">
        <f>ROUND(IF(VLOOKUP($A4,EnrollData2324,'2324 Jun 24 Enroll'!H$1,FALSE)=VLOOKUP($A4,'ESA Calculations 2324 Supp'!$A$4:$AE$34,8,FALSE),VLOOKUP($A4,EnrollData2324,'2324 Jun 24 Enroll'!H$1,FALSE),VLOOKUP($A4,'ESA Calculations 2324 Supp'!$A$4:$AE$34,8,FALSE))*Apport_213A2324s,3)</f>
        <v>1.385</v>
      </c>
      <c r="I4">
        <f>ROUND(IF(VLOOKUP($A4,EnrollData2324,'2324 Jun 24 Enroll'!I$1,FALSE)+VLOOKUP($A4,EnrollData2324,'2324 Jun 24 Enroll'!M$1,FALSE)-VLOOKUP($A4,EnrollData2324,'2324 Jun 24 Enroll'!J$1,FALSE)=VLOOKUP($A4,'ESA Calculations 2324 Supp'!$A$4:$AE$34,9,FALSE)+VLOOKUP($A4,'ESA Calculations 2324 Supp'!$A$4:$AE$34,18,FALSE)-VLOOKUP($A4,'ESA Calculations 2324 Supp'!$A$4:$AE$34,10,FALSE),VLOOKUP($A4,EnrollData2324,'2324 Jun 24 Enroll'!I$1,FALSE)+VLOOKUP($A4,EnrollData2324,'2324 Jun 24 Enroll'!M$1,FALSE)-VLOOKUP($A4,EnrollData2324,'2324 Jun 24 Enroll'!J$1,FALSE),VLOOKUP($A4,'ESA Calculations 2324 Supp'!$A$4:$AE$34,9,FALSE)+VLOOKUP($A4,'ESA Calculations 2324 Supp'!$A$4:$AE$34,18,FALSE)-VLOOKUP($A4,'ESA Calculations 2324 Supp'!$A$4:$AE$34,10,FALSE))*Apport_216A2324s,3)</f>
        <v>0</v>
      </c>
      <c r="J4">
        <f>ROUND(SUM(D4:I4)/IF(VLOOKUP($A4,EnrollData2324,'2324 Jun 24 Enroll'!M$1,FALSE)+VLOOKUP($A4,EnrollData2324,'2324 Jun 24 Enroll'!D$1,FALSE)=VLOOKUP($A4,'ESA Calculations 2324 Supp'!$A$4:$AE$34,18,FALSE)+VLOOKUP($A4,'ESA Calculations 2324 Supp'!$A$4:$AE$34,4,FALSE),VLOOKUP($A4,EnrollData2324,'2324 Jun 24 Enroll'!M$1,FALSE)+VLOOKUP($A4,EnrollData2324,'2324 Jun 24 Enroll'!D$1,FALSE),VLOOKUP($A4,'ESA Calculations 2324 Supp'!$A$4:$AE$34,18,FALSE)+VLOOKUP($A4,'ESA Calculations 2324 Supp'!$A$4:$AE$34,4,FALSE)),5)</f>
        <v>6.021E-2</v>
      </c>
      <c r="K4" s="11">
        <f t="shared" ref="K4:K33" si="1">ROUND(((($C4+Apport_203A2324s+Apport_202A2324s)*Apport_557X)*Apport_558X)+Apport_202A2324s,6)</f>
        <v>4.3699999999999998E-3</v>
      </c>
      <c r="L4">
        <f>ROUND(IF(VLOOKUP($A4,EnrollData2324,'2324 Jun 24 Enroll'!D$1,FALSE)=VLOOKUP($A4,'ESA Calculations 2324 Supp'!$A$4:$AE$34,4,FALSE),VLOOKUP($A4,EnrollData2324,'2324 Jun 24 Enroll'!D$1,FALSE),VLOOKUP($A4,'ESA Calculations 2324 Supp'!$A$4:$AE$34,4,FALSE))*K4,3)</f>
        <v>0</v>
      </c>
      <c r="M4">
        <f>ROUND(IF(VLOOKUP($A4,EnrollData2324,'2324 Jun 24 Enroll'!E$1,FALSE)=VLOOKUP($A4,'ESA Calculations 2324 Supp'!$A$4:$AE$34,5,FALSE),VLOOKUP($A4,EnrollData2324,'2324 Jun 24 Enroll'!E$1,FALSE),VLOOKUP($A4,'ESA Calculations 2324 Supp'!$A$4:$AE$34,5,FALSE))*K4,3)</f>
        <v>0.34699999999999998</v>
      </c>
      <c r="N4">
        <f>ROUND(IF(VLOOKUP($A4,EnrollData2324,'2324 Jun 24 Enroll'!F$1,FALSE)=VLOOKUP($A4,'ESA Calculations 2324 Supp'!$A$4:$AE$34,6,FALSE),VLOOKUP($A4,EnrollData2324,'2324 Jun 24 Enroll'!F$1,FALSE),VLOOKUP($A4,'ESA Calculations 2324 Supp'!$A$4:$AE$34,6,FALSE))*Apport_223A2324s,3)</f>
        <v>7.6999999999999999E-2</v>
      </c>
      <c r="O4">
        <f>ROUND(IF(VLOOKUP($A4,EnrollData2324,'2324 Jun 24 Enroll'!G$1,FALSE)=VLOOKUP($A4,'ESA Calculations 2324 Supp'!$A$4:$AE$34,7,FALSE),VLOOKUP($A4,EnrollData2324,'2324 Jun 24 Enroll'!G$1,FALSE),VLOOKUP($A4,'ESA Calculations 2324 Supp'!$A$4:$AE$34,7,FALSE))*Apport_211A2324s,3)</f>
        <v>0.16400000000000001</v>
      </c>
      <c r="P4">
        <f>ROUND(IF(VLOOKUP($A4,EnrollData2324,'2324 Jun 24 Enroll'!H$1,FALSE)=VLOOKUP($A4,'ESA Calculations 2324 Supp'!$A$4:$AE$34,8,FALSE),VLOOKUP($A4,EnrollData2324,'2324 Jun 24 Enroll'!H$1,FALSE),VLOOKUP($A4,'ESA Calculations 2324 Supp'!$A$4:$AE$34,8,FALSE))*Apport_214A2324s,3)</f>
        <v>0.115</v>
      </c>
      <c r="Q4">
        <f>ROUND(IF(VLOOKUP($A4,EnrollData2324,'2324 Jun 24 Enroll'!I$1,FALSE)+VLOOKUP($A4,EnrollData2324,'2324 Jun 24 Enroll'!M$1,FALSE)-VLOOKUP($A4,EnrollData2324,'2324 Jun 24 Enroll'!J$1,FALSE)=VLOOKUP($A4,'ESA Calculations 2324 Supp'!$A$4:$AE$34,9,FALSE)+VLOOKUP($A4,'ESA Calculations 2324 Supp'!$A$4:$AE$34,18,FALSE)-VLOOKUP($A4,'ESA Calculations 2324 Supp'!$A$4:$AE$34,10,FALSE),VLOOKUP($A4,EnrollData2324,'2324 Jun 24 Enroll'!I$1,FALSE)+VLOOKUP($A4,EnrollData2324,'2324 Jun 24 Enroll'!M$1,FALSE)-VLOOKUP($A4,EnrollData2324,'2324 Jun 24 Enroll'!J$1,FALSE),VLOOKUP($A4,'ESA Calculations 2324 Supp'!$A$4:$AE$34,9,FALSE)+VLOOKUP($A4,'ESA Calculations 2324 Supp'!$A$4:$AE$34,18,FALSE)-VLOOKUP($A4,'ESA Calculations 2324 Supp'!$A$4:$AE$34,10,FALSE))*Apport_217A2324s,3)</f>
        <v>0</v>
      </c>
      <c r="R4">
        <f>ROUND(SUM(L4:Q4)/IF(VLOOKUP($A4,EnrollData2324,'2324 Jun 24 Enroll'!M$1,FALSE)+VLOOKUP($A4,EnrollData2324,'2324 Jun 24 Enroll'!D$1,FALSE)=VLOOKUP($A4,'ESA Calculations 2324 Supp'!$A$4:$AE$34,18,FALSE)+VLOOKUP($A4,'ESA Calculations 2324 Supp'!$A$4:$AE$34,4,FALSE),VLOOKUP($A4,EnrollData2324,'2324 Jun 24 Enroll'!M$1,FALSE)+VLOOKUP($A4,EnrollData2324,'2324 Jun 24 Enroll'!D$1,FALSE),VLOOKUP($A4,'ESA Calculations 2324 Supp'!$A$4:$AE$34,18,FALSE)+VLOOKUP($A4,'ESA Calculations 2324 Supp'!$A$4:$AE$34,4,FALSE)),5)</f>
        <v>4.1900000000000001E-3</v>
      </c>
      <c r="S4" s="11">
        <f t="shared" ref="S4:S33" si="2">ROUND(((($C4+Apport_203A2324s+Apport_202A2324s)*Apport_557X)*Apport_559X)+Apport_203A2324s,7)</f>
        <v>1.8689600000000001E-2</v>
      </c>
      <c r="T4">
        <f>ROUND(IF(VLOOKUP($A4,EnrollData2324,'2324 Jun 24 Enroll'!D$1,FALSE)=VLOOKUP($A4,'ESA Calculations 2324 Supp'!$A$4:$AE$34,4,FALSE),VLOOKUP($A4,EnrollData2324,'2324 Jun 24 Enroll'!D$1,FALSE),VLOOKUP($A4,'ESA Calculations 2324 Supp'!$A$4:$AE$34,4,FALSE))*S4,3)</f>
        <v>0</v>
      </c>
      <c r="U4">
        <f>ROUND(IF(VLOOKUP($A4,EnrollData2324,'2324 Jun 24 Enroll'!E$1,FALSE)=VLOOKUP($A4,'ESA Calculations 2324 Supp'!$A$4:$AE$34,5,FALSE),VLOOKUP($A4,EnrollData2324,'2324 Jun 24 Enroll'!E$1,FALSE),VLOOKUP($A4,'ESA Calculations 2324 Supp'!$A$4:$AE$34,5,FALSE))*S4,3)</f>
        <v>1.482</v>
      </c>
      <c r="V4">
        <f>ROUND(IF(VLOOKUP($A4,EnrollData2324,'2324 Jun 24 Enroll'!F$1,FALSE)=VLOOKUP($A4,'ESA Calculations 2324 Supp'!$A$4:$AE$34,6,FALSE),VLOOKUP($A4,EnrollData2324,'2324 Jun 24 Enroll'!F$1,FALSE),VLOOKUP($A4,'ESA Calculations 2324 Supp'!$A$4:$AE$34,6,FALSE))*Apport_224A2324s,3)</f>
        <v>0.33600000000000002</v>
      </c>
      <c r="W4">
        <f>ROUND(IF(VLOOKUP($A4,EnrollData2324,'2324 Jun 24 Enroll'!G$1,FALSE)=VLOOKUP($A4,'ESA Calculations 2324 Supp'!$A$4:$AE$34,7,FALSE),VLOOKUP($A4,EnrollData2324,'2324 Jun 24 Enroll'!G$1,FALSE),VLOOKUP($A4,'ESA Calculations 2324 Supp'!$A$4:$AE$34,7,FALSE))*Apport_212A2324s,3)</f>
        <v>0.72199999999999998</v>
      </c>
      <c r="X4">
        <f>ROUND(IF(VLOOKUP($A4,EnrollData2324,'2324 Jun 24 Enroll'!H$1,FALSE)=VLOOKUP($A4,'ESA Calculations 2324 Supp'!$A$4:$AE$34,8,FALSE),VLOOKUP($A4,EnrollData2324,'2324 Jun 24 Enroll'!H$1,FALSE),VLOOKUP($A4,'ESA Calculations 2324 Supp'!$A$4:$AE$34,8,FALSE))*Apport_215A2324s,3)</f>
        <v>0.499</v>
      </c>
      <c r="Y4">
        <f>ROUND(IF(VLOOKUP($A4,EnrollData2324,'2324 Jun 24 Enroll'!I$1,FALSE)+VLOOKUP($A4,EnrollData2324,'2324 Jun 24 Enroll'!M$1,FALSE)-VLOOKUP($A4,EnrollData2324,'2324 Jun 24 Enroll'!J$1,FALSE)=VLOOKUP($A4,'ESA Calculations 2324 Supp'!$A$4:$AE$34,9,FALSE)+VLOOKUP($A4,'ESA Calculations 2324 Supp'!$A$4:$AE$34,18,FALSE)-VLOOKUP($A4,'ESA Calculations 2324 Supp'!$A$4:$AE$34,10,FALSE),VLOOKUP($A4,EnrollData2324,'2324 Jun 24 Enroll'!I$1,FALSE)+VLOOKUP($A4,EnrollData2324,'2324 Jun 24 Enroll'!M$1,FALSE)-VLOOKUP($A4,EnrollData2324,'2324 Jun 24 Enroll'!J$1,FALSE),VLOOKUP($A4,'ESA Calculations 2324 Supp'!$A$4:$AE$34,9,FALSE)+VLOOKUP($A4,'ESA Calculations 2324 Supp'!$A$4:$AE$34,18,FALSE)-VLOOKUP($A4,'ESA Calculations 2324 Supp'!$A$4:$AE$34,10,FALSE))*Apport_218A2324s,3)</f>
        <v>0</v>
      </c>
      <c r="Z4">
        <f>ROUND(SUM(T4:Y4)/IF(VLOOKUP($A4,EnrollData2324,'2324 Jun 24 Enroll'!M$1,FALSE)+VLOOKUP($A4,EnrollData2324,'2324 Jun 24 Enroll'!D$1,FALSE)=VLOOKUP($A4,'ESA Calculations 2324 Supp'!$A$4:$AE$34,18,FALSE)+VLOOKUP($A4,'ESA Calculations 2324 Supp'!$A$4:$AE$34,4,FALSE),VLOOKUP($A4,EnrollData2324,'2324 Jun 24 Enroll'!M$1,FALSE)+VLOOKUP($A4,EnrollData2324,'2324 Jun 24 Enroll'!D$1,FALSE),VLOOKUP($A4,'ESA Calculations 2324 Supp'!$A$4:$AE$34,18,FALSE)+VLOOKUP($A4,'ESA Calculations 2324 Supp'!$A$4:$AE$34,4,FALSE)),5)</f>
        <v>1.8120000000000001E-2</v>
      </c>
      <c r="AA4" s="6" cm="1">
        <f t="array" ref="AA4">ROUND($J4*CIS_Base_Salary2324s*VLOOKUP($A4,EnrollData2324,'2324 Jun 24 Enroll'!S$1,FALSE),2)</f>
        <v>4641.6899999999996</v>
      </c>
      <c r="AB4" s="6" cm="1">
        <f t="array" ref="AB4">ROUND($J4*CIS_Inc_Salary2324s*(VLOOKUP($A4,EnrollData2324,'2324 Jun 24 Enroll'!T$1,FALSE)+VLOOKUP($A4,EnrollData2324,'2324 Jun 24 Enroll'!U$1,FALSE)),2)-AA4</f>
        <v>171.75</v>
      </c>
      <c r="AC4" s="6" cm="1">
        <f t="array" ref="AC4">ROUND($R4*CAS_Base_Salary2324s*VLOOKUP($A4,EnrollData2324,'2324 Jun 24 Enroll'!S$1,FALSE),2)</f>
        <v>479.47</v>
      </c>
      <c r="AD4" s="6" cm="1">
        <f t="array" ref="AD4">ROUND($R4*CAS_Inc_Salary2324s*VLOOKUP($A4,EnrollData2324,'2324 Jun 24 Enroll'!T$1,FALSE),2)-AC4</f>
        <v>17.739999999999952</v>
      </c>
      <c r="AE4" s="6" cm="1">
        <f t="array" ref="AE4">ROUND($Z4*CLS_Base_Salary2324s*VLOOKUP($A4,EnrollData2324,'2324 Jun 24 Enroll'!S$1,FALSE),2)</f>
        <v>1002.1</v>
      </c>
      <c r="AF4" s="6" cm="1">
        <f t="array" ref="AF4">ROUND($Z4*CLS_Inc_Salary2324s*VLOOKUP($A4,EnrollData2324,'2324 Jun 24 Enroll'!T$1,FALSE),2)-AE4</f>
        <v>37.07000000000005</v>
      </c>
      <c r="AG4" cm="1">
        <f t="array" ref="AG4">ROUND(($J4+$R4)*Apport_124X2324s,2)</f>
        <v>792.89</v>
      </c>
      <c r="AH4" s="69">
        <f t="shared" ref="AH4:AH33" si="3">ROUND(($J4+$R4)*Apport_621X2324s*Apport_125XC2324s,2)-AG4</f>
        <v>74.190000000000055</v>
      </c>
      <c r="AI4" cm="1">
        <f t="array" ref="AI4">ROUND($Z4*Apport_124X2324s,2)</f>
        <v>223.09</v>
      </c>
      <c r="AJ4" cm="1">
        <f t="array" ref="AJ4">ROUND($Z4*Apport_621X2324s*Apport_125X2324s,2)-AI4</f>
        <v>118.93999999999997</v>
      </c>
      <c r="AK4" cm="1">
        <f t="array" ref="AK4">ROUND((AA4+AC4)*Apport_126X2324s,2)</f>
        <v>920.27</v>
      </c>
      <c r="AL4" cm="1">
        <f t="array" ref="AL4">ROUND((AB4+AD4)*Apport_127X2324s,2)</f>
        <v>32.840000000000003</v>
      </c>
      <c r="AM4" cm="1">
        <f t="array" ref="AM4">ROUND(AE4*Apport_128X2324s,2)</f>
        <v>221.06</v>
      </c>
      <c r="AN4" cm="1">
        <f t="array" ref="AN4">ROUND(AF4*Apport_129X2324s,2)</f>
        <v>6.88</v>
      </c>
      <c r="AO4" cm="1">
        <f t="array" ref="AO4">ROUND(($J4*CIS_Inc_Salary2324s*(VLOOKUP($A4,EnrollData2324,'2324 Jun 24 Enroll'!T$1,FALSE)+VLOOKUP($A4,EnrollData2324,'2324 Jun 24 Enroll'!U$1,FALSE))/Apport_613Xpd)*Apport_614Xpd,2)</f>
        <v>80.22</v>
      </c>
      <c r="AP4" cm="1">
        <f t="array" ref="AP4">ROUND(AO4*Apport_127X2324s,2)</f>
        <v>13.9</v>
      </c>
      <c r="AQ4">
        <f t="shared" ref="AQ4:AQ33" si="4">ROUND((J4*Apport_581X)*(Apport_116X*Apport_132X),2)</f>
        <v>33.54</v>
      </c>
      <c r="AR4" s="6" cm="1">
        <f t="array" ref="AR4">ROUND((IF(VLOOKUP($A4,EnrollData2324,'2324 Jun 24 Enroll'!D$1,FALSE)=VLOOKUP($A4,'ESA Calculations 2324 Supp'!$A$4:$AE$34,4,FALSE),VLOOKUP($A4,EnrollData2324,'2324 Jun 24 Enroll'!D$1,FALSE),VLOOKUP($A4,'ESA Calculations 2324 Supp'!$A$4:$AE$34,4,FALSE))*Apport_M802324s+IF(VLOOKUP($A4,EnrollData2324,'2324 Jun 24 Enroll'!M$1,FALSE)=VLOOKUP($A4,'ESA Calculations 2324 Supp'!$A$4:$AE$34,18,FALSE),VLOOKUP($A4,EnrollData2324,'2324 Jun 24 Enroll'!M$1,FALSE),VLOOKUP($A4,'ESA Calculations 2324 Supp'!$A$4:$AE$34,18,FALSE))*Apport_M802324s+IF((VLOOKUP($A4,EnrollData2324,'2324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Enroll'!L$1,FALSE))=VLOOKUP($A4,EnrollData2324,'2324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Enroll'!L$1,FALSE),(VLOOKUP($A4,EnrollData2324,'2324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Enroll'!L$1,FALSE)),(VLOOKUP($A4,EnrollData2324,'2324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Enroll'!L$1,FALSE)))*Apport_M812324s)/(IF(VLOOKUP($A4,EnrollData2324,'2324 Jun 24 Enroll'!M$1,FALSE)=VLOOKUP($A4,'ESA Calculations 2324 Supp'!$A$4:$AE$34,18,FALSE),VLOOKUP($A4,EnrollData2324,'2324 Jun 24 Enroll'!M$1,FALSE),VLOOKUP($A4,'ESA Calculations 2324 Supp'!$A$4:$AE$34,18,FALSE))+IF(VLOOKUP($A4,EnrollData2324,'2324 Jun 24 Enroll'!D$1,FALSE)=VLOOKUP($A4,'ESA Calculations 2324 Supp'!$A$4:$AE$34,4,FALSE),VLOOKUP($A4,EnrollData2324,'2324 Jun 24 Enroll'!D$1,FALSE),VLOOKUP($A4,'ESA Calculations 2324 Supp'!$A$4:$AE$34,4,FALSE))),2)</f>
        <v>1504.44</v>
      </c>
      <c r="AS4" s="7">
        <f>SUM(AA4:AR4)</f>
        <v>10372.079999999998</v>
      </c>
      <c r="AT4" s="6">
        <f>IF(VLOOKUP($A4,EnrollData2324,'2324 Jun 24 Enroll'!AA$1,FALSE)=VLOOKUP($A4,'ESA Calculations 2324 Supp'!$A$4:$AE$34,24,FALSE),VLOOKUP($A4,EnrollData2324,'2324 Jun 24 Enroll'!AA$1,FALSE),VLOOKUP($A4,'ESA Calculations 2324 Supp'!$A$4:$AE$34,24,FALSE))</f>
        <v>167.7</v>
      </c>
      <c r="AU4" s="27"/>
      <c r="AV4" s="27"/>
      <c r="AW4" s="27"/>
    </row>
    <row r="5" spans="1:49">
      <c r="A5" s="40" t="s">
        <v>426</v>
      </c>
      <c r="B5" s="40" t="s">
        <v>427</v>
      </c>
      <c r="C5" s="11">
        <f>ROUND((IFERROR((1/IF(VLOOKUP($A5,EnrollData2324,28,FALSE)=VLOOKUP($A5,'ESA Calculations 2324 Supp'!$A$4:$AE$34,3,FALSE),VLOOKUP($A5,EnrollData2324,28,FALSE),VLOOKUP($A5,'ESA Calculations 2324 Supp'!$A$4:$AE$34,3,FALSE)))*(1+Apport_Z315),0))+Apport_201A2324s,6)</f>
        <v>7.3449E-2</v>
      </c>
      <c r="D5">
        <f>ROUND(IF(VLOOKUP($A5,EnrollData2324,'2324 Jun 24 Enroll'!D$1,FALSE)=VLOOKUP($A5,'ESA Calculations 2324 Supp'!$A$4:$AE$34,4,FALSE),VLOOKUP($A5,EnrollData2324,'2324 Jun 24 Enroll'!D$1,FALSE),VLOOKUP($A5,'ESA Calculations 2324 Supp'!$A$4:$AE$34,4,FALSE))*C5,3)</f>
        <v>0</v>
      </c>
      <c r="E5">
        <f>ROUND(IF(VLOOKUP($A5,EnrollData2324,'2324 Jun 24 Enroll'!E$1,FALSE)=VLOOKUP($A5,'ESA Calculations 2324 Supp'!$A$4:$AE$34,5,FALSE),VLOOKUP($A5,EnrollData2324,'2324 Jun 24 Enroll'!E$1,FALSE),VLOOKUP($A5,'ESA Calculations 2324 Supp'!$A$4:$AE$34,5,FALSE))*C5,3)</f>
        <v>8.2560000000000002</v>
      </c>
      <c r="F5">
        <f>ROUND(IF(VLOOKUP($A5,EnrollData2324,'2324 Jun 24 Enroll'!F$1,FALSE)=VLOOKUP($A5,'ESA Calculations 2324 Supp'!$A$4:$AE$34,6,FALSE),VLOOKUP($A5,EnrollData2324,'2324 Jun 24 Enroll'!F$1,FALSE),VLOOKUP($A5,'ESA Calculations 2324 Supp'!$A$4:$AE$34,6,FALSE))*Apport_222A2324s,3)</f>
        <v>1.3859999999999999</v>
      </c>
      <c r="G5">
        <f>ROUND(IF(VLOOKUP($A5,EnrollData2324,'2324 Jun 24 Enroll'!G$1,FALSE)=VLOOKUP($A5,'ESA Calculations 2324 Supp'!$A$4:$AE$34,7,FALSE),VLOOKUP($A5,EnrollData2324,'2324 Jun 24 Enroll'!G$1,FALSE),VLOOKUP($A5,'ESA Calculations 2324 Supp'!$A$4:$AE$34,7,FALSE))*Apport_210A2324s,3)</f>
        <v>2.38</v>
      </c>
      <c r="H5">
        <f>ROUND(IF(VLOOKUP($A5,EnrollData2324,'2324 Jun 24 Enroll'!H$1,FALSE)=VLOOKUP($A5,'ESA Calculations 2324 Supp'!$A$4:$AE$34,8,FALSE),VLOOKUP($A5,EnrollData2324,'2324 Jun 24 Enroll'!H$1,FALSE),VLOOKUP($A5,'ESA Calculations 2324 Supp'!$A$4:$AE$34,8,FALSE))*Apport_213A2324s,3)</f>
        <v>2.6709999999999998</v>
      </c>
      <c r="I5">
        <f>ROUND(IF(VLOOKUP($A5,EnrollData2324,'2324 Jun 24 Enroll'!I$1,FALSE)+VLOOKUP($A5,EnrollData2324,'2324 Jun 24 Enroll'!M$1,FALSE)-VLOOKUP($A5,EnrollData2324,'2324 Jun 24 Enroll'!J$1,FALSE)=VLOOKUP($A5,'ESA Calculations 2324 Supp'!$A$4:$AE$34,9,FALSE)+VLOOKUP($A5,'ESA Calculations 2324 Supp'!$A$4:$AE$34,18,FALSE)-VLOOKUP($A5,'ESA Calculations 2324 Supp'!$A$4:$AE$34,10,FALSE),VLOOKUP($A5,EnrollData2324,'2324 Jun 24 Enroll'!I$1,FALSE)+VLOOKUP($A5,EnrollData2324,'2324 Jun 24 Enroll'!M$1,FALSE)-VLOOKUP($A5,EnrollData2324,'2324 Jun 24 Enroll'!J$1,FALSE),VLOOKUP($A5,'ESA Calculations 2324 Supp'!$A$4:$AE$34,9,FALSE)+VLOOKUP($A5,'ESA Calculations 2324 Supp'!$A$4:$AE$34,18,FALSE)-VLOOKUP($A5,'ESA Calculations 2324 Supp'!$A$4:$AE$34,10,FALSE))*Apport_216A2324s,3)</f>
        <v>4.968</v>
      </c>
      <c r="J5">
        <f>ROUND(SUM(D5:I5)/IF(VLOOKUP($A5,EnrollData2324,'2324 Jun 24 Enroll'!M$1,FALSE)+VLOOKUP($A5,EnrollData2324,'2324 Jun 24 Enroll'!D$1,FALSE)=VLOOKUP($A5,'ESA Calculations 2324 Supp'!$A$4:$AE$34,18,FALSE)+VLOOKUP($A5,'ESA Calculations 2324 Supp'!$A$4:$AE$34,4,FALSE),VLOOKUP($A5,EnrollData2324,'2324 Jun 24 Enroll'!M$1,FALSE)+VLOOKUP($A5,EnrollData2324,'2324 Jun 24 Enroll'!D$1,FALSE),VLOOKUP($A5,'ESA Calculations 2324 Supp'!$A$4:$AE$34,18,FALSE)+VLOOKUP($A5,'ESA Calculations 2324 Supp'!$A$4:$AE$34,4,FALSE)),5)</f>
        <v>5.7049999999999997E-2</v>
      </c>
      <c r="K5" s="11">
        <f t="shared" si="1"/>
        <v>4.3699999999999998E-3</v>
      </c>
      <c r="L5">
        <f>ROUND(IF(VLOOKUP($A5,EnrollData2324,'2324 Jun 24 Enroll'!D$1,FALSE)=VLOOKUP($A5,'ESA Calculations 2324 Supp'!$A$4:$AE$34,4,FALSE),VLOOKUP($A5,EnrollData2324,'2324 Jun 24 Enroll'!D$1,FALSE),VLOOKUP($A5,'ESA Calculations 2324 Supp'!$A$4:$AE$34,4,FALSE))*K5,3)</f>
        <v>0</v>
      </c>
      <c r="M5">
        <f>ROUND(IF(VLOOKUP($A5,EnrollData2324,'2324 Jun 24 Enroll'!E$1,FALSE)=VLOOKUP($A5,'ESA Calculations 2324 Supp'!$A$4:$AE$34,5,FALSE),VLOOKUP($A5,EnrollData2324,'2324 Jun 24 Enroll'!E$1,FALSE),VLOOKUP($A5,'ESA Calculations 2324 Supp'!$A$4:$AE$34,5,FALSE))*K5,3)</f>
        <v>0.49099999999999999</v>
      </c>
      <c r="N5">
        <f>ROUND(IF(VLOOKUP($A5,EnrollData2324,'2324 Jun 24 Enroll'!F$1,FALSE)=VLOOKUP($A5,'ESA Calculations 2324 Supp'!$A$4:$AE$34,6,FALSE),VLOOKUP($A5,EnrollData2324,'2324 Jun 24 Enroll'!F$1,FALSE),VLOOKUP($A5,'ESA Calculations 2324 Supp'!$A$4:$AE$34,6,FALSE))*Apport_223A2324s,3)</f>
        <v>0.11600000000000001</v>
      </c>
      <c r="O5">
        <f>ROUND(IF(VLOOKUP($A5,EnrollData2324,'2324 Jun 24 Enroll'!G$1,FALSE)=VLOOKUP($A5,'ESA Calculations 2324 Supp'!$A$4:$AE$34,7,FALSE),VLOOKUP($A5,EnrollData2324,'2324 Jun 24 Enroll'!G$1,FALSE),VLOOKUP($A5,'ESA Calculations 2324 Supp'!$A$4:$AE$34,7,FALSE))*Apport_211A2324s,3)</f>
        <v>0.19900000000000001</v>
      </c>
      <c r="P5">
        <f>ROUND(IF(VLOOKUP($A5,EnrollData2324,'2324 Jun 24 Enroll'!H$1,FALSE)=VLOOKUP($A5,'ESA Calculations 2324 Supp'!$A$4:$AE$34,8,FALSE),VLOOKUP($A5,EnrollData2324,'2324 Jun 24 Enroll'!H$1,FALSE),VLOOKUP($A5,'ESA Calculations 2324 Supp'!$A$4:$AE$34,8,FALSE))*Apport_214A2324s,3)</f>
        <v>0.222</v>
      </c>
      <c r="Q5">
        <f>ROUND(IF(VLOOKUP($A5,EnrollData2324,'2324 Jun 24 Enroll'!I$1,FALSE)+VLOOKUP($A5,EnrollData2324,'2324 Jun 24 Enroll'!M$1,FALSE)-VLOOKUP($A5,EnrollData2324,'2324 Jun 24 Enroll'!J$1,FALSE)=VLOOKUP($A5,'ESA Calculations 2324 Supp'!$A$4:$AE$34,9,FALSE)+VLOOKUP($A5,'ESA Calculations 2324 Supp'!$A$4:$AE$34,18,FALSE)-VLOOKUP($A5,'ESA Calculations 2324 Supp'!$A$4:$AE$34,10,FALSE),VLOOKUP($A5,EnrollData2324,'2324 Jun 24 Enroll'!I$1,FALSE)+VLOOKUP($A5,EnrollData2324,'2324 Jun 24 Enroll'!M$1,FALSE)-VLOOKUP($A5,EnrollData2324,'2324 Jun 24 Enroll'!J$1,FALSE),VLOOKUP($A5,'ESA Calculations 2324 Supp'!$A$4:$AE$34,9,FALSE)+VLOOKUP($A5,'ESA Calculations 2324 Supp'!$A$4:$AE$34,18,FALSE)-VLOOKUP($A5,'ESA Calculations 2324 Supp'!$A$4:$AE$34,10,FALSE))*Apport_217A2324s,3)</f>
        <v>0.40100000000000002</v>
      </c>
      <c r="R5">
        <f>ROUND(SUM(L5:Q5)/IF(VLOOKUP($A5,EnrollData2324,'2324 Jun 24 Enroll'!M$1,FALSE)+VLOOKUP($A5,EnrollData2324,'2324 Jun 24 Enroll'!D$1,FALSE)=VLOOKUP($A5,'ESA Calculations 2324 Supp'!$A$4:$AE$34,18,FALSE)+VLOOKUP($A5,'ESA Calculations 2324 Supp'!$A$4:$AE$34,4,FALSE),VLOOKUP($A5,EnrollData2324,'2324 Jun 24 Enroll'!M$1,FALSE)+VLOOKUP($A5,EnrollData2324,'2324 Jun 24 Enroll'!D$1,FALSE),VLOOKUP($A5,'ESA Calculations 2324 Supp'!$A$4:$AE$34,18,FALSE)+VLOOKUP($A5,'ESA Calculations 2324 Supp'!$A$4:$AE$34,4,FALSE)),5)</f>
        <v>4.15E-3</v>
      </c>
      <c r="S5" s="11">
        <f t="shared" si="2"/>
        <v>1.8689600000000001E-2</v>
      </c>
      <c r="T5">
        <f>ROUND(IF(VLOOKUP($A5,EnrollData2324,'2324 Jun 24 Enroll'!D$1,FALSE)=VLOOKUP($A5,'ESA Calculations 2324 Supp'!$A$4:$AE$34,4,FALSE),VLOOKUP($A5,EnrollData2324,'2324 Jun 24 Enroll'!D$1,FALSE),VLOOKUP($A5,'ESA Calculations 2324 Supp'!$A$4:$AE$34,4,FALSE))*S5,3)</f>
        <v>0</v>
      </c>
      <c r="U5">
        <f>ROUND(IF(VLOOKUP($A5,EnrollData2324,'2324 Jun 24 Enroll'!E$1,FALSE)=VLOOKUP($A5,'ESA Calculations 2324 Supp'!$A$4:$AE$34,5,FALSE),VLOOKUP($A5,EnrollData2324,'2324 Jun 24 Enroll'!E$1,FALSE),VLOOKUP($A5,'ESA Calculations 2324 Supp'!$A$4:$AE$34,5,FALSE))*S5,3)</f>
        <v>2.101</v>
      </c>
      <c r="V5">
        <f>ROUND(IF(VLOOKUP($A5,EnrollData2324,'2324 Jun 24 Enroll'!F$1,FALSE)=VLOOKUP($A5,'ESA Calculations 2324 Supp'!$A$4:$AE$34,6,FALSE),VLOOKUP($A5,EnrollData2324,'2324 Jun 24 Enroll'!F$1,FALSE),VLOOKUP($A5,'ESA Calculations 2324 Supp'!$A$4:$AE$34,6,FALSE))*Apport_224A2324s,3)</f>
        <v>0.50800000000000001</v>
      </c>
      <c r="W5">
        <f>ROUND(IF(VLOOKUP($A5,EnrollData2324,'2324 Jun 24 Enroll'!G$1,FALSE)=VLOOKUP($A5,'ESA Calculations 2324 Supp'!$A$4:$AE$34,7,FALSE),VLOOKUP($A5,EnrollData2324,'2324 Jun 24 Enroll'!G$1,FALSE),VLOOKUP($A5,'ESA Calculations 2324 Supp'!$A$4:$AE$34,7,FALSE))*Apport_212A2324s,3)</f>
        <v>0.872</v>
      </c>
      <c r="X5">
        <f>ROUND(IF(VLOOKUP($A5,EnrollData2324,'2324 Jun 24 Enroll'!H$1,FALSE)=VLOOKUP($A5,'ESA Calculations 2324 Supp'!$A$4:$AE$34,8,FALSE),VLOOKUP($A5,EnrollData2324,'2324 Jun 24 Enroll'!H$1,FALSE),VLOOKUP($A5,'ESA Calculations 2324 Supp'!$A$4:$AE$34,8,FALSE))*Apport_215A2324s,3)</f>
        <v>0.96299999999999997</v>
      </c>
      <c r="Y5">
        <f>ROUND(IF(VLOOKUP($A5,EnrollData2324,'2324 Jun 24 Enroll'!I$1,FALSE)+VLOOKUP($A5,EnrollData2324,'2324 Jun 24 Enroll'!M$1,FALSE)-VLOOKUP($A5,EnrollData2324,'2324 Jun 24 Enroll'!J$1,FALSE)=VLOOKUP($A5,'ESA Calculations 2324 Supp'!$A$4:$AE$34,9,FALSE)+VLOOKUP($A5,'ESA Calculations 2324 Supp'!$A$4:$AE$34,18,FALSE)-VLOOKUP($A5,'ESA Calculations 2324 Supp'!$A$4:$AE$34,10,FALSE),VLOOKUP($A5,EnrollData2324,'2324 Jun 24 Enroll'!I$1,FALSE)+VLOOKUP($A5,EnrollData2324,'2324 Jun 24 Enroll'!M$1,FALSE)-VLOOKUP($A5,EnrollData2324,'2324 Jun 24 Enroll'!J$1,FALSE),VLOOKUP($A5,'ESA Calculations 2324 Supp'!$A$4:$AE$34,9,FALSE)+VLOOKUP($A5,'ESA Calculations 2324 Supp'!$A$4:$AE$34,18,FALSE)-VLOOKUP($A5,'ESA Calculations 2324 Supp'!$A$4:$AE$34,10,FALSE))*Apport_218A2324s,3)</f>
        <v>1.7270000000000001</v>
      </c>
      <c r="Z5">
        <f>ROUND(SUM(T5:Y5)/IF(VLOOKUP($A5,EnrollData2324,'2324 Jun 24 Enroll'!M$1,FALSE)+VLOOKUP($A5,EnrollData2324,'2324 Jun 24 Enroll'!D$1,FALSE)=VLOOKUP($A5,'ESA Calculations 2324 Supp'!$A$4:$AE$34,18,FALSE)+VLOOKUP($A5,'ESA Calculations 2324 Supp'!$A$4:$AE$34,4,FALSE),VLOOKUP($A5,EnrollData2324,'2324 Jun 24 Enroll'!M$1,FALSE)+VLOOKUP($A5,EnrollData2324,'2324 Jun 24 Enroll'!D$1,FALSE),VLOOKUP($A5,'ESA Calculations 2324 Supp'!$A$4:$AE$34,18,FALSE)+VLOOKUP($A5,'ESA Calculations 2324 Supp'!$A$4:$AE$34,4,FALSE)),5)</f>
        <v>1.7909999999999999E-2</v>
      </c>
      <c r="AA5" s="6" cm="1">
        <f t="array" ref="AA5">ROUND($J5*CIS_Base_Salary2324s*VLOOKUP($A5,EnrollData2324,'2324 Jun 24 Enroll'!S$1,FALSE),2)</f>
        <v>4149.13</v>
      </c>
      <c r="AB5" s="6" cm="1">
        <f t="array" ref="AB5">ROUND($J5*CIS_Inc_Salary2324s*(VLOOKUP($A5,EnrollData2324,'2324 Jun 24 Enroll'!T$1,FALSE)+VLOOKUP($A5,EnrollData2324,'2324 Jun 24 Enroll'!U$1,FALSE)),2)-AA5</f>
        <v>325.63000000000011</v>
      </c>
      <c r="AC5" s="6" cm="1">
        <f t="array" ref="AC5">ROUND($R5*CAS_Base_Salary2324s*VLOOKUP($A5,EnrollData2324,'2324 Jun 24 Enroll'!S$1,FALSE),2)</f>
        <v>448.01</v>
      </c>
      <c r="AD5" s="6" cm="1">
        <f t="array" ref="AD5">ROUND($R5*CAS_Inc_Salary2324s*VLOOKUP($A5,EnrollData2324,'2324 Jun 24 Enroll'!T$1,FALSE),2)-AC5</f>
        <v>16.579999999999984</v>
      </c>
      <c r="AE5" s="6" cm="1">
        <f t="array" ref="AE5">ROUND($Z5*CLS_Base_Salary2324s*VLOOKUP($A5,EnrollData2324,'2324 Jun 24 Enroll'!S$1,FALSE),2)</f>
        <v>934.42</v>
      </c>
      <c r="AF5" s="6" cm="1">
        <f t="array" ref="AF5">ROUND($Z5*CLS_Inc_Salary2324s*VLOOKUP($A5,EnrollData2324,'2324 Jun 24 Enroll'!T$1,FALSE),2)-AE5</f>
        <v>34.560000000000059</v>
      </c>
      <c r="AG5" cm="1">
        <f t="array" ref="AG5">ROUND(($J5+$R5)*Apport_124X2324s,2)</f>
        <v>753.49</v>
      </c>
      <c r="AH5" s="69">
        <f t="shared" si="3"/>
        <v>70.509999999999991</v>
      </c>
      <c r="AI5" cm="1">
        <f t="array" ref="AI5">ROUND($Z5*Apport_124X2324s,2)</f>
        <v>220.51</v>
      </c>
      <c r="AJ5" cm="1">
        <f t="array" ref="AJ5">ROUND($Z5*Apport_621X2324s*Apport_125X2324s,2)-AI5</f>
        <v>117.56</v>
      </c>
      <c r="AK5" cm="1">
        <f t="array" ref="AK5">ROUND((AA5+AC5)*Apport_126X2324s,2)</f>
        <v>826.11</v>
      </c>
      <c r="AL5" cm="1">
        <f t="array" ref="AL5">ROUND((AB5+AD5)*Apport_127X2324s,2)</f>
        <v>59.3</v>
      </c>
      <c r="AM5" cm="1">
        <f t="array" ref="AM5">ROUND(AE5*Apport_128X2324s,2)</f>
        <v>206.13</v>
      </c>
      <c r="AN5" cm="1">
        <f t="array" ref="AN5">ROUND(AF5*Apport_129X2324s,2)</f>
        <v>6.41</v>
      </c>
      <c r="AO5" cm="1">
        <f t="array" ref="AO5">ROUND(($J5*CIS_Inc_Salary2324s*(VLOOKUP($A5,EnrollData2324,'2324 Jun 24 Enroll'!T$1,FALSE)+VLOOKUP($A5,EnrollData2324,'2324 Jun 24 Enroll'!U$1,FALSE))/Apport_613Xpd)*Apport_614Xpd,2)</f>
        <v>74.58</v>
      </c>
      <c r="AP5" cm="1">
        <f t="array" ref="AP5">ROUND(AO5*Apport_127X2324s,2)</f>
        <v>12.92</v>
      </c>
      <c r="AQ5">
        <f t="shared" si="4"/>
        <v>31.78</v>
      </c>
      <c r="AR5" s="6" cm="1">
        <f t="array" ref="AR5">ROUND((IF(VLOOKUP($A5,EnrollData2324,'2324 Jun 24 Enroll'!D$1,FALSE)=VLOOKUP($A5,'ESA Calculations 2324 Supp'!$A$4:$AE$34,4,FALSE),VLOOKUP($A5,EnrollData2324,'2324 Jun 24 Enroll'!D$1,FALSE),VLOOKUP($A5,'ESA Calculations 2324 Supp'!$A$4:$AE$34,4,FALSE))*Apport_M802324s+IF(VLOOKUP($A5,EnrollData2324,'2324 Jun 24 Enroll'!M$1,FALSE)=VLOOKUP($A5,'ESA Calculations 2324 Supp'!$A$4:$AE$34,18,FALSE),VLOOKUP($A5,EnrollData2324,'2324 Jun 24 Enroll'!M$1,FALSE),VLOOKUP($A5,'ESA Calculations 2324 Supp'!$A$4:$AE$34,18,FALSE))*Apport_M802324s+IF((VLOOKUP($A5,EnrollData2324,'2324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Enroll'!L$1,FALSE))=VLOOKUP($A5,EnrollData2324,'2324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Enroll'!L$1,FALSE),(VLOOKUP($A5,EnrollData2324,'2324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Enroll'!L$1,FALSE)),(VLOOKUP($A5,EnrollData2324,'2324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Enroll'!L$1,FALSE)))*Apport_M812324s)/(IF(VLOOKUP($A5,EnrollData2324,'2324 Jun 24 Enroll'!M$1,FALSE)=VLOOKUP($A5,'ESA Calculations 2324 Supp'!$A$4:$AE$34,18,FALSE),VLOOKUP($A5,EnrollData2324,'2324 Jun 24 Enroll'!M$1,FALSE),VLOOKUP($A5,'ESA Calculations 2324 Supp'!$A$4:$AE$34,18,FALSE))+IF(VLOOKUP($A5,EnrollData2324,'2324 Jun 24 Enroll'!D$1,FALSE)=VLOOKUP($A5,'ESA Calculations 2324 Supp'!$A$4:$AE$34,4,FALSE),VLOOKUP($A5,EnrollData2324,'2324 Jun 24 Enroll'!D$1,FALSE),VLOOKUP($A5,'ESA Calculations 2324 Supp'!$A$4:$AE$34,4,FALSE))),2)</f>
        <v>1562.02</v>
      </c>
      <c r="AS5" s="7">
        <f t="shared" ref="AS5:AS33" si="5">SUM(AA5:AR5)</f>
        <v>9849.6500000000033</v>
      </c>
      <c r="AT5" s="6">
        <f>IF(VLOOKUP($A5,EnrollData2324,'2324 Jun 24 Enroll'!AA$1,FALSE)=VLOOKUP($A5,'ESA Calculations 2324 Supp'!$A$4:$AE$34,24,FALSE),VLOOKUP($A5,EnrollData2324,'2324 Jun 24 Enroll'!AA$1,FALSE),VLOOKUP($A5,'ESA Calculations 2324 Supp'!$A$4:$AE$34,24,FALSE))</f>
        <v>347.36</v>
      </c>
    </row>
    <row r="6" spans="1:49">
      <c r="A6" s="40" t="s">
        <v>829</v>
      </c>
      <c r="B6" s="40" t="s">
        <v>830</v>
      </c>
      <c r="C6" s="11">
        <f>ROUND((IFERROR((1/IF(VLOOKUP($A6,EnrollData2324,28,FALSE)=VLOOKUP($A6,'ESA Calculations 2324 Supp'!$A$4:$AE$34,3,FALSE),VLOOKUP($A6,EnrollData2324,28,FALSE),VLOOKUP($A6,'ESA Calculations 2324 Supp'!$A$4:$AE$34,3,FALSE)))*(1+Apport_Z315),0))+Apport_201A2324s,6)</f>
        <v>6.9709999999999994E-2</v>
      </c>
      <c r="D6">
        <f>ROUND(IF(VLOOKUP($A6,EnrollData2324,'2324 Jun 24 Enroll'!D$1,FALSE)=VLOOKUP($A6,'ESA Calculations 2324 Supp'!$A$4:$AE$34,4,FALSE),VLOOKUP($A6,EnrollData2324,'2324 Jun 24 Enroll'!D$1,FALSE),VLOOKUP($A6,'ESA Calculations 2324 Supp'!$A$4:$AE$34,4,FALSE))*C6,3)</f>
        <v>0</v>
      </c>
      <c r="E6">
        <f>ROUND(IF(VLOOKUP($A6,EnrollData2324,'2324 Jun 24 Enroll'!E$1,FALSE)=VLOOKUP($A6,'ESA Calculations 2324 Supp'!$A$4:$AE$34,5,FALSE),VLOOKUP($A6,EnrollData2324,'2324 Jun 24 Enroll'!E$1,FALSE),VLOOKUP($A6,'ESA Calculations 2324 Supp'!$A$4:$AE$34,5,FALSE))*C6,3)</f>
        <v>15.247</v>
      </c>
      <c r="F6">
        <f>ROUND(IF(VLOOKUP($A6,EnrollData2324,'2324 Jun 24 Enroll'!F$1,FALSE)=VLOOKUP($A6,'ESA Calculations 2324 Supp'!$A$4:$AE$34,6,FALSE),VLOOKUP($A6,EnrollData2324,'2324 Jun 24 Enroll'!F$1,FALSE),VLOOKUP($A6,'ESA Calculations 2324 Supp'!$A$4:$AE$34,6,FALSE))*Apport_222A2324s,3)</f>
        <v>2.738</v>
      </c>
      <c r="G6">
        <f>ROUND(IF(VLOOKUP($A6,EnrollData2324,'2324 Jun 24 Enroll'!G$1,FALSE)=VLOOKUP($A6,'ESA Calculations 2324 Supp'!$A$4:$AE$34,7,FALSE),VLOOKUP($A6,EnrollData2324,'2324 Jun 24 Enroll'!G$1,FALSE),VLOOKUP($A6,'ESA Calculations 2324 Supp'!$A$4:$AE$34,7,FALSE))*Apport_210A2324s,3)</f>
        <v>4.9589999999999996</v>
      </c>
      <c r="H6">
        <f>ROUND(IF(VLOOKUP($A6,EnrollData2324,'2324 Jun 24 Enroll'!H$1,FALSE)=VLOOKUP($A6,'ESA Calculations 2324 Supp'!$A$4:$AE$34,8,FALSE),VLOOKUP($A6,EnrollData2324,'2324 Jun 24 Enroll'!H$1,FALSE),VLOOKUP($A6,'ESA Calculations 2324 Supp'!$A$4:$AE$34,8,FALSE))*Apport_213A2324s,3)</f>
        <v>5.4950000000000001</v>
      </c>
      <c r="I6">
        <f>ROUND(IF(VLOOKUP($A6,EnrollData2324,'2324 Jun 24 Enroll'!I$1,FALSE)+VLOOKUP($A6,EnrollData2324,'2324 Jun 24 Enroll'!M$1,FALSE)-VLOOKUP($A6,EnrollData2324,'2324 Jun 24 Enroll'!J$1,FALSE)=VLOOKUP($A6,'ESA Calculations 2324 Supp'!$A$4:$AE$34,9,FALSE)+VLOOKUP($A6,'ESA Calculations 2324 Supp'!$A$4:$AE$34,18,FALSE)-VLOOKUP($A6,'ESA Calculations 2324 Supp'!$A$4:$AE$34,10,FALSE),VLOOKUP($A6,EnrollData2324,'2324 Jun 24 Enroll'!I$1,FALSE)+VLOOKUP($A6,EnrollData2324,'2324 Jun 24 Enroll'!M$1,FALSE)-VLOOKUP($A6,EnrollData2324,'2324 Jun 24 Enroll'!J$1,FALSE),VLOOKUP($A6,'ESA Calculations 2324 Supp'!$A$4:$AE$34,9,FALSE)+VLOOKUP($A6,'ESA Calculations 2324 Supp'!$A$4:$AE$34,18,FALSE)-VLOOKUP($A6,'ESA Calculations 2324 Supp'!$A$4:$AE$34,10,FALSE))*Apport_216A2324s,3)</f>
        <v>9.1280000000000001</v>
      </c>
      <c r="J6">
        <f>ROUND(SUM(D6:I6)/IF(VLOOKUP($A6,EnrollData2324,'2324 Jun 24 Enroll'!M$1,FALSE)+VLOOKUP($A6,EnrollData2324,'2324 Jun 24 Enroll'!D$1,FALSE)=VLOOKUP($A6,'ESA Calculations 2324 Supp'!$A$4:$AE$34,18,FALSE)+VLOOKUP($A6,'ESA Calculations 2324 Supp'!$A$4:$AE$34,4,FALSE),VLOOKUP($A6,EnrollData2324,'2324 Jun 24 Enroll'!M$1,FALSE)+VLOOKUP($A6,EnrollData2324,'2324 Jun 24 Enroll'!D$1,FALSE),VLOOKUP($A6,'ESA Calculations 2324 Supp'!$A$4:$AE$34,18,FALSE)+VLOOKUP($A6,'ESA Calculations 2324 Supp'!$A$4:$AE$34,4,FALSE)),5)</f>
        <v>5.577E-2</v>
      </c>
      <c r="K6" s="11">
        <f t="shared" si="1"/>
        <v>4.3200000000000001E-3</v>
      </c>
      <c r="L6">
        <f>ROUND(IF(VLOOKUP($A6,EnrollData2324,'2324 Jun 24 Enroll'!D$1,FALSE)=VLOOKUP($A6,'ESA Calculations 2324 Supp'!$A$4:$AE$34,4,FALSE),VLOOKUP($A6,EnrollData2324,'2324 Jun 24 Enroll'!D$1,FALSE),VLOOKUP($A6,'ESA Calculations 2324 Supp'!$A$4:$AE$34,4,FALSE))*K6,3)</f>
        <v>0</v>
      </c>
      <c r="M6">
        <f>ROUND(IF(VLOOKUP($A6,EnrollData2324,'2324 Jun 24 Enroll'!E$1,FALSE)=VLOOKUP($A6,'ESA Calculations 2324 Supp'!$A$4:$AE$34,5,FALSE),VLOOKUP($A6,EnrollData2324,'2324 Jun 24 Enroll'!E$1,FALSE),VLOOKUP($A6,'ESA Calculations 2324 Supp'!$A$4:$AE$34,5,FALSE))*K6,3)</f>
        <v>0.94499999999999995</v>
      </c>
      <c r="N6">
        <f>ROUND(IF(VLOOKUP($A6,EnrollData2324,'2324 Jun 24 Enroll'!F$1,FALSE)=VLOOKUP($A6,'ESA Calculations 2324 Supp'!$A$4:$AE$34,6,FALSE),VLOOKUP($A6,EnrollData2324,'2324 Jun 24 Enroll'!F$1,FALSE),VLOOKUP($A6,'ESA Calculations 2324 Supp'!$A$4:$AE$34,6,FALSE))*Apport_223A2324s,3)</f>
        <v>0.22900000000000001</v>
      </c>
      <c r="O6">
        <f>ROUND(IF(VLOOKUP($A6,EnrollData2324,'2324 Jun 24 Enroll'!G$1,FALSE)=VLOOKUP($A6,'ESA Calculations 2324 Supp'!$A$4:$AE$34,7,FALSE),VLOOKUP($A6,EnrollData2324,'2324 Jun 24 Enroll'!G$1,FALSE),VLOOKUP($A6,'ESA Calculations 2324 Supp'!$A$4:$AE$34,7,FALSE))*Apport_211A2324s,3)</f>
        <v>0.41399999999999998</v>
      </c>
      <c r="P6">
        <f>ROUND(IF(VLOOKUP($A6,EnrollData2324,'2324 Jun 24 Enroll'!H$1,FALSE)=VLOOKUP($A6,'ESA Calculations 2324 Supp'!$A$4:$AE$34,8,FALSE),VLOOKUP($A6,EnrollData2324,'2324 Jun 24 Enroll'!H$1,FALSE),VLOOKUP($A6,'ESA Calculations 2324 Supp'!$A$4:$AE$34,8,FALSE))*Apport_214A2324s,3)</f>
        <v>0.45700000000000002</v>
      </c>
      <c r="Q6">
        <f>ROUND(IF(VLOOKUP($A6,EnrollData2324,'2324 Jun 24 Enroll'!I$1,FALSE)+VLOOKUP($A6,EnrollData2324,'2324 Jun 24 Enroll'!M$1,FALSE)-VLOOKUP($A6,EnrollData2324,'2324 Jun 24 Enroll'!J$1,FALSE)=VLOOKUP($A6,'ESA Calculations 2324 Supp'!$A$4:$AE$34,9,FALSE)+VLOOKUP($A6,'ESA Calculations 2324 Supp'!$A$4:$AE$34,18,FALSE)-VLOOKUP($A6,'ESA Calculations 2324 Supp'!$A$4:$AE$34,10,FALSE),VLOOKUP($A6,EnrollData2324,'2324 Jun 24 Enroll'!I$1,FALSE)+VLOOKUP($A6,EnrollData2324,'2324 Jun 24 Enroll'!M$1,FALSE)-VLOOKUP($A6,EnrollData2324,'2324 Jun 24 Enroll'!J$1,FALSE),VLOOKUP($A6,'ESA Calculations 2324 Supp'!$A$4:$AE$34,9,FALSE)+VLOOKUP($A6,'ESA Calculations 2324 Supp'!$A$4:$AE$34,18,FALSE)-VLOOKUP($A6,'ESA Calculations 2324 Supp'!$A$4:$AE$34,10,FALSE))*Apport_217A2324s,3)</f>
        <v>0.73799999999999999</v>
      </c>
      <c r="R6">
        <f>ROUND(SUM(L6:Q6)/IF(VLOOKUP($A6,EnrollData2324,'2324 Jun 24 Enroll'!M$1,FALSE)+VLOOKUP($A6,EnrollData2324,'2324 Jun 24 Enroll'!D$1,FALSE)=VLOOKUP($A6,'ESA Calculations 2324 Supp'!$A$4:$AE$34,18,FALSE)+VLOOKUP($A6,'ESA Calculations 2324 Supp'!$A$4:$AE$34,4,FALSE),VLOOKUP($A6,EnrollData2324,'2324 Jun 24 Enroll'!M$1,FALSE)+VLOOKUP($A6,EnrollData2324,'2324 Jun 24 Enroll'!D$1,FALSE),VLOOKUP($A6,'ESA Calculations 2324 Supp'!$A$4:$AE$34,18,FALSE)+VLOOKUP($A6,'ESA Calculations 2324 Supp'!$A$4:$AE$34,4,FALSE)),5)</f>
        <v>4.13E-3</v>
      </c>
      <c r="S6" s="11">
        <f t="shared" si="2"/>
        <v>1.85419E-2</v>
      </c>
      <c r="T6">
        <f>ROUND(IF(VLOOKUP($A6,EnrollData2324,'2324 Jun 24 Enroll'!D$1,FALSE)=VLOOKUP($A6,'ESA Calculations 2324 Supp'!$A$4:$AE$34,4,FALSE),VLOOKUP($A6,EnrollData2324,'2324 Jun 24 Enroll'!D$1,FALSE),VLOOKUP($A6,'ESA Calculations 2324 Supp'!$A$4:$AE$34,4,FALSE))*S6,3)</f>
        <v>0</v>
      </c>
      <c r="U6">
        <f>ROUND(IF(VLOOKUP($A6,EnrollData2324,'2324 Jun 24 Enroll'!E$1,FALSE)=VLOOKUP($A6,'ESA Calculations 2324 Supp'!$A$4:$AE$34,5,FALSE),VLOOKUP($A6,EnrollData2324,'2324 Jun 24 Enroll'!E$1,FALSE),VLOOKUP($A6,'ESA Calculations 2324 Supp'!$A$4:$AE$34,5,FALSE))*S6,3)</f>
        <v>4.0549999999999997</v>
      </c>
      <c r="V6">
        <f>ROUND(IF(VLOOKUP($A6,EnrollData2324,'2324 Jun 24 Enroll'!F$1,FALSE)=VLOOKUP($A6,'ESA Calculations 2324 Supp'!$A$4:$AE$34,6,FALSE),VLOOKUP($A6,EnrollData2324,'2324 Jun 24 Enroll'!F$1,FALSE),VLOOKUP($A6,'ESA Calculations 2324 Supp'!$A$4:$AE$34,6,FALSE))*Apport_224A2324s,3)</f>
        <v>1.004</v>
      </c>
      <c r="W6">
        <f>ROUND(IF(VLOOKUP($A6,EnrollData2324,'2324 Jun 24 Enroll'!G$1,FALSE)=VLOOKUP($A6,'ESA Calculations 2324 Supp'!$A$4:$AE$34,7,FALSE),VLOOKUP($A6,EnrollData2324,'2324 Jun 24 Enroll'!G$1,FALSE),VLOOKUP($A6,'ESA Calculations 2324 Supp'!$A$4:$AE$34,7,FALSE))*Apport_212A2324s,3)</f>
        <v>1.8180000000000001</v>
      </c>
      <c r="X6">
        <f>ROUND(IF(VLOOKUP($A6,EnrollData2324,'2324 Jun 24 Enroll'!H$1,FALSE)=VLOOKUP($A6,'ESA Calculations 2324 Supp'!$A$4:$AE$34,8,FALSE),VLOOKUP($A6,EnrollData2324,'2324 Jun 24 Enroll'!H$1,FALSE),VLOOKUP($A6,'ESA Calculations 2324 Supp'!$A$4:$AE$34,8,FALSE))*Apport_215A2324s,3)</f>
        <v>1.98</v>
      </c>
      <c r="Y6">
        <f>ROUND(IF(VLOOKUP($A6,EnrollData2324,'2324 Jun 24 Enroll'!I$1,FALSE)+VLOOKUP($A6,EnrollData2324,'2324 Jun 24 Enroll'!M$1,FALSE)-VLOOKUP($A6,EnrollData2324,'2324 Jun 24 Enroll'!J$1,FALSE)=VLOOKUP($A6,'ESA Calculations 2324 Supp'!$A$4:$AE$34,9,FALSE)+VLOOKUP($A6,'ESA Calculations 2324 Supp'!$A$4:$AE$34,18,FALSE)-VLOOKUP($A6,'ESA Calculations 2324 Supp'!$A$4:$AE$34,10,FALSE),VLOOKUP($A6,EnrollData2324,'2324 Jun 24 Enroll'!I$1,FALSE)+VLOOKUP($A6,EnrollData2324,'2324 Jun 24 Enroll'!M$1,FALSE)-VLOOKUP($A6,EnrollData2324,'2324 Jun 24 Enroll'!J$1,FALSE),VLOOKUP($A6,'ESA Calculations 2324 Supp'!$A$4:$AE$34,9,FALSE)+VLOOKUP($A6,'ESA Calculations 2324 Supp'!$A$4:$AE$34,18,FALSE)-VLOOKUP($A6,'ESA Calculations 2324 Supp'!$A$4:$AE$34,10,FALSE))*Apport_218A2324s,3)</f>
        <v>3.173</v>
      </c>
      <c r="Z6">
        <f>ROUND(SUM(T6:Y6)/IF(VLOOKUP($A6,EnrollData2324,'2324 Jun 24 Enroll'!M$1,FALSE)+VLOOKUP($A6,EnrollData2324,'2324 Jun 24 Enroll'!D$1,FALSE)=VLOOKUP($A6,'ESA Calculations 2324 Supp'!$A$4:$AE$34,18,FALSE)+VLOOKUP($A6,'ESA Calculations 2324 Supp'!$A$4:$AE$34,4,FALSE),VLOOKUP($A6,EnrollData2324,'2324 Jun 24 Enroll'!M$1,FALSE)+VLOOKUP($A6,EnrollData2324,'2324 Jun 24 Enroll'!D$1,FALSE),VLOOKUP($A6,'ESA Calculations 2324 Supp'!$A$4:$AE$34,18,FALSE)+VLOOKUP($A6,'ESA Calculations 2324 Supp'!$A$4:$AE$34,4,FALSE)),5)</f>
        <v>1.7860000000000001E-2</v>
      </c>
      <c r="AA6" s="6" cm="1">
        <f t="array" ref="AA6">ROUND($J6*CIS_Base_Salary2324s*VLOOKUP($A6,EnrollData2324,'2324 Jun 24 Enroll'!S$1,FALSE),2)</f>
        <v>4056.04</v>
      </c>
      <c r="AB6" s="6" cm="1">
        <f t="array" ref="AB6">ROUND($J6*CIS_Inc_Salary2324s*(VLOOKUP($A6,EnrollData2324,'2324 Jun 24 Enroll'!T$1,FALSE)+VLOOKUP($A6,EnrollData2324,'2324 Jun 24 Enroll'!U$1,FALSE)),2)-AA6</f>
        <v>234.19999999999982</v>
      </c>
      <c r="AC6" s="6" cm="1">
        <f t="array" ref="AC6">ROUND($R6*CAS_Base_Salary2324s*VLOOKUP($A6,EnrollData2324,'2324 Jun 24 Enroll'!S$1,FALSE),2)</f>
        <v>445.85</v>
      </c>
      <c r="AD6" s="6" cm="1">
        <f t="array" ref="AD6">ROUND($R6*CAS_Inc_Salary2324s*VLOOKUP($A6,EnrollData2324,'2324 Jun 24 Enroll'!T$1,FALSE),2)-AC6</f>
        <v>16.5</v>
      </c>
      <c r="AE6" s="6" cm="1">
        <f t="array" ref="AE6">ROUND($Z6*CLS_Base_Salary2324s*VLOOKUP($A6,EnrollData2324,'2324 Jun 24 Enroll'!S$1,FALSE),2)</f>
        <v>931.81</v>
      </c>
      <c r="AF6" s="6" cm="1">
        <f t="array" ref="AF6">ROUND($Z6*CLS_Inc_Salary2324s*VLOOKUP($A6,EnrollData2324,'2324 Jun 24 Enroll'!T$1,FALSE),2)-AE6</f>
        <v>34.470000000000027</v>
      </c>
      <c r="AG6" cm="1">
        <f t="array" ref="AG6">ROUND(($J6+$R6)*Apport_124X2324s,2)</f>
        <v>737.49</v>
      </c>
      <c r="AH6" s="69">
        <f t="shared" si="3"/>
        <v>69</v>
      </c>
      <c r="AI6" cm="1">
        <f t="array" ref="AI6">ROUND($Z6*Apport_124X2324s,2)</f>
        <v>219.89</v>
      </c>
      <c r="AJ6" cm="1">
        <f t="array" ref="AJ6">ROUND($Z6*Apport_621X2324s*Apport_125X2324s,2)-AI6</f>
        <v>117.24000000000001</v>
      </c>
      <c r="AK6" cm="1">
        <f t="array" ref="AK6">ROUND((AA6+AC6)*Apport_126X2324s,2)</f>
        <v>808.99</v>
      </c>
      <c r="AL6" cm="1">
        <f t="array" ref="AL6">ROUND((AB6+AD6)*Apport_127X2324s,2)</f>
        <v>43.45</v>
      </c>
      <c r="AM6" cm="1">
        <f t="array" ref="AM6">ROUND(AE6*Apport_128X2324s,2)</f>
        <v>205.56</v>
      </c>
      <c r="AN6" cm="1">
        <f t="array" ref="AN6">ROUND(AF6*Apport_129X2324s,2)</f>
        <v>6.4</v>
      </c>
      <c r="AO6" cm="1">
        <f t="array" ref="AO6">ROUND(($J6*CIS_Inc_Salary2324s*(VLOOKUP($A6,EnrollData2324,'2324 Jun 24 Enroll'!T$1,FALSE)+VLOOKUP($A6,EnrollData2324,'2324 Jun 24 Enroll'!U$1,FALSE))/Apport_613Xpd)*Apport_614Xpd,2)</f>
        <v>71.5</v>
      </c>
      <c r="AP6" cm="1">
        <f t="array" ref="AP6">ROUND(AO6*Apport_127X2324s,2)</f>
        <v>12.39</v>
      </c>
      <c r="AQ6">
        <f t="shared" si="4"/>
        <v>31.07</v>
      </c>
      <c r="AR6" s="6" cm="1">
        <f t="array" ref="AR6">ROUND((IF(VLOOKUP($A6,EnrollData2324,'2324 Jun 24 Enroll'!D$1,FALSE)=VLOOKUP($A6,'ESA Calculations 2324 Supp'!$A$4:$AE$34,4,FALSE),VLOOKUP($A6,EnrollData2324,'2324 Jun 24 Enroll'!D$1,FALSE),VLOOKUP($A6,'ESA Calculations 2324 Supp'!$A$4:$AE$34,4,FALSE))*Apport_M802324s+IF(VLOOKUP($A6,EnrollData2324,'2324 Jun 24 Enroll'!M$1,FALSE)=VLOOKUP($A6,'ESA Calculations 2324 Supp'!$A$4:$AE$34,18,FALSE),VLOOKUP($A6,EnrollData2324,'2324 Jun 24 Enroll'!M$1,FALSE),VLOOKUP($A6,'ESA Calculations 2324 Supp'!$A$4:$AE$34,18,FALSE))*Apport_M802324s+IF((VLOOKUP($A6,EnrollData2324,'2324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Enroll'!L$1,FALSE))=VLOOKUP($A6,EnrollData2324,'2324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Enroll'!L$1,FALSE),(VLOOKUP($A6,EnrollData2324,'2324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Enroll'!L$1,FALSE)),(VLOOKUP($A6,EnrollData2324,'2324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Enroll'!L$1,FALSE)))*Apport_M812324s)/(IF(VLOOKUP($A6,EnrollData2324,'2324 Jun 24 Enroll'!M$1,FALSE)=VLOOKUP($A6,'ESA Calculations 2324 Supp'!$A$4:$AE$34,18,FALSE),VLOOKUP($A6,EnrollData2324,'2324 Jun 24 Enroll'!M$1,FALSE),VLOOKUP($A6,'ESA Calculations 2324 Supp'!$A$4:$AE$34,18,FALSE))+IF(VLOOKUP($A6,EnrollData2324,'2324 Jun 24 Enroll'!D$1,FALSE)=VLOOKUP($A6,'ESA Calculations 2324 Supp'!$A$4:$AE$34,4,FALSE),VLOOKUP($A6,EnrollData2324,'2324 Jun 24 Enroll'!D$1,FALSE),VLOOKUP($A6,'ESA Calculations 2324 Supp'!$A$4:$AE$34,4,FALSE))),2)</f>
        <v>1558.56</v>
      </c>
      <c r="AS6" s="7">
        <f t="shared" si="5"/>
        <v>9600.41</v>
      </c>
      <c r="AT6" s="6">
        <f>IF(VLOOKUP($A6,EnrollData2324,'2324 Jun 24 Enroll'!AA$1,FALSE)=VLOOKUP($A6,'ESA Calculations 2324 Supp'!$A$4:$AE$34,24,FALSE),VLOOKUP($A6,EnrollData2324,'2324 Jun 24 Enroll'!AA$1,FALSE),VLOOKUP($A6,'ESA Calculations 2324 Supp'!$A$4:$AE$34,24,FALSE))</f>
        <v>673.63</v>
      </c>
      <c r="AV6" s="7"/>
    </row>
    <row r="7" spans="1:49">
      <c r="A7" s="40" t="s">
        <v>518</v>
      </c>
      <c r="B7" s="40" t="s">
        <v>519</v>
      </c>
      <c r="C7" s="11">
        <f>ROUND((IFERROR((1/IF(VLOOKUP($A7,EnrollData2324,28,FALSE)=VLOOKUP($A7,'ESA Calculations 2324 Supp'!$A$4:$AE$34,3,FALSE),VLOOKUP($A7,EnrollData2324,28,FALSE),VLOOKUP($A7,'ESA Calculations 2324 Supp'!$A$4:$AE$34,3,FALSE)))*(1+Apport_Z315),0))+Apport_201A2324s,6)</f>
        <v>7.3449E-2</v>
      </c>
      <c r="D7">
        <f>ROUND(IF(VLOOKUP($A7,EnrollData2324,'2324 Jun 24 Enroll'!D$1,FALSE)=VLOOKUP($A7,'ESA Calculations 2324 Supp'!$A$4:$AE$34,4,FALSE),VLOOKUP($A7,EnrollData2324,'2324 Jun 24 Enroll'!D$1,FALSE),VLOOKUP($A7,'ESA Calculations 2324 Supp'!$A$4:$AE$34,4,FALSE))*C7,3)</f>
        <v>2.5219999999999998</v>
      </c>
      <c r="E7">
        <f>ROUND(IF(VLOOKUP($A7,EnrollData2324,'2324 Jun 24 Enroll'!E$1,FALSE)=VLOOKUP($A7,'ESA Calculations 2324 Supp'!$A$4:$AE$34,5,FALSE),VLOOKUP($A7,EnrollData2324,'2324 Jun 24 Enroll'!E$1,FALSE),VLOOKUP($A7,'ESA Calculations 2324 Supp'!$A$4:$AE$34,5,FALSE))*C7,3)</f>
        <v>23.172000000000001</v>
      </c>
      <c r="F7">
        <f>ROUND(IF(VLOOKUP($A7,EnrollData2324,'2324 Jun 24 Enroll'!F$1,FALSE)=VLOOKUP($A7,'ESA Calculations 2324 Supp'!$A$4:$AE$34,6,FALSE),VLOOKUP($A7,EnrollData2324,'2324 Jun 24 Enroll'!F$1,FALSE),VLOOKUP($A7,'ESA Calculations 2324 Supp'!$A$4:$AE$34,6,FALSE))*Apport_222A2324s,3)</f>
        <v>4.8</v>
      </c>
      <c r="G7">
        <f>ROUND(IF(VLOOKUP($A7,EnrollData2324,'2324 Jun 24 Enroll'!G$1,FALSE)=VLOOKUP($A7,'ESA Calculations 2324 Supp'!$A$4:$AE$34,7,FALSE),VLOOKUP($A7,EnrollData2324,'2324 Jun 24 Enroll'!G$1,FALSE),VLOOKUP($A7,'ESA Calculations 2324 Supp'!$A$4:$AE$34,7,FALSE))*Apport_210A2324s,3)</f>
        <v>9.0289999999999999</v>
      </c>
      <c r="H7">
        <f>ROUND(IF(VLOOKUP($A7,EnrollData2324,'2324 Jun 24 Enroll'!H$1,FALSE)=VLOOKUP($A7,'ESA Calculations 2324 Supp'!$A$4:$AE$34,8,FALSE),VLOOKUP($A7,EnrollData2324,'2324 Jun 24 Enroll'!H$1,FALSE),VLOOKUP($A7,'ESA Calculations 2324 Supp'!$A$4:$AE$34,8,FALSE))*Apport_213A2324s,3)</f>
        <v>7.1369999999999996</v>
      </c>
      <c r="I7">
        <f>ROUND(IF(VLOOKUP($A7,EnrollData2324,'2324 Jun 24 Enroll'!I$1,FALSE)+VLOOKUP($A7,EnrollData2324,'2324 Jun 24 Enroll'!M$1,FALSE)-VLOOKUP($A7,EnrollData2324,'2324 Jun 24 Enroll'!J$1,FALSE)=VLOOKUP($A7,'ESA Calculations 2324 Supp'!$A$4:$AE$34,9,FALSE)+VLOOKUP($A7,'ESA Calculations 2324 Supp'!$A$4:$AE$34,18,FALSE)-VLOOKUP($A7,'ESA Calculations 2324 Supp'!$A$4:$AE$34,10,FALSE),VLOOKUP($A7,EnrollData2324,'2324 Jun 24 Enroll'!I$1,FALSE)+VLOOKUP($A7,EnrollData2324,'2324 Jun 24 Enroll'!M$1,FALSE)-VLOOKUP($A7,EnrollData2324,'2324 Jun 24 Enroll'!J$1,FALSE),VLOOKUP($A7,'ESA Calculations 2324 Supp'!$A$4:$AE$34,9,FALSE)+VLOOKUP($A7,'ESA Calculations 2324 Supp'!$A$4:$AE$34,18,FALSE)-VLOOKUP($A7,'ESA Calculations 2324 Supp'!$A$4:$AE$34,10,FALSE))*Apport_216A2324s,3)</f>
        <v>17.739999999999998</v>
      </c>
      <c r="J7">
        <f>ROUND(SUM(D7:I7)/IF(VLOOKUP($A7,EnrollData2324,'2324 Jun 24 Enroll'!M$1,FALSE)+VLOOKUP($A7,EnrollData2324,'2324 Jun 24 Enroll'!D$1,FALSE)=VLOOKUP($A7,'ESA Calculations 2324 Supp'!$A$4:$AE$34,18,FALSE)+VLOOKUP($A7,'ESA Calculations 2324 Supp'!$A$4:$AE$34,4,FALSE),VLOOKUP($A7,EnrollData2324,'2324 Jun 24 Enroll'!M$1,FALSE)+VLOOKUP($A7,EnrollData2324,'2324 Jun 24 Enroll'!D$1,FALSE),VLOOKUP($A7,'ESA Calculations 2324 Supp'!$A$4:$AE$34,18,FALSE)+VLOOKUP($A7,'ESA Calculations 2324 Supp'!$A$4:$AE$34,4,FALSE)),5)</f>
        <v>5.6619999999999997E-2</v>
      </c>
      <c r="K7" s="11">
        <f t="shared" si="1"/>
        <v>4.3699999999999998E-3</v>
      </c>
      <c r="L7">
        <f>ROUND(IF(VLOOKUP($A7,EnrollData2324,'2324 Jun 24 Enroll'!D$1,FALSE)=VLOOKUP($A7,'ESA Calculations 2324 Supp'!$A$4:$AE$34,4,FALSE),VLOOKUP($A7,EnrollData2324,'2324 Jun 24 Enroll'!D$1,FALSE),VLOOKUP($A7,'ESA Calculations 2324 Supp'!$A$4:$AE$34,4,FALSE))*K7,3)</f>
        <v>0.15</v>
      </c>
      <c r="M7">
        <f>ROUND(IF(VLOOKUP($A7,EnrollData2324,'2324 Jun 24 Enroll'!E$1,FALSE)=VLOOKUP($A7,'ESA Calculations 2324 Supp'!$A$4:$AE$34,5,FALSE),VLOOKUP($A7,EnrollData2324,'2324 Jun 24 Enroll'!E$1,FALSE),VLOOKUP($A7,'ESA Calculations 2324 Supp'!$A$4:$AE$34,5,FALSE))*K7,3)</f>
        <v>1.379</v>
      </c>
      <c r="N7">
        <f>ROUND(IF(VLOOKUP($A7,EnrollData2324,'2324 Jun 24 Enroll'!F$1,FALSE)=VLOOKUP($A7,'ESA Calculations 2324 Supp'!$A$4:$AE$34,6,FALSE),VLOOKUP($A7,EnrollData2324,'2324 Jun 24 Enroll'!F$1,FALSE),VLOOKUP($A7,'ESA Calculations 2324 Supp'!$A$4:$AE$34,6,FALSE))*Apport_223A2324s,3)</f>
        <v>0.40100000000000002</v>
      </c>
      <c r="O7">
        <f>ROUND(IF(VLOOKUP($A7,EnrollData2324,'2324 Jun 24 Enroll'!G$1,FALSE)=VLOOKUP($A7,'ESA Calculations 2324 Supp'!$A$4:$AE$34,7,FALSE),VLOOKUP($A7,EnrollData2324,'2324 Jun 24 Enroll'!G$1,FALSE),VLOOKUP($A7,'ESA Calculations 2324 Supp'!$A$4:$AE$34,7,FALSE))*Apport_211A2324s,3)</f>
        <v>0.754</v>
      </c>
      <c r="P7">
        <f>ROUND(IF(VLOOKUP($A7,EnrollData2324,'2324 Jun 24 Enroll'!H$1,FALSE)=VLOOKUP($A7,'ESA Calculations 2324 Supp'!$A$4:$AE$34,8,FALSE),VLOOKUP($A7,EnrollData2324,'2324 Jun 24 Enroll'!H$1,FALSE),VLOOKUP($A7,'ESA Calculations 2324 Supp'!$A$4:$AE$34,8,FALSE))*Apport_214A2324s,3)</f>
        <v>0.59299999999999997</v>
      </c>
      <c r="Q7">
        <f>ROUND(IF(VLOOKUP($A7,EnrollData2324,'2324 Jun 24 Enroll'!I$1,FALSE)+VLOOKUP($A7,EnrollData2324,'2324 Jun 24 Enroll'!M$1,FALSE)-VLOOKUP($A7,EnrollData2324,'2324 Jun 24 Enroll'!J$1,FALSE)=VLOOKUP($A7,'ESA Calculations 2324 Supp'!$A$4:$AE$34,9,FALSE)+VLOOKUP($A7,'ESA Calculations 2324 Supp'!$A$4:$AE$34,18,FALSE)-VLOOKUP($A7,'ESA Calculations 2324 Supp'!$A$4:$AE$34,10,FALSE),VLOOKUP($A7,EnrollData2324,'2324 Jun 24 Enroll'!I$1,FALSE)+VLOOKUP($A7,EnrollData2324,'2324 Jun 24 Enroll'!M$1,FALSE)-VLOOKUP($A7,EnrollData2324,'2324 Jun 24 Enroll'!J$1,FALSE),VLOOKUP($A7,'ESA Calculations 2324 Supp'!$A$4:$AE$34,9,FALSE)+VLOOKUP($A7,'ESA Calculations 2324 Supp'!$A$4:$AE$34,18,FALSE)-VLOOKUP($A7,'ESA Calculations 2324 Supp'!$A$4:$AE$34,10,FALSE))*Apport_217A2324s,3)</f>
        <v>1.4339999999999999</v>
      </c>
      <c r="R7">
        <f>ROUND(SUM(L7:Q7)/IF(VLOOKUP($A7,EnrollData2324,'2324 Jun 24 Enroll'!M$1,FALSE)+VLOOKUP($A7,EnrollData2324,'2324 Jun 24 Enroll'!D$1,FALSE)=VLOOKUP($A7,'ESA Calculations 2324 Supp'!$A$4:$AE$34,18,FALSE)+VLOOKUP($A7,'ESA Calculations 2324 Supp'!$A$4:$AE$34,4,FALSE),VLOOKUP($A7,EnrollData2324,'2324 Jun 24 Enroll'!M$1,FALSE)+VLOOKUP($A7,EnrollData2324,'2324 Jun 24 Enroll'!D$1,FALSE),VLOOKUP($A7,'ESA Calculations 2324 Supp'!$A$4:$AE$34,18,FALSE)+VLOOKUP($A7,'ESA Calculations 2324 Supp'!$A$4:$AE$34,4,FALSE)),5)</f>
        <v>4.1399999999999996E-3</v>
      </c>
      <c r="S7" s="11">
        <f t="shared" si="2"/>
        <v>1.8689600000000001E-2</v>
      </c>
      <c r="T7">
        <f>ROUND(IF(VLOOKUP($A7,EnrollData2324,'2324 Jun 24 Enroll'!D$1,FALSE)=VLOOKUP($A7,'ESA Calculations 2324 Supp'!$A$4:$AE$34,4,FALSE),VLOOKUP($A7,EnrollData2324,'2324 Jun 24 Enroll'!D$1,FALSE),VLOOKUP($A7,'ESA Calculations 2324 Supp'!$A$4:$AE$34,4,FALSE))*S7,3)</f>
        <v>0.64200000000000002</v>
      </c>
      <c r="U7">
        <f>ROUND(IF(VLOOKUP($A7,EnrollData2324,'2324 Jun 24 Enroll'!E$1,FALSE)=VLOOKUP($A7,'ESA Calculations 2324 Supp'!$A$4:$AE$34,5,FALSE),VLOOKUP($A7,EnrollData2324,'2324 Jun 24 Enroll'!E$1,FALSE),VLOOKUP($A7,'ESA Calculations 2324 Supp'!$A$4:$AE$34,5,FALSE))*S7,3)</f>
        <v>5.8959999999999999</v>
      </c>
      <c r="V7">
        <f>ROUND(IF(VLOOKUP($A7,EnrollData2324,'2324 Jun 24 Enroll'!F$1,FALSE)=VLOOKUP($A7,'ESA Calculations 2324 Supp'!$A$4:$AE$34,6,FALSE),VLOOKUP($A7,EnrollData2324,'2324 Jun 24 Enroll'!F$1,FALSE),VLOOKUP($A7,'ESA Calculations 2324 Supp'!$A$4:$AE$34,6,FALSE))*Apport_224A2324s,3)</f>
        <v>1.7589999999999999</v>
      </c>
      <c r="W7">
        <f>ROUND(IF(VLOOKUP($A7,EnrollData2324,'2324 Jun 24 Enroll'!G$1,FALSE)=VLOOKUP($A7,'ESA Calculations 2324 Supp'!$A$4:$AE$34,7,FALSE),VLOOKUP($A7,EnrollData2324,'2324 Jun 24 Enroll'!G$1,FALSE),VLOOKUP($A7,'ESA Calculations 2324 Supp'!$A$4:$AE$34,7,FALSE))*Apport_212A2324s,3)</f>
        <v>3.31</v>
      </c>
      <c r="X7">
        <f>ROUND(IF(VLOOKUP($A7,EnrollData2324,'2324 Jun 24 Enroll'!H$1,FALSE)=VLOOKUP($A7,'ESA Calculations 2324 Supp'!$A$4:$AE$34,8,FALSE),VLOOKUP($A7,EnrollData2324,'2324 Jun 24 Enroll'!H$1,FALSE),VLOOKUP($A7,'ESA Calculations 2324 Supp'!$A$4:$AE$34,8,FALSE))*Apport_215A2324s,3)</f>
        <v>2.5720000000000001</v>
      </c>
      <c r="Y7">
        <f>ROUND(IF(VLOOKUP($A7,EnrollData2324,'2324 Jun 24 Enroll'!I$1,FALSE)+VLOOKUP($A7,EnrollData2324,'2324 Jun 24 Enroll'!M$1,FALSE)-VLOOKUP($A7,EnrollData2324,'2324 Jun 24 Enroll'!J$1,FALSE)=VLOOKUP($A7,'ESA Calculations 2324 Supp'!$A$4:$AE$34,9,FALSE)+VLOOKUP($A7,'ESA Calculations 2324 Supp'!$A$4:$AE$34,18,FALSE)-VLOOKUP($A7,'ESA Calculations 2324 Supp'!$A$4:$AE$34,10,FALSE),VLOOKUP($A7,EnrollData2324,'2324 Jun 24 Enroll'!I$1,FALSE)+VLOOKUP($A7,EnrollData2324,'2324 Jun 24 Enroll'!M$1,FALSE)-VLOOKUP($A7,EnrollData2324,'2324 Jun 24 Enroll'!J$1,FALSE),VLOOKUP($A7,'ESA Calculations 2324 Supp'!$A$4:$AE$34,9,FALSE)+VLOOKUP($A7,'ESA Calculations 2324 Supp'!$A$4:$AE$34,18,FALSE)-VLOOKUP($A7,'ESA Calculations 2324 Supp'!$A$4:$AE$34,10,FALSE))*Apport_218A2324s,3)</f>
        <v>6.1660000000000004</v>
      </c>
      <c r="Z7">
        <f>ROUND(SUM(T7:Y7)/IF(VLOOKUP($A7,EnrollData2324,'2324 Jun 24 Enroll'!M$1,FALSE)+VLOOKUP($A7,EnrollData2324,'2324 Jun 24 Enroll'!D$1,FALSE)=VLOOKUP($A7,'ESA Calculations 2324 Supp'!$A$4:$AE$34,18,FALSE)+VLOOKUP($A7,'ESA Calculations 2324 Supp'!$A$4:$AE$34,4,FALSE),VLOOKUP($A7,EnrollData2324,'2324 Jun 24 Enroll'!M$1,FALSE)+VLOOKUP($A7,EnrollData2324,'2324 Jun 24 Enroll'!D$1,FALSE),VLOOKUP($A7,'ESA Calculations 2324 Supp'!$A$4:$AE$34,18,FALSE)+VLOOKUP($A7,'ESA Calculations 2324 Supp'!$A$4:$AE$34,4,FALSE)),5)</f>
        <v>1.789E-2</v>
      </c>
      <c r="AA7" s="6" cm="1">
        <f t="array" ref="AA7">ROUND($J7*CIS_Base_Salary2324s*VLOOKUP($A7,EnrollData2324,'2324 Jun 24 Enroll'!S$1,FALSE),2)</f>
        <v>4117.8599999999997</v>
      </c>
      <c r="AB7" s="6" cm="1">
        <f t="array" ref="AB7">ROUND($J7*CIS_Inc_Salary2324s*(VLOOKUP($A7,EnrollData2324,'2324 Jun 24 Enroll'!T$1,FALSE)+VLOOKUP($A7,EnrollData2324,'2324 Jun 24 Enroll'!U$1,FALSE)),2)-AA7</f>
        <v>152.36000000000058</v>
      </c>
      <c r="AC7" s="6" cm="1">
        <f t="array" ref="AC7">ROUND($R7*CAS_Base_Salary2324s*VLOOKUP($A7,EnrollData2324,'2324 Jun 24 Enroll'!S$1,FALSE),2)</f>
        <v>446.93</v>
      </c>
      <c r="AD7" s="6" cm="1">
        <f t="array" ref="AD7">ROUND($R7*CAS_Inc_Salary2324s*VLOOKUP($A7,EnrollData2324,'2324 Jun 24 Enroll'!T$1,FALSE),2)-AC7</f>
        <v>16.54000000000002</v>
      </c>
      <c r="AE7" s="6" cm="1">
        <f t="array" ref="AE7">ROUND($Z7*CLS_Base_Salary2324s*VLOOKUP($A7,EnrollData2324,'2324 Jun 24 Enroll'!S$1,FALSE),2)</f>
        <v>933.37</v>
      </c>
      <c r="AF7" s="6" cm="1">
        <f t="array" ref="AF7">ROUND($Z7*CLS_Inc_Salary2324s*VLOOKUP($A7,EnrollData2324,'2324 Jun 24 Enroll'!T$1,FALSE),2)-AE7</f>
        <v>34.529999999999973</v>
      </c>
      <c r="AG7" cm="1">
        <f t="array" ref="AG7">ROUND(($J7+$R7)*Apport_124X2324s,2)</f>
        <v>748.08</v>
      </c>
      <c r="AH7" s="69">
        <f t="shared" si="3"/>
        <v>69.990000000000009</v>
      </c>
      <c r="AI7" cm="1">
        <f t="array" ref="AI7">ROUND($Z7*Apport_124X2324s,2)</f>
        <v>220.26</v>
      </c>
      <c r="AJ7" cm="1">
        <f t="array" ref="AJ7">ROUND($Z7*Apport_621X2324s*Apport_125X2324s,2)-AI7</f>
        <v>117.43</v>
      </c>
      <c r="AK7" cm="1">
        <f t="array" ref="AK7">ROUND((AA7+AC7)*Apport_126X2324s,2)</f>
        <v>820.29</v>
      </c>
      <c r="AL7" cm="1">
        <f t="array" ref="AL7">ROUND((AB7+AD7)*Apport_127X2324s,2)</f>
        <v>29.27</v>
      </c>
      <c r="AM7" cm="1">
        <f t="array" ref="AM7">ROUND(AE7*Apport_128X2324s,2)</f>
        <v>205.9</v>
      </c>
      <c r="AN7" cm="1">
        <f t="array" ref="AN7">ROUND(AF7*Apport_129X2324s,2)</f>
        <v>6.41</v>
      </c>
      <c r="AO7" cm="1">
        <f t="array" ref="AO7">ROUND(($J7*CIS_Inc_Salary2324s*(VLOOKUP($A7,EnrollData2324,'2324 Jun 24 Enroll'!T$1,FALSE)+VLOOKUP($A7,EnrollData2324,'2324 Jun 24 Enroll'!U$1,FALSE))/Apport_613Xpd)*Apport_614Xpd,2)</f>
        <v>71.17</v>
      </c>
      <c r="AP7" cm="1">
        <f t="array" ref="AP7">ROUND(AO7*Apport_127X2324s,2)</f>
        <v>12.33</v>
      </c>
      <c r="AQ7">
        <f t="shared" si="4"/>
        <v>31.54</v>
      </c>
      <c r="AR7" s="6" cm="1">
        <f t="array" ref="AR7">ROUND((IF(VLOOKUP($A7,EnrollData2324,'2324 Jun 24 Enroll'!D$1,FALSE)=VLOOKUP($A7,'ESA Calculations 2324 Supp'!$A$4:$AE$34,4,FALSE),VLOOKUP($A7,EnrollData2324,'2324 Jun 24 Enroll'!D$1,FALSE),VLOOKUP($A7,'ESA Calculations 2324 Supp'!$A$4:$AE$34,4,FALSE))*Apport_M802324s+IF(VLOOKUP($A7,EnrollData2324,'2324 Jun 24 Enroll'!M$1,FALSE)=VLOOKUP($A7,'ESA Calculations 2324 Supp'!$A$4:$AE$34,18,FALSE),VLOOKUP($A7,EnrollData2324,'2324 Jun 24 Enroll'!M$1,FALSE),VLOOKUP($A7,'ESA Calculations 2324 Supp'!$A$4:$AE$34,18,FALSE))*Apport_M802324s+IF((VLOOKUP($A7,EnrollData2324,'2324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Enroll'!L$1,FALSE))=VLOOKUP($A7,EnrollData2324,'2324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Enroll'!L$1,FALSE),(VLOOKUP($A7,EnrollData2324,'2324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Enroll'!L$1,FALSE)),(VLOOKUP($A7,EnrollData2324,'2324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Enroll'!L$1,FALSE)))*Apport_M812324s)/(IF(VLOOKUP($A7,EnrollData2324,'2324 Jun 24 Enroll'!M$1,FALSE)=VLOOKUP($A7,'ESA Calculations 2324 Supp'!$A$4:$AE$34,18,FALSE),VLOOKUP($A7,EnrollData2324,'2324 Jun 24 Enroll'!M$1,FALSE),VLOOKUP($A7,'ESA Calculations 2324 Supp'!$A$4:$AE$34,18,FALSE))+IF(VLOOKUP($A7,EnrollData2324,'2324 Jun 24 Enroll'!D$1,FALSE)=VLOOKUP($A7,'ESA Calculations 2324 Supp'!$A$4:$AE$34,4,FALSE),VLOOKUP($A7,EnrollData2324,'2324 Jun 24 Enroll'!D$1,FALSE),VLOOKUP($A7,'ESA Calculations 2324 Supp'!$A$4:$AE$34,4,FALSE))),2)</f>
        <v>1566.74</v>
      </c>
      <c r="AS7" s="7">
        <f t="shared" si="5"/>
        <v>9601</v>
      </c>
      <c r="AT7" s="6">
        <f>IF(VLOOKUP($A7,EnrollData2324,'2324 Jun 24 Enroll'!AA$1,FALSE)=VLOOKUP($A7,'ESA Calculations 2324 Supp'!$A$4:$AE$34,24,FALSE),VLOOKUP($A7,EnrollData2324,'2324 Jun 24 Enroll'!AA$1,FALSE),VLOOKUP($A7,'ESA Calculations 2324 Supp'!$A$4:$AE$34,24,FALSE))</f>
        <v>1138.68</v>
      </c>
      <c r="AU7" s="27"/>
      <c r="AV7" s="27"/>
      <c r="AW7" s="27"/>
    </row>
    <row r="8" spans="1:49">
      <c r="A8" s="40" t="s">
        <v>669</v>
      </c>
      <c r="B8" s="40" t="s">
        <v>670</v>
      </c>
      <c r="C8" s="11">
        <f>ROUND((IFERROR((1/IF(VLOOKUP($A8,EnrollData2324,28,FALSE)=VLOOKUP($A8,'ESA Calculations 2324 Supp'!$A$4:$AE$34,3,FALSE),VLOOKUP($A8,EnrollData2324,28,FALSE),VLOOKUP($A8,'ESA Calculations 2324 Supp'!$A$4:$AE$34,3,FALSE)))*(1+Apport_Z315),0))+Apport_201A2324s,6)</f>
        <v>7.3449E-2</v>
      </c>
      <c r="D8">
        <f>ROUND(IF(VLOOKUP($A8,EnrollData2324,'2324 Jun 24 Enroll'!D$1,FALSE)=VLOOKUP($A8,'ESA Calculations 2324 Supp'!$A$4:$AE$34,4,FALSE),VLOOKUP($A8,EnrollData2324,'2324 Jun 24 Enroll'!D$1,FALSE),VLOOKUP($A8,'ESA Calculations 2324 Supp'!$A$4:$AE$34,4,FALSE))*C8,3)</f>
        <v>0</v>
      </c>
      <c r="E8">
        <f>ROUND(IF(VLOOKUP($A8,EnrollData2324,'2324 Jun 24 Enroll'!E$1,FALSE)=VLOOKUP($A8,'ESA Calculations 2324 Supp'!$A$4:$AE$34,5,FALSE),VLOOKUP($A8,EnrollData2324,'2324 Jun 24 Enroll'!E$1,FALSE),VLOOKUP($A8,'ESA Calculations 2324 Supp'!$A$4:$AE$34,5,FALSE))*C8,3)</f>
        <v>3.6429999999999998</v>
      </c>
      <c r="F8">
        <f>ROUND(IF(VLOOKUP($A8,EnrollData2324,'2324 Jun 24 Enroll'!F$1,FALSE)=VLOOKUP($A8,'ESA Calculations 2324 Supp'!$A$4:$AE$34,6,FALSE),VLOOKUP($A8,EnrollData2324,'2324 Jun 24 Enroll'!F$1,FALSE),VLOOKUP($A8,'ESA Calculations 2324 Supp'!$A$4:$AE$34,6,FALSE))*Apport_222A2324s,3)</f>
        <v>0.57899999999999996</v>
      </c>
      <c r="G8">
        <f>ROUND(IF(VLOOKUP($A8,EnrollData2324,'2324 Jun 24 Enroll'!G$1,FALSE)=VLOOKUP($A8,'ESA Calculations 2324 Supp'!$A$4:$AE$34,7,FALSE),VLOOKUP($A8,EnrollData2324,'2324 Jun 24 Enroll'!G$1,FALSE),VLOOKUP($A8,'ESA Calculations 2324 Supp'!$A$4:$AE$34,7,FALSE))*Apport_210A2324s,3)</f>
        <v>1.202</v>
      </c>
      <c r="H8">
        <f>ROUND(IF(VLOOKUP($A8,EnrollData2324,'2324 Jun 24 Enroll'!H$1,FALSE)=VLOOKUP($A8,'ESA Calculations 2324 Supp'!$A$4:$AE$34,8,FALSE),VLOOKUP($A8,EnrollData2324,'2324 Jun 24 Enroll'!H$1,FALSE),VLOOKUP($A8,'ESA Calculations 2324 Supp'!$A$4:$AE$34,8,FALSE))*Apport_213A2324s,3)</f>
        <v>1.093</v>
      </c>
      <c r="I8">
        <f>ROUND(IF(VLOOKUP($A8,EnrollData2324,'2324 Jun 24 Enroll'!I$1,FALSE)+VLOOKUP($A8,EnrollData2324,'2324 Jun 24 Enroll'!M$1,FALSE)-VLOOKUP($A8,EnrollData2324,'2324 Jun 24 Enroll'!J$1,FALSE)=VLOOKUP($A8,'ESA Calculations 2324 Supp'!$A$4:$AE$34,9,FALSE)+VLOOKUP($A8,'ESA Calculations 2324 Supp'!$A$4:$AE$34,18,FALSE)-VLOOKUP($A8,'ESA Calculations 2324 Supp'!$A$4:$AE$34,10,FALSE),VLOOKUP($A8,EnrollData2324,'2324 Jun 24 Enroll'!I$1,FALSE)+VLOOKUP($A8,EnrollData2324,'2324 Jun 24 Enroll'!M$1,FALSE)-VLOOKUP($A8,EnrollData2324,'2324 Jun 24 Enroll'!J$1,FALSE),VLOOKUP($A8,'ESA Calculations 2324 Supp'!$A$4:$AE$34,9,FALSE)+VLOOKUP($A8,'ESA Calculations 2324 Supp'!$A$4:$AE$34,18,FALSE)-VLOOKUP($A8,'ESA Calculations 2324 Supp'!$A$4:$AE$34,10,FALSE))*Apport_216A2324s,3)</f>
        <v>0</v>
      </c>
      <c r="J8">
        <f>ROUND(SUM(D8:I8)/IF(VLOOKUP($A8,EnrollData2324,'2324 Jun 24 Enroll'!M$1,FALSE)+VLOOKUP($A8,EnrollData2324,'2324 Jun 24 Enroll'!D$1,FALSE)=VLOOKUP($A8,'ESA Calculations 2324 Supp'!$A$4:$AE$34,18,FALSE)+VLOOKUP($A8,'ESA Calculations 2324 Supp'!$A$4:$AE$34,4,FALSE),VLOOKUP($A8,EnrollData2324,'2324 Jun 24 Enroll'!M$1,FALSE)+VLOOKUP($A8,EnrollData2324,'2324 Jun 24 Enroll'!D$1,FALSE),VLOOKUP($A8,'ESA Calculations 2324 Supp'!$A$4:$AE$34,18,FALSE)+VLOOKUP($A8,'ESA Calculations 2324 Supp'!$A$4:$AE$34,4,FALSE)),5)</f>
        <v>5.9760000000000001E-2</v>
      </c>
      <c r="K8" s="11">
        <f t="shared" si="1"/>
        <v>4.3699999999999998E-3</v>
      </c>
      <c r="L8">
        <f>ROUND(IF(VLOOKUP($A8,EnrollData2324,'2324 Jun 24 Enroll'!D$1,FALSE)=VLOOKUP($A8,'ESA Calculations 2324 Supp'!$A$4:$AE$34,4,FALSE),VLOOKUP($A8,EnrollData2324,'2324 Jun 24 Enroll'!D$1,FALSE),VLOOKUP($A8,'ESA Calculations 2324 Supp'!$A$4:$AE$34,4,FALSE))*K8,3)</f>
        <v>0</v>
      </c>
      <c r="M8">
        <f>ROUND(IF(VLOOKUP($A8,EnrollData2324,'2324 Jun 24 Enroll'!E$1,FALSE)=VLOOKUP($A8,'ESA Calculations 2324 Supp'!$A$4:$AE$34,5,FALSE),VLOOKUP($A8,EnrollData2324,'2324 Jun 24 Enroll'!E$1,FALSE),VLOOKUP($A8,'ESA Calculations 2324 Supp'!$A$4:$AE$34,5,FALSE))*K8,3)</f>
        <v>0.217</v>
      </c>
      <c r="N8">
        <f>ROUND(IF(VLOOKUP($A8,EnrollData2324,'2324 Jun 24 Enroll'!F$1,FALSE)=VLOOKUP($A8,'ESA Calculations 2324 Supp'!$A$4:$AE$34,6,FALSE),VLOOKUP($A8,EnrollData2324,'2324 Jun 24 Enroll'!F$1,FALSE),VLOOKUP($A8,'ESA Calculations 2324 Supp'!$A$4:$AE$34,6,FALSE))*Apport_223A2324s,3)</f>
        <v>4.8000000000000001E-2</v>
      </c>
      <c r="O8">
        <f>ROUND(IF(VLOOKUP($A8,EnrollData2324,'2324 Jun 24 Enroll'!G$1,FALSE)=VLOOKUP($A8,'ESA Calculations 2324 Supp'!$A$4:$AE$34,7,FALSE),VLOOKUP($A8,EnrollData2324,'2324 Jun 24 Enroll'!G$1,FALSE),VLOOKUP($A8,'ESA Calculations 2324 Supp'!$A$4:$AE$34,7,FALSE))*Apport_211A2324s,3)</f>
        <v>0.1</v>
      </c>
      <c r="P8">
        <f>ROUND(IF(VLOOKUP($A8,EnrollData2324,'2324 Jun 24 Enroll'!H$1,FALSE)=VLOOKUP($A8,'ESA Calculations 2324 Supp'!$A$4:$AE$34,8,FALSE),VLOOKUP($A8,EnrollData2324,'2324 Jun 24 Enroll'!H$1,FALSE),VLOOKUP($A8,'ESA Calculations 2324 Supp'!$A$4:$AE$34,8,FALSE))*Apport_214A2324s,3)</f>
        <v>9.0999999999999998E-2</v>
      </c>
      <c r="Q8">
        <f>ROUND(IF(VLOOKUP($A8,EnrollData2324,'2324 Jun 24 Enroll'!I$1,FALSE)+VLOOKUP($A8,EnrollData2324,'2324 Jun 24 Enroll'!M$1,FALSE)-VLOOKUP($A8,EnrollData2324,'2324 Jun 24 Enroll'!J$1,FALSE)=VLOOKUP($A8,'ESA Calculations 2324 Supp'!$A$4:$AE$34,9,FALSE)+VLOOKUP($A8,'ESA Calculations 2324 Supp'!$A$4:$AE$34,18,FALSE)-VLOOKUP($A8,'ESA Calculations 2324 Supp'!$A$4:$AE$34,10,FALSE),VLOOKUP($A8,EnrollData2324,'2324 Jun 24 Enroll'!I$1,FALSE)+VLOOKUP($A8,EnrollData2324,'2324 Jun 24 Enroll'!M$1,FALSE)-VLOOKUP($A8,EnrollData2324,'2324 Jun 24 Enroll'!J$1,FALSE),VLOOKUP($A8,'ESA Calculations 2324 Supp'!$A$4:$AE$34,9,FALSE)+VLOOKUP($A8,'ESA Calculations 2324 Supp'!$A$4:$AE$34,18,FALSE)-VLOOKUP($A8,'ESA Calculations 2324 Supp'!$A$4:$AE$34,10,FALSE))*Apport_217A2324s,3)</f>
        <v>0</v>
      </c>
      <c r="R8">
        <f>ROUND(SUM(L8:Q8)/IF(VLOOKUP($A8,EnrollData2324,'2324 Jun 24 Enroll'!M$1,FALSE)+VLOOKUP($A8,EnrollData2324,'2324 Jun 24 Enroll'!D$1,FALSE)=VLOOKUP($A8,'ESA Calculations 2324 Supp'!$A$4:$AE$34,18,FALSE)+VLOOKUP($A8,'ESA Calculations 2324 Supp'!$A$4:$AE$34,4,FALSE),VLOOKUP($A8,EnrollData2324,'2324 Jun 24 Enroll'!M$1,FALSE)+VLOOKUP($A8,EnrollData2324,'2324 Jun 24 Enroll'!D$1,FALSE),VLOOKUP($A8,'ESA Calculations 2324 Supp'!$A$4:$AE$34,18,FALSE)+VLOOKUP($A8,'ESA Calculations 2324 Supp'!$A$4:$AE$34,4,FALSE)),5)</f>
        <v>4.1799999999999997E-3</v>
      </c>
      <c r="S8" s="11">
        <f t="shared" si="2"/>
        <v>1.8689600000000001E-2</v>
      </c>
      <c r="T8">
        <f>ROUND(IF(VLOOKUP($A8,EnrollData2324,'2324 Jun 24 Enroll'!D$1,FALSE)=VLOOKUP($A8,'ESA Calculations 2324 Supp'!$A$4:$AE$34,4,FALSE),VLOOKUP($A8,EnrollData2324,'2324 Jun 24 Enroll'!D$1,FALSE),VLOOKUP($A8,'ESA Calculations 2324 Supp'!$A$4:$AE$34,4,FALSE))*S8,3)</f>
        <v>0</v>
      </c>
      <c r="U8">
        <f>ROUND(IF(VLOOKUP($A8,EnrollData2324,'2324 Jun 24 Enroll'!E$1,FALSE)=VLOOKUP($A8,'ESA Calculations 2324 Supp'!$A$4:$AE$34,5,FALSE),VLOOKUP($A8,EnrollData2324,'2324 Jun 24 Enroll'!E$1,FALSE),VLOOKUP($A8,'ESA Calculations 2324 Supp'!$A$4:$AE$34,5,FALSE))*S8,3)</f>
        <v>0.92700000000000005</v>
      </c>
      <c r="V8">
        <f>ROUND(IF(VLOOKUP($A8,EnrollData2324,'2324 Jun 24 Enroll'!F$1,FALSE)=VLOOKUP($A8,'ESA Calculations 2324 Supp'!$A$4:$AE$34,6,FALSE),VLOOKUP($A8,EnrollData2324,'2324 Jun 24 Enroll'!F$1,FALSE),VLOOKUP($A8,'ESA Calculations 2324 Supp'!$A$4:$AE$34,6,FALSE))*Apport_224A2324s,3)</f>
        <v>0.21199999999999999</v>
      </c>
      <c r="W8">
        <f>ROUND(IF(VLOOKUP($A8,EnrollData2324,'2324 Jun 24 Enroll'!G$1,FALSE)=VLOOKUP($A8,'ESA Calculations 2324 Supp'!$A$4:$AE$34,7,FALSE),VLOOKUP($A8,EnrollData2324,'2324 Jun 24 Enroll'!G$1,FALSE),VLOOKUP($A8,'ESA Calculations 2324 Supp'!$A$4:$AE$34,7,FALSE))*Apport_212A2324s,3)</f>
        <v>0.441</v>
      </c>
      <c r="X8">
        <f>ROUND(IF(VLOOKUP($A8,EnrollData2324,'2324 Jun 24 Enroll'!H$1,FALSE)=VLOOKUP($A8,'ESA Calculations 2324 Supp'!$A$4:$AE$34,8,FALSE),VLOOKUP($A8,EnrollData2324,'2324 Jun 24 Enroll'!H$1,FALSE),VLOOKUP($A8,'ESA Calculations 2324 Supp'!$A$4:$AE$34,8,FALSE))*Apport_215A2324s,3)</f>
        <v>0.39400000000000002</v>
      </c>
      <c r="Y8">
        <f>ROUND(IF(VLOOKUP($A8,EnrollData2324,'2324 Jun 24 Enroll'!I$1,FALSE)+VLOOKUP($A8,EnrollData2324,'2324 Jun 24 Enroll'!M$1,FALSE)-VLOOKUP($A8,EnrollData2324,'2324 Jun 24 Enroll'!J$1,FALSE)=VLOOKUP($A8,'ESA Calculations 2324 Supp'!$A$4:$AE$34,9,FALSE)+VLOOKUP($A8,'ESA Calculations 2324 Supp'!$A$4:$AE$34,18,FALSE)-VLOOKUP($A8,'ESA Calculations 2324 Supp'!$A$4:$AE$34,10,FALSE),VLOOKUP($A8,EnrollData2324,'2324 Jun 24 Enroll'!I$1,FALSE)+VLOOKUP($A8,EnrollData2324,'2324 Jun 24 Enroll'!M$1,FALSE)-VLOOKUP($A8,EnrollData2324,'2324 Jun 24 Enroll'!J$1,FALSE),VLOOKUP($A8,'ESA Calculations 2324 Supp'!$A$4:$AE$34,9,FALSE)+VLOOKUP($A8,'ESA Calculations 2324 Supp'!$A$4:$AE$34,18,FALSE)-VLOOKUP($A8,'ESA Calculations 2324 Supp'!$A$4:$AE$34,10,FALSE))*Apport_218A2324s,3)</f>
        <v>0</v>
      </c>
      <c r="Z8">
        <f>ROUND(SUM(T8:Y8)/IF(VLOOKUP($A8,EnrollData2324,'2324 Jun 24 Enroll'!M$1,FALSE)+VLOOKUP($A8,EnrollData2324,'2324 Jun 24 Enroll'!D$1,FALSE)=VLOOKUP($A8,'ESA Calculations 2324 Supp'!$A$4:$AE$34,18,FALSE)+VLOOKUP($A8,'ESA Calculations 2324 Supp'!$A$4:$AE$34,4,FALSE),VLOOKUP($A8,EnrollData2324,'2324 Jun 24 Enroll'!M$1,FALSE)+VLOOKUP($A8,EnrollData2324,'2324 Jun 24 Enroll'!D$1,FALSE),VLOOKUP($A8,'ESA Calculations 2324 Supp'!$A$4:$AE$34,18,FALSE)+VLOOKUP($A8,'ESA Calculations 2324 Supp'!$A$4:$AE$34,4,FALSE)),5)</f>
        <v>1.8100000000000002E-2</v>
      </c>
      <c r="AA8" s="6" cm="1">
        <f t="array" ref="AA8">ROUND($J8*CIS_Base_Salary2324s*VLOOKUP($A8,EnrollData2324,'2324 Jun 24 Enroll'!S$1,FALSE),2)</f>
        <v>4346.2299999999996</v>
      </c>
      <c r="AB8" s="6" cm="1">
        <f t="array" ref="AB8">ROUND($J8*CIS_Inc_Salary2324s*(VLOOKUP($A8,EnrollData2324,'2324 Jun 24 Enroll'!T$1,FALSE)+VLOOKUP($A8,EnrollData2324,'2324 Jun 24 Enroll'!U$1,FALSE)),2)-AA8</f>
        <v>160.8100000000004</v>
      </c>
      <c r="AC8" s="6" cm="1">
        <f t="array" ref="AC8">ROUND($R8*CAS_Base_Salary2324s*VLOOKUP($A8,EnrollData2324,'2324 Jun 24 Enroll'!S$1,FALSE),2)</f>
        <v>451.25</v>
      </c>
      <c r="AD8" s="6" cm="1">
        <f t="array" ref="AD8">ROUND($R8*CAS_Inc_Salary2324s*VLOOKUP($A8,EnrollData2324,'2324 Jun 24 Enroll'!T$1,FALSE),2)-AC8</f>
        <v>16.699999999999989</v>
      </c>
      <c r="AE8" s="6" cm="1">
        <f t="array" ref="AE8">ROUND($Z8*CLS_Base_Salary2324s*VLOOKUP($A8,EnrollData2324,'2324 Jun 24 Enroll'!S$1,FALSE),2)</f>
        <v>944.33</v>
      </c>
      <c r="AF8" s="6" cm="1">
        <f t="array" ref="AF8">ROUND($Z8*CLS_Inc_Salary2324s*VLOOKUP($A8,EnrollData2324,'2324 Jun 24 Enroll'!T$1,FALSE),2)-AE8</f>
        <v>34.92999999999995</v>
      </c>
      <c r="AG8" cm="1">
        <f t="array" ref="AG8">ROUND(($J8+$R8)*Apport_124X2324s,2)</f>
        <v>787.23</v>
      </c>
      <c r="AH8" s="69">
        <f t="shared" si="3"/>
        <v>73.659999999999968</v>
      </c>
      <c r="AI8" cm="1">
        <f t="array" ref="AI8">ROUND($Z8*Apport_124X2324s,2)</f>
        <v>222.85</v>
      </c>
      <c r="AJ8" cm="1">
        <f t="array" ref="AJ8">ROUND($Z8*Apport_621X2324s*Apport_125X2324s,2)-AI8</f>
        <v>118.81000000000003</v>
      </c>
      <c r="AK8" cm="1">
        <f t="array" ref="AK8">ROUND((AA8+AC8)*Apport_126X2324s,2)</f>
        <v>862.11</v>
      </c>
      <c r="AL8" cm="1">
        <f t="array" ref="AL8">ROUND((AB8+AD8)*Apport_127X2324s,2)</f>
        <v>30.76</v>
      </c>
      <c r="AM8" cm="1">
        <f t="array" ref="AM8">ROUND(AE8*Apport_128X2324s,2)</f>
        <v>208.32</v>
      </c>
      <c r="AN8" cm="1">
        <f t="array" ref="AN8">ROUND(AF8*Apport_129X2324s,2)</f>
        <v>6.48</v>
      </c>
      <c r="AO8" cm="1">
        <f t="array" ref="AO8">ROUND(($J8*CIS_Inc_Salary2324s*(VLOOKUP($A8,EnrollData2324,'2324 Jun 24 Enroll'!T$1,FALSE)+VLOOKUP($A8,EnrollData2324,'2324 Jun 24 Enroll'!U$1,FALSE))/Apport_613Xpd)*Apport_614Xpd,2)</f>
        <v>75.12</v>
      </c>
      <c r="AP8" cm="1">
        <f t="array" ref="AP8">ROUND(AO8*Apport_127X2324s,2)</f>
        <v>13.02</v>
      </c>
      <c r="AQ8">
        <f t="shared" si="4"/>
        <v>33.29</v>
      </c>
      <c r="AR8" s="6" cm="1">
        <f t="array" ref="AR8">ROUND((IF(VLOOKUP($A8,EnrollData2324,'2324 Jun 24 Enroll'!D$1,FALSE)=VLOOKUP($A8,'ESA Calculations 2324 Supp'!$A$4:$AE$34,4,FALSE),VLOOKUP($A8,EnrollData2324,'2324 Jun 24 Enroll'!D$1,FALSE),VLOOKUP($A8,'ESA Calculations 2324 Supp'!$A$4:$AE$34,4,FALSE))*Apport_M802324s+IF(VLOOKUP($A8,EnrollData2324,'2324 Jun 24 Enroll'!M$1,FALSE)=VLOOKUP($A8,'ESA Calculations 2324 Supp'!$A$4:$AE$34,18,FALSE),VLOOKUP($A8,EnrollData2324,'2324 Jun 24 Enroll'!M$1,FALSE),VLOOKUP($A8,'ESA Calculations 2324 Supp'!$A$4:$AE$34,18,FALSE))*Apport_M802324s+IF((VLOOKUP($A8,EnrollData2324,'2324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Enroll'!L$1,FALSE))=VLOOKUP($A8,EnrollData2324,'2324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Enroll'!L$1,FALSE),(VLOOKUP($A8,EnrollData2324,'2324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Enroll'!L$1,FALSE)),(VLOOKUP($A8,EnrollData2324,'2324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Enroll'!L$1,FALSE)))*Apport_M812324s)/(IF(VLOOKUP($A8,EnrollData2324,'2324 Jun 24 Enroll'!M$1,FALSE)=VLOOKUP($A8,'ESA Calculations 2324 Supp'!$A$4:$AE$34,18,FALSE),VLOOKUP($A8,EnrollData2324,'2324 Jun 24 Enroll'!M$1,FALSE),VLOOKUP($A8,'ESA Calculations 2324 Supp'!$A$4:$AE$34,18,FALSE))+IF(VLOOKUP($A8,EnrollData2324,'2324 Jun 24 Enroll'!D$1,FALSE)=VLOOKUP($A8,'ESA Calculations 2324 Supp'!$A$4:$AE$34,4,FALSE),VLOOKUP($A8,EnrollData2324,'2324 Jun 24 Enroll'!D$1,FALSE),VLOOKUP($A8,'ESA Calculations 2324 Supp'!$A$4:$AE$34,4,FALSE))),2)</f>
        <v>1504.44</v>
      </c>
      <c r="AS8" s="7">
        <f t="shared" si="5"/>
        <v>9890.340000000002</v>
      </c>
      <c r="AT8" s="6">
        <f>IF(VLOOKUP($A8,EnrollData2324,'2324 Jun 24 Enroll'!AA$1,FALSE)=VLOOKUP($A8,'ESA Calculations 2324 Supp'!$A$4:$AE$34,24,FALSE),VLOOKUP($A8,EnrollData2324,'2324 Jun 24 Enroll'!AA$1,FALSE),VLOOKUP($A8,'ESA Calculations 2324 Supp'!$A$4:$AE$34,24,FALSE))</f>
        <v>109.06</v>
      </c>
    </row>
    <row r="9" spans="1:49">
      <c r="A9" s="40" t="s">
        <v>677</v>
      </c>
      <c r="B9" s="40" t="s">
        <v>678</v>
      </c>
      <c r="C9" s="11">
        <f>ROUND((IFERROR((1/IF(VLOOKUP($A9,EnrollData2324,28,FALSE)=VLOOKUP($A9,'ESA Calculations 2324 Supp'!$A$4:$AE$34,3,FALSE),VLOOKUP($A9,EnrollData2324,28,FALSE),VLOOKUP($A9,'ESA Calculations 2324 Supp'!$A$4:$AE$34,3,FALSE)))*(1+Apport_Z315),0))+Apport_201A2324s,6)</f>
        <v>7.3449E-2</v>
      </c>
      <c r="D9">
        <f>ROUND(IF(VLOOKUP($A9,EnrollData2324,'2324 Jun 24 Enroll'!D$1,FALSE)=VLOOKUP($A9,'ESA Calculations 2324 Supp'!$A$4:$AE$34,4,FALSE),VLOOKUP($A9,EnrollData2324,'2324 Jun 24 Enroll'!D$1,FALSE),VLOOKUP($A9,'ESA Calculations 2324 Supp'!$A$4:$AE$34,4,FALSE))*C9,3)</f>
        <v>0.22</v>
      </c>
      <c r="E9">
        <f>ROUND(IF(VLOOKUP($A9,EnrollData2324,'2324 Jun 24 Enroll'!E$1,FALSE)=VLOOKUP($A9,'ESA Calculations 2324 Supp'!$A$4:$AE$34,5,FALSE),VLOOKUP($A9,EnrollData2324,'2324 Jun 24 Enroll'!E$1,FALSE),VLOOKUP($A9,'ESA Calculations 2324 Supp'!$A$4:$AE$34,5,FALSE))*C9,3)</f>
        <v>1.1160000000000001</v>
      </c>
      <c r="F9">
        <f>ROUND(IF(VLOOKUP($A9,EnrollData2324,'2324 Jun 24 Enroll'!F$1,FALSE)=VLOOKUP($A9,'ESA Calculations 2324 Supp'!$A$4:$AE$34,6,FALSE),VLOOKUP($A9,EnrollData2324,'2324 Jun 24 Enroll'!F$1,FALSE),VLOOKUP($A9,'ESA Calculations 2324 Supp'!$A$4:$AE$34,6,FALSE))*Apport_222A2324s,3)</f>
        <v>0.193</v>
      </c>
      <c r="G9">
        <f>ROUND(IF(VLOOKUP($A9,EnrollData2324,'2324 Jun 24 Enroll'!G$1,FALSE)=VLOOKUP($A9,'ESA Calculations 2324 Supp'!$A$4:$AE$34,7,FALSE),VLOOKUP($A9,EnrollData2324,'2324 Jun 24 Enroll'!G$1,FALSE),VLOOKUP($A9,'ESA Calculations 2324 Supp'!$A$4:$AE$34,7,FALSE))*Apport_210A2324s,3)</f>
        <v>0.217</v>
      </c>
      <c r="H9">
        <f>ROUND(IF(VLOOKUP($A9,EnrollData2324,'2324 Jun 24 Enroll'!H$1,FALSE)=VLOOKUP($A9,'ESA Calculations 2324 Supp'!$A$4:$AE$34,8,FALSE),VLOOKUP($A9,EnrollData2324,'2324 Jun 24 Enroll'!H$1,FALSE),VLOOKUP($A9,'ESA Calculations 2324 Supp'!$A$4:$AE$34,8,FALSE))*Apport_213A2324s,3)</f>
        <v>0</v>
      </c>
      <c r="I9">
        <f>ROUND(IF(VLOOKUP($A9,EnrollData2324,'2324 Jun 24 Enroll'!I$1,FALSE)+VLOOKUP($A9,EnrollData2324,'2324 Jun 24 Enroll'!M$1,FALSE)-VLOOKUP($A9,EnrollData2324,'2324 Jun 24 Enroll'!J$1,FALSE)=VLOOKUP($A9,'ESA Calculations 2324 Supp'!$A$4:$AE$34,9,FALSE)+VLOOKUP($A9,'ESA Calculations 2324 Supp'!$A$4:$AE$34,18,FALSE)-VLOOKUP($A9,'ESA Calculations 2324 Supp'!$A$4:$AE$34,10,FALSE),VLOOKUP($A9,EnrollData2324,'2324 Jun 24 Enroll'!I$1,FALSE)+VLOOKUP($A9,EnrollData2324,'2324 Jun 24 Enroll'!M$1,FALSE)-VLOOKUP($A9,EnrollData2324,'2324 Jun 24 Enroll'!J$1,FALSE),VLOOKUP($A9,'ESA Calculations 2324 Supp'!$A$4:$AE$34,9,FALSE)+VLOOKUP($A9,'ESA Calculations 2324 Supp'!$A$4:$AE$34,18,FALSE)-VLOOKUP($A9,'ESA Calculations 2324 Supp'!$A$4:$AE$34,10,FALSE))*Apport_216A2324s,3)</f>
        <v>0</v>
      </c>
      <c r="J9">
        <f>ROUND(SUM(D9:I9)/IF(VLOOKUP($A9,EnrollData2324,'2324 Jun 24 Enroll'!M$1,FALSE)+VLOOKUP($A9,EnrollData2324,'2324 Jun 24 Enroll'!D$1,FALSE)=VLOOKUP($A9,'ESA Calculations 2324 Supp'!$A$4:$AE$34,18,FALSE)+VLOOKUP($A9,'ESA Calculations 2324 Supp'!$A$4:$AE$34,4,FALSE),VLOOKUP($A9,EnrollData2324,'2324 Jun 24 Enroll'!M$1,FALSE)+VLOOKUP($A9,EnrollData2324,'2324 Jun 24 Enroll'!D$1,FALSE),VLOOKUP($A9,'ESA Calculations 2324 Supp'!$A$4:$AE$34,18,FALSE)+VLOOKUP($A9,'ESA Calculations 2324 Supp'!$A$4:$AE$34,4,FALSE)),5)</f>
        <v>6.5390000000000004E-2</v>
      </c>
      <c r="K9" s="11">
        <f t="shared" si="1"/>
        <v>4.3699999999999998E-3</v>
      </c>
      <c r="L9">
        <f>ROUND(IF(VLOOKUP($A9,EnrollData2324,'2324 Jun 24 Enroll'!D$1,FALSE)=VLOOKUP($A9,'ESA Calculations 2324 Supp'!$A$4:$AE$34,4,FALSE),VLOOKUP($A9,EnrollData2324,'2324 Jun 24 Enroll'!D$1,FALSE),VLOOKUP($A9,'ESA Calculations 2324 Supp'!$A$4:$AE$34,4,FALSE))*K9,3)</f>
        <v>1.2999999999999999E-2</v>
      </c>
      <c r="M9">
        <f>ROUND(IF(VLOOKUP($A9,EnrollData2324,'2324 Jun 24 Enroll'!E$1,FALSE)=VLOOKUP($A9,'ESA Calculations 2324 Supp'!$A$4:$AE$34,5,FALSE),VLOOKUP($A9,EnrollData2324,'2324 Jun 24 Enroll'!E$1,FALSE),VLOOKUP($A9,'ESA Calculations 2324 Supp'!$A$4:$AE$34,5,FALSE))*K9,3)</f>
        <v>6.6000000000000003E-2</v>
      </c>
      <c r="N9">
        <f>ROUND(IF(VLOOKUP($A9,EnrollData2324,'2324 Jun 24 Enroll'!F$1,FALSE)=VLOOKUP($A9,'ESA Calculations 2324 Supp'!$A$4:$AE$34,6,FALSE),VLOOKUP($A9,EnrollData2324,'2324 Jun 24 Enroll'!F$1,FALSE),VLOOKUP($A9,'ESA Calculations 2324 Supp'!$A$4:$AE$34,6,FALSE))*Apport_223A2324s,3)</f>
        <v>1.6E-2</v>
      </c>
      <c r="O9">
        <f>ROUND(IF(VLOOKUP($A9,EnrollData2324,'2324 Jun 24 Enroll'!G$1,FALSE)=VLOOKUP($A9,'ESA Calculations 2324 Supp'!$A$4:$AE$34,7,FALSE),VLOOKUP($A9,EnrollData2324,'2324 Jun 24 Enroll'!G$1,FALSE),VLOOKUP($A9,'ESA Calculations 2324 Supp'!$A$4:$AE$34,7,FALSE))*Apport_211A2324s,3)</f>
        <v>1.7999999999999999E-2</v>
      </c>
      <c r="P9">
        <f>ROUND(IF(VLOOKUP($A9,EnrollData2324,'2324 Jun 24 Enroll'!H$1,FALSE)=VLOOKUP($A9,'ESA Calculations 2324 Supp'!$A$4:$AE$34,8,FALSE),VLOOKUP($A9,EnrollData2324,'2324 Jun 24 Enroll'!H$1,FALSE),VLOOKUP($A9,'ESA Calculations 2324 Supp'!$A$4:$AE$34,8,FALSE))*Apport_214A2324s,3)</f>
        <v>0</v>
      </c>
      <c r="Q9">
        <f>ROUND(IF(VLOOKUP($A9,EnrollData2324,'2324 Jun 24 Enroll'!I$1,FALSE)+VLOOKUP($A9,EnrollData2324,'2324 Jun 24 Enroll'!M$1,FALSE)-VLOOKUP($A9,EnrollData2324,'2324 Jun 24 Enroll'!J$1,FALSE)=VLOOKUP($A9,'ESA Calculations 2324 Supp'!$A$4:$AE$34,9,FALSE)+VLOOKUP($A9,'ESA Calculations 2324 Supp'!$A$4:$AE$34,18,FALSE)-VLOOKUP($A9,'ESA Calculations 2324 Supp'!$A$4:$AE$34,10,FALSE),VLOOKUP($A9,EnrollData2324,'2324 Jun 24 Enroll'!I$1,FALSE)+VLOOKUP($A9,EnrollData2324,'2324 Jun 24 Enroll'!M$1,FALSE)-VLOOKUP($A9,EnrollData2324,'2324 Jun 24 Enroll'!J$1,FALSE),VLOOKUP($A9,'ESA Calculations 2324 Supp'!$A$4:$AE$34,9,FALSE)+VLOOKUP($A9,'ESA Calculations 2324 Supp'!$A$4:$AE$34,18,FALSE)-VLOOKUP($A9,'ESA Calculations 2324 Supp'!$A$4:$AE$34,10,FALSE))*Apport_217A2324s,3)</f>
        <v>0</v>
      </c>
      <c r="R9">
        <f>ROUND(SUM(L9:Q9)/IF(VLOOKUP($A9,EnrollData2324,'2324 Jun 24 Enroll'!M$1,FALSE)+VLOOKUP($A9,EnrollData2324,'2324 Jun 24 Enroll'!D$1,FALSE)=VLOOKUP($A9,'ESA Calculations 2324 Supp'!$A$4:$AE$34,18,FALSE)+VLOOKUP($A9,'ESA Calculations 2324 Supp'!$A$4:$AE$34,4,FALSE),VLOOKUP($A9,EnrollData2324,'2324 Jun 24 Enroll'!M$1,FALSE)+VLOOKUP($A9,EnrollData2324,'2324 Jun 24 Enroll'!D$1,FALSE),VLOOKUP($A9,'ESA Calculations 2324 Supp'!$A$4:$AE$34,18,FALSE)+VLOOKUP($A9,'ESA Calculations 2324 Supp'!$A$4:$AE$34,4,FALSE)),5)</f>
        <v>4.2300000000000003E-3</v>
      </c>
      <c r="S9" s="11">
        <f t="shared" si="2"/>
        <v>1.8689600000000001E-2</v>
      </c>
      <c r="T9">
        <f>ROUND(IF(VLOOKUP($A9,EnrollData2324,'2324 Jun 24 Enroll'!D$1,FALSE)=VLOOKUP($A9,'ESA Calculations 2324 Supp'!$A$4:$AE$34,4,FALSE),VLOOKUP($A9,EnrollData2324,'2324 Jun 24 Enroll'!D$1,FALSE),VLOOKUP($A9,'ESA Calculations 2324 Supp'!$A$4:$AE$34,4,FALSE))*S9,3)</f>
        <v>5.6000000000000001E-2</v>
      </c>
      <c r="U9">
        <f>ROUND(IF(VLOOKUP($A9,EnrollData2324,'2324 Jun 24 Enroll'!E$1,FALSE)=VLOOKUP($A9,'ESA Calculations 2324 Supp'!$A$4:$AE$34,5,FALSE),VLOOKUP($A9,EnrollData2324,'2324 Jun 24 Enroll'!E$1,FALSE),VLOOKUP($A9,'ESA Calculations 2324 Supp'!$A$4:$AE$34,5,FALSE))*S9,3)</f>
        <v>0.28399999999999997</v>
      </c>
      <c r="V9">
        <f>ROUND(IF(VLOOKUP($A9,EnrollData2324,'2324 Jun 24 Enroll'!F$1,FALSE)=VLOOKUP($A9,'ESA Calculations 2324 Supp'!$A$4:$AE$34,6,FALSE),VLOOKUP($A9,EnrollData2324,'2324 Jun 24 Enroll'!F$1,FALSE),VLOOKUP($A9,'ESA Calculations 2324 Supp'!$A$4:$AE$34,6,FALSE))*Apport_224A2324s,3)</f>
        <v>7.0999999999999994E-2</v>
      </c>
      <c r="W9">
        <f>ROUND(IF(VLOOKUP($A9,EnrollData2324,'2324 Jun 24 Enroll'!G$1,FALSE)=VLOOKUP($A9,'ESA Calculations 2324 Supp'!$A$4:$AE$34,7,FALSE),VLOOKUP($A9,EnrollData2324,'2324 Jun 24 Enroll'!G$1,FALSE),VLOOKUP($A9,'ESA Calculations 2324 Supp'!$A$4:$AE$34,7,FALSE))*Apport_212A2324s,3)</f>
        <v>0.08</v>
      </c>
      <c r="X9">
        <f>ROUND(IF(VLOOKUP($A9,EnrollData2324,'2324 Jun 24 Enroll'!H$1,FALSE)=VLOOKUP($A9,'ESA Calculations 2324 Supp'!$A$4:$AE$34,8,FALSE),VLOOKUP($A9,EnrollData2324,'2324 Jun 24 Enroll'!H$1,FALSE),VLOOKUP($A9,'ESA Calculations 2324 Supp'!$A$4:$AE$34,8,FALSE))*Apport_215A2324s,3)</f>
        <v>0</v>
      </c>
      <c r="Y9">
        <f>ROUND(IF(VLOOKUP($A9,EnrollData2324,'2324 Jun 24 Enroll'!I$1,FALSE)+VLOOKUP($A9,EnrollData2324,'2324 Jun 24 Enroll'!M$1,FALSE)-VLOOKUP($A9,EnrollData2324,'2324 Jun 24 Enroll'!J$1,FALSE)=VLOOKUP($A9,'ESA Calculations 2324 Supp'!$A$4:$AE$34,9,FALSE)+VLOOKUP($A9,'ESA Calculations 2324 Supp'!$A$4:$AE$34,18,FALSE)-VLOOKUP($A9,'ESA Calculations 2324 Supp'!$A$4:$AE$34,10,FALSE),VLOOKUP($A9,EnrollData2324,'2324 Jun 24 Enroll'!I$1,FALSE)+VLOOKUP($A9,EnrollData2324,'2324 Jun 24 Enroll'!M$1,FALSE)-VLOOKUP($A9,EnrollData2324,'2324 Jun 24 Enroll'!J$1,FALSE),VLOOKUP($A9,'ESA Calculations 2324 Supp'!$A$4:$AE$34,9,FALSE)+VLOOKUP($A9,'ESA Calculations 2324 Supp'!$A$4:$AE$34,18,FALSE)-VLOOKUP($A9,'ESA Calculations 2324 Supp'!$A$4:$AE$34,10,FALSE))*Apport_218A2324s,3)</f>
        <v>0</v>
      </c>
      <c r="Z9">
        <f>ROUND(SUM(T9:Y9)/IF(VLOOKUP($A9,EnrollData2324,'2324 Jun 24 Enroll'!M$1,FALSE)+VLOOKUP($A9,EnrollData2324,'2324 Jun 24 Enroll'!D$1,FALSE)=VLOOKUP($A9,'ESA Calculations 2324 Supp'!$A$4:$AE$34,18,FALSE)+VLOOKUP($A9,'ESA Calculations 2324 Supp'!$A$4:$AE$34,4,FALSE),VLOOKUP($A9,EnrollData2324,'2324 Jun 24 Enroll'!M$1,FALSE)+VLOOKUP($A9,EnrollData2324,'2324 Jun 24 Enroll'!D$1,FALSE),VLOOKUP($A9,'ESA Calculations 2324 Supp'!$A$4:$AE$34,18,FALSE)+VLOOKUP($A9,'ESA Calculations 2324 Supp'!$A$4:$AE$34,4,FALSE)),5)</f>
        <v>1.839E-2</v>
      </c>
      <c r="AA9" s="6" cm="1">
        <f t="array" ref="AA9">ROUND($J9*CIS_Base_Salary2324s*VLOOKUP($A9,EnrollData2324,'2324 Jun 24 Enroll'!S$1,FALSE),2)</f>
        <v>4755.68</v>
      </c>
      <c r="AB9" s="6" cm="1">
        <f t="array" ref="AB9">ROUND($J9*CIS_Inc_Salary2324s*(VLOOKUP($A9,EnrollData2324,'2324 Jun 24 Enroll'!T$1,FALSE)+VLOOKUP($A9,EnrollData2324,'2324 Jun 24 Enroll'!U$1,FALSE)),2)-AA9</f>
        <v>175.96999999999935</v>
      </c>
      <c r="AC9" s="6" cm="1">
        <f t="array" ref="AC9">ROUND($R9*CAS_Base_Salary2324s*VLOOKUP($A9,EnrollData2324,'2324 Jun 24 Enroll'!S$1,FALSE),2)</f>
        <v>456.65</v>
      </c>
      <c r="AD9" s="6" cm="1">
        <f t="array" ref="AD9">ROUND($R9*CAS_Inc_Salary2324s*VLOOKUP($A9,EnrollData2324,'2324 Jun 24 Enroll'!T$1,FALSE),2)-AC9</f>
        <v>16.900000000000034</v>
      </c>
      <c r="AE9" s="6" cm="1">
        <f t="array" ref="AE9">ROUND($Z9*CLS_Base_Salary2324s*VLOOKUP($A9,EnrollData2324,'2324 Jun 24 Enroll'!S$1,FALSE),2)</f>
        <v>959.46</v>
      </c>
      <c r="AF9" s="6" cm="1">
        <f t="array" ref="AF9">ROUND($Z9*CLS_Inc_Salary2324s*VLOOKUP($A9,EnrollData2324,'2324 Jun 24 Enroll'!T$1,FALSE),2)-AE9</f>
        <v>35.490000000000009</v>
      </c>
      <c r="AG9" cm="1">
        <f t="array" ref="AG9">ROUND(($J9+$R9)*Apport_124X2324s,2)</f>
        <v>857.16</v>
      </c>
      <c r="AH9" s="69">
        <f t="shared" si="3"/>
        <v>80.200000000000045</v>
      </c>
      <c r="AI9" cm="1">
        <f t="array" ref="AI9">ROUND($Z9*Apport_124X2324s,2)</f>
        <v>226.42</v>
      </c>
      <c r="AJ9" cm="1">
        <f t="array" ref="AJ9">ROUND($Z9*Apport_621X2324s*Apport_125X2324s,2)-AI9</f>
        <v>120.71000000000001</v>
      </c>
      <c r="AK9" cm="1">
        <f t="array" ref="AK9">ROUND((AA9+AC9)*Apport_126X2324s,2)</f>
        <v>936.66</v>
      </c>
      <c r="AL9" cm="1">
        <f t="array" ref="AL9">ROUND((AB9+AD9)*Apport_127X2324s,2)</f>
        <v>33.42</v>
      </c>
      <c r="AM9" cm="1">
        <f t="array" ref="AM9">ROUND(AE9*Apport_128X2324s,2)</f>
        <v>211.66</v>
      </c>
      <c r="AN9" cm="1">
        <f t="array" ref="AN9">ROUND(AF9*Apport_129X2324s,2)</f>
        <v>6.59</v>
      </c>
      <c r="AO9" cm="1">
        <f t="array" ref="AO9">ROUND(($J9*CIS_Inc_Salary2324s*(VLOOKUP($A9,EnrollData2324,'2324 Jun 24 Enroll'!T$1,FALSE)+VLOOKUP($A9,EnrollData2324,'2324 Jun 24 Enroll'!U$1,FALSE))/Apport_613Xpd)*Apport_614Xpd,2)</f>
        <v>82.19</v>
      </c>
      <c r="AP9" cm="1">
        <f t="array" ref="AP9">ROUND(AO9*Apport_127X2324s,2)</f>
        <v>14.24</v>
      </c>
      <c r="AQ9">
        <f t="shared" si="4"/>
        <v>36.42</v>
      </c>
      <c r="AR9" s="6" cm="1">
        <f t="array" ref="AR9">ROUND((IF(VLOOKUP($A9,EnrollData2324,'2324 Jun 24 Enroll'!D$1,FALSE)=VLOOKUP($A9,'ESA Calculations 2324 Supp'!$A$4:$AE$34,4,FALSE),VLOOKUP($A9,EnrollData2324,'2324 Jun 24 Enroll'!D$1,FALSE),VLOOKUP($A9,'ESA Calculations 2324 Supp'!$A$4:$AE$34,4,FALSE))*Apport_M802324s+IF(VLOOKUP($A9,EnrollData2324,'2324 Jun 24 Enroll'!M$1,FALSE)=VLOOKUP($A9,'ESA Calculations 2324 Supp'!$A$4:$AE$34,18,FALSE),VLOOKUP($A9,EnrollData2324,'2324 Jun 24 Enroll'!M$1,FALSE),VLOOKUP($A9,'ESA Calculations 2324 Supp'!$A$4:$AE$34,18,FALSE))*Apport_M802324s+IF((VLOOKUP($A9,EnrollData2324,'2324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Enroll'!L$1,FALSE))=VLOOKUP($A9,EnrollData2324,'2324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Enroll'!L$1,FALSE),(VLOOKUP($A9,EnrollData2324,'2324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Enroll'!L$1,FALSE)),(VLOOKUP($A9,EnrollData2324,'2324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Enroll'!L$1,FALSE)))*Apport_M812324s)/(IF(VLOOKUP($A9,EnrollData2324,'2324 Jun 24 Enroll'!M$1,FALSE)=VLOOKUP($A9,'ESA Calculations 2324 Supp'!$A$4:$AE$34,18,FALSE),VLOOKUP($A9,EnrollData2324,'2324 Jun 24 Enroll'!M$1,FALSE),VLOOKUP($A9,'ESA Calculations 2324 Supp'!$A$4:$AE$34,18,FALSE))+IF(VLOOKUP($A9,EnrollData2324,'2324 Jun 24 Enroll'!D$1,FALSE)=VLOOKUP($A9,'ESA Calculations 2324 Supp'!$A$4:$AE$34,4,FALSE),VLOOKUP($A9,EnrollData2324,'2324 Jun 24 Enroll'!D$1,FALSE),VLOOKUP($A9,'ESA Calculations 2324 Supp'!$A$4:$AE$34,4,FALSE))),2)</f>
        <v>1504.44</v>
      </c>
      <c r="AS9" s="7">
        <f t="shared" si="5"/>
        <v>10510.26</v>
      </c>
      <c r="AT9" s="6">
        <f>IF(VLOOKUP($A9,EnrollData2324,'2324 Jun 24 Enroll'!AA$1,FALSE)=VLOOKUP($A9,'ESA Calculations 2324 Supp'!$A$4:$AE$34,24,FALSE),VLOOKUP($A9,EnrollData2324,'2324 Jun 24 Enroll'!AA$1,FALSE),VLOOKUP($A9,'ESA Calculations 2324 Supp'!$A$4:$AE$34,24,FALSE))</f>
        <v>26.7</v>
      </c>
    </row>
    <row r="10" spans="1:49">
      <c r="A10" s="40" t="s">
        <v>570</v>
      </c>
      <c r="B10" s="40" t="s">
        <v>571</v>
      </c>
      <c r="C10" s="11">
        <f>ROUND((IFERROR((1/IF(VLOOKUP($A10,EnrollData2324,28,FALSE)=VLOOKUP($A10,'ESA Calculations 2324 Supp'!$A$4:$AE$34,3,FALSE),VLOOKUP($A10,EnrollData2324,28,FALSE),VLOOKUP($A10,'ESA Calculations 2324 Supp'!$A$4:$AE$34,3,FALSE)))*(1+Apport_Z315),0))+Apport_201A2324s,6)</f>
        <v>7.3449E-2</v>
      </c>
      <c r="D10">
        <f>ROUND(IF(VLOOKUP($A10,EnrollData2324,'2324 Jun 24 Enroll'!D$1,FALSE)=VLOOKUP($A10,'ESA Calculations 2324 Supp'!$A$4:$AE$34,4,FALSE),VLOOKUP($A10,EnrollData2324,'2324 Jun 24 Enroll'!D$1,FALSE),VLOOKUP($A10,'ESA Calculations 2324 Supp'!$A$4:$AE$34,4,FALSE))*C10,3)</f>
        <v>0</v>
      </c>
      <c r="E10">
        <f>ROUND(IF(VLOOKUP($A10,EnrollData2324,'2324 Jun 24 Enroll'!E$1,FALSE)=VLOOKUP($A10,'ESA Calculations 2324 Supp'!$A$4:$AE$34,5,FALSE),VLOOKUP($A10,EnrollData2324,'2324 Jun 24 Enroll'!E$1,FALSE),VLOOKUP($A10,'ESA Calculations 2324 Supp'!$A$4:$AE$34,5,FALSE))*C10,3)</f>
        <v>2.4529999999999998</v>
      </c>
      <c r="F10">
        <f>ROUND(IF(VLOOKUP($A10,EnrollData2324,'2324 Jun 24 Enroll'!F$1,FALSE)=VLOOKUP($A10,'ESA Calculations 2324 Supp'!$A$4:$AE$34,6,FALSE),VLOOKUP($A10,EnrollData2324,'2324 Jun 24 Enroll'!F$1,FALSE),VLOOKUP($A10,'ESA Calculations 2324 Supp'!$A$4:$AE$34,6,FALSE))*Apport_222A2324s,3)</f>
        <v>0.435</v>
      </c>
      <c r="G10">
        <f>ROUND(IF(VLOOKUP($A10,EnrollData2324,'2324 Jun 24 Enroll'!G$1,FALSE)=VLOOKUP($A10,'ESA Calculations 2324 Supp'!$A$4:$AE$34,7,FALSE),VLOOKUP($A10,EnrollData2324,'2324 Jun 24 Enroll'!G$1,FALSE),VLOOKUP($A10,'ESA Calculations 2324 Supp'!$A$4:$AE$34,7,FALSE))*Apport_210A2324s,3)</f>
        <v>0.64200000000000002</v>
      </c>
      <c r="H10">
        <f>ROUND(IF(VLOOKUP($A10,EnrollData2324,'2324 Jun 24 Enroll'!H$1,FALSE)=VLOOKUP($A10,'ESA Calculations 2324 Supp'!$A$4:$AE$34,8,FALSE),VLOOKUP($A10,EnrollData2324,'2324 Jun 24 Enroll'!H$1,FALSE),VLOOKUP($A10,'ESA Calculations 2324 Supp'!$A$4:$AE$34,8,FALSE))*Apport_213A2324s,3)</f>
        <v>0.746</v>
      </c>
      <c r="I10">
        <f>ROUND(IF(VLOOKUP($A10,EnrollData2324,'2324 Jun 24 Enroll'!I$1,FALSE)+VLOOKUP($A10,EnrollData2324,'2324 Jun 24 Enroll'!M$1,FALSE)-VLOOKUP($A10,EnrollData2324,'2324 Jun 24 Enroll'!J$1,FALSE)=VLOOKUP($A10,'ESA Calculations 2324 Supp'!$A$4:$AE$34,9,FALSE)+VLOOKUP($A10,'ESA Calculations 2324 Supp'!$A$4:$AE$34,18,FALSE)-VLOOKUP($A10,'ESA Calculations 2324 Supp'!$A$4:$AE$34,10,FALSE),VLOOKUP($A10,EnrollData2324,'2324 Jun 24 Enroll'!I$1,FALSE)+VLOOKUP($A10,EnrollData2324,'2324 Jun 24 Enroll'!M$1,FALSE)-VLOOKUP($A10,EnrollData2324,'2324 Jun 24 Enroll'!J$1,FALSE),VLOOKUP($A10,'ESA Calculations 2324 Supp'!$A$4:$AE$34,9,FALSE)+VLOOKUP($A10,'ESA Calculations 2324 Supp'!$A$4:$AE$34,18,FALSE)-VLOOKUP($A10,'ESA Calculations 2324 Supp'!$A$4:$AE$34,10,FALSE))*Apport_216A2324s,3)</f>
        <v>1.446</v>
      </c>
      <c r="J10">
        <f>ROUND(SUM(D10:I10)/IF(VLOOKUP($A10,EnrollData2324,'2324 Jun 24 Enroll'!M$1,FALSE)+VLOOKUP($A10,EnrollData2324,'2324 Jun 24 Enroll'!D$1,FALSE)=VLOOKUP($A10,'ESA Calculations 2324 Supp'!$A$4:$AE$34,18,FALSE)+VLOOKUP($A10,'ESA Calculations 2324 Supp'!$A$4:$AE$34,4,FALSE),VLOOKUP($A10,EnrollData2324,'2324 Jun 24 Enroll'!M$1,FALSE)+VLOOKUP($A10,EnrollData2324,'2324 Jun 24 Enroll'!D$1,FALSE),VLOOKUP($A10,'ESA Calculations 2324 Supp'!$A$4:$AE$34,18,FALSE)+VLOOKUP($A10,'ESA Calculations 2324 Supp'!$A$4:$AE$34,4,FALSE)),5)</f>
        <v>5.7250000000000002E-2</v>
      </c>
      <c r="K10" s="11">
        <f t="shared" si="1"/>
        <v>4.3699999999999998E-3</v>
      </c>
      <c r="L10">
        <f>ROUND(IF(VLOOKUP($A10,EnrollData2324,'2324 Jun 24 Enroll'!D$1,FALSE)=VLOOKUP($A10,'ESA Calculations 2324 Supp'!$A$4:$AE$34,4,FALSE),VLOOKUP($A10,EnrollData2324,'2324 Jun 24 Enroll'!D$1,FALSE),VLOOKUP($A10,'ESA Calculations 2324 Supp'!$A$4:$AE$34,4,FALSE))*K10,3)</f>
        <v>0</v>
      </c>
      <c r="M10">
        <f>ROUND(IF(VLOOKUP($A10,EnrollData2324,'2324 Jun 24 Enroll'!E$1,FALSE)=VLOOKUP($A10,'ESA Calculations 2324 Supp'!$A$4:$AE$34,5,FALSE),VLOOKUP($A10,EnrollData2324,'2324 Jun 24 Enroll'!E$1,FALSE),VLOOKUP($A10,'ESA Calculations 2324 Supp'!$A$4:$AE$34,5,FALSE))*K10,3)</f>
        <v>0.14599999999999999</v>
      </c>
      <c r="N10">
        <f>ROUND(IF(VLOOKUP($A10,EnrollData2324,'2324 Jun 24 Enroll'!F$1,FALSE)=VLOOKUP($A10,'ESA Calculations 2324 Supp'!$A$4:$AE$34,6,FALSE),VLOOKUP($A10,EnrollData2324,'2324 Jun 24 Enroll'!F$1,FALSE),VLOOKUP($A10,'ESA Calculations 2324 Supp'!$A$4:$AE$34,6,FALSE))*Apport_223A2324s,3)</f>
        <v>3.5999999999999997E-2</v>
      </c>
      <c r="O10">
        <f>ROUND(IF(VLOOKUP($A10,EnrollData2324,'2324 Jun 24 Enroll'!G$1,FALSE)=VLOOKUP($A10,'ESA Calculations 2324 Supp'!$A$4:$AE$34,7,FALSE),VLOOKUP($A10,EnrollData2324,'2324 Jun 24 Enroll'!G$1,FALSE),VLOOKUP($A10,'ESA Calculations 2324 Supp'!$A$4:$AE$34,7,FALSE))*Apport_211A2324s,3)</f>
        <v>5.3999999999999999E-2</v>
      </c>
      <c r="P10">
        <f>ROUND(IF(VLOOKUP($A10,EnrollData2324,'2324 Jun 24 Enroll'!H$1,FALSE)=VLOOKUP($A10,'ESA Calculations 2324 Supp'!$A$4:$AE$34,8,FALSE),VLOOKUP($A10,EnrollData2324,'2324 Jun 24 Enroll'!H$1,FALSE),VLOOKUP($A10,'ESA Calculations 2324 Supp'!$A$4:$AE$34,8,FALSE))*Apport_214A2324s,3)</f>
        <v>6.2E-2</v>
      </c>
      <c r="Q10">
        <f>ROUND(IF(VLOOKUP($A10,EnrollData2324,'2324 Jun 24 Enroll'!I$1,FALSE)+VLOOKUP($A10,EnrollData2324,'2324 Jun 24 Enroll'!M$1,FALSE)-VLOOKUP($A10,EnrollData2324,'2324 Jun 24 Enroll'!J$1,FALSE)=VLOOKUP($A10,'ESA Calculations 2324 Supp'!$A$4:$AE$34,9,FALSE)+VLOOKUP($A10,'ESA Calculations 2324 Supp'!$A$4:$AE$34,18,FALSE)-VLOOKUP($A10,'ESA Calculations 2324 Supp'!$A$4:$AE$34,10,FALSE),VLOOKUP($A10,EnrollData2324,'2324 Jun 24 Enroll'!I$1,FALSE)+VLOOKUP($A10,EnrollData2324,'2324 Jun 24 Enroll'!M$1,FALSE)-VLOOKUP($A10,EnrollData2324,'2324 Jun 24 Enroll'!J$1,FALSE),VLOOKUP($A10,'ESA Calculations 2324 Supp'!$A$4:$AE$34,9,FALSE)+VLOOKUP($A10,'ESA Calculations 2324 Supp'!$A$4:$AE$34,18,FALSE)-VLOOKUP($A10,'ESA Calculations 2324 Supp'!$A$4:$AE$34,10,FALSE))*Apport_217A2324s,3)</f>
        <v>0.11700000000000001</v>
      </c>
      <c r="R10">
        <f>ROUND(SUM(L10:Q10)/IF(VLOOKUP($A10,EnrollData2324,'2324 Jun 24 Enroll'!M$1,FALSE)+VLOOKUP($A10,EnrollData2324,'2324 Jun 24 Enroll'!D$1,FALSE)=VLOOKUP($A10,'ESA Calculations 2324 Supp'!$A$4:$AE$34,18,FALSE)+VLOOKUP($A10,'ESA Calculations 2324 Supp'!$A$4:$AE$34,4,FALSE),VLOOKUP($A10,EnrollData2324,'2324 Jun 24 Enroll'!M$1,FALSE)+VLOOKUP($A10,EnrollData2324,'2324 Jun 24 Enroll'!D$1,FALSE),VLOOKUP($A10,'ESA Calculations 2324 Supp'!$A$4:$AE$34,18,FALSE)+VLOOKUP($A10,'ESA Calculations 2324 Supp'!$A$4:$AE$34,4,FALSE)),5)</f>
        <v>4.15E-3</v>
      </c>
      <c r="S10" s="11">
        <f t="shared" si="2"/>
        <v>1.8689600000000001E-2</v>
      </c>
      <c r="T10">
        <f>ROUND(IF(VLOOKUP($A10,EnrollData2324,'2324 Jun 24 Enroll'!D$1,FALSE)=VLOOKUP($A10,'ESA Calculations 2324 Supp'!$A$4:$AE$34,4,FALSE),VLOOKUP($A10,EnrollData2324,'2324 Jun 24 Enroll'!D$1,FALSE),VLOOKUP($A10,'ESA Calculations 2324 Supp'!$A$4:$AE$34,4,FALSE))*S10,3)</f>
        <v>0</v>
      </c>
      <c r="U10">
        <f>ROUND(IF(VLOOKUP($A10,EnrollData2324,'2324 Jun 24 Enroll'!E$1,FALSE)=VLOOKUP($A10,'ESA Calculations 2324 Supp'!$A$4:$AE$34,5,FALSE),VLOOKUP($A10,EnrollData2324,'2324 Jun 24 Enroll'!E$1,FALSE),VLOOKUP($A10,'ESA Calculations 2324 Supp'!$A$4:$AE$34,5,FALSE))*S10,3)</f>
        <v>0.624</v>
      </c>
      <c r="V10">
        <f>ROUND(IF(VLOOKUP($A10,EnrollData2324,'2324 Jun 24 Enroll'!F$1,FALSE)=VLOOKUP($A10,'ESA Calculations 2324 Supp'!$A$4:$AE$34,6,FALSE),VLOOKUP($A10,EnrollData2324,'2324 Jun 24 Enroll'!F$1,FALSE),VLOOKUP($A10,'ESA Calculations 2324 Supp'!$A$4:$AE$34,6,FALSE))*Apport_224A2324s,3)</f>
        <v>0.159</v>
      </c>
      <c r="W10">
        <f>ROUND(IF(VLOOKUP($A10,EnrollData2324,'2324 Jun 24 Enroll'!G$1,FALSE)=VLOOKUP($A10,'ESA Calculations 2324 Supp'!$A$4:$AE$34,7,FALSE),VLOOKUP($A10,EnrollData2324,'2324 Jun 24 Enroll'!G$1,FALSE),VLOOKUP($A10,'ESA Calculations 2324 Supp'!$A$4:$AE$34,7,FALSE))*Apport_212A2324s,3)</f>
        <v>0.23499999999999999</v>
      </c>
      <c r="X10">
        <f>ROUND(IF(VLOOKUP($A10,EnrollData2324,'2324 Jun 24 Enroll'!H$1,FALSE)=VLOOKUP($A10,'ESA Calculations 2324 Supp'!$A$4:$AE$34,8,FALSE),VLOOKUP($A10,EnrollData2324,'2324 Jun 24 Enroll'!H$1,FALSE),VLOOKUP($A10,'ESA Calculations 2324 Supp'!$A$4:$AE$34,8,FALSE))*Apport_215A2324s,3)</f>
        <v>0.26900000000000002</v>
      </c>
      <c r="Y10">
        <f>ROUND(IF(VLOOKUP($A10,EnrollData2324,'2324 Jun 24 Enroll'!I$1,FALSE)+VLOOKUP($A10,EnrollData2324,'2324 Jun 24 Enroll'!M$1,FALSE)-VLOOKUP($A10,EnrollData2324,'2324 Jun 24 Enroll'!J$1,FALSE)=VLOOKUP($A10,'ESA Calculations 2324 Supp'!$A$4:$AE$34,9,FALSE)+VLOOKUP($A10,'ESA Calculations 2324 Supp'!$A$4:$AE$34,18,FALSE)-VLOOKUP($A10,'ESA Calculations 2324 Supp'!$A$4:$AE$34,10,FALSE),VLOOKUP($A10,EnrollData2324,'2324 Jun 24 Enroll'!I$1,FALSE)+VLOOKUP($A10,EnrollData2324,'2324 Jun 24 Enroll'!M$1,FALSE)-VLOOKUP($A10,EnrollData2324,'2324 Jun 24 Enroll'!J$1,FALSE),VLOOKUP($A10,'ESA Calculations 2324 Supp'!$A$4:$AE$34,9,FALSE)+VLOOKUP($A10,'ESA Calculations 2324 Supp'!$A$4:$AE$34,18,FALSE)-VLOOKUP($A10,'ESA Calculations 2324 Supp'!$A$4:$AE$34,10,FALSE))*Apport_218A2324s,3)</f>
        <v>0.503</v>
      </c>
      <c r="Z10">
        <f>ROUND(SUM(T10:Y10)/IF(VLOOKUP($A10,EnrollData2324,'2324 Jun 24 Enroll'!M$1,FALSE)+VLOOKUP($A10,EnrollData2324,'2324 Jun 24 Enroll'!D$1,FALSE)=VLOOKUP($A10,'ESA Calculations 2324 Supp'!$A$4:$AE$34,18,FALSE)+VLOOKUP($A10,'ESA Calculations 2324 Supp'!$A$4:$AE$34,4,FALSE),VLOOKUP($A10,EnrollData2324,'2324 Jun 24 Enroll'!M$1,FALSE)+VLOOKUP($A10,EnrollData2324,'2324 Jun 24 Enroll'!D$1,FALSE),VLOOKUP($A10,'ESA Calculations 2324 Supp'!$A$4:$AE$34,18,FALSE)+VLOOKUP($A10,'ESA Calculations 2324 Supp'!$A$4:$AE$34,4,FALSE)),5)</f>
        <v>1.7909999999999999E-2</v>
      </c>
      <c r="AA10" s="6" cm="1">
        <f t="array" ref="AA10">ROUND($J10*CIS_Base_Salary2324s*VLOOKUP($A10,EnrollData2324,'2324 Jun 24 Enroll'!S$1,FALSE),2)</f>
        <v>4163.68</v>
      </c>
      <c r="AB10" s="6" cm="1">
        <f t="array" ref="AB10">ROUND($J10*CIS_Inc_Salary2324s*(VLOOKUP($A10,EnrollData2324,'2324 Jun 24 Enroll'!T$1,FALSE)+VLOOKUP($A10,EnrollData2324,'2324 Jun 24 Enroll'!U$1,FALSE)),2)-AA10</f>
        <v>154.05999999999949</v>
      </c>
      <c r="AC10" s="6" cm="1">
        <f t="array" ref="AC10">ROUND($R10*CAS_Base_Salary2324s*VLOOKUP($A10,EnrollData2324,'2324 Jun 24 Enroll'!S$1,FALSE),2)</f>
        <v>448.01</v>
      </c>
      <c r="AD10" s="6" cm="1">
        <f t="array" ref="AD10">ROUND($R10*CAS_Inc_Salary2324s*VLOOKUP($A10,EnrollData2324,'2324 Jun 24 Enroll'!T$1,FALSE),2)-AC10</f>
        <v>16.579999999999984</v>
      </c>
      <c r="AE10" s="6" cm="1">
        <f t="array" ref="AE10">ROUND($Z10*CLS_Base_Salary2324s*VLOOKUP($A10,EnrollData2324,'2324 Jun 24 Enroll'!S$1,FALSE),2)</f>
        <v>934.42</v>
      </c>
      <c r="AF10" s="6" cm="1">
        <f t="array" ref="AF10">ROUND($Z10*CLS_Inc_Salary2324s*VLOOKUP($A10,EnrollData2324,'2324 Jun 24 Enroll'!T$1,FALSE),2)-AE10</f>
        <v>34.560000000000059</v>
      </c>
      <c r="AG10" cm="1">
        <f t="array" ref="AG10">ROUND(($J10+$R10)*Apport_124X2324s,2)</f>
        <v>755.96</v>
      </c>
      <c r="AH10" s="69">
        <f t="shared" si="3"/>
        <v>70.730000000000018</v>
      </c>
      <c r="AI10" cm="1">
        <f t="array" ref="AI10">ROUND($Z10*Apport_124X2324s,2)</f>
        <v>220.51</v>
      </c>
      <c r="AJ10" cm="1">
        <f t="array" ref="AJ10">ROUND($Z10*Apport_621X2324s*Apport_125X2324s,2)-AI10</f>
        <v>117.56</v>
      </c>
      <c r="AK10" cm="1">
        <f t="array" ref="AK10">ROUND((AA10+AC10)*Apport_126X2324s,2)</f>
        <v>828.72</v>
      </c>
      <c r="AL10" cm="1">
        <f t="array" ref="AL10">ROUND((AB10+AD10)*Apport_127X2324s,2)</f>
        <v>29.57</v>
      </c>
      <c r="AM10" cm="1">
        <f t="array" ref="AM10">ROUND(AE10*Apport_128X2324s,2)</f>
        <v>206.13</v>
      </c>
      <c r="AN10" cm="1">
        <f t="array" ref="AN10">ROUND(AF10*Apport_129X2324s,2)</f>
        <v>6.41</v>
      </c>
      <c r="AO10" cm="1">
        <f t="array" ref="AO10">ROUND(($J10*CIS_Inc_Salary2324s*(VLOOKUP($A10,EnrollData2324,'2324 Jun 24 Enroll'!T$1,FALSE)+VLOOKUP($A10,EnrollData2324,'2324 Jun 24 Enroll'!U$1,FALSE))/Apport_613Xpd)*Apport_614Xpd,2)</f>
        <v>71.959999999999994</v>
      </c>
      <c r="AP10" cm="1">
        <f t="array" ref="AP10">ROUND(AO10*Apport_127X2324s,2)</f>
        <v>12.47</v>
      </c>
      <c r="AQ10">
        <f t="shared" si="4"/>
        <v>31.89</v>
      </c>
      <c r="AR10" s="6" cm="1">
        <f t="array" ref="AR10">ROUND((IF(VLOOKUP($A10,EnrollData2324,'2324 Jun 24 Enroll'!D$1,FALSE)=VLOOKUP($A10,'ESA Calculations 2324 Supp'!$A$4:$AE$34,4,FALSE),VLOOKUP($A10,EnrollData2324,'2324 Jun 24 Enroll'!D$1,FALSE),VLOOKUP($A10,'ESA Calculations 2324 Supp'!$A$4:$AE$34,4,FALSE))*Apport_M802324s+IF(VLOOKUP($A10,EnrollData2324,'2324 Jun 24 Enroll'!M$1,FALSE)=VLOOKUP($A10,'ESA Calculations 2324 Supp'!$A$4:$AE$34,18,FALSE),VLOOKUP($A10,EnrollData2324,'2324 Jun 24 Enroll'!M$1,FALSE),VLOOKUP($A10,'ESA Calculations 2324 Supp'!$A$4:$AE$34,18,FALSE))*Apport_M802324s+IF((VLOOKUP($A10,EnrollData2324,'2324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Enroll'!L$1,FALSE))=VLOOKUP($A10,EnrollData2324,'2324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Enroll'!L$1,FALSE),(VLOOKUP($A10,EnrollData2324,'2324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Enroll'!L$1,FALSE)),(VLOOKUP($A10,EnrollData2324,'2324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Enroll'!L$1,FALSE)))*Apport_M812324s)/(IF(VLOOKUP($A10,EnrollData2324,'2324 Jun 24 Enroll'!M$1,FALSE)=VLOOKUP($A10,'ESA Calculations 2324 Supp'!$A$4:$AE$34,18,FALSE),VLOOKUP($A10,EnrollData2324,'2324 Jun 24 Enroll'!M$1,FALSE),VLOOKUP($A10,'ESA Calculations 2324 Supp'!$A$4:$AE$34,18,FALSE))+IF(VLOOKUP($A10,EnrollData2324,'2324 Jun 24 Enroll'!D$1,FALSE)=VLOOKUP($A10,'ESA Calculations 2324 Supp'!$A$4:$AE$34,4,FALSE),VLOOKUP($A10,EnrollData2324,'2324 Jun 24 Enroll'!D$1,FALSE),VLOOKUP($A10,'ESA Calculations 2324 Supp'!$A$4:$AE$34,4,FALSE))),2)</f>
        <v>1562.22</v>
      </c>
      <c r="AS10" s="7">
        <f t="shared" si="5"/>
        <v>9665.44</v>
      </c>
      <c r="AT10" s="6">
        <f>IF(VLOOKUP($A10,EnrollData2324,'2324 Jun 24 Enroll'!AA$1,FALSE)=VLOOKUP($A10,'ESA Calculations 2324 Supp'!$A$4:$AE$34,24,FALSE),VLOOKUP($A10,EnrollData2324,'2324 Jun 24 Enroll'!AA$1,FALSE),VLOOKUP($A10,'ESA Calculations 2324 Supp'!$A$4:$AE$34,24,FALSE))</f>
        <v>99.95</v>
      </c>
    </row>
    <row r="11" spans="1:49">
      <c r="A11" s="40" t="s">
        <v>861</v>
      </c>
      <c r="B11" s="40" t="s">
        <v>862</v>
      </c>
      <c r="C11" s="11">
        <f>ROUND((IFERROR((1/IF(VLOOKUP($A11,EnrollData2324,28,FALSE)=VLOOKUP($A11,'ESA Calculations 2324 Supp'!$A$4:$AE$34,3,FALSE),VLOOKUP($A11,EnrollData2324,28,FALSE),VLOOKUP($A11,'ESA Calculations 2324 Supp'!$A$4:$AE$34,3,FALSE)))*(1+Apport_Z315),0))+Apport_201A2324s,6)</f>
        <v>7.3449E-2</v>
      </c>
      <c r="D11">
        <f>ROUND(IF(VLOOKUP($A11,EnrollData2324,'2324 Jun 24 Enroll'!D$1,FALSE)=VLOOKUP($A11,'ESA Calculations 2324 Supp'!$A$4:$AE$34,4,FALSE),VLOOKUP($A11,EnrollData2324,'2324 Jun 24 Enroll'!D$1,FALSE),VLOOKUP($A11,'ESA Calculations 2324 Supp'!$A$4:$AE$34,4,FALSE))*C11,3)</f>
        <v>1.278</v>
      </c>
      <c r="E11">
        <f>ROUND(IF(VLOOKUP($A11,EnrollData2324,'2324 Jun 24 Enroll'!E$1,FALSE)=VLOOKUP($A11,'ESA Calculations 2324 Supp'!$A$4:$AE$34,5,FALSE),VLOOKUP($A11,EnrollData2324,'2324 Jun 24 Enroll'!E$1,FALSE),VLOOKUP($A11,'ESA Calculations 2324 Supp'!$A$4:$AE$34,5,FALSE))*C11,3)</f>
        <v>5.4059999999999997</v>
      </c>
      <c r="F11">
        <f>ROUND(IF(VLOOKUP($A11,EnrollData2324,'2324 Jun 24 Enroll'!F$1,FALSE)=VLOOKUP($A11,'ESA Calculations 2324 Supp'!$A$4:$AE$34,6,FALSE),VLOOKUP($A11,EnrollData2324,'2324 Jun 24 Enroll'!F$1,FALSE),VLOOKUP($A11,'ESA Calculations 2324 Supp'!$A$4:$AE$34,6,FALSE))*Apport_222A2324s,3)</f>
        <v>0.96599999999999997</v>
      </c>
      <c r="G11">
        <f>ROUND(IF(VLOOKUP($A11,EnrollData2324,'2324 Jun 24 Enroll'!G$1,FALSE)=VLOOKUP($A11,'ESA Calculations 2324 Supp'!$A$4:$AE$34,7,FALSE),VLOOKUP($A11,EnrollData2324,'2324 Jun 24 Enroll'!G$1,FALSE),VLOOKUP($A11,'ESA Calculations 2324 Supp'!$A$4:$AE$34,7,FALSE))*Apport_210A2324s,3)</f>
        <v>1.238</v>
      </c>
      <c r="H11">
        <f>ROUND(IF(VLOOKUP($A11,EnrollData2324,'2324 Jun 24 Enroll'!H$1,FALSE)=VLOOKUP($A11,'ESA Calculations 2324 Supp'!$A$4:$AE$34,8,FALSE),VLOOKUP($A11,EnrollData2324,'2324 Jun 24 Enroll'!H$1,FALSE),VLOOKUP($A11,'ESA Calculations 2324 Supp'!$A$4:$AE$34,8,FALSE))*Apport_213A2324s,3)</f>
        <v>2.0819999999999999</v>
      </c>
      <c r="I11">
        <f>ROUND(IF(VLOOKUP($A11,EnrollData2324,'2324 Jun 24 Enroll'!I$1,FALSE)+VLOOKUP($A11,EnrollData2324,'2324 Jun 24 Enroll'!M$1,FALSE)-VLOOKUP($A11,EnrollData2324,'2324 Jun 24 Enroll'!J$1,FALSE)=VLOOKUP($A11,'ESA Calculations 2324 Supp'!$A$4:$AE$34,9,FALSE)+VLOOKUP($A11,'ESA Calculations 2324 Supp'!$A$4:$AE$34,18,FALSE)-VLOOKUP($A11,'ESA Calculations 2324 Supp'!$A$4:$AE$34,10,FALSE),VLOOKUP($A11,EnrollData2324,'2324 Jun 24 Enroll'!I$1,FALSE)+VLOOKUP($A11,EnrollData2324,'2324 Jun 24 Enroll'!M$1,FALSE)-VLOOKUP($A11,EnrollData2324,'2324 Jun 24 Enroll'!J$1,FALSE),VLOOKUP($A11,'ESA Calculations 2324 Supp'!$A$4:$AE$34,9,FALSE)+VLOOKUP($A11,'ESA Calculations 2324 Supp'!$A$4:$AE$34,18,FALSE)-VLOOKUP($A11,'ESA Calculations 2324 Supp'!$A$4:$AE$34,10,FALSE))*Apport_216A2324s,3)</f>
        <v>3.7879999999999998</v>
      </c>
      <c r="J11">
        <f>ROUND(SUM(D11:I11)/IF(VLOOKUP($A11,EnrollData2324,'2324 Jun 24 Enroll'!M$1,FALSE)+VLOOKUP($A11,EnrollData2324,'2324 Jun 24 Enroll'!D$1,FALSE)=VLOOKUP($A11,'ESA Calculations 2324 Supp'!$A$4:$AE$34,18,FALSE)+VLOOKUP($A11,'ESA Calculations 2324 Supp'!$A$4:$AE$34,4,FALSE),VLOOKUP($A11,EnrollData2324,'2324 Jun 24 Enroll'!M$1,FALSE)+VLOOKUP($A11,EnrollData2324,'2324 Jun 24 Enroll'!D$1,FALSE),VLOOKUP($A11,'ESA Calculations 2324 Supp'!$A$4:$AE$34,18,FALSE)+VLOOKUP($A11,'ESA Calculations 2324 Supp'!$A$4:$AE$34,4,FALSE)),5)</f>
        <v>5.7829999999999999E-2</v>
      </c>
      <c r="K11" s="11">
        <f t="shared" si="1"/>
        <v>4.3699999999999998E-3</v>
      </c>
      <c r="L11">
        <f>ROUND(IF(VLOOKUP($A11,EnrollData2324,'2324 Jun 24 Enroll'!D$1,FALSE)=VLOOKUP($A11,'ESA Calculations 2324 Supp'!$A$4:$AE$34,4,FALSE),VLOOKUP($A11,EnrollData2324,'2324 Jun 24 Enroll'!D$1,FALSE),VLOOKUP($A11,'ESA Calculations 2324 Supp'!$A$4:$AE$34,4,FALSE))*K11,3)</f>
        <v>7.5999999999999998E-2</v>
      </c>
      <c r="M11">
        <f>ROUND(IF(VLOOKUP($A11,EnrollData2324,'2324 Jun 24 Enroll'!E$1,FALSE)=VLOOKUP($A11,'ESA Calculations 2324 Supp'!$A$4:$AE$34,5,FALSE),VLOOKUP($A11,EnrollData2324,'2324 Jun 24 Enroll'!E$1,FALSE),VLOOKUP($A11,'ESA Calculations 2324 Supp'!$A$4:$AE$34,5,FALSE))*K11,3)</f>
        <v>0.32200000000000001</v>
      </c>
      <c r="N11">
        <f>ROUND(IF(VLOOKUP($A11,EnrollData2324,'2324 Jun 24 Enroll'!F$1,FALSE)=VLOOKUP($A11,'ESA Calculations 2324 Supp'!$A$4:$AE$34,6,FALSE),VLOOKUP($A11,EnrollData2324,'2324 Jun 24 Enroll'!F$1,FALSE),VLOOKUP($A11,'ESA Calculations 2324 Supp'!$A$4:$AE$34,6,FALSE))*Apport_223A2324s,3)</f>
        <v>8.1000000000000003E-2</v>
      </c>
      <c r="O11">
        <f>ROUND(IF(VLOOKUP($A11,EnrollData2324,'2324 Jun 24 Enroll'!G$1,FALSE)=VLOOKUP($A11,'ESA Calculations 2324 Supp'!$A$4:$AE$34,7,FALSE),VLOOKUP($A11,EnrollData2324,'2324 Jun 24 Enroll'!G$1,FALSE),VLOOKUP($A11,'ESA Calculations 2324 Supp'!$A$4:$AE$34,7,FALSE))*Apport_211A2324s,3)</f>
        <v>0.10299999999999999</v>
      </c>
      <c r="P11">
        <f>ROUND(IF(VLOOKUP($A11,EnrollData2324,'2324 Jun 24 Enroll'!H$1,FALSE)=VLOOKUP($A11,'ESA Calculations 2324 Supp'!$A$4:$AE$34,8,FALSE),VLOOKUP($A11,EnrollData2324,'2324 Jun 24 Enroll'!H$1,FALSE),VLOOKUP($A11,'ESA Calculations 2324 Supp'!$A$4:$AE$34,8,FALSE))*Apport_214A2324s,3)</f>
        <v>0.17299999999999999</v>
      </c>
      <c r="Q11">
        <f>ROUND(IF(VLOOKUP($A11,EnrollData2324,'2324 Jun 24 Enroll'!I$1,FALSE)+VLOOKUP($A11,EnrollData2324,'2324 Jun 24 Enroll'!M$1,FALSE)-VLOOKUP($A11,EnrollData2324,'2324 Jun 24 Enroll'!J$1,FALSE)=VLOOKUP($A11,'ESA Calculations 2324 Supp'!$A$4:$AE$34,9,FALSE)+VLOOKUP($A11,'ESA Calculations 2324 Supp'!$A$4:$AE$34,18,FALSE)-VLOOKUP($A11,'ESA Calculations 2324 Supp'!$A$4:$AE$34,10,FALSE),VLOOKUP($A11,EnrollData2324,'2324 Jun 24 Enroll'!I$1,FALSE)+VLOOKUP($A11,EnrollData2324,'2324 Jun 24 Enroll'!M$1,FALSE)-VLOOKUP($A11,EnrollData2324,'2324 Jun 24 Enroll'!J$1,FALSE),VLOOKUP($A11,'ESA Calculations 2324 Supp'!$A$4:$AE$34,9,FALSE)+VLOOKUP($A11,'ESA Calculations 2324 Supp'!$A$4:$AE$34,18,FALSE)-VLOOKUP($A11,'ESA Calculations 2324 Supp'!$A$4:$AE$34,10,FALSE))*Apport_217A2324s,3)</f>
        <v>0.30599999999999999</v>
      </c>
      <c r="R11">
        <f>ROUND(SUM(L11:Q11)/IF(VLOOKUP($A11,EnrollData2324,'2324 Jun 24 Enroll'!M$1,FALSE)+VLOOKUP($A11,EnrollData2324,'2324 Jun 24 Enroll'!D$1,FALSE)=VLOOKUP($A11,'ESA Calculations 2324 Supp'!$A$4:$AE$34,18,FALSE)+VLOOKUP($A11,'ESA Calculations 2324 Supp'!$A$4:$AE$34,4,FALSE),VLOOKUP($A11,EnrollData2324,'2324 Jun 24 Enroll'!M$1,FALSE)+VLOOKUP($A11,EnrollData2324,'2324 Jun 24 Enroll'!D$1,FALSE),VLOOKUP($A11,'ESA Calculations 2324 Supp'!$A$4:$AE$34,18,FALSE)+VLOOKUP($A11,'ESA Calculations 2324 Supp'!$A$4:$AE$34,4,FALSE)),5)</f>
        <v>4.1599999999999996E-3</v>
      </c>
      <c r="S11" s="11">
        <f t="shared" si="2"/>
        <v>1.8689600000000001E-2</v>
      </c>
      <c r="T11">
        <f>ROUND(IF(VLOOKUP($A11,EnrollData2324,'2324 Jun 24 Enroll'!D$1,FALSE)=VLOOKUP($A11,'ESA Calculations 2324 Supp'!$A$4:$AE$34,4,FALSE),VLOOKUP($A11,EnrollData2324,'2324 Jun 24 Enroll'!D$1,FALSE),VLOOKUP($A11,'ESA Calculations 2324 Supp'!$A$4:$AE$34,4,FALSE))*S11,3)</f>
        <v>0.32500000000000001</v>
      </c>
      <c r="U11">
        <f>ROUND(IF(VLOOKUP($A11,EnrollData2324,'2324 Jun 24 Enroll'!E$1,FALSE)=VLOOKUP($A11,'ESA Calculations 2324 Supp'!$A$4:$AE$34,5,FALSE),VLOOKUP($A11,EnrollData2324,'2324 Jun 24 Enroll'!E$1,FALSE),VLOOKUP($A11,'ESA Calculations 2324 Supp'!$A$4:$AE$34,5,FALSE))*S11,3)</f>
        <v>1.3759999999999999</v>
      </c>
      <c r="V11">
        <f>ROUND(IF(VLOOKUP($A11,EnrollData2324,'2324 Jun 24 Enroll'!F$1,FALSE)=VLOOKUP($A11,'ESA Calculations 2324 Supp'!$A$4:$AE$34,6,FALSE),VLOOKUP($A11,EnrollData2324,'2324 Jun 24 Enroll'!F$1,FALSE),VLOOKUP($A11,'ESA Calculations 2324 Supp'!$A$4:$AE$34,6,FALSE))*Apport_224A2324s,3)</f>
        <v>0.35399999999999998</v>
      </c>
      <c r="W11">
        <f>ROUND(IF(VLOOKUP($A11,EnrollData2324,'2324 Jun 24 Enroll'!G$1,FALSE)=VLOOKUP($A11,'ESA Calculations 2324 Supp'!$A$4:$AE$34,7,FALSE),VLOOKUP($A11,EnrollData2324,'2324 Jun 24 Enroll'!G$1,FALSE),VLOOKUP($A11,'ESA Calculations 2324 Supp'!$A$4:$AE$34,7,FALSE))*Apport_212A2324s,3)</f>
        <v>0.45400000000000001</v>
      </c>
      <c r="X11">
        <f>ROUND(IF(VLOOKUP($A11,EnrollData2324,'2324 Jun 24 Enroll'!H$1,FALSE)=VLOOKUP($A11,'ESA Calculations 2324 Supp'!$A$4:$AE$34,8,FALSE),VLOOKUP($A11,EnrollData2324,'2324 Jun 24 Enroll'!H$1,FALSE),VLOOKUP($A11,'ESA Calculations 2324 Supp'!$A$4:$AE$34,8,FALSE))*Apport_215A2324s,3)</f>
        <v>0.75</v>
      </c>
      <c r="Y11">
        <f>ROUND(IF(VLOOKUP($A11,EnrollData2324,'2324 Jun 24 Enroll'!I$1,FALSE)+VLOOKUP($A11,EnrollData2324,'2324 Jun 24 Enroll'!M$1,FALSE)-VLOOKUP($A11,EnrollData2324,'2324 Jun 24 Enroll'!J$1,FALSE)=VLOOKUP($A11,'ESA Calculations 2324 Supp'!$A$4:$AE$34,9,FALSE)+VLOOKUP($A11,'ESA Calculations 2324 Supp'!$A$4:$AE$34,18,FALSE)-VLOOKUP($A11,'ESA Calculations 2324 Supp'!$A$4:$AE$34,10,FALSE),VLOOKUP($A11,EnrollData2324,'2324 Jun 24 Enroll'!I$1,FALSE)+VLOOKUP($A11,EnrollData2324,'2324 Jun 24 Enroll'!M$1,FALSE)-VLOOKUP($A11,EnrollData2324,'2324 Jun 24 Enroll'!J$1,FALSE),VLOOKUP($A11,'ESA Calculations 2324 Supp'!$A$4:$AE$34,9,FALSE)+VLOOKUP($A11,'ESA Calculations 2324 Supp'!$A$4:$AE$34,18,FALSE)-VLOOKUP($A11,'ESA Calculations 2324 Supp'!$A$4:$AE$34,10,FALSE))*Apport_218A2324s,3)</f>
        <v>1.3169999999999999</v>
      </c>
      <c r="Z11">
        <f>ROUND(SUM(T11:Y11)/IF(VLOOKUP($A11,EnrollData2324,'2324 Jun 24 Enroll'!M$1,FALSE)+VLOOKUP($A11,EnrollData2324,'2324 Jun 24 Enroll'!D$1,FALSE)=VLOOKUP($A11,'ESA Calculations 2324 Supp'!$A$4:$AE$34,18,FALSE)+VLOOKUP($A11,'ESA Calculations 2324 Supp'!$A$4:$AE$34,4,FALSE),VLOOKUP($A11,EnrollData2324,'2324 Jun 24 Enroll'!M$1,FALSE)+VLOOKUP($A11,EnrollData2324,'2324 Jun 24 Enroll'!D$1,FALSE),VLOOKUP($A11,'ESA Calculations 2324 Supp'!$A$4:$AE$34,18,FALSE)+VLOOKUP($A11,'ESA Calculations 2324 Supp'!$A$4:$AE$34,4,FALSE)),5)</f>
        <v>1.7930000000000001E-2</v>
      </c>
      <c r="AA11" s="6" cm="1">
        <f t="array" ref="AA11">ROUND($J11*CIS_Base_Salary2324s*VLOOKUP($A11,EnrollData2324,'2324 Jun 24 Enroll'!S$1,FALSE),2)</f>
        <v>4205.8599999999997</v>
      </c>
      <c r="AB11" s="6" cm="1">
        <f t="array" ref="AB11">ROUND($J11*CIS_Inc_Salary2324s*(VLOOKUP($A11,EnrollData2324,'2324 Jun 24 Enroll'!T$1,FALSE)+VLOOKUP($A11,EnrollData2324,'2324 Jun 24 Enroll'!U$1,FALSE)),2)-AA11</f>
        <v>155.61999999999989</v>
      </c>
      <c r="AC11" s="6" cm="1">
        <f t="array" ref="AC11">ROUND($R11*CAS_Base_Salary2324s*VLOOKUP($A11,EnrollData2324,'2324 Jun 24 Enroll'!S$1,FALSE),2)</f>
        <v>449.09</v>
      </c>
      <c r="AD11" s="6" cm="1">
        <f t="array" ref="AD11">ROUND($R11*CAS_Inc_Salary2324s*VLOOKUP($A11,EnrollData2324,'2324 Jun 24 Enroll'!T$1,FALSE),2)-AC11</f>
        <v>16.620000000000005</v>
      </c>
      <c r="AE11" s="6" cm="1">
        <f t="array" ref="AE11">ROUND($Z11*CLS_Base_Salary2324s*VLOOKUP($A11,EnrollData2324,'2324 Jun 24 Enroll'!S$1,FALSE),2)</f>
        <v>935.46</v>
      </c>
      <c r="AF11" s="6" cm="1">
        <f t="array" ref="AF11">ROUND($Z11*CLS_Inc_Salary2324s*VLOOKUP($A11,EnrollData2324,'2324 Jun 24 Enroll'!T$1,FALSE),2)-AE11</f>
        <v>34.610000000000014</v>
      </c>
      <c r="AG11" cm="1">
        <f t="array" ref="AG11">ROUND(($J11+$R11)*Apport_124X2324s,2)</f>
        <v>763.22</v>
      </c>
      <c r="AH11" s="69">
        <f t="shared" si="3"/>
        <v>71.409999999999968</v>
      </c>
      <c r="AI11" cm="1">
        <f t="array" ref="AI11">ROUND($Z11*Apport_124X2324s,2)</f>
        <v>220.75</v>
      </c>
      <c r="AJ11" cm="1">
        <f t="array" ref="AJ11">ROUND($Z11*Apport_621X2324s*Apport_125X2324s,2)-AI11</f>
        <v>117.69999999999999</v>
      </c>
      <c r="AK11" cm="1">
        <f t="array" ref="AK11">ROUND((AA11+AC11)*Apport_126X2324s,2)</f>
        <v>836.49</v>
      </c>
      <c r="AL11" cm="1">
        <f t="array" ref="AL11">ROUND((AB11+AD11)*Apport_127X2324s,2)</f>
        <v>29.85</v>
      </c>
      <c r="AM11" cm="1">
        <f t="array" ref="AM11">ROUND(AE11*Apport_128X2324s,2)</f>
        <v>206.36</v>
      </c>
      <c r="AN11" cm="1">
        <f t="array" ref="AN11">ROUND(AF11*Apport_129X2324s,2)</f>
        <v>6.42</v>
      </c>
      <c r="AO11" cm="1">
        <f t="array" ref="AO11">ROUND(($J11*CIS_Inc_Salary2324s*(VLOOKUP($A11,EnrollData2324,'2324 Jun 24 Enroll'!T$1,FALSE)+VLOOKUP($A11,EnrollData2324,'2324 Jun 24 Enroll'!U$1,FALSE))/Apport_613Xpd)*Apport_614Xpd,2)</f>
        <v>72.69</v>
      </c>
      <c r="AP11" cm="1">
        <f t="array" ref="AP11">ROUND(AO11*Apport_127X2324s,2)</f>
        <v>12.6</v>
      </c>
      <c r="AQ11">
        <f t="shared" si="4"/>
        <v>32.21</v>
      </c>
      <c r="AR11" s="6" cm="1">
        <f t="array" ref="AR11">ROUND((IF(VLOOKUP($A11,EnrollData2324,'2324 Jun 24 Enroll'!D$1,FALSE)=VLOOKUP($A11,'ESA Calculations 2324 Supp'!$A$4:$AE$34,4,FALSE),VLOOKUP($A11,EnrollData2324,'2324 Jun 24 Enroll'!D$1,FALSE),VLOOKUP($A11,'ESA Calculations 2324 Supp'!$A$4:$AE$34,4,FALSE))*Apport_M802324s+IF(VLOOKUP($A11,EnrollData2324,'2324 Jun 24 Enroll'!M$1,FALSE)=VLOOKUP($A11,'ESA Calculations 2324 Supp'!$A$4:$AE$34,18,FALSE),VLOOKUP($A11,EnrollData2324,'2324 Jun 24 Enroll'!M$1,FALSE),VLOOKUP($A11,'ESA Calculations 2324 Supp'!$A$4:$AE$34,18,FALSE))*Apport_M802324s+IF((VLOOKUP($A11,EnrollData2324,'2324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Enroll'!L$1,FALSE))=VLOOKUP($A11,EnrollData2324,'2324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Enroll'!L$1,FALSE),(VLOOKUP($A11,EnrollData2324,'2324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Enroll'!L$1,FALSE)),(VLOOKUP($A11,EnrollData2324,'2324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Enroll'!L$1,FALSE)))*Apport_M812324s)/(IF(VLOOKUP($A11,EnrollData2324,'2324 Jun 24 Enroll'!M$1,FALSE)=VLOOKUP($A11,'ESA Calculations 2324 Supp'!$A$4:$AE$34,18,FALSE),VLOOKUP($A11,EnrollData2324,'2324 Jun 24 Enroll'!M$1,FALSE),VLOOKUP($A11,'ESA Calculations 2324 Supp'!$A$4:$AE$34,18,FALSE))+IF(VLOOKUP($A11,EnrollData2324,'2324 Jun 24 Enroll'!D$1,FALSE)=VLOOKUP($A11,'ESA Calculations 2324 Supp'!$A$4:$AE$34,4,FALSE),VLOOKUP($A11,EnrollData2324,'2324 Jun 24 Enroll'!D$1,FALSE),VLOOKUP($A11,'ESA Calculations 2324 Supp'!$A$4:$AE$34,4,FALSE))),2)</f>
        <v>1563.73</v>
      </c>
      <c r="AS11" s="7">
        <f t="shared" si="5"/>
        <v>9730.6899999999987</v>
      </c>
      <c r="AT11" s="6">
        <f>IF(VLOOKUP($A11,EnrollData2324,'2324 Jun 24 Enroll'!AA$1,FALSE)=VLOOKUP($A11,'ESA Calculations 2324 Supp'!$A$4:$AE$34,24,FALSE),VLOOKUP($A11,EnrollData2324,'2324 Jun 24 Enroll'!AA$1,FALSE),VLOOKUP($A11,'ESA Calculations 2324 Supp'!$A$4:$AE$34,24,FALSE))</f>
        <v>255.77</v>
      </c>
    </row>
    <row r="12" spans="1:49">
      <c r="A12" s="40" t="s">
        <v>516</v>
      </c>
      <c r="B12" s="40" t="s">
        <v>517</v>
      </c>
      <c r="C12" s="11">
        <f>ROUND((IFERROR((1/IF(VLOOKUP($A12,EnrollData2324,28,FALSE)=VLOOKUP($A12,'ESA Calculations 2324 Supp'!$A$4:$AE$34,3,FALSE),VLOOKUP($A12,EnrollData2324,28,FALSE),VLOOKUP($A12,'ESA Calculations 2324 Supp'!$A$4:$AE$34,3,FALSE)))*(1+Apport_Z315),0))+Apport_201A2324s,6)</f>
        <v>7.3449E-2</v>
      </c>
      <c r="D12">
        <f>ROUND(IF(VLOOKUP($A12,EnrollData2324,'2324 Jun 24 Enroll'!D$1,FALSE)=VLOOKUP($A12,'ESA Calculations 2324 Supp'!$A$4:$AE$34,4,FALSE),VLOOKUP($A12,EnrollData2324,'2324 Jun 24 Enroll'!D$1,FALSE),VLOOKUP($A12,'ESA Calculations 2324 Supp'!$A$4:$AE$34,4,FALSE))*C12,3)</f>
        <v>0</v>
      </c>
      <c r="E12">
        <f>ROUND(IF(VLOOKUP($A12,EnrollData2324,'2324 Jun 24 Enroll'!E$1,FALSE)=VLOOKUP($A12,'ESA Calculations 2324 Supp'!$A$4:$AE$34,5,FALSE),VLOOKUP($A12,EnrollData2324,'2324 Jun 24 Enroll'!E$1,FALSE),VLOOKUP($A12,'ESA Calculations 2324 Supp'!$A$4:$AE$34,5,FALSE))*C12,3)</f>
        <v>1.1020000000000001</v>
      </c>
      <c r="F12">
        <f>ROUND(IF(VLOOKUP($A12,EnrollData2324,'2324 Jun 24 Enroll'!F$1,FALSE)=VLOOKUP($A12,'ESA Calculations 2324 Supp'!$A$4:$AE$34,6,FALSE),VLOOKUP($A12,EnrollData2324,'2324 Jun 24 Enroll'!F$1,FALSE),VLOOKUP($A12,'ESA Calculations 2324 Supp'!$A$4:$AE$34,6,FALSE))*Apport_222A2324s,3)</f>
        <v>0.27500000000000002</v>
      </c>
      <c r="G12">
        <f>ROUND(IF(VLOOKUP($A12,EnrollData2324,'2324 Jun 24 Enroll'!G$1,FALSE)=VLOOKUP($A12,'ESA Calculations 2324 Supp'!$A$4:$AE$34,7,FALSE),VLOOKUP($A12,EnrollData2324,'2324 Jun 24 Enroll'!G$1,FALSE),VLOOKUP($A12,'ESA Calculations 2324 Supp'!$A$4:$AE$34,7,FALSE))*Apport_210A2324s,3)</f>
        <v>0.48799999999999999</v>
      </c>
      <c r="H12">
        <f>ROUND(IF(VLOOKUP($A12,EnrollData2324,'2324 Jun 24 Enroll'!H$1,FALSE)=VLOOKUP($A12,'ESA Calculations 2324 Supp'!$A$4:$AE$34,8,FALSE),VLOOKUP($A12,EnrollData2324,'2324 Jun 24 Enroll'!H$1,FALSE),VLOOKUP($A12,'ESA Calculations 2324 Supp'!$A$4:$AE$34,8,FALSE))*Apport_213A2324s,3)</f>
        <v>0.247</v>
      </c>
      <c r="I12">
        <f>ROUND(IF(VLOOKUP($A12,EnrollData2324,'2324 Jun 24 Enroll'!I$1,FALSE)+VLOOKUP($A12,EnrollData2324,'2324 Jun 24 Enroll'!M$1,FALSE)-VLOOKUP($A12,EnrollData2324,'2324 Jun 24 Enroll'!J$1,FALSE)=VLOOKUP($A12,'ESA Calculations 2324 Supp'!$A$4:$AE$34,9,FALSE)+VLOOKUP($A12,'ESA Calculations 2324 Supp'!$A$4:$AE$34,18,FALSE)-VLOOKUP($A12,'ESA Calculations 2324 Supp'!$A$4:$AE$34,10,FALSE),VLOOKUP($A12,EnrollData2324,'2324 Jun 24 Enroll'!I$1,FALSE)+VLOOKUP($A12,EnrollData2324,'2324 Jun 24 Enroll'!M$1,FALSE)-VLOOKUP($A12,EnrollData2324,'2324 Jun 24 Enroll'!J$1,FALSE),VLOOKUP($A12,'ESA Calculations 2324 Supp'!$A$4:$AE$34,9,FALSE)+VLOOKUP($A12,'ESA Calculations 2324 Supp'!$A$4:$AE$34,18,FALSE)-VLOOKUP($A12,'ESA Calculations 2324 Supp'!$A$4:$AE$34,10,FALSE))*Apport_216A2324s,3)</f>
        <v>0.63200000000000001</v>
      </c>
      <c r="J12">
        <f>ROUND(SUM(D12:I12)/IF(VLOOKUP($A12,EnrollData2324,'2324 Jun 24 Enroll'!M$1,FALSE)+VLOOKUP($A12,EnrollData2324,'2324 Jun 24 Enroll'!D$1,FALSE)=VLOOKUP($A12,'ESA Calculations 2324 Supp'!$A$4:$AE$34,18,FALSE)+VLOOKUP($A12,'ESA Calculations 2324 Supp'!$A$4:$AE$34,4,FALSE),VLOOKUP($A12,EnrollData2324,'2324 Jun 24 Enroll'!M$1,FALSE)+VLOOKUP($A12,EnrollData2324,'2324 Jun 24 Enroll'!D$1,FALSE),VLOOKUP($A12,'ESA Calculations 2324 Supp'!$A$4:$AE$34,18,FALSE)+VLOOKUP($A12,'ESA Calculations 2324 Supp'!$A$4:$AE$34,4,FALSE)),5)</f>
        <v>5.6570000000000002E-2</v>
      </c>
      <c r="K12" s="11">
        <f t="shared" si="1"/>
        <v>4.3699999999999998E-3</v>
      </c>
      <c r="L12">
        <f>ROUND(IF(VLOOKUP($A12,EnrollData2324,'2324 Jun 24 Enroll'!D$1,FALSE)=VLOOKUP($A12,'ESA Calculations 2324 Supp'!$A$4:$AE$34,4,FALSE),VLOOKUP($A12,EnrollData2324,'2324 Jun 24 Enroll'!D$1,FALSE),VLOOKUP($A12,'ESA Calculations 2324 Supp'!$A$4:$AE$34,4,FALSE))*K12,3)</f>
        <v>0</v>
      </c>
      <c r="M12">
        <f>ROUND(IF(VLOOKUP($A12,EnrollData2324,'2324 Jun 24 Enroll'!E$1,FALSE)=VLOOKUP($A12,'ESA Calculations 2324 Supp'!$A$4:$AE$34,5,FALSE),VLOOKUP($A12,EnrollData2324,'2324 Jun 24 Enroll'!E$1,FALSE),VLOOKUP($A12,'ESA Calculations 2324 Supp'!$A$4:$AE$34,5,FALSE))*K12,3)</f>
        <v>6.6000000000000003E-2</v>
      </c>
      <c r="N12">
        <f>ROUND(IF(VLOOKUP($A12,EnrollData2324,'2324 Jun 24 Enroll'!F$1,FALSE)=VLOOKUP($A12,'ESA Calculations 2324 Supp'!$A$4:$AE$34,6,FALSE),VLOOKUP($A12,EnrollData2324,'2324 Jun 24 Enroll'!F$1,FALSE),VLOOKUP($A12,'ESA Calculations 2324 Supp'!$A$4:$AE$34,6,FALSE))*Apport_223A2324s,3)</f>
        <v>2.3E-2</v>
      </c>
      <c r="O12">
        <f>ROUND(IF(VLOOKUP($A12,EnrollData2324,'2324 Jun 24 Enroll'!G$1,FALSE)=VLOOKUP($A12,'ESA Calculations 2324 Supp'!$A$4:$AE$34,7,FALSE),VLOOKUP($A12,EnrollData2324,'2324 Jun 24 Enroll'!G$1,FALSE),VLOOKUP($A12,'ESA Calculations 2324 Supp'!$A$4:$AE$34,7,FALSE))*Apport_211A2324s,3)</f>
        <v>4.1000000000000002E-2</v>
      </c>
      <c r="P12">
        <f>ROUND(IF(VLOOKUP($A12,EnrollData2324,'2324 Jun 24 Enroll'!H$1,FALSE)=VLOOKUP($A12,'ESA Calculations 2324 Supp'!$A$4:$AE$34,8,FALSE),VLOOKUP($A12,EnrollData2324,'2324 Jun 24 Enroll'!H$1,FALSE),VLOOKUP($A12,'ESA Calculations 2324 Supp'!$A$4:$AE$34,8,FALSE))*Apport_214A2324s,3)</f>
        <v>2.1000000000000001E-2</v>
      </c>
      <c r="Q12">
        <f>ROUND(IF(VLOOKUP($A12,EnrollData2324,'2324 Jun 24 Enroll'!I$1,FALSE)+VLOOKUP($A12,EnrollData2324,'2324 Jun 24 Enroll'!M$1,FALSE)-VLOOKUP($A12,EnrollData2324,'2324 Jun 24 Enroll'!J$1,FALSE)=VLOOKUP($A12,'ESA Calculations 2324 Supp'!$A$4:$AE$34,9,FALSE)+VLOOKUP($A12,'ESA Calculations 2324 Supp'!$A$4:$AE$34,18,FALSE)-VLOOKUP($A12,'ESA Calculations 2324 Supp'!$A$4:$AE$34,10,FALSE),VLOOKUP($A12,EnrollData2324,'2324 Jun 24 Enroll'!I$1,FALSE)+VLOOKUP($A12,EnrollData2324,'2324 Jun 24 Enroll'!M$1,FALSE)-VLOOKUP($A12,EnrollData2324,'2324 Jun 24 Enroll'!J$1,FALSE),VLOOKUP($A12,'ESA Calculations 2324 Supp'!$A$4:$AE$34,9,FALSE)+VLOOKUP($A12,'ESA Calculations 2324 Supp'!$A$4:$AE$34,18,FALSE)-VLOOKUP($A12,'ESA Calculations 2324 Supp'!$A$4:$AE$34,10,FALSE))*Apport_217A2324s,3)</f>
        <v>5.0999999999999997E-2</v>
      </c>
      <c r="R12">
        <f>ROUND(SUM(L12:Q12)/IF(VLOOKUP($A12,EnrollData2324,'2324 Jun 24 Enroll'!M$1,FALSE)+VLOOKUP($A12,EnrollData2324,'2324 Jun 24 Enroll'!D$1,FALSE)=VLOOKUP($A12,'ESA Calculations 2324 Supp'!$A$4:$AE$34,18,FALSE)+VLOOKUP($A12,'ESA Calculations 2324 Supp'!$A$4:$AE$34,4,FALSE),VLOOKUP($A12,EnrollData2324,'2324 Jun 24 Enroll'!M$1,FALSE)+VLOOKUP($A12,EnrollData2324,'2324 Jun 24 Enroll'!D$1,FALSE),VLOOKUP($A12,'ESA Calculations 2324 Supp'!$A$4:$AE$34,18,FALSE)+VLOOKUP($A12,'ESA Calculations 2324 Supp'!$A$4:$AE$34,4,FALSE)),5)</f>
        <v>4.1599999999999996E-3</v>
      </c>
      <c r="S12" s="11">
        <f t="shared" si="2"/>
        <v>1.8689600000000001E-2</v>
      </c>
      <c r="T12">
        <f>ROUND(IF(VLOOKUP($A12,EnrollData2324,'2324 Jun 24 Enroll'!D$1,FALSE)=VLOOKUP($A12,'ESA Calculations 2324 Supp'!$A$4:$AE$34,4,FALSE),VLOOKUP($A12,EnrollData2324,'2324 Jun 24 Enroll'!D$1,FALSE),VLOOKUP($A12,'ESA Calculations 2324 Supp'!$A$4:$AE$34,4,FALSE))*S12,3)</f>
        <v>0</v>
      </c>
      <c r="U12">
        <f>ROUND(IF(VLOOKUP($A12,EnrollData2324,'2324 Jun 24 Enroll'!E$1,FALSE)=VLOOKUP($A12,'ESA Calculations 2324 Supp'!$A$4:$AE$34,5,FALSE),VLOOKUP($A12,EnrollData2324,'2324 Jun 24 Enroll'!E$1,FALSE),VLOOKUP($A12,'ESA Calculations 2324 Supp'!$A$4:$AE$34,5,FALSE))*S12,3)</f>
        <v>0.28000000000000003</v>
      </c>
      <c r="V12">
        <f>ROUND(IF(VLOOKUP($A12,EnrollData2324,'2324 Jun 24 Enroll'!F$1,FALSE)=VLOOKUP($A12,'ESA Calculations 2324 Supp'!$A$4:$AE$34,6,FALSE),VLOOKUP($A12,EnrollData2324,'2324 Jun 24 Enroll'!F$1,FALSE),VLOOKUP($A12,'ESA Calculations 2324 Supp'!$A$4:$AE$34,6,FALSE))*Apport_224A2324s,3)</f>
        <v>0.10100000000000001</v>
      </c>
      <c r="W12">
        <f>ROUND(IF(VLOOKUP($A12,EnrollData2324,'2324 Jun 24 Enroll'!G$1,FALSE)=VLOOKUP($A12,'ESA Calculations 2324 Supp'!$A$4:$AE$34,7,FALSE),VLOOKUP($A12,EnrollData2324,'2324 Jun 24 Enroll'!G$1,FALSE),VLOOKUP($A12,'ESA Calculations 2324 Supp'!$A$4:$AE$34,7,FALSE))*Apport_212A2324s,3)</f>
        <v>0.17899999999999999</v>
      </c>
      <c r="X12">
        <f>ROUND(IF(VLOOKUP($A12,EnrollData2324,'2324 Jun 24 Enroll'!H$1,FALSE)=VLOOKUP($A12,'ESA Calculations 2324 Supp'!$A$4:$AE$34,8,FALSE),VLOOKUP($A12,EnrollData2324,'2324 Jun 24 Enroll'!H$1,FALSE),VLOOKUP($A12,'ESA Calculations 2324 Supp'!$A$4:$AE$34,8,FALSE))*Apport_215A2324s,3)</f>
        <v>8.8999999999999996E-2</v>
      </c>
      <c r="Y12">
        <f>ROUND(IF(VLOOKUP($A12,EnrollData2324,'2324 Jun 24 Enroll'!I$1,FALSE)+VLOOKUP($A12,EnrollData2324,'2324 Jun 24 Enroll'!M$1,FALSE)-VLOOKUP($A12,EnrollData2324,'2324 Jun 24 Enroll'!J$1,FALSE)=VLOOKUP($A12,'ESA Calculations 2324 Supp'!$A$4:$AE$34,9,FALSE)+VLOOKUP($A12,'ESA Calculations 2324 Supp'!$A$4:$AE$34,18,FALSE)-VLOOKUP($A12,'ESA Calculations 2324 Supp'!$A$4:$AE$34,10,FALSE),VLOOKUP($A12,EnrollData2324,'2324 Jun 24 Enroll'!I$1,FALSE)+VLOOKUP($A12,EnrollData2324,'2324 Jun 24 Enroll'!M$1,FALSE)-VLOOKUP($A12,EnrollData2324,'2324 Jun 24 Enroll'!J$1,FALSE),VLOOKUP($A12,'ESA Calculations 2324 Supp'!$A$4:$AE$34,9,FALSE)+VLOOKUP($A12,'ESA Calculations 2324 Supp'!$A$4:$AE$34,18,FALSE)-VLOOKUP($A12,'ESA Calculations 2324 Supp'!$A$4:$AE$34,10,FALSE))*Apport_218A2324s,3)</f>
        <v>0.22</v>
      </c>
      <c r="Z12">
        <f>ROUND(SUM(T12:Y12)/IF(VLOOKUP($A12,EnrollData2324,'2324 Jun 24 Enroll'!M$1,FALSE)+VLOOKUP($A12,EnrollData2324,'2324 Jun 24 Enroll'!D$1,FALSE)=VLOOKUP($A12,'ESA Calculations 2324 Supp'!$A$4:$AE$34,18,FALSE)+VLOOKUP($A12,'ESA Calculations 2324 Supp'!$A$4:$AE$34,4,FALSE),VLOOKUP($A12,EnrollData2324,'2324 Jun 24 Enroll'!M$1,FALSE)+VLOOKUP($A12,EnrollData2324,'2324 Jun 24 Enroll'!D$1,FALSE),VLOOKUP($A12,'ESA Calculations 2324 Supp'!$A$4:$AE$34,18,FALSE)+VLOOKUP($A12,'ESA Calculations 2324 Supp'!$A$4:$AE$34,4,FALSE)),5)</f>
        <v>1.7909999999999999E-2</v>
      </c>
      <c r="AA12" s="6" cm="1">
        <f t="array" ref="AA12">ROUND($J12*CIS_Base_Salary2324s*VLOOKUP($A12,EnrollData2324,'2324 Jun 24 Enroll'!S$1,FALSE),2)</f>
        <v>4114.22</v>
      </c>
      <c r="AB12" s="6" cm="1">
        <f t="array" ref="AB12">ROUND($J12*CIS_Inc_Salary2324s*(VLOOKUP($A12,EnrollData2324,'2324 Jun 24 Enroll'!T$1,FALSE)+VLOOKUP($A12,EnrollData2324,'2324 Jun 24 Enroll'!U$1,FALSE)),2)-AA12</f>
        <v>237.55999999999949</v>
      </c>
      <c r="AC12" s="6" cm="1">
        <f t="array" ref="AC12">ROUND($R12*CAS_Base_Salary2324s*VLOOKUP($A12,EnrollData2324,'2324 Jun 24 Enroll'!S$1,FALSE),2)</f>
        <v>449.09</v>
      </c>
      <c r="AD12" s="6" cm="1">
        <f t="array" ref="AD12">ROUND($R12*CAS_Inc_Salary2324s*VLOOKUP($A12,EnrollData2324,'2324 Jun 24 Enroll'!T$1,FALSE),2)-AC12</f>
        <v>16.620000000000005</v>
      </c>
      <c r="AE12" s="6" cm="1">
        <f t="array" ref="AE12">ROUND($Z12*CLS_Base_Salary2324s*VLOOKUP($A12,EnrollData2324,'2324 Jun 24 Enroll'!S$1,FALSE),2)</f>
        <v>934.42</v>
      </c>
      <c r="AF12" s="6" cm="1">
        <f t="array" ref="AF12">ROUND($Z12*CLS_Inc_Salary2324s*VLOOKUP($A12,EnrollData2324,'2324 Jun 24 Enroll'!T$1,FALSE),2)-AE12</f>
        <v>34.560000000000059</v>
      </c>
      <c r="AG12" cm="1">
        <f t="array" ref="AG12">ROUND(($J12+$R12)*Apport_124X2324s,2)</f>
        <v>747.71</v>
      </c>
      <c r="AH12" s="69">
        <f t="shared" si="3"/>
        <v>69.959999999999923</v>
      </c>
      <c r="AI12" cm="1">
        <f t="array" ref="AI12">ROUND($Z12*Apport_124X2324s,2)</f>
        <v>220.51</v>
      </c>
      <c r="AJ12" cm="1">
        <f t="array" ref="AJ12">ROUND($Z12*Apport_621X2324s*Apport_125X2324s,2)-AI12</f>
        <v>117.56</v>
      </c>
      <c r="AK12" cm="1">
        <f t="array" ref="AK12">ROUND((AA12+AC12)*Apport_126X2324s,2)</f>
        <v>820.03</v>
      </c>
      <c r="AL12" cm="1">
        <f t="array" ref="AL12">ROUND((AB12+AD12)*Apport_127X2324s,2)</f>
        <v>44.05</v>
      </c>
      <c r="AM12" cm="1">
        <f t="array" ref="AM12">ROUND(AE12*Apport_128X2324s,2)</f>
        <v>206.13</v>
      </c>
      <c r="AN12" cm="1">
        <f t="array" ref="AN12">ROUND(AF12*Apport_129X2324s,2)</f>
        <v>6.41</v>
      </c>
      <c r="AO12" cm="1">
        <f t="array" ref="AO12">ROUND(($J12*CIS_Inc_Salary2324s*(VLOOKUP($A12,EnrollData2324,'2324 Jun 24 Enroll'!T$1,FALSE)+VLOOKUP($A12,EnrollData2324,'2324 Jun 24 Enroll'!U$1,FALSE))/Apport_613Xpd)*Apport_614Xpd,2)</f>
        <v>72.53</v>
      </c>
      <c r="AP12" cm="1">
        <f t="array" ref="AP12">ROUND(AO12*Apport_127X2324s,2)</f>
        <v>12.57</v>
      </c>
      <c r="AQ12">
        <f t="shared" si="4"/>
        <v>31.51</v>
      </c>
      <c r="AR12" s="6" cm="1">
        <f t="array" ref="AR12">ROUND((IF(VLOOKUP($A12,EnrollData2324,'2324 Jun 24 Enroll'!D$1,FALSE)=VLOOKUP($A12,'ESA Calculations 2324 Supp'!$A$4:$AE$34,4,FALSE),VLOOKUP($A12,EnrollData2324,'2324 Jun 24 Enroll'!D$1,FALSE),VLOOKUP($A12,'ESA Calculations 2324 Supp'!$A$4:$AE$34,4,FALSE))*Apport_M802324s+IF(VLOOKUP($A12,EnrollData2324,'2324 Jun 24 Enroll'!M$1,FALSE)=VLOOKUP($A12,'ESA Calculations 2324 Supp'!$A$4:$AE$34,18,FALSE),VLOOKUP($A12,EnrollData2324,'2324 Jun 24 Enroll'!M$1,FALSE),VLOOKUP($A12,'ESA Calculations 2324 Supp'!$A$4:$AE$34,18,FALSE))*Apport_M802324s+IF((VLOOKUP($A12,EnrollData2324,'2324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Enroll'!L$1,FALSE))=VLOOKUP($A12,EnrollData2324,'2324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Enroll'!L$1,FALSE),(VLOOKUP($A12,EnrollData2324,'2324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Enroll'!L$1,FALSE)),(VLOOKUP($A12,EnrollData2324,'2324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Enroll'!L$1,FALSE)))*Apport_M812324s)/(IF(VLOOKUP($A12,EnrollData2324,'2324 Jun 24 Enroll'!M$1,FALSE)=VLOOKUP($A12,'ESA Calculations 2324 Supp'!$A$4:$AE$34,18,FALSE),VLOOKUP($A12,EnrollData2324,'2324 Jun 24 Enroll'!M$1,FALSE),VLOOKUP($A12,'ESA Calculations 2324 Supp'!$A$4:$AE$34,18,FALSE))+IF(VLOOKUP($A12,EnrollData2324,'2324 Jun 24 Enroll'!D$1,FALSE)=VLOOKUP($A12,'ESA Calculations 2324 Supp'!$A$4:$AE$34,4,FALSE),VLOOKUP($A12,EnrollData2324,'2324 Jun 24 Enroll'!D$1,FALSE),VLOOKUP($A12,'ESA Calculations 2324 Supp'!$A$4:$AE$34,4,FALSE))),2)</f>
        <v>1556.49</v>
      </c>
      <c r="AS12" s="7">
        <f t="shared" si="5"/>
        <v>9691.93</v>
      </c>
      <c r="AT12" s="6">
        <f>IF(VLOOKUP($A12,EnrollData2324,'2324 Jun 24 Enroll'!AA$1,FALSE)=VLOOKUP($A12,'ESA Calculations 2324 Supp'!$A$4:$AE$34,24,FALSE),VLOOKUP($A12,EnrollData2324,'2324 Jun 24 Enroll'!AA$1,FALSE),VLOOKUP($A12,'ESA Calculations 2324 Supp'!$A$4:$AE$34,24,FALSE))</f>
        <v>48.51</v>
      </c>
    </row>
    <row r="13" spans="1:49">
      <c r="A13" s="40" t="s">
        <v>544</v>
      </c>
      <c r="B13" s="40" t="s">
        <v>545</v>
      </c>
      <c r="C13" s="11">
        <f>ROUND((IFERROR((1/IF(VLOOKUP($A13,EnrollData2324,28,FALSE)=VLOOKUP($A13,'ESA Calculations 2324 Supp'!$A$4:$AE$34,3,FALSE),VLOOKUP($A13,EnrollData2324,28,FALSE),VLOOKUP($A13,'ESA Calculations 2324 Supp'!$A$4:$AE$34,3,FALSE)))*(1+Apport_Z315),0))+Apport_201A2324s,6)</f>
        <v>7.3449E-2</v>
      </c>
      <c r="D13">
        <f>ROUND(IF(VLOOKUP($A13,EnrollData2324,'2324 Jun 24 Enroll'!D$1,FALSE)=VLOOKUP($A13,'ESA Calculations 2324 Supp'!$A$4:$AE$34,4,FALSE),VLOOKUP($A13,EnrollData2324,'2324 Jun 24 Enroll'!D$1,FALSE),VLOOKUP($A13,'ESA Calculations 2324 Supp'!$A$4:$AE$34,4,FALSE))*C13,3)</f>
        <v>0</v>
      </c>
      <c r="E13">
        <f>ROUND(IF(VLOOKUP($A13,EnrollData2324,'2324 Jun 24 Enroll'!E$1,FALSE)=VLOOKUP($A13,'ESA Calculations 2324 Supp'!$A$4:$AE$34,5,FALSE),VLOOKUP($A13,EnrollData2324,'2324 Jun 24 Enroll'!E$1,FALSE),VLOOKUP($A13,'ESA Calculations 2324 Supp'!$A$4:$AE$34,5,FALSE))*C13,3)</f>
        <v>3.9590000000000001</v>
      </c>
      <c r="F13">
        <f>ROUND(IF(VLOOKUP($A13,EnrollData2324,'2324 Jun 24 Enroll'!F$1,FALSE)=VLOOKUP($A13,'ESA Calculations 2324 Supp'!$A$4:$AE$34,6,FALSE),VLOOKUP($A13,EnrollData2324,'2324 Jun 24 Enroll'!F$1,FALSE),VLOOKUP($A13,'ESA Calculations 2324 Supp'!$A$4:$AE$34,6,FALSE))*Apport_222A2324s,3)</f>
        <v>1.1830000000000001</v>
      </c>
      <c r="G13">
        <f>ROUND(IF(VLOOKUP($A13,EnrollData2324,'2324 Jun 24 Enroll'!G$1,FALSE)=VLOOKUP($A13,'ESA Calculations 2324 Supp'!$A$4:$AE$34,7,FALSE),VLOOKUP($A13,EnrollData2324,'2324 Jun 24 Enroll'!G$1,FALSE),VLOOKUP($A13,'ESA Calculations 2324 Supp'!$A$4:$AE$34,7,FALSE))*Apport_210A2324s,3)</f>
        <v>1.3620000000000001</v>
      </c>
      <c r="H13">
        <f>ROUND(IF(VLOOKUP($A13,EnrollData2324,'2324 Jun 24 Enroll'!H$1,FALSE)=VLOOKUP($A13,'ESA Calculations 2324 Supp'!$A$4:$AE$34,8,FALSE),VLOOKUP($A13,EnrollData2324,'2324 Jun 24 Enroll'!H$1,FALSE),VLOOKUP($A13,'ESA Calculations 2324 Supp'!$A$4:$AE$34,8,FALSE))*Apport_213A2324s,3)</f>
        <v>1.657</v>
      </c>
      <c r="I13">
        <f>ROUND(IF(VLOOKUP($A13,EnrollData2324,'2324 Jun 24 Enroll'!I$1,FALSE)+VLOOKUP($A13,EnrollData2324,'2324 Jun 24 Enroll'!M$1,FALSE)-VLOOKUP($A13,EnrollData2324,'2324 Jun 24 Enroll'!J$1,FALSE)=VLOOKUP($A13,'ESA Calculations 2324 Supp'!$A$4:$AE$34,9,FALSE)+VLOOKUP($A13,'ESA Calculations 2324 Supp'!$A$4:$AE$34,18,FALSE)-VLOOKUP($A13,'ESA Calculations 2324 Supp'!$A$4:$AE$34,10,FALSE),VLOOKUP($A13,EnrollData2324,'2324 Jun 24 Enroll'!I$1,FALSE)+VLOOKUP($A13,EnrollData2324,'2324 Jun 24 Enroll'!M$1,FALSE)-VLOOKUP($A13,EnrollData2324,'2324 Jun 24 Enroll'!J$1,FALSE),VLOOKUP($A13,'ESA Calculations 2324 Supp'!$A$4:$AE$34,9,FALSE)+VLOOKUP($A13,'ESA Calculations 2324 Supp'!$A$4:$AE$34,18,FALSE)-VLOOKUP($A13,'ESA Calculations 2324 Supp'!$A$4:$AE$34,10,FALSE))*Apport_216A2324s,3)</f>
        <v>3.37</v>
      </c>
      <c r="J13">
        <f>ROUND(SUM(D13:I13)/IF(VLOOKUP($A13,EnrollData2324,'2324 Jun 24 Enroll'!M$1,FALSE)+VLOOKUP($A13,EnrollData2324,'2324 Jun 24 Enroll'!D$1,FALSE)=VLOOKUP($A13,'ESA Calculations 2324 Supp'!$A$4:$AE$34,18,FALSE)+VLOOKUP($A13,'ESA Calculations 2324 Supp'!$A$4:$AE$34,4,FALSE),VLOOKUP($A13,EnrollData2324,'2324 Jun 24 Enroll'!M$1,FALSE)+VLOOKUP($A13,EnrollData2324,'2324 Jun 24 Enroll'!D$1,FALSE),VLOOKUP($A13,'ESA Calculations 2324 Supp'!$A$4:$AE$34,18,FALSE)+VLOOKUP($A13,'ESA Calculations 2324 Supp'!$A$4:$AE$34,4,FALSE)),5)</f>
        <v>5.543E-2</v>
      </c>
      <c r="K13" s="11">
        <f t="shared" si="1"/>
        <v>4.3699999999999998E-3</v>
      </c>
      <c r="L13">
        <f>ROUND(IF(VLOOKUP($A13,EnrollData2324,'2324 Jun 24 Enroll'!D$1,FALSE)=VLOOKUP($A13,'ESA Calculations 2324 Supp'!$A$4:$AE$34,4,FALSE),VLOOKUP($A13,EnrollData2324,'2324 Jun 24 Enroll'!D$1,FALSE),VLOOKUP($A13,'ESA Calculations 2324 Supp'!$A$4:$AE$34,4,FALSE))*K13,3)</f>
        <v>0</v>
      </c>
      <c r="M13">
        <f>ROUND(IF(VLOOKUP($A13,EnrollData2324,'2324 Jun 24 Enroll'!E$1,FALSE)=VLOOKUP($A13,'ESA Calculations 2324 Supp'!$A$4:$AE$34,5,FALSE),VLOOKUP($A13,EnrollData2324,'2324 Jun 24 Enroll'!E$1,FALSE),VLOOKUP($A13,'ESA Calculations 2324 Supp'!$A$4:$AE$34,5,FALSE))*K13,3)</f>
        <v>0.23599999999999999</v>
      </c>
      <c r="N13">
        <f>ROUND(IF(VLOOKUP($A13,EnrollData2324,'2324 Jun 24 Enroll'!F$1,FALSE)=VLOOKUP($A13,'ESA Calculations 2324 Supp'!$A$4:$AE$34,6,FALSE),VLOOKUP($A13,EnrollData2324,'2324 Jun 24 Enroll'!F$1,FALSE),VLOOKUP($A13,'ESA Calculations 2324 Supp'!$A$4:$AE$34,6,FALSE))*Apport_223A2324s,3)</f>
        <v>9.9000000000000005E-2</v>
      </c>
      <c r="O13">
        <f>ROUND(IF(VLOOKUP($A13,EnrollData2324,'2324 Jun 24 Enroll'!G$1,FALSE)=VLOOKUP($A13,'ESA Calculations 2324 Supp'!$A$4:$AE$34,7,FALSE),VLOOKUP($A13,EnrollData2324,'2324 Jun 24 Enroll'!G$1,FALSE),VLOOKUP($A13,'ESA Calculations 2324 Supp'!$A$4:$AE$34,7,FALSE))*Apport_211A2324s,3)</f>
        <v>0.114</v>
      </c>
      <c r="P13">
        <f>ROUND(IF(VLOOKUP($A13,EnrollData2324,'2324 Jun 24 Enroll'!H$1,FALSE)=VLOOKUP($A13,'ESA Calculations 2324 Supp'!$A$4:$AE$34,8,FALSE),VLOOKUP($A13,EnrollData2324,'2324 Jun 24 Enroll'!H$1,FALSE),VLOOKUP($A13,'ESA Calculations 2324 Supp'!$A$4:$AE$34,8,FALSE))*Apport_214A2324s,3)</f>
        <v>0.13800000000000001</v>
      </c>
      <c r="Q13">
        <f>ROUND(IF(VLOOKUP($A13,EnrollData2324,'2324 Jun 24 Enroll'!I$1,FALSE)+VLOOKUP($A13,EnrollData2324,'2324 Jun 24 Enroll'!M$1,FALSE)-VLOOKUP($A13,EnrollData2324,'2324 Jun 24 Enroll'!J$1,FALSE)=VLOOKUP($A13,'ESA Calculations 2324 Supp'!$A$4:$AE$34,9,FALSE)+VLOOKUP($A13,'ESA Calculations 2324 Supp'!$A$4:$AE$34,18,FALSE)-VLOOKUP($A13,'ESA Calculations 2324 Supp'!$A$4:$AE$34,10,FALSE),VLOOKUP($A13,EnrollData2324,'2324 Jun 24 Enroll'!I$1,FALSE)+VLOOKUP($A13,EnrollData2324,'2324 Jun 24 Enroll'!M$1,FALSE)-VLOOKUP($A13,EnrollData2324,'2324 Jun 24 Enroll'!J$1,FALSE),VLOOKUP($A13,'ESA Calculations 2324 Supp'!$A$4:$AE$34,9,FALSE)+VLOOKUP($A13,'ESA Calculations 2324 Supp'!$A$4:$AE$34,18,FALSE)-VLOOKUP($A13,'ESA Calculations 2324 Supp'!$A$4:$AE$34,10,FALSE))*Apport_217A2324s,3)</f>
        <v>0.27200000000000002</v>
      </c>
      <c r="R13">
        <f>ROUND(SUM(L13:Q13)/IF(VLOOKUP($A13,EnrollData2324,'2324 Jun 24 Enroll'!M$1,FALSE)+VLOOKUP($A13,EnrollData2324,'2324 Jun 24 Enroll'!D$1,FALSE)=VLOOKUP($A13,'ESA Calculations 2324 Supp'!$A$4:$AE$34,18,FALSE)+VLOOKUP($A13,'ESA Calculations 2324 Supp'!$A$4:$AE$34,4,FALSE),VLOOKUP($A13,EnrollData2324,'2324 Jun 24 Enroll'!M$1,FALSE)+VLOOKUP($A13,EnrollData2324,'2324 Jun 24 Enroll'!D$1,FALSE),VLOOKUP($A13,'ESA Calculations 2324 Supp'!$A$4:$AE$34,18,FALSE)+VLOOKUP($A13,'ESA Calculations 2324 Supp'!$A$4:$AE$34,4,FALSE)),5)</f>
        <v>4.13E-3</v>
      </c>
      <c r="S13" s="11">
        <f t="shared" si="2"/>
        <v>1.8689600000000001E-2</v>
      </c>
      <c r="T13">
        <f>ROUND(IF(VLOOKUP($A13,EnrollData2324,'2324 Jun 24 Enroll'!D$1,FALSE)=VLOOKUP($A13,'ESA Calculations 2324 Supp'!$A$4:$AE$34,4,FALSE),VLOOKUP($A13,EnrollData2324,'2324 Jun 24 Enroll'!D$1,FALSE),VLOOKUP($A13,'ESA Calculations 2324 Supp'!$A$4:$AE$34,4,FALSE))*S13,3)</f>
        <v>0</v>
      </c>
      <c r="U13">
        <f>ROUND(IF(VLOOKUP($A13,EnrollData2324,'2324 Jun 24 Enroll'!E$1,FALSE)=VLOOKUP($A13,'ESA Calculations 2324 Supp'!$A$4:$AE$34,5,FALSE),VLOOKUP($A13,EnrollData2324,'2324 Jun 24 Enroll'!E$1,FALSE),VLOOKUP($A13,'ESA Calculations 2324 Supp'!$A$4:$AE$34,5,FALSE))*S13,3)</f>
        <v>1.0069999999999999</v>
      </c>
      <c r="V13">
        <f>ROUND(IF(VLOOKUP($A13,EnrollData2324,'2324 Jun 24 Enroll'!F$1,FALSE)=VLOOKUP($A13,'ESA Calculations 2324 Supp'!$A$4:$AE$34,6,FALSE),VLOOKUP($A13,EnrollData2324,'2324 Jun 24 Enroll'!F$1,FALSE),VLOOKUP($A13,'ESA Calculations 2324 Supp'!$A$4:$AE$34,6,FALSE))*Apport_224A2324s,3)</f>
        <v>0.434</v>
      </c>
      <c r="W13">
        <f>ROUND(IF(VLOOKUP($A13,EnrollData2324,'2324 Jun 24 Enroll'!G$1,FALSE)=VLOOKUP($A13,'ESA Calculations 2324 Supp'!$A$4:$AE$34,7,FALSE),VLOOKUP($A13,EnrollData2324,'2324 Jun 24 Enroll'!G$1,FALSE),VLOOKUP($A13,'ESA Calculations 2324 Supp'!$A$4:$AE$34,7,FALSE))*Apport_212A2324s,3)</f>
        <v>0.499</v>
      </c>
      <c r="X13">
        <f>ROUND(IF(VLOOKUP($A13,EnrollData2324,'2324 Jun 24 Enroll'!H$1,FALSE)=VLOOKUP($A13,'ESA Calculations 2324 Supp'!$A$4:$AE$34,8,FALSE),VLOOKUP($A13,EnrollData2324,'2324 Jun 24 Enroll'!H$1,FALSE),VLOOKUP($A13,'ESA Calculations 2324 Supp'!$A$4:$AE$34,8,FALSE))*Apport_215A2324s,3)</f>
        <v>0.59699999999999998</v>
      </c>
      <c r="Y13">
        <f>ROUND(IF(VLOOKUP($A13,EnrollData2324,'2324 Jun 24 Enroll'!I$1,FALSE)+VLOOKUP($A13,EnrollData2324,'2324 Jun 24 Enroll'!M$1,FALSE)-VLOOKUP($A13,EnrollData2324,'2324 Jun 24 Enroll'!J$1,FALSE)=VLOOKUP($A13,'ESA Calculations 2324 Supp'!$A$4:$AE$34,9,FALSE)+VLOOKUP($A13,'ESA Calculations 2324 Supp'!$A$4:$AE$34,18,FALSE)-VLOOKUP($A13,'ESA Calculations 2324 Supp'!$A$4:$AE$34,10,FALSE),VLOOKUP($A13,EnrollData2324,'2324 Jun 24 Enroll'!I$1,FALSE)+VLOOKUP($A13,EnrollData2324,'2324 Jun 24 Enroll'!M$1,FALSE)-VLOOKUP($A13,EnrollData2324,'2324 Jun 24 Enroll'!J$1,FALSE),VLOOKUP($A13,'ESA Calculations 2324 Supp'!$A$4:$AE$34,9,FALSE)+VLOOKUP($A13,'ESA Calculations 2324 Supp'!$A$4:$AE$34,18,FALSE)-VLOOKUP($A13,'ESA Calculations 2324 Supp'!$A$4:$AE$34,10,FALSE))*Apport_218A2324s,3)</f>
        <v>1.171</v>
      </c>
      <c r="Z13">
        <f>ROUND(SUM(T13:Y13)/IF(VLOOKUP($A13,EnrollData2324,'2324 Jun 24 Enroll'!M$1,FALSE)+VLOOKUP($A13,EnrollData2324,'2324 Jun 24 Enroll'!D$1,FALSE)=VLOOKUP($A13,'ESA Calculations 2324 Supp'!$A$4:$AE$34,18,FALSE)+VLOOKUP($A13,'ESA Calculations 2324 Supp'!$A$4:$AE$34,4,FALSE),VLOOKUP($A13,EnrollData2324,'2324 Jun 24 Enroll'!M$1,FALSE)+VLOOKUP($A13,EnrollData2324,'2324 Jun 24 Enroll'!D$1,FALSE),VLOOKUP($A13,'ESA Calculations 2324 Supp'!$A$4:$AE$34,18,FALSE)+VLOOKUP($A13,'ESA Calculations 2324 Supp'!$A$4:$AE$34,4,FALSE)),5)</f>
        <v>1.7829999999999999E-2</v>
      </c>
      <c r="AA13" s="6" cm="1">
        <f t="array" ref="AA13">ROUND($J13*CIS_Base_Salary2324s*VLOOKUP($A13,EnrollData2324,'2324 Jun 24 Enroll'!S$1,FALSE),2)</f>
        <v>4031.31</v>
      </c>
      <c r="AB13" s="6" cm="1">
        <f t="array" ref="AB13">ROUND($J13*CIS_Inc_Salary2324s*(VLOOKUP($A13,EnrollData2324,'2324 Jun 24 Enroll'!T$1,FALSE)+VLOOKUP($A13,EnrollData2324,'2324 Jun 24 Enroll'!U$1,FALSE)),2)-AA13</f>
        <v>149.16999999999962</v>
      </c>
      <c r="AC13" s="6" cm="1">
        <f t="array" ref="AC13">ROUND($R13*CAS_Base_Salary2324s*VLOOKUP($A13,EnrollData2324,'2324 Jun 24 Enroll'!S$1,FALSE),2)</f>
        <v>445.85</v>
      </c>
      <c r="AD13" s="6" cm="1">
        <f t="array" ref="AD13">ROUND($R13*CAS_Inc_Salary2324s*VLOOKUP($A13,EnrollData2324,'2324 Jun 24 Enroll'!T$1,FALSE),2)-AC13</f>
        <v>16.5</v>
      </c>
      <c r="AE13" s="6" cm="1">
        <f t="array" ref="AE13">ROUND($Z13*CLS_Base_Salary2324s*VLOOKUP($A13,EnrollData2324,'2324 Jun 24 Enroll'!S$1,FALSE),2)</f>
        <v>930.24</v>
      </c>
      <c r="AF13" s="6" cm="1">
        <f t="array" ref="AF13">ROUND($Z13*CLS_Inc_Salary2324s*VLOOKUP($A13,EnrollData2324,'2324 Jun 24 Enroll'!T$1,FALSE),2)-AE13</f>
        <v>34.419999999999959</v>
      </c>
      <c r="AG13" cm="1">
        <f t="array" ref="AG13">ROUND(($J13+$R13)*Apport_124X2324s,2)</f>
        <v>733.3</v>
      </c>
      <c r="AH13" s="69">
        <f t="shared" si="3"/>
        <v>68.62</v>
      </c>
      <c r="AI13" cm="1">
        <f t="array" ref="AI13">ROUND($Z13*Apport_124X2324s,2)</f>
        <v>219.52</v>
      </c>
      <c r="AJ13" cm="1">
        <f t="array" ref="AJ13">ROUND($Z13*Apport_621X2324s*Apport_125X2324s,2)-AI13</f>
        <v>117.03999999999999</v>
      </c>
      <c r="AK13" cm="1">
        <f t="array" ref="AK13">ROUND((AA13+AC13)*Apport_126X2324s,2)</f>
        <v>804.55</v>
      </c>
      <c r="AL13" cm="1">
        <f t="array" ref="AL13">ROUND((AB13+AD13)*Apport_127X2324s,2)</f>
        <v>28.71</v>
      </c>
      <c r="AM13" cm="1">
        <f t="array" ref="AM13">ROUND(AE13*Apport_128X2324s,2)</f>
        <v>205.21</v>
      </c>
      <c r="AN13" cm="1">
        <f t="array" ref="AN13">ROUND(AF13*Apport_129X2324s,2)</f>
        <v>6.39</v>
      </c>
      <c r="AO13" cm="1">
        <f t="array" ref="AO13">ROUND(($J13*CIS_Inc_Salary2324s*(VLOOKUP($A13,EnrollData2324,'2324 Jun 24 Enroll'!T$1,FALSE)+VLOOKUP($A13,EnrollData2324,'2324 Jun 24 Enroll'!U$1,FALSE))/Apport_613Xpd)*Apport_614Xpd,2)</f>
        <v>69.67</v>
      </c>
      <c r="AP13" cm="1">
        <f t="array" ref="AP13">ROUND(AO13*Apport_127X2324s,2)</f>
        <v>12.07</v>
      </c>
      <c r="AQ13">
        <f t="shared" si="4"/>
        <v>30.88</v>
      </c>
      <c r="AR13" s="6" cm="1">
        <f t="array" ref="AR13">ROUND((IF(VLOOKUP($A13,EnrollData2324,'2324 Jun 24 Enroll'!D$1,FALSE)=VLOOKUP($A13,'ESA Calculations 2324 Supp'!$A$4:$AE$34,4,FALSE),VLOOKUP($A13,EnrollData2324,'2324 Jun 24 Enroll'!D$1,FALSE),VLOOKUP($A13,'ESA Calculations 2324 Supp'!$A$4:$AE$34,4,FALSE))*Apport_M802324s+IF(VLOOKUP($A13,EnrollData2324,'2324 Jun 24 Enroll'!M$1,FALSE)=VLOOKUP($A13,'ESA Calculations 2324 Supp'!$A$4:$AE$34,18,FALSE),VLOOKUP($A13,EnrollData2324,'2324 Jun 24 Enroll'!M$1,FALSE),VLOOKUP($A13,'ESA Calculations 2324 Supp'!$A$4:$AE$34,18,FALSE))*Apport_M802324s+IF((VLOOKUP($A13,EnrollData2324,'2324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Enroll'!L$1,FALSE))=VLOOKUP($A13,EnrollData2324,'2324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Enroll'!L$1,FALSE),(VLOOKUP($A13,EnrollData2324,'2324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Enroll'!L$1,FALSE)),(VLOOKUP($A13,EnrollData2324,'2324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Enroll'!L$1,FALSE)))*Apport_M812324s)/(IF(VLOOKUP($A13,EnrollData2324,'2324 Jun 24 Enroll'!M$1,FALSE)=VLOOKUP($A13,'ESA Calculations 2324 Supp'!$A$4:$AE$34,18,FALSE),VLOOKUP($A13,EnrollData2324,'2324 Jun 24 Enroll'!M$1,FALSE),VLOOKUP($A13,'ESA Calculations 2324 Supp'!$A$4:$AE$34,18,FALSE))+IF(VLOOKUP($A13,EnrollData2324,'2324 Jun 24 Enroll'!D$1,FALSE)=VLOOKUP($A13,'ESA Calculations 2324 Supp'!$A$4:$AE$34,4,FALSE),VLOOKUP($A13,EnrollData2324,'2324 Jun 24 Enroll'!D$1,FALSE),VLOOKUP($A13,'ESA Calculations 2324 Supp'!$A$4:$AE$34,4,FALSE))),2)</f>
        <v>1569.14</v>
      </c>
      <c r="AS13" s="7">
        <f t="shared" si="5"/>
        <v>9472.59</v>
      </c>
      <c r="AT13" s="6">
        <f>IF(VLOOKUP($A13,EnrollData2324,'2324 Jun 24 Enroll'!AA$1,FALSE)=VLOOKUP($A13,'ESA Calculations 2324 Supp'!$A$4:$AE$34,24,FALSE),VLOOKUP($A13,EnrollData2324,'2324 Jun 24 Enroll'!AA$1,FALSE),VLOOKUP($A13,'ESA Calculations 2324 Supp'!$A$4:$AE$34,24,FALSE))</f>
        <v>208.02</v>
      </c>
    </row>
    <row r="14" spans="1:49">
      <c r="A14" s="40" t="s">
        <v>887</v>
      </c>
      <c r="B14" s="40" t="s">
        <v>888</v>
      </c>
      <c r="C14" s="11">
        <f>ROUND((IFERROR((1/IF(VLOOKUP($A14,EnrollData2324,28,FALSE)=VLOOKUP($A14,'ESA Calculations 2324 Supp'!$A$4:$AE$34,3,FALSE),VLOOKUP($A14,EnrollData2324,28,FALSE),VLOOKUP($A14,'ESA Calculations 2324 Supp'!$A$4:$AE$34,3,FALSE)))*(1+Apport_Z315),0))+Apport_201A2324s,6)</f>
        <v>7.3449E-2</v>
      </c>
      <c r="D14">
        <f>ROUND(IF(VLOOKUP($A14,EnrollData2324,'2324 Jun 24 Enroll'!D$1,FALSE)=VLOOKUP($A14,'ESA Calculations 2324 Supp'!$A$4:$AE$34,4,FALSE),VLOOKUP($A14,EnrollData2324,'2324 Jun 24 Enroll'!D$1,FALSE),VLOOKUP($A14,'ESA Calculations 2324 Supp'!$A$4:$AE$34,4,FALSE))*C14,3)</f>
        <v>0</v>
      </c>
      <c r="E14">
        <f>ROUND(IF(VLOOKUP($A14,EnrollData2324,'2324 Jun 24 Enroll'!E$1,FALSE)=VLOOKUP($A14,'ESA Calculations 2324 Supp'!$A$4:$AE$34,5,FALSE),VLOOKUP($A14,EnrollData2324,'2324 Jun 24 Enroll'!E$1,FALSE),VLOOKUP($A14,'ESA Calculations 2324 Supp'!$A$4:$AE$34,5,FALSE))*C14,3)</f>
        <v>2.6150000000000002</v>
      </c>
      <c r="F14">
        <f>ROUND(IF(VLOOKUP($A14,EnrollData2324,'2324 Jun 24 Enroll'!F$1,FALSE)=VLOOKUP($A14,'ESA Calculations 2324 Supp'!$A$4:$AE$34,6,FALSE),VLOOKUP($A14,EnrollData2324,'2324 Jun 24 Enroll'!F$1,FALSE),VLOOKUP($A14,'ESA Calculations 2324 Supp'!$A$4:$AE$34,6,FALSE))*Apport_222A2324s,3)</f>
        <v>0.29499999999999998</v>
      </c>
      <c r="G14">
        <f>ROUND(IF(VLOOKUP($A14,EnrollData2324,'2324 Jun 24 Enroll'!G$1,FALSE)=VLOOKUP($A14,'ESA Calculations 2324 Supp'!$A$4:$AE$34,7,FALSE),VLOOKUP($A14,EnrollData2324,'2324 Jun 24 Enroll'!G$1,FALSE),VLOOKUP($A14,'ESA Calculations 2324 Supp'!$A$4:$AE$34,7,FALSE))*Apport_210A2324s,3)</f>
        <v>0.75800000000000001</v>
      </c>
      <c r="H14">
        <f>ROUND(IF(VLOOKUP($A14,EnrollData2324,'2324 Jun 24 Enroll'!H$1,FALSE)=VLOOKUP($A14,'ESA Calculations 2324 Supp'!$A$4:$AE$34,8,FALSE),VLOOKUP($A14,EnrollData2324,'2324 Jun 24 Enroll'!H$1,FALSE),VLOOKUP($A14,'ESA Calculations 2324 Supp'!$A$4:$AE$34,8,FALSE))*Apport_213A2324s,3)</f>
        <v>0.82799999999999996</v>
      </c>
      <c r="I14">
        <f>ROUND(IF(VLOOKUP($A14,EnrollData2324,'2324 Jun 24 Enroll'!I$1,FALSE)+VLOOKUP($A14,EnrollData2324,'2324 Jun 24 Enroll'!M$1,FALSE)-VLOOKUP($A14,EnrollData2324,'2324 Jun 24 Enroll'!J$1,FALSE)=VLOOKUP($A14,'ESA Calculations 2324 Supp'!$A$4:$AE$34,9,FALSE)+VLOOKUP($A14,'ESA Calculations 2324 Supp'!$A$4:$AE$34,18,FALSE)-VLOOKUP($A14,'ESA Calculations 2324 Supp'!$A$4:$AE$34,10,FALSE),VLOOKUP($A14,EnrollData2324,'2324 Jun 24 Enroll'!I$1,FALSE)+VLOOKUP($A14,EnrollData2324,'2324 Jun 24 Enroll'!M$1,FALSE)-VLOOKUP($A14,EnrollData2324,'2324 Jun 24 Enroll'!J$1,FALSE),VLOOKUP($A14,'ESA Calculations 2324 Supp'!$A$4:$AE$34,9,FALSE)+VLOOKUP($A14,'ESA Calculations 2324 Supp'!$A$4:$AE$34,18,FALSE)-VLOOKUP($A14,'ESA Calculations 2324 Supp'!$A$4:$AE$34,10,FALSE))*Apport_216A2324s,3)</f>
        <v>1.3</v>
      </c>
      <c r="J14">
        <f>ROUND(SUM(D14:I14)/IF(VLOOKUP($A14,EnrollData2324,'2324 Jun 24 Enroll'!M$1,FALSE)+VLOOKUP($A14,EnrollData2324,'2324 Jun 24 Enroll'!D$1,FALSE)=VLOOKUP($A14,'ESA Calculations 2324 Supp'!$A$4:$AE$34,18,FALSE)+VLOOKUP($A14,'ESA Calculations 2324 Supp'!$A$4:$AE$34,4,FALSE),VLOOKUP($A14,EnrollData2324,'2324 Jun 24 Enroll'!M$1,FALSE)+VLOOKUP($A14,EnrollData2324,'2324 Jun 24 Enroll'!D$1,FALSE),VLOOKUP($A14,'ESA Calculations 2324 Supp'!$A$4:$AE$34,18,FALSE)+VLOOKUP($A14,'ESA Calculations 2324 Supp'!$A$4:$AE$34,4,FALSE)),5)</f>
        <v>5.7709999999999997E-2</v>
      </c>
      <c r="K14" s="11">
        <f t="shared" si="1"/>
        <v>4.3699999999999998E-3</v>
      </c>
      <c r="L14">
        <f>ROUND(IF(VLOOKUP($A14,EnrollData2324,'2324 Jun 24 Enroll'!D$1,FALSE)=VLOOKUP($A14,'ESA Calculations 2324 Supp'!$A$4:$AE$34,4,FALSE),VLOOKUP($A14,EnrollData2324,'2324 Jun 24 Enroll'!D$1,FALSE),VLOOKUP($A14,'ESA Calculations 2324 Supp'!$A$4:$AE$34,4,FALSE))*K14,3)</f>
        <v>0</v>
      </c>
      <c r="M14">
        <f>ROUND(IF(VLOOKUP($A14,EnrollData2324,'2324 Jun 24 Enroll'!E$1,FALSE)=VLOOKUP($A14,'ESA Calculations 2324 Supp'!$A$4:$AE$34,5,FALSE),VLOOKUP($A14,EnrollData2324,'2324 Jun 24 Enroll'!E$1,FALSE),VLOOKUP($A14,'ESA Calculations 2324 Supp'!$A$4:$AE$34,5,FALSE))*K14,3)</f>
        <v>0.156</v>
      </c>
      <c r="N14">
        <f>ROUND(IF(VLOOKUP($A14,EnrollData2324,'2324 Jun 24 Enroll'!F$1,FALSE)=VLOOKUP($A14,'ESA Calculations 2324 Supp'!$A$4:$AE$34,6,FALSE),VLOOKUP($A14,EnrollData2324,'2324 Jun 24 Enroll'!F$1,FALSE),VLOOKUP($A14,'ESA Calculations 2324 Supp'!$A$4:$AE$34,6,FALSE))*Apport_223A2324s,3)</f>
        <v>2.5000000000000001E-2</v>
      </c>
      <c r="O14">
        <f>ROUND(IF(VLOOKUP($A14,EnrollData2324,'2324 Jun 24 Enroll'!G$1,FALSE)=VLOOKUP($A14,'ESA Calculations 2324 Supp'!$A$4:$AE$34,7,FALSE),VLOOKUP($A14,EnrollData2324,'2324 Jun 24 Enroll'!G$1,FALSE),VLOOKUP($A14,'ESA Calculations 2324 Supp'!$A$4:$AE$34,7,FALSE))*Apport_211A2324s,3)</f>
        <v>6.3E-2</v>
      </c>
      <c r="P14">
        <f>ROUND(IF(VLOOKUP($A14,EnrollData2324,'2324 Jun 24 Enroll'!H$1,FALSE)=VLOOKUP($A14,'ESA Calculations 2324 Supp'!$A$4:$AE$34,8,FALSE),VLOOKUP($A14,EnrollData2324,'2324 Jun 24 Enroll'!H$1,FALSE),VLOOKUP($A14,'ESA Calculations 2324 Supp'!$A$4:$AE$34,8,FALSE))*Apport_214A2324s,3)</f>
        <v>6.9000000000000006E-2</v>
      </c>
      <c r="Q14">
        <f>ROUND(IF(VLOOKUP($A14,EnrollData2324,'2324 Jun 24 Enroll'!I$1,FALSE)+VLOOKUP($A14,EnrollData2324,'2324 Jun 24 Enroll'!M$1,FALSE)-VLOOKUP($A14,EnrollData2324,'2324 Jun 24 Enroll'!J$1,FALSE)=VLOOKUP($A14,'ESA Calculations 2324 Supp'!$A$4:$AE$34,9,FALSE)+VLOOKUP($A14,'ESA Calculations 2324 Supp'!$A$4:$AE$34,18,FALSE)-VLOOKUP($A14,'ESA Calculations 2324 Supp'!$A$4:$AE$34,10,FALSE),VLOOKUP($A14,EnrollData2324,'2324 Jun 24 Enroll'!I$1,FALSE)+VLOOKUP($A14,EnrollData2324,'2324 Jun 24 Enroll'!M$1,FALSE)-VLOOKUP($A14,EnrollData2324,'2324 Jun 24 Enroll'!J$1,FALSE),VLOOKUP($A14,'ESA Calculations 2324 Supp'!$A$4:$AE$34,9,FALSE)+VLOOKUP($A14,'ESA Calculations 2324 Supp'!$A$4:$AE$34,18,FALSE)-VLOOKUP($A14,'ESA Calculations 2324 Supp'!$A$4:$AE$34,10,FALSE))*Apport_217A2324s,3)</f>
        <v>0.105</v>
      </c>
      <c r="R14">
        <f>ROUND(SUM(L14:Q14)/IF(VLOOKUP($A14,EnrollData2324,'2324 Jun 24 Enroll'!M$1,FALSE)+VLOOKUP($A14,EnrollData2324,'2324 Jun 24 Enroll'!D$1,FALSE)=VLOOKUP($A14,'ESA Calculations 2324 Supp'!$A$4:$AE$34,18,FALSE)+VLOOKUP($A14,'ESA Calculations 2324 Supp'!$A$4:$AE$34,4,FALSE),VLOOKUP($A14,EnrollData2324,'2324 Jun 24 Enroll'!M$1,FALSE)+VLOOKUP($A14,EnrollData2324,'2324 Jun 24 Enroll'!D$1,FALSE),VLOOKUP($A14,'ESA Calculations 2324 Supp'!$A$4:$AE$34,18,FALSE)+VLOOKUP($A14,'ESA Calculations 2324 Supp'!$A$4:$AE$34,4,FALSE)),5)</f>
        <v>4.1599999999999996E-3</v>
      </c>
      <c r="S14" s="11">
        <f t="shared" si="2"/>
        <v>1.8689600000000001E-2</v>
      </c>
      <c r="T14">
        <f>ROUND(IF(VLOOKUP($A14,EnrollData2324,'2324 Jun 24 Enroll'!D$1,FALSE)=VLOOKUP($A14,'ESA Calculations 2324 Supp'!$A$4:$AE$34,4,FALSE),VLOOKUP($A14,EnrollData2324,'2324 Jun 24 Enroll'!D$1,FALSE),VLOOKUP($A14,'ESA Calculations 2324 Supp'!$A$4:$AE$34,4,FALSE))*S14,3)</f>
        <v>0</v>
      </c>
      <c r="U14">
        <f>ROUND(IF(VLOOKUP($A14,EnrollData2324,'2324 Jun 24 Enroll'!E$1,FALSE)=VLOOKUP($A14,'ESA Calculations 2324 Supp'!$A$4:$AE$34,5,FALSE),VLOOKUP($A14,EnrollData2324,'2324 Jun 24 Enroll'!E$1,FALSE),VLOOKUP($A14,'ESA Calculations 2324 Supp'!$A$4:$AE$34,5,FALSE))*S14,3)</f>
        <v>0.66500000000000004</v>
      </c>
      <c r="V14">
        <f>ROUND(IF(VLOOKUP($A14,EnrollData2324,'2324 Jun 24 Enroll'!F$1,FALSE)=VLOOKUP($A14,'ESA Calculations 2324 Supp'!$A$4:$AE$34,6,FALSE),VLOOKUP($A14,EnrollData2324,'2324 Jun 24 Enroll'!F$1,FALSE),VLOOKUP($A14,'ESA Calculations 2324 Supp'!$A$4:$AE$34,6,FALSE))*Apport_224A2324s,3)</f>
        <v>0.108</v>
      </c>
      <c r="W14">
        <f>ROUND(IF(VLOOKUP($A14,EnrollData2324,'2324 Jun 24 Enroll'!G$1,FALSE)=VLOOKUP($A14,'ESA Calculations 2324 Supp'!$A$4:$AE$34,7,FALSE),VLOOKUP($A14,EnrollData2324,'2324 Jun 24 Enroll'!G$1,FALSE),VLOOKUP($A14,'ESA Calculations 2324 Supp'!$A$4:$AE$34,7,FALSE))*Apport_212A2324s,3)</f>
        <v>0.27800000000000002</v>
      </c>
      <c r="X14">
        <f>ROUND(IF(VLOOKUP($A14,EnrollData2324,'2324 Jun 24 Enroll'!H$1,FALSE)=VLOOKUP($A14,'ESA Calculations 2324 Supp'!$A$4:$AE$34,8,FALSE),VLOOKUP($A14,EnrollData2324,'2324 Jun 24 Enroll'!H$1,FALSE),VLOOKUP($A14,'ESA Calculations 2324 Supp'!$A$4:$AE$34,8,FALSE))*Apport_215A2324s,3)</f>
        <v>0.29899999999999999</v>
      </c>
      <c r="Y14">
        <f>ROUND(IF(VLOOKUP($A14,EnrollData2324,'2324 Jun 24 Enroll'!I$1,FALSE)+VLOOKUP($A14,EnrollData2324,'2324 Jun 24 Enroll'!M$1,FALSE)-VLOOKUP($A14,EnrollData2324,'2324 Jun 24 Enroll'!J$1,FALSE)=VLOOKUP($A14,'ESA Calculations 2324 Supp'!$A$4:$AE$34,9,FALSE)+VLOOKUP($A14,'ESA Calculations 2324 Supp'!$A$4:$AE$34,18,FALSE)-VLOOKUP($A14,'ESA Calculations 2324 Supp'!$A$4:$AE$34,10,FALSE),VLOOKUP($A14,EnrollData2324,'2324 Jun 24 Enroll'!I$1,FALSE)+VLOOKUP($A14,EnrollData2324,'2324 Jun 24 Enroll'!M$1,FALSE)-VLOOKUP($A14,EnrollData2324,'2324 Jun 24 Enroll'!J$1,FALSE),VLOOKUP($A14,'ESA Calculations 2324 Supp'!$A$4:$AE$34,9,FALSE)+VLOOKUP($A14,'ESA Calculations 2324 Supp'!$A$4:$AE$34,18,FALSE)-VLOOKUP($A14,'ESA Calculations 2324 Supp'!$A$4:$AE$34,10,FALSE))*Apport_218A2324s,3)</f>
        <v>0.45200000000000001</v>
      </c>
      <c r="Z14">
        <f>ROUND(SUM(T14:Y14)/IF(VLOOKUP($A14,EnrollData2324,'2324 Jun 24 Enroll'!M$1,FALSE)+VLOOKUP($A14,EnrollData2324,'2324 Jun 24 Enroll'!D$1,FALSE)=VLOOKUP($A14,'ESA Calculations 2324 Supp'!$A$4:$AE$34,18,FALSE)+VLOOKUP($A14,'ESA Calculations 2324 Supp'!$A$4:$AE$34,4,FALSE),VLOOKUP($A14,EnrollData2324,'2324 Jun 24 Enroll'!M$1,FALSE)+VLOOKUP($A14,EnrollData2324,'2324 Jun 24 Enroll'!D$1,FALSE),VLOOKUP($A14,'ESA Calculations 2324 Supp'!$A$4:$AE$34,18,FALSE)+VLOOKUP($A14,'ESA Calculations 2324 Supp'!$A$4:$AE$34,4,FALSE)),5)</f>
        <v>1.7940000000000001E-2</v>
      </c>
      <c r="AA14" s="6" cm="1">
        <f t="array" ref="AA14">ROUND($J14*CIS_Base_Salary2324s*VLOOKUP($A14,EnrollData2324,'2324 Jun 24 Enroll'!S$1,FALSE),2)</f>
        <v>4197.13</v>
      </c>
      <c r="AB14" s="6" cm="1">
        <f t="array" ref="AB14">ROUND($J14*CIS_Inc_Salary2324s*(VLOOKUP($A14,EnrollData2324,'2324 Jun 24 Enroll'!T$1,FALSE)+VLOOKUP($A14,EnrollData2324,'2324 Jun 24 Enroll'!U$1,FALSE)),2)-AA14</f>
        <v>155.30000000000018</v>
      </c>
      <c r="AC14" s="6" cm="1">
        <f t="array" ref="AC14">ROUND($R14*CAS_Base_Salary2324s*VLOOKUP($A14,EnrollData2324,'2324 Jun 24 Enroll'!S$1,FALSE),2)</f>
        <v>449.09</v>
      </c>
      <c r="AD14" s="6" cm="1">
        <f t="array" ref="AD14">ROUND($R14*CAS_Inc_Salary2324s*VLOOKUP($A14,EnrollData2324,'2324 Jun 24 Enroll'!T$1,FALSE),2)-AC14</f>
        <v>16.620000000000005</v>
      </c>
      <c r="AE14" s="6" cm="1">
        <f t="array" ref="AE14">ROUND($Z14*CLS_Base_Salary2324s*VLOOKUP($A14,EnrollData2324,'2324 Jun 24 Enroll'!S$1,FALSE),2)</f>
        <v>935.98</v>
      </c>
      <c r="AF14" s="6" cm="1">
        <f t="array" ref="AF14">ROUND($Z14*CLS_Inc_Salary2324s*VLOOKUP($A14,EnrollData2324,'2324 Jun 24 Enroll'!T$1,FALSE),2)-AE14</f>
        <v>34.629999999999995</v>
      </c>
      <c r="AG14" cm="1">
        <f t="array" ref="AG14">ROUND(($J14+$R14)*Apport_124X2324s,2)</f>
        <v>761.74</v>
      </c>
      <c r="AH14" s="69">
        <f t="shared" si="3"/>
        <v>71.279999999999973</v>
      </c>
      <c r="AI14" cm="1">
        <f t="array" ref="AI14">ROUND($Z14*Apport_124X2324s,2)</f>
        <v>220.88</v>
      </c>
      <c r="AJ14" cm="1">
        <f t="array" ref="AJ14">ROUND($Z14*Apport_621X2324s*Apport_125X2324s,2)-AI14</f>
        <v>117.75999999999999</v>
      </c>
      <c r="AK14" cm="1">
        <f t="array" ref="AK14">ROUND((AA14+AC14)*Apport_126X2324s,2)</f>
        <v>834.93</v>
      </c>
      <c r="AL14" cm="1">
        <f t="array" ref="AL14">ROUND((AB14+AD14)*Apport_127X2324s,2)</f>
        <v>29.79</v>
      </c>
      <c r="AM14" cm="1">
        <f t="array" ref="AM14">ROUND(AE14*Apport_128X2324s,2)</f>
        <v>206.48</v>
      </c>
      <c r="AN14" cm="1">
        <f t="array" ref="AN14">ROUND(AF14*Apport_129X2324s,2)</f>
        <v>6.43</v>
      </c>
      <c r="AO14" cm="1">
        <f t="array" ref="AO14">ROUND(($J14*CIS_Inc_Salary2324s*(VLOOKUP($A14,EnrollData2324,'2324 Jun 24 Enroll'!T$1,FALSE)+VLOOKUP($A14,EnrollData2324,'2324 Jun 24 Enroll'!U$1,FALSE))/Apport_613Xpd)*Apport_614Xpd,2)</f>
        <v>72.540000000000006</v>
      </c>
      <c r="AP14" cm="1">
        <f t="array" ref="AP14">ROUND(AO14*Apport_127X2324s,2)</f>
        <v>12.57</v>
      </c>
      <c r="AQ14">
        <f t="shared" si="4"/>
        <v>32.15</v>
      </c>
      <c r="AR14" s="6" cm="1">
        <f t="array" ref="AR14">ROUND((IF(VLOOKUP($A14,EnrollData2324,'2324 Jun 24 Enroll'!D$1,FALSE)=VLOOKUP($A14,'ESA Calculations 2324 Supp'!$A$4:$AE$34,4,FALSE),VLOOKUP($A14,EnrollData2324,'2324 Jun 24 Enroll'!D$1,FALSE),VLOOKUP($A14,'ESA Calculations 2324 Supp'!$A$4:$AE$34,4,FALSE))*Apport_M802324s+IF(VLOOKUP($A14,EnrollData2324,'2324 Jun 24 Enroll'!M$1,FALSE)=VLOOKUP($A14,'ESA Calculations 2324 Supp'!$A$4:$AE$34,18,FALSE),VLOOKUP($A14,EnrollData2324,'2324 Jun 24 Enroll'!M$1,FALSE),VLOOKUP($A14,'ESA Calculations 2324 Supp'!$A$4:$AE$34,18,FALSE))*Apport_M802324s+IF((VLOOKUP($A14,EnrollData2324,'2324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Enroll'!L$1,FALSE))=VLOOKUP($A14,EnrollData2324,'2324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Enroll'!L$1,FALSE),(VLOOKUP($A14,EnrollData2324,'2324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Enroll'!L$1,FALSE)),(VLOOKUP($A14,EnrollData2324,'2324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Enroll'!L$1,FALSE)))*Apport_M812324s)/(IF(VLOOKUP($A14,EnrollData2324,'2324 Jun 24 Enroll'!M$1,FALSE)=VLOOKUP($A14,'ESA Calculations 2324 Supp'!$A$4:$AE$34,18,FALSE),VLOOKUP($A14,EnrollData2324,'2324 Jun 24 Enroll'!M$1,FALSE),VLOOKUP($A14,'ESA Calculations 2324 Supp'!$A$4:$AE$34,18,FALSE))+IF(VLOOKUP($A14,EnrollData2324,'2324 Jun 24 Enroll'!D$1,FALSE)=VLOOKUP($A14,'ESA Calculations 2324 Supp'!$A$4:$AE$34,4,FALSE),VLOOKUP($A14,EnrollData2324,'2324 Jun 24 Enroll'!D$1,FALSE),VLOOKUP($A14,'ESA Calculations 2324 Supp'!$A$4:$AE$34,4,FALSE))),2)</f>
        <v>1556.14</v>
      </c>
      <c r="AS14" s="7">
        <f t="shared" si="5"/>
        <v>9711.44</v>
      </c>
      <c r="AT14" s="6">
        <f>IF(VLOOKUP($A14,EnrollData2324,'2324 Jun 24 Enroll'!AA$1,FALSE)=VLOOKUP($A14,'ESA Calculations 2324 Supp'!$A$4:$AE$34,24,FALSE),VLOOKUP($A14,EnrollData2324,'2324 Jun 24 Enroll'!AA$1,FALSE),VLOOKUP($A14,'ESA Calculations 2324 Supp'!$A$4:$AE$34,24,FALSE))</f>
        <v>100.43</v>
      </c>
    </row>
    <row r="15" spans="1:49">
      <c r="A15" s="40" t="s">
        <v>341</v>
      </c>
      <c r="B15" s="40" t="s">
        <v>342</v>
      </c>
      <c r="C15" s="11">
        <f>ROUND((IFERROR((1/IF(VLOOKUP($A15,EnrollData2324,28,FALSE)=VLOOKUP($A15,'ESA Calculations 2324 Supp'!$A$4:$AE$34,3,FALSE),VLOOKUP($A15,EnrollData2324,28,FALSE),VLOOKUP($A15,'ESA Calculations 2324 Supp'!$A$4:$AE$34,3,FALSE)))*(1+Apport_Z315),0))+Apport_201A2324s,6)</f>
        <v>7.3449E-2</v>
      </c>
      <c r="D15">
        <f>ROUND(IF(VLOOKUP($A15,EnrollData2324,'2324 Jun 24 Enroll'!D$1,FALSE)=VLOOKUP($A15,'ESA Calculations 2324 Supp'!$A$4:$AE$34,4,FALSE),VLOOKUP($A15,EnrollData2324,'2324 Jun 24 Enroll'!D$1,FALSE),VLOOKUP($A15,'ESA Calculations 2324 Supp'!$A$4:$AE$34,4,FALSE))*C15,3)</f>
        <v>0</v>
      </c>
      <c r="E15">
        <f>ROUND(IF(VLOOKUP($A15,EnrollData2324,'2324 Jun 24 Enroll'!E$1,FALSE)=VLOOKUP($A15,'ESA Calculations 2324 Supp'!$A$4:$AE$34,5,FALSE),VLOOKUP($A15,EnrollData2324,'2324 Jun 24 Enroll'!E$1,FALSE),VLOOKUP($A15,'ESA Calculations 2324 Supp'!$A$4:$AE$34,5,FALSE))*C15,3)</f>
        <v>2.4609999999999999</v>
      </c>
      <c r="F15">
        <f>ROUND(IF(VLOOKUP($A15,EnrollData2324,'2324 Jun 24 Enroll'!F$1,FALSE)=VLOOKUP($A15,'ESA Calculations 2324 Supp'!$A$4:$AE$34,6,FALSE),VLOOKUP($A15,EnrollData2324,'2324 Jun 24 Enroll'!F$1,FALSE),VLOOKUP($A15,'ESA Calculations 2324 Supp'!$A$4:$AE$34,6,FALSE))*Apport_222A2324s,3)</f>
        <v>0.34799999999999998</v>
      </c>
      <c r="G15">
        <f>ROUND(IF(VLOOKUP($A15,EnrollData2324,'2324 Jun 24 Enroll'!G$1,FALSE)=VLOOKUP($A15,'ESA Calculations 2324 Supp'!$A$4:$AE$34,7,FALSE),VLOOKUP($A15,EnrollData2324,'2324 Jun 24 Enroll'!G$1,FALSE),VLOOKUP($A15,'ESA Calculations 2324 Supp'!$A$4:$AE$34,7,FALSE))*Apport_210A2324s,3)</f>
        <v>0.98</v>
      </c>
      <c r="H15">
        <f>ROUND(IF(VLOOKUP($A15,EnrollData2324,'2324 Jun 24 Enroll'!H$1,FALSE)=VLOOKUP($A15,'ESA Calculations 2324 Supp'!$A$4:$AE$34,8,FALSE),VLOOKUP($A15,EnrollData2324,'2324 Jun 24 Enroll'!H$1,FALSE),VLOOKUP($A15,'ESA Calculations 2324 Supp'!$A$4:$AE$34,8,FALSE))*Apport_213A2324s,3)</f>
        <v>0.75600000000000001</v>
      </c>
      <c r="I15">
        <f>ROUND(IF(VLOOKUP($A15,EnrollData2324,'2324 Jun 24 Enroll'!I$1,FALSE)+VLOOKUP($A15,EnrollData2324,'2324 Jun 24 Enroll'!M$1,FALSE)-VLOOKUP($A15,EnrollData2324,'2324 Jun 24 Enroll'!J$1,FALSE)=VLOOKUP($A15,'ESA Calculations 2324 Supp'!$A$4:$AE$34,9,FALSE)+VLOOKUP($A15,'ESA Calculations 2324 Supp'!$A$4:$AE$34,18,FALSE)-VLOOKUP($A15,'ESA Calculations 2324 Supp'!$A$4:$AE$34,10,FALSE),VLOOKUP($A15,EnrollData2324,'2324 Jun 24 Enroll'!I$1,FALSE)+VLOOKUP($A15,EnrollData2324,'2324 Jun 24 Enroll'!M$1,FALSE)-VLOOKUP($A15,EnrollData2324,'2324 Jun 24 Enroll'!J$1,FALSE),VLOOKUP($A15,'ESA Calculations 2324 Supp'!$A$4:$AE$34,9,FALSE)+VLOOKUP($A15,'ESA Calculations 2324 Supp'!$A$4:$AE$34,18,FALSE)-VLOOKUP($A15,'ESA Calculations 2324 Supp'!$A$4:$AE$34,10,FALSE))*Apport_216A2324s,3)</f>
        <v>1.123</v>
      </c>
      <c r="J15">
        <f>ROUND(SUM(D15:I15)/IF(VLOOKUP($A15,EnrollData2324,'2324 Jun 24 Enroll'!M$1,FALSE)+VLOOKUP($A15,EnrollData2324,'2324 Jun 24 Enroll'!D$1,FALSE)=VLOOKUP($A15,'ESA Calculations 2324 Supp'!$A$4:$AE$34,18,FALSE)+VLOOKUP($A15,'ESA Calculations 2324 Supp'!$A$4:$AE$34,4,FALSE),VLOOKUP($A15,EnrollData2324,'2324 Jun 24 Enroll'!M$1,FALSE)+VLOOKUP($A15,EnrollData2324,'2324 Jun 24 Enroll'!D$1,FALSE),VLOOKUP($A15,'ESA Calculations 2324 Supp'!$A$4:$AE$34,18,FALSE)+VLOOKUP($A15,'ESA Calculations 2324 Supp'!$A$4:$AE$34,4,FALSE)),5)</f>
        <v>5.7250000000000002E-2</v>
      </c>
      <c r="K15" s="11">
        <f t="shared" si="1"/>
        <v>4.3699999999999998E-3</v>
      </c>
      <c r="L15">
        <f>ROUND(IF(VLOOKUP($A15,EnrollData2324,'2324 Jun 24 Enroll'!D$1,FALSE)=VLOOKUP($A15,'ESA Calculations 2324 Supp'!$A$4:$AE$34,4,FALSE),VLOOKUP($A15,EnrollData2324,'2324 Jun 24 Enroll'!D$1,FALSE),VLOOKUP($A15,'ESA Calculations 2324 Supp'!$A$4:$AE$34,4,FALSE))*K15,3)</f>
        <v>0</v>
      </c>
      <c r="M15">
        <f>ROUND(IF(VLOOKUP($A15,EnrollData2324,'2324 Jun 24 Enroll'!E$1,FALSE)=VLOOKUP($A15,'ESA Calculations 2324 Supp'!$A$4:$AE$34,5,FALSE),VLOOKUP($A15,EnrollData2324,'2324 Jun 24 Enroll'!E$1,FALSE),VLOOKUP($A15,'ESA Calculations 2324 Supp'!$A$4:$AE$34,5,FALSE))*K15,3)</f>
        <v>0.14599999999999999</v>
      </c>
      <c r="N15">
        <f>ROUND(IF(VLOOKUP($A15,EnrollData2324,'2324 Jun 24 Enroll'!F$1,FALSE)=VLOOKUP($A15,'ESA Calculations 2324 Supp'!$A$4:$AE$34,6,FALSE),VLOOKUP($A15,EnrollData2324,'2324 Jun 24 Enroll'!F$1,FALSE),VLOOKUP($A15,'ESA Calculations 2324 Supp'!$A$4:$AE$34,6,FALSE))*Apport_223A2324s,3)</f>
        <v>2.9000000000000001E-2</v>
      </c>
      <c r="O15">
        <f>ROUND(IF(VLOOKUP($A15,EnrollData2324,'2324 Jun 24 Enroll'!G$1,FALSE)=VLOOKUP($A15,'ESA Calculations 2324 Supp'!$A$4:$AE$34,7,FALSE),VLOOKUP($A15,EnrollData2324,'2324 Jun 24 Enroll'!G$1,FALSE),VLOOKUP($A15,'ESA Calculations 2324 Supp'!$A$4:$AE$34,7,FALSE))*Apport_211A2324s,3)</f>
        <v>8.2000000000000003E-2</v>
      </c>
      <c r="P15">
        <f>ROUND(IF(VLOOKUP($A15,EnrollData2324,'2324 Jun 24 Enroll'!H$1,FALSE)=VLOOKUP($A15,'ESA Calculations 2324 Supp'!$A$4:$AE$34,8,FALSE),VLOOKUP($A15,EnrollData2324,'2324 Jun 24 Enroll'!H$1,FALSE),VLOOKUP($A15,'ESA Calculations 2324 Supp'!$A$4:$AE$34,8,FALSE))*Apport_214A2324s,3)</f>
        <v>6.3E-2</v>
      </c>
      <c r="Q15">
        <f>ROUND(IF(VLOOKUP($A15,EnrollData2324,'2324 Jun 24 Enroll'!I$1,FALSE)+VLOOKUP($A15,EnrollData2324,'2324 Jun 24 Enroll'!M$1,FALSE)-VLOOKUP($A15,EnrollData2324,'2324 Jun 24 Enroll'!J$1,FALSE)=VLOOKUP($A15,'ESA Calculations 2324 Supp'!$A$4:$AE$34,9,FALSE)+VLOOKUP($A15,'ESA Calculations 2324 Supp'!$A$4:$AE$34,18,FALSE)-VLOOKUP($A15,'ESA Calculations 2324 Supp'!$A$4:$AE$34,10,FALSE),VLOOKUP($A15,EnrollData2324,'2324 Jun 24 Enroll'!I$1,FALSE)+VLOOKUP($A15,EnrollData2324,'2324 Jun 24 Enroll'!M$1,FALSE)-VLOOKUP($A15,EnrollData2324,'2324 Jun 24 Enroll'!J$1,FALSE),VLOOKUP($A15,'ESA Calculations 2324 Supp'!$A$4:$AE$34,9,FALSE)+VLOOKUP($A15,'ESA Calculations 2324 Supp'!$A$4:$AE$34,18,FALSE)-VLOOKUP($A15,'ESA Calculations 2324 Supp'!$A$4:$AE$34,10,FALSE))*Apport_217A2324s,3)</f>
        <v>9.0999999999999998E-2</v>
      </c>
      <c r="R15">
        <f>ROUND(SUM(L15:Q15)/IF(VLOOKUP($A15,EnrollData2324,'2324 Jun 24 Enroll'!M$1,FALSE)+VLOOKUP($A15,EnrollData2324,'2324 Jun 24 Enroll'!D$1,FALSE)=VLOOKUP($A15,'ESA Calculations 2324 Supp'!$A$4:$AE$34,18,FALSE)+VLOOKUP($A15,'ESA Calculations 2324 Supp'!$A$4:$AE$34,4,FALSE),VLOOKUP($A15,EnrollData2324,'2324 Jun 24 Enroll'!M$1,FALSE)+VLOOKUP($A15,EnrollData2324,'2324 Jun 24 Enroll'!D$1,FALSE),VLOOKUP($A15,'ESA Calculations 2324 Supp'!$A$4:$AE$34,18,FALSE)+VLOOKUP($A15,'ESA Calculations 2324 Supp'!$A$4:$AE$34,4,FALSE)),5)</f>
        <v>4.15E-3</v>
      </c>
      <c r="S15" s="11">
        <f t="shared" si="2"/>
        <v>1.8689600000000001E-2</v>
      </c>
      <c r="T15">
        <f>ROUND(IF(VLOOKUP($A15,EnrollData2324,'2324 Jun 24 Enroll'!D$1,FALSE)=VLOOKUP($A15,'ESA Calculations 2324 Supp'!$A$4:$AE$34,4,FALSE),VLOOKUP($A15,EnrollData2324,'2324 Jun 24 Enroll'!D$1,FALSE),VLOOKUP($A15,'ESA Calculations 2324 Supp'!$A$4:$AE$34,4,FALSE))*S15,3)</f>
        <v>0</v>
      </c>
      <c r="U15">
        <f>ROUND(IF(VLOOKUP($A15,EnrollData2324,'2324 Jun 24 Enroll'!E$1,FALSE)=VLOOKUP($A15,'ESA Calculations 2324 Supp'!$A$4:$AE$34,5,FALSE),VLOOKUP($A15,EnrollData2324,'2324 Jun 24 Enroll'!E$1,FALSE),VLOOKUP($A15,'ESA Calculations 2324 Supp'!$A$4:$AE$34,5,FALSE))*S15,3)</f>
        <v>0.626</v>
      </c>
      <c r="V15">
        <f>ROUND(IF(VLOOKUP($A15,EnrollData2324,'2324 Jun 24 Enroll'!F$1,FALSE)=VLOOKUP($A15,'ESA Calculations 2324 Supp'!$A$4:$AE$34,6,FALSE),VLOOKUP($A15,EnrollData2324,'2324 Jun 24 Enroll'!F$1,FALSE),VLOOKUP($A15,'ESA Calculations 2324 Supp'!$A$4:$AE$34,6,FALSE))*Apport_224A2324s,3)</f>
        <v>0.127</v>
      </c>
      <c r="W15">
        <f>ROUND(IF(VLOOKUP($A15,EnrollData2324,'2324 Jun 24 Enroll'!G$1,FALSE)=VLOOKUP($A15,'ESA Calculations 2324 Supp'!$A$4:$AE$34,7,FALSE),VLOOKUP($A15,EnrollData2324,'2324 Jun 24 Enroll'!G$1,FALSE),VLOOKUP($A15,'ESA Calculations 2324 Supp'!$A$4:$AE$34,7,FALSE))*Apport_212A2324s,3)</f>
        <v>0.35899999999999999</v>
      </c>
      <c r="X15">
        <f>ROUND(IF(VLOOKUP($A15,EnrollData2324,'2324 Jun 24 Enroll'!H$1,FALSE)=VLOOKUP($A15,'ESA Calculations 2324 Supp'!$A$4:$AE$34,8,FALSE),VLOOKUP($A15,EnrollData2324,'2324 Jun 24 Enroll'!H$1,FALSE),VLOOKUP($A15,'ESA Calculations 2324 Supp'!$A$4:$AE$34,8,FALSE))*Apport_215A2324s,3)</f>
        <v>0.27200000000000002</v>
      </c>
      <c r="Y15">
        <f>ROUND(IF(VLOOKUP($A15,EnrollData2324,'2324 Jun 24 Enroll'!I$1,FALSE)+VLOOKUP($A15,EnrollData2324,'2324 Jun 24 Enroll'!M$1,FALSE)-VLOOKUP($A15,EnrollData2324,'2324 Jun 24 Enroll'!J$1,FALSE)=VLOOKUP($A15,'ESA Calculations 2324 Supp'!$A$4:$AE$34,9,FALSE)+VLOOKUP($A15,'ESA Calculations 2324 Supp'!$A$4:$AE$34,18,FALSE)-VLOOKUP($A15,'ESA Calculations 2324 Supp'!$A$4:$AE$34,10,FALSE),VLOOKUP($A15,EnrollData2324,'2324 Jun 24 Enroll'!I$1,FALSE)+VLOOKUP($A15,EnrollData2324,'2324 Jun 24 Enroll'!M$1,FALSE)-VLOOKUP($A15,EnrollData2324,'2324 Jun 24 Enroll'!J$1,FALSE),VLOOKUP($A15,'ESA Calculations 2324 Supp'!$A$4:$AE$34,9,FALSE)+VLOOKUP($A15,'ESA Calculations 2324 Supp'!$A$4:$AE$34,18,FALSE)-VLOOKUP($A15,'ESA Calculations 2324 Supp'!$A$4:$AE$34,10,FALSE))*Apport_218A2324s,3)</f>
        <v>0.39</v>
      </c>
      <c r="Z15">
        <f>ROUND(SUM(T15:Y15)/IF(VLOOKUP($A15,EnrollData2324,'2324 Jun 24 Enroll'!M$1,FALSE)+VLOOKUP($A15,EnrollData2324,'2324 Jun 24 Enroll'!D$1,FALSE)=VLOOKUP($A15,'ESA Calculations 2324 Supp'!$A$4:$AE$34,18,FALSE)+VLOOKUP($A15,'ESA Calculations 2324 Supp'!$A$4:$AE$34,4,FALSE),VLOOKUP($A15,EnrollData2324,'2324 Jun 24 Enroll'!M$1,FALSE)+VLOOKUP($A15,EnrollData2324,'2324 Jun 24 Enroll'!D$1,FALSE),VLOOKUP($A15,'ESA Calculations 2324 Supp'!$A$4:$AE$34,18,FALSE)+VLOOKUP($A15,'ESA Calculations 2324 Supp'!$A$4:$AE$34,4,FALSE)),5)</f>
        <v>1.7919999999999998E-2</v>
      </c>
      <c r="AA15" s="6" cm="1">
        <f t="array" ref="AA15">ROUND($J15*CIS_Base_Salary2324s*VLOOKUP($A15,EnrollData2324,'2324 Jun 24 Enroll'!S$1,FALSE),2)</f>
        <v>4163.68</v>
      </c>
      <c r="AB15" s="6" cm="1">
        <f t="array" ref="AB15">ROUND($J15*CIS_Inc_Salary2324s*(VLOOKUP($A15,EnrollData2324,'2324 Jun 24 Enroll'!T$1,FALSE)+VLOOKUP($A15,EnrollData2324,'2324 Jun 24 Enroll'!U$1,FALSE)),2)-AA15</f>
        <v>154.05999999999949</v>
      </c>
      <c r="AC15" s="6" cm="1">
        <f t="array" ref="AC15">ROUND($R15*CAS_Base_Salary2324s*VLOOKUP($A15,EnrollData2324,'2324 Jun 24 Enroll'!S$1,FALSE),2)</f>
        <v>448.01</v>
      </c>
      <c r="AD15" s="6" cm="1">
        <f t="array" ref="AD15">ROUND($R15*CAS_Inc_Salary2324s*VLOOKUP($A15,EnrollData2324,'2324 Jun 24 Enroll'!T$1,FALSE),2)-AC15</f>
        <v>16.579999999999984</v>
      </c>
      <c r="AE15" s="6" cm="1">
        <f t="array" ref="AE15">ROUND($Z15*CLS_Base_Salary2324s*VLOOKUP($A15,EnrollData2324,'2324 Jun 24 Enroll'!S$1,FALSE),2)</f>
        <v>934.94</v>
      </c>
      <c r="AF15" s="6" cm="1">
        <f t="array" ref="AF15">ROUND($Z15*CLS_Inc_Salary2324s*VLOOKUP($A15,EnrollData2324,'2324 Jun 24 Enroll'!T$1,FALSE),2)-AE15</f>
        <v>34.589999999999918</v>
      </c>
      <c r="AG15" cm="1">
        <f t="array" ref="AG15">ROUND(($J15+$R15)*Apport_124X2324s,2)</f>
        <v>755.96</v>
      </c>
      <c r="AH15" s="69">
        <f t="shared" si="3"/>
        <v>70.730000000000018</v>
      </c>
      <c r="AI15" cm="1">
        <f t="array" ref="AI15">ROUND($Z15*Apport_124X2324s,2)</f>
        <v>220.63</v>
      </c>
      <c r="AJ15" cm="1">
        <f t="array" ref="AJ15">ROUND($Z15*Apport_621X2324s*Apport_125X2324s,2)-AI15</f>
        <v>117.63</v>
      </c>
      <c r="AK15" cm="1">
        <f t="array" ref="AK15">ROUND((AA15+AC15)*Apport_126X2324s,2)</f>
        <v>828.72</v>
      </c>
      <c r="AL15" cm="1">
        <f t="array" ref="AL15">ROUND((AB15+AD15)*Apport_127X2324s,2)</f>
        <v>29.57</v>
      </c>
      <c r="AM15" cm="1">
        <f t="array" ref="AM15">ROUND(AE15*Apport_128X2324s,2)</f>
        <v>206.25</v>
      </c>
      <c r="AN15" cm="1">
        <f t="array" ref="AN15">ROUND(AF15*Apport_129X2324s,2)</f>
        <v>6.42</v>
      </c>
      <c r="AO15" cm="1">
        <f t="array" ref="AO15">ROUND(($J15*CIS_Inc_Salary2324s*(VLOOKUP($A15,EnrollData2324,'2324 Jun 24 Enroll'!T$1,FALSE)+VLOOKUP($A15,EnrollData2324,'2324 Jun 24 Enroll'!U$1,FALSE))/Apport_613Xpd)*Apport_614Xpd,2)</f>
        <v>71.959999999999994</v>
      </c>
      <c r="AP15" cm="1">
        <f t="array" ref="AP15">ROUND(AO15*Apport_127X2324s,2)</f>
        <v>12.47</v>
      </c>
      <c r="AQ15">
        <f t="shared" si="4"/>
        <v>31.89</v>
      </c>
      <c r="AR15" s="6" cm="1">
        <f t="array" ref="AR15">ROUND((IF(VLOOKUP($A15,EnrollData2324,'2324 Jun 24 Enroll'!D$1,FALSE)=VLOOKUP($A15,'ESA Calculations 2324 Supp'!$A$4:$AE$34,4,FALSE),VLOOKUP($A15,EnrollData2324,'2324 Jun 24 Enroll'!D$1,FALSE),VLOOKUP($A15,'ESA Calculations 2324 Supp'!$A$4:$AE$34,4,FALSE))*Apport_M802324s+IF(VLOOKUP($A15,EnrollData2324,'2324 Jun 24 Enroll'!M$1,FALSE)=VLOOKUP($A15,'ESA Calculations 2324 Supp'!$A$4:$AE$34,18,FALSE),VLOOKUP($A15,EnrollData2324,'2324 Jun 24 Enroll'!M$1,FALSE),VLOOKUP($A15,'ESA Calculations 2324 Supp'!$A$4:$AE$34,18,FALSE))*Apport_M802324s+IF((VLOOKUP($A15,EnrollData2324,'2324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Enroll'!L$1,FALSE))=VLOOKUP($A15,EnrollData2324,'2324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Enroll'!L$1,FALSE),(VLOOKUP($A15,EnrollData2324,'2324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Enroll'!L$1,FALSE)),(VLOOKUP($A15,EnrollData2324,'2324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Enroll'!L$1,FALSE)))*Apport_M812324s)/(IF(VLOOKUP($A15,EnrollData2324,'2324 Jun 24 Enroll'!M$1,FALSE)=VLOOKUP($A15,'ESA Calculations 2324 Supp'!$A$4:$AE$34,18,FALSE),VLOOKUP($A15,EnrollData2324,'2324 Jun 24 Enroll'!M$1,FALSE),VLOOKUP($A15,'ESA Calculations 2324 Supp'!$A$4:$AE$34,18,FALSE))+IF(VLOOKUP($A15,EnrollData2324,'2324 Jun 24 Enroll'!D$1,FALSE)=VLOOKUP($A15,'ESA Calculations 2324 Supp'!$A$4:$AE$34,4,FALSE),VLOOKUP($A15,EnrollData2324,'2324 Jun 24 Enroll'!D$1,FALSE),VLOOKUP($A15,'ESA Calculations 2324 Supp'!$A$4:$AE$34,4,FALSE))),2)</f>
        <v>1549.74</v>
      </c>
      <c r="AS15" s="7">
        <f t="shared" si="5"/>
        <v>9653.8300000000017</v>
      </c>
      <c r="AT15" s="6">
        <f>IF(VLOOKUP($A15,EnrollData2324,'2324 Jun 24 Enroll'!AA$1,FALSE)=VLOOKUP($A15,'ESA Calculations 2324 Supp'!$A$4:$AE$34,24,FALSE),VLOOKUP($A15,EnrollData2324,'2324 Jun 24 Enroll'!AA$1,FALSE),VLOOKUP($A15,'ESA Calculations 2324 Supp'!$A$4:$AE$34,24,FALSE))</f>
        <v>99</v>
      </c>
    </row>
    <row r="16" spans="1:49">
      <c r="A16" s="40" t="s">
        <v>368</v>
      </c>
      <c r="B16" s="40" t="s">
        <v>369</v>
      </c>
      <c r="C16" s="11">
        <f>ROUND((IFERROR((1/IF(VLOOKUP($A16,EnrollData2324,28,FALSE)=VLOOKUP($A16,'ESA Calculations 2324 Supp'!$A$4:$AE$34,3,FALSE),VLOOKUP($A16,EnrollData2324,28,FALSE),VLOOKUP($A16,'ESA Calculations 2324 Supp'!$A$4:$AE$34,3,FALSE)))*(1+Apport_Z315),0))+Apport_201A2324s,6)</f>
        <v>7.2040000000000007E-2</v>
      </c>
      <c r="D16">
        <f>ROUND(IF(VLOOKUP($A16,EnrollData2324,'2324 Jun 24 Enroll'!D$1,FALSE)=VLOOKUP($A16,'ESA Calculations 2324 Supp'!$A$4:$AE$34,4,FALSE),VLOOKUP($A16,EnrollData2324,'2324 Jun 24 Enroll'!D$1,FALSE),VLOOKUP($A16,'ESA Calculations 2324 Supp'!$A$4:$AE$34,4,FALSE))*C16,3)</f>
        <v>0</v>
      </c>
      <c r="E16">
        <f>ROUND(IF(VLOOKUP($A16,EnrollData2324,'2324 Jun 24 Enroll'!E$1,FALSE)=VLOOKUP($A16,'ESA Calculations 2324 Supp'!$A$4:$AE$34,5,FALSE),VLOOKUP($A16,EnrollData2324,'2324 Jun 24 Enroll'!E$1,FALSE),VLOOKUP($A16,'ESA Calculations 2324 Supp'!$A$4:$AE$34,5,FALSE))*C16,3)</f>
        <v>3.3140000000000001</v>
      </c>
      <c r="F16">
        <f>ROUND(IF(VLOOKUP($A16,EnrollData2324,'2324 Jun 24 Enroll'!F$1,FALSE)=VLOOKUP($A16,'ESA Calculations 2324 Supp'!$A$4:$AE$34,6,FALSE),VLOOKUP($A16,EnrollData2324,'2324 Jun 24 Enroll'!F$1,FALSE),VLOOKUP($A16,'ESA Calculations 2324 Supp'!$A$4:$AE$34,6,FALSE))*Apport_222A2324s,3)</f>
        <v>0.33800000000000002</v>
      </c>
      <c r="G16">
        <f>ROUND(IF(VLOOKUP($A16,EnrollData2324,'2324 Jun 24 Enroll'!G$1,FALSE)=VLOOKUP($A16,'ESA Calculations 2324 Supp'!$A$4:$AE$34,7,FALSE),VLOOKUP($A16,EnrollData2324,'2324 Jun 24 Enroll'!G$1,FALSE),VLOOKUP($A16,'ESA Calculations 2324 Supp'!$A$4:$AE$34,7,FALSE))*Apport_210A2324s,3)</f>
        <v>0.86899999999999999</v>
      </c>
      <c r="H16">
        <f>ROUND(IF(VLOOKUP($A16,EnrollData2324,'2324 Jun 24 Enroll'!H$1,FALSE)=VLOOKUP($A16,'ESA Calculations 2324 Supp'!$A$4:$AE$34,8,FALSE),VLOOKUP($A16,EnrollData2324,'2324 Jun 24 Enroll'!H$1,FALSE),VLOOKUP($A16,'ESA Calculations 2324 Supp'!$A$4:$AE$34,8,FALSE))*Apport_213A2324s,3)</f>
        <v>0.93500000000000005</v>
      </c>
      <c r="I16">
        <f>ROUND(IF(VLOOKUP($A16,EnrollData2324,'2324 Jun 24 Enroll'!I$1,FALSE)+VLOOKUP($A16,EnrollData2324,'2324 Jun 24 Enroll'!M$1,FALSE)-VLOOKUP($A16,EnrollData2324,'2324 Jun 24 Enroll'!J$1,FALSE)=VLOOKUP($A16,'ESA Calculations 2324 Supp'!$A$4:$AE$34,9,FALSE)+VLOOKUP($A16,'ESA Calculations 2324 Supp'!$A$4:$AE$34,18,FALSE)-VLOOKUP($A16,'ESA Calculations 2324 Supp'!$A$4:$AE$34,10,FALSE),VLOOKUP($A16,EnrollData2324,'2324 Jun 24 Enroll'!I$1,FALSE)+VLOOKUP($A16,EnrollData2324,'2324 Jun 24 Enroll'!M$1,FALSE)-VLOOKUP($A16,EnrollData2324,'2324 Jun 24 Enroll'!J$1,FALSE),VLOOKUP($A16,'ESA Calculations 2324 Supp'!$A$4:$AE$34,9,FALSE)+VLOOKUP($A16,'ESA Calculations 2324 Supp'!$A$4:$AE$34,18,FALSE)-VLOOKUP($A16,'ESA Calculations 2324 Supp'!$A$4:$AE$34,10,FALSE))*Apport_216A2324s,3)</f>
        <v>0</v>
      </c>
      <c r="J16">
        <f>ROUND(SUM(D16:I16)/IF(VLOOKUP($A16,EnrollData2324,'2324 Jun 24 Enroll'!M$1,FALSE)+VLOOKUP($A16,EnrollData2324,'2324 Jun 24 Enroll'!D$1,FALSE)=VLOOKUP($A16,'ESA Calculations 2324 Supp'!$A$4:$AE$34,18,FALSE)+VLOOKUP($A16,'ESA Calculations 2324 Supp'!$A$4:$AE$34,4,FALSE),VLOOKUP($A16,EnrollData2324,'2324 Jun 24 Enroll'!M$1,FALSE)+VLOOKUP($A16,EnrollData2324,'2324 Jun 24 Enroll'!D$1,FALSE),VLOOKUP($A16,'ESA Calculations 2324 Supp'!$A$4:$AE$34,18,FALSE)+VLOOKUP($A16,'ESA Calculations 2324 Supp'!$A$4:$AE$34,4,FALSE)),5)</f>
        <v>6.0420000000000001E-2</v>
      </c>
      <c r="K16" s="11">
        <f t="shared" si="1"/>
        <v>4.3509999999999998E-3</v>
      </c>
      <c r="L16">
        <f>ROUND(IF(VLOOKUP($A16,EnrollData2324,'2324 Jun 24 Enroll'!D$1,FALSE)=VLOOKUP($A16,'ESA Calculations 2324 Supp'!$A$4:$AE$34,4,FALSE),VLOOKUP($A16,EnrollData2324,'2324 Jun 24 Enroll'!D$1,FALSE),VLOOKUP($A16,'ESA Calculations 2324 Supp'!$A$4:$AE$34,4,FALSE))*K16,3)</f>
        <v>0</v>
      </c>
      <c r="M16">
        <f>ROUND(IF(VLOOKUP($A16,EnrollData2324,'2324 Jun 24 Enroll'!E$1,FALSE)=VLOOKUP($A16,'ESA Calculations 2324 Supp'!$A$4:$AE$34,5,FALSE),VLOOKUP($A16,EnrollData2324,'2324 Jun 24 Enroll'!E$1,FALSE),VLOOKUP($A16,'ESA Calculations 2324 Supp'!$A$4:$AE$34,5,FALSE))*K16,3)</f>
        <v>0.2</v>
      </c>
      <c r="N16">
        <f>ROUND(IF(VLOOKUP($A16,EnrollData2324,'2324 Jun 24 Enroll'!F$1,FALSE)=VLOOKUP($A16,'ESA Calculations 2324 Supp'!$A$4:$AE$34,6,FALSE),VLOOKUP($A16,EnrollData2324,'2324 Jun 24 Enroll'!F$1,FALSE),VLOOKUP($A16,'ESA Calculations 2324 Supp'!$A$4:$AE$34,6,FALSE))*Apport_223A2324s,3)</f>
        <v>2.8000000000000001E-2</v>
      </c>
      <c r="O16">
        <f>ROUND(IF(VLOOKUP($A16,EnrollData2324,'2324 Jun 24 Enroll'!G$1,FALSE)=VLOOKUP($A16,'ESA Calculations 2324 Supp'!$A$4:$AE$34,7,FALSE),VLOOKUP($A16,EnrollData2324,'2324 Jun 24 Enroll'!G$1,FALSE),VLOOKUP($A16,'ESA Calculations 2324 Supp'!$A$4:$AE$34,7,FALSE))*Apport_211A2324s,3)</f>
        <v>7.2999999999999995E-2</v>
      </c>
      <c r="P16">
        <f>ROUND(IF(VLOOKUP($A16,EnrollData2324,'2324 Jun 24 Enroll'!H$1,FALSE)=VLOOKUP($A16,'ESA Calculations 2324 Supp'!$A$4:$AE$34,8,FALSE),VLOOKUP($A16,EnrollData2324,'2324 Jun 24 Enroll'!H$1,FALSE),VLOOKUP($A16,'ESA Calculations 2324 Supp'!$A$4:$AE$34,8,FALSE))*Apport_214A2324s,3)</f>
        <v>7.8E-2</v>
      </c>
      <c r="Q16">
        <f>ROUND(IF(VLOOKUP($A16,EnrollData2324,'2324 Jun 24 Enroll'!I$1,FALSE)+VLOOKUP($A16,EnrollData2324,'2324 Jun 24 Enroll'!M$1,FALSE)-VLOOKUP($A16,EnrollData2324,'2324 Jun 24 Enroll'!J$1,FALSE)=VLOOKUP($A16,'ESA Calculations 2324 Supp'!$A$4:$AE$34,9,FALSE)+VLOOKUP($A16,'ESA Calculations 2324 Supp'!$A$4:$AE$34,18,FALSE)-VLOOKUP($A16,'ESA Calculations 2324 Supp'!$A$4:$AE$34,10,FALSE),VLOOKUP($A16,EnrollData2324,'2324 Jun 24 Enroll'!I$1,FALSE)+VLOOKUP($A16,EnrollData2324,'2324 Jun 24 Enroll'!M$1,FALSE)-VLOOKUP($A16,EnrollData2324,'2324 Jun 24 Enroll'!J$1,FALSE),VLOOKUP($A16,'ESA Calculations 2324 Supp'!$A$4:$AE$34,9,FALSE)+VLOOKUP($A16,'ESA Calculations 2324 Supp'!$A$4:$AE$34,18,FALSE)-VLOOKUP($A16,'ESA Calculations 2324 Supp'!$A$4:$AE$34,10,FALSE))*Apport_217A2324s,3)</f>
        <v>0</v>
      </c>
      <c r="R16">
        <f>ROUND(SUM(L16:Q16)/IF(VLOOKUP($A16,EnrollData2324,'2324 Jun 24 Enroll'!M$1,FALSE)+VLOOKUP($A16,EnrollData2324,'2324 Jun 24 Enroll'!D$1,FALSE)=VLOOKUP($A16,'ESA Calculations 2324 Supp'!$A$4:$AE$34,18,FALSE)+VLOOKUP($A16,'ESA Calculations 2324 Supp'!$A$4:$AE$34,4,FALSE),VLOOKUP($A16,EnrollData2324,'2324 Jun 24 Enroll'!M$1,FALSE)+VLOOKUP($A16,EnrollData2324,'2324 Jun 24 Enroll'!D$1,FALSE),VLOOKUP($A16,'ESA Calculations 2324 Supp'!$A$4:$AE$34,18,FALSE)+VLOOKUP($A16,'ESA Calculations 2324 Supp'!$A$4:$AE$34,4,FALSE)),5)</f>
        <v>4.1999999999999997E-3</v>
      </c>
      <c r="S16" s="11">
        <f t="shared" si="2"/>
        <v>1.8633899999999998E-2</v>
      </c>
      <c r="T16">
        <f>ROUND(IF(VLOOKUP($A16,EnrollData2324,'2324 Jun 24 Enroll'!D$1,FALSE)=VLOOKUP($A16,'ESA Calculations 2324 Supp'!$A$4:$AE$34,4,FALSE),VLOOKUP($A16,EnrollData2324,'2324 Jun 24 Enroll'!D$1,FALSE),VLOOKUP($A16,'ESA Calculations 2324 Supp'!$A$4:$AE$34,4,FALSE))*S16,3)</f>
        <v>0</v>
      </c>
      <c r="U16">
        <f>ROUND(IF(VLOOKUP($A16,EnrollData2324,'2324 Jun 24 Enroll'!E$1,FALSE)=VLOOKUP($A16,'ESA Calculations 2324 Supp'!$A$4:$AE$34,5,FALSE),VLOOKUP($A16,EnrollData2324,'2324 Jun 24 Enroll'!E$1,FALSE),VLOOKUP($A16,'ESA Calculations 2324 Supp'!$A$4:$AE$34,5,FALSE))*S16,3)</f>
        <v>0.85699999999999998</v>
      </c>
      <c r="V16">
        <f>ROUND(IF(VLOOKUP($A16,EnrollData2324,'2324 Jun 24 Enroll'!F$1,FALSE)=VLOOKUP($A16,'ESA Calculations 2324 Supp'!$A$4:$AE$34,6,FALSE),VLOOKUP($A16,EnrollData2324,'2324 Jun 24 Enroll'!F$1,FALSE),VLOOKUP($A16,'ESA Calculations 2324 Supp'!$A$4:$AE$34,6,FALSE))*Apport_224A2324s,3)</f>
        <v>0.124</v>
      </c>
      <c r="W16">
        <f>ROUND(IF(VLOOKUP($A16,EnrollData2324,'2324 Jun 24 Enroll'!G$1,FALSE)=VLOOKUP($A16,'ESA Calculations 2324 Supp'!$A$4:$AE$34,7,FALSE),VLOOKUP($A16,EnrollData2324,'2324 Jun 24 Enroll'!G$1,FALSE),VLOOKUP($A16,'ESA Calculations 2324 Supp'!$A$4:$AE$34,7,FALSE))*Apport_212A2324s,3)</f>
        <v>0.31900000000000001</v>
      </c>
      <c r="X16">
        <f>ROUND(IF(VLOOKUP($A16,EnrollData2324,'2324 Jun 24 Enroll'!H$1,FALSE)=VLOOKUP($A16,'ESA Calculations 2324 Supp'!$A$4:$AE$34,8,FALSE),VLOOKUP($A16,EnrollData2324,'2324 Jun 24 Enroll'!H$1,FALSE),VLOOKUP($A16,'ESA Calculations 2324 Supp'!$A$4:$AE$34,8,FALSE))*Apport_215A2324s,3)</f>
        <v>0.33700000000000002</v>
      </c>
      <c r="Y16">
        <f>ROUND(IF(VLOOKUP($A16,EnrollData2324,'2324 Jun 24 Enroll'!I$1,FALSE)+VLOOKUP($A16,EnrollData2324,'2324 Jun 24 Enroll'!M$1,FALSE)-VLOOKUP($A16,EnrollData2324,'2324 Jun 24 Enroll'!J$1,FALSE)=VLOOKUP($A16,'ESA Calculations 2324 Supp'!$A$4:$AE$34,9,FALSE)+VLOOKUP($A16,'ESA Calculations 2324 Supp'!$A$4:$AE$34,18,FALSE)-VLOOKUP($A16,'ESA Calculations 2324 Supp'!$A$4:$AE$34,10,FALSE),VLOOKUP($A16,EnrollData2324,'2324 Jun 24 Enroll'!I$1,FALSE)+VLOOKUP($A16,EnrollData2324,'2324 Jun 24 Enroll'!M$1,FALSE)-VLOOKUP($A16,EnrollData2324,'2324 Jun 24 Enroll'!J$1,FALSE),VLOOKUP($A16,'ESA Calculations 2324 Supp'!$A$4:$AE$34,9,FALSE)+VLOOKUP($A16,'ESA Calculations 2324 Supp'!$A$4:$AE$34,18,FALSE)-VLOOKUP($A16,'ESA Calculations 2324 Supp'!$A$4:$AE$34,10,FALSE))*Apport_218A2324s,3)</f>
        <v>0</v>
      </c>
      <c r="Z16">
        <f>ROUND(SUM(T16:Y16)/IF(VLOOKUP($A16,EnrollData2324,'2324 Jun 24 Enroll'!M$1,FALSE)+VLOOKUP($A16,EnrollData2324,'2324 Jun 24 Enroll'!D$1,FALSE)=VLOOKUP($A16,'ESA Calculations 2324 Supp'!$A$4:$AE$34,18,FALSE)+VLOOKUP($A16,'ESA Calculations 2324 Supp'!$A$4:$AE$34,4,FALSE),VLOOKUP($A16,EnrollData2324,'2324 Jun 24 Enroll'!M$1,FALSE)+VLOOKUP($A16,EnrollData2324,'2324 Jun 24 Enroll'!D$1,FALSE),VLOOKUP($A16,'ESA Calculations 2324 Supp'!$A$4:$AE$34,18,FALSE)+VLOOKUP($A16,'ESA Calculations 2324 Supp'!$A$4:$AE$34,4,FALSE)),5)</f>
        <v>1.813E-2</v>
      </c>
      <c r="AA16" s="6" cm="1">
        <f t="array" ref="AA16">ROUND($J16*CIS_Base_Salary2324s*VLOOKUP($A16,EnrollData2324,'2324 Jun 24 Enroll'!S$1,FALSE),2)</f>
        <v>4394.2299999999996</v>
      </c>
      <c r="AB16" s="6" cm="1">
        <f t="array" ref="AB16">ROUND($J16*CIS_Inc_Salary2324s*(VLOOKUP($A16,EnrollData2324,'2324 Jun 24 Enroll'!T$1,FALSE)+VLOOKUP($A16,EnrollData2324,'2324 Jun 24 Enroll'!U$1,FALSE)),2)-AA16</f>
        <v>253.72000000000025</v>
      </c>
      <c r="AC16" s="6" cm="1">
        <f t="array" ref="AC16">ROUND($R16*CAS_Base_Salary2324s*VLOOKUP($A16,EnrollData2324,'2324 Jun 24 Enroll'!S$1,FALSE),2)</f>
        <v>453.41</v>
      </c>
      <c r="AD16" s="6" cm="1">
        <f t="array" ref="AD16">ROUND($R16*CAS_Inc_Salary2324s*VLOOKUP($A16,EnrollData2324,'2324 Jun 24 Enroll'!T$1,FALSE),2)-AC16</f>
        <v>16.779999999999973</v>
      </c>
      <c r="AE16" s="6" cm="1">
        <f t="array" ref="AE16">ROUND($Z16*CLS_Base_Salary2324s*VLOOKUP($A16,EnrollData2324,'2324 Jun 24 Enroll'!S$1,FALSE),2)</f>
        <v>945.9</v>
      </c>
      <c r="AF16" s="6" cm="1">
        <f t="array" ref="AF16">ROUND($Z16*CLS_Inc_Salary2324s*VLOOKUP($A16,EnrollData2324,'2324 Jun 24 Enroll'!T$1,FALSE),2)-AE16</f>
        <v>34.990000000000009</v>
      </c>
      <c r="AG16" cm="1">
        <f t="array" ref="AG16">ROUND(($J16+$R16)*Apport_124X2324s,2)</f>
        <v>795.6</v>
      </c>
      <c r="AH16" s="69">
        <f t="shared" si="3"/>
        <v>74.439999999999941</v>
      </c>
      <c r="AI16" cm="1">
        <f t="array" ref="AI16">ROUND($Z16*Apport_124X2324s,2)</f>
        <v>223.22</v>
      </c>
      <c r="AJ16" cm="1">
        <f t="array" ref="AJ16">ROUND($Z16*Apport_621X2324s*Apport_125X2324s,2)-AI16</f>
        <v>119.00000000000003</v>
      </c>
      <c r="AK16" cm="1">
        <f t="array" ref="AK16">ROUND((AA16+AC16)*Apport_126X2324s,2)</f>
        <v>871.12</v>
      </c>
      <c r="AL16" cm="1">
        <f t="array" ref="AL16">ROUND((AB16+AD16)*Apport_127X2324s,2)</f>
        <v>46.88</v>
      </c>
      <c r="AM16" cm="1">
        <f t="array" ref="AM16">ROUND(AE16*Apport_128X2324s,2)</f>
        <v>208.67</v>
      </c>
      <c r="AN16" cm="1">
        <f t="array" ref="AN16">ROUND(AF16*Apport_129X2324s,2)</f>
        <v>6.49</v>
      </c>
      <c r="AO16" cm="1">
        <f t="array" ref="AO16">ROUND(($J16*CIS_Inc_Salary2324s*(VLOOKUP($A16,EnrollData2324,'2324 Jun 24 Enroll'!T$1,FALSE)+VLOOKUP($A16,EnrollData2324,'2324 Jun 24 Enroll'!U$1,FALSE))/Apport_613Xpd)*Apport_614Xpd,2)</f>
        <v>77.47</v>
      </c>
      <c r="AP16" cm="1">
        <f t="array" ref="AP16">ROUND(AO16*Apport_127X2324s,2)</f>
        <v>13.43</v>
      </c>
      <c r="AQ16">
        <f t="shared" si="4"/>
        <v>33.659999999999997</v>
      </c>
      <c r="AR16" s="6" cm="1">
        <f t="array" ref="AR16">ROUND((IF(VLOOKUP($A16,EnrollData2324,'2324 Jun 24 Enroll'!D$1,FALSE)=VLOOKUP($A16,'ESA Calculations 2324 Supp'!$A$4:$AE$34,4,FALSE),VLOOKUP($A16,EnrollData2324,'2324 Jun 24 Enroll'!D$1,FALSE),VLOOKUP($A16,'ESA Calculations 2324 Supp'!$A$4:$AE$34,4,FALSE))*Apport_M802324s+IF(VLOOKUP($A16,EnrollData2324,'2324 Jun 24 Enroll'!M$1,FALSE)=VLOOKUP($A16,'ESA Calculations 2324 Supp'!$A$4:$AE$34,18,FALSE),VLOOKUP($A16,EnrollData2324,'2324 Jun 24 Enroll'!M$1,FALSE),VLOOKUP($A16,'ESA Calculations 2324 Supp'!$A$4:$AE$34,18,FALSE))*Apport_M802324s+IF((VLOOKUP($A16,EnrollData2324,'2324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Enroll'!L$1,FALSE))=VLOOKUP($A16,EnrollData2324,'2324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Enroll'!L$1,FALSE),(VLOOKUP($A16,EnrollData2324,'2324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Enroll'!L$1,FALSE)),(VLOOKUP($A16,EnrollData2324,'2324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Enroll'!L$1,FALSE)))*Apport_M812324s)/(IF(VLOOKUP($A16,EnrollData2324,'2324 Jun 24 Enroll'!M$1,FALSE)=VLOOKUP($A16,'ESA Calculations 2324 Supp'!$A$4:$AE$34,18,FALSE),VLOOKUP($A16,EnrollData2324,'2324 Jun 24 Enroll'!M$1,FALSE),VLOOKUP($A16,'ESA Calculations 2324 Supp'!$A$4:$AE$34,18,FALSE))+IF(VLOOKUP($A16,EnrollData2324,'2324 Jun 24 Enroll'!D$1,FALSE)=VLOOKUP($A16,'ESA Calculations 2324 Supp'!$A$4:$AE$34,4,FALSE),VLOOKUP($A16,EnrollData2324,'2324 Jun 24 Enroll'!D$1,FALSE),VLOOKUP($A16,'ESA Calculations 2324 Supp'!$A$4:$AE$34,4,FALSE))),2)</f>
        <v>1504.44</v>
      </c>
      <c r="AS16" s="7">
        <f t="shared" si="5"/>
        <v>10073.449999999999</v>
      </c>
      <c r="AT16" s="6">
        <f>IF(VLOOKUP($A16,EnrollData2324,'2324 Jun 24 Enroll'!AA$1,FALSE)=VLOOKUP($A16,'ESA Calculations 2324 Supp'!$A$4:$AE$34,24,FALSE),VLOOKUP($A16,EnrollData2324,'2324 Jun 24 Enroll'!AA$1,FALSE),VLOOKUP($A16,'ESA Calculations 2324 Supp'!$A$4:$AE$34,24,FALSE))</f>
        <v>90.3</v>
      </c>
    </row>
    <row r="17" spans="1:46">
      <c r="A17" s="40" t="s">
        <v>831</v>
      </c>
      <c r="B17" s="40" t="s">
        <v>832</v>
      </c>
      <c r="C17" s="11">
        <f>ROUND((IFERROR((1/IF(VLOOKUP($A17,EnrollData2324,28,FALSE)=VLOOKUP($A17,'ESA Calculations 2324 Supp'!$A$4:$AE$34,3,FALSE),VLOOKUP($A17,EnrollData2324,28,FALSE),VLOOKUP($A17,'ESA Calculations 2324 Supp'!$A$4:$AE$34,3,FALSE)))*(1+Apport_Z315),0))+Apport_201A2324s,6)</f>
        <v>7.3449E-2</v>
      </c>
      <c r="D17">
        <f>ROUND(IF(VLOOKUP($A17,EnrollData2324,'2324 Jun 24 Enroll'!D$1,FALSE)=VLOOKUP($A17,'ESA Calculations 2324 Supp'!$A$4:$AE$34,4,FALSE),VLOOKUP($A17,EnrollData2324,'2324 Jun 24 Enroll'!D$1,FALSE),VLOOKUP($A17,'ESA Calculations 2324 Supp'!$A$4:$AE$34,4,FALSE))*C17,3)</f>
        <v>0</v>
      </c>
      <c r="E17">
        <f>ROUND(IF(VLOOKUP($A17,EnrollData2324,'2324 Jun 24 Enroll'!E$1,FALSE)=VLOOKUP($A17,'ESA Calculations 2324 Supp'!$A$4:$AE$34,5,FALSE),VLOOKUP($A17,EnrollData2324,'2324 Jun 24 Enroll'!E$1,FALSE),VLOOKUP($A17,'ESA Calculations 2324 Supp'!$A$4:$AE$34,5,FALSE))*C17,3)</f>
        <v>4.2750000000000004</v>
      </c>
      <c r="F17">
        <f>ROUND(IF(VLOOKUP($A17,EnrollData2324,'2324 Jun 24 Enroll'!F$1,FALSE)=VLOOKUP($A17,'ESA Calculations 2324 Supp'!$A$4:$AE$34,6,FALSE),VLOOKUP($A17,EnrollData2324,'2324 Jun 24 Enroll'!F$1,FALSE),VLOOKUP($A17,'ESA Calculations 2324 Supp'!$A$4:$AE$34,6,FALSE))*Apport_222A2324s,3)</f>
        <v>0.84499999999999997</v>
      </c>
      <c r="G17">
        <f>ROUND(IF(VLOOKUP($A17,EnrollData2324,'2324 Jun 24 Enroll'!G$1,FALSE)=VLOOKUP($A17,'ESA Calculations 2324 Supp'!$A$4:$AE$34,7,FALSE),VLOOKUP($A17,EnrollData2324,'2324 Jun 24 Enroll'!G$1,FALSE),VLOOKUP($A17,'ESA Calculations 2324 Supp'!$A$4:$AE$34,7,FALSE))*Apport_210A2324s,3)</f>
        <v>1.0569999999999999</v>
      </c>
      <c r="H17">
        <f>ROUND(IF(VLOOKUP($A17,EnrollData2324,'2324 Jun 24 Enroll'!H$1,FALSE)=VLOOKUP($A17,'ESA Calculations 2324 Supp'!$A$4:$AE$34,8,FALSE),VLOOKUP($A17,EnrollData2324,'2324 Jun 24 Enroll'!H$1,FALSE),VLOOKUP($A17,'ESA Calculations 2324 Supp'!$A$4:$AE$34,8,FALSE))*Apport_213A2324s,3)</f>
        <v>1.8</v>
      </c>
      <c r="I17">
        <f>ROUND(IF(VLOOKUP($A17,EnrollData2324,'2324 Jun 24 Enroll'!I$1,FALSE)+VLOOKUP($A17,EnrollData2324,'2324 Jun 24 Enroll'!M$1,FALSE)-VLOOKUP($A17,EnrollData2324,'2324 Jun 24 Enroll'!J$1,FALSE)=VLOOKUP($A17,'ESA Calculations 2324 Supp'!$A$4:$AE$34,9,FALSE)+VLOOKUP($A17,'ESA Calculations 2324 Supp'!$A$4:$AE$34,18,FALSE)-VLOOKUP($A17,'ESA Calculations 2324 Supp'!$A$4:$AE$34,10,FALSE),VLOOKUP($A17,EnrollData2324,'2324 Jun 24 Enroll'!I$1,FALSE)+VLOOKUP($A17,EnrollData2324,'2324 Jun 24 Enroll'!M$1,FALSE)-VLOOKUP($A17,EnrollData2324,'2324 Jun 24 Enroll'!J$1,FALSE),VLOOKUP($A17,'ESA Calculations 2324 Supp'!$A$4:$AE$34,9,FALSE)+VLOOKUP($A17,'ESA Calculations 2324 Supp'!$A$4:$AE$34,18,FALSE)-VLOOKUP($A17,'ESA Calculations 2324 Supp'!$A$4:$AE$34,10,FALSE))*Apport_216A2324s,3)</f>
        <v>3.5259999999999998</v>
      </c>
      <c r="J17">
        <f>ROUND(SUM(D17:I17)/IF(VLOOKUP($A17,EnrollData2324,'2324 Jun 24 Enroll'!M$1,FALSE)+VLOOKUP($A17,EnrollData2324,'2324 Jun 24 Enroll'!D$1,FALSE)=VLOOKUP($A17,'ESA Calculations 2324 Supp'!$A$4:$AE$34,18,FALSE)+VLOOKUP($A17,'ESA Calculations 2324 Supp'!$A$4:$AE$34,4,FALSE),VLOOKUP($A17,EnrollData2324,'2324 Jun 24 Enroll'!M$1,FALSE)+VLOOKUP($A17,EnrollData2324,'2324 Jun 24 Enroll'!D$1,FALSE),VLOOKUP($A17,'ESA Calculations 2324 Supp'!$A$4:$AE$34,18,FALSE)+VLOOKUP($A17,'ESA Calculations 2324 Supp'!$A$4:$AE$34,4,FALSE)),5)</f>
        <v>5.6079999999999998E-2</v>
      </c>
      <c r="K17" s="11">
        <f t="shared" si="1"/>
        <v>4.3699999999999998E-3</v>
      </c>
      <c r="L17">
        <f>ROUND(IF(VLOOKUP($A17,EnrollData2324,'2324 Jun 24 Enroll'!D$1,FALSE)=VLOOKUP($A17,'ESA Calculations 2324 Supp'!$A$4:$AE$34,4,FALSE),VLOOKUP($A17,EnrollData2324,'2324 Jun 24 Enroll'!D$1,FALSE),VLOOKUP($A17,'ESA Calculations 2324 Supp'!$A$4:$AE$34,4,FALSE))*K17,3)</f>
        <v>0</v>
      </c>
      <c r="M17">
        <f>ROUND(IF(VLOOKUP($A17,EnrollData2324,'2324 Jun 24 Enroll'!E$1,FALSE)=VLOOKUP($A17,'ESA Calculations 2324 Supp'!$A$4:$AE$34,5,FALSE),VLOOKUP($A17,EnrollData2324,'2324 Jun 24 Enroll'!E$1,FALSE),VLOOKUP($A17,'ESA Calculations 2324 Supp'!$A$4:$AE$34,5,FALSE))*K17,3)</f>
        <v>0.254</v>
      </c>
      <c r="N17">
        <f>ROUND(IF(VLOOKUP($A17,EnrollData2324,'2324 Jun 24 Enroll'!F$1,FALSE)=VLOOKUP($A17,'ESA Calculations 2324 Supp'!$A$4:$AE$34,6,FALSE),VLOOKUP($A17,EnrollData2324,'2324 Jun 24 Enroll'!F$1,FALSE),VLOOKUP($A17,'ESA Calculations 2324 Supp'!$A$4:$AE$34,6,FALSE))*Apport_223A2324s,3)</f>
        <v>7.0999999999999994E-2</v>
      </c>
      <c r="O17">
        <f>ROUND(IF(VLOOKUP($A17,EnrollData2324,'2324 Jun 24 Enroll'!G$1,FALSE)=VLOOKUP($A17,'ESA Calculations 2324 Supp'!$A$4:$AE$34,7,FALSE),VLOOKUP($A17,EnrollData2324,'2324 Jun 24 Enroll'!G$1,FALSE),VLOOKUP($A17,'ESA Calculations 2324 Supp'!$A$4:$AE$34,7,FALSE))*Apport_211A2324s,3)</f>
        <v>8.7999999999999995E-2</v>
      </c>
      <c r="P17">
        <f>ROUND(IF(VLOOKUP($A17,EnrollData2324,'2324 Jun 24 Enroll'!H$1,FALSE)=VLOOKUP($A17,'ESA Calculations 2324 Supp'!$A$4:$AE$34,8,FALSE),VLOOKUP($A17,EnrollData2324,'2324 Jun 24 Enroll'!H$1,FALSE),VLOOKUP($A17,'ESA Calculations 2324 Supp'!$A$4:$AE$34,8,FALSE))*Apport_214A2324s,3)</f>
        <v>0.15</v>
      </c>
      <c r="Q17">
        <f>ROUND(IF(VLOOKUP($A17,EnrollData2324,'2324 Jun 24 Enroll'!I$1,FALSE)+VLOOKUP($A17,EnrollData2324,'2324 Jun 24 Enroll'!M$1,FALSE)-VLOOKUP($A17,EnrollData2324,'2324 Jun 24 Enroll'!J$1,FALSE)=VLOOKUP($A17,'ESA Calculations 2324 Supp'!$A$4:$AE$34,9,FALSE)+VLOOKUP($A17,'ESA Calculations 2324 Supp'!$A$4:$AE$34,18,FALSE)-VLOOKUP($A17,'ESA Calculations 2324 Supp'!$A$4:$AE$34,10,FALSE),VLOOKUP($A17,EnrollData2324,'2324 Jun 24 Enroll'!I$1,FALSE)+VLOOKUP($A17,EnrollData2324,'2324 Jun 24 Enroll'!M$1,FALSE)-VLOOKUP($A17,EnrollData2324,'2324 Jun 24 Enroll'!J$1,FALSE),VLOOKUP($A17,'ESA Calculations 2324 Supp'!$A$4:$AE$34,9,FALSE)+VLOOKUP($A17,'ESA Calculations 2324 Supp'!$A$4:$AE$34,18,FALSE)-VLOOKUP($A17,'ESA Calculations 2324 Supp'!$A$4:$AE$34,10,FALSE))*Apport_217A2324s,3)</f>
        <v>0.28499999999999998</v>
      </c>
      <c r="R17">
        <f>ROUND(SUM(L17:Q17)/IF(VLOOKUP($A17,EnrollData2324,'2324 Jun 24 Enroll'!M$1,FALSE)+VLOOKUP($A17,EnrollData2324,'2324 Jun 24 Enroll'!D$1,FALSE)=VLOOKUP($A17,'ESA Calculations 2324 Supp'!$A$4:$AE$34,18,FALSE)+VLOOKUP($A17,'ESA Calculations 2324 Supp'!$A$4:$AE$34,4,FALSE),VLOOKUP($A17,EnrollData2324,'2324 Jun 24 Enroll'!M$1,FALSE)+VLOOKUP($A17,EnrollData2324,'2324 Jun 24 Enroll'!D$1,FALSE),VLOOKUP($A17,'ESA Calculations 2324 Supp'!$A$4:$AE$34,18,FALSE)+VLOOKUP($A17,'ESA Calculations 2324 Supp'!$A$4:$AE$34,4,FALSE)),5)</f>
        <v>4.13E-3</v>
      </c>
      <c r="S17" s="11">
        <f t="shared" si="2"/>
        <v>1.8689600000000001E-2</v>
      </c>
      <c r="T17">
        <f>ROUND(IF(VLOOKUP($A17,EnrollData2324,'2324 Jun 24 Enroll'!D$1,FALSE)=VLOOKUP($A17,'ESA Calculations 2324 Supp'!$A$4:$AE$34,4,FALSE),VLOOKUP($A17,EnrollData2324,'2324 Jun 24 Enroll'!D$1,FALSE),VLOOKUP($A17,'ESA Calculations 2324 Supp'!$A$4:$AE$34,4,FALSE))*S17,3)</f>
        <v>0</v>
      </c>
      <c r="U17">
        <f>ROUND(IF(VLOOKUP($A17,EnrollData2324,'2324 Jun 24 Enroll'!E$1,FALSE)=VLOOKUP($A17,'ESA Calculations 2324 Supp'!$A$4:$AE$34,5,FALSE),VLOOKUP($A17,EnrollData2324,'2324 Jun 24 Enroll'!E$1,FALSE),VLOOKUP($A17,'ESA Calculations 2324 Supp'!$A$4:$AE$34,5,FALSE))*S17,3)</f>
        <v>1.0880000000000001</v>
      </c>
      <c r="V17">
        <f>ROUND(IF(VLOOKUP($A17,EnrollData2324,'2324 Jun 24 Enroll'!F$1,FALSE)=VLOOKUP($A17,'ESA Calculations 2324 Supp'!$A$4:$AE$34,6,FALSE),VLOOKUP($A17,EnrollData2324,'2324 Jun 24 Enroll'!F$1,FALSE),VLOOKUP($A17,'ESA Calculations 2324 Supp'!$A$4:$AE$34,6,FALSE))*Apport_224A2324s,3)</f>
        <v>0.31</v>
      </c>
      <c r="W17">
        <f>ROUND(IF(VLOOKUP($A17,EnrollData2324,'2324 Jun 24 Enroll'!G$1,FALSE)=VLOOKUP($A17,'ESA Calculations 2324 Supp'!$A$4:$AE$34,7,FALSE),VLOOKUP($A17,EnrollData2324,'2324 Jun 24 Enroll'!G$1,FALSE),VLOOKUP($A17,'ESA Calculations 2324 Supp'!$A$4:$AE$34,7,FALSE))*Apport_212A2324s,3)</f>
        <v>0.38800000000000001</v>
      </c>
      <c r="X17">
        <f>ROUND(IF(VLOOKUP($A17,EnrollData2324,'2324 Jun 24 Enroll'!H$1,FALSE)=VLOOKUP($A17,'ESA Calculations 2324 Supp'!$A$4:$AE$34,8,FALSE),VLOOKUP($A17,EnrollData2324,'2324 Jun 24 Enroll'!H$1,FALSE),VLOOKUP($A17,'ESA Calculations 2324 Supp'!$A$4:$AE$34,8,FALSE))*Apport_215A2324s,3)</f>
        <v>0.64900000000000002</v>
      </c>
      <c r="Y17">
        <f>ROUND(IF(VLOOKUP($A17,EnrollData2324,'2324 Jun 24 Enroll'!I$1,FALSE)+VLOOKUP($A17,EnrollData2324,'2324 Jun 24 Enroll'!M$1,FALSE)-VLOOKUP($A17,EnrollData2324,'2324 Jun 24 Enroll'!J$1,FALSE)=VLOOKUP($A17,'ESA Calculations 2324 Supp'!$A$4:$AE$34,9,FALSE)+VLOOKUP($A17,'ESA Calculations 2324 Supp'!$A$4:$AE$34,18,FALSE)-VLOOKUP($A17,'ESA Calculations 2324 Supp'!$A$4:$AE$34,10,FALSE),VLOOKUP($A17,EnrollData2324,'2324 Jun 24 Enroll'!I$1,FALSE)+VLOOKUP($A17,EnrollData2324,'2324 Jun 24 Enroll'!M$1,FALSE)-VLOOKUP($A17,EnrollData2324,'2324 Jun 24 Enroll'!J$1,FALSE),VLOOKUP($A17,'ESA Calculations 2324 Supp'!$A$4:$AE$34,9,FALSE)+VLOOKUP($A17,'ESA Calculations 2324 Supp'!$A$4:$AE$34,18,FALSE)-VLOOKUP($A17,'ESA Calculations 2324 Supp'!$A$4:$AE$34,10,FALSE))*Apport_218A2324s,3)</f>
        <v>1.226</v>
      </c>
      <c r="Z17">
        <f>ROUND(SUM(T17:Y17)/IF(VLOOKUP($A17,EnrollData2324,'2324 Jun 24 Enroll'!M$1,FALSE)+VLOOKUP($A17,EnrollData2324,'2324 Jun 24 Enroll'!D$1,FALSE)=VLOOKUP($A17,'ESA Calculations 2324 Supp'!$A$4:$AE$34,18,FALSE)+VLOOKUP($A17,'ESA Calculations 2324 Supp'!$A$4:$AE$34,4,FALSE),VLOOKUP($A17,EnrollData2324,'2324 Jun 24 Enroll'!M$1,FALSE)+VLOOKUP($A17,EnrollData2324,'2324 Jun 24 Enroll'!D$1,FALSE),VLOOKUP($A17,'ESA Calculations 2324 Supp'!$A$4:$AE$34,18,FALSE)+VLOOKUP($A17,'ESA Calculations 2324 Supp'!$A$4:$AE$34,4,FALSE)),5)</f>
        <v>1.7850000000000001E-2</v>
      </c>
      <c r="AA17" s="6" cm="1">
        <f t="array" ref="AA17">ROUND($J17*CIS_Base_Salary2324s*VLOOKUP($A17,EnrollData2324,'2324 Jun 24 Enroll'!S$1,FALSE),2)</f>
        <v>4078.59</v>
      </c>
      <c r="AB17" s="6" cm="1">
        <f t="array" ref="AB17">ROUND($J17*CIS_Inc_Salary2324s*(VLOOKUP($A17,EnrollData2324,'2324 Jun 24 Enroll'!T$1,FALSE)+VLOOKUP($A17,EnrollData2324,'2324 Jun 24 Enroll'!U$1,FALSE)),2)-AA17</f>
        <v>150.90999999999985</v>
      </c>
      <c r="AC17" s="6" cm="1">
        <f t="array" ref="AC17">ROUND($R17*CAS_Base_Salary2324s*VLOOKUP($A17,EnrollData2324,'2324 Jun 24 Enroll'!S$1,FALSE),2)</f>
        <v>445.85</v>
      </c>
      <c r="AD17" s="6" cm="1">
        <f t="array" ref="AD17">ROUND($R17*CAS_Inc_Salary2324s*VLOOKUP($A17,EnrollData2324,'2324 Jun 24 Enroll'!T$1,FALSE),2)-AC17</f>
        <v>16.5</v>
      </c>
      <c r="AE17" s="6" cm="1">
        <f t="array" ref="AE17">ROUND($Z17*CLS_Base_Salary2324s*VLOOKUP($A17,EnrollData2324,'2324 Jun 24 Enroll'!S$1,FALSE),2)</f>
        <v>931.29</v>
      </c>
      <c r="AF17" s="6" cm="1">
        <f t="array" ref="AF17">ROUND($Z17*CLS_Inc_Salary2324s*VLOOKUP($A17,EnrollData2324,'2324 Jun 24 Enroll'!T$1,FALSE),2)-AE17</f>
        <v>34.450000000000045</v>
      </c>
      <c r="AG17" cm="1">
        <f t="array" ref="AG17">ROUND(($J17+$R17)*Apport_124X2324s,2)</f>
        <v>741.31</v>
      </c>
      <c r="AH17" s="69">
        <f t="shared" si="3"/>
        <v>69.360000000000014</v>
      </c>
      <c r="AI17" cm="1">
        <f t="array" ref="AI17">ROUND($Z17*Apport_124X2324s,2)</f>
        <v>219.77</v>
      </c>
      <c r="AJ17" cm="1">
        <f t="array" ref="AJ17">ROUND($Z17*Apport_621X2324s*Apport_125X2324s,2)-AI17</f>
        <v>117.16999999999999</v>
      </c>
      <c r="AK17" cm="1">
        <f t="array" ref="AK17">ROUND((AA17+AC17)*Apport_126X2324s,2)</f>
        <v>813.04</v>
      </c>
      <c r="AL17" cm="1">
        <f t="array" ref="AL17">ROUND((AB17+AD17)*Apport_127X2324s,2)</f>
        <v>29.01</v>
      </c>
      <c r="AM17" cm="1">
        <f t="array" ref="AM17">ROUND(AE17*Apport_128X2324s,2)</f>
        <v>205.44</v>
      </c>
      <c r="AN17" cm="1">
        <f t="array" ref="AN17">ROUND(AF17*Apport_129X2324s,2)</f>
        <v>6.39</v>
      </c>
      <c r="AO17" cm="1">
        <f t="array" ref="AO17">ROUND(($J17*CIS_Inc_Salary2324s*(VLOOKUP($A17,EnrollData2324,'2324 Jun 24 Enroll'!T$1,FALSE)+VLOOKUP($A17,EnrollData2324,'2324 Jun 24 Enroll'!U$1,FALSE))/Apport_613Xpd)*Apport_614Xpd,2)</f>
        <v>70.489999999999995</v>
      </c>
      <c r="AP17" cm="1">
        <f t="array" ref="AP17">ROUND(AO17*Apport_127X2324s,2)</f>
        <v>12.22</v>
      </c>
      <c r="AQ17">
        <f t="shared" si="4"/>
        <v>31.24</v>
      </c>
      <c r="AR17" s="6" cm="1">
        <f t="array" ref="AR17">ROUND((IF(VLOOKUP($A17,EnrollData2324,'2324 Jun 24 Enroll'!D$1,FALSE)=VLOOKUP($A17,'ESA Calculations 2324 Supp'!$A$4:$AE$34,4,FALSE),VLOOKUP($A17,EnrollData2324,'2324 Jun 24 Enroll'!D$1,FALSE),VLOOKUP($A17,'ESA Calculations 2324 Supp'!$A$4:$AE$34,4,FALSE))*Apport_M802324s+IF(VLOOKUP($A17,EnrollData2324,'2324 Jun 24 Enroll'!M$1,FALSE)=VLOOKUP($A17,'ESA Calculations 2324 Supp'!$A$4:$AE$34,18,FALSE),VLOOKUP($A17,EnrollData2324,'2324 Jun 24 Enroll'!M$1,FALSE),VLOOKUP($A17,'ESA Calculations 2324 Supp'!$A$4:$AE$34,18,FALSE))*Apport_M802324s+IF((VLOOKUP($A17,EnrollData2324,'2324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Enroll'!L$1,FALSE))=VLOOKUP($A17,EnrollData2324,'2324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Enroll'!L$1,FALSE),(VLOOKUP($A17,EnrollData2324,'2324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Enroll'!L$1,FALSE)),(VLOOKUP($A17,EnrollData2324,'2324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Enroll'!L$1,FALSE)))*Apport_M812324s)/(IF(VLOOKUP($A17,EnrollData2324,'2324 Jun 24 Enroll'!M$1,FALSE)=VLOOKUP($A17,'ESA Calculations 2324 Supp'!$A$4:$AE$34,18,FALSE),VLOOKUP($A17,EnrollData2324,'2324 Jun 24 Enroll'!M$1,FALSE),VLOOKUP($A17,'ESA Calculations 2324 Supp'!$A$4:$AE$34,18,FALSE))+IF(VLOOKUP($A17,EnrollData2324,'2324 Jun 24 Enroll'!D$1,FALSE)=VLOOKUP($A17,'ESA Calculations 2324 Supp'!$A$4:$AE$34,4,FALSE),VLOOKUP($A17,EnrollData2324,'2324 Jun 24 Enroll'!D$1,FALSE),VLOOKUP($A17,'ESA Calculations 2324 Supp'!$A$4:$AE$34,4,FALSE))),2)</f>
        <v>1573.11</v>
      </c>
      <c r="AS17" s="7">
        <f t="shared" si="5"/>
        <v>9546.14</v>
      </c>
      <c r="AT17" s="6">
        <f>IF(VLOOKUP($A17,EnrollData2324,'2324 Jun 24 Enroll'!AA$1,FALSE)=VLOOKUP($A17,'ESA Calculations 2324 Supp'!$A$4:$AE$34,24,FALSE),VLOOKUP($A17,EnrollData2324,'2324 Jun 24 Enroll'!AA$1,FALSE),VLOOKUP($A17,'ESA Calculations 2324 Supp'!$A$4:$AE$34,24,FALSE))</f>
        <v>206.71</v>
      </c>
    </row>
    <row r="18" spans="1:46">
      <c r="A18" s="40" t="s">
        <v>478</v>
      </c>
      <c r="B18" s="40" t="s">
        <v>479</v>
      </c>
      <c r="C18" s="11">
        <f>ROUND((IFERROR((1/IF(VLOOKUP($A18,EnrollData2324,28,FALSE)=VLOOKUP($A18,'ESA Calculations 2324 Supp'!$A$4:$AE$34,3,FALSE),VLOOKUP($A18,EnrollData2324,28,FALSE),VLOOKUP($A18,'ESA Calculations 2324 Supp'!$A$4:$AE$34,3,FALSE)))*(1+Apport_Z315),0))+Apport_201A2324s,6)</f>
        <v>7.3449E-2</v>
      </c>
      <c r="D18">
        <f>ROUND(IF(VLOOKUP($A18,EnrollData2324,'2324 Jun 24 Enroll'!D$1,FALSE)=VLOOKUP($A18,'ESA Calculations 2324 Supp'!$A$4:$AE$34,4,FALSE),VLOOKUP($A18,EnrollData2324,'2324 Jun 24 Enroll'!D$1,FALSE),VLOOKUP($A18,'ESA Calculations 2324 Supp'!$A$4:$AE$34,4,FALSE))*C18,3)</f>
        <v>0</v>
      </c>
      <c r="E18">
        <f>ROUND(IF(VLOOKUP($A18,EnrollData2324,'2324 Jun 24 Enroll'!E$1,FALSE)=VLOOKUP($A18,'ESA Calculations 2324 Supp'!$A$4:$AE$34,5,FALSE),VLOOKUP($A18,EnrollData2324,'2324 Jun 24 Enroll'!E$1,FALSE),VLOOKUP($A18,'ESA Calculations 2324 Supp'!$A$4:$AE$34,5,FALSE))*C18,3)</f>
        <v>1.462</v>
      </c>
      <c r="F18">
        <f>ROUND(IF(VLOOKUP($A18,EnrollData2324,'2324 Jun 24 Enroll'!F$1,FALSE)=VLOOKUP($A18,'ESA Calculations 2324 Supp'!$A$4:$AE$34,6,FALSE),VLOOKUP($A18,EnrollData2324,'2324 Jun 24 Enroll'!F$1,FALSE),VLOOKUP($A18,'ESA Calculations 2324 Supp'!$A$4:$AE$34,6,FALSE))*Apport_222A2324s,3)</f>
        <v>0.23699999999999999</v>
      </c>
      <c r="G18">
        <f>ROUND(IF(VLOOKUP($A18,EnrollData2324,'2324 Jun 24 Enroll'!G$1,FALSE)=VLOOKUP($A18,'ESA Calculations 2324 Supp'!$A$4:$AE$34,7,FALSE),VLOOKUP($A18,EnrollData2324,'2324 Jun 24 Enroll'!G$1,FALSE),VLOOKUP($A18,'ESA Calculations 2324 Supp'!$A$4:$AE$34,7,FALSE))*Apport_210A2324s,3)</f>
        <v>0.193</v>
      </c>
      <c r="H18">
        <f>ROUND(IF(VLOOKUP($A18,EnrollData2324,'2324 Jun 24 Enroll'!H$1,FALSE)=VLOOKUP($A18,'ESA Calculations 2324 Supp'!$A$4:$AE$34,8,FALSE),VLOOKUP($A18,EnrollData2324,'2324 Jun 24 Enroll'!H$1,FALSE),VLOOKUP($A18,'ESA Calculations 2324 Supp'!$A$4:$AE$34,8,FALSE))*Apport_213A2324s,3)</f>
        <v>0.36299999999999999</v>
      </c>
      <c r="I18">
        <f>ROUND(IF(VLOOKUP($A18,EnrollData2324,'2324 Jun 24 Enroll'!I$1,FALSE)+VLOOKUP($A18,EnrollData2324,'2324 Jun 24 Enroll'!M$1,FALSE)-VLOOKUP($A18,EnrollData2324,'2324 Jun 24 Enroll'!J$1,FALSE)=VLOOKUP($A18,'ESA Calculations 2324 Supp'!$A$4:$AE$34,9,FALSE)+VLOOKUP($A18,'ESA Calculations 2324 Supp'!$A$4:$AE$34,18,FALSE)-VLOOKUP($A18,'ESA Calculations 2324 Supp'!$A$4:$AE$34,10,FALSE),VLOOKUP($A18,EnrollData2324,'2324 Jun 24 Enroll'!I$1,FALSE)+VLOOKUP($A18,EnrollData2324,'2324 Jun 24 Enroll'!M$1,FALSE)-VLOOKUP($A18,EnrollData2324,'2324 Jun 24 Enroll'!J$1,FALSE),VLOOKUP($A18,'ESA Calculations 2324 Supp'!$A$4:$AE$34,9,FALSE)+VLOOKUP($A18,'ESA Calculations 2324 Supp'!$A$4:$AE$34,18,FALSE)-VLOOKUP($A18,'ESA Calculations 2324 Supp'!$A$4:$AE$34,10,FALSE))*Apport_216A2324s,3)</f>
        <v>1.268</v>
      </c>
      <c r="J18">
        <f>ROUND(SUM(D18:I18)/IF(VLOOKUP($A18,EnrollData2324,'2324 Jun 24 Enroll'!M$1,FALSE)+VLOOKUP($A18,EnrollData2324,'2324 Jun 24 Enroll'!D$1,FALSE)=VLOOKUP($A18,'ESA Calculations 2324 Supp'!$A$4:$AE$34,18,FALSE)+VLOOKUP($A18,'ESA Calculations 2324 Supp'!$A$4:$AE$34,4,FALSE),VLOOKUP($A18,EnrollData2324,'2324 Jun 24 Enroll'!M$1,FALSE)+VLOOKUP($A18,EnrollData2324,'2324 Jun 24 Enroll'!D$1,FALSE),VLOOKUP($A18,'ESA Calculations 2324 Supp'!$A$4:$AE$34,18,FALSE)+VLOOKUP($A18,'ESA Calculations 2324 Supp'!$A$4:$AE$34,4,FALSE)),5)</f>
        <v>5.7189999999999998E-2</v>
      </c>
      <c r="K18" s="11">
        <f t="shared" si="1"/>
        <v>4.3699999999999998E-3</v>
      </c>
      <c r="L18">
        <f>ROUND(IF(VLOOKUP($A18,EnrollData2324,'2324 Jun 24 Enroll'!D$1,FALSE)=VLOOKUP($A18,'ESA Calculations 2324 Supp'!$A$4:$AE$34,4,FALSE),VLOOKUP($A18,EnrollData2324,'2324 Jun 24 Enroll'!D$1,FALSE),VLOOKUP($A18,'ESA Calculations 2324 Supp'!$A$4:$AE$34,4,FALSE))*K18,3)</f>
        <v>0</v>
      </c>
      <c r="M18">
        <f>ROUND(IF(VLOOKUP($A18,EnrollData2324,'2324 Jun 24 Enroll'!E$1,FALSE)=VLOOKUP($A18,'ESA Calculations 2324 Supp'!$A$4:$AE$34,5,FALSE),VLOOKUP($A18,EnrollData2324,'2324 Jun 24 Enroll'!E$1,FALSE),VLOOKUP($A18,'ESA Calculations 2324 Supp'!$A$4:$AE$34,5,FALSE))*K18,3)</f>
        <v>8.6999999999999994E-2</v>
      </c>
      <c r="N18">
        <f>ROUND(IF(VLOOKUP($A18,EnrollData2324,'2324 Jun 24 Enroll'!F$1,FALSE)=VLOOKUP($A18,'ESA Calculations 2324 Supp'!$A$4:$AE$34,6,FALSE),VLOOKUP($A18,EnrollData2324,'2324 Jun 24 Enroll'!F$1,FALSE),VLOOKUP($A18,'ESA Calculations 2324 Supp'!$A$4:$AE$34,6,FALSE))*Apport_223A2324s,3)</f>
        <v>0.02</v>
      </c>
      <c r="O18">
        <f>ROUND(IF(VLOOKUP($A18,EnrollData2324,'2324 Jun 24 Enroll'!G$1,FALSE)=VLOOKUP($A18,'ESA Calculations 2324 Supp'!$A$4:$AE$34,7,FALSE),VLOOKUP($A18,EnrollData2324,'2324 Jun 24 Enroll'!G$1,FALSE),VLOOKUP($A18,'ESA Calculations 2324 Supp'!$A$4:$AE$34,7,FALSE))*Apport_211A2324s,3)</f>
        <v>1.6E-2</v>
      </c>
      <c r="P18">
        <f>ROUND(IF(VLOOKUP($A18,EnrollData2324,'2324 Jun 24 Enroll'!H$1,FALSE)=VLOOKUP($A18,'ESA Calculations 2324 Supp'!$A$4:$AE$34,8,FALSE),VLOOKUP($A18,EnrollData2324,'2324 Jun 24 Enroll'!H$1,FALSE),VLOOKUP($A18,'ESA Calculations 2324 Supp'!$A$4:$AE$34,8,FALSE))*Apport_214A2324s,3)</f>
        <v>0.03</v>
      </c>
      <c r="Q18">
        <f>ROUND(IF(VLOOKUP($A18,EnrollData2324,'2324 Jun 24 Enroll'!I$1,FALSE)+VLOOKUP($A18,EnrollData2324,'2324 Jun 24 Enroll'!M$1,FALSE)-VLOOKUP($A18,EnrollData2324,'2324 Jun 24 Enroll'!J$1,FALSE)=VLOOKUP($A18,'ESA Calculations 2324 Supp'!$A$4:$AE$34,9,FALSE)+VLOOKUP($A18,'ESA Calculations 2324 Supp'!$A$4:$AE$34,18,FALSE)-VLOOKUP($A18,'ESA Calculations 2324 Supp'!$A$4:$AE$34,10,FALSE),VLOOKUP($A18,EnrollData2324,'2324 Jun 24 Enroll'!I$1,FALSE)+VLOOKUP($A18,EnrollData2324,'2324 Jun 24 Enroll'!M$1,FALSE)-VLOOKUP($A18,EnrollData2324,'2324 Jun 24 Enroll'!J$1,FALSE),VLOOKUP($A18,'ESA Calculations 2324 Supp'!$A$4:$AE$34,9,FALSE)+VLOOKUP($A18,'ESA Calculations 2324 Supp'!$A$4:$AE$34,18,FALSE)-VLOOKUP($A18,'ESA Calculations 2324 Supp'!$A$4:$AE$34,10,FALSE))*Apport_217A2324s,3)</f>
        <v>0.10199999999999999</v>
      </c>
      <c r="R18">
        <f>ROUND(SUM(L18:Q18)/IF(VLOOKUP($A18,EnrollData2324,'2324 Jun 24 Enroll'!M$1,FALSE)+VLOOKUP($A18,EnrollData2324,'2324 Jun 24 Enroll'!D$1,FALSE)=VLOOKUP($A18,'ESA Calculations 2324 Supp'!$A$4:$AE$34,18,FALSE)+VLOOKUP($A18,'ESA Calculations 2324 Supp'!$A$4:$AE$34,4,FALSE),VLOOKUP($A18,EnrollData2324,'2324 Jun 24 Enroll'!M$1,FALSE)+VLOOKUP($A18,EnrollData2324,'2324 Jun 24 Enroll'!D$1,FALSE),VLOOKUP($A18,'ESA Calculations 2324 Supp'!$A$4:$AE$34,18,FALSE)+VLOOKUP($A18,'ESA Calculations 2324 Supp'!$A$4:$AE$34,4,FALSE)),5)</f>
        <v>4.1399999999999996E-3</v>
      </c>
      <c r="S18" s="11">
        <f t="shared" si="2"/>
        <v>1.8689600000000001E-2</v>
      </c>
      <c r="T18">
        <f>ROUND(IF(VLOOKUP($A18,EnrollData2324,'2324 Jun 24 Enroll'!D$1,FALSE)=VLOOKUP($A18,'ESA Calculations 2324 Supp'!$A$4:$AE$34,4,FALSE),VLOOKUP($A18,EnrollData2324,'2324 Jun 24 Enroll'!D$1,FALSE),VLOOKUP($A18,'ESA Calculations 2324 Supp'!$A$4:$AE$34,4,FALSE))*S18,3)</f>
        <v>0</v>
      </c>
      <c r="U18">
        <f>ROUND(IF(VLOOKUP($A18,EnrollData2324,'2324 Jun 24 Enroll'!E$1,FALSE)=VLOOKUP($A18,'ESA Calculations 2324 Supp'!$A$4:$AE$34,5,FALSE),VLOOKUP($A18,EnrollData2324,'2324 Jun 24 Enroll'!E$1,FALSE),VLOOKUP($A18,'ESA Calculations 2324 Supp'!$A$4:$AE$34,5,FALSE))*S18,3)</f>
        <v>0.372</v>
      </c>
      <c r="V18">
        <f>ROUND(IF(VLOOKUP($A18,EnrollData2324,'2324 Jun 24 Enroll'!F$1,FALSE)=VLOOKUP($A18,'ESA Calculations 2324 Supp'!$A$4:$AE$34,6,FALSE),VLOOKUP($A18,EnrollData2324,'2324 Jun 24 Enroll'!F$1,FALSE),VLOOKUP($A18,'ESA Calculations 2324 Supp'!$A$4:$AE$34,6,FALSE))*Apport_224A2324s,3)</f>
        <v>8.6999999999999994E-2</v>
      </c>
      <c r="W18">
        <f>ROUND(IF(VLOOKUP($A18,EnrollData2324,'2324 Jun 24 Enroll'!G$1,FALSE)=VLOOKUP($A18,'ESA Calculations 2324 Supp'!$A$4:$AE$34,7,FALSE),VLOOKUP($A18,EnrollData2324,'2324 Jun 24 Enroll'!G$1,FALSE),VLOOKUP($A18,'ESA Calculations 2324 Supp'!$A$4:$AE$34,7,FALSE))*Apport_212A2324s,3)</f>
        <v>7.0999999999999994E-2</v>
      </c>
      <c r="X18">
        <f>ROUND(IF(VLOOKUP($A18,EnrollData2324,'2324 Jun 24 Enroll'!H$1,FALSE)=VLOOKUP($A18,'ESA Calculations 2324 Supp'!$A$4:$AE$34,8,FALSE),VLOOKUP($A18,EnrollData2324,'2324 Jun 24 Enroll'!H$1,FALSE),VLOOKUP($A18,'ESA Calculations 2324 Supp'!$A$4:$AE$34,8,FALSE))*Apport_215A2324s,3)</f>
        <v>0.13100000000000001</v>
      </c>
      <c r="Y18">
        <f>ROUND(IF(VLOOKUP($A18,EnrollData2324,'2324 Jun 24 Enroll'!I$1,FALSE)+VLOOKUP($A18,EnrollData2324,'2324 Jun 24 Enroll'!M$1,FALSE)-VLOOKUP($A18,EnrollData2324,'2324 Jun 24 Enroll'!J$1,FALSE)=VLOOKUP($A18,'ESA Calculations 2324 Supp'!$A$4:$AE$34,9,FALSE)+VLOOKUP($A18,'ESA Calculations 2324 Supp'!$A$4:$AE$34,18,FALSE)-VLOOKUP($A18,'ESA Calculations 2324 Supp'!$A$4:$AE$34,10,FALSE),VLOOKUP($A18,EnrollData2324,'2324 Jun 24 Enroll'!I$1,FALSE)+VLOOKUP($A18,EnrollData2324,'2324 Jun 24 Enroll'!M$1,FALSE)-VLOOKUP($A18,EnrollData2324,'2324 Jun 24 Enroll'!J$1,FALSE),VLOOKUP($A18,'ESA Calculations 2324 Supp'!$A$4:$AE$34,9,FALSE)+VLOOKUP($A18,'ESA Calculations 2324 Supp'!$A$4:$AE$34,18,FALSE)-VLOOKUP($A18,'ESA Calculations 2324 Supp'!$A$4:$AE$34,10,FALSE))*Apport_218A2324s,3)</f>
        <v>0.441</v>
      </c>
      <c r="Z18">
        <f>ROUND(SUM(T18:Y18)/IF(VLOOKUP($A18,EnrollData2324,'2324 Jun 24 Enroll'!M$1,FALSE)+VLOOKUP($A18,EnrollData2324,'2324 Jun 24 Enroll'!D$1,FALSE)=VLOOKUP($A18,'ESA Calculations 2324 Supp'!$A$4:$AE$34,18,FALSE)+VLOOKUP($A18,'ESA Calculations 2324 Supp'!$A$4:$AE$34,4,FALSE),VLOOKUP($A18,EnrollData2324,'2324 Jun 24 Enroll'!M$1,FALSE)+VLOOKUP($A18,EnrollData2324,'2324 Jun 24 Enroll'!D$1,FALSE),VLOOKUP($A18,'ESA Calculations 2324 Supp'!$A$4:$AE$34,18,FALSE)+VLOOKUP($A18,'ESA Calculations 2324 Supp'!$A$4:$AE$34,4,FALSE)),5)</f>
        <v>1.789E-2</v>
      </c>
      <c r="AA18" s="6" cm="1">
        <f t="array" ref="AA18">ROUND($J18*CIS_Base_Salary2324s*VLOOKUP($A18,EnrollData2324,'2324 Jun 24 Enroll'!S$1,FALSE),2)</f>
        <v>4159.3100000000004</v>
      </c>
      <c r="AB18" s="6" cm="1">
        <f t="array" ref="AB18">ROUND($J18*CIS_Inc_Salary2324s*(VLOOKUP($A18,EnrollData2324,'2324 Jun 24 Enroll'!T$1,FALSE)+VLOOKUP($A18,EnrollData2324,'2324 Jun 24 Enroll'!U$1,FALSE)),2)-AA18</f>
        <v>326.42999999999938</v>
      </c>
      <c r="AC18" s="6" cm="1">
        <f t="array" ref="AC18">ROUND($R18*CAS_Base_Salary2324s*VLOOKUP($A18,EnrollData2324,'2324 Jun 24 Enroll'!S$1,FALSE),2)</f>
        <v>446.93</v>
      </c>
      <c r="AD18" s="6" cm="1">
        <f t="array" ref="AD18">ROUND($R18*CAS_Inc_Salary2324s*VLOOKUP($A18,EnrollData2324,'2324 Jun 24 Enroll'!T$1,FALSE),2)-AC18</f>
        <v>16.54000000000002</v>
      </c>
      <c r="AE18" s="6" cm="1">
        <f t="array" ref="AE18">ROUND($Z18*CLS_Base_Salary2324s*VLOOKUP($A18,EnrollData2324,'2324 Jun 24 Enroll'!S$1,FALSE),2)</f>
        <v>933.37</v>
      </c>
      <c r="AF18" s="6" cm="1">
        <f t="array" ref="AF18">ROUND($Z18*CLS_Inc_Salary2324s*VLOOKUP($A18,EnrollData2324,'2324 Jun 24 Enroll'!T$1,FALSE),2)-AE18</f>
        <v>34.529999999999973</v>
      </c>
      <c r="AG18" cm="1">
        <f t="array" ref="AG18">ROUND(($J18+$R18)*Apport_124X2324s,2)</f>
        <v>755.09</v>
      </c>
      <c r="AH18" s="69">
        <f t="shared" si="3"/>
        <v>70.659999999999968</v>
      </c>
      <c r="AI18" cm="1">
        <f t="array" ref="AI18">ROUND($Z18*Apport_124X2324s,2)</f>
        <v>220.26</v>
      </c>
      <c r="AJ18" cm="1">
        <f t="array" ref="AJ18">ROUND($Z18*Apport_621X2324s*Apport_125X2324s,2)-AI18</f>
        <v>117.43</v>
      </c>
      <c r="AK18" cm="1">
        <f t="array" ref="AK18">ROUND((AA18+AC18)*Apport_126X2324s,2)</f>
        <v>827.74</v>
      </c>
      <c r="AL18" cm="1">
        <f t="array" ref="AL18">ROUND((AB18+AD18)*Apport_127X2324s,2)</f>
        <v>59.44</v>
      </c>
      <c r="AM18" cm="1">
        <f t="array" ref="AM18">ROUND(AE18*Apport_128X2324s,2)</f>
        <v>205.9</v>
      </c>
      <c r="AN18" cm="1">
        <f t="array" ref="AN18">ROUND(AF18*Apport_129X2324s,2)</f>
        <v>6.41</v>
      </c>
      <c r="AO18" cm="1">
        <f t="array" ref="AO18">ROUND(($J18*CIS_Inc_Salary2324s*(VLOOKUP($A18,EnrollData2324,'2324 Jun 24 Enroll'!T$1,FALSE)+VLOOKUP($A18,EnrollData2324,'2324 Jun 24 Enroll'!U$1,FALSE))/Apport_613Xpd)*Apport_614Xpd,2)</f>
        <v>74.760000000000005</v>
      </c>
      <c r="AP18" cm="1">
        <f t="array" ref="AP18">ROUND(AO18*Apport_127X2324s,2)</f>
        <v>12.96</v>
      </c>
      <c r="AQ18">
        <f t="shared" si="4"/>
        <v>31.86</v>
      </c>
      <c r="AR18" s="6" cm="1">
        <f t="array" ref="AR18">ROUND((IF(VLOOKUP($A18,EnrollData2324,'2324 Jun 24 Enroll'!D$1,FALSE)=VLOOKUP($A18,'ESA Calculations 2324 Supp'!$A$4:$AE$34,4,FALSE),VLOOKUP($A18,EnrollData2324,'2324 Jun 24 Enroll'!D$1,FALSE),VLOOKUP($A18,'ESA Calculations 2324 Supp'!$A$4:$AE$34,4,FALSE))*Apport_M802324s+IF(VLOOKUP($A18,EnrollData2324,'2324 Jun 24 Enroll'!M$1,FALSE)=VLOOKUP($A18,'ESA Calculations 2324 Supp'!$A$4:$AE$34,18,FALSE),VLOOKUP($A18,EnrollData2324,'2324 Jun 24 Enroll'!M$1,FALSE),VLOOKUP($A18,'ESA Calculations 2324 Supp'!$A$4:$AE$34,18,FALSE))*Apport_M802324s+IF((VLOOKUP($A18,EnrollData2324,'2324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Enroll'!L$1,FALSE))=VLOOKUP($A18,EnrollData2324,'2324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Enroll'!L$1,FALSE),(VLOOKUP($A18,EnrollData2324,'2324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Enroll'!L$1,FALSE)),(VLOOKUP($A18,EnrollData2324,'2324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Enroll'!L$1,FALSE)))*Apport_M812324s)/(IF(VLOOKUP($A18,EnrollData2324,'2324 Jun 24 Enroll'!M$1,FALSE)=VLOOKUP($A18,'ESA Calculations 2324 Supp'!$A$4:$AE$34,18,FALSE),VLOOKUP($A18,EnrollData2324,'2324 Jun 24 Enroll'!M$1,FALSE),VLOOKUP($A18,'ESA Calculations 2324 Supp'!$A$4:$AE$34,18,FALSE))+IF(VLOOKUP($A18,EnrollData2324,'2324 Jun 24 Enroll'!D$1,FALSE)=VLOOKUP($A18,'ESA Calculations 2324 Supp'!$A$4:$AE$34,4,FALSE),VLOOKUP($A18,EnrollData2324,'2324 Jun 24 Enroll'!D$1,FALSE),VLOOKUP($A18,'ESA Calculations 2324 Supp'!$A$4:$AE$34,4,FALSE))),2)</f>
        <v>1586.68</v>
      </c>
      <c r="AS18" s="7">
        <f t="shared" si="5"/>
        <v>9886.2999999999993</v>
      </c>
      <c r="AT18" s="6">
        <f>IF(VLOOKUP($A18,EnrollData2324,'2324 Jun 24 Enroll'!AA$1,FALSE)=VLOOKUP($A18,'ESA Calculations 2324 Supp'!$A$4:$AE$34,24,FALSE),VLOOKUP($A18,EnrollData2324,'2324 Jun 24 Enroll'!AA$1,FALSE),VLOOKUP($A18,'ESA Calculations 2324 Supp'!$A$4:$AE$34,24,FALSE))</f>
        <v>61.89</v>
      </c>
    </row>
    <row r="19" spans="1:46">
      <c r="A19" s="40" t="s">
        <v>534</v>
      </c>
      <c r="B19" s="40" t="s">
        <v>535</v>
      </c>
      <c r="C19" s="11">
        <f>ROUND((IFERROR((1/IF(VLOOKUP($A19,EnrollData2324,28,FALSE)=VLOOKUP($A19,'ESA Calculations 2324 Supp'!$A$4:$AE$34,3,FALSE),VLOOKUP($A19,EnrollData2324,28,FALSE),VLOOKUP($A19,'ESA Calculations 2324 Supp'!$A$4:$AE$34,3,FALSE)))*(1+Apport_Z315),0))+Apport_201A2324s,6)</f>
        <v>7.3449E-2</v>
      </c>
      <c r="D19">
        <f>ROUND(IF(VLOOKUP($A19,EnrollData2324,'2324 Jun 24 Enroll'!D$1,FALSE)=VLOOKUP($A19,'ESA Calculations 2324 Supp'!$A$4:$AE$34,4,FALSE),VLOOKUP($A19,EnrollData2324,'2324 Jun 24 Enroll'!D$1,FALSE),VLOOKUP($A19,'ESA Calculations 2324 Supp'!$A$4:$AE$34,4,FALSE))*C19,3)</f>
        <v>0</v>
      </c>
      <c r="E19">
        <f>ROUND(IF(VLOOKUP($A19,EnrollData2324,'2324 Jun 24 Enroll'!E$1,FALSE)=VLOOKUP($A19,'ESA Calculations 2324 Supp'!$A$4:$AE$34,5,FALSE),VLOOKUP($A19,EnrollData2324,'2324 Jun 24 Enroll'!E$1,FALSE),VLOOKUP($A19,'ESA Calculations 2324 Supp'!$A$4:$AE$34,5,FALSE))*C19,3)</f>
        <v>2.02</v>
      </c>
      <c r="F19">
        <f>ROUND(IF(VLOOKUP($A19,EnrollData2324,'2324 Jun 24 Enroll'!F$1,FALSE)=VLOOKUP($A19,'ESA Calculations 2324 Supp'!$A$4:$AE$34,6,FALSE),VLOOKUP($A19,EnrollData2324,'2324 Jun 24 Enroll'!F$1,FALSE),VLOOKUP($A19,'ESA Calculations 2324 Supp'!$A$4:$AE$34,6,FALSE))*Apport_222A2324s,3)</f>
        <v>0.34799999999999998</v>
      </c>
      <c r="G19">
        <f>ROUND(IF(VLOOKUP($A19,EnrollData2324,'2324 Jun 24 Enroll'!G$1,FALSE)=VLOOKUP($A19,'ESA Calculations 2324 Supp'!$A$4:$AE$34,7,FALSE),VLOOKUP($A19,EnrollData2324,'2324 Jun 24 Enroll'!G$1,FALSE),VLOOKUP($A19,'ESA Calculations 2324 Supp'!$A$4:$AE$34,7,FALSE))*Apport_210A2324s,3)</f>
        <v>0.66200000000000003</v>
      </c>
      <c r="H19">
        <f>ROUND(IF(VLOOKUP($A19,EnrollData2324,'2324 Jun 24 Enroll'!H$1,FALSE)=VLOOKUP($A19,'ESA Calculations 2324 Supp'!$A$4:$AE$34,8,FALSE),VLOOKUP($A19,EnrollData2324,'2324 Jun 24 Enroll'!H$1,FALSE),VLOOKUP($A19,'ESA Calculations 2324 Supp'!$A$4:$AE$34,8,FALSE))*Apport_213A2324s,3)</f>
        <v>0.52300000000000002</v>
      </c>
      <c r="I19">
        <f>ROUND(IF(VLOOKUP($A19,EnrollData2324,'2324 Jun 24 Enroll'!I$1,FALSE)+VLOOKUP($A19,EnrollData2324,'2324 Jun 24 Enroll'!M$1,FALSE)-VLOOKUP($A19,EnrollData2324,'2324 Jun 24 Enroll'!J$1,FALSE)=VLOOKUP($A19,'ESA Calculations 2324 Supp'!$A$4:$AE$34,9,FALSE)+VLOOKUP($A19,'ESA Calculations 2324 Supp'!$A$4:$AE$34,18,FALSE)-VLOOKUP($A19,'ESA Calculations 2324 Supp'!$A$4:$AE$34,10,FALSE),VLOOKUP($A19,EnrollData2324,'2324 Jun 24 Enroll'!I$1,FALSE)+VLOOKUP($A19,EnrollData2324,'2324 Jun 24 Enroll'!M$1,FALSE)-VLOOKUP($A19,EnrollData2324,'2324 Jun 24 Enroll'!J$1,FALSE),VLOOKUP($A19,'ESA Calculations 2324 Supp'!$A$4:$AE$34,9,FALSE)+VLOOKUP($A19,'ESA Calculations 2324 Supp'!$A$4:$AE$34,18,FALSE)-VLOOKUP($A19,'ESA Calculations 2324 Supp'!$A$4:$AE$34,10,FALSE))*Apport_216A2324s,3)</f>
        <v>1.3360000000000001</v>
      </c>
      <c r="J19">
        <f>ROUND(SUM(D19:I19)/IF(VLOOKUP($A19,EnrollData2324,'2324 Jun 24 Enroll'!M$1,FALSE)+VLOOKUP($A19,EnrollData2324,'2324 Jun 24 Enroll'!D$1,FALSE)=VLOOKUP($A19,'ESA Calculations 2324 Supp'!$A$4:$AE$34,18,FALSE)+VLOOKUP($A19,'ESA Calculations 2324 Supp'!$A$4:$AE$34,4,FALSE),VLOOKUP($A19,EnrollData2324,'2324 Jun 24 Enroll'!M$1,FALSE)+VLOOKUP($A19,EnrollData2324,'2324 Jun 24 Enroll'!D$1,FALSE),VLOOKUP($A19,'ESA Calculations 2324 Supp'!$A$4:$AE$34,18,FALSE)+VLOOKUP($A19,'ESA Calculations 2324 Supp'!$A$4:$AE$34,4,FALSE)),5)</f>
        <v>5.6950000000000001E-2</v>
      </c>
      <c r="K19" s="11">
        <f t="shared" si="1"/>
        <v>4.3699999999999998E-3</v>
      </c>
      <c r="L19">
        <f>ROUND(IF(VLOOKUP($A19,EnrollData2324,'2324 Jun 24 Enroll'!D$1,FALSE)=VLOOKUP($A19,'ESA Calculations 2324 Supp'!$A$4:$AE$34,4,FALSE),VLOOKUP($A19,EnrollData2324,'2324 Jun 24 Enroll'!D$1,FALSE),VLOOKUP($A19,'ESA Calculations 2324 Supp'!$A$4:$AE$34,4,FALSE))*K19,3)</f>
        <v>0</v>
      </c>
      <c r="M19">
        <f>ROUND(IF(VLOOKUP($A19,EnrollData2324,'2324 Jun 24 Enroll'!E$1,FALSE)=VLOOKUP($A19,'ESA Calculations 2324 Supp'!$A$4:$AE$34,5,FALSE),VLOOKUP($A19,EnrollData2324,'2324 Jun 24 Enroll'!E$1,FALSE),VLOOKUP($A19,'ESA Calculations 2324 Supp'!$A$4:$AE$34,5,FALSE))*K19,3)</f>
        <v>0.12</v>
      </c>
      <c r="N19">
        <f>ROUND(IF(VLOOKUP($A19,EnrollData2324,'2324 Jun 24 Enroll'!F$1,FALSE)=VLOOKUP($A19,'ESA Calculations 2324 Supp'!$A$4:$AE$34,6,FALSE),VLOOKUP($A19,EnrollData2324,'2324 Jun 24 Enroll'!F$1,FALSE),VLOOKUP($A19,'ESA Calculations 2324 Supp'!$A$4:$AE$34,6,FALSE))*Apport_223A2324s,3)</f>
        <v>2.9000000000000001E-2</v>
      </c>
      <c r="O19">
        <f>ROUND(IF(VLOOKUP($A19,EnrollData2324,'2324 Jun 24 Enroll'!G$1,FALSE)=VLOOKUP($A19,'ESA Calculations 2324 Supp'!$A$4:$AE$34,7,FALSE),VLOOKUP($A19,EnrollData2324,'2324 Jun 24 Enroll'!G$1,FALSE),VLOOKUP($A19,'ESA Calculations 2324 Supp'!$A$4:$AE$34,7,FALSE))*Apport_211A2324s,3)</f>
        <v>5.5E-2</v>
      </c>
      <c r="P19">
        <f>ROUND(IF(VLOOKUP($A19,EnrollData2324,'2324 Jun 24 Enroll'!H$1,FALSE)=VLOOKUP($A19,'ESA Calculations 2324 Supp'!$A$4:$AE$34,8,FALSE),VLOOKUP($A19,EnrollData2324,'2324 Jun 24 Enroll'!H$1,FALSE),VLOOKUP($A19,'ESA Calculations 2324 Supp'!$A$4:$AE$34,8,FALSE))*Apport_214A2324s,3)</f>
        <v>4.3999999999999997E-2</v>
      </c>
      <c r="Q19">
        <f>ROUND(IF(VLOOKUP($A19,EnrollData2324,'2324 Jun 24 Enroll'!I$1,FALSE)+VLOOKUP($A19,EnrollData2324,'2324 Jun 24 Enroll'!M$1,FALSE)-VLOOKUP($A19,EnrollData2324,'2324 Jun 24 Enroll'!J$1,FALSE)=VLOOKUP($A19,'ESA Calculations 2324 Supp'!$A$4:$AE$34,9,FALSE)+VLOOKUP($A19,'ESA Calculations 2324 Supp'!$A$4:$AE$34,18,FALSE)-VLOOKUP($A19,'ESA Calculations 2324 Supp'!$A$4:$AE$34,10,FALSE),VLOOKUP($A19,EnrollData2324,'2324 Jun 24 Enroll'!I$1,FALSE)+VLOOKUP($A19,EnrollData2324,'2324 Jun 24 Enroll'!M$1,FALSE)-VLOOKUP($A19,EnrollData2324,'2324 Jun 24 Enroll'!J$1,FALSE),VLOOKUP($A19,'ESA Calculations 2324 Supp'!$A$4:$AE$34,9,FALSE)+VLOOKUP($A19,'ESA Calculations 2324 Supp'!$A$4:$AE$34,18,FALSE)-VLOOKUP($A19,'ESA Calculations 2324 Supp'!$A$4:$AE$34,10,FALSE))*Apport_217A2324s,3)</f>
        <v>0.108</v>
      </c>
      <c r="R19">
        <f>ROUND(SUM(L19:Q19)/IF(VLOOKUP($A19,EnrollData2324,'2324 Jun 24 Enroll'!M$1,FALSE)+VLOOKUP($A19,EnrollData2324,'2324 Jun 24 Enroll'!D$1,FALSE)=VLOOKUP($A19,'ESA Calculations 2324 Supp'!$A$4:$AE$34,18,FALSE)+VLOOKUP($A19,'ESA Calculations 2324 Supp'!$A$4:$AE$34,4,FALSE),VLOOKUP($A19,EnrollData2324,'2324 Jun 24 Enroll'!M$1,FALSE)+VLOOKUP($A19,EnrollData2324,'2324 Jun 24 Enroll'!D$1,FALSE),VLOOKUP($A19,'ESA Calculations 2324 Supp'!$A$4:$AE$34,18,FALSE)+VLOOKUP($A19,'ESA Calculations 2324 Supp'!$A$4:$AE$34,4,FALSE)),5)</f>
        <v>4.15E-3</v>
      </c>
      <c r="S19" s="11">
        <f t="shared" si="2"/>
        <v>1.8689600000000001E-2</v>
      </c>
      <c r="T19">
        <f>ROUND(IF(VLOOKUP($A19,EnrollData2324,'2324 Jun 24 Enroll'!D$1,FALSE)=VLOOKUP($A19,'ESA Calculations 2324 Supp'!$A$4:$AE$34,4,FALSE),VLOOKUP($A19,EnrollData2324,'2324 Jun 24 Enroll'!D$1,FALSE),VLOOKUP($A19,'ESA Calculations 2324 Supp'!$A$4:$AE$34,4,FALSE))*S19,3)</f>
        <v>0</v>
      </c>
      <c r="U19">
        <f>ROUND(IF(VLOOKUP($A19,EnrollData2324,'2324 Jun 24 Enroll'!E$1,FALSE)=VLOOKUP($A19,'ESA Calculations 2324 Supp'!$A$4:$AE$34,5,FALSE),VLOOKUP($A19,EnrollData2324,'2324 Jun 24 Enroll'!E$1,FALSE),VLOOKUP($A19,'ESA Calculations 2324 Supp'!$A$4:$AE$34,5,FALSE))*S19,3)</f>
        <v>0.51400000000000001</v>
      </c>
      <c r="V19">
        <f>ROUND(IF(VLOOKUP($A19,EnrollData2324,'2324 Jun 24 Enroll'!F$1,FALSE)=VLOOKUP($A19,'ESA Calculations 2324 Supp'!$A$4:$AE$34,6,FALSE),VLOOKUP($A19,EnrollData2324,'2324 Jun 24 Enroll'!F$1,FALSE),VLOOKUP($A19,'ESA Calculations 2324 Supp'!$A$4:$AE$34,6,FALSE))*Apport_224A2324s,3)</f>
        <v>0.127</v>
      </c>
      <c r="W19">
        <f>ROUND(IF(VLOOKUP($A19,EnrollData2324,'2324 Jun 24 Enroll'!G$1,FALSE)=VLOOKUP($A19,'ESA Calculations 2324 Supp'!$A$4:$AE$34,7,FALSE),VLOOKUP($A19,EnrollData2324,'2324 Jun 24 Enroll'!G$1,FALSE),VLOOKUP($A19,'ESA Calculations 2324 Supp'!$A$4:$AE$34,7,FALSE))*Apport_212A2324s,3)</f>
        <v>0.24199999999999999</v>
      </c>
      <c r="X19">
        <f>ROUND(IF(VLOOKUP($A19,EnrollData2324,'2324 Jun 24 Enroll'!H$1,FALSE)=VLOOKUP($A19,'ESA Calculations 2324 Supp'!$A$4:$AE$34,8,FALSE),VLOOKUP($A19,EnrollData2324,'2324 Jun 24 Enroll'!H$1,FALSE),VLOOKUP($A19,'ESA Calculations 2324 Supp'!$A$4:$AE$34,8,FALSE))*Apport_215A2324s,3)</f>
        <v>0.189</v>
      </c>
      <c r="Y19">
        <f>ROUND(IF(VLOOKUP($A19,EnrollData2324,'2324 Jun 24 Enroll'!I$1,FALSE)+VLOOKUP($A19,EnrollData2324,'2324 Jun 24 Enroll'!M$1,FALSE)-VLOOKUP($A19,EnrollData2324,'2324 Jun 24 Enroll'!J$1,FALSE)=VLOOKUP($A19,'ESA Calculations 2324 Supp'!$A$4:$AE$34,9,FALSE)+VLOOKUP($A19,'ESA Calculations 2324 Supp'!$A$4:$AE$34,18,FALSE)-VLOOKUP($A19,'ESA Calculations 2324 Supp'!$A$4:$AE$34,10,FALSE),VLOOKUP($A19,EnrollData2324,'2324 Jun 24 Enroll'!I$1,FALSE)+VLOOKUP($A19,EnrollData2324,'2324 Jun 24 Enroll'!M$1,FALSE)-VLOOKUP($A19,EnrollData2324,'2324 Jun 24 Enroll'!J$1,FALSE),VLOOKUP($A19,'ESA Calculations 2324 Supp'!$A$4:$AE$34,9,FALSE)+VLOOKUP($A19,'ESA Calculations 2324 Supp'!$A$4:$AE$34,18,FALSE)-VLOOKUP($A19,'ESA Calculations 2324 Supp'!$A$4:$AE$34,10,FALSE))*Apport_218A2324s,3)</f>
        <v>0.46400000000000002</v>
      </c>
      <c r="Z19">
        <f>ROUND(SUM(T19:Y19)/IF(VLOOKUP($A19,EnrollData2324,'2324 Jun 24 Enroll'!M$1,FALSE)+VLOOKUP($A19,EnrollData2324,'2324 Jun 24 Enroll'!D$1,FALSE)=VLOOKUP($A19,'ESA Calculations 2324 Supp'!$A$4:$AE$34,18,FALSE)+VLOOKUP($A19,'ESA Calculations 2324 Supp'!$A$4:$AE$34,4,FALSE),VLOOKUP($A19,EnrollData2324,'2324 Jun 24 Enroll'!M$1,FALSE)+VLOOKUP($A19,EnrollData2324,'2324 Jun 24 Enroll'!D$1,FALSE),VLOOKUP($A19,'ESA Calculations 2324 Supp'!$A$4:$AE$34,18,FALSE)+VLOOKUP($A19,'ESA Calculations 2324 Supp'!$A$4:$AE$34,4,FALSE)),5)</f>
        <v>1.789E-2</v>
      </c>
      <c r="AA19" s="6" cm="1">
        <f t="array" ref="AA19">ROUND($J19*CIS_Base_Salary2324s*VLOOKUP($A19,EnrollData2324,'2324 Jun 24 Enroll'!S$1,FALSE),2)</f>
        <v>4141.8599999999997</v>
      </c>
      <c r="AB19" s="6" cm="1">
        <f t="array" ref="AB19">ROUND($J19*CIS_Inc_Salary2324s*(VLOOKUP($A19,EnrollData2324,'2324 Jun 24 Enroll'!T$1,FALSE)+VLOOKUP($A19,EnrollData2324,'2324 Jun 24 Enroll'!U$1,FALSE)),2)-AA19</f>
        <v>325.0600000000004</v>
      </c>
      <c r="AC19" s="6" cm="1">
        <f t="array" ref="AC19">ROUND($R19*CAS_Base_Salary2324s*VLOOKUP($A19,EnrollData2324,'2324 Jun 24 Enroll'!S$1,FALSE),2)</f>
        <v>448.01</v>
      </c>
      <c r="AD19" s="6" cm="1">
        <f t="array" ref="AD19">ROUND($R19*CAS_Inc_Salary2324s*VLOOKUP($A19,EnrollData2324,'2324 Jun 24 Enroll'!T$1,FALSE),2)-AC19</f>
        <v>16.579999999999984</v>
      </c>
      <c r="AE19" s="6" cm="1">
        <f t="array" ref="AE19">ROUND($Z19*CLS_Base_Salary2324s*VLOOKUP($A19,EnrollData2324,'2324 Jun 24 Enroll'!S$1,FALSE),2)</f>
        <v>933.37</v>
      </c>
      <c r="AF19" s="6" cm="1">
        <f t="array" ref="AF19">ROUND($Z19*CLS_Inc_Salary2324s*VLOOKUP($A19,EnrollData2324,'2324 Jun 24 Enroll'!T$1,FALSE),2)-AE19</f>
        <v>34.529999999999973</v>
      </c>
      <c r="AG19" cm="1">
        <f t="array" ref="AG19">ROUND(($J19+$R19)*Apport_124X2324s,2)</f>
        <v>752.26</v>
      </c>
      <c r="AH19" s="69">
        <f t="shared" si="3"/>
        <v>70.389999999999986</v>
      </c>
      <c r="AI19" cm="1">
        <f t="array" ref="AI19">ROUND($Z19*Apport_124X2324s,2)</f>
        <v>220.26</v>
      </c>
      <c r="AJ19" cm="1">
        <f t="array" ref="AJ19">ROUND($Z19*Apport_621X2324s*Apport_125X2324s,2)-AI19</f>
        <v>117.43</v>
      </c>
      <c r="AK19" cm="1">
        <f t="array" ref="AK19">ROUND((AA19+AC19)*Apport_126X2324s,2)</f>
        <v>824.8</v>
      </c>
      <c r="AL19" cm="1">
        <f t="array" ref="AL19">ROUND((AB19+AD19)*Apport_127X2324s,2)</f>
        <v>59.21</v>
      </c>
      <c r="AM19" cm="1">
        <f t="array" ref="AM19">ROUND(AE19*Apport_128X2324s,2)</f>
        <v>205.9</v>
      </c>
      <c r="AN19" cm="1">
        <f t="array" ref="AN19">ROUND(AF19*Apport_129X2324s,2)</f>
        <v>6.41</v>
      </c>
      <c r="AO19" cm="1">
        <f t="array" ref="AO19">ROUND(($J19*CIS_Inc_Salary2324s*(VLOOKUP($A19,EnrollData2324,'2324 Jun 24 Enroll'!T$1,FALSE)+VLOOKUP($A19,EnrollData2324,'2324 Jun 24 Enroll'!U$1,FALSE))/Apport_613Xpd)*Apport_614Xpd,2)</f>
        <v>74.45</v>
      </c>
      <c r="AP19" cm="1">
        <f t="array" ref="AP19">ROUND(AO19*Apport_127X2324s,2)</f>
        <v>12.9</v>
      </c>
      <c r="AQ19">
        <f t="shared" si="4"/>
        <v>31.72</v>
      </c>
      <c r="AR19" s="6" cm="1">
        <f t="array" ref="AR19">ROUND((IF(VLOOKUP($A19,EnrollData2324,'2324 Jun 24 Enroll'!D$1,FALSE)=VLOOKUP($A19,'ESA Calculations 2324 Supp'!$A$4:$AE$34,4,FALSE),VLOOKUP($A19,EnrollData2324,'2324 Jun 24 Enroll'!D$1,FALSE),VLOOKUP($A19,'ESA Calculations 2324 Supp'!$A$4:$AE$34,4,FALSE))*Apport_M802324s+IF(VLOOKUP($A19,EnrollData2324,'2324 Jun 24 Enroll'!M$1,FALSE)=VLOOKUP($A19,'ESA Calculations 2324 Supp'!$A$4:$AE$34,18,FALSE),VLOOKUP($A19,EnrollData2324,'2324 Jun 24 Enroll'!M$1,FALSE),VLOOKUP($A19,'ESA Calculations 2324 Supp'!$A$4:$AE$34,18,FALSE))*Apport_M802324s+IF((VLOOKUP($A19,EnrollData2324,'2324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Enroll'!L$1,FALSE))=VLOOKUP($A19,EnrollData2324,'2324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Enroll'!L$1,FALSE),(VLOOKUP($A19,EnrollData2324,'2324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Enroll'!L$1,FALSE)),(VLOOKUP($A19,EnrollData2324,'2324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Enroll'!L$1,FALSE)))*Apport_M812324s)/(IF(VLOOKUP($A19,EnrollData2324,'2324 Jun 24 Enroll'!M$1,FALSE)=VLOOKUP($A19,'ESA Calculations 2324 Supp'!$A$4:$AE$34,18,FALSE),VLOOKUP($A19,EnrollData2324,'2324 Jun 24 Enroll'!M$1,FALSE),VLOOKUP($A19,'ESA Calculations 2324 Supp'!$A$4:$AE$34,18,FALSE))+IF(VLOOKUP($A19,EnrollData2324,'2324 Jun 24 Enroll'!D$1,FALSE)=VLOOKUP($A19,'ESA Calculations 2324 Supp'!$A$4:$AE$34,4,FALSE),VLOOKUP($A19,EnrollData2324,'2324 Jun 24 Enroll'!D$1,FALSE),VLOOKUP($A19,'ESA Calculations 2324 Supp'!$A$4:$AE$34,4,FALSE))),2)</f>
        <v>1566.6</v>
      </c>
      <c r="AS19" s="7">
        <f t="shared" si="5"/>
        <v>9841.74</v>
      </c>
      <c r="AT19" s="6">
        <f>IF(VLOOKUP($A19,EnrollData2324,'2324 Jun 24 Enroll'!AA$1,FALSE)=VLOOKUP($A19,'ESA Calculations 2324 Supp'!$A$4:$AE$34,24,FALSE),VLOOKUP($A19,EnrollData2324,'2324 Jun 24 Enroll'!AA$1,FALSE),VLOOKUP($A19,'ESA Calculations 2324 Supp'!$A$4:$AE$34,24,FALSE))</f>
        <v>85.85</v>
      </c>
    </row>
    <row r="20" spans="1:46">
      <c r="A20" s="40" t="s">
        <v>737</v>
      </c>
      <c r="B20" s="40" t="s">
        <v>738</v>
      </c>
      <c r="C20" s="11">
        <f>ROUND((IFERROR((1/IF(VLOOKUP($A20,EnrollData2324,28,FALSE)=VLOOKUP($A20,'ESA Calculations 2324 Supp'!$A$4:$AE$34,3,FALSE),VLOOKUP($A20,EnrollData2324,28,FALSE),VLOOKUP($A20,'ESA Calculations 2324 Supp'!$A$4:$AE$34,3,FALSE)))*(1+Apport_Z315),0))+Apport_201A2324s,6)</f>
        <v>7.3449E-2</v>
      </c>
      <c r="D20">
        <f>ROUND(IF(VLOOKUP($A20,EnrollData2324,'2324 Jun 24 Enroll'!D$1,FALSE)=VLOOKUP($A20,'ESA Calculations 2324 Supp'!$A$4:$AE$34,4,FALSE),VLOOKUP($A20,EnrollData2324,'2324 Jun 24 Enroll'!D$1,FALSE),VLOOKUP($A20,'ESA Calculations 2324 Supp'!$A$4:$AE$34,4,FALSE))*C20,3)</f>
        <v>0</v>
      </c>
      <c r="E20">
        <f>ROUND(IF(VLOOKUP($A20,EnrollData2324,'2324 Jun 24 Enroll'!E$1,FALSE)=VLOOKUP($A20,'ESA Calculations 2324 Supp'!$A$4:$AE$34,5,FALSE),VLOOKUP($A20,EnrollData2324,'2324 Jun 24 Enroll'!E$1,FALSE),VLOOKUP($A20,'ESA Calculations 2324 Supp'!$A$4:$AE$34,5,FALSE))*C20,3)</f>
        <v>0.84499999999999997</v>
      </c>
      <c r="F20">
        <f>ROUND(IF(VLOOKUP($A20,EnrollData2324,'2324 Jun 24 Enroll'!F$1,FALSE)=VLOOKUP($A20,'ESA Calculations 2324 Supp'!$A$4:$AE$34,6,FALSE),VLOOKUP($A20,EnrollData2324,'2324 Jun 24 Enroll'!F$1,FALSE),VLOOKUP($A20,'ESA Calculations 2324 Supp'!$A$4:$AE$34,6,FALSE))*Apport_222A2324s,3)</f>
        <v>0.121</v>
      </c>
      <c r="G20">
        <f>ROUND(IF(VLOOKUP($A20,EnrollData2324,'2324 Jun 24 Enroll'!G$1,FALSE)=VLOOKUP($A20,'ESA Calculations 2324 Supp'!$A$4:$AE$34,7,FALSE),VLOOKUP($A20,EnrollData2324,'2324 Jun 24 Enroll'!G$1,FALSE),VLOOKUP($A20,'ESA Calculations 2324 Supp'!$A$4:$AE$34,7,FALSE))*Apport_210A2324s,3)</f>
        <v>0.63300000000000001</v>
      </c>
      <c r="H20">
        <f>ROUND(IF(VLOOKUP($A20,EnrollData2324,'2324 Jun 24 Enroll'!H$1,FALSE)=VLOOKUP($A20,'ESA Calculations 2324 Supp'!$A$4:$AE$34,8,FALSE),VLOOKUP($A20,EnrollData2324,'2324 Jun 24 Enroll'!H$1,FALSE),VLOOKUP($A20,'ESA Calculations 2324 Supp'!$A$4:$AE$34,8,FALSE))*Apport_213A2324s,3)</f>
        <v>0</v>
      </c>
      <c r="I20">
        <f>ROUND(IF(VLOOKUP($A20,EnrollData2324,'2324 Jun 24 Enroll'!I$1,FALSE)+VLOOKUP($A20,EnrollData2324,'2324 Jun 24 Enroll'!M$1,FALSE)-VLOOKUP($A20,EnrollData2324,'2324 Jun 24 Enroll'!J$1,FALSE)=VLOOKUP($A20,'ESA Calculations 2324 Supp'!$A$4:$AE$34,9,FALSE)+VLOOKUP($A20,'ESA Calculations 2324 Supp'!$A$4:$AE$34,18,FALSE)-VLOOKUP($A20,'ESA Calculations 2324 Supp'!$A$4:$AE$34,10,FALSE),VLOOKUP($A20,EnrollData2324,'2324 Jun 24 Enroll'!I$1,FALSE)+VLOOKUP($A20,EnrollData2324,'2324 Jun 24 Enroll'!M$1,FALSE)-VLOOKUP($A20,EnrollData2324,'2324 Jun 24 Enroll'!J$1,FALSE),VLOOKUP($A20,'ESA Calculations 2324 Supp'!$A$4:$AE$34,9,FALSE)+VLOOKUP($A20,'ESA Calculations 2324 Supp'!$A$4:$AE$34,18,FALSE)-VLOOKUP($A20,'ESA Calculations 2324 Supp'!$A$4:$AE$34,10,FALSE))*Apport_216A2324s,3)</f>
        <v>0</v>
      </c>
      <c r="J20">
        <f>ROUND(SUM(D20:I20)/IF(VLOOKUP($A20,EnrollData2324,'2324 Jun 24 Enroll'!M$1,FALSE)+VLOOKUP($A20,EnrollData2324,'2324 Jun 24 Enroll'!D$1,FALSE)=VLOOKUP($A20,'ESA Calculations 2324 Supp'!$A$4:$AE$34,18,FALSE)+VLOOKUP($A20,'ESA Calculations 2324 Supp'!$A$4:$AE$34,4,FALSE),VLOOKUP($A20,EnrollData2324,'2324 Jun 24 Enroll'!M$1,FALSE)+VLOOKUP($A20,EnrollData2324,'2324 Jun 24 Enroll'!D$1,FALSE),VLOOKUP($A20,'ESA Calculations 2324 Supp'!$A$4:$AE$34,18,FALSE)+VLOOKUP($A20,'ESA Calculations 2324 Supp'!$A$4:$AE$34,4,FALSE)),5)</f>
        <v>5.8999999999999997E-2</v>
      </c>
      <c r="K20" s="11">
        <f t="shared" si="1"/>
        <v>4.3699999999999998E-3</v>
      </c>
      <c r="L20">
        <f>ROUND(IF(VLOOKUP($A20,EnrollData2324,'2324 Jun 24 Enroll'!D$1,FALSE)=VLOOKUP($A20,'ESA Calculations 2324 Supp'!$A$4:$AE$34,4,FALSE),VLOOKUP($A20,EnrollData2324,'2324 Jun 24 Enroll'!D$1,FALSE),VLOOKUP($A20,'ESA Calculations 2324 Supp'!$A$4:$AE$34,4,FALSE))*K20,3)</f>
        <v>0</v>
      </c>
      <c r="M20">
        <f>ROUND(IF(VLOOKUP($A20,EnrollData2324,'2324 Jun 24 Enroll'!E$1,FALSE)=VLOOKUP($A20,'ESA Calculations 2324 Supp'!$A$4:$AE$34,5,FALSE),VLOOKUP($A20,EnrollData2324,'2324 Jun 24 Enroll'!E$1,FALSE),VLOOKUP($A20,'ESA Calculations 2324 Supp'!$A$4:$AE$34,5,FALSE))*K20,3)</f>
        <v>0.05</v>
      </c>
      <c r="N20">
        <f>ROUND(IF(VLOOKUP($A20,EnrollData2324,'2324 Jun 24 Enroll'!F$1,FALSE)=VLOOKUP($A20,'ESA Calculations 2324 Supp'!$A$4:$AE$34,6,FALSE),VLOOKUP($A20,EnrollData2324,'2324 Jun 24 Enroll'!F$1,FALSE),VLOOKUP($A20,'ESA Calculations 2324 Supp'!$A$4:$AE$34,6,FALSE))*Apport_223A2324s,3)</f>
        <v>0.01</v>
      </c>
      <c r="O20">
        <f>ROUND(IF(VLOOKUP($A20,EnrollData2324,'2324 Jun 24 Enroll'!G$1,FALSE)=VLOOKUP($A20,'ESA Calculations 2324 Supp'!$A$4:$AE$34,7,FALSE),VLOOKUP($A20,EnrollData2324,'2324 Jun 24 Enroll'!G$1,FALSE),VLOOKUP($A20,'ESA Calculations 2324 Supp'!$A$4:$AE$34,7,FALSE))*Apport_211A2324s,3)</f>
        <v>5.2999999999999999E-2</v>
      </c>
      <c r="P20">
        <f>ROUND(IF(VLOOKUP($A20,EnrollData2324,'2324 Jun 24 Enroll'!H$1,FALSE)=VLOOKUP($A20,'ESA Calculations 2324 Supp'!$A$4:$AE$34,8,FALSE),VLOOKUP($A20,EnrollData2324,'2324 Jun 24 Enroll'!H$1,FALSE),VLOOKUP($A20,'ESA Calculations 2324 Supp'!$A$4:$AE$34,8,FALSE))*Apport_214A2324s,3)</f>
        <v>0</v>
      </c>
      <c r="Q20">
        <f>ROUND(IF(VLOOKUP($A20,EnrollData2324,'2324 Jun 24 Enroll'!I$1,FALSE)+VLOOKUP($A20,EnrollData2324,'2324 Jun 24 Enroll'!M$1,FALSE)-VLOOKUP($A20,EnrollData2324,'2324 Jun 24 Enroll'!J$1,FALSE)=VLOOKUP($A20,'ESA Calculations 2324 Supp'!$A$4:$AE$34,9,FALSE)+VLOOKUP($A20,'ESA Calculations 2324 Supp'!$A$4:$AE$34,18,FALSE)-VLOOKUP($A20,'ESA Calculations 2324 Supp'!$A$4:$AE$34,10,FALSE),VLOOKUP($A20,EnrollData2324,'2324 Jun 24 Enroll'!I$1,FALSE)+VLOOKUP($A20,EnrollData2324,'2324 Jun 24 Enroll'!M$1,FALSE)-VLOOKUP($A20,EnrollData2324,'2324 Jun 24 Enroll'!J$1,FALSE),VLOOKUP($A20,'ESA Calculations 2324 Supp'!$A$4:$AE$34,9,FALSE)+VLOOKUP($A20,'ESA Calculations 2324 Supp'!$A$4:$AE$34,18,FALSE)-VLOOKUP($A20,'ESA Calculations 2324 Supp'!$A$4:$AE$34,10,FALSE))*Apport_217A2324s,3)</f>
        <v>0</v>
      </c>
      <c r="R20">
        <f>ROUND(SUM(L20:Q20)/IF(VLOOKUP($A20,EnrollData2324,'2324 Jun 24 Enroll'!M$1,FALSE)+VLOOKUP($A20,EnrollData2324,'2324 Jun 24 Enroll'!D$1,FALSE)=VLOOKUP($A20,'ESA Calculations 2324 Supp'!$A$4:$AE$34,18,FALSE)+VLOOKUP($A20,'ESA Calculations 2324 Supp'!$A$4:$AE$34,4,FALSE),VLOOKUP($A20,EnrollData2324,'2324 Jun 24 Enroll'!M$1,FALSE)+VLOOKUP($A20,EnrollData2324,'2324 Jun 24 Enroll'!D$1,FALSE),VLOOKUP($A20,'ESA Calculations 2324 Supp'!$A$4:$AE$34,18,FALSE)+VLOOKUP($A20,'ESA Calculations 2324 Supp'!$A$4:$AE$34,4,FALSE)),5)</f>
        <v>4.1700000000000001E-3</v>
      </c>
      <c r="S20" s="11">
        <f t="shared" si="2"/>
        <v>1.8689600000000001E-2</v>
      </c>
      <c r="T20">
        <f>ROUND(IF(VLOOKUP($A20,EnrollData2324,'2324 Jun 24 Enroll'!D$1,FALSE)=VLOOKUP($A20,'ESA Calculations 2324 Supp'!$A$4:$AE$34,4,FALSE),VLOOKUP($A20,EnrollData2324,'2324 Jun 24 Enroll'!D$1,FALSE),VLOOKUP($A20,'ESA Calculations 2324 Supp'!$A$4:$AE$34,4,FALSE))*S20,3)</f>
        <v>0</v>
      </c>
      <c r="U20">
        <f>ROUND(IF(VLOOKUP($A20,EnrollData2324,'2324 Jun 24 Enroll'!E$1,FALSE)=VLOOKUP($A20,'ESA Calculations 2324 Supp'!$A$4:$AE$34,5,FALSE),VLOOKUP($A20,EnrollData2324,'2324 Jun 24 Enroll'!E$1,FALSE),VLOOKUP($A20,'ESA Calculations 2324 Supp'!$A$4:$AE$34,5,FALSE))*S20,3)</f>
        <v>0.215</v>
      </c>
      <c r="V20">
        <f>ROUND(IF(VLOOKUP($A20,EnrollData2324,'2324 Jun 24 Enroll'!F$1,FALSE)=VLOOKUP($A20,'ESA Calculations 2324 Supp'!$A$4:$AE$34,6,FALSE),VLOOKUP($A20,EnrollData2324,'2324 Jun 24 Enroll'!F$1,FALSE),VLOOKUP($A20,'ESA Calculations 2324 Supp'!$A$4:$AE$34,6,FALSE))*Apport_224A2324s,3)</f>
        <v>4.3999999999999997E-2</v>
      </c>
      <c r="W20">
        <f>ROUND(IF(VLOOKUP($A20,EnrollData2324,'2324 Jun 24 Enroll'!G$1,FALSE)=VLOOKUP($A20,'ESA Calculations 2324 Supp'!$A$4:$AE$34,7,FALSE),VLOOKUP($A20,EnrollData2324,'2324 Jun 24 Enroll'!G$1,FALSE),VLOOKUP($A20,'ESA Calculations 2324 Supp'!$A$4:$AE$34,7,FALSE))*Apport_212A2324s,3)</f>
        <v>0.23200000000000001</v>
      </c>
      <c r="X20">
        <f>ROUND(IF(VLOOKUP($A20,EnrollData2324,'2324 Jun 24 Enroll'!H$1,FALSE)=VLOOKUP($A20,'ESA Calculations 2324 Supp'!$A$4:$AE$34,8,FALSE),VLOOKUP($A20,EnrollData2324,'2324 Jun 24 Enroll'!H$1,FALSE),VLOOKUP($A20,'ESA Calculations 2324 Supp'!$A$4:$AE$34,8,FALSE))*Apport_215A2324s,3)</f>
        <v>0</v>
      </c>
      <c r="Y20">
        <f>ROUND(IF(VLOOKUP($A20,EnrollData2324,'2324 Jun 24 Enroll'!I$1,FALSE)+VLOOKUP($A20,EnrollData2324,'2324 Jun 24 Enroll'!M$1,FALSE)-VLOOKUP($A20,EnrollData2324,'2324 Jun 24 Enroll'!J$1,FALSE)=VLOOKUP($A20,'ESA Calculations 2324 Supp'!$A$4:$AE$34,9,FALSE)+VLOOKUP($A20,'ESA Calculations 2324 Supp'!$A$4:$AE$34,18,FALSE)-VLOOKUP($A20,'ESA Calculations 2324 Supp'!$A$4:$AE$34,10,FALSE),VLOOKUP($A20,EnrollData2324,'2324 Jun 24 Enroll'!I$1,FALSE)+VLOOKUP($A20,EnrollData2324,'2324 Jun 24 Enroll'!M$1,FALSE)-VLOOKUP($A20,EnrollData2324,'2324 Jun 24 Enroll'!J$1,FALSE),VLOOKUP($A20,'ESA Calculations 2324 Supp'!$A$4:$AE$34,9,FALSE)+VLOOKUP($A20,'ESA Calculations 2324 Supp'!$A$4:$AE$34,18,FALSE)-VLOOKUP($A20,'ESA Calculations 2324 Supp'!$A$4:$AE$34,10,FALSE))*Apport_218A2324s,3)</f>
        <v>0</v>
      </c>
      <c r="Z20">
        <f>ROUND(SUM(T20:Y20)/IF(VLOOKUP($A20,EnrollData2324,'2324 Jun 24 Enroll'!M$1,FALSE)+VLOOKUP($A20,EnrollData2324,'2324 Jun 24 Enroll'!D$1,FALSE)=VLOOKUP($A20,'ESA Calculations 2324 Supp'!$A$4:$AE$34,18,FALSE)+VLOOKUP($A20,'ESA Calculations 2324 Supp'!$A$4:$AE$34,4,FALSE),VLOOKUP($A20,EnrollData2324,'2324 Jun 24 Enroll'!M$1,FALSE)+VLOOKUP($A20,EnrollData2324,'2324 Jun 24 Enroll'!D$1,FALSE),VLOOKUP($A20,'ESA Calculations 2324 Supp'!$A$4:$AE$34,18,FALSE)+VLOOKUP($A20,'ESA Calculations 2324 Supp'!$A$4:$AE$34,4,FALSE)),5)</f>
        <v>1.8120000000000001E-2</v>
      </c>
      <c r="AA20" s="6" cm="1">
        <f t="array" ref="AA20">ROUND($J20*CIS_Base_Salary2324s*VLOOKUP($A20,EnrollData2324,'2324 Jun 24 Enroll'!S$1,FALSE),2)</f>
        <v>4290.95</v>
      </c>
      <c r="AB20" s="6" cm="1">
        <f t="array" ref="AB20">ROUND($J20*CIS_Inc_Salary2324s*(VLOOKUP($A20,EnrollData2324,'2324 Jun 24 Enroll'!T$1,FALSE)+VLOOKUP($A20,EnrollData2324,'2324 Jun 24 Enroll'!U$1,FALSE)),2)-AA20</f>
        <v>158.77000000000044</v>
      </c>
      <c r="AC20" s="6" cm="1">
        <f t="array" ref="AC20">ROUND($R20*CAS_Base_Salary2324s*VLOOKUP($A20,EnrollData2324,'2324 Jun 24 Enroll'!S$1,FALSE),2)</f>
        <v>450.17</v>
      </c>
      <c r="AD20" s="6" cm="1">
        <f t="array" ref="AD20">ROUND($R20*CAS_Inc_Salary2324s*VLOOKUP($A20,EnrollData2324,'2324 Jun 24 Enroll'!T$1,FALSE),2)-AC20</f>
        <v>16.659999999999968</v>
      </c>
      <c r="AE20" s="6" cm="1">
        <f t="array" ref="AE20">ROUND($Z20*CLS_Base_Salary2324s*VLOOKUP($A20,EnrollData2324,'2324 Jun 24 Enroll'!S$1,FALSE),2)</f>
        <v>945.37</v>
      </c>
      <c r="AF20" s="6" cm="1">
        <f t="array" ref="AF20">ROUND($Z20*CLS_Inc_Salary2324s*VLOOKUP($A20,EnrollData2324,'2324 Jun 24 Enroll'!T$1,FALSE),2)-AE20</f>
        <v>34.980000000000018</v>
      </c>
      <c r="AG20" cm="1">
        <f t="array" ref="AG20">ROUND(($J20+$R20)*Apport_124X2324s,2)</f>
        <v>777.75</v>
      </c>
      <c r="AH20" s="69">
        <f t="shared" si="3"/>
        <v>72.769999999999982</v>
      </c>
      <c r="AI20" cm="1">
        <f t="array" ref="AI20">ROUND($Z20*Apport_124X2324s,2)</f>
        <v>223.09</v>
      </c>
      <c r="AJ20" cm="1">
        <f t="array" ref="AJ20">ROUND($Z20*Apport_621X2324s*Apport_125X2324s,2)-AI20</f>
        <v>118.93999999999997</v>
      </c>
      <c r="AK20" cm="1">
        <f t="array" ref="AK20">ROUND((AA20+AC20)*Apport_126X2324s,2)</f>
        <v>851.98</v>
      </c>
      <c r="AL20" cm="1">
        <f t="array" ref="AL20">ROUND((AB20+AD20)*Apport_127X2324s,2)</f>
        <v>30.4</v>
      </c>
      <c r="AM20" cm="1">
        <f t="array" ref="AM20">ROUND(AE20*Apport_128X2324s,2)</f>
        <v>208.55</v>
      </c>
      <c r="AN20" cm="1">
        <f t="array" ref="AN20">ROUND(AF20*Apport_129X2324s,2)</f>
        <v>6.49</v>
      </c>
      <c r="AO20" cm="1">
        <f t="array" ref="AO20">ROUND(($J20*CIS_Inc_Salary2324s*(VLOOKUP($A20,EnrollData2324,'2324 Jun 24 Enroll'!T$1,FALSE)+VLOOKUP($A20,EnrollData2324,'2324 Jun 24 Enroll'!U$1,FALSE))/Apport_613Xpd)*Apport_614Xpd,2)</f>
        <v>74.16</v>
      </c>
      <c r="AP20" cm="1">
        <f t="array" ref="AP20">ROUND(AO20*Apport_127X2324s,2)</f>
        <v>12.85</v>
      </c>
      <c r="AQ20">
        <f t="shared" si="4"/>
        <v>32.86</v>
      </c>
      <c r="AR20" s="6" cm="1">
        <f t="array" ref="AR20">ROUND((IF(VLOOKUP($A20,EnrollData2324,'2324 Jun 24 Enroll'!D$1,FALSE)=VLOOKUP($A20,'ESA Calculations 2324 Supp'!$A$4:$AE$34,4,FALSE),VLOOKUP($A20,EnrollData2324,'2324 Jun 24 Enroll'!D$1,FALSE),VLOOKUP($A20,'ESA Calculations 2324 Supp'!$A$4:$AE$34,4,FALSE))*Apport_M802324s+IF(VLOOKUP($A20,EnrollData2324,'2324 Jun 24 Enroll'!M$1,FALSE)=VLOOKUP($A20,'ESA Calculations 2324 Supp'!$A$4:$AE$34,18,FALSE),VLOOKUP($A20,EnrollData2324,'2324 Jun 24 Enroll'!M$1,FALSE),VLOOKUP($A20,'ESA Calculations 2324 Supp'!$A$4:$AE$34,18,FALSE))*Apport_M802324s+IF((VLOOKUP($A20,EnrollData2324,'2324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Enroll'!L$1,FALSE))=VLOOKUP($A20,EnrollData2324,'2324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Enroll'!L$1,FALSE),(VLOOKUP($A20,EnrollData2324,'2324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Enroll'!L$1,FALSE)),(VLOOKUP($A20,EnrollData2324,'2324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Enroll'!L$1,FALSE)))*Apport_M812324s)/(IF(VLOOKUP($A20,EnrollData2324,'2324 Jun 24 Enroll'!M$1,FALSE)=VLOOKUP($A20,'ESA Calculations 2324 Supp'!$A$4:$AE$34,18,FALSE),VLOOKUP($A20,EnrollData2324,'2324 Jun 24 Enroll'!M$1,FALSE),VLOOKUP($A20,'ESA Calculations 2324 Supp'!$A$4:$AE$34,18,FALSE))+IF(VLOOKUP($A20,EnrollData2324,'2324 Jun 24 Enroll'!D$1,FALSE)=VLOOKUP($A20,'ESA Calculations 2324 Supp'!$A$4:$AE$34,4,FALSE),VLOOKUP($A20,EnrollData2324,'2324 Jun 24 Enroll'!D$1,FALSE),VLOOKUP($A20,'ESA Calculations 2324 Supp'!$A$4:$AE$34,4,FALSE))),2)</f>
        <v>1504.44</v>
      </c>
      <c r="AS20" s="7">
        <f t="shared" si="5"/>
        <v>9811.1800000000021</v>
      </c>
      <c r="AT20" s="6">
        <f>IF(VLOOKUP($A20,EnrollData2324,'2324 Jun 24 Enroll'!AA$1,FALSE)=VLOOKUP($A20,'ESA Calculations 2324 Supp'!$A$4:$AE$34,24,FALSE),VLOOKUP($A20,EnrollData2324,'2324 Jun 24 Enroll'!AA$1,FALSE),VLOOKUP($A20,'ESA Calculations 2324 Supp'!$A$4:$AE$34,24,FALSE))</f>
        <v>27.1</v>
      </c>
    </row>
    <row r="21" spans="1:46">
      <c r="A21" s="40" t="s">
        <v>480</v>
      </c>
      <c r="B21" s="40" t="s">
        <v>481</v>
      </c>
      <c r="C21" s="11">
        <f>ROUND((IFERROR((1/IF(VLOOKUP($A21,EnrollData2324,28,FALSE)=VLOOKUP($A21,'ESA Calculations 2324 Supp'!$A$4:$AE$34,3,FALSE),VLOOKUP($A21,EnrollData2324,28,FALSE),VLOOKUP($A21,'ESA Calculations 2324 Supp'!$A$4:$AE$34,3,FALSE)))*(1+Apport_Z315),0))+Apport_201A2324s,6)</f>
        <v>7.2387000000000007E-2</v>
      </c>
      <c r="D21">
        <f>ROUND(IF(VLOOKUP($A21,EnrollData2324,'2324 Jun 24 Enroll'!D$1,FALSE)=VLOOKUP($A21,'ESA Calculations 2324 Supp'!$A$4:$AE$34,4,FALSE),VLOOKUP($A21,EnrollData2324,'2324 Jun 24 Enroll'!D$1,FALSE),VLOOKUP($A21,'ESA Calculations 2324 Supp'!$A$4:$AE$34,4,FALSE))*C21,3)</f>
        <v>0</v>
      </c>
      <c r="E21">
        <f>ROUND(IF(VLOOKUP($A21,EnrollData2324,'2324 Jun 24 Enroll'!E$1,FALSE)=VLOOKUP($A21,'ESA Calculations 2324 Supp'!$A$4:$AE$34,5,FALSE),VLOOKUP($A21,EnrollData2324,'2324 Jun 24 Enroll'!E$1,FALSE),VLOOKUP($A21,'ESA Calculations 2324 Supp'!$A$4:$AE$34,5,FALSE))*C21,3)</f>
        <v>17.074999999999999</v>
      </c>
      <c r="F21">
        <f>ROUND(IF(VLOOKUP($A21,EnrollData2324,'2324 Jun 24 Enroll'!F$1,FALSE)=VLOOKUP($A21,'ESA Calculations 2324 Supp'!$A$4:$AE$34,6,FALSE),VLOOKUP($A21,EnrollData2324,'2324 Jun 24 Enroll'!F$1,FALSE),VLOOKUP($A21,'ESA Calculations 2324 Supp'!$A$4:$AE$34,6,FALSE))*Apport_222A2324s,3)</f>
        <v>2.97</v>
      </c>
      <c r="G21">
        <f>ROUND(IF(VLOOKUP($A21,EnrollData2324,'2324 Jun 24 Enroll'!G$1,FALSE)=VLOOKUP($A21,'ESA Calculations 2324 Supp'!$A$4:$AE$34,7,FALSE),VLOOKUP($A21,EnrollData2324,'2324 Jun 24 Enroll'!G$1,FALSE),VLOOKUP($A21,'ESA Calculations 2324 Supp'!$A$4:$AE$34,7,FALSE))*Apport_210A2324s,3)</f>
        <v>5.6109999999999998</v>
      </c>
      <c r="H21">
        <f>ROUND(IF(VLOOKUP($A21,EnrollData2324,'2324 Jun 24 Enroll'!H$1,FALSE)=VLOOKUP($A21,'ESA Calculations 2324 Supp'!$A$4:$AE$34,8,FALSE),VLOOKUP($A21,EnrollData2324,'2324 Jun 24 Enroll'!H$1,FALSE),VLOOKUP($A21,'ESA Calculations 2324 Supp'!$A$4:$AE$34,8,FALSE))*Apport_213A2324s,3)</f>
        <v>6.681</v>
      </c>
      <c r="I21">
        <f>ROUND(IF(VLOOKUP($A21,EnrollData2324,'2324 Jun 24 Enroll'!I$1,FALSE)+VLOOKUP($A21,EnrollData2324,'2324 Jun 24 Enroll'!M$1,FALSE)-VLOOKUP($A21,EnrollData2324,'2324 Jun 24 Enroll'!J$1,FALSE)=VLOOKUP($A21,'ESA Calculations 2324 Supp'!$A$4:$AE$34,9,FALSE)+VLOOKUP($A21,'ESA Calculations 2324 Supp'!$A$4:$AE$34,18,FALSE)-VLOOKUP($A21,'ESA Calculations 2324 Supp'!$A$4:$AE$34,10,FALSE),VLOOKUP($A21,EnrollData2324,'2324 Jun 24 Enroll'!I$1,FALSE)+VLOOKUP($A21,EnrollData2324,'2324 Jun 24 Enroll'!M$1,FALSE)-VLOOKUP($A21,EnrollData2324,'2324 Jun 24 Enroll'!J$1,FALSE),VLOOKUP($A21,'ESA Calculations 2324 Supp'!$A$4:$AE$34,9,FALSE)+VLOOKUP($A21,'ESA Calculations 2324 Supp'!$A$4:$AE$34,18,FALSE)-VLOOKUP($A21,'ESA Calculations 2324 Supp'!$A$4:$AE$34,10,FALSE))*Apport_216A2324s,3)</f>
        <v>119.38500000000001</v>
      </c>
      <c r="J21">
        <f>ROUND(SUM(D21:I21)/IF(VLOOKUP($A21,EnrollData2324,'2324 Jun 24 Enroll'!M$1,FALSE)+VLOOKUP($A21,EnrollData2324,'2324 Jun 24 Enroll'!D$1,FALSE)=VLOOKUP($A21,'ESA Calculations 2324 Supp'!$A$4:$AE$34,18,FALSE)+VLOOKUP($A21,'ESA Calculations 2324 Supp'!$A$4:$AE$34,4,FALSE),VLOOKUP($A21,EnrollData2324,'2324 Jun 24 Enroll'!M$1,FALSE)+VLOOKUP($A21,EnrollData2324,'2324 Jun 24 Enroll'!D$1,FALSE),VLOOKUP($A21,'ESA Calculations 2324 Supp'!$A$4:$AE$34,18,FALSE)+VLOOKUP($A21,'ESA Calculations 2324 Supp'!$A$4:$AE$34,4,FALSE)),5)</f>
        <v>5.1729999999999998E-2</v>
      </c>
      <c r="K21" s="11">
        <f t="shared" si="1"/>
        <v>4.3559999999999996E-3</v>
      </c>
      <c r="L21">
        <f>ROUND(IF(VLOOKUP($A21,EnrollData2324,'2324 Jun 24 Enroll'!D$1,FALSE)=VLOOKUP($A21,'ESA Calculations 2324 Supp'!$A$4:$AE$34,4,FALSE),VLOOKUP($A21,EnrollData2324,'2324 Jun 24 Enroll'!D$1,FALSE),VLOOKUP($A21,'ESA Calculations 2324 Supp'!$A$4:$AE$34,4,FALSE))*K21,3)</f>
        <v>0</v>
      </c>
      <c r="M21">
        <f>ROUND(IF(VLOOKUP($A21,EnrollData2324,'2324 Jun 24 Enroll'!E$1,FALSE)=VLOOKUP($A21,'ESA Calculations 2324 Supp'!$A$4:$AE$34,5,FALSE),VLOOKUP($A21,EnrollData2324,'2324 Jun 24 Enroll'!E$1,FALSE),VLOOKUP($A21,'ESA Calculations 2324 Supp'!$A$4:$AE$34,5,FALSE))*K21,3)</f>
        <v>1.028</v>
      </c>
      <c r="N21">
        <f>ROUND(IF(VLOOKUP($A21,EnrollData2324,'2324 Jun 24 Enroll'!F$1,FALSE)=VLOOKUP($A21,'ESA Calculations 2324 Supp'!$A$4:$AE$34,6,FALSE),VLOOKUP($A21,EnrollData2324,'2324 Jun 24 Enroll'!F$1,FALSE),VLOOKUP($A21,'ESA Calculations 2324 Supp'!$A$4:$AE$34,6,FALSE))*Apport_223A2324s,3)</f>
        <v>0.248</v>
      </c>
      <c r="O21">
        <f>ROUND(IF(VLOOKUP($A21,EnrollData2324,'2324 Jun 24 Enroll'!G$1,FALSE)=VLOOKUP($A21,'ESA Calculations 2324 Supp'!$A$4:$AE$34,7,FALSE),VLOOKUP($A21,EnrollData2324,'2324 Jun 24 Enroll'!G$1,FALSE),VLOOKUP($A21,'ESA Calculations 2324 Supp'!$A$4:$AE$34,7,FALSE))*Apport_211A2324s,3)</f>
        <v>0.46800000000000003</v>
      </c>
      <c r="P21">
        <f>ROUND(IF(VLOOKUP($A21,EnrollData2324,'2324 Jun 24 Enroll'!H$1,FALSE)=VLOOKUP($A21,'ESA Calculations 2324 Supp'!$A$4:$AE$34,8,FALSE),VLOOKUP($A21,EnrollData2324,'2324 Jun 24 Enroll'!H$1,FALSE),VLOOKUP($A21,'ESA Calculations 2324 Supp'!$A$4:$AE$34,8,FALSE))*Apport_214A2324s,3)</f>
        <v>0.55600000000000005</v>
      </c>
      <c r="Q21">
        <f>ROUND(IF(VLOOKUP($A21,EnrollData2324,'2324 Jun 24 Enroll'!I$1,FALSE)+VLOOKUP($A21,EnrollData2324,'2324 Jun 24 Enroll'!M$1,FALSE)-VLOOKUP($A21,EnrollData2324,'2324 Jun 24 Enroll'!J$1,FALSE)=VLOOKUP($A21,'ESA Calculations 2324 Supp'!$A$4:$AE$34,9,FALSE)+VLOOKUP($A21,'ESA Calculations 2324 Supp'!$A$4:$AE$34,18,FALSE)-VLOOKUP($A21,'ESA Calculations 2324 Supp'!$A$4:$AE$34,10,FALSE),VLOOKUP($A21,EnrollData2324,'2324 Jun 24 Enroll'!I$1,FALSE)+VLOOKUP($A21,EnrollData2324,'2324 Jun 24 Enroll'!M$1,FALSE)-VLOOKUP($A21,EnrollData2324,'2324 Jun 24 Enroll'!J$1,FALSE),VLOOKUP($A21,'ESA Calculations 2324 Supp'!$A$4:$AE$34,9,FALSE)+VLOOKUP($A21,'ESA Calculations 2324 Supp'!$A$4:$AE$34,18,FALSE)-VLOOKUP($A21,'ESA Calculations 2324 Supp'!$A$4:$AE$34,10,FALSE))*Apport_217A2324s,3)</f>
        <v>9.6470000000000002</v>
      </c>
      <c r="R21">
        <f>ROUND(SUM(L21:Q21)/IF(VLOOKUP($A21,EnrollData2324,'2324 Jun 24 Enroll'!M$1,FALSE)+VLOOKUP($A21,EnrollData2324,'2324 Jun 24 Enroll'!D$1,FALSE)=VLOOKUP($A21,'ESA Calculations 2324 Supp'!$A$4:$AE$34,18,FALSE)+VLOOKUP($A21,'ESA Calculations 2324 Supp'!$A$4:$AE$34,4,FALSE),VLOOKUP($A21,EnrollData2324,'2324 Jun 24 Enroll'!M$1,FALSE)+VLOOKUP($A21,EnrollData2324,'2324 Jun 24 Enroll'!D$1,FALSE),VLOOKUP($A21,'ESA Calculations 2324 Supp'!$A$4:$AE$34,18,FALSE)+VLOOKUP($A21,'ESA Calculations 2324 Supp'!$A$4:$AE$34,4,FALSE)),5)</f>
        <v>4.0699999999999998E-3</v>
      </c>
      <c r="S21" s="11">
        <f t="shared" si="2"/>
        <v>1.86476E-2</v>
      </c>
      <c r="T21">
        <f>ROUND(IF(VLOOKUP($A21,EnrollData2324,'2324 Jun 24 Enroll'!D$1,FALSE)=VLOOKUP($A21,'ESA Calculations 2324 Supp'!$A$4:$AE$34,4,FALSE),VLOOKUP($A21,EnrollData2324,'2324 Jun 24 Enroll'!D$1,FALSE),VLOOKUP($A21,'ESA Calculations 2324 Supp'!$A$4:$AE$34,4,FALSE))*S21,3)</f>
        <v>0</v>
      </c>
      <c r="U21">
        <f>ROUND(IF(VLOOKUP($A21,EnrollData2324,'2324 Jun 24 Enroll'!E$1,FALSE)=VLOOKUP($A21,'ESA Calculations 2324 Supp'!$A$4:$AE$34,5,FALSE),VLOOKUP($A21,EnrollData2324,'2324 Jun 24 Enroll'!E$1,FALSE),VLOOKUP($A21,'ESA Calculations 2324 Supp'!$A$4:$AE$34,5,FALSE))*S21,3)</f>
        <v>4.399</v>
      </c>
      <c r="V21">
        <f>ROUND(IF(VLOOKUP($A21,EnrollData2324,'2324 Jun 24 Enroll'!F$1,FALSE)=VLOOKUP($A21,'ESA Calculations 2324 Supp'!$A$4:$AE$34,6,FALSE),VLOOKUP($A21,EnrollData2324,'2324 Jun 24 Enroll'!F$1,FALSE),VLOOKUP($A21,'ESA Calculations 2324 Supp'!$A$4:$AE$34,6,FALSE))*Apport_224A2324s,3)</f>
        <v>1.089</v>
      </c>
      <c r="W21">
        <f>ROUND(IF(VLOOKUP($A21,EnrollData2324,'2324 Jun 24 Enroll'!G$1,FALSE)=VLOOKUP($A21,'ESA Calculations 2324 Supp'!$A$4:$AE$34,7,FALSE),VLOOKUP($A21,EnrollData2324,'2324 Jun 24 Enroll'!G$1,FALSE),VLOOKUP($A21,'ESA Calculations 2324 Supp'!$A$4:$AE$34,7,FALSE))*Apport_212A2324s,3)</f>
        <v>2.0569999999999999</v>
      </c>
      <c r="X21">
        <f>ROUND(IF(VLOOKUP($A21,EnrollData2324,'2324 Jun 24 Enroll'!H$1,FALSE)=VLOOKUP($A21,'ESA Calculations 2324 Supp'!$A$4:$AE$34,8,FALSE),VLOOKUP($A21,EnrollData2324,'2324 Jun 24 Enroll'!H$1,FALSE),VLOOKUP($A21,'ESA Calculations 2324 Supp'!$A$4:$AE$34,8,FALSE))*Apport_215A2324s,3)</f>
        <v>2.4079999999999999</v>
      </c>
      <c r="Y21">
        <f>ROUND(IF(VLOOKUP($A21,EnrollData2324,'2324 Jun 24 Enroll'!I$1,FALSE)+VLOOKUP($A21,EnrollData2324,'2324 Jun 24 Enroll'!M$1,FALSE)-VLOOKUP($A21,EnrollData2324,'2324 Jun 24 Enroll'!J$1,FALSE)=VLOOKUP($A21,'ESA Calculations 2324 Supp'!$A$4:$AE$34,9,FALSE)+VLOOKUP($A21,'ESA Calculations 2324 Supp'!$A$4:$AE$34,18,FALSE)-VLOOKUP($A21,'ESA Calculations 2324 Supp'!$A$4:$AE$34,10,FALSE),VLOOKUP($A21,EnrollData2324,'2324 Jun 24 Enroll'!I$1,FALSE)+VLOOKUP($A21,EnrollData2324,'2324 Jun 24 Enroll'!M$1,FALSE)-VLOOKUP($A21,EnrollData2324,'2324 Jun 24 Enroll'!J$1,FALSE),VLOOKUP($A21,'ESA Calculations 2324 Supp'!$A$4:$AE$34,9,FALSE)+VLOOKUP($A21,'ESA Calculations 2324 Supp'!$A$4:$AE$34,18,FALSE)-VLOOKUP($A21,'ESA Calculations 2324 Supp'!$A$4:$AE$34,10,FALSE))*Apport_218A2324s,3)</f>
        <v>41.494999999999997</v>
      </c>
      <c r="Z21">
        <f>ROUND(SUM(T21:Y21)/IF(VLOOKUP($A21,EnrollData2324,'2324 Jun 24 Enroll'!M$1,FALSE)+VLOOKUP($A21,EnrollData2324,'2324 Jun 24 Enroll'!D$1,FALSE)=VLOOKUP($A21,'ESA Calculations 2324 Supp'!$A$4:$AE$34,18,FALSE)+VLOOKUP($A21,'ESA Calculations 2324 Supp'!$A$4:$AE$34,4,FALSE),VLOOKUP($A21,EnrollData2324,'2324 Jun 24 Enroll'!M$1,FALSE)+VLOOKUP($A21,EnrollData2324,'2324 Jun 24 Enroll'!D$1,FALSE),VLOOKUP($A21,'ESA Calculations 2324 Supp'!$A$4:$AE$34,18,FALSE)+VLOOKUP($A21,'ESA Calculations 2324 Supp'!$A$4:$AE$34,4,FALSE)),5)</f>
        <v>1.754E-2</v>
      </c>
      <c r="AA21" s="6" cm="1">
        <f t="array" ref="AA21">ROUND($J21*CIS_Base_Salary2324s*VLOOKUP($A21,EnrollData2324,'2324 Jun 24 Enroll'!S$1,FALSE),2)</f>
        <v>3762.22</v>
      </c>
      <c r="AB21" s="6" cm="1">
        <f t="array" ref="AB21">ROUND($J21*CIS_Inc_Salary2324s*(VLOOKUP($A21,EnrollData2324,'2324 Jun 24 Enroll'!T$1,FALSE)+VLOOKUP($A21,EnrollData2324,'2324 Jun 24 Enroll'!U$1,FALSE)),2)-AA21</f>
        <v>139.20000000000027</v>
      </c>
      <c r="AC21" s="6" cm="1">
        <f t="array" ref="AC21">ROUND($R21*CAS_Base_Salary2324s*VLOOKUP($A21,EnrollData2324,'2324 Jun 24 Enroll'!S$1,FALSE),2)</f>
        <v>439.38</v>
      </c>
      <c r="AD21" s="6" cm="1">
        <f t="array" ref="AD21">ROUND($R21*CAS_Inc_Salary2324s*VLOOKUP($A21,EnrollData2324,'2324 Jun 24 Enroll'!T$1,FALSE),2)-AC21</f>
        <v>16.259999999999991</v>
      </c>
      <c r="AE21" s="6" cm="1">
        <f t="array" ref="AE21">ROUND($Z21*CLS_Base_Salary2324s*VLOOKUP($A21,EnrollData2324,'2324 Jun 24 Enroll'!S$1,FALSE),2)</f>
        <v>915.11</v>
      </c>
      <c r="AF21" s="6" cm="1">
        <f t="array" ref="AF21">ROUND($Z21*CLS_Inc_Salary2324s*VLOOKUP($A21,EnrollData2324,'2324 Jun 24 Enroll'!T$1,FALSE),2)-AE21</f>
        <v>33.860000000000014</v>
      </c>
      <c r="AG21" cm="1">
        <f t="array" ref="AG21">ROUND(($J21+$R21)*Apport_124X2324s,2)</f>
        <v>687.01</v>
      </c>
      <c r="AH21" s="69">
        <f t="shared" si="3"/>
        <v>64.279999999999973</v>
      </c>
      <c r="AI21" cm="1">
        <f t="array" ref="AI21">ROUND($Z21*Apport_124X2324s,2)</f>
        <v>215.95</v>
      </c>
      <c r="AJ21" cm="1">
        <f t="array" ref="AJ21">ROUND($Z21*Apport_621X2324s*Apport_125X2324s,2)-AI21</f>
        <v>115.13999999999999</v>
      </c>
      <c r="AK21" cm="1">
        <f t="array" ref="AK21">ROUND((AA21+AC21)*Apport_126X2324s,2)</f>
        <v>755.03</v>
      </c>
      <c r="AL21" cm="1">
        <f t="array" ref="AL21">ROUND((AB21+AD21)*Apport_127X2324s,2)</f>
        <v>26.94</v>
      </c>
      <c r="AM21" cm="1">
        <f t="array" ref="AM21">ROUND(AE21*Apport_128X2324s,2)</f>
        <v>201.87</v>
      </c>
      <c r="AN21" cm="1">
        <f t="array" ref="AN21">ROUND(AF21*Apport_129X2324s,2)</f>
        <v>6.28</v>
      </c>
      <c r="AO21" cm="1">
        <f t="array" ref="AO21">ROUND(($J21*CIS_Inc_Salary2324s*(VLOOKUP($A21,EnrollData2324,'2324 Jun 24 Enroll'!T$1,FALSE)+VLOOKUP($A21,EnrollData2324,'2324 Jun 24 Enroll'!U$1,FALSE))/Apport_613Xpd)*Apport_614Xpd,2)</f>
        <v>65.02</v>
      </c>
      <c r="AP21" cm="1">
        <f t="array" ref="AP21">ROUND(AO21*Apport_127X2324s,2)</f>
        <v>11.27</v>
      </c>
      <c r="AQ21">
        <f t="shared" si="4"/>
        <v>28.81</v>
      </c>
      <c r="AR21" s="6" cm="1">
        <f t="array" ref="AR21">ROUND((IF(VLOOKUP($A21,EnrollData2324,'2324 Jun 24 Enroll'!D$1,FALSE)=VLOOKUP($A21,'ESA Calculations 2324 Supp'!$A$4:$AE$34,4,FALSE),VLOOKUP($A21,EnrollData2324,'2324 Jun 24 Enroll'!D$1,FALSE),VLOOKUP($A21,'ESA Calculations 2324 Supp'!$A$4:$AE$34,4,FALSE))*Apport_M802324s+IF(VLOOKUP($A21,EnrollData2324,'2324 Jun 24 Enroll'!M$1,FALSE)=VLOOKUP($A21,'ESA Calculations 2324 Supp'!$A$4:$AE$34,18,FALSE),VLOOKUP($A21,EnrollData2324,'2324 Jun 24 Enroll'!M$1,FALSE),VLOOKUP($A21,'ESA Calculations 2324 Supp'!$A$4:$AE$34,18,FALSE))*Apport_M802324s+IF((VLOOKUP($A21,EnrollData2324,'2324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Enroll'!L$1,FALSE))=VLOOKUP($A21,EnrollData2324,'2324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Enroll'!L$1,FALSE),(VLOOKUP($A21,EnrollData2324,'2324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Enroll'!L$1,FALSE)),(VLOOKUP($A21,EnrollData2324,'2324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Enroll'!L$1,FALSE)))*Apport_M812324s)/(IF(VLOOKUP($A21,EnrollData2324,'2324 Jun 24 Enroll'!M$1,FALSE)=VLOOKUP($A21,'ESA Calculations 2324 Supp'!$A$4:$AE$34,18,FALSE),VLOOKUP($A21,EnrollData2324,'2324 Jun 24 Enroll'!M$1,FALSE),VLOOKUP($A21,'ESA Calculations 2324 Supp'!$A$4:$AE$34,18,FALSE))+IF(VLOOKUP($A21,EnrollData2324,'2324 Jun 24 Enroll'!D$1,FALSE)=VLOOKUP($A21,'ESA Calculations 2324 Supp'!$A$4:$AE$34,4,FALSE),VLOOKUP($A21,EnrollData2324,'2324 Jun 24 Enroll'!D$1,FALSE),VLOOKUP($A21,'ESA Calculations 2324 Supp'!$A$4:$AE$34,4,FALSE))),2)</f>
        <v>1667.02</v>
      </c>
      <c r="AS21" s="7">
        <f t="shared" si="5"/>
        <v>9150.65</v>
      </c>
      <c r="AT21" s="6">
        <f>IF(VLOOKUP($A21,EnrollData2324,'2324 Jun 24 Enroll'!AA$1,FALSE)=VLOOKUP($A21,'ESA Calculations 2324 Supp'!$A$4:$AE$34,24,FALSE),VLOOKUP($A21,EnrollData2324,'2324 Jun 24 Enroll'!AA$1,FALSE),VLOOKUP($A21,'ESA Calculations 2324 Supp'!$A$4:$AE$34,24,FALSE))</f>
        <v>2933</v>
      </c>
    </row>
    <row r="22" spans="1:46">
      <c r="A22" s="40" t="s">
        <v>875</v>
      </c>
      <c r="B22" s="40" t="s">
        <v>876</v>
      </c>
      <c r="C22" s="11">
        <f>ROUND((IFERROR((1/IF(VLOOKUP($A22,EnrollData2324,28,FALSE)=VLOOKUP($A22,'ESA Calculations 2324 Supp'!$A$4:$AE$34,3,FALSE),VLOOKUP($A22,EnrollData2324,28,FALSE),VLOOKUP($A22,'ESA Calculations 2324 Supp'!$A$4:$AE$34,3,FALSE)))*(1+Apport_Z315),0))+Apport_201A2324s,6)</f>
        <v>7.3449E-2</v>
      </c>
      <c r="D22">
        <f>ROUND(IF(VLOOKUP($A22,EnrollData2324,'2324 Jun 24 Enroll'!D$1,FALSE)=VLOOKUP($A22,'ESA Calculations 2324 Supp'!$A$4:$AE$34,4,FALSE),VLOOKUP($A22,EnrollData2324,'2324 Jun 24 Enroll'!D$1,FALSE),VLOOKUP($A22,'ESA Calculations 2324 Supp'!$A$4:$AE$34,4,FALSE))*C22,3)</f>
        <v>0</v>
      </c>
      <c r="E22">
        <f>ROUND(IF(VLOOKUP($A22,EnrollData2324,'2324 Jun 24 Enroll'!E$1,FALSE)=VLOOKUP($A22,'ESA Calculations 2324 Supp'!$A$4:$AE$34,5,FALSE),VLOOKUP($A22,EnrollData2324,'2324 Jun 24 Enroll'!E$1,FALSE),VLOOKUP($A22,'ESA Calculations 2324 Supp'!$A$4:$AE$34,5,FALSE))*C22,3)</f>
        <v>20.681000000000001</v>
      </c>
      <c r="F22">
        <f>ROUND(IF(VLOOKUP($A22,EnrollData2324,'2324 Jun 24 Enroll'!F$1,FALSE)=VLOOKUP($A22,'ESA Calculations 2324 Supp'!$A$4:$AE$34,6,FALSE),VLOOKUP($A22,EnrollData2324,'2324 Jun 24 Enroll'!F$1,FALSE),VLOOKUP($A22,'ESA Calculations 2324 Supp'!$A$4:$AE$34,6,FALSE))*Apport_222A2324s,3)</f>
        <v>3.94</v>
      </c>
      <c r="G22">
        <f>ROUND(IF(VLOOKUP($A22,EnrollData2324,'2324 Jun 24 Enroll'!G$1,FALSE)=VLOOKUP($A22,'ESA Calculations 2324 Supp'!$A$4:$AE$34,7,FALSE),VLOOKUP($A22,EnrollData2324,'2324 Jun 24 Enroll'!G$1,FALSE),VLOOKUP($A22,'ESA Calculations 2324 Supp'!$A$4:$AE$34,7,FALSE))*Apport_210A2324s,3)</f>
        <v>8.16</v>
      </c>
      <c r="H22">
        <f>ROUND(IF(VLOOKUP($A22,EnrollData2324,'2324 Jun 24 Enroll'!H$1,FALSE)=VLOOKUP($A22,'ESA Calculations 2324 Supp'!$A$4:$AE$34,8,FALSE),VLOOKUP($A22,EnrollData2324,'2324 Jun 24 Enroll'!H$1,FALSE),VLOOKUP($A22,'ESA Calculations 2324 Supp'!$A$4:$AE$34,8,FALSE))*Apport_213A2324s,3)</f>
        <v>8.6859999999999999</v>
      </c>
      <c r="I22">
        <f>ROUND(IF(VLOOKUP($A22,EnrollData2324,'2324 Jun 24 Enroll'!I$1,FALSE)+VLOOKUP($A22,EnrollData2324,'2324 Jun 24 Enroll'!M$1,FALSE)-VLOOKUP($A22,EnrollData2324,'2324 Jun 24 Enroll'!J$1,FALSE)=VLOOKUP($A22,'ESA Calculations 2324 Supp'!$A$4:$AE$34,9,FALSE)+VLOOKUP($A22,'ESA Calculations 2324 Supp'!$A$4:$AE$34,18,FALSE)-VLOOKUP($A22,'ESA Calculations 2324 Supp'!$A$4:$AE$34,10,FALSE),VLOOKUP($A22,EnrollData2324,'2324 Jun 24 Enroll'!I$1,FALSE)+VLOOKUP($A22,EnrollData2324,'2324 Jun 24 Enroll'!M$1,FALSE)-VLOOKUP($A22,EnrollData2324,'2324 Jun 24 Enroll'!J$1,FALSE),VLOOKUP($A22,'ESA Calculations 2324 Supp'!$A$4:$AE$34,9,FALSE)+VLOOKUP($A22,'ESA Calculations 2324 Supp'!$A$4:$AE$34,18,FALSE)-VLOOKUP($A22,'ESA Calculations 2324 Supp'!$A$4:$AE$34,10,FALSE))*Apport_216A2324s,3)</f>
        <v>18.690000000000001</v>
      </c>
      <c r="J22">
        <f>ROUND(SUM(D22:I22)/IF(VLOOKUP($A22,EnrollData2324,'2324 Jun 24 Enroll'!M$1,FALSE)+VLOOKUP($A22,EnrollData2324,'2324 Jun 24 Enroll'!D$1,FALSE)=VLOOKUP($A22,'ESA Calculations 2324 Supp'!$A$4:$AE$34,18,FALSE)+VLOOKUP($A22,'ESA Calculations 2324 Supp'!$A$4:$AE$34,4,FALSE),VLOOKUP($A22,EnrollData2324,'2324 Jun 24 Enroll'!M$1,FALSE)+VLOOKUP($A22,EnrollData2324,'2324 Jun 24 Enroll'!D$1,FALSE),VLOOKUP($A22,'ESA Calculations 2324 Supp'!$A$4:$AE$34,18,FALSE)+VLOOKUP($A22,'ESA Calculations 2324 Supp'!$A$4:$AE$34,4,FALSE)),5)</f>
        <v>5.5480000000000002E-2</v>
      </c>
      <c r="K22" s="11">
        <f t="shared" si="1"/>
        <v>4.3699999999999998E-3</v>
      </c>
      <c r="L22">
        <f>ROUND(IF(VLOOKUP($A22,EnrollData2324,'2324 Jun 24 Enroll'!D$1,FALSE)=VLOOKUP($A22,'ESA Calculations 2324 Supp'!$A$4:$AE$34,4,FALSE),VLOOKUP($A22,EnrollData2324,'2324 Jun 24 Enroll'!D$1,FALSE),VLOOKUP($A22,'ESA Calculations 2324 Supp'!$A$4:$AE$34,4,FALSE))*K22,3)</f>
        <v>0</v>
      </c>
      <c r="M22">
        <f>ROUND(IF(VLOOKUP($A22,EnrollData2324,'2324 Jun 24 Enroll'!E$1,FALSE)=VLOOKUP($A22,'ESA Calculations 2324 Supp'!$A$4:$AE$34,5,FALSE),VLOOKUP($A22,EnrollData2324,'2324 Jun 24 Enroll'!E$1,FALSE),VLOOKUP($A22,'ESA Calculations 2324 Supp'!$A$4:$AE$34,5,FALSE))*K22,3)</f>
        <v>1.23</v>
      </c>
      <c r="N22">
        <f>ROUND(IF(VLOOKUP($A22,EnrollData2324,'2324 Jun 24 Enroll'!F$1,FALSE)=VLOOKUP($A22,'ESA Calculations 2324 Supp'!$A$4:$AE$34,6,FALSE),VLOOKUP($A22,EnrollData2324,'2324 Jun 24 Enroll'!F$1,FALSE),VLOOKUP($A22,'ESA Calculations 2324 Supp'!$A$4:$AE$34,6,FALSE))*Apport_223A2324s,3)</f>
        <v>0.32900000000000001</v>
      </c>
      <c r="O22">
        <f>ROUND(IF(VLOOKUP($A22,EnrollData2324,'2324 Jun 24 Enroll'!G$1,FALSE)=VLOOKUP($A22,'ESA Calculations 2324 Supp'!$A$4:$AE$34,7,FALSE),VLOOKUP($A22,EnrollData2324,'2324 Jun 24 Enroll'!G$1,FALSE),VLOOKUP($A22,'ESA Calculations 2324 Supp'!$A$4:$AE$34,7,FALSE))*Apport_211A2324s,3)</f>
        <v>0.68100000000000005</v>
      </c>
      <c r="P22">
        <f>ROUND(IF(VLOOKUP($A22,EnrollData2324,'2324 Jun 24 Enroll'!H$1,FALSE)=VLOOKUP($A22,'ESA Calculations 2324 Supp'!$A$4:$AE$34,8,FALSE),VLOOKUP($A22,EnrollData2324,'2324 Jun 24 Enroll'!H$1,FALSE),VLOOKUP($A22,'ESA Calculations 2324 Supp'!$A$4:$AE$34,8,FALSE))*Apport_214A2324s,3)</f>
        <v>0.72199999999999998</v>
      </c>
      <c r="Q22">
        <f>ROUND(IF(VLOOKUP($A22,EnrollData2324,'2324 Jun 24 Enroll'!I$1,FALSE)+VLOOKUP($A22,EnrollData2324,'2324 Jun 24 Enroll'!M$1,FALSE)-VLOOKUP($A22,EnrollData2324,'2324 Jun 24 Enroll'!J$1,FALSE)=VLOOKUP($A22,'ESA Calculations 2324 Supp'!$A$4:$AE$34,9,FALSE)+VLOOKUP($A22,'ESA Calculations 2324 Supp'!$A$4:$AE$34,18,FALSE)-VLOOKUP($A22,'ESA Calculations 2324 Supp'!$A$4:$AE$34,10,FALSE),VLOOKUP($A22,EnrollData2324,'2324 Jun 24 Enroll'!I$1,FALSE)+VLOOKUP($A22,EnrollData2324,'2324 Jun 24 Enroll'!M$1,FALSE)-VLOOKUP($A22,EnrollData2324,'2324 Jun 24 Enroll'!J$1,FALSE),VLOOKUP($A22,'ESA Calculations 2324 Supp'!$A$4:$AE$34,9,FALSE)+VLOOKUP($A22,'ESA Calculations 2324 Supp'!$A$4:$AE$34,18,FALSE)-VLOOKUP($A22,'ESA Calculations 2324 Supp'!$A$4:$AE$34,10,FALSE))*Apport_217A2324s,3)</f>
        <v>1.51</v>
      </c>
      <c r="R22">
        <f>ROUND(SUM(L22:Q22)/IF(VLOOKUP($A22,EnrollData2324,'2324 Jun 24 Enroll'!M$1,FALSE)+VLOOKUP($A22,EnrollData2324,'2324 Jun 24 Enroll'!D$1,FALSE)=VLOOKUP($A22,'ESA Calculations 2324 Supp'!$A$4:$AE$34,18,FALSE)+VLOOKUP($A22,'ESA Calculations 2324 Supp'!$A$4:$AE$34,4,FALSE),VLOOKUP($A22,EnrollData2324,'2324 Jun 24 Enroll'!M$1,FALSE)+VLOOKUP($A22,EnrollData2324,'2324 Jun 24 Enroll'!D$1,FALSE),VLOOKUP($A22,'ESA Calculations 2324 Supp'!$A$4:$AE$34,18,FALSE)+VLOOKUP($A22,'ESA Calculations 2324 Supp'!$A$4:$AE$34,4,FALSE)),5)</f>
        <v>4.1200000000000004E-3</v>
      </c>
      <c r="S22" s="11">
        <f t="shared" si="2"/>
        <v>1.8689600000000001E-2</v>
      </c>
      <c r="T22">
        <f>ROUND(IF(VLOOKUP($A22,EnrollData2324,'2324 Jun 24 Enroll'!D$1,FALSE)=VLOOKUP($A22,'ESA Calculations 2324 Supp'!$A$4:$AE$34,4,FALSE),VLOOKUP($A22,EnrollData2324,'2324 Jun 24 Enroll'!D$1,FALSE),VLOOKUP($A22,'ESA Calculations 2324 Supp'!$A$4:$AE$34,4,FALSE))*S22,3)</f>
        <v>0</v>
      </c>
      <c r="U22">
        <f>ROUND(IF(VLOOKUP($A22,EnrollData2324,'2324 Jun 24 Enroll'!E$1,FALSE)=VLOOKUP($A22,'ESA Calculations 2324 Supp'!$A$4:$AE$34,5,FALSE),VLOOKUP($A22,EnrollData2324,'2324 Jun 24 Enroll'!E$1,FALSE),VLOOKUP($A22,'ESA Calculations 2324 Supp'!$A$4:$AE$34,5,FALSE))*S22,3)</f>
        <v>5.2619999999999996</v>
      </c>
      <c r="V22">
        <f>ROUND(IF(VLOOKUP($A22,EnrollData2324,'2324 Jun 24 Enroll'!F$1,FALSE)=VLOOKUP($A22,'ESA Calculations 2324 Supp'!$A$4:$AE$34,6,FALSE),VLOOKUP($A22,EnrollData2324,'2324 Jun 24 Enroll'!F$1,FALSE),VLOOKUP($A22,'ESA Calculations 2324 Supp'!$A$4:$AE$34,6,FALSE))*Apport_224A2324s,3)</f>
        <v>1.444</v>
      </c>
      <c r="W22">
        <f>ROUND(IF(VLOOKUP($A22,EnrollData2324,'2324 Jun 24 Enroll'!G$1,FALSE)=VLOOKUP($A22,'ESA Calculations 2324 Supp'!$A$4:$AE$34,7,FALSE),VLOOKUP($A22,EnrollData2324,'2324 Jun 24 Enroll'!G$1,FALSE),VLOOKUP($A22,'ESA Calculations 2324 Supp'!$A$4:$AE$34,7,FALSE))*Apport_212A2324s,3)</f>
        <v>2.9910000000000001</v>
      </c>
      <c r="X22">
        <f>ROUND(IF(VLOOKUP($A22,EnrollData2324,'2324 Jun 24 Enroll'!H$1,FALSE)=VLOOKUP($A22,'ESA Calculations 2324 Supp'!$A$4:$AE$34,8,FALSE),VLOOKUP($A22,EnrollData2324,'2324 Jun 24 Enroll'!H$1,FALSE),VLOOKUP($A22,'ESA Calculations 2324 Supp'!$A$4:$AE$34,8,FALSE))*Apport_215A2324s,3)</f>
        <v>3.13</v>
      </c>
      <c r="Y22">
        <f>ROUND(IF(VLOOKUP($A22,EnrollData2324,'2324 Jun 24 Enroll'!I$1,FALSE)+VLOOKUP($A22,EnrollData2324,'2324 Jun 24 Enroll'!M$1,FALSE)-VLOOKUP($A22,EnrollData2324,'2324 Jun 24 Enroll'!J$1,FALSE)=VLOOKUP($A22,'ESA Calculations 2324 Supp'!$A$4:$AE$34,9,FALSE)+VLOOKUP($A22,'ESA Calculations 2324 Supp'!$A$4:$AE$34,18,FALSE)-VLOOKUP($A22,'ESA Calculations 2324 Supp'!$A$4:$AE$34,10,FALSE),VLOOKUP($A22,EnrollData2324,'2324 Jun 24 Enroll'!I$1,FALSE)+VLOOKUP($A22,EnrollData2324,'2324 Jun 24 Enroll'!M$1,FALSE)-VLOOKUP($A22,EnrollData2324,'2324 Jun 24 Enroll'!J$1,FALSE),VLOOKUP($A22,'ESA Calculations 2324 Supp'!$A$4:$AE$34,9,FALSE)+VLOOKUP($A22,'ESA Calculations 2324 Supp'!$A$4:$AE$34,18,FALSE)-VLOOKUP($A22,'ESA Calculations 2324 Supp'!$A$4:$AE$34,10,FALSE))*Apport_218A2324s,3)</f>
        <v>6.4960000000000004</v>
      </c>
      <c r="Z22">
        <f>ROUND(SUM(T22:Y22)/IF(VLOOKUP($A22,EnrollData2324,'2324 Jun 24 Enroll'!M$1,FALSE)+VLOOKUP($A22,EnrollData2324,'2324 Jun 24 Enroll'!D$1,FALSE)=VLOOKUP($A22,'ESA Calculations 2324 Supp'!$A$4:$AE$34,18,FALSE)+VLOOKUP($A22,'ESA Calculations 2324 Supp'!$A$4:$AE$34,4,FALSE),VLOOKUP($A22,EnrollData2324,'2324 Jun 24 Enroll'!M$1,FALSE)+VLOOKUP($A22,EnrollData2324,'2324 Jun 24 Enroll'!D$1,FALSE),VLOOKUP($A22,'ESA Calculations 2324 Supp'!$A$4:$AE$34,18,FALSE)+VLOOKUP($A22,'ESA Calculations 2324 Supp'!$A$4:$AE$34,4,FALSE)),5)</f>
        <v>1.7819999999999999E-2</v>
      </c>
      <c r="AA22" s="6" cm="1">
        <f t="array" ref="AA22">ROUND($J22*CIS_Base_Salary2324s*VLOOKUP($A22,EnrollData2324,'2324 Jun 24 Enroll'!S$1,FALSE),2)</f>
        <v>4034.95</v>
      </c>
      <c r="AB22" s="6" cm="1">
        <f t="array" ref="AB22">ROUND($J22*CIS_Inc_Salary2324s*(VLOOKUP($A22,EnrollData2324,'2324 Jun 24 Enroll'!T$1,FALSE)+VLOOKUP($A22,EnrollData2324,'2324 Jun 24 Enroll'!U$1,FALSE)),2)-AA22</f>
        <v>316.67000000000007</v>
      </c>
      <c r="AC22" s="6" cm="1">
        <f t="array" ref="AC22">ROUND($R22*CAS_Base_Salary2324s*VLOOKUP($A22,EnrollData2324,'2324 Jun 24 Enroll'!S$1,FALSE),2)</f>
        <v>444.77</v>
      </c>
      <c r="AD22" s="6" cm="1">
        <f t="array" ref="AD22">ROUND($R22*CAS_Inc_Salary2324s*VLOOKUP($A22,EnrollData2324,'2324 Jun 24 Enroll'!T$1,FALSE),2)-AC22</f>
        <v>16.460000000000036</v>
      </c>
      <c r="AE22" s="6" cm="1">
        <f t="array" ref="AE22">ROUND($Z22*CLS_Base_Salary2324s*VLOOKUP($A22,EnrollData2324,'2324 Jun 24 Enroll'!S$1,FALSE),2)</f>
        <v>929.72</v>
      </c>
      <c r="AF22" s="6" cm="1">
        <f t="array" ref="AF22">ROUND($Z22*CLS_Inc_Salary2324s*VLOOKUP($A22,EnrollData2324,'2324 Jun 24 Enroll'!T$1,FALSE),2)-AE22</f>
        <v>34.399999999999977</v>
      </c>
      <c r="AG22" cm="1">
        <f t="array" ref="AG22">ROUND(($J22+$R22)*Apport_124X2324s,2)</f>
        <v>733.8</v>
      </c>
      <c r="AH22" s="69">
        <f t="shared" si="3"/>
        <v>68.650000000000091</v>
      </c>
      <c r="AI22" cm="1">
        <f t="array" ref="AI22">ROUND($Z22*Apport_124X2324s,2)</f>
        <v>219.4</v>
      </c>
      <c r="AJ22" cm="1">
        <f t="array" ref="AJ22">ROUND($Z22*Apport_621X2324s*Apport_125X2324s,2)-AI22</f>
        <v>116.97</v>
      </c>
      <c r="AK22" cm="1">
        <f t="array" ref="AK22">ROUND((AA22+AC22)*Apport_126X2324s,2)</f>
        <v>805.01</v>
      </c>
      <c r="AL22" cm="1">
        <f t="array" ref="AL22">ROUND((AB22+AD22)*Apport_127X2324s,2)</f>
        <v>57.73</v>
      </c>
      <c r="AM22" cm="1">
        <f t="array" ref="AM22">ROUND(AE22*Apport_128X2324s,2)</f>
        <v>205.1</v>
      </c>
      <c r="AN22" cm="1">
        <f t="array" ref="AN22">ROUND(AF22*Apport_129X2324s,2)</f>
        <v>6.38</v>
      </c>
      <c r="AO22" cm="1">
        <f t="array" ref="AO22">ROUND(($J22*CIS_Inc_Salary2324s*(VLOOKUP($A22,EnrollData2324,'2324 Jun 24 Enroll'!T$1,FALSE)+VLOOKUP($A22,EnrollData2324,'2324 Jun 24 Enroll'!U$1,FALSE))/Apport_613Xpd)*Apport_614Xpd,2)</f>
        <v>72.53</v>
      </c>
      <c r="AP22" cm="1">
        <f t="array" ref="AP22">ROUND(AO22*Apport_127X2324s,2)</f>
        <v>12.57</v>
      </c>
      <c r="AQ22">
        <f t="shared" si="4"/>
        <v>30.9</v>
      </c>
      <c r="AR22" s="6" cm="1">
        <f t="array" ref="AR22">ROUND((IF(VLOOKUP($A22,EnrollData2324,'2324 Jun 24 Enroll'!D$1,FALSE)=VLOOKUP($A22,'ESA Calculations 2324 Supp'!$A$4:$AE$34,4,FALSE),VLOOKUP($A22,EnrollData2324,'2324 Jun 24 Enroll'!D$1,FALSE),VLOOKUP($A22,'ESA Calculations 2324 Supp'!$A$4:$AE$34,4,FALSE))*Apport_M802324s+IF(VLOOKUP($A22,EnrollData2324,'2324 Jun 24 Enroll'!M$1,FALSE)=VLOOKUP($A22,'ESA Calculations 2324 Supp'!$A$4:$AE$34,18,FALSE),VLOOKUP($A22,EnrollData2324,'2324 Jun 24 Enroll'!M$1,FALSE),VLOOKUP($A22,'ESA Calculations 2324 Supp'!$A$4:$AE$34,18,FALSE))*Apport_M802324s+IF((VLOOKUP($A22,EnrollData2324,'2324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Enroll'!L$1,FALSE))=VLOOKUP($A22,EnrollData2324,'2324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Enroll'!L$1,FALSE),(VLOOKUP($A22,EnrollData2324,'2324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Enroll'!L$1,FALSE)),(VLOOKUP($A22,EnrollData2324,'2324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Enroll'!L$1,FALSE)))*Apport_M812324s)/(IF(VLOOKUP($A22,EnrollData2324,'2324 Jun 24 Enroll'!M$1,FALSE)=VLOOKUP($A22,'ESA Calculations 2324 Supp'!$A$4:$AE$34,18,FALSE),VLOOKUP($A22,EnrollData2324,'2324 Jun 24 Enroll'!M$1,FALSE),VLOOKUP($A22,'ESA Calculations 2324 Supp'!$A$4:$AE$34,18,FALSE))+IF(VLOOKUP($A22,EnrollData2324,'2324 Jun 24 Enroll'!D$1,FALSE)=VLOOKUP($A22,'ESA Calculations 2324 Supp'!$A$4:$AE$34,4,FALSE),VLOOKUP($A22,EnrollData2324,'2324 Jun 24 Enroll'!D$1,FALSE),VLOOKUP($A22,'ESA Calculations 2324 Supp'!$A$4:$AE$34,4,FALSE))),2)</f>
        <v>1573.29</v>
      </c>
      <c r="AS22" s="7">
        <f t="shared" si="5"/>
        <v>9679.2999999999993</v>
      </c>
      <c r="AT22" s="6">
        <f>IF(VLOOKUP($A22,EnrollData2324,'2324 Jun 24 Enroll'!AA$1,FALSE)=VLOOKUP($A22,'ESA Calculations 2324 Supp'!$A$4:$AE$34,24,FALSE),VLOOKUP($A22,EnrollData2324,'2324 Jun 24 Enroll'!AA$1,FALSE),VLOOKUP($A22,'ESA Calculations 2324 Supp'!$A$4:$AE$34,24,FALSE))</f>
        <v>1084.3</v>
      </c>
    </row>
    <row r="23" spans="1:46">
      <c r="A23" s="40" t="s">
        <v>564</v>
      </c>
      <c r="B23" s="40" t="s">
        <v>565</v>
      </c>
      <c r="C23" s="11">
        <f>ROUND((IFERROR((1/IF(VLOOKUP($A23,EnrollData2324,28,FALSE)=VLOOKUP($A23,'ESA Calculations 2324 Supp'!$A$4:$AE$34,3,FALSE),VLOOKUP($A23,EnrollData2324,28,FALSE),VLOOKUP($A23,'ESA Calculations 2324 Supp'!$A$4:$AE$34,3,FALSE)))*(1+Apport_Z315),0))+Apport_201A2324s,6)</f>
        <v>7.3449E-2</v>
      </c>
      <c r="D23">
        <f>ROUND(IF(VLOOKUP($A23,EnrollData2324,'2324 Jun 24 Enroll'!D$1,FALSE)=VLOOKUP($A23,'ESA Calculations 2324 Supp'!$A$4:$AE$34,4,FALSE),VLOOKUP($A23,EnrollData2324,'2324 Jun 24 Enroll'!D$1,FALSE),VLOOKUP($A23,'ESA Calculations 2324 Supp'!$A$4:$AE$34,4,FALSE))*C23,3)</f>
        <v>0.35299999999999998</v>
      </c>
      <c r="E23">
        <f>ROUND(IF(VLOOKUP($A23,EnrollData2324,'2324 Jun 24 Enroll'!E$1,FALSE)=VLOOKUP($A23,'ESA Calculations 2324 Supp'!$A$4:$AE$34,5,FALSE),VLOOKUP($A23,EnrollData2324,'2324 Jun 24 Enroll'!E$1,FALSE),VLOOKUP($A23,'ESA Calculations 2324 Supp'!$A$4:$AE$34,5,FALSE))*C23,3)</f>
        <v>4.4509999999999996</v>
      </c>
      <c r="F23">
        <f>ROUND(IF(VLOOKUP($A23,EnrollData2324,'2324 Jun 24 Enroll'!F$1,FALSE)=VLOOKUP($A23,'ESA Calculations 2324 Supp'!$A$4:$AE$34,6,FALSE),VLOOKUP($A23,EnrollData2324,'2324 Jun 24 Enroll'!F$1,FALSE),VLOOKUP($A23,'ESA Calculations 2324 Supp'!$A$4:$AE$34,6,FALSE))*Apport_222A2324s,3)</f>
        <v>0.67100000000000004</v>
      </c>
      <c r="G23">
        <f>ROUND(IF(VLOOKUP($A23,EnrollData2324,'2324 Jun 24 Enroll'!G$1,FALSE)=VLOOKUP($A23,'ESA Calculations 2324 Supp'!$A$4:$AE$34,7,FALSE),VLOOKUP($A23,EnrollData2324,'2324 Jun 24 Enroll'!G$1,FALSE),VLOOKUP($A23,'ESA Calculations 2324 Supp'!$A$4:$AE$34,7,FALSE))*Apport_210A2324s,3)</f>
        <v>1.7909999999999999</v>
      </c>
      <c r="H23">
        <f>ROUND(IF(VLOOKUP($A23,EnrollData2324,'2324 Jun 24 Enroll'!H$1,FALSE)=VLOOKUP($A23,'ESA Calculations 2324 Supp'!$A$4:$AE$34,8,FALSE),VLOOKUP($A23,EnrollData2324,'2324 Jun 24 Enroll'!H$1,FALSE),VLOOKUP($A23,'ESA Calculations 2324 Supp'!$A$4:$AE$34,8,FALSE))*Apport_213A2324s,3)</f>
        <v>1.4219999999999999</v>
      </c>
      <c r="I23">
        <f>ROUND(IF(VLOOKUP($A23,EnrollData2324,'2324 Jun 24 Enroll'!I$1,FALSE)+VLOOKUP($A23,EnrollData2324,'2324 Jun 24 Enroll'!M$1,FALSE)-VLOOKUP($A23,EnrollData2324,'2324 Jun 24 Enroll'!J$1,FALSE)=VLOOKUP($A23,'ESA Calculations 2324 Supp'!$A$4:$AE$34,9,FALSE)+VLOOKUP($A23,'ESA Calculations 2324 Supp'!$A$4:$AE$34,18,FALSE)-VLOOKUP($A23,'ESA Calculations 2324 Supp'!$A$4:$AE$34,10,FALSE),VLOOKUP($A23,EnrollData2324,'2324 Jun 24 Enroll'!I$1,FALSE)+VLOOKUP($A23,EnrollData2324,'2324 Jun 24 Enroll'!M$1,FALSE)-VLOOKUP($A23,EnrollData2324,'2324 Jun 24 Enroll'!J$1,FALSE),VLOOKUP($A23,'ESA Calculations 2324 Supp'!$A$4:$AE$34,9,FALSE)+VLOOKUP($A23,'ESA Calculations 2324 Supp'!$A$4:$AE$34,18,FALSE)-VLOOKUP($A23,'ESA Calculations 2324 Supp'!$A$4:$AE$34,10,FALSE))*Apport_216A2324s,3)</f>
        <v>2.7360000000000002</v>
      </c>
      <c r="J23">
        <f>ROUND(SUM(D23:I23)/IF(VLOOKUP($A23,EnrollData2324,'2324 Jun 24 Enroll'!M$1,FALSE)+VLOOKUP($A23,EnrollData2324,'2324 Jun 24 Enroll'!D$1,FALSE)=VLOOKUP($A23,'ESA Calculations 2324 Supp'!$A$4:$AE$34,18,FALSE)+VLOOKUP($A23,'ESA Calculations 2324 Supp'!$A$4:$AE$34,4,FALSE),VLOOKUP($A23,EnrollData2324,'2324 Jun 24 Enroll'!M$1,FALSE)+VLOOKUP($A23,EnrollData2324,'2324 Jun 24 Enroll'!D$1,FALSE),VLOOKUP($A23,'ESA Calculations 2324 Supp'!$A$4:$AE$34,18,FALSE)+VLOOKUP($A23,'ESA Calculations 2324 Supp'!$A$4:$AE$34,4,FALSE)),5)</f>
        <v>5.7029999999999997E-2</v>
      </c>
      <c r="K23" s="11">
        <f t="shared" si="1"/>
        <v>4.3699999999999998E-3</v>
      </c>
      <c r="L23">
        <f>ROUND(IF(VLOOKUP($A23,EnrollData2324,'2324 Jun 24 Enroll'!D$1,FALSE)=VLOOKUP($A23,'ESA Calculations 2324 Supp'!$A$4:$AE$34,4,FALSE),VLOOKUP($A23,EnrollData2324,'2324 Jun 24 Enroll'!D$1,FALSE),VLOOKUP($A23,'ESA Calculations 2324 Supp'!$A$4:$AE$34,4,FALSE))*K23,3)</f>
        <v>2.1000000000000001E-2</v>
      </c>
      <c r="M23">
        <f>ROUND(IF(VLOOKUP($A23,EnrollData2324,'2324 Jun 24 Enroll'!E$1,FALSE)=VLOOKUP($A23,'ESA Calculations 2324 Supp'!$A$4:$AE$34,5,FALSE),VLOOKUP($A23,EnrollData2324,'2324 Jun 24 Enroll'!E$1,FALSE),VLOOKUP($A23,'ESA Calculations 2324 Supp'!$A$4:$AE$34,5,FALSE))*K23,3)</f>
        <v>0.26500000000000001</v>
      </c>
      <c r="N23">
        <f>ROUND(IF(VLOOKUP($A23,EnrollData2324,'2324 Jun 24 Enroll'!F$1,FALSE)=VLOOKUP($A23,'ESA Calculations 2324 Supp'!$A$4:$AE$34,6,FALSE),VLOOKUP($A23,EnrollData2324,'2324 Jun 24 Enroll'!F$1,FALSE),VLOOKUP($A23,'ESA Calculations 2324 Supp'!$A$4:$AE$34,6,FALSE))*Apport_223A2324s,3)</f>
        <v>5.6000000000000001E-2</v>
      </c>
      <c r="O23">
        <f>ROUND(IF(VLOOKUP($A23,EnrollData2324,'2324 Jun 24 Enroll'!G$1,FALSE)=VLOOKUP($A23,'ESA Calculations 2324 Supp'!$A$4:$AE$34,7,FALSE),VLOOKUP($A23,EnrollData2324,'2324 Jun 24 Enroll'!G$1,FALSE),VLOOKUP($A23,'ESA Calculations 2324 Supp'!$A$4:$AE$34,7,FALSE))*Apport_211A2324s,3)</f>
        <v>0.15</v>
      </c>
      <c r="P23">
        <f>ROUND(IF(VLOOKUP($A23,EnrollData2324,'2324 Jun 24 Enroll'!H$1,FALSE)=VLOOKUP($A23,'ESA Calculations 2324 Supp'!$A$4:$AE$34,8,FALSE),VLOOKUP($A23,EnrollData2324,'2324 Jun 24 Enroll'!H$1,FALSE),VLOOKUP($A23,'ESA Calculations 2324 Supp'!$A$4:$AE$34,8,FALSE))*Apport_214A2324s,3)</f>
        <v>0.11799999999999999</v>
      </c>
      <c r="Q23">
        <f>ROUND(IF(VLOOKUP($A23,EnrollData2324,'2324 Jun 24 Enroll'!I$1,FALSE)+VLOOKUP($A23,EnrollData2324,'2324 Jun 24 Enroll'!M$1,FALSE)-VLOOKUP($A23,EnrollData2324,'2324 Jun 24 Enroll'!J$1,FALSE)=VLOOKUP($A23,'ESA Calculations 2324 Supp'!$A$4:$AE$34,9,FALSE)+VLOOKUP($A23,'ESA Calculations 2324 Supp'!$A$4:$AE$34,18,FALSE)-VLOOKUP($A23,'ESA Calculations 2324 Supp'!$A$4:$AE$34,10,FALSE),VLOOKUP($A23,EnrollData2324,'2324 Jun 24 Enroll'!I$1,FALSE)+VLOOKUP($A23,EnrollData2324,'2324 Jun 24 Enroll'!M$1,FALSE)-VLOOKUP($A23,EnrollData2324,'2324 Jun 24 Enroll'!J$1,FALSE),VLOOKUP($A23,'ESA Calculations 2324 Supp'!$A$4:$AE$34,9,FALSE)+VLOOKUP($A23,'ESA Calculations 2324 Supp'!$A$4:$AE$34,18,FALSE)-VLOOKUP($A23,'ESA Calculations 2324 Supp'!$A$4:$AE$34,10,FALSE))*Apport_217A2324s,3)</f>
        <v>0.221</v>
      </c>
      <c r="R23">
        <f>ROUND(SUM(L23:Q23)/IF(VLOOKUP($A23,EnrollData2324,'2324 Jun 24 Enroll'!M$1,FALSE)+VLOOKUP($A23,EnrollData2324,'2324 Jun 24 Enroll'!D$1,FALSE)=VLOOKUP($A23,'ESA Calculations 2324 Supp'!$A$4:$AE$34,18,FALSE)+VLOOKUP($A23,'ESA Calculations 2324 Supp'!$A$4:$AE$34,4,FALSE),VLOOKUP($A23,EnrollData2324,'2324 Jun 24 Enroll'!M$1,FALSE)+VLOOKUP($A23,EnrollData2324,'2324 Jun 24 Enroll'!D$1,FALSE),VLOOKUP($A23,'ESA Calculations 2324 Supp'!$A$4:$AE$34,18,FALSE)+VLOOKUP($A23,'ESA Calculations 2324 Supp'!$A$4:$AE$34,4,FALSE)),5)</f>
        <v>4.15E-3</v>
      </c>
      <c r="S23" s="11">
        <f t="shared" si="2"/>
        <v>1.8689600000000001E-2</v>
      </c>
      <c r="T23">
        <f>ROUND(IF(VLOOKUP($A23,EnrollData2324,'2324 Jun 24 Enroll'!D$1,FALSE)=VLOOKUP($A23,'ESA Calculations 2324 Supp'!$A$4:$AE$34,4,FALSE),VLOOKUP($A23,EnrollData2324,'2324 Jun 24 Enroll'!D$1,FALSE),VLOOKUP($A23,'ESA Calculations 2324 Supp'!$A$4:$AE$34,4,FALSE))*S23,3)</f>
        <v>0.09</v>
      </c>
      <c r="U23">
        <f>ROUND(IF(VLOOKUP($A23,EnrollData2324,'2324 Jun 24 Enroll'!E$1,FALSE)=VLOOKUP($A23,'ESA Calculations 2324 Supp'!$A$4:$AE$34,5,FALSE),VLOOKUP($A23,EnrollData2324,'2324 Jun 24 Enroll'!E$1,FALSE),VLOOKUP($A23,'ESA Calculations 2324 Supp'!$A$4:$AE$34,5,FALSE))*S23,3)</f>
        <v>1.133</v>
      </c>
      <c r="V23">
        <f>ROUND(IF(VLOOKUP($A23,EnrollData2324,'2324 Jun 24 Enroll'!F$1,FALSE)=VLOOKUP($A23,'ESA Calculations 2324 Supp'!$A$4:$AE$34,6,FALSE),VLOOKUP($A23,EnrollData2324,'2324 Jun 24 Enroll'!F$1,FALSE),VLOOKUP($A23,'ESA Calculations 2324 Supp'!$A$4:$AE$34,6,FALSE))*Apport_224A2324s,3)</f>
        <v>0.246</v>
      </c>
      <c r="W23">
        <f>ROUND(IF(VLOOKUP($A23,EnrollData2324,'2324 Jun 24 Enroll'!G$1,FALSE)=VLOOKUP($A23,'ESA Calculations 2324 Supp'!$A$4:$AE$34,7,FALSE),VLOOKUP($A23,EnrollData2324,'2324 Jun 24 Enroll'!G$1,FALSE),VLOOKUP($A23,'ESA Calculations 2324 Supp'!$A$4:$AE$34,7,FALSE))*Apport_212A2324s,3)</f>
        <v>0.65700000000000003</v>
      </c>
      <c r="X23">
        <f>ROUND(IF(VLOOKUP($A23,EnrollData2324,'2324 Jun 24 Enroll'!H$1,FALSE)=VLOOKUP($A23,'ESA Calculations 2324 Supp'!$A$4:$AE$34,8,FALSE),VLOOKUP($A23,EnrollData2324,'2324 Jun 24 Enroll'!H$1,FALSE),VLOOKUP($A23,'ESA Calculations 2324 Supp'!$A$4:$AE$34,8,FALSE))*Apport_215A2324s,3)</f>
        <v>0.51200000000000001</v>
      </c>
      <c r="Y23">
        <f>ROUND(IF(VLOOKUP($A23,EnrollData2324,'2324 Jun 24 Enroll'!I$1,FALSE)+VLOOKUP($A23,EnrollData2324,'2324 Jun 24 Enroll'!M$1,FALSE)-VLOOKUP($A23,EnrollData2324,'2324 Jun 24 Enroll'!J$1,FALSE)=VLOOKUP($A23,'ESA Calculations 2324 Supp'!$A$4:$AE$34,9,FALSE)+VLOOKUP($A23,'ESA Calculations 2324 Supp'!$A$4:$AE$34,18,FALSE)-VLOOKUP($A23,'ESA Calculations 2324 Supp'!$A$4:$AE$34,10,FALSE),VLOOKUP($A23,EnrollData2324,'2324 Jun 24 Enroll'!I$1,FALSE)+VLOOKUP($A23,EnrollData2324,'2324 Jun 24 Enroll'!M$1,FALSE)-VLOOKUP($A23,EnrollData2324,'2324 Jun 24 Enroll'!J$1,FALSE),VLOOKUP($A23,'ESA Calculations 2324 Supp'!$A$4:$AE$34,9,FALSE)+VLOOKUP($A23,'ESA Calculations 2324 Supp'!$A$4:$AE$34,18,FALSE)-VLOOKUP($A23,'ESA Calculations 2324 Supp'!$A$4:$AE$34,10,FALSE))*Apport_218A2324s,3)</f>
        <v>0.95099999999999996</v>
      </c>
      <c r="Z23">
        <f>ROUND(SUM(T23:Y23)/IF(VLOOKUP($A23,EnrollData2324,'2324 Jun 24 Enroll'!M$1,FALSE)+VLOOKUP($A23,EnrollData2324,'2324 Jun 24 Enroll'!D$1,FALSE)=VLOOKUP($A23,'ESA Calculations 2324 Supp'!$A$4:$AE$34,18,FALSE)+VLOOKUP($A23,'ESA Calculations 2324 Supp'!$A$4:$AE$34,4,FALSE),VLOOKUP($A23,EnrollData2324,'2324 Jun 24 Enroll'!M$1,FALSE)+VLOOKUP($A23,EnrollData2324,'2324 Jun 24 Enroll'!D$1,FALSE),VLOOKUP($A23,'ESA Calculations 2324 Supp'!$A$4:$AE$34,18,FALSE)+VLOOKUP($A23,'ESA Calculations 2324 Supp'!$A$4:$AE$34,4,FALSE)),5)</f>
        <v>1.7919999999999998E-2</v>
      </c>
      <c r="AA23" s="6" cm="1">
        <f t="array" ref="AA23">ROUND($J23*CIS_Base_Salary2324s*VLOOKUP($A23,EnrollData2324,'2324 Jun 24 Enroll'!S$1,FALSE),2)</f>
        <v>4147.68</v>
      </c>
      <c r="AB23" s="6" cm="1">
        <f t="array" ref="AB23">ROUND($J23*CIS_Inc_Salary2324s*(VLOOKUP($A23,EnrollData2324,'2324 Jun 24 Enroll'!T$1,FALSE)+VLOOKUP($A23,EnrollData2324,'2324 Jun 24 Enroll'!U$1,FALSE)),2)-AA23</f>
        <v>153.46999999999935</v>
      </c>
      <c r="AC23" s="6" cm="1">
        <f t="array" ref="AC23">ROUND($R23*CAS_Base_Salary2324s*VLOOKUP($A23,EnrollData2324,'2324 Jun 24 Enroll'!S$1,FALSE),2)</f>
        <v>448.01</v>
      </c>
      <c r="AD23" s="6" cm="1">
        <f t="array" ref="AD23">ROUND($R23*CAS_Inc_Salary2324s*VLOOKUP($A23,EnrollData2324,'2324 Jun 24 Enroll'!T$1,FALSE),2)-AC23</f>
        <v>16.579999999999984</v>
      </c>
      <c r="AE23" s="6" cm="1">
        <f t="array" ref="AE23">ROUND($Z23*CLS_Base_Salary2324s*VLOOKUP($A23,EnrollData2324,'2324 Jun 24 Enroll'!S$1,FALSE),2)</f>
        <v>934.94</v>
      </c>
      <c r="AF23" s="6" cm="1">
        <f t="array" ref="AF23">ROUND($Z23*CLS_Inc_Salary2324s*VLOOKUP($A23,EnrollData2324,'2324 Jun 24 Enroll'!T$1,FALSE),2)-AE23</f>
        <v>34.589999999999918</v>
      </c>
      <c r="AG23" cm="1">
        <f t="array" ref="AG23">ROUND(($J23+$R23)*Apport_124X2324s,2)</f>
        <v>753.25</v>
      </c>
      <c r="AH23" s="69">
        <f t="shared" si="3"/>
        <v>70.480000000000018</v>
      </c>
      <c r="AI23" cm="1">
        <f t="array" ref="AI23">ROUND($Z23*Apport_124X2324s,2)</f>
        <v>220.63</v>
      </c>
      <c r="AJ23" cm="1">
        <f t="array" ref="AJ23">ROUND($Z23*Apport_621X2324s*Apport_125X2324s,2)-AI23</f>
        <v>117.63</v>
      </c>
      <c r="AK23" cm="1">
        <f t="array" ref="AK23">ROUND((AA23+AC23)*Apport_126X2324s,2)</f>
        <v>825.85</v>
      </c>
      <c r="AL23" cm="1">
        <f t="array" ref="AL23">ROUND((AB23+AD23)*Apport_127X2324s,2)</f>
        <v>29.47</v>
      </c>
      <c r="AM23" cm="1">
        <f t="array" ref="AM23">ROUND(AE23*Apport_128X2324s,2)</f>
        <v>206.25</v>
      </c>
      <c r="AN23" cm="1">
        <f t="array" ref="AN23">ROUND(AF23*Apport_129X2324s,2)</f>
        <v>6.42</v>
      </c>
      <c r="AO23" cm="1">
        <f t="array" ref="AO23">ROUND(($J23*CIS_Inc_Salary2324s*(VLOOKUP($A23,EnrollData2324,'2324 Jun 24 Enroll'!T$1,FALSE)+VLOOKUP($A23,EnrollData2324,'2324 Jun 24 Enroll'!U$1,FALSE))/Apport_613Xpd)*Apport_614Xpd,2)</f>
        <v>71.69</v>
      </c>
      <c r="AP23" cm="1">
        <f t="array" ref="AP23">ROUND(AO23*Apport_127X2324s,2)</f>
        <v>12.42</v>
      </c>
      <c r="AQ23">
        <f t="shared" si="4"/>
        <v>31.77</v>
      </c>
      <c r="AR23" s="6" cm="1">
        <f t="array" ref="AR23">ROUND((IF(VLOOKUP($A23,EnrollData2324,'2324 Jun 24 Enroll'!D$1,FALSE)=VLOOKUP($A23,'ESA Calculations 2324 Supp'!$A$4:$AE$34,4,FALSE),VLOOKUP($A23,EnrollData2324,'2324 Jun 24 Enroll'!D$1,FALSE),VLOOKUP($A23,'ESA Calculations 2324 Supp'!$A$4:$AE$34,4,FALSE))*Apport_M802324s+IF(VLOOKUP($A23,EnrollData2324,'2324 Jun 24 Enroll'!M$1,FALSE)=VLOOKUP($A23,'ESA Calculations 2324 Supp'!$A$4:$AE$34,18,FALSE),VLOOKUP($A23,EnrollData2324,'2324 Jun 24 Enroll'!M$1,FALSE),VLOOKUP($A23,'ESA Calculations 2324 Supp'!$A$4:$AE$34,18,FALSE))*Apport_M802324s+IF((VLOOKUP($A23,EnrollData2324,'2324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Enroll'!L$1,FALSE))=VLOOKUP($A23,EnrollData2324,'2324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Enroll'!L$1,FALSE),(VLOOKUP($A23,EnrollData2324,'2324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Enroll'!L$1,FALSE)),(VLOOKUP($A23,EnrollData2324,'2324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Enroll'!L$1,FALSE)))*Apport_M812324s)/(IF(VLOOKUP($A23,EnrollData2324,'2324 Jun 24 Enroll'!M$1,FALSE)=VLOOKUP($A23,'ESA Calculations 2324 Supp'!$A$4:$AE$34,18,FALSE),VLOOKUP($A23,EnrollData2324,'2324 Jun 24 Enroll'!M$1,FALSE),VLOOKUP($A23,'ESA Calculations 2324 Supp'!$A$4:$AE$34,18,FALSE))+IF(VLOOKUP($A23,EnrollData2324,'2324 Jun 24 Enroll'!D$1,FALSE)=VLOOKUP($A23,'ESA Calculations 2324 Supp'!$A$4:$AE$34,4,FALSE),VLOOKUP($A23,EnrollData2324,'2324 Jun 24 Enroll'!D$1,FALSE),VLOOKUP($A23,'ESA Calculations 2324 Supp'!$A$4:$AE$34,4,FALSE))),2)</f>
        <v>1558.99</v>
      </c>
      <c r="AS23" s="7">
        <f t="shared" si="5"/>
        <v>9640.1200000000008</v>
      </c>
      <c r="AT23" s="6">
        <f>IF(VLOOKUP($A23,EnrollData2324,'2324 Jun 24 Enroll'!AA$1,FALSE)=VLOOKUP($A23,'ESA Calculations 2324 Supp'!$A$4:$AE$34,24,FALSE),VLOOKUP($A23,EnrollData2324,'2324 Jun 24 Enroll'!AA$1,FALSE),VLOOKUP($A23,'ESA Calculations 2324 Supp'!$A$4:$AE$34,24,FALSE))</f>
        <v>200.32</v>
      </c>
    </row>
    <row r="24" spans="1:46">
      <c r="A24" s="40" t="s">
        <v>590</v>
      </c>
      <c r="B24" s="40" t="s">
        <v>591</v>
      </c>
      <c r="C24" s="11">
        <f>ROUND((IFERROR((1/IF(VLOOKUP($A24,EnrollData2324,28,FALSE)=VLOOKUP($A24,'ESA Calculations 2324 Supp'!$A$4:$AE$34,3,FALSE),VLOOKUP($A24,EnrollData2324,28,FALSE),VLOOKUP($A24,'ESA Calculations 2324 Supp'!$A$4:$AE$34,3,FALSE)))*(1+Apport_Z315),0))+Apport_201A2324s,6)</f>
        <v>7.3449E-2</v>
      </c>
      <c r="D24">
        <f>ROUND(IF(VLOOKUP($A24,EnrollData2324,'2324 Jun 24 Enroll'!D$1,FALSE)=VLOOKUP($A24,'ESA Calculations 2324 Supp'!$A$4:$AE$34,4,FALSE),VLOOKUP($A24,EnrollData2324,'2324 Jun 24 Enroll'!D$1,FALSE),VLOOKUP($A24,'ESA Calculations 2324 Supp'!$A$4:$AE$34,4,FALSE))*C24,3)</f>
        <v>0</v>
      </c>
      <c r="E24">
        <f>ROUND(IF(VLOOKUP($A24,EnrollData2324,'2324 Jun 24 Enroll'!E$1,FALSE)=VLOOKUP($A24,'ESA Calculations 2324 Supp'!$A$4:$AE$34,5,FALSE),VLOOKUP($A24,EnrollData2324,'2324 Jun 24 Enroll'!E$1,FALSE),VLOOKUP($A24,'ESA Calculations 2324 Supp'!$A$4:$AE$34,5,FALSE))*C24,3)</f>
        <v>16.334</v>
      </c>
      <c r="F24">
        <f>ROUND(IF(VLOOKUP($A24,EnrollData2324,'2324 Jun 24 Enroll'!F$1,FALSE)=VLOOKUP($A24,'ESA Calculations 2324 Supp'!$A$4:$AE$34,6,FALSE),VLOOKUP($A24,EnrollData2324,'2324 Jun 24 Enroll'!F$1,FALSE),VLOOKUP($A24,'ESA Calculations 2324 Supp'!$A$4:$AE$34,6,FALSE))*Apport_222A2324s,3)</f>
        <v>3.2109999999999999</v>
      </c>
      <c r="G24">
        <f>ROUND(IF(VLOOKUP($A24,EnrollData2324,'2324 Jun 24 Enroll'!G$1,FALSE)=VLOOKUP($A24,'ESA Calculations 2324 Supp'!$A$4:$AE$34,7,FALSE),VLOOKUP($A24,EnrollData2324,'2324 Jun 24 Enroll'!G$1,FALSE),VLOOKUP($A24,'ESA Calculations 2324 Supp'!$A$4:$AE$34,7,FALSE))*Apport_210A2324s,3)</f>
        <v>5.5650000000000004</v>
      </c>
      <c r="H24">
        <f>ROUND(IF(VLOOKUP($A24,EnrollData2324,'2324 Jun 24 Enroll'!H$1,FALSE)=VLOOKUP($A24,'ESA Calculations 2324 Supp'!$A$4:$AE$34,8,FALSE),VLOOKUP($A24,EnrollData2324,'2324 Jun 24 Enroll'!H$1,FALSE),VLOOKUP($A24,'ESA Calculations 2324 Supp'!$A$4:$AE$34,8,FALSE))*Apport_213A2324s,3)</f>
        <v>5.46</v>
      </c>
      <c r="I24">
        <f>ROUND(IF(VLOOKUP($A24,EnrollData2324,'2324 Jun 24 Enroll'!I$1,FALSE)+VLOOKUP($A24,EnrollData2324,'2324 Jun 24 Enroll'!M$1,FALSE)-VLOOKUP($A24,EnrollData2324,'2324 Jun 24 Enroll'!J$1,FALSE)=VLOOKUP($A24,'ESA Calculations 2324 Supp'!$A$4:$AE$34,9,FALSE)+VLOOKUP($A24,'ESA Calculations 2324 Supp'!$A$4:$AE$34,18,FALSE)-VLOOKUP($A24,'ESA Calculations 2324 Supp'!$A$4:$AE$34,10,FALSE),VLOOKUP($A24,EnrollData2324,'2324 Jun 24 Enroll'!I$1,FALSE)+VLOOKUP($A24,EnrollData2324,'2324 Jun 24 Enroll'!M$1,FALSE)-VLOOKUP($A24,EnrollData2324,'2324 Jun 24 Enroll'!J$1,FALSE),VLOOKUP($A24,'ESA Calculations 2324 Supp'!$A$4:$AE$34,9,FALSE)+VLOOKUP($A24,'ESA Calculations 2324 Supp'!$A$4:$AE$34,18,FALSE)-VLOOKUP($A24,'ESA Calculations 2324 Supp'!$A$4:$AE$34,10,FALSE))*Apport_216A2324s,3)</f>
        <v>11.786</v>
      </c>
      <c r="J24">
        <f>ROUND(SUM(D24:I24)/IF(VLOOKUP($A24,EnrollData2324,'2324 Jun 24 Enroll'!M$1,FALSE)+VLOOKUP($A24,EnrollData2324,'2324 Jun 24 Enroll'!D$1,FALSE)=VLOOKUP($A24,'ESA Calculations 2324 Supp'!$A$4:$AE$34,18,FALSE)+VLOOKUP($A24,'ESA Calculations 2324 Supp'!$A$4:$AE$34,4,FALSE),VLOOKUP($A24,EnrollData2324,'2324 Jun 24 Enroll'!M$1,FALSE)+VLOOKUP($A24,EnrollData2324,'2324 Jun 24 Enroll'!D$1,FALSE),VLOOKUP($A24,'ESA Calculations 2324 Supp'!$A$4:$AE$34,18,FALSE)+VLOOKUP($A24,'ESA Calculations 2324 Supp'!$A$4:$AE$34,4,FALSE)),5)</f>
        <v>5.6329999999999998E-2</v>
      </c>
      <c r="K24" s="11">
        <f t="shared" si="1"/>
        <v>4.3699999999999998E-3</v>
      </c>
      <c r="L24">
        <f>ROUND(IF(VLOOKUP($A24,EnrollData2324,'2324 Jun 24 Enroll'!D$1,FALSE)=VLOOKUP($A24,'ESA Calculations 2324 Supp'!$A$4:$AE$34,4,FALSE),VLOOKUP($A24,EnrollData2324,'2324 Jun 24 Enroll'!D$1,FALSE),VLOOKUP($A24,'ESA Calculations 2324 Supp'!$A$4:$AE$34,4,FALSE))*K24,3)</f>
        <v>0</v>
      </c>
      <c r="M24">
        <f>ROUND(IF(VLOOKUP($A24,EnrollData2324,'2324 Jun 24 Enroll'!E$1,FALSE)=VLOOKUP($A24,'ESA Calculations 2324 Supp'!$A$4:$AE$34,5,FALSE),VLOOKUP($A24,EnrollData2324,'2324 Jun 24 Enroll'!E$1,FALSE),VLOOKUP($A24,'ESA Calculations 2324 Supp'!$A$4:$AE$34,5,FALSE))*K24,3)</f>
        <v>0.97199999999999998</v>
      </c>
      <c r="N24">
        <f>ROUND(IF(VLOOKUP($A24,EnrollData2324,'2324 Jun 24 Enroll'!F$1,FALSE)=VLOOKUP($A24,'ESA Calculations 2324 Supp'!$A$4:$AE$34,6,FALSE),VLOOKUP($A24,EnrollData2324,'2324 Jun 24 Enroll'!F$1,FALSE),VLOOKUP($A24,'ESA Calculations 2324 Supp'!$A$4:$AE$34,6,FALSE))*Apport_223A2324s,3)</f>
        <v>0.26800000000000002</v>
      </c>
      <c r="O24">
        <f>ROUND(IF(VLOOKUP($A24,EnrollData2324,'2324 Jun 24 Enroll'!G$1,FALSE)=VLOOKUP($A24,'ESA Calculations 2324 Supp'!$A$4:$AE$34,7,FALSE),VLOOKUP($A24,EnrollData2324,'2324 Jun 24 Enroll'!G$1,FALSE),VLOOKUP($A24,'ESA Calculations 2324 Supp'!$A$4:$AE$34,7,FALSE))*Apport_211A2324s,3)</f>
        <v>0.46500000000000002</v>
      </c>
      <c r="P24">
        <f>ROUND(IF(VLOOKUP($A24,EnrollData2324,'2324 Jun 24 Enroll'!H$1,FALSE)=VLOOKUP($A24,'ESA Calculations 2324 Supp'!$A$4:$AE$34,8,FALSE),VLOOKUP($A24,EnrollData2324,'2324 Jun 24 Enroll'!H$1,FALSE),VLOOKUP($A24,'ESA Calculations 2324 Supp'!$A$4:$AE$34,8,FALSE))*Apport_214A2324s,3)</f>
        <v>0.45400000000000001</v>
      </c>
      <c r="Q24">
        <f>ROUND(IF(VLOOKUP($A24,EnrollData2324,'2324 Jun 24 Enroll'!I$1,FALSE)+VLOOKUP($A24,EnrollData2324,'2324 Jun 24 Enroll'!M$1,FALSE)-VLOOKUP($A24,EnrollData2324,'2324 Jun 24 Enroll'!J$1,FALSE)=VLOOKUP($A24,'ESA Calculations 2324 Supp'!$A$4:$AE$34,9,FALSE)+VLOOKUP($A24,'ESA Calculations 2324 Supp'!$A$4:$AE$34,18,FALSE)-VLOOKUP($A24,'ESA Calculations 2324 Supp'!$A$4:$AE$34,10,FALSE),VLOOKUP($A24,EnrollData2324,'2324 Jun 24 Enroll'!I$1,FALSE)+VLOOKUP($A24,EnrollData2324,'2324 Jun 24 Enroll'!M$1,FALSE)-VLOOKUP($A24,EnrollData2324,'2324 Jun 24 Enroll'!J$1,FALSE),VLOOKUP($A24,'ESA Calculations 2324 Supp'!$A$4:$AE$34,9,FALSE)+VLOOKUP($A24,'ESA Calculations 2324 Supp'!$A$4:$AE$34,18,FALSE)-VLOOKUP($A24,'ESA Calculations 2324 Supp'!$A$4:$AE$34,10,FALSE))*Apport_217A2324s,3)</f>
        <v>0.95199999999999996</v>
      </c>
      <c r="R24">
        <f>ROUND(SUM(L24:Q24)/IF(VLOOKUP($A24,EnrollData2324,'2324 Jun 24 Enroll'!M$1,FALSE)+VLOOKUP($A24,EnrollData2324,'2324 Jun 24 Enroll'!D$1,FALSE)=VLOOKUP($A24,'ESA Calculations 2324 Supp'!$A$4:$AE$34,18,FALSE)+VLOOKUP($A24,'ESA Calculations 2324 Supp'!$A$4:$AE$34,4,FALSE),VLOOKUP($A24,EnrollData2324,'2324 Jun 24 Enroll'!M$1,FALSE)+VLOOKUP($A24,EnrollData2324,'2324 Jun 24 Enroll'!D$1,FALSE),VLOOKUP($A24,'ESA Calculations 2324 Supp'!$A$4:$AE$34,18,FALSE)+VLOOKUP($A24,'ESA Calculations 2324 Supp'!$A$4:$AE$34,4,FALSE)),5)</f>
        <v>4.1399999999999996E-3</v>
      </c>
      <c r="S24" s="11">
        <f t="shared" si="2"/>
        <v>1.8689600000000001E-2</v>
      </c>
      <c r="T24">
        <f>ROUND(IF(VLOOKUP($A24,EnrollData2324,'2324 Jun 24 Enroll'!D$1,FALSE)=VLOOKUP($A24,'ESA Calculations 2324 Supp'!$A$4:$AE$34,4,FALSE),VLOOKUP($A24,EnrollData2324,'2324 Jun 24 Enroll'!D$1,FALSE),VLOOKUP($A24,'ESA Calculations 2324 Supp'!$A$4:$AE$34,4,FALSE))*S24,3)</f>
        <v>0</v>
      </c>
      <c r="U24">
        <f>ROUND(IF(VLOOKUP($A24,EnrollData2324,'2324 Jun 24 Enroll'!E$1,FALSE)=VLOOKUP($A24,'ESA Calculations 2324 Supp'!$A$4:$AE$34,5,FALSE),VLOOKUP($A24,EnrollData2324,'2324 Jun 24 Enroll'!E$1,FALSE),VLOOKUP($A24,'ESA Calculations 2324 Supp'!$A$4:$AE$34,5,FALSE))*S24,3)</f>
        <v>4.1559999999999997</v>
      </c>
      <c r="V24">
        <f>ROUND(IF(VLOOKUP($A24,EnrollData2324,'2324 Jun 24 Enroll'!F$1,FALSE)=VLOOKUP($A24,'ESA Calculations 2324 Supp'!$A$4:$AE$34,6,FALSE),VLOOKUP($A24,EnrollData2324,'2324 Jun 24 Enroll'!F$1,FALSE),VLOOKUP($A24,'ESA Calculations 2324 Supp'!$A$4:$AE$34,6,FALSE))*Apport_224A2324s,3)</f>
        <v>1.177</v>
      </c>
      <c r="W24">
        <f>ROUND(IF(VLOOKUP($A24,EnrollData2324,'2324 Jun 24 Enroll'!G$1,FALSE)=VLOOKUP($A24,'ESA Calculations 2324 Supp'!$A$4:$AE$34,7,FALSE),VLOOKUP($A24,EnrollData2324,'2324 Jun 24 Enroll'!G$1,FALSE),VLOOKUP($A24,'ESA Calculations 2324 Supp'!$A$4:$AE$34,7,FALSE))*Apport_212A2324s,3)</f>
        <v>2.04</v>
      </c>
      <c r="X24">
        <f>ROUND(IF(VLOOKUP($A24,EnrollData2324,'2324 Jun 24 Enroll'!H$1,FALSE)=VLOOKUP($A24,'ESA Calculations 2324 Supp'!$A$4:$AE$34,8,FALSE),VLOOKUP($A24,EnrollData2324,'2324 Jun 24 Enroll'!H$1,FALSE),VLOOKUP($A24,'ESA Calculations 2324 Supp'!$A$4:$AE$34,8,FALSE))*Apport_215A2324s,3)</f>
        <v>1.968</v>
      </c>
      <c r="Y24">
        <f>ROUND(IF(VLOOKUP($A24,EnrollData2324,'2324 Jun 24 Enroll'!I$1,FALSE)+VLOOKUP($A24,EnrollData2324,'2324 Jun 24 Enroll'!M$1,FALSE)-VLOOKUP($A24,EnrollData2324,'2324 Jun 24 Enroll'!J$1,FALSE)=VLOOKUP($A24,'ESA Calculations 2324 Supp'!$A$4:$AE$34,9,FALSE)+VLOOKUP($A24,'ESA Calculations 2324 Supp'!$A$4:$AE$34,18,FALSE)-VLOOKUP($A24,'ESA Calculations 2324 Supp'!$A$4:$AE$34,10,FALSE),VLOOKUP($A24,EnrollData2324,'2324 Jun 24 Enroll'!I$1,FALSE)+VLOOKUP($A24,EnrollData2324,'2324 Jun 24 Enroll'!M$1,FALSE)-VLOOKUP($A24,EnrollData2324,'2324 Jun 24 Enroll'!J$1,FALSE),VLOOKUP($A24,'ESA Calculations 2324 Supp'!$A$4:$AE$34,9,FALSE)+VLOOKUP($A24,'ESA Calculations 2324 Supp'!$A$4:$AE$34,18,FALSE)-VLOOKUP($A24,'ESA Calculations 2324 Supp'!$A$4:$AE$34,10,FALSE))*Apport_218A2324s,3)</f>
        <v>4.0970000000000004</v>
      </c>
      <c r="Z24">
        <f>ROUND(SUM(T24:Y24)/IF(VLOOKUP($A24,EnrollData2324,'2324 Jun 24 Enroll'!M$1,FALSE)+VLOOKUP($A24,EnrollData2324,'2324 Jun 24 Enroll'!D$1,FALSE)=VLOOKUP($A24,'ESA Calculations 2324 Supp'!$A$4:$AE$34,18,FALSE)+VLOOKUP($A24,'ESA Calculations 2324 Supp'!$A$4:$AE$34,4,FALSE),VLOOKUP($A24,EnrollData2324,'2324 Jun 24 Enroll'!M$1,FALSE)+VLOOKUP($A24,EnrollData2324,'2324 Jun 24 Enroll'!D$1,FALSE),VLOOKUP($A24,'ESA Calculations 2324 Supp'!$A$4:$AE$34,18,FALSE)+VLOOKUP($A24,'ESA Calculations 2324 Supp'!$A$4:$AE$34,4,FALSE)),5)</f>
        <v>1.787E-2</v>
      </c>
      <c r="AA24" s="6" cm="1">
        <f t="array" ref="AA24">ROUND($J24*CIS_Base_Salary2324s*VLOOKUP($A24,EnrollData2324,'2324 Jun 24 Enroll'!S$1,FALSE),2)</f>
        <v>4096.7700000000004</v>
      </c>
      <c r="AB24" s="6" cm="1">
        <f t="array" ref="AB24">ROUND($J24*CIS_Inc_Salary2324s*(VLOOKUP($A24,EnrollData2324,'2324 Jun 24 Enroll'!T$1,FALSE)+VLOOKUP($A24,EnrollData2324,'2324 Jun 24 Enroll'!U$1,FALSE)),2)-AA24</f>
        <v>151.57999999999993</v>
      </c>
      <c r="AC24" s="6" cm="1">
        <f t="array" ref="AC24">ROUND($R24*CAS_Base_Salary2324s*VLOOKUP($A24,EnrollData2324,'2324 Jun 24 Enroll'!S$1,FALSE),2)</f>
        <v>446.93</v>
      </c>
      <c r="AD24" s="6" cm="1">
        <f t="array" ref="AD24">ROUND($R24*CAS_Inc_Salary2324s*VLOOKUP($A24,EnrollData2324,'2324 Jun 24 Enroll'!T$1,FALSE),2)-AC24</f>
        <v>16.54000000000002</v>
      </c>
      <c r="AE24" s="6" cm="1">
        <f t="array" ref="AE24">ROUND($Z24*CLS_Base_Salary2324s*VLOOKUP($A24,EnrollData2324,'2324 Jun 24 Enroll'!S$1,FALSE),2)</f>
        <v>932.33</v>
      </c>
      <c r="AF24" s="6" cm="1">
        <f t="array" ref="AF24">ROUND($Z24*CLS_Inc_Salary2324s*VLOOKUP($A24,EnrollData2324,'2324 Jun 24 Enroll'!T$1,FALSE),2)-AE24</f>
        <v>34.490000000000009</v>
      </c>
      <c r="AG24" cm="1">
        <f t="array" ref="AG24">ROUND(($J24+$R24)*Apport_124X2324s,2)</f>
        <v>744.51</v>
      </c>
      <c r="AH24" s="69">
        <f t="shared" si="3"/>
        <v>69.659999999999968</v>
      </c>
      <c r="AI24" cm="1">
        <f t="array" ref="AI24">ROUND($Z24*Apport_124X2324s,2)</f>
        <v>220.02</v>
      </c>
      <c r="AJ24" cm="1">
        <f t="array" ref="AJ24">ROUND($Z24*Apport_621X2324s*Apport_125X2324s,2)-AI24</f>
        <v>117.28999999999999</v>
      </c>
      <c r="AK24" cm="1">
        <f t="array" ref="AK24">ROUND((AA24+AC24)*Apport_126X2324s,2)</f>
        <v>816.5</v>
      </c>
      <c r="AL24" cm="1">
        <f t="array" ref="AL24">ROUND((AB24+AD24)*Apport_127X2324s,2)</f>
        <v>29.14</v>
      </c>
      <c r="AM24" cm="1">
        <f t="array" ref="AM24">ROUND(AE24*Apport_128X2324s,2)</f>
        <v>205.67</v>
      </c>
      <c r="AN24" cm="1">
        <f t="array" ref="AN24">ROUND(AF24*Apport_129X2324s,2)</f>
        <v>6.4</v>
      </c>
      <c r="AO24" cm="1">
        <f t="array" ref="AO24">ROUND(($J24*CIS_Inc_Salary2324s*(VLOOKUP($A24,EnrollData2324,'2324 Jun 24 Enroll'!T$1,FALSE)+VLOOKUP($A24,EnrollData2324,'2324 Jun 24 Enroll'!U$1,FALSE))/Apport_613Xpd)*Apport_614Xpd,2)</f>
        <v>70.81</v>
      </c>
      <c r="AP24" cm="1">
        <f t="array" ref="AP24">ROUND(AO24*Apport_127X2324s,2)</f>
        <v>12.27</v>
      </c>
      <c r="AQ24">
        <f t="shared" si="4"/>
        <v>31.38</v>
      </c>
      <c r="AR24" s="6" cm="1">
        <f t="array" ref="AR24">ROUND((IF(VLOOKUP($A24,EnrollData2324,'2324 Jun 24 Enroll'!D$1,FALSE)=VLOOKUP($A24,'ESA Calculations 2324 Supp'!$A$4:$AE$34,4,FALSE),VLOOKUP($A24,EnrollData2324,'2324 Jun 24 Enroll'!D$1,FALSE),VLOOKUP($A24,'ESA Calculations 2324 Supp'!$A$4:$AE$34,4,FALSE))*Apport_M802324s+IF(VLOOKUP($A24,EnrollData2324,'2324 Jun 24 Enroll'!M$1,FALSE)=VLOOKUP($A24,'ESA Calculations 2324 Supp'!$A$4:$AE$34,18,FALSE),VLOOKUP($A24,EnrollData2324,'2324 Jun 24 Enroll'!M$1,FALSE),VLOOKUP($A24,'ESA Calculations 2324 Supp'!$A$4:$AE$34,18,FALSE))*Apport_M802324s+IF((VLOOKUP($A24,EnrollData2324,'2324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Enroll'!L$1,FALSE))=VLOOKUP($A24,EnrollData2324,'2324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Enroll'!L$1,FALSE),(VLOOKUP($A24,EnrollData2324,'2324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Enroll'!L$1,FALSE)),(VLOOKUP($A24,EnrollData2324,'2324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Enroll'!L$1,FALSE)))*Apport_M812324s)/(IF(VLOOKUP($A24,EnrollData2324,'2324 Jun 24 Enroll'!M$1,FALSE)=VLOOKUP($A24,'ESA Calculations 2324 Supp'!$A$4:$AE$34,18,FALSE),VLOOKUP($A24,EnrollData2324,'2324 Jun 24 Enroll'!M$1,FALSE),VLOOKUP($A24,'ESA Calculations 2324 Supp'!$A$4:$AE$34,18,FALSE))+IF(VLOOKUP($A24,EnrollData2324,'2324 Jun 24 Enroll'!D$1,FALSE)=VLOOKUP($A24,'ESA Calculations 2324 Supp'!$A$4:$AE$34,4,FALSE),VLOOKUP($A24,EnrollData2324,'2324 Jun 24 Enroll'!D$1,FALSE),VLOOKUP($A24,'ESA Calculations 2324 Supp'!$A$4:$AE$34,4,FALSE))),2)</f>
        <v>1567.04</v>
      </c>
      <c r="AS24" s="7">
        <f t="shared" si="5"/>
        <v>9569.3300000000017</v>
      </c>
      <c r="AT24" s="6">
        <f>IF(VLOOKUP($A24,EnrollData2324,'2324 Jun 24 Enroll'!AA$1,FALSE)=VLOOKUP($A24,'ESA Calculations 2324 Supp'!$A$4:$AE$34,24,FALSE),VLOOKUP($A24,EnrollData2324,'2324 Jun 24 Enroll'!AA$1,FALSE),VLOOKUP($A24,'ESA Calculations 2324 Supp'!$A$4:$AE$34,24,FALSE))</f>
        <v>751.97</v>
      </c>
    </row>
    <row r="25" spans="1:46">
      <c r="A25" s="40" t="s">
        <v>649</v>
      </c>
      <c r="B25" s="40" t="s">
        <v>650</v>
      </c>
      <c r="C25" s="11">
        <f>ROUND((IFERROR((1/IF(VLOOKUP($A25,EnrollData2324,28,FALSE)=VLOOKUP($A25,'ESA Calculations 2324 Supp'!$A$4:$AE$34,3,FALSE),VLOOKUP($A25,EnrollData2324,28,FALSE),VLOOKUP($A25,'ESA Calculations 2324 Supp'!$A$4:$AE$34,3,FALSE)))*(1+Apport_Z315),0))+Apport_201A2324s,6)</f>
        <v>7.0250000000000007E-2</v>
      </c>
      <c r="D25">
        <f>ROUND(IF(VLOOKUP($A25,EnrollData2324,'2324 Jun 24 Enroll'!D$1,FALSE)=VLOOKUP($A25,'ESA Calculations 2324 Supp'!$A$4:$AE$34,4,FALSE),VLOOKUP($A25,EnrollData2324,'2324 Jun 24 Enroll'!D$1,FALSE),VLOOKUP($A25,'ESA Calculations 2324 Supp'!$A$4:$AE$34,4,FALSE))*C25,3)</f>
        <v>0.97599999999999998</v>
      </c>
      <c r="E25">
        <f>ROUND(IF(VLOOKUP($A25,EnrollData2324,'2324 Jun 24 Enroll'!E$1,FALSE)=VLOOKUP($A25,'ESA Calculations 2324 Supp'!$A$4:$AE$34,5,FALSE),VLOOKUP($A25,EnrollData2324,'2324 Jun 24 Enroll'!E$1,FALSE),VLOOKUP($A25,'ESA Calculations 2324 Supp'!$A$4:$AE$34,5,FALSE))*C25,3)</f>
        <v>18.690999999999999</v>
      </c>
      <c r="F25">
        <f>ROUND(IF(VLOOKUP($A25,EnrollData2324,'2324 Jun 24 Enroll'!F$1,FALSE)=VLOOKUP($A25,'ESA Calculations 2324 Supp'!$A$4:$AE$34,6,FALSE),VLOOKUP($A25,EnrollData2324,'2324 Jun 24 Enroll'!F$1,FALSE),VLOOKUP($A25,'ESA Calculations 2324 Supp'!$A$4:$AE$34,6,FALSE))*Apport_222A2324s,3)</f>
        <v>3.3330000000000002</v>
      </c>
      <c r="G25">
        <f>ROUND(IF(VLOOKUP($A25,EnrollData2324,'2324 Jun 24 Enroll'!G$1,FALSE)=VLOOKUP($A25,'ESA Calculations 2324 Supp'!$A$4:$AE$34,7,FALSE),VLOOKUP($A25,EnrollData2324,'2324 Jun 24 Enroll'!G$1,FALSE),VLOOKUP($A25,'ESA Calculations 2324 Supp'!$A$4:$AE$34,7,FALSE))*Apport_210A2324s,3)</f>
        <v>6.0970000000000004</v>
      </c>
      <c r="H25">
        <f>ROUND(IF(VLOOKUP($A25,EnrollData2324,'2324 Jun 24 Enroll'!H$1,FALSE)=VLOOKUP($A25,'ESA Calculations 2324 Supp'!$A$4:$AE$34,8,FALSE),VLOOKUP($A25,EnrollData2324,'2324 Jun 24 Enroll'!H$1,FALSE),VLOOKUP($A25,'ESA Calculations 2324 Supp'!$A$4:$AE$34,8,FALSE))*Apport_213A2324s,3)</f>
        <v>7.4059999999999997</v>
      </c>
      <c r="I25">
        <f>ROUND(IF(VLOOKUP($A25,EnrollData2324,'2324 Jun 24 Enroll'!I$1,FALSE)+VLOOKUP($A25,EnrollData2324,'2324 Jun 24 Enroll'!M$1,FALSE)-VLOOKUP($A25,EnrollData2324,'2324 Jun 24 Enroll'!J$1,FALSE)=VLOOKUP($A25,'ESA Calculations 2324 Supp'!$A$4:$AE$34,9,FALSE)+VLOOKUP($A25,'ESA Calculations 2324 Supp'!$A$4:$AE$34,18,FALSE)-VLOOKUP($A25,'ESA Calculations 2324 Supp'!$A$4:$AE$34,10,FALSE),VLOOKUP($A25,EnrollData2324,'2324 Jun 24 Enroll'!I$1,FALSE)+VLOOKUP($A25,EnrollData2324,'2324 Jun 24 Enroll'!M$1,FALSE)-VLOOKUP($A25,EnrollData2324,'2324 Jun 24 Enroll'!J$1,FALSE),VLOOKUP($A25,'ESA Calculations 2324 Supp'!$A$4:$AE$34,9,FALSE)+VLOOKUP($A25,'ESA Calculations 2324 Supp'!$A$4:$AE$34,18,FALSE)-VLOOKUP($A25,'ESA Calculations 2324 Supp'!$A$4:$AE$34,10,FALSE))*Apport_216A2324s,3)</f>
        <v>18.257999999999999</v>
      </c>
      <c r="J25">
        <f>ROUND(SUM(D25:I25)/IF(VLOOKUP($A25,EnrollData2324,'2324 Jun 24 Enroll'!M$1,FALSE)+VLOOKUP($A25,EnrollData2324,'2324 Jun 24 Enroll'!D$1,FALSE)=VLOOKUP($A25,'ESA Calculations 2324 Supp'!$A$4:$AE$34,18,FALSE)+VLOOKUP($A25,'ESA Calculations 2324 Supp'!$A$4:$AE$34,4,FALSE),VLOOKUP($A25,EnrollData2324,'2324 Jun 24 Enroll'!M$1,FALSE)+VLOOKUP($A25,EnrollData2324,'2324 Jun 24 Enroll'!D$1,FALSE),VLOOKUP($A25,'ESA Calculations 2324 Supp'!$A$4:$AE$34,18,FALSE)+VLOOKUP($A25,'ESA Calculations 2324 Supp'!$A$4:$AE$34,4,FALSE)),5)</f>
        <v>5.518E-2</v>
      </c>
      <c r="K25" s="11">
        <f t="shared" si="1"/>
        <v>4.3270000000000001E-3</v>
      </c>
      <c r="L25">
        <f>ROUND(IF(VLOOKUP($A25,EnrollData2324,'2324 Jun 24 Enroll'!D$1,FALSE)=VLOOKUP($A25,'ESA Calculations 2324 Supp'!$A$4:$AE$34,4,FALSE),VLOOKUP($A25,EnrollData2324,'2324 Jun 24 Enroll'!D$1,FALSE),VLOOKUP($A25,'ESA Calculations 2324 Supp'!$A$4:$AE$34,4,FALSE))*K25,3)</f>
        <v>0.06</v>
      </c>
      <c r="M25">
        <f>ROUND(IF(VLOOKUP($A25,EnrollData2324,'2324 Jun 24 Enroll'!E$1,FALSE)=VLOOKUP($A25,'ESA Calculations 2324 Supp'!$A$4:$AE$34,5,FALSE),VLOOKUP($A25,EnrollData2324,'2324 Jun 24 Enroll'!E$1,FALSE),VLOOKUP($A25,'ESA Calculations 2324 Supp'!$A$4:$AE$34,5,FALSE))*K25,3)</f>
        <v>1.151</v>
      </c>
      <c r="N25">
        <f>ROUND(IF(VLOOKUP($A25,EnrollData2324,'2324 Jun 24 Enroll'!F$1,FALSE)=VLOOKUP($A25,'ESA Calculations 2324 Supp'!$A$4:$AE$34,6,FALSE),VLOOKUP($A25,EnrollData2324,'2324 Jun 24 Enroll'!F$1,FALSE),VLOOKUP($A25,'ESA Calculations 2324 Supp'!$A$4:$AE$34,6,FALSE))*Apport_223A2324s,3)</f>
        <v>0.27800000000000002</v>
      </c>
      <c r="O25">
        <f>ROUND(IF(VLOOKUP($A25,EnrollData2324,'2324 Jun 24 Enroll'!G$1,FALSE)=VLOOKUP($A25,'ESA Calculations 2324 Supp'!$A$4:$AE$34,7,FALSE),VLOOKUP($A25,EnrollData2324,'2324 Jun 24 Enroll'!G$1,FALSE),VLOOKUP($A25,'ESA Calculations 2324 Supp'!$A$4:$AE$34,7,FALSE))*Apport_211A2324s,3)</f>
        <v>0.50900000000000001</v>
      </c>
      <c r="P25">
        <f>ROUND(IF(VLOOKUP($A25,EnrollData2324,'2324 Jun 24 Enroll'!H$1,FALSE)=VLOOKUP($A25,'ESA Calculations 2324 Supp'!$A$4:$AE$34,8,FALSE),VLOOKUP($A25,EnrollData2324,'2324 Jun 24 Enroll'!H$1,FALSE),VLOOKUP($A25,'ESA Calculations 2324 Supp'!$A$4:$AE$34,8,FALSE))*Apport_214A2324s,3)</f>
        <v>0.61599999999999999</v>
      </c>
      <c r="Q25">
        <f>ROUND(IF(VLOOKUP($A25,EnrollData2324,'2324 Jun 24 Enroll'!I$1,FALSE)+VLOOKUP($A25,EnrollData2324,'2324 Jun 24 Enroll'!M$1,FALSE)-VLOOKUP($A25,EnrollData2324,'2324 Jun 24 Enroll'!J$1,FALSE)=VLOOKUP($A25,'ESA Calculations 2324 Supp'!$A$4:$AE$34,9,FALSE)+VLOOKUP($A25,'ESA Calculations 2324 Supp'!$A$4:$AE$34,18,FALSE)-VLOOKUP($A25,'ESA Calculations 2324 Supp'!$A$4:$AE$34,10,FALSE),VLOOKUP($A25,EnrollData2324,'2324 Jun 24 Enroll'!I$1,FALSE)+VLOOKUP($A25,EnrollData2324,'2324 Jun 24 Enroll'!M$1,FALSE)-VLOOKUP($A25,EnrollData2324,'2324 Jun 24 Enroll'!J$1,FALSE),VLOOKUP($A25,'ESA Calculations 2324 Supp'!$A$4:$AE$34,9,FALSE)+VLOOKUP($A25,'ESA Calculations 2324 Supp'!$A$4:$AE$34,18,FALSE)-VLOOKUP($A25,'ESA Calculations 2324 Supp'!$A$4:$AE$34,10,FALSE))*Apport_217A2324s,3)</f>
        <v>1.4750000000000001</v>
      </c>
      <c r="R25">
        <f>ROUND(SUM(L25:Q25)/IF(VLOOKUP($A25,EnrollData2324,'2324 Jun 24 Enroll'!M$1,FALSE)+VLOOKUP($A25,EnrollData2324,'2324 Jun 24 Enroll'!D$1,FALSE)=VLOOKUP($A25,'ESA Calculations 2324 Supp'!$A$4:$AE$34,18,FALSE)+VLOOKUP($A25,'ESA Calculations 2324 Supp'!$A$4:$AE$34,4,FALSE),VLOOKUP($A25,EnrollData2324,'2324 Jun 24 Enroll'!M$1,FALSE)+VLOOKUP($A25,EnrollData2324,'2324 Jun 24 Enroll'!D$1,FALSE),VLOOKUP($A25,'ESA Calculations 2324 Supp'!$A$4:$AE$34,18,FALSE)+VLOOKUP($A25,'ESA Calculations 2324 Supp'!$A$4:$AE$34,4,FALSE)),5)</f>
        <v>4.1200000000000004E-3</v>
      </c>
      <c r="S25" s="11">
        <f t="shared" si="2"/>
        <v>1.8563199999999998E-2</v>
      </c>
      <c r="T25">
        <f>ROUND(IF(VLOOKUP($A25,EnrollData2324,'2324 Jun 24 Enroll'!D$1,FALSE)=VLOOKUP($A25,'ESA Calculations 2324 Supp'!$A$4:$AE$34,4,FALSE),VLOOKUP($A25,EnrollData2324,'2324 Jun 24 Enroll'!D$1,FALSE),VLOOKUP($A25,'ESA Calculations 2324 Supp'!$A$4:$AE$34,4,FALSE))*S25,3)</f>
        <v>0.25800000000000001</v>
      </c>
      <c r="U25">
        <f>ROUND(IF(VLOOKUP($A25,EnrollData2324,'2324 Jun 24 Enroll'!E$1,FALSE)=VLOOKUP($A25,'ESA Calculations 2324 Supp'!$A$4:$AE$34,5,FALSE),VLOOKUP($A25,EnrollData2324,'2324 Jun 24 Enroll'!E$1,FALSE),VLOOKUP($A25,'ESA Calculations 2324 Supp'!$A$4:$AE$34,5,FALSE))*S25,3)</f>
        <v>4.9390000000000001</v>
      </c>
      <c r="V25">
        <f>ROUND(IF(VLOOKUP($A25,EnrollData2324,'2324 Jun 24 Enroll'!F$1,FALSE)=VLOOKUP($A25,'ESA Calculations 2324 Supp'!$A$4:$AE$34,6,FALSE),VLOOKUP($A25,EnrollData2324,'2324 Jun 24 Enroll'!F$1,FALSE),VLOOKUP($A25,'ESA Calculations 2324 Supp'!$A$4:$AE$34,6,FALSE))*Apport_224A2324s,3)</f>
        <v>1.222</v>
      </c>
      <c r="W25">
        <f>ROUND(IF(VLOOKUP($A25,EnrollData2324,'2324 Jun 24 Enroll'!G$1,FALSE)=VLOOKUP($A25,'ESA Calculations 2324 Supp'!$A$4:$AE$34,7,FALSE),VLOOKUP($A25,EnrollData2324,'2324 Jun 24 Enroll'!G$1,FALSE),VLOOKUP($A25,'ESA Calculations 2324 Supp'!$A$4:$AE$34,7,FALSE))*Apport_212A2324s,3)</f>
        <v>2.2349999999999999</v>
      </c>
      <c r="X25">
        <f>ROUND(IF(VLOOKUP($A25,EnrollData2324,'2324 Jun 24 Enroll'!H$1,FALSE)=VLOOKUP($A25,'ESA Calculations 2324 Supp'!$A$4:$AE$34,8,FALSE),VLOOKUP($A25,EnrollData2324,'2324 Jun 24 Enroll'!H$1,FALSE),VLOOKUP($A25,'ESA Calculations 2324 Supp'!$A$4:$AE$34,8,FALSE))*Apport_215A2324s,3)</f>
        <v>2.669</v>
      </c>
      <c r="Y25">
        <f>ROUND(IF(VLOOKUP($A25,EnrollData2324,'2324 Jun 24 Enroll'!I$1,FALSE)+VLOOKUP($A25,EnrollData2324,'2324 Jun 24 Enroll'!M$1,FALSE)-VLOOKUP($A25,EnrollData2324,'2324 Jun 24 Enroll'!J$1,FALSE)=VLOOKUP($A25,'ESA Calculations 2324 Supp'!$A$4:$AE$34,9,FALSE)+VLOOKUP($A25,'ESA Calculations 2324 Supp'!$A$4:$AE$34,18,FALSE)-VLOOKUP($A25,'ESA Calculations 2324 Supp'!$A$4:$AE$34,10,FALSE),VLOOKUP($A25,EnrollData2324,'2324 Jun 24 Enroll'!I$1,FALSE)+VLOOKUP($A25,EnrollData2324,'2324 Jun 24 Enroll'!M$1,FALSE)-VLOOKUP($A25,EnrollData2324,'2324 Jun 24 Enroll'!J$1,FALSE),VLOOKUP($A25,'ESA Calculations 2324 Supp'!$A$4:$AE$34,9,FALSE)+VLOOKUP($A25,'ESA Calculations 2324 Supp'!$A$4:$AE$34,18,FALSE)-VLOOKUP($A25,'ESA Calculations 2324 Supp'!$A$4:$AE$34,10,FALSE))*Apport_218A2324s,3)</f>
        <v>6.3460000000000001</v>
      </c>
      <c r="Z25">
        <f>ROUND(SUM(T25:Y25)/IF(VLOOKUP($A25,EnrollData2324,'2324 Jun 24 Enroll'!M$1,FALSE)+VLOOKUP($A25,EnrollData2324,'2324 Jun 24 Enroll'!D$1,FALSE)=VLOOKUP($A25,'ESA Calculations 2324 Supp'!$A$4:$AE$34,18,FALSE)+VLOOKUP($A25,'ESA Calculations 2324 Supp'!$A$4:$AE$34,4,FALSE),VLOOKUP($A25,EnrollData2324,'2324 Jun 24 Enroll'!M$1,FALSE)+VLOOKUP($A25,EnrollData2324,'2324 Jun 24 Enroll'!D$1,FALSE),VLOOKUP($A25,'ESA Calculations 2324 Supp'!$A$4:$AE$34,18,FALSE)+VLOOKUP($A25,'ESA Calculations 2324 Supp'!$A$4:$AE$34,4,FALSE)),5)</f>
        <v>1.7809999999999999E-2</v>
      </c>
      <c r="AA25" s="6" cm="1">
        <f t="array" ref="AA25">ROUND($J25*CIS_Base_Salary2324s*VLOOKUP($A25,EnrollData2324,'2324 Jun 24 Enroll'!S$1,FALSE),2)</f>
        <v>4013.13</v>
      </c>
      <c r="AB25" s="6" cm="1">
        <f t="array" ref="AB25">ROUND($J25*CIS_Inc_Salary2324s*(VLOOKUP($A25,EnrollData2324,'2324 Jun 24 Enroll'!T$1,FALSE)+VLOOKUP($A25,EnrollData2324,'2324 Jun 24 Enroll'!U$1,FALSE)),2)-AA25</f>
        <v>148.48999999999978</v>
      </c>
      <c r="AC25" s="6" cm="1">
        <f t="array" ref="AC25">ROUND($R25*CAS_Base_Salary2324s*VLOOKUP($A25,EnrollData2324,'2324 Jun 24 Enroll'!S$1,FALSE),2)</f>
        <v>444.77</v>
      </c>
      <c r="AD25" s="6" cm="1">
        <f t="array" ref="AD25">ROUND($R25*CAS_Inc_Salary2324s*VLOOKUP($A25,EnrollData2324,'2324 Jun 24 Enroll'!T$1,FALSE),2)-AC25</f>
        <v>16.460000000000036</v>
      </c>
      <c r="AE25" s="6" cm="1">
        <f t="array" ref="AE25">ROUND($Z25*CLS_Base_Salary2324s*VLOOKUP($A25,EnrollData2324,'2324 Jun 24 Enroll'!S$1,FALSE),2)</f>
        <v>929.2</v>
      </c>
      <c r="AF25" s="6" cm="1">
        <f t="array" ref="AF25">ROUND($Z25*CLS_Inc_Salary2324s*VLOOKUP($A25,EnrollData2324,'2324 Jun 24 Enroll'!T$1,FALSE),2)-AE25</f>
        <v>34.370000000000005</v>
      </c>
      <c r="AG25" cm="1">
        <f t="array" ref="AG25">ROUND(($J25+$R25)*Apport_124X2324s,2)</f>
        <v>730.1</v>
      </c>
      <c r="AH25" s="69">
        <f t="shared" si="3"/>
        <v>68.319999999999936</v>
      </c>
      <c r="AI25" cm="1">
        <f t="array" ref="AI25">ROUND($Z25*Apport_124X2324s,2)</f>
        <v>219.28</v>
      </c>
      <c r="AJ25" cm="1">
        <f t="array" ref="AJ25">ROUND($Z25*Apport_621X2324s*Apport_125X2324s,2)-AI25</f>
        <v>116.9</v>
      </c>
      <c r="AK25" cm="1">
        <f t="array" ref="AK25">ROUND((AA25+AC25)*Apport_126X2324s,2)</f>
        <v>801.08</v>
      </c>
      <c r="AL25" cm="1">
        <f t="array" ref="AL25">ROUND((AB25+AD25)*Apport_127X2324s,2)</f>
        <v>28.59</v>
      </c>
      <c r="AM25" cm="1">
        <f t="array" ref="AM25">ROUND(AE25*Apport_128X2324s,2)</f>
        <v>204.98</v>
      </c>
      <c r="AN25" cm="1">
        <f t="array" ref="AN25">ROUND(AF25*Apport_129X2324s,2)</f>
        <v>6.38</v>
      </c>
      <c r="AO25" cm="1">
        <f t="array" ref="AO25">ROUND(($J25*CIS_Inc_Salary2324s*(VLOOKUP($A25,EnrollData2324,'2324 Jun 24 Enroll'!T$1,FALSE)+VLOOKUP($A25,EnrollData2324,'2324 Jun 24 Enroll'!U$1,FALSE))/Apport_613Xpd)*Apport_614Xpd,2)</f>
        <v>69.36</v>
      </c>
      <c r="AP25" cm="1">
        <f t="array" ref="AP25">ROUND(AO25*Apport_127X2324s,2)</f>
        <v>12.02</v>
      </c>
      <c r="AQ25">
        <f t="shared" si="4"/>
        <v>30.74</v>
      </c>
      <c r="AR25" s="6" cm="1">
        <f t="array" ref="AR25">ROUND((IF(VLOOKUP($A25,EnrollData2324,'2324 Jun 24 Enroll'!D$1,FALSE)=VLOOKUP($A25,'ESA Calculations 2324 Supp'!$A$4:$AE$34,4,FALSE),VLOOKUP($A25,EnrollData2324,'2324 Jun 24 Enroll'!D$1,FALSE),VLOOKUP($A25,'ESA Calculations 2324 Supp'!$A$4:$AE$34,4,FALSE))*Apport_M802324s+IF(VLOOKUP($A25,EnrollData2324,'2324 Jun 24 Enroll'!M$1,FALSE)=VLOOKUP($A25,'ESA Calculations 2324 Supp'!$A$4:$AE$34,18,FALSE),VLOOKUP($A25,EnrollData2324,'2324 Jun 24 Enroll'!M$1,FALSE),VLOOKUP($A25,'ESA Calculations 2324 Supp'!$A$4:$AE$34,18,FALSE))*Apport_M802324s+IF((VLOOKUP($A25,EnrollData2324,'2324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Enroll'!L$1,FALSE))=VLOOKUP($A25,EnrollData2324,'2324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Enroll'!L$1,FALSE),(VLOOKUP($A25,EnrollData2324,'2324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Enroll'!L$1,FALSE)),(VLOOKUP($A25,EnrollData2324,'2324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Enroll'!L$1,FALSE)))*Apport_M812324s)/(IF(VLOOKUP($A25,EnrollData2324,'2324 Jun 24 Enroll'!M$1,FALSE)=VLOOKUP($A25,'ESA Calculations 2324 Supp'!$A$4:$AE$34,18,FALSE),VLOOKUP($A25,EnrollData2324,'2324 Jun 24 Enroll'!M$1,FALSE),VLOOKUP($A25,'ESA Calculations 2324 Supp'!$A$4:$AE$34,18,FALSE))+IF(VLOOKUP($A25,EnrollData2324,'2324 Jun 24 Enroll'!D$1,FALSE)=VLOOKUP($A25,'ESA Calculations 2324 Supp'!$A$4:$AE$34,4,FALSE),VLOOKUP($A25,EnrollData2324,'2324 Jun 24 Enroll'!D$1,FALSE),VLOOKUP($A25,'ESA Calculations 2324 Supp'!$A$4:$AE$34,4,FALSE))),2)</f>
        <v>1577.93</v>
      </c>
      <c r="AS25" s="7">
        <f t="shared" si="5"/>
        <v>9452.0999999999985</v>
      </c>
      <c r="AT25" s="6">
        <f>IF(VLOOKUP($A25,EnrollData2324,'2324 Jun 24 Enroll'!AA$1,FALSE)=VLOOKUP($A25,'ESA Calculations 2324 Supp'!$A$4:$AE$34,24,FALSE),VLOOKUP($A25,EnrollData2324,'2324 Jun 24 Enroll'!AA$1,FALSE),VLOOKUP($A25,'ESA Calculations 2324 Supp'!$A$4:$AE$34,24,FALSE))</f>
        <v>992.08</v>
      </c>
    </row>
    <row r="26" spans="1:46">
      <c r="A26" s="40" t="s">
        <v>618</v>
      </c>
      <c r="B26" s="40" t="s">
        <v>619</v>
      </c>
      <c r="C26" s="11">
        <f>ROUND((IFERROR((1/IF(VLOOKUP($A26,EnrollData2324,28,FALSE)=VLOOKUP($A26,'ESA Calculations 2324 Supp'!$A$4:$AE$34,3,FALSE),VLOOKUP($A26,EnrollData2324,28,FALSE),VLOOKUP($A26,'ESA Calculations 2324 Supp'!$A$4:$AE$34,3,FALSE)))*(1+Apport_Z315),0))+Apport_201A2324s,6)</f>
        <v>7.2117000000000001E-2</v>
      </c>
      <c r="D26">
        <f>ROUND(IF(VLOOKUP($A26,EnrollData2324,'2324 Jun 24 Enroll'!D$1,FALSE)=VLOOKUP($A26,'ESA Calculations 2324 Supp'!$A$4:$AE$34,4,FALSE),VLOOKUP($A26,EnrollData2324,'2324 Jun 24 Enroll'!D$1,FALSE),VLOOKUP($A26,'ESA Calculations 2324 Supp'!$A$4:$AE$34,4,FALSE))*C26,3)</f>
        <v>0</v>
      </c>
      <c r="E26">
        <f>ROUND(IF(VLOOKUP($A26,EnrollData2324,'2324 Jun 24 Enroll'!E$1,FALSE)=VLOOKUP($A26,'ESA Calculations 2324 Supp'!$A$4:$AE$34,5,FALSE),VLOOKUP($A26,EnrollData2324,'2324 Jun 24 Enroll'!E$1,FALSE),VLOOKUP($A26,'ESA Calculations 2324 Supp'!$A$4:$AE$34,5,FALSE))*C26,3)</f>
        <v>6.0720000000000001</v>
      </c>
      <c r="F26">
        <f>ROUND(IF(VLOOKUP($A26,EnrollData2324,'2324 Jun 24 Enroll'!F$1,FALSE)=VLOOKUP($A26,'ESA Calculations 2324 Supp'!$A$4:$AE$34,6,FALSE),VLOOKUP($A26,EnrollData2324,'2324 Jun 24 Enroll'!F$1,FALSE),VLOOKUP($A26,'ESA Calculations 2324 Supp'!$A$4:$AE$34,6,FALSE))*Apport_222A2324s,3)</f>
        <v>0.94199999999999995</v>
      </c>
      <c r="G26">
        <f>ROUND(IF(VLOOKUP($A26,EnrollData2324,'2324 Jun 24 Enroll'!G$1,FALSE)=VLOOKUP($A26,'ESA Calculations 2324 Supp'!$A$4:$AE$34,7,FALSE),VLOOKUP($A26,EnrollData2324,'2324 Jun 24 Enroll'!G$1,FALSE),VLOOKUP($A26,'ESA Calculations 2324 Supp'!$A$4:$AE$34,7,FALSE))*Apport_210A2324s,3)</f>
        <v>2.2450000000000001</v>
      </c>
      <c r="H26">
        <f>ROUND(IF(VLOOKUP($A26,EnrollData2324,'2324 Jun 24 Enroll'!H$1,FALSE)=VLOOKUP($A26,'ESA Calculations 2324 Supp'!$A$4:$AE$34,8,FALSE),VLOOKUP($A26,EnrollData2324,'2324 Jun 24 Enroll'!H$1,FALSE),VLOOKUP($A26,'ESA Calculations 2324 Supp'!$A$4:$AE$34,8,FALSE))*Apport_213A2324s,3)</f>
        <v>2.9729999999999999</v>
      </c>
      <c r="I26">
        <f>ROUND(IF(VLOOKUP($A26,EnrollData2324,'2324 Jun 24 Enroll'!I$1,FALSE)+VLOOKUP($A26,EnrollData2324,'2324 Jun 24 Enroll'!M$1,FALSE)-VLOOKUP($A26,EnrollData2324,'2324 Jun 24 Enroll'!J$1,FALSE)=VLOOKUP($A26,'ESA Calculations 2324 Supp'!$A$4:$AE$34,9,FALSE)+VLOOKUP($A26,'ESA Calculations 2324 Supp'!$A$4:$AE$34,18,FALSE)-VLOOKUP($A26,'ESA Calculations 2324 Supp'!$A$4:$AE$34,10,FALSE),VLOOKUP($A26,EnrollData2324,'2324 Jun 24 Enroll'!I$1,FALSE)+VLOOKUP($A26,EnrollData2324,'2324 Jun 24 Enroll'!M$1,FALSE)-VLOOKUP($A26,EnrollData2324,'2324 Jun 24 Enroll'!J$1,FALSE),VLOOKUP($A26,'ESA Calculations 2324 Supp'!$A$4:$AE$34,9,FALSE)+VLOOKUP($A26,'ESA Calculations 2324 Supp'!$A$4:$AE$34,18,FALSE)-VLOOKUP($A26,'ESA Calculations 2324 Supp'!$A$4:$AE$34,10,FALSE))*Apport_216A2324s,3)</f>
        <v>4.9390000000000001</v>
      </c>
      <c r="J26">
        <f>ROUND(SUM(D26:I26)/IF(VLOOKUP($A26,EnrollData2324,'2324 Jun 24 Enroll'!M$1,FALSE)+VLOOKUP($A26,EnrollData2324,'2324 Jun 24 Enroll'!D$1,FALSE)=VLOOKUP($A26,'ESA Calculations 2324 Supp'!$A$4:$AE$34,18,FALSE)+VLOOKUP($A26,'ESA Calculations 2324 Supp'!$A$4:$AE$34,4,FALSE),VLOOKUP($A26,EnrollData2324,'2324 Jun 24 Enroll'!M$1,FALSE)+VLOOKUP($A26,EnrollData2324,'2324 Jun 24 Enroll'!D$1,FALSE),VLOOKUP($A26,'ESA Calculations 2324 Supp'!$A$4:$AE$34,18,FALSE)+VLOOKUP($A26,'ESA Calculations 2324 Supp'!$A$4:$AE$34,4,FALSE)),5)</f>
        <v>5.5370000000000003E-2</v>
      </c>
      <c r="K26" s="11">
        <f t="shared" si="1"/>
        <v>4.352E-3</v>
      </c>
      <c r="L26">
        <f>ROUND(IF(VLOOKUP($A26,EnrollData2324,'2324 Jun 24 Enroll'!D$1,FALSE)=VLOOKUP($A26,'ESA Calculations 2324 Supp'!$A$4:$AE$34,4,FALSE),VLOOKUP($A26,EnrollData2324,'2324 Jun 24 Enroll'!D$1,FALSE),VLOOKUP($A26,'ESA Calculations 2324 Supp'!$A$4:$AE$34,4,FALSE))*K26,3)</f>
        <v>0</v>
      </c>
      <c r="M26">
        <f>ROUND(IF(VLOOKUP($A26,EnrollData2324,'2324 Jun 24 Enroll'!E$1,FALSE)=VLOOKUP($A26,'ESA Calculations 2324 Supp'!$A$4:$AE$34,5,FALSE),VLOOKUP($A26,EnrollData2324,'2324 Jun 24 Enroll'!E$1,FALSE),VLOOKUP($A26,'ESA Calculations 2324 Supp'!$A$4:$AE$34,5,FALSE))*K26,3)</f>
        <v>0.36599999999999999</v>
      </c>
      <c r="N26">
        <f>ROUND(IF(VLOOKUP($A26,EnrollData2324,'2324 Jun 24 Enroll'!F$1,FALSE)=VLOOKUP($A26,'ESA Calculations 2324 Supp'!$A$4:$AE$34,6,FALSE),VLOOKUP($A26,EnrollData2324,'2324 Jun 24 Enroll'!F$1,FALSE),VLOOKUP($A26,'ESA Calculations 2324 Supp'!$A$4:$AE$34,6,FALSE))*Apport_223A2324s,3)</f>
        <v>7.9000000000000001E-2</v>
      </c>
      <c r="O26">
        <f>ROUND(IF(VLOOKUP($A26,EnrollData2324,'2324 Jun 24 Enroll'!G$1,FALSE)=VLOOKUP($A26,'ESA Calculations 2324 Supp'!$A$4:$AE$34,7,FALSE),VLOOKUP($A26,EnrollData2324,'2324 Jun 24 Enroll'!G$1,FALSE),VLOOKUP($A26,'ESA Calculations 2324 Supp'!$A$4:$AE$34,7,FALSE))*Apport_211A2324s,3)</f>
        <v>0.187</v>
      </c>
      <c r="P26">
        <f>ROUND(IF(VLOOKUP($A26,EnrollData2324,'2324 Jun 24 Enroll'!H$1,FALSE)=VLOOKUP($A26,'ESA Calculations 2324 Supp'!$A$4:$AE$34,8,FALSE),VLOOKUP($A26,EnrollData2324,'2324 Jun 24 Enroll'!H$1,FALSE),VLOOKUP($A26,'ESA Calculations 2324 Supp'!$A$4:$AE$34,8,FALSE))*Apport_214A2324s,3)</f>
        <v>0.247</v>
      </c>
      <c r="Q26">
        <f>ROUND(IF(VLOOKUP($A26,EnrollData2324,'2324 Jun 24 Enroll'!I$1,FALSE)+VLOOKUP($A26,EnrollData2324,'2324 Jun 24 Enroll'!M$1,FALSE)-VLOOKUP($A26,EnrollData2324,'2324 Jun 24 Enroll'!J$1,FALSE)=VLOOKUP($A26,'ESA Calculations 2324 Supp'!$A$4:$AE$34,9,FALSE)+VLOOKUP($A26,'ESA Calculations 2324 Supp'!$A$4:$AE$34,18,FALSE)-VLOOKUP($A26,'ESA Calculations 2324 Supp'!$A$4:$AE$34,10,FALSE),VLOOKUP($A26,EnrollData2324,'2324 Jun 24 Enroll'!I$1,FALSE)+VLOOKUP($A26,EnrollData2324,'2324 Jun 24 Enroll'!M$1,FALSE)-VLOOKUP($A26,EnrollData2324,'2324 Jun 24 Enroll'!J$1,FALSE),VLOOKUP($A26,'ESA Calculations 2324 Supp'!$A$4:$AE$34,9,FALSE)+VLOOKUP($A26,'ESA Calculations 2324 Supp'!$A$4:$AE$34,18,FALSE)-VLOOKUP($A26,'ESA Calculations 2324 Supp'!$A$4:$AE$34,10,FALSE))*Apport_217A2324s,3)</f>
        <v>0.39900000000000002</v>
      </c>
      <c r="R26">
        <f>ROUND(SUM(L26:Q26)/IF(VLOOKUP($A26,EnrollData2324,'2324 Jun 24 Enroll'!M$1,FALSE)+VLOOKUP($A26,EnrollData2324,'2324 Jun 24 Enroll'!D$1,FALSE)=VLOOKUP($A26,'ESA Calculations 2324 Supp'!$A$4:$AE$34,18,FALSE)+VLOOKUP($A26,'ESA Calculations 2324 Supp'!$A$4:$AE$34,4,FALSE),VLOOKUP($A26,EnrollData2324,'2324 Jun 24 Enroll'!M$1,FALSE)+VLOOKUP($A26,EnrollData2324,'2324 Jun 24 Enroll'!D$1,FALSE),VLOOKUP($A26,'ESA Calculations 2324 Supp'!$A$4:$AE$34,18,FALSE)+VLOOKUP($A26,'ESA Calculations 2324 Supp'!$A$4:$AE$34,4,FALSE)),5)</f>
        <v>4.1200000000000004E-3</v>
      </c>
      <c r="S26" s="11">
        <f t="shared" si="2"/>
        <v>1.8636900000000001E-2</v>
      </c>
      <c r="T26">
        <f>ROUND(IF(VLOOKUP($A26,EnrollData2324,'2324 Jun 24 Enroll'!D$1,FALSE)=VLOOKUP($A26,'ESA Calculations 2324 Supp'!$A$4:$AE$34,4,FALSE),VLOOKUP($A26,EnrollData2324,'2324 Jun 24 Enroll'!D$1,FALSE),VLOOKUP($A26,'ESA Calculations 2324 Supp'!$A$4:$AE$34,4,FALSE))*S26,3)</f>
        <v>0</v>
      </c>
      <c r="U26">
        <f>ROUND(IF(VLOOKUP($A26,EnrollData2324,'2324 Jun 24 Enroll'!E$1,FALSE)=VLOOKUP($A26,'ESA Calculations 2324 Supp'!$A$4:$AE$34,5,FALSE),VLOOKUP($A26,EnrollData2324,'2324 Jun 24 Enroll'!E$1,FALSE),VLOOKUP($A26,'ESA Calculations 2324 Supp'!$A$4:$AE$34,5,FALSE))*S26,3)</f>
        <v>1.569</v>
      </c>
      <c r="V26">
        <f>ROUND(IF(VLOOKUP($A26,EnrollData2324,'2324 Jun 24 Enroll'!F$1,FALSE)=VLOOKUP($A26,'ESA Calculations 2324 Supp'!$A$4:$AE$34,6,FALSE),VLOOKUP($A26,EnrollData2324,'2324 Jun 24 Enroll'!F$1,FALSE),VLOOKUP($A26,'ESA Calculations 2324 Supp'!$A$4:$AE$34,6,FALSE))*Apport_224A2324s,3)</f>
        <v>0.34499999999999997</v>
      </c>
      <c r="W26">
        <f>ROUND(IF(VLOOKUP($A26,EnrollData2324,'2324 Jun 24 Enroll'!G$1,FALSE)=VLOOKUP($A26,'ESA Calculations 2324 Supp'!$A$4:$AE$34,7,FALSE),VLOOKUP($A26,EnrollData2324,'2324 Jun 24 Enroll'!G$1,FALSE),VLOOKUP($A26,'ESA Calculations 2324 Supp'!$A$4:$AE$34,7,FALSE))*Apport_212A2324s,3)</f>
        <v>0.82299999999999995</v>
      </c>
      <c r="X26">
        <f>ROUND(IF(VLOOKUP($A26,EnrollData2324,'2324 Jun 24 Enroll'!H$1,FALSE)=VLOOKUP($A26,'ESA Calculations 2324 Supp'!$A$4:$AE$34,8,FALSE),VLOOKUP($A26,EnrollData2324,'2324 Jun 24 Enroll'!H$1,FALSE),VLOOKUP($A26,'ESA Calculations 2324 Supp'!$A$4:$AE$34,8,FALSE))*Apport_215A2324s,3)</f>
        <v>1.0720000000000001</v>
      </c>
      <c r="Y26">
        <f>ROUND(IF(VLOOKUP($A26,EnrollData2324,'2324 Jun 24 Enroll'!I$1,FALSE)+VLOOKUP($A26,EnrollData2324,'2324 Jun 24 Enroll'!M$1,FALSE)-VLOOKUP($A26,EnrollData2324,'2324 Jun 24 Enroll'!J$1,FALSE)=VLOOKUP($A26,'ESA Calculations 2324 Supp'!$A$4:$AE$34,9,FALSE)+VLOOKUP($A26,'ESA Calculations 2324 Supp'!$A$4:$AE$34,18,FALSE)-VLOOKUP($A26,'ESA Calculations 2324 Supp'!$A$4:$AE$34,10,FALSE),VLOOKUP($A26,EnrollData2324,'2324 Jun 24 Enroll'!I$1,FALSE)+VLOOKUP($A26,EnrollData2324,'2324 Jun 24 Enroll'!M$1,FALSE)-VLOOKUP($A26,EnrollData2324,'2324 Jun 24 Enroll'!J$1,FALSE),VLOOKUP($A26,'ESA Calculations 2324 Supp'!$A$4:$AE$34,9,FALSE)+VLOOKUP($A26,'ESA Calculations 2324 Supp'!$A$4:$AE$34,18,FALSE)-VLOOKUP($A26,'ESA Calculations 2324 Supp'!$A$4:$AE$34,10,FALSE))*Apport_218A2324s,3)</f>
        <v>1.7170000000000001</v>
      </c>
      <c r="Z26">
        <f>ROUND(SUM(T26:Y26)/IF(VLOOKUP($A26,EnrollData2324,'2324 Jun 24 Enroll'!M$1,FALSE)+VLOOKUP($A26,EnrollData2324,'2324 Jun 24 Enroll'!D$1,FALSE)=VLOOKUP($A26,'ESA Calculations 2324 Supp'!$A$4:$AE$34,18,FALSE)+VLOOKUP($A26,'ESA Calculations 2324 Supp'!$A$4:$AE$34,4,FALSE),VLOOKUP($A26,EnrollData2324,'2324 Jun 24 Enroll'!M$1,FALSE)+VLOOKUP($A26,EnrollData2324,'2324 Jun 24 Enroll'!D$1,FALSE),VLOOKUP($A26,'ESA Calculations 2324 Supp'!$A$4:$AE$34,18,FALSE)+VLOOKUP($A26,'ESA Calculations 2324 Supp'!$A$4:$AE$34,4,FALSE)),5)</f>
        <v>1.7819999999999999E-2</v>
      </c>
      <c r="AA26" s="6" cm="1">
        <f t="array" ref="AA26">ROUND($J26*CIS_Base_Salary2324s*VLOOKUP($A26,EnrollData2324,'2324 Jun 24 Enroll'!S$1,FALSE),2)</f>
        <v>4026.95</v>
      </c>
      <c r="AB26" s="6" cm="1">
        <f t="array" ref="AB26">ROUND($J26*CIS_Inc_Salary2324s*(VLOOKUP($A26,EnrollData2324,'2324 Jun 24 Enroll'!T$1,FALSE)+VLOOKUP($A26,EnrollData2324,'2324 Jun 24 Enroll'!U$1,FALSE)),2)-AA26</f>
        <v>232.52000000000044</v>
      </c>
      <c r="AC26" s="6" cm="1">
        <f t="array" ref="AC26">ROUND($R26*CAS_Base_Salary2324s*VLOOKUP($A26,EnrollData2324,'2324 Jun 24 Enroll'!S$1,FALSE),2)</f>
        <v>444.77</v>
      </c>
      <c r="AD26" s="6" cm="1">
        <f t="array" ref="AD26">ROUND($R26*CAS_Inc_Salary2324s*VLOOKUP($A26,EnrollData2324,'2324 Jun 24 Enroll'!T$1,FALSE),2)-AC26</f>
        <v>16.460000000000036</v>
      </c>
      <c r="AE26" s="6" cm="1">
        <f t="array" ref="AE26">ROUND($Z26*CLS_Base_Salary2324s*VLOOKUP($A26,EnrollData2324,'2324 Jun 24 Enroll'!S$1,FALSE),2)</f>
        <v>929.72</v>
      </c>
      <c r="AF26" s="6" cm="1">
        <f t="array" ref="AF26">ROUND($Z26*CLS_Inc_Salary2324s*VLOOKUP($A26,EnrollData2324,'2324 Jun 24 Enroll'!T$1,FALSE),2)-AE26</f>
        <v>34.399999999999977</v>
      </c>
      <c r="AG26" cm="1">
        <f t="array" ref="AG26">ROUND(($J26+$R26)*Apport_124X2324s,2)</f>
        <v>732.44</v>
      </c>
      <c r="AH26" s="69">
        <f t="shared" si="3"/>
        <v>68.529999999999973</v>
      </c>
      <c r="AI26" cm="1">
        <f t="array" ref="AI26">ROUND($Z26*Apport_124X2324s,2)</f>
        <v>219.4</v>
      </c>
      <c r="AJ26" cm="1">
        <f t="array" ref="AJ26">ROUND($Z26*Apport_621X2324s*Apport_125X2324s,2)-AI26</f>
        <v>116.97</v>
      </c>
      <c r="AK26" cm="1">
        <f t="array" ref="AK26">ROUND((AA26+AC26)*Apport_126X2324s,2)</f>
        <v>803.57</v>
      </c>
      <c r="AL26" cm="1">
        <f t="array" ref="AL26">ROUND((AB26+AD26)*Apport_127X2324s,2)</f>
        <v>43.15</v>
      </c>
      <c r="AM26" cm="1">
        <f t="array" ref="AM26">ROUND(AE26*Apport_128X2324s,2)</f>
        <v>205.1</v>
      </c>
      <c r="AN26" cm="1">
        <f t="array" ref="AN26">ROUND(AF26*Apport_129X2324s,2)</f>
        <v>6.38</v>
      </c>
      <c r="AO26" cm="1">
        <f t="array" ref="AO26">ROUND(($J26*CIS_Inc_Salary2324s*(VLOOKUP($A26,EnrollData2324,'2324 Jun 24 Enroll'!T$1,FALSE)+VLOOKUP($A26,EnrollData2324,'2324 Jun 24 Enroll'!U$1,FALSE))/Apport_613Xpd)*Apport_614Xpd,2)</f>
        <v>70.989999999999995</v>
      </c>
      <c r="AP26" cm="1">
        <f t="array" ref="AP26">ROUND(AO26*Apport_127X2324s,2)</f>
        <v>12.3</v>
      </c>
      <c r="AQ26">
        <f t="shared" si="4"/>
        <v>30.84</v>
      </c>
      <c r="AR26" s="6" cm="1">
        <f t="array" ref="AR26">ROUND((IF(VLOOKUP($A26,EnrollData2324,'2324 Jun 24 Enroll'!D$1,FALSE)=VLOOKUP($A26,'ESA Calculations 2324 Supp'!$A$4:$AE$34,4,FALSE),VLOOKUP($A26,EnrollData2324,'2324 Jun 24 Enroll'!D$1,FALSE),VLOOKUP($A26,'ESA Calculations 2324 Supp'!$A$4:$AE$34,4,FALSE))*Apport_M802324s+IF(VLOOKUP($A26,EnrollData2324,'2324 Jun 24 Enroll'!M$1,FALSE)=VLOOKUP($A26,'ESA Calculations 2324 Supp'!$A$4:$AE$34,18,FALSE),VLOOKUP($A26,EnrollData2324,'2324 Jun 24 Enroll'!M$1,FALSE),VLOOKUP($A26,'ESA Calculations 2324 Supp'!$A$4:$AE$34,18,FALSE))*Apport_M802324s+IF((VLOOKUP($A26,EnrollData2324,'2324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Enroll'!L$1,FALSE))=VLOOKUP($A26,EnrollData2324,'2324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Enroll'!L$1,FALSE),(VLOOKUP($A26,EnrollData2324,'2324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Enroll'!L$1,FALSE)),(VLOOKUP($A26,EnrollData2324,'2324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Enroll'!L$1,FALSE)))*Apport_M812324s)/(IF(VLOOKUP($A26,EnrollData2324,'2324 Jun 24 Enroll'!M$1,FALSE)=VLOOKUP($A26,'ESA Calculations 2324 Supp'!$A$4:$AE$34,18,FALSE),VLOOKUP($A26,EnrollData2324,'2324 Jun 24 Enroll'!M$1,FALSE),VLOOKUP($A26,'ESA Calculations 2324 Supp'!$A$4:$AE$34,18,FALSE))+IF(VLOOKUP($A26,EnrollData2324,'2324 Jun 24 Enroll'!D$1,FALSE)=VLOOKUP($A26,'ESA Calculations 2324 Supp'!$A$4:$AE$34,4,FALSE),VLOOKUP($A26,EnrollData2324,'2324 Jun 24 Enroll'!D$1,FALSE),VLOOKUP($A26,'ESA Calculations 2324 Supp'!$A$4:$AE$34,4,FALSE))),2)</f>
        <v>1568.06</v>
      </c>
      <c r="AS26" s="7">
        <f t="shared" si="5"/>
        <v>9562.5499999999993</v>
      </c>
      <c r="AT26" s="6">
        <f>IF(VLOOKUP($A26,EnrollData2324,'2324 Jun 24 Enroll'!AA$1,FALSE)=VLOOKUP($A26,'ESA Calculations 2324 Supp'!$A$4:$AE$34,24,FALSE),VLOOKUP($A26,EnrollData2324,'2324 Jun 24 Enroll'!AA$1,FALSE),VLOOKUP($A26,'ESA Calculations 2324 Supp'!$A$4:$AE$34,24,FALSE))</f>
        <v>310.10000000000002</v>
      </c>
    </row>
    <row r="27" spans="1:46">
      <c r="A27" s="40" t="s">
        <v>763</v>
      </c>
      <c r="B27" s="40" t="s">
        <v>764</v>
      </c>
      <c r="C27" s="11">
        <f>ROUND((IFERROR((1/IF(VLOOKUP($A27,EnrollData2324,28,FALSE)=VLOOKUP($A27,'ESA Calculations 2324 Supp'!$A$4:$AE$34,3,FALSE),VLOOKUP($A27,EnrollData2324,28,FALSE),VLOOKUP($A27,'ESA Calculations 2324 Supp'!$A$4:$AE$34,3,FALSE)))*(1+Apport_Z315),0))+Apport_201A2324s,6)</f>
        <v>7.3449E-2</v>
      </c>
      <c r="D27">
        <f>ROUND(IF(VLOOKUP($A27,EnrollData2324,'2324 Jun 24 Enroll'!D$1,FALSE)=VLOOKUP($A27,'ESA Calculations 2324 Supp'!$A$4:$AE$34,4,FALSE),VLOOKUP($A27,EnrollData2324,'2324 Jun 24 Enroll'!D$1,FALSE),VLOOKUP($A27,'ESA Calculations 2324 Supp'!$A$4:$AE$34,4,FALSE))*C27,3)</f>
        <v>0.45100000000000001</v>
      </c>
      <c r="E27">
        <f>ROUND(IF(VLOOKUP($A27,EnrollData2324,'2324 Jun 24 Enroll'!E$1,FALSE)=VLOOKUP($A27,'ESA Calculations 2324 Supp'!$A$4:$AE$34,5,FALSE),VLOOKUP($A27,EnrollData2324,'2324 Jun 24 Enroll'!E$1,FALSE),VLOOKUP($A27,'ESA Calculations 2324 Supp'!$A$4:$AE$34,5,FALSE))*C27,3)</f>
        <v>2.835</v>
      </c>
      <c r="F27">
        <f>ROUND(IF(VLOOKUP($A27,EnrollData2324,'2324 Jun 24 Enroll'!F$1,FALSE)=VLOOKUP($A27,'ESA Calculations 2324 Supp'!$A$4:$AE$34,6,FALSE),VLOOKUP($A27,EnrollData2324,'2324 Jun 24 Enroll'!F$1,FALSE),VLOOKUP($A27,'ESA Calculations 2324 Supp'!$A$4:$AE$34,6,FALSE))*Apport_222A2324s,3)</f>
        <v>0.28999999999999998</v>
      </c>
      <c r="G27">
        <f>ROUND(IF(VLOOKUP($A27,EnrollData2324,'2324 Jun 24 Enroll'!G$1,FALSE)=VLOOKUP($A27,'ESA Calculations 2324 Supp'!$A$4:$AE$34,7,FALSE),VLOOKUP($A27,EnrollData2324,'2324 Jun 24 Enroll'!G$1,FALSE),VLOOKUP($A27,'ESA Calculations 2324 Supp'!$A$4:$AE$34,7,FALSE))*Apport_210A2324s,3)</f>
        <v>1.0820000000000001</v>
      </c>
      <c r="H27">
        <f>ROUND(IF(VLOOKUP($A27,EnrollData2324,'2324 Jun 24 Enroll'!H$1,FALSE)=VLOOKUP($A27,'ESA Calculations 2324 Supp'!$A$4:$AE$34,8,FALSE),VLOOKUP($A27,EnrollData2324,'2324 Jun 24 Enroll'!H$1,FALSE),VLOOKUP($A27,'ESA Calculations 2324 Supp'!$A$4:$AE$34,8,FALSE))*Apport_213A2324s,3)</f>
        <v>0.436</v>
      </c>
      <c r="I27">
        <f>ROUND(IF(VLOOKUP($A27,EnrollData2324,'2324 Jun 24 Enroll'!I$1,FALSE)+VLOOKUP($A27,EnrollData2324,'2324 Jun 24 Enroll'!M$1,FALSE)-VLOOKUP($A27,EnrollData2324,'2324 Jun 24 Enroll'!J$1,FALSE)=VLOOKUP($A27,'ESA Calculations 2324 Supp'!$A$4:$AE$34,9,FALSE)+VLOOKUP($A27,'ESA Calculations 2324 Supp'!$A$4:$AE$34,18,FALSE)-VLOOKUP($A27,'ESA Calculations 2324 Supp'!$A$4:$AE$34,10,FALSE),VLOOKUP($A27,EnrollData2324,'2324 Jun 24 Enroll'!I$1,FALSE)+VLOOKUP($A27,EnrollData2324,'2324 Jun 24 Enroll'!M$1,FALSE)-VLOOKUP($A27,EnrollData2324,'2324 Jun 24 Enroll'!J$1,FALSE),VLOOKUP($A27,'ESA Calculations 2324 Supp'!$A$4:$AE$34,9,FALSE)+VLOOKUP($A27,'ESA Calculations 2324 Supp'!$A$4:$AE$34,18,FALSE)-VLOOKUP($A27,'ESA Calculations 2324 Supp'!$A$4:$AE$34,10,FALSE))*Apport_216A2324s,3)</f>
        <v>0</v>
      </c>
      <c r="J27">
        <f>ROUND(SUM(D27:I27)/IF(VLOOKUP($A27,EnrollData2324,'2324 Jun 24 Enroll'!M$1,FALSE)+VLOOKUP($A27,EnrollData2324,'2324 Jun 24 Enroll'!D$1,FALSE)=VLOOKUP($A27,'ESA Calculations 2324 Supp'!$A$4:$AE$34,18,FALSE)+VLOOKUP($A27,'ESA Calculations 2324 Supp'!$A$4:$AE$34,4,FALSE),VLOOKUP($A27,EnrollData2324,'2324 Jun 24 Enroll'!M$1,FALSE)+VLOOKUP($A27,EnrollData2324,'2324 Jun 24 Enroll'!D$1,FALSE),VLOOKUP($A27,'ESA Calculations 2324 Supp'!$A$4:$AE$34,18,FALSE)+VLOOKUP($A27,'ESA Calculations 2324 Supp'!$A$4:$AE$34,4,FALSE)),5)</f>
        <v>6.2019999999999999E-2</v>
      </c>
      <c r="K27" s="11">
        <f t="shared" si="1"/>
        <v>4.3699999999999998E-3</v>
      </c>
      <c r="L27">
        <f>ROUND(IF(VLOOKUP($A27,EnrollData2324,'2324 Jun 24 Enroll'!D$1,FALSE)=VLOOKUP($A27,'ESA Calculations 2324 Supp'!$A$4:$AE$34,4,FALSE),VLOOKUP($A27,EnrollData2324,'2324 Jun 24 Enroll'!D$1,FALSE),VLOOKUP($A27,'ESA Calculations 2324 Supp'!$A$4:$AE$34,4,FALSE))*K27,3)</f>
        <v>2.7E-2</v>
      </c>
      <c r="M27">
        <f>ROUND(IF(VLOOKUP($A27,EnrollData2324,'2324 Jun 24 Enroll'!E$1,FALSE)=VLOOKUP($A27,'ESA Calculations 2324 Supp'!$A$4:$AE$34,5,FALSE),VLOOKUP($A27,EnrollData2324,'2324 Jun 24 Enroll'!E$1,FALSE),VLOOKUP($A27,'ESA Calculations 2324 Supp'!$A$4:$AE$34,5,FALSE))*K27,3)</f>
        <v>0.16900000000000001</v>
      </c>
      <c r="N27">
        <f>ROUND(IF(VLOOKUP($A27,EnrollData2324,'2324 Jun 24 Enroll'!F$1,FALSE)=VLOOKUP($A27,'ESA Calculations 2324 Supp'!$A$4:$AE$34,6,FALSE),VLOOKUP($A27,EnrollData2324,'2324 Jun 24 Enroll'!F$1,FALSE),VLOOKUP($A27,'ESA Calculations 2324 Supp'!$A$4:$AE$34,6,FALSE))*Apport_223A2324s,3)</f>
        <v>2.4E-2</v>
      </c>
      <c r="O27">
        <f>ROUND(IF(VLOOKUP($A27,EnrollData2324,'2324 Jun 24 Enroll'!G$1,FALSE)=VLOOKUP($A27,'ESA Calculations 2324 Supp'!$A$4:$AE$34,7,FALSE),VLOOKUP($A27,EnrollData2324,'2324 Jun 24 Enroll'!G$1,FALSE),VLOOKUP($A27,'ESA Calculations 2324 Supp'!$A$4:$AE$34,7,FALSE))*Apport_211A2324s,3)</f>
        <v>0.09</v>
      </c>
      <c r="P27">
        <f>ROUND(IF(VLOOKUP($A27,EnrollData2324,'2324 Jun 24 Enroll'!H$1,FALSE)=VLOOKUP($A27,'ESA Calculations 2324 Supp'!$A$4:$AE$34,8,FALSE),VLOOKUP($A27,EnrollData2324,'2324 Jun 24 Enroll'!H$1,FALSE),VLOOKUP($A27,'ESA Calculations 2324 Supp'!$A$4:$AE$34,8,FALSE))*Apport_214A2324s,3)</f>
        <v>3.5999999999999997E-2</v>
      </c>
      <c r="Q27">
        <f>ROUND(IF(VLOOKUP($A27,EnrollData2324,'2324 Jun 24 Enroll'!I$1,FALSE)+VLOOKUP($A27,EnrollData2324,'2324 Jun 24 Enroll'!M$1,FALSE)-VLOOKUP($A27,EnrollData2324,'2324 Jun 24 Enroll'!J$1,FALSE)=VLOOKUP($A27,'ESA Calculations 2324 Supp'!$A$4:$AE$34,9,FALSE)+VLOOKUP($A27,'ESA Calculations 2324 Supp'!$A$4:$AE$34,18,FALSE)-VLOOKUP($A27,'ESA Calculations 2324 Supp'!$A$4:$AE$34,10,FALSE),VLOOKUP($A27,EnrollData2324,'2324 Jun 24 Enroll'!I$1,FALSE)+VLOOKUP($A27,EnrollData2324,'2324 Jun 24 Enroll'!M$1,FALSE)-VLOOKUP($A27,EnrollData2324,'2324 Jun 24 Enroll'!J$1,FALSE),VLOOKUP($A27,'ESA Calculations 2324 Supp'!$A$4:$AE$34,9,FALSE)+VLOOKUP($A27,'ESA Calculations 2324 Supp'!$A$4:$AE$34,18,FALSE)-VLOOKUP($A27,'ESA Calculations 2324 Supp'!$A$4:$AE$34,10,FALSE))*Apport_217A2324s,3)</f>
        <v>0</v>
      </c>
      <c r="R27">
        <f>ROUND(SUM(L27:Q27)/IF(VLOOKUP($A27,EnrollData2324,'2324 Jun 24 Enroll'!M$1,FALSE)+VLOOKUP($A27,EnrollData2324,'2324 Jun 24 Enroll'!D$1,FALSE)=VLOOKUP($A27,'ESA Calculations 2324 Supp'!$A$4:$AE$34,18,FALSE)+VLOOKUP($A27,'ESA Calculations 2324 Supp'!$A$4:$AE$34,4,FALSE),VLOOKUP($A27,EnrollData2324,'2324 Jun 24 Enroll'!M$1,FALSE)+VLOOKUP($A27,EnrollData2324,'2324 Jun 24 Enroll'!D$1,FALSE),VLOOKUP($A27,'ESA Calculations 2324 Supp'!$A$4:$AE$34,18,FALSE)+VLOOKUP($A27,'ESA Calculations 2324 Supp'!$A$4:$AE$34,4,FALSE)),5)</f>
        <v>4.2100000000000002E-3</v>
      </c>
      <c r="S27" s="11">
        <f t="shared" si="2"/>
        <v>1.8689600000000001E-2</v>
      </c>
      <c r="T27">
        <f>ROUND(IF(VLOOKUP($A27,EnrollData2324,'2324 Jun 24 Enroll'!D$1,FALSE)=VLOOKUP($A27,'ESA Calculations 2324 Supp'!$A$4:$AE$34,4,FALSE),VLOOKUP($A27,EnrollData2324,'2324 Jun 24 Enroll'!D$1,FALSE),VLOOKUP($A27,'ESA Calculations 2324 Supp'!$A$4:$AE$34,4,FALSE))*S27,3)</f>
        <v>0.115</v>
      </c>
      <c r="U27">
        <f>ROUND(IF(VLOOKUP($A27,EnrollData2324,'2324 Jun 24 Enroll'!E$1,FALSE)=VLOOKUP($A27,'ESA Calculations 2324 Supp'!$A$4:$AE$34,5,FALSE),VLOOKUP($A27,EnrollData2324,'2324 Jun 24 Enroll'!E$1,FALSE),VLOOKUP($A27,'ESA Calculations 2324 Supp'!$A$4:$AE$34,5,FALSE))*S27,3)</f>
        <v>0.72099999999999997</v>
      </c>
      <c r="V27">
        <f>ROUND(IF(VLOOKUP($A27,EnrollData2324,'2324 Jun 24 Enroll'!F$1,FALSE)=VLOOKUP($A27,'ESA Calculations 2324 Supp'!$A$4:$AE$34,6,FALSE),VLOOKUP($A27,EnrollData2324,'2324 Jun 24 Enroll'!F$1,FALSE),VLOOKUP($A27,'ESA Calculations 2324 Supp'!$A$4:$AE$34,6,FALSE))*Apport_224A2324s,3)</f>
        <v>0.106</v>
      </c>
      <c r="W27">
        <f>ROUND(IF(VLOOKUP($A27,EnrollData2324,'2324 Jun 24 Enroll'!G$1,FALSE)=VLOOKUP($A27,'ESA Calculations 2324 Supp'!$A$4:$AE$34,7,FALSE),VLOOKUP($A27,EnrollData2324,'2324 Jun 24 Enroll'!G$1,FALSE),VLOOKUP($A27,'ESA Calculations 2324 Supp'!$A$4:$AE$34,7,FALSE))*Apport_212A2324s,3)</f>
        <v>0.39600000000000002</v>
      </c>
      <c r="X27">
        <f>ROUND(IF(VLOOKUP($A27,EnrollData2324,'2324 Jun 24 Enroll'!H$1,FALSE)=VLOOKUP($A27,'ESA Calculations 2324 Supp'!$A$4:$AE$34,8,FALSE),VLOOKUP($A27,EnrollData2324,'2324 Jun 24 Enroll'!H$1,FALSE),VLOOKUP($A27,'ESA Calculations 2324 Supp'!$A$4:$AE$34,8,FALSE))*Apport_215A2324s,3)</f>
        <v>0.157</v>
      </c>
      <c r="Y27">
        <f>ROUND(IF(VLOOKUP($A27,EnrollData2324,'2324 Jun 24 Enroll'!I$1,FALSE)+VLOOKUP($A27,EnrollData2324,'2324 Jun 24 Enroll'!M$1,FALSE)-VLOOKUP($A27,EnrollData2324,'2324 Jun 24 Enroll'!J$1,FALSE)=VLOOKUP($A27,'ESA Calculations 2324 Supp'!$A$4:$AE$34,9,FALSE)+VLOOKUP($A27,'ESA Calculations 2324 Supp'!$A$4:$AE$34,18,FALSE)-VLOOKUP($A27,'ESA Calculations 2324 Supp'!$A$4:$AE$34,10,FALSE),VLOOKUP($A27,EnrollData2324,'2324 Jun 24 Enroll'!I$1,FALSE)+VLOOKUP($A27,EnrollData2324,'2324 Jun 24 Enroll'!M$1,FALSE)-VLOOKUP($A27,EnrollData2324,'2324 Jun 24 Enroll'!J$1,FALSE),VLOOKUP($A27,'ESA Calculations 2324 Supp'!$A$4:$AE$34,9,FALSE)+VLOOKUP($A27,'ESA Calculations 2324 Supp'!$A$4:$AE$34,18,FALSE)-VLOOKUP($A27,'ESA Calculations 2324 Supp'!$A$4:$AE$34,10,FALSE))*Apport_218A2324s,3)</f>
        <v>0</v>
      </c>
      <c r="Z27">
        <f>ROUND(SUM(T27:Y27)/IF(VLOOKUP($A27,EnrollData2324,'2324 Jun 24 Enroll'!M$1,FALSE)+VLOOKUP($A27,EnrollData2324,'2324 Jun 24 Enroll'!D$1,FALSE)=VLOOKUP($A27,'ESA Calculations 2324 Supp'!$A$4:$AE$34,18,FALSE)+VLOOKUP($A27,'ESA Calculations 2324 Supp'!$A$4:$AE$34,4,FALSE),VLOOKUP($A27,EnrollData2324,'2324 Jun 24 Enroll'!M$1,FALSE)+VLOOKUP($A27,EnrollData2324,'2324 Jun 24 Enroll'!D$1,FALSE),VLOOKUP($A27,'ESA Calculations 2324 Supp'!$A$4:$AE$34,18,FALSE)+VLOOKUP($A27,'ESA Calculations 2324 Supp'!$A$4:$AE$34,4,FALSE)),5)</f>
        <v>1.8200000000000001E-2</v>
      </c>
      <c r="AA27" s="6" cm="1">
        <f t="array" ref="AA27">ROUND($J27*CIS_Base_Salary2324s*VLOOKUP($A27,EnrollData2324,'2324 Jun 24 Enroll'!S$1,FALSE),2)</f>
        <v>4781.2299999999996</v>
      </c>
      <c r="AB27" s="6" cm="1">
        <f t="array" ref="AB27">ROUND($J27*CIS_Inc_Salary2324s*(VLOOKUP($A27,EnrollData2324,'2324 Jun 24 Enroll'!T$1,FALSE)+VLOOKUP($A27,EnrollData2324,'2324 Jun 24 Enroll'!U$1,FALSE)),2)-AA27</f>
        <v>176.91000000000076</v>
      </c>
      <c r="AC27" s="6" cm="1">
        <f t="array" ref="AC27">ROUND($R27*CAS_Base_Salary2324s*VLOOKUP($A27,EnrollData2324,'2324 Jun 24 Enroll'!S$1,FALSE),2)</f>
        <v>481.76</v>
      </c>
      <c r="AD27" s="6" cm="1">
        <f t="array" ref="AD27">ROUND($R27*CAS_Inc_Salary2324s*VLOOKUP($A27,EnrollData2324,'2324 Jun 24 Enroll'!T$1,FALSE),2)-AC27</f>
        <v>17.829999999999984</v>
      </c>
      <c r="AE27" s="6" cm="1">
        <f t="array" ref="AE27">ROUND($Z27*CLS_Base_Salary2324s*VLOOKUP($A27,EnrollData2324,'2324 Jun 24 Enroll'!S$1,FALSE),2)</f>
        <v>1006.52</v>
      </c>
      <c r="AF27" s="6" cm="1">
        <f t="array" ref="AF27">ROUND($Z27*CLS_Inc_Salary2324s*VLOOKUP($A27,EnrollData2324,'2324 Jun 24 Enroll'!T$1,FALSE),2)-AE27</f>
        <v>37.240000000000009</v>
      </c>
      <c r="AG27" cm="1">
        <f t="array" ref="AG27">ROUND(($J27+$R27)*Apport_124X2324s,2)</f>
        <v>815.42</v>
      </c>
      <c r="AH27" s="69">
        <f t="shared" si="3"/>
        <v>76.300000000000068</v>
      </c>
      <c r="AI27" cm="1">
        <f t="array" ref="AI27">ROUND($Z27*Apport_124X2324s,2)</f>
        <v>224.08</v>
      </c>
      <c r="AJ27" cm="1">
        <f t="array" ref="AJ27">ROUND($Z27*Apport_621X2324s*Apport_125X2324s,2)-AI27</f>
        <v>119.46000000000001</v>
      </c>
      <c r="AK27" cm="1">
        <f t="array" ref="AK27">ROUND((AA27+AC27)*Apport_126X2324s,2)</f>
        <v>945.76</v>
      </c>
      <c r="AL27" cm="1">
        <f t="array" ref="AL27">ROUND((AB27+AD27)*Apport_127X2324s,2)</f>
        <v>33.75</v>
      </c>
      <c r="AM27" cm="1">
        <f t="array" ref="AM27">ROUND(AE27*Apport_128X2324s,2)</f>
        <v>222.04</v>
      </c>
      <c r="AN27" cm="1">
        <f t="array" ref="AN27">ROUND(AF27*Apport_129X2324s,2)</f>
        <v>6.91</v>
      </c>
      <c r="AO27" cm="1">
        <f t="array" ref="AO27">ROUND(($J27*CIS_Inc_Salary2324s*(VLOOKUP($A27,EnrollData2324,'2324 Jun 24 Enroll'!T$1,FALSE)+VLOOKUP($A27,EnrollData2324,'2324 Jun 24 Enroll'!U$1,FALSE))/Apport_613Xpd)*Apport_614Xpd,2)</f>
        <v>82.64</v>
      </c>
      <c r="AP27" cm="1">
        <f t="array" ref="AP27">ROUND(AO27*Apport_127X2324s,2)</f>
        <v>14.32</v>
      </c>
      <c r="AQ27">
        <f t="shared" si="4"/>
        <v>34.549999999999997</v>
      </c>
      <c r="AR27" s="6" cm="1">
        <f t="array" ref="AR27">ROUND((IF(VLOOKUP($A27,EnrollData2324,'2324 Jun 24 Enroll'!D$1,FALSE)=VLOOKUP($A27,'ESA Calculations 2324 Supp'!$A$4:$AE$34,4,FALSE),VLOOKUP($A27,EnrollData2324,'2324 Jun 24 Enroll'!D$1,FALSE),VLOOKUP($A27,'ESA Calculations 2324 Supp'!$A$4:$AE$34,4,FALSE))*Apport_M802324s+IF(VLOOKUP($A27,EnrollData2324,'2324 Jun 24 Enroll'!M$1,FALSE)=VLOOKUP($A27,'ESA Calculations 2324 Supp'!$A$4:$AE$34,18,FALSE),VLOOKUP($A27,EnrollData2324,'2324 Jun 24 Enroll'!M$1,FALSE),VLOOKUP($A27,'ESA Calculations 2324 Supp'!$A$4:$AE$34,18,FALSE))*Apport_M802324s+IF((VLOOKUP($A27,EnrollData2324,'2324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Enroll'!L$1,FALSE))=VLOOKUP($A27,EnrollData2324,'2324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Enroll'!L$1,FALSE),(VLOOKUP($A27,EnrollData2324,'2324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Enroll'!L$1,FALSE)),(VLOOKUP($A27,EnrollData2324,'2324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Enroll'!L$1,FALSE)))*Apport_M812324s)/(IF(VLOOKUP($A27,EnrollData2324,'2324 Jun 24 Enroll'!M$1,FALSE)=VLOOKUP($A27,'ESA Calculations 2324 Supp'!$A$4:$AE$34,18,FALSE),VLOOKUP($A27,EnrollData2324,'2324 Jun 24 Enroll'!M$1,FALSE),VLOOKUP($A27,'ESA Calculations 2324 Supp'!$A$4:$AE$34,18,FALSE))+IF(VLOOKUP($A27,EnrollData2324,'2324 Jun 24 Enroll'!D$1,FALSE)=VLOOKUP($A27,'ESA Calculations 2324 Supp'!$A$4:$AE$34,4,FALSE),VLOOKUP($A27,EnrollData2324,'2324 Jun 24 Enroll'!D$1,FALSE),VLOOKUP($A27,'ESA Calculations 2324 Supp'!$A$4:$AE$34,4,FALSE))),2)</f>
        <v>1504.44</v>
      </c>
      <c r="AS27" s="7">
        <f t="shared" si="5"/>
        <v>10581.16</v>
      </c>
      <c r="AT27" s="6">
        <f>IF(VLOOKUP($A27,EnrollData2324,'2324 Jun 24 Enroll'!AA$1,FALSE)=VLOOKUP($A27,'ESA Calculations 2324 Supp'!$A$4:$AE$34,24,FALSE),VLOOKUP($A27,EnrollData2324,'2324 Jun 24 Enroll'!AA$1,FALSE),VLOOKUP($A27,'ESA Calculations 2324 Supp'!$A$4:$AE$34,24,FALSE))</f>
        <v>82.14</v>
      </c>
    </row>
    <row r="28" spans="1:46">
      <c r="A28" s="40" t="s">
        <v>608</v>
      </c>
      <c r="B28" s="40" t="s">
        <v>609</v>
      </c>
      <c r="C28" s="11">
        <f>ROUND((IFERROR((1/IF(VLOOKUP($A28,EnrollData2324,28,FALSE)=VLOOKUP($A28,'ESA Calculations 2324 Supp'!$A$4:$AE$34,3,FALSE),VLOOKUP($A28,EnrollData2324,28,FALSE),VLOOKUP($A28,'ESA Calculations 2324 Supp'!$A$4:$AE$34,3,FALSE)))*(1+Apport_Z315),0))+Apport_201A2324s,6)</f>
        <v>7.3449E-2</v>
      </c>
      <c r="D28">
        <f>ROUND(IF(VLOOKUP($A28,EnrollData2324,'2324 Jun 24 Enroll'!D$1,FALSE)=VLOOKUP($A28,'ESA Calculations 2324 Supp'!$A$4:$AE$34,4,FALSE),VLOOKUP($A28,EnrollData2324,'2324 Jun 24 Enroll'!D$1,FALSE),VLOOKUP($A28,'ESA Calculations 2324 Supp'!$A$4:$AE$34,4,FALSE))*C28,3)</f>
        <v>0</v>
      </c>
      <c r="E28">
        <f>ROUND(IF(VLOOKUP($A28,EnrollData2324,'2324 Jun 24 Enroll'!E$1,FALSE)=VLOOKUP($A28,'ESA Calculations 2324 Supp'!$A$4:$AE$34,5,FALSE),VLOOKUP($A28,EnrollData2324,'2324 Jun 24 Enroll'!E$1,FALSE),VLOOKUP($A28,'ESA Calculations 2324 Supp'!$A$4:$AE$34,5,FALSE))*C28,3)</f>
        <v>2.3650000000000002</v>
      </c>
      <c r="F28">
        <f>ROUND(IF(VLOOKUP($A28,EnrollData2324,'2324 Jun 24 Enroll'!F$1,FALSE)=VLOOKUP($A28,'ESA Calculations 2324 Supp'!$A$4:$AE$34,6,FALSE),VLOOKUP($A28,EnrollData2324,'2324 Jun 24 Enroll'!F$1,FALSE),VLOOKUP($A28,'ESA Calculations 2324 Supp'!$A$4:$AE$34,6,FALSE))*Apport_222A2324s,3)</f>
        <v>0.35199999999999998</v>
      </c>
      <c r="G28">
        <f>ROUND(IF(VLOOKUP($A28,EnrollData2324,'2324 Jun 24 Enroll'!G$1,FALSE)=VLOOKUP($A28,'ESA Calculations 2324 Supp'!$A$4:$AE$34,7,FALSE),VLOOKUP($A28,EnrollData2324,'2324 Jun 24 Enroll'!G$1,FALSE),VLOOKUP($A28,'ESA Calculations 2324 Supp'!$A$4:$AE$34,7,FALSE))*Apport_210A2324s,3)</f>
        <v>0.74399999999999999</v>
      </c>
      <c r="H28">
        <f>ROUND(IF(VLOOKUP($A28,EnrollData2324,'2324 Jun 24 Enroll'!H$1,FALSE)=VLOOKUP($A28,'ESA Calculations 2324 Supp'!$A$4:$AE$34,8,FALSE),VLOOKUP($A28,EnrollData2324,'2324 Jun 24 Enroll'!H$1,FALSE),VLOOKUP($A28,'ESA Calculations 2324 Supp'!$A$4:$AE$34,8,FALSE))*Apport_213A2324s,3)</f>
        <v>0.53800000000000003</v>
      </c>
      <c r="I28">
        <f>ROUND(IF(VLOOKUP($A28,EnrollData2324,'2324 Jun 24 Enroll'!I$1,FALSE)+VLOOKUP($A28,EnrollData2324,'2324 Jun 24 Enroll'!M$1,FALSE)-VLOOKUP($A28,EnrollData2324,'2324 Jun 24 Enroll'!J$1,FALSE)=VLOOKUP($A28,'ESA Calculations 2324 Supp'!$A$4:$AE$34,9,FALSE)+VLOOKUP($A28,'ESA Calculations 2324 Supp'!$A$4:$AE$34,18,FALSE)-VLOOKUP($A28,'ESA Calculations 2324 Supp'!$A$4:$AE$34,10,FALSE),VLOOKUP($A28,EnrollData2324,'2324 Jun 24 Enroll'!I$1,FALSE)+VLOOKUP($A28,EnrollData2324,'2324 Jun 24 Enroll'!M$1,FALSE)-VLOOKUP($A28,EnrollData2324,'2324 Jun 24 Enroll'!J$1,FALSE),VLOOKUP($A28,'ESA Calculations 2324 Supp'!$A$4:$AE$34,9,FALSE)+VLOOKUP($A28,'ESA Calculations 2324 Supp'!$A$4:$AE$34,18,FALSE)-VLOOKUP($A28,'ESA Calculations 2324 Supp'!$A$4:$AE$34,10,FALSE))*Apport_216A2324s,3)</f>
        <v>0</v>
      </c>
      <c r="J28">
        <f>ROUND(SUM(D28:I28)/IF(VLOOKUP($A28,EnrollData2324,'2324 Jun 24 Enroll'!M$1,FALSE)+VLOOKUP($A28,EnrollData2324,'2324 Jun 24 Enroll'!D$1,FALSE)=VLOOKUP($A28,'ESA Calculations 2324 Supp'!$A$4:$AE$34,18,FALSE)+VLOOKUP($A28,'ESA Calculations 2324 Supp'!$A$4:$AE$34,4,FALSE),VLOOKUP($A28,EnrollData2324,'2324 Jun 24 Enroll'!M$1,FALSE)+VLOOKUP($A28,EnrollData2324,'2324 Jun 24 Enroll'!D$1,FALSE),VLOOKUP($A28,'ESA Calculations 2324 Supp'!$A$4:$AE$34,18,FALSE)+VLOOKUP($A28,'ESA Calculations 2324 Supp'!$A$4:$AE$34,4,FALSE)),5)</f>
        <v>6.0589999999999998E-2</v>
      </c>
      <c r="K28" s="11">
        <f t="shared" si="1"/>
        <v>4.3699999999999998E-3</v>
      </c>
      <c r="L28">
        <f>ROUND(IF(VLOOKUP($A28,EnrollData2324,'2324 Jun 24 Enroll'!D$1,FALSE)=VLOOKUP($A28,'ESA Calculations 2324 Supp'!$A$4:$AE$34,4,FALSE),VLOOKUP($A28,EnrollData2324,'2324 Jun 24 Enroll'!D$1,FALSE),VLOOKUP($A28,'ESA Calculations 2324 Supp'!$A$4:$AE$34,4,FALSE))*K28,3)</f>
        <v>0</v>
      </c>
      <c r="M28">
        <f>ROUND(IF(VLOOKUP($A28,EnrollData2324,'2324 Jun 24 Enroll'!E$1,FALSE)=VLOOKUP($A28,'ESA Calculations 2324 Supp'!$A$4:$AE$34,5,FALSE),VLOOKUP($A28,EnrollData2324,'2324 Jun 24 Enroll'!E$1,FALSE),VLOOKUP($A28,'ESA Calculations 2324 Supp'!$A$4:$AE$34,5,FALSE))*K28,3)</f>
        <v>0.14099999999999999</v>
      </c>
      <c r="N28">
        <f>ROUND(IF(VLOOKUP($A28,EnrollData2324,'2324 Jun 24 Enroll'!F$1,FALSE)=VLOOKUP($A28,'ESA Calculations 2324 Supp'!$A$4:$AE$34,6,FALSE),VLOOKUP($A28,EnrollData2324,'2324 Jun 24 Enroll'!F$1,FALSE),VLOOKUP($A28,'ESA Calculations 2324 Supp'!$A$4:$AE$34,6,FALSE))*Apport_223A2324s,3)</f>
        <v>2.9000000000000001E-2</v>
      </c>
      <c r="O28">
        <f>ROUND(IF(VLOOKUP($A28,EnrollData2324,'2324 Jun 24 Enroll'!G$1,FALSE)=VLOOKUP($A28,'ESA Calculations 2324 Supp'!$A$4:$AE$34,7,FALSE),VLOOKUP($A28,EnrollData2324,'2324 Jun 24 Enroll'!G$1,FALSE),VLOOKUP($A28,'ESA Calculations 2324 Supp'!$A$4:$AE$34,7,FALSE))*Apport_211A2324s,3)</f>
        <v>6.2E-2</v>
      </c>
      <c r="P28">
        <f>ROUND(IF(VLOOKUP($A28,EnrollData2324,'2324 Jun 24 Enroll'!H$1,FALSE)=VLOOKUP($A28,'ESA Calculations 2324 Supp'!$A$4:$AE$34,8,FALSE),VLOOKUP($A28,EnrollData2324,'2324 Jun 24 Enroll'!H$1,FALSE),VLOOKUP($A28,'ESA Calculations 2324 Supp'!$A$4:$AE$34,8,FALSE))*Apport_214A2324s,3)</f>
        <v>4.4999999999999998E-2</v>
      </c>
      <c r="Q28">
        <f>ROUND(IF(VLOOKUP($A28,EnrollData2324,'2324 Jun 24 Enroll'!I$1,FALSE)+VLOOKUP($A28,EnrollData2324,'2324 Jun 24 Enroll'!M$1,FALSE)-VLOOKUP($A28,EnrollData2324,'2324 Jun 24 Enroll'!J$1,FALSE)=VLOOKUP($A28,'ESA Calculations 2324 Supp'!$A$4:$AE$34,9,FALSE)+VLOOKUP($A28,'ESA Calculations 2324 Supp'!$A$4:$AE$34,18,FALSE)-VLOOKUP($A28,'ESA Calculations 2324 Supp'!$A$4:$AE$34,10,FALSE),VLOOKUP($A28,EnrollData2324,'2324 Jun 24 Enroll'!I$1,FALSE)+VLOOKUP($A28,EnrollData2324,'2324 Jun 24 Enroll'!M$1,FALSE)-VLOOKUP($A28,EnrollData2324,'2324 Jun 24 Enroll'!J$1,FALSE),VLOOKUP($A28,'ESA Calculations 2324 Supp'!$A$4:$AE$34,9,FALSE)+VLOOKUP($A28,'ESA Calculations 2324 Supp'!$A$4:$AE$34,18,FALSE)-VLOOKUP($A28,'ESA Calculations 2324 Supp'!$A$4:$AE$34,10,FALSE))*Apport_217A2324s,3)</f>
        <v>0</v>
      </c>
      <c r="R28">
        <f>ROUND(SUM(L28:Q28)/IF(VLOOKUP($A28,EnrollData2324,'2324 Jun 24 Enroll'!M$1,FALSE)+VLOOKUP($A28,EnrollData2324,'2324 Jun 24 Enroll'!D$1,FALSE)=VLOOKUP($A28,'ESA Calculations 2324 Supp'!$A$4:$AE$34,18,FALSE)+VLOOKUP($A28,'ESA Calculations 2324 Supp'!$A$4:$AE$34,4,FALSE),VLOOKUP($A28,EnrollData2324,'2324 Jun 24 Enroll'!M$1,FALSE)+VLOOKUP($A28,EnrollData2324,'2324 Jun 24 Enroll'!D$1,FALSE),VLOOKUP($A28,'ESA Calculations 2324 Supp'!$A$4:$AE$34,18,FALSE)+VLOOKUP($A28,'ESA Calculations 2324 Supp'!$A$4:$AE$34,4,FALSE)),5)</f>
        <v>4.1999999999999997E-3</v>
      </c>
      <c r="S28" s="11">
        <f t="shared" si="2"/>
        <v>1.8689600000000001E-2</v>
      </c>
      <c r="T28">
        <f>ROUND(IF(VLOOKUP($A28,EnrollData2324,'2324 Jun 24 Enroll'!D$1,FALSE)=VLOOKUP($A28,'ESA Calculations 2324 Supp'!$A$4:$AE$34,4,FALSE),VLOOKUP($A28,EnrollData2324,'2324 Jun 24 Enroll'!D$1,FALSE),VLOOKUP($A28,'ESA Calculations 2324 Supp'!$A$4:$AE$34,4,FALSE))*S28,3)</f>
        <v>0</v>
      </c>
      <c r="U28">
        <f>ROUND(IF(VLOOKUP($A28,EnrollData2324,'2324 Jun 24 Enroll'!E$1,FALSE)=VLOOKUP($A28,'ESA Calculations 2324 Supp'!$A$4:$AE$34,5,FALSE),VLOOKUP($A28,EnrollData2324,'2324 Jun 24 Enroll'!E$1,FALSE),VLOOKUP($A28,'ESA Calculations 2324 Supp'!$A$4:$AE$34,5,FALSE))*S28,3)</f>
        <v>0.60199999999999998</v>
      </c>
      <c r="V28">
        <f>ROUND(IF(VLOOKUP($A28,EnrollData2324,'2324 Jun 24 Enroll'!F$1,FALSE)=VLOOKUP($A28,'ESA Calculations 2324 Supp'!$A$4:$AE$34,6,FALSE),VLOOKUP($A28,EnrollData2324,'2324 Jun 24 Enroll'!F$1,FALSE),VLOOKUP($A28,'ESA Calculations 2324 Supp'!$A$4:$AE$34,6,FALSE))*Apport_224A2324s,3)</f>
        <v>0.129</v>
      </c>
      <c r="W28">
        <f>ROUND(IF(VLOOKUP($A28,EnrollData2324,'2324 Jun 24 Enroll'!G$1,FALSE)=VLOOKUP($A28,'ESA Calculations 2324 Supp'!$A$4:$AE$34,7,FALSE),VLOOKUP($A28,EnrollData2324,'2324 Jun 24 Enroll'!G$1,FALSE),VLOOKUP($A28,'ESA Calculations 2324 Supp'!$A$4:$AE$34,7,FALSE))*Apport_212A2324s,3)</f>
        <v>0.27300000000000002</v>
      </c>
      <c r="X28">
        <f>ROUND(IF(VLOOKUP($A28,EnrollData2324,'2324 Jun 24 Enroll'!H$1,FALSE)=VLOOKUP($A28,'ESA Calculations 2324 Supp'!$A$4:$AE$34,8,FALSE),VLOOKUP($A28,EnrollData2324,'2324 Jun 24 Enroll'!H$1,FALSE),VLOOKUP($A28,'ESA Calculations 2324 Supp'!$A$4:$AE$34,8,FALSE))*Apport_215A2324s,3)</f>
        <v>0.19400000000000001</v>
      </c>
      <c r="Y28">
        <f>ROUND(IF(VLOOKUP($A28,EnrollData2324,'2324 Jun 24 Enroll'!I$1,FALSE)+VLOOKUP($A28,EnrollData2324,'2324 Jun 24 Enroll'!M$1,FALSE)-VLOOKUP($A28,EnrollData2324,'2324 Jun 24 Enroll'!J$1,FALSE)=VLOOKUP($A28,'ESA Calculations 2324 Supp'!$A$4:$AE$34,9,FALSE)+VLOOKUP($A28,'ESA Calculations 2324 Supp'!$A$4:$AE$34,18,FALSE)-VLOOKUP($A28,'ESA Calculations 2324 Supp'!$A$4:$AE$34,10,FALSE),VLOOKUP($A28,EnrollData2324,'2324 Jun 24 Enroll'!I$1,FALSE)+VLOOKUP($A28,EnrollData2324,'2324 Jun 24 Enroll'!M$1,FALSE)-VLOOKUP($A28,EnrollData2324,'2324 Jun 24 Enroll'!J$1,FALSE),VLOOKUP($A28,'ESA Calculations 2324 Supp'!$A$4:$AE$34,9,FALSE)+VLOOKUP($A28,'ESA Calculations 2324 Supp'!$A$4:$AE$34,18,FALSE)-VLOOKUP($A28,'ESA Calculations 2324 Supp'!$A$4:$AE$34,10,FALSE))*Apport_218A2324s,3)</f>
        <v>0</v>
      </c>
      <c r="Z28">
        <f>ROUND(SUM(T28:Y28)/IF(VLOOKUP($A28,EnrollData2324,'2324 Jun 24 Enroll'!M$1,FALSE)+VLOOKUP($A28,EnrollData2324,'2324 Jun 24 Enroll'!D$1,FALSE)=VLOOKUP($A28,'ESA Calculations 2324 Supp'!$A$4:$AE$34,18,FALSE)+VLOOKUP($A28,'ESA Calculations 2324 Supp'!$A$4:$AE$34,4,FALSE),VLOOKUP($A28,EnrollData2324,'2324 Jun 24 Enroll'!M$1,FALSE)+VLOOKUP($A28,EnrollData2324,'2324 Jun 24 Enroll'!D$1,FALSE),VLOOKUP($A28,'ESA Calculations 2324 Supp'!$A$4:$AE$34,18,FALSE)+VLOOKUP($A28,'ESA Calculations 2324 Supp'!$A$4:$AE$34,4,FALSE)),5)</f>
        <v>1.8149999999999999E-2</v>
      </c>
      <c r="AA28" s="6" cm="1">
        <f t="array" ref="AA28">ROUND($J28*CIS_Base_Salary2324s*VLOOKUP($A28,EnrollData2324,'2324 Jun 24 Enroll'!S$1,FALSE),2)</f>
        <v>4670.9799999999996</v>
      </c>
      <c r="AB28" s="6" cm="1">
        <f t="array" ref="AB28">ROUND($J28*CIS_Inc_Salary2324s*(VLOOKUP($A28,EnrollData2324,'2324 Jun 24 Enroll'!T$1,FALSE)+VLOOKUP($A28,EnrollData2324,'2324 Jun 24 Enroll'!U$1,FALSE)),2)-AA28</f>
        <v>172.84000000000015</v>
      </c>
      <c r="AC28" s="6" cm="1">
        <f t="array" ref="AC28">ROUND($R28*CAS_Base_Salary2324s*VLOOKUP($A28,EnrollData2324,'2324 Jun 24 Enroll'!S$1,FALSE),2)</f>
        <v>480.62</v>
      </c>
      <c r="AD28" s="6" cm="1">
        <f t="array" ref="AD28">ROUND($R28*CAS_Inc_Salary2324s*VLOOKUP($A28,EnrollData2324,'2324 Jun 24 Enroll'!T$1,FALSE),2)-AC28</f>
        <v>17.779999999999973</v>
      </c>
      <c r="AE28" s="6" cm="1">
        <f t="array" ref="AE28">ROUND($Z28*CLS_Base_Salary2324s*VLOOKUP($A28,EnrollData2324,'2324 Jun 24 Enroll'!S$1,FALSE),2)</f>
        <v>1003.76</v>
      </c>
      <c r="AF28" s="6" cm="1">
        <f t="array" ref="AF28">ROUND($Z28*CLS_Inc_Salary2324s*VLOOKUP($A28,EnrollData2324,'2324 Jun 24 Enroll'!T$1,FALSE),2)-AE28</f>
        <v>37.130000000000109</v>
      </c>
      <c r="AG28" cm="1">
        <f t="array" ref="AG28">ROUND(($J28+$R28)*Apport_124X2324s,2)</f>
        <v>797.69</v>
      </c>
      <c r="AH28" s="69">
        <f t="shared" si="3"/>
        <v>74.639999999999986</v>
      </c>
      <c r="AI28" cm="1">
        <f t="array" ref="AI28">ROUND($Z28*Apport_124X2324s,2)</f>
        <v>223.46</v>
      </c>
      <c r="AJ28" cm="1">
        <f t="array" ref="AJ28">ROUND($Z28*Apport_621X2324s*Apport_125X2324s,2)-AI28</f>
        <v>119.14000000000001</v>
      </c>
      <c r="AK28" cm="1">
        <f t="array" ref="AK28">ROUND((AA28+AC28)*Apport_126X2324s,2)</f>
        <v>925.74</v>
      </c>
      <c r="AL28" cm="1">
        <f t="array" ref="AL28">ROUND((AB28+AD28)*Apport_127X2324s,2)</f>
        <v>33.03</v>
      </c>
      <c r="AM28" cm="1">
        <f t="array" ref="AM28">ROUND(AE28*Apport_128X2324s,2)</f>
        <v>221.43</v>
      </c>
      <c r="AN28" cm="1">
        <f t="array" ref="AN28">ROUND(AF28*Apport_129X2324s,2)</f>
        <v>6.89</v>
      </c>
      <c r="AO28" cm="1">
        <f t="array" ref="AO28">ROUND(($J28*CIS_Inc_Salary2324s*(VLOOKUP($A28,EnrollData2324,'2324 Jun 24 Enroll'!T$1,FALSE)+VLOOKUP($A28,EnrollData2324,'2324 Jun 24 Enroll'!U$1,FALSE))/Apport_613Xpd)*Apport_614Xpd,2)</f>
        <v>80.73</v>
      </c>
      <c r="AP28" cm="1">
        <f t="array" ref="AP28">ROUND(AO28*Apport_127X2324s,2)</f>
        <v>13.99</v>
      </c>
      <c r="AQ28">
        <f t="shared" si="4"/>
        <v>33.75</v>
      </c>
      <c r="AR28" s="6" cm="1">
        <f t="array" ref="AR28">ROUND((IF(VLOOKUP($A28,EnrollData2324,'2324 Jun 24 Enroll'!D$1,FALSE)=VLOOKUP($A28,'ESA Calculations 2324 Supp'!$A$4:$AE$34,4,FALSE),VLOOKUP($A28,EnrollData2324,'2324 Jun 24 Enroll'!D$1,FALSE),VLOOKUP($A28,'ESA Calculations 2324 Supp'!$A$4:$AE$34,4,FALSE))*Apport_M802324s+IF(VLOOKUP($A28,EnrollData2324,'2324 Jun 24 Enroll'!M$1,FALSE)=VLOOKUP($A28,'ESA Calculations 2324 Supp'!$A$4:$AE$34,18,FALSE),VLOOKUP($A28,EnrollData2324,'2324 Jun 24 Enroll'!M$1,FALSE),VLOOKUP($A28,'ESA Calculations 2324 Supp'!$A$4:$AE$34,18,FALSE))*Apport_M802324s+IF((VLOOKUP($A28,EnrollData2324,'2324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Enroll'!L$1,FALSE))=VLOOKUP($A28,EnrollData2324,'2324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Enroll'!L$1,FALSE),(VLOOKUP($A28,EnrollData2324,'2324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Enroll'!L$1,FALSE)),(VLOOKUP($A28,EnrollData2324,'2324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Enroll'!L$1,FALSE)))*Apport_M812324s)/(IF(VLOOKUP($A28,EnrollData2324,'2324 Jun 24 Enroll'!M$1,FALSE)=VLOOKUP($A28,'ESA Calculations 2324 Supp'!$A$4:$AE$34,18,FALSE),VLOOKUP($A28,EnrollData2324,'2324 Jun 24 Enroll'!M$1,FALSE),VLOOKUP($A28,'ESA Calculations 2324 Supp'!$A$4:$AE$34,18,FALSE))+IF(VLOOKUP($A28,EnrollData2324,'2324 Jun 24 Enroll'!D$1,FALSE)=VLOOKUP($A28,'ESA Calculations 2324 Supp'!$A$4:$AE$34,4,FALSE),VLOOKUP($A28,EnrollData2324,'2324 Jun 24 Enroll'!D$1,FALSE),VLOOKUP($A28,'ESA Calculations 2324 Supp'!$A$4:$AE$34,4,FALSE))),2)</f>
        <v>1504.44</v>
      </c>
      <c r="AS28" s="7">
        <f t="shared" si="5"/>
        <v>10418.040000000001</v>
      </c>
      <c r="AT28" s="6">
        <f>IF(VLOOKUP($A28,EnrollData2324,'2324 Jun 24 Enroll'!AA$1,FALSE)=VLOOKUP($A28,'ESA Calculations 2324 Supp'!$A$4:$AE$34,24,FALSE),VLOOKUP($A28,EnrollData2324,'2324 Jun 24 Enroll'!AA$1,FALSE),VLOOKUP($A28,'ESA Calculations 2324 Supp'!$A$4:$AE$34,24,FALSE))</f>
        <v>66</v>
      </c>
    </row>
    <row r="29" spans="1:46">
      <c r="A29" s="40" t="s">
        <v>592</v>
      </c>
      <c r="B29" s="40" t="s">
        <v>593</v>
      </c>
      <c r="C29" s="11">
        <f>ROUND((IFERROR((1/IF(VLOOKUP($A29,EnrollData2324,28,FALSE)=VLOOKUP($A29,'ESA Calculations 2324 Supp'!$A$4:$AE$34,3,FALSE),VLOOKUP($A29,EnrollData2324,28,FALSE),VLOOKUP($A29,'ESA Calculations 2324 Supp'!$A$4:$AE$34,3,FALSE)))*(1+Apport_Z315),0))+Apport_201A2324s,6)</f>
        <v>7.3449E-2</v>
      </c>
      <c r="D29">
        <f>ROUND(IF(VLOOKUP($A29,EnrollData2324,'2324 Jun 24 Enroll'!D$1,FALSE)=VLOOKUP($A29,'ESA Calculations 2324 Supp'!$A$4:$AE$34,4,FALSE),VLOOKUP($A29,EnrollData2324,'2324 Jun 24 Enroll'!D$1,FALSE),VLOOKUP($A29,'ESA Calculations 2324 Supp'!$A$4:$AE$34,4,FALSE))*C29,3)</f>
        <v>0</v>
      </c>
      <c r="E29">
        <f>ROUND(IF(VLOOKUP($A29,EnrollData2324,'2324 Jun 24 Enroll'!E$1,FALSE)=VLOOKUP($A29,'ESA Calculations 2324 Supp'!$A$4:$AE$34,5,FALSE),VLOOKUP($A29,EnrollData2324,'2324 Jun 24 Enroll'!E$1,FALSE),VLOOKUP($A29,'ESA Calculations 2324 Supp'!$A$4:$AE$34,5,FALSE))*C29,3)</f>
        <v>1.3959999999999999</v>
      </c>
      <c r="F29">
        <f>ROUND(IF(VLOOKUP($A29,EnrollData2324,'2324 Jun 24 Enroll'!F$1,FALSE)=VLOOKUP($A29,'ESA Calculations 2324 Supp'!$A$4:$AE$34,6,FALSE),VLOOKUP($A29,EnrollData2324,'2324 Jun 24 Enroll'!F$1,FALSE),VLOOKUP($A29,'ESA Calculations 2324 Supp'!$A$4:$AE$34,6,FALSE))*Apport_222A2324s,3)</f>
        <v>0.28999999999999998</v>
      </c>
      <c r="G29">
        <f>ROUND(IF(VLOOKUP($A29,EnrollData2324,'2324 Jun 24 Enroll'!G$1,FALSE)=VLOOKUP($A29,'ESA Calculations 2324 Supp'!$A$4:$AE$34,7,FALSE),VLOOKUP($A29,EnrollData2324,'2324 Jun 24 Enroll'!G$1,FALSE),VLOOKUP($A29,'ESA Calculations 2324 Supp'!$A$4:$AE$34,7,FALSE))*Apport_210A2324s,3)</f>
        <v>0.68600000000000005</v>
      </c>
      <c r="H29">
        <f>ROUND(IF(VLOOKUP($A29,EnrollData2324,'2324 Jun 24 Enroll'!H$1,FALSE)=VLOOKUP($A29,'ESA Calculations 2324 Supp'!$A$4:$AE$34,8,FALSE),VLOOKUP($A29,EnrollData2324,'2324 Jun 24 Enroll'!H$1,FALSE),VLOOKUP($A29,'ESA Calculations 2324 Supp'!$A$4:$AE$34,8,FALSE))*Apport_213A2324s,3)</f>
        <v>0.29599999999999999</v>
      </c>
      <c r="I29">
        <f>ROUND(IF(VLOOKUP($A29,EnrollData2324,'2324 Jun 24 Enroll'!I$1,FALSE)+VLOOKUP($A29,EnrollData2324,'2324 Jun 24 Enroll'!M$1,FALSE)-VLOOKUP($A29,EnrollData2324,'2324 Jun 24 Enroll'!J$1,FALSE)=VLOOKUP($A29,'ESA Calculations 2324 Supp'!$A$4:$AE$34,9,FALSE)+VLOOKUP($A29,'ESA Calculations 2324 Supp'!$A$4:$AE$34,18,FALSE)-VLOOKUP($A29,'ESA Calculations 2324 Supp'!$A$4:$AE$34,10,FALSE),VLOOKUP($A29,EnrollData2324,'2324 Jun 24 Enroll'!I$1,FALSE)+VLOOKUP($A29,EnrollData2324,'2324 Jun 24 Enroll'!M$1,FALSE)-VLOOKUP($A29,EnrollData2324,'2324 Jun 24 Enroll'!J$1,FALSE),VLOOKUP($A29,'ESA Calculations 2324 Supp'!$A$4:$AE$34,9,FALSE)+VLOOKUP($A29,'ESA Calculations 2324 Supp'!$A$4:$AE$34,18,FALSE)-VLOOKUP($A29,'ESA Calculations 2324 Supp'!$A$4:$AE$34,10,FALSE))*Apport_216A2324s,3)</f>
        <v>1.125</v>
      </c>
      <c r="J29">
        <f>ROUND(SUM(D29:I29)/IF(VLOOKUP($A29,EnrollData2324,'2324 Jun 24 Enroll'!M$1,FALSE)+VLOOKUP($A29,EnrollData2324,'2324 Jun 24 Enroll'!D$1,FALSE)=VLOOKUP($A29,'ESA Calculations 2324 Supp'!$A$4:$AE$34,18,FALSE)+VLOOKUP($A29,'ESA Calculations 2324 Supp'!$A$4:$AE$34,4,FALSE),VLOOKUP($A29,EnrollData2324,'2324 Jun 24 Enroll'!M$1,FALSE)+VLOOKUP($A29,EnrollData2324,'2324 Jun 24 Enroll'!D$1,FALSE),VLOOKUP($A29,'ESA Calculations 2324 Supp'!$A$4:$AE$34,18,FALSE)+VLOOKUP($A29,'ESA Calculations 2324 Supp'!$A$4:$AE$34,4,FALSE)),5)</f>
        <v>5.5989999999999998E-2</v>
      </c>
      <c r="K29" s="11">
        <f t="shared" si="1"/>
        <v>4.3699999999999998E-3</v>
      </c>
      <c r="L29">
        <f>ROUND(IF(VLOOKUP($A29,EnrollData2324,'2324 Jun 24 Enroll'!D$1,FALSE)=VLOOKUP($A29,'ESA Calculations 2324 Supp'!$A$4:$AE$34,4,FALSE),VLOOKUP($A29,EnrollData2324,'2324 Jun 24 Enroll'!D$1,FALSE),VLOOKUP($A29,'ESA Calculations 2324 Supp'!$A$4:$AE$34,4,FALSE))*K29,3)</f>
        <v>0</v>
      </c>
      <c r="M29">
        <f>ROUND(IF(VLOOKUP($A29,EnrollData2324,'2324 Jun 24 Enroll'!E$1,FALSE)=VLOOKUP($A29,'ESA Calculations 2324 Supp'!$A$4:$AE$34,5,FALSE),VLOOKUP($A29,EnrollData2324,'2324 Jun 24 Enroll'!E$1,FALSE),VLOOKUP($A29,'ESA Calculations 2324 Supp'!$A$4:$AE$34,5,FALSE))*K29,3)</f>
        <v>8.3000000000000004E-2</v>
      </c>
      <c r="N29">
        <f>ROUND(IF(VLOOKUP($A29,EnrollData2324,'2324 Jun 24 Enroll'!F$1,FALSE)=VLOOKUP($A29,'ESA Calculations 2324 Supp'!$A$4:$AE$34,6,FALSE),VLOOKUP($A29,EnrollData2324,'2324 Jun 24 Enroll'!F$1,FALSE),VLOOKUP($A29,'ESA Calculations 2324 Supp'!$A$4:$AE$34,6,FALSE))*Apport_223A2324s,3)</f>
        <v>2.4E-2</v>
      </c>
      <c r="O29">
        <f>ROUND(IF(VLOOKUP($A29,EnrollData2324,'2324 Jun 24 Enroll'!G$1,FALSE)=VLOOKUP($A29,'ESA Calculations 2324 Supp'!$A$4:$AE$34,7,FALSE),VLOOKUP($A29,EnrollData2324,'2324 Jun 24 Enroll'!G$1,FALSE),VLOOKUP($A29,'ESA Calculations 2324 Supp'!$A$4:$AE$34,7,FALSE))*Apport_211A2324s,3)</f>
        <v>5.7000000000000002E-2</v>
      </c>
      <c r="P29">
        <f>ROUND(IF(VLOOKUP($A29,EnrollData2324,'2324 Jun 24 Enroll'!H$1,FALSE)=VLOOKUP($A29,'ESA Calculations 2324 Supp'!$A$4:$AE$34,8,FALSE),VLOOKUP($A29,EnrollData2324,'2324 Jun 24 Enroll'!H$1,FALSE),VLOOKUP($A29,'ESA Calculations 2324 Supp'!$A$4:$AE$34,8,FALSE))*Apport_214A2324s,3)</f>
        <v>2.5000000000000001E-2</v>
      </c>
      <c r="Q29">
        <f>ROUND(IF(VLOOKUP($A29,EnrollData2324,'2324 Jun 24 Enroll'!I$1,FALSE)+VLOOKUP($A29,EnrollData2324,'2324 Jun 24 Enroll'!M$1,FALSE)-VLOOKUP($A29,EnrollData2324,'2324 Jun 24 Enroll'!J$1,FALSE)=VLOOKUP($A29,'ESA Calculations 2324 Supp'!$A$4:$AE$34,9,FALSE)+VLOOKUP($A29,'ESA Calculations 2324 Supp'!$A$4:$AE$34,18,FALSE)-VLOOKUP($A29,'ESA Calculations 2324 Supp'!$A$4:$AE$34,10,FALSE),VLOOKUP($A29,EnrollData2324,'2324 Jun 24 Enroll'!I$1,FALSE)+VLOOKUP($A29,EnrollData2324,'2324 Jun 24 Enroll'!M$1,FALSE)-VLOOKUP($A29,EnrollData2324,'2324 Jun 24 Enroll'!J$1,FALSE),VLOOKUP($A29,'ESA Calculations 2324 Supp'!$A$4:$AE$34,9,FALSE)+VLOOKUP($A29,'ESA Calculations 2324 Supp'!$A$4:$AE$34,18,FALSE)-VLOOKUP($A29,'ESA Calculations 2324 Supp'!$A$4:$AE$34,10,FALSE))*Apport_217A2324s,3)</f>
        <v>9.0999999999999998E-2</v>
      </c>
      <c r="R29">
        <f>ROUND(SUM(L29:Q29)/IF(VLOOKUP($A29,EnrollData2324,'2324 Jun 24 Enroll'!M$1,FALSE)+VLOOKUP($A29,EnrollData2324,'2324 Jun 24 Enroll'!D$1,FALSE)=VLOOKUP($A29,'ESA Calculations 2324 Supp'!$A$4:$AE$34,18,FALSE)+VLOOKUP($A29,'ESA Calculations 2324 Supp'!$A$4:$AE$34,4,FALSE),VLOOKUP($A29,EnrollData2324,'2324 Jun 24 Enroll'!M$1,FALSE)+VLOOKUP($A29,EnrollData2324,'2324 Jun 24 Enroll'!D$1,FALSE),VLOOKUP($A29,'ESA Calculations 2324 Supp'!$A$4:$AE$34,18,FALSE)+VLOOKUP($A29,'ESA Calculations 2324 Supp'!$A$4:$AE$34,4,FALSE)),5)</f>
        <v>4.13E-3</v>
      </c>
      <c r="S29" s="11">
        <f t="shared" si="2"/>
        <v>1.8689600000000001E-2</v>
      </c>
      <c r="T29">
        <f>ROUND(IF(VLOOKUP($A29,EnrollData2324,'2324 Jun 24 Enroll'!D$1,FALSE)=VLOOKUP($A29,'ESA Calculations 2324 Supp'!$A$4:$AE$34,4,FALSE),VLOOKUP($A29,EnrollData2324,'2324 Jun 24 Enroll'!D$1,FALSE),VLOOKUP($A29,'ESA Calculations 2324 Supp'!$A$4:$AE$34,4,FALSE))*S29,3)</f>
        <v>0</v>
      </c>
      <c r="U29">
        <f>ROUND(IF(VLOOKUP($A29,EnrollData2324,'2324 Jun 24 Enroll'!E$1,FALSE)=VLOOKUP($A29,'ESA Calculations 2324 Supp'!$A$4:$AE$34,5,FALSE),VLOOKUP($A29,EnrollData2324,'2324 Jun 24 Enroll'!E$1,FALSE),VLOOKUP($A29,'ESA Calculations 2324 Supp'!$A$4:$AE$34,5,FALSE))*S29,3)</f>
        <v>0.35499999999999998</v>
      </c>
      <c r="V29">
        <f>ROUND(IF(VLOOKUP($A29,EnrollData2324,'2324 Jun 24 Enroll'!F$1,FALSE)=VLOOKUP($A29,'ESA Calculations 2324 Supp'!$A$4:$AE$34,6,FALSE),VLOOKUP($A29,EnrollData2324,'2324 Jun 24 Enroll'!F$1,FALSE),VLOOKUP($A29,'ESA Calculations 2324 Supp'!$A$4:$AE$34,6,FALSE))*Apport_224A2324s,3)</f>
        <v>0.106</v>
      </c>
      <c r="W29">
        <f>ROUND(IF(VLOOKUP($A29,EnrollData2324,'2324 Jun 24 Enroll'!G$1,FALSE)=VLOOKUP($A29,'ESA Calculations 2324 Supp'!$A$4:$AE$34,7,FALSE),VLOOKUP($A29,EnrollData2324,'2324 Jun 24 Enroll'!G$1,FALSE),VLOOKUP($A29,'ESA Calculations 2324 Supp'!$A$4:$AE$34,7,FALSE))*Apport_212A2324s,3)</f>
        <v>0.251</v>
      </c>
      <c r="X29">
        <f>ROUND(IF(VLOOKUP($A29,EnrollData2324,'2324 Jun 24 Enroll'!H$1,FALSE)=VLOOKUP($A29,'ESA Calculations 2324 Supp'!$A$4:$AE$34,8,FALSE),VLOOKUP($A29,EnrollData2324,'2324 Jun 24 Enroll'!H$1,FALSE),VLOOKUP($A29,'ESA Calculations 2324 Supp'!$A$4:$AE$34,8,FALSE))*Apport_215A2324s,3)</f>
        <v>0.106</v>
      </c>
      <c r="Y29">
        <f>ROUND(IF(VLOOKUP($A29,EnrollData2324,'2324 Jun 24 Enroll'!I$1,FALSE)+VLOOKUP($A29,EnrollData2324,'2324 Jun 24 Enroll'!M$1,FALSE)-VLOOKUP($A29,EnrollData2324,'2324 Jun 24 Enroll'!J$1,FALSE)=VLOOKUP($A29,'ESA Calculations 2324 Supp'!$A$4:$AE$34,9,FALSE)+VLOOKUP($A29,'ESA Calculations 2324 Supp'!$A$4:$AE$34,18,FALSE)-VLOOKUP($A29,'ESA Calculations 2324 Supp'!$A$4:$AE$34,10,FALSE),VLOOKUP($A29,EnrollData2324,'2324 Jun 24 Enroll'!I$1,FALSE)+VLOOKUP($A29,EnrollData2324,'2324 Jun 24 Enroll'!M$1,FALSE)-VLOOKUP($A29,EnrollData2324,'2324 Jun 24 Enroll'!J$1,FALSE),VLOOKUP($A29,'ESA Calculations 2324 Supp'!$A$4:$AE$34,9,FALSE)+VLOOKUP($A29,'ESA Calculations 2324 Supp'!$A$4:$AE$34,18,FALSE)-VLOOKUP($A29,'ESA Calculations 2324 Supp'!$A$4:$AE$34,10,FALSE))*Apport_218A2324s,3)</f>
        <v>0.39100000000000001</v>
      </c>
      <c r="Z29">
        <f>ROUND(SUM(T29:Y29)/IF(VLOOKUP($A29,EnrollData2324,'2324 Jun 24 Enroll'!M$1,FALSE)+VLOOKUP($A29,EnrollData2324,'2324 Jun 24 Enroll'!D$1,FALSE)=VLOOKUP($A29,'ESA Calculations 2324 Supp'!$A$4:$AE$34,18,FALSE)+VLOOKUP($A29,'ESA Calculations 2324 Supp'!$A$4:$AE$34,4,FALSE),VLOOKUP($A29,EnrollData2324,'2324 Jun 24 Enroll'!M$1,FALSE)+VLOOKUP($A29,EnrollData2324,'2324 Jun 24 Enroll'!D$1,FALSE),VLOOKUP($A29,'ESA Calculations 2324 Supp'!$A$4:$AE$34,18,FALSE)+VLOOKUP($A29,'ESA Calculations 2324 Supp'!$A$4:$AE$34,4,FALSE)),5)</f>
        <v>1.7850000000000001E-2</v>
      </c>
      <c r="AA29" s="6" cm="1">
        <f t="array" ref="AA29">ROUND($J29*CIS_Base_Salary2324s*VLOOKUP($A29,EnrollData2324,'2324 Jun 24 Enroll'!S$1,FALSE),2)</f>
        <v>4072.04</v>
      </c>
      <c r="AB29" s="6" cm="1">
        <f t="array" ref="AB29">ROUND($J29*CIS_Inc_Salary2324s*(VLOOKUP($A29,EnrollData2324,'2324 Jun 24 Enroll'!T$1,FALSE)+VLOOKUP($A29,EnrollData2324,'2324 Jun 24 Enroll'!U$1,FALSE)),2)-AA29</f>
        <v>150.67000000000007</v>
      </c>
      <c r="AC29" s="6" cm="1">
        <f t="array" ref="AC29">ROUND($R29*CAS_Base_Salary2324s*VLOOKUP($A29,EnrollData2324,'2324 Jun 24 Enroll'!S$1,FALSE),2)</f>
        <v>445.85</v>
      </c>
      <c r="AD29" s="6" cm="1">
        <f t="array" ref="AD29">ROUND($R29*CAS_Inc_Salary2324s*VLOOKUP($A29,EnrollData2324,'2324 Jun 24 Enroll'!T$1,FALSE),2)-AC29</f>
        <v>16.5</v>
      </c>
      <c r="AE29" s="6" cm="1">
        <f t="array" ref="AE29">ROUND($Z29*CLS_Base_Salary2324s*VLOOKUP($A29,EnrollData2324,'2324 Jun 24 Enroll'!S$1,FALSE),2)</f>
        <v>931.29</v>
      </c>
      <c r="AF29" s="6" cm="1">
        <f t="array" ref="AF29">ROUND($Z29*CLS_Inc_Salary2324s*VLOOKUP($A29,EnrollData2324,'2324 Jun 24 Enroll'!T$1,FALSE),2)-AE29</f>
        <v>34.450000000000045</v>
      </c>
      <c r="AG29" cm="1">
        <f t="array" ref="AG29">ROUND(($J29+$R29)*Apport_124X2324s,2)</f>
        <v>740.2</v>
      </c>
      <c r="AH29" s="69">
        <f t="shared" si="3"/>
        <v>69.259999999999991</v>
      </c>
      <c r="AI29" cm="1">
        <f t="array" ref="AI29">ROUND($Z29*Apport_124X2324s,2)</f>
        <v>219.77</v>
      </c>
      <c r="AJ29" cm="1">
        <f t="array" ref="AJ29">ROUND($Z29*Apport_621X2324s*Apport_125X2324s,2)-AI29</f>
        <v>117.16999999999999</v>
      </c>
      <c r="AK29" cm="1">
        <f t="array" ref="AK29">ROUND((AA29+AC29)*Apport_126X2324s,2)</f>
        <v>811.86</v>
      </c>
      <c r="AL29" cm="1">
        <f t="array" ref="AL29">ROUND((AB29+AD29)*Apport_127X2324s,2)</f>
        <v>28.97</v>
      </c>
      <c r="AM29" cm="1">
        <f t="array" ref="AM29">ROUND(AE29*Apport_128X2324s,2)</f>
        <v>205.44</v>
      </c>
      <c r="AN29" cm="1">
        <f t="array" ref="AN29">ROUND(AF29*Apport_129X2324s,2)</f>
        <v>6.39</v>
      </c>
      <c r="AO29" cm="1">
        <f t="array" ref="AO29">ROUND(($J29*CIS_Inc_Salary2324s*(VLOOKUP($A29,EnrollData2324,'2324 Jun 24 Enroll'!T$1,FALSE)+VLOOKUP($A29,EnrollData2324,'2324 Jun 24 Enroll'!U$1,FALSE))/Apport_613Xpd)*Apport_614Xpd,2)</f>
        <v>70.38</v>
      </c>
      <c r="AP29" cm="1">
        <f t="array" ref="AP29">ROUND(AO29*Apport_127X2324s,2)</f>
        <v>12.2</v>
      </c>
      <c r="AQ29">
        <f t="shared" si="4"/>
        <v>31.19</v>
      </c>
      <c r="AR29" s="6" cm="1">
        <f t="array" ref="AR29">ROUND((IF(VLOOKUP($A29,EnrollData2324,'2324 Jun 24 Enroll'!D$1,FALSE)=VLOOKUP($A29,'ESA Calculations 2324 Supp'!$A$4:$AE$34,4,FALSE),VLOOKUP($A29,EnrollData2324,'2324 Jun 24 Enroll'!D$1,FALSE),VLOOKUP($A29,'ESA Calculations 2324 Supp'!$A$4:$AE$34,4,FALSE))*Apport_M802324s+IF(VLOOKUP($A29,EnrollData2324,'2324 Jun 24 Enroll'!M$1,FALSE)=VLOOKUP($A29,'ESA Calculations 2324 Supp'!$A$4:$AE$34,18,FALSE),VLOOKUP($A29,EnrollData2324,'2324 Jun 24 Enroll'!M$1,FALSE),VLOOKUP($A29,'ESA Calculations 2324 Supp'!$A$4:$AE$34,18,FALSE))*Apport_M802324s+IF((VLOOKUP($A29,EnrollData2324,'2324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Enroll'!L$1,FALSE))=VLOOKUP($A29,EnrollData2324,'2324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Enroll'!L$1,FALSE),(VLOOKUP($A29,EnrollData2324,'2324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Enroll'!L$1,FALSE)),(VLOOKUP($A29,EnrollData2324,'2324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Enroll'!L$1,FALSE)))*Apport_M812324s)/(IF(VLOOKUP($A29,EnrollData2324,'2324 Jun 24 Enroll'!M$1,FALSE)=VLOOKUP($A29,'ESA Calculations 2324 Supp'!$A$4:$AE$34,18,FALSE),VLOOKUP($A29,EnrollData2324,'2324 Jun 24 Enroll'!M$1,FALSE),VLOOKUP($A29,'ESA Calculations 2324 Supp'!$A$4:$AE$34,18,FALSE))+IF(VLOOKUP($A29,EnrollData2324,'2324 Jun 24 Enroll'!D$1,FALSE)=VLOOKUP($A29,'ESA Calculations 2324 Supp'!$A$4:$AE$34,4,FALSE),VLOOKUP($A29,EnrollData2324,'2324 Jun 24 Enroll'!D$1,FALSE),VLOOKUP($A29,'ESA Calculations 2324 Supp'!$A$4:$AE$34,4,FALSE))),2)</f>
        <v>1570.77</v>
      </c>
      <c r="AS29" s="7">
        <f t="shared" si="5"/>
        <v>9534.4</v>
      </c>
      <c r="AT29" s="6">
        <f>IF(VLOOKUP($A29,EnrollData2324,'2324 Jun 24 Enroll'!AA$1,FALSE)=VLOOKUP($A29,'ESA Calculations 2324 Supp'!$A$4:$AE$34,24,FALSE),VLOOKUP($A29,EnrollData2324,'2324 Jun 24 Enroll'!AA$1,FALSE),VLOOKUP($A29,'ESA Calculations 2324 Supp'!$A$4:$AE$34,24,FALSE))</f>
        <v>67.739999999999995</v>
      </c>
    </row>
    <row r="30" spans="1:46">
      <c r="A30" s="40" t="s">
        <v>799</v>
      </c>
      <c r="B30" s="40" t="s">
        <v>800</v>
      </c>
      <c r="C30" s="11">
        <f>ROUND((IFERROR((1/IF(VLOOKUP($A30,EnrollData2324,28,FALSE)=VLOOKUP($A30,'ESA Calculations 2324 Supp'!$A$4:$AE$34,3,FALSE),VLOOKUP($A30,EnrollData2324,28,FALSE),VLOOKUP($A30,'ESA Calculations 2324 Supp'!$A$4:$AE$34,3,FALSE)))*(1+Apport_Z315),0))+Apport_201A2324s,6)</f>
        <v>7.3449E-2</v>
      </c>
      <c r="D30">
        <f>ROUND(IF(VLOOKUP($A30,EnrollData2324,'2324 Jun 24 Enroll'!D$1,FALSE)=VLOOKUP($A30,'ESA Calculations 2324 Supp'!$A$4:$AE$34,4,FALSE),VLOOKUP($A30,EnrollData2324,'2324 Jun 24 Enroll'!D$1,FALSE),VLOOKUP($A30,'ESA Calculations 2324 Supp'!$A$4:$AE$34,4,FALSE))*C30,3)</f>
        <v>2.02</v>
      </c>
      <c r="E30">
        <f>ROUND(IF(VLOOKUP($A30,EnrollData2324,'2324 Jun 24 Enroll'!E$1,FALSE)=VLOOKUP($A30,'ESA Calculations 2324 Supp'!$A$4:$AE$34,5,FALSE),VLOOKUP($A30,EnrollData2324,'2324 Jun 24 Enroll'!E$1,FALSE),VLOOKUP($A30,'ESA Calculations 2324 Supp'!$A$4:$AE$34,5,FALSE))*C30,3)</f>
        <v>14.414999999999999</v>
      </c>
      <c r="F30">
        <f>ROUND(IF(VLOOKUP($A30,EnrollData2324,'2324 Jun 24 Enroll'!F$1,FALSE)=VLOOKUP($A30,'ESA Calculations 2324 Supp'!$A$4:$AE$34,6,FALSE),VLOOKUP($A30,EnrollData2324,'2324 Jun 24 Enroll'!F$1,FALSE),VLOOKUP($A30,'ESA Calculations 2324 Supp'!$A$4:$AE$34,6,FALSE))*Apport_222A2324s,3)</f>
        <v>2.1840000000000002</v>
      </c>
      <c r="G30">
        <f>ROUND(IF(VLOOKUP($A30,EnrollData2324,'2324 Jun 24 Enroll'!G$1,FALSE)=VLOOKUP($A30,'ESA Calculations 2324 Supp'!$A$4:$AE$34,7,FALSE),VLOOKUP($A30,EnrollData2324,'2324 Jun 24 Enroll'!G$1,FALSE),VLOOKUP($A30,'ESA Calculations 2324 Supp'!$A$4:$AE$34,7,FALSE))*Apport_210A2324s,3)</f>
        <v>6.3449999999999998</v>
      </c>
      <c r="H30">
        <f>ROUND(IF(VLOOKUP($A30,EnrollData2324,'2324 Jun 24 Enroll'!H$1,FALSE)=VLOOKUP($A30,'ESA Calculations 2324 Supp'!$A$4:$AE$34,8,FALSE),VLOOKUP($A30,EnrollData2324,'2324 Jun 24 Enroll'!H$1,FALSE),VLOOKUP($A30,'ESA Calculations 2324 Supp'!$A$4:$AE$34,8,FALSE))*Apport_213A2324s,3)</f>
        <v>6.0609999999999999</v>
      </c>
      <c r="I30">
        <f>ROUND(IF(VLOOKUP($A30,EnrollData2324,'2324 Jun 24 Enroll'!I$1,FALSE)+VLOOKUP($A30,EnrollData2324,'2324 Jun 24 Enroll'!M$1,FALSE)-VLOOKUP($A30,EnrollData2324,'2324 Jun 24 Enroll'!J$1,FALSE)=VLOOKUP($A30,'ESA Calculations 2324 Supp'!$A$4:$AE$34,9,FALSE)+VLOOKUP($A30,'ESA Calculations 2324 Supp'!$A$4:$AE$34,18,FALSE)-VLOOKUP($A30,'ESA Calculations 2324 Supp'!$A$4:$AE$34,10,FALSE),VLOOKUP($A30,EnrollData2324,'2324 Jun 24 Enroll'!I$1,FALSE)+VLOOKUP($A30,EnrollData2324,'2324 Jun 24 Enroll'!M$1,FALSE)-VLOOKUP($A30,EnrollData2324,'2324 Jun 24 Enroll'!J$1,FALSE),VLOOKUP($A30,'ESA Calculations 2324 Supp'!$A$4:$AE$34,9,FALSE)+VLOOKUP($A30,'ESA Calculations 2324 Supp'!$A$4:$AE$34,18,FALSE)-VLOOKUP($A30,'ESA Calculations 2324 Supp'!$A$4:$AE$34,10,FALSE))*Apport_216A2324s,3)</f>
        <v>13.468999999999999</v>
      </c>
      <c r="J30">
        <f>ROUND(SUM(D30:I30)/IF(VLOOKUP($A30,EnrollData2324,'2324 Jun 24 Enroll'!M$1,FALSE)+VLOOKUP($A30,EnrollData2324,'2324 Jun 24 Enroll'!D$1,FALSE)=VLOOKUP($A30,'ESA Calculations 2324 Supp'!$A$4:$AE$34,18,FALSE)+VLOOKUP($A30,'ESA Calculations 2324 Supp'!$A$4:$AE$34,4,FALSE),VLOOKUP($A30,EnrollData2324,'2324 Jun 24 Enroll'!M$1,FALSE)+VLOOKUP($A30,EnrollData2324,'2324 Jun 24 Enroll'!D$1,FALSE),VLOOKUP($A30,'ESA Calculations 2324 Supp'!$A$4:$AE$34,18,FALSE)+VLOOKUP($A30,'ESA Calculations 2324 Supp'!$A$4:$AE$34,4,FALSE)),5)</f>
        <v>5.602E-2</v>
      </c>
      <c r="K30" s="11">
        <f t="shared" si="1"/>
        <v>4.3699999999999998E-3</v>
      </c>
      <c r="L30">
        <f>ROUND(IF(VLOOKUP($A30,EnrollData2324,'2324 Jun 24 Enroll'!D$1,FALSE)=VLOOKUP($A30,'ESA Calculations 2324 Supp'!$A$4:$AE$34,4,FALSE),VLOOKUP($A30,EnrollData2324,'2324 Jun 24 Enroll'!D$1,FALSE),VLOOKUP($A30,'ESA Calculations 2324 Supp'!$A$4:$AE$34,4,FALSE))*K30,3)</f>
        <v>0.12</v>
      </c>
      <c r="M30">
        <f>ROUND(IF(VLOOKUP($A30,EnrollData2324,'2324 Jun 24 Enroll'!E$1,FALSE)=VLOOKUP($A30,'ESA Calculations 2324 Supp'!$A$4:$AE$34,5,FALSE),VLOOKUP($A30,EnrollData2324,'2324 Jun 24 Enroll'!E$1,FALSE),VLOOKUP($A30,'ESA Calculations 2324 Supp'!$A$4:$AE$34,5,FALSE))*K30,3)</f>
        <v>0.85799999999999998</v>
      </c>
      <c r="N30">
        <f>ROUND(IF(VLOOKUP($A30,EnrollData2324,'2324 Jun 24 Enroll'!F$1,FALSE)=VLOOKUP($A30,'ESA Calculations 2324 Supp'!$A$4:$AE$34,6,FALSE),VLOOKUP($A30,EnrollData2324,'2324 Jun 24 Enroll'!F$1,FALSE),VLOOKUP($A30,'ESA Calculations 2324 Supp'!$A$4:$AE$34,6,FALSE))*Apport_223A2324s,3)</f>
        <v>0.182</v>
      </c>
      <c r="O30">
        <f>ROUND(IF(VLOOKUP($A30,EnrollData2324,'2324 Jun 24 Enroll'!G$1,FALSE)=VLOOKUP($A30,'ESA Calculations 2324 Supp'!$A$4:$AE$34,7,FALSE),VLOOKUP($A30,EnrollData2324,'2324 Jun 24 Enroll'!G$1,FALSE),VLOOKUP($A30,'ESA Calculations 2324 Supp'!$A$4:$AE$34,7,FALSE))*Apport_211A2324s,3)</f>
        <v>0.53</v>
      </c>
      <c r="P30">
        <f>ROUND(IF(VLOOKUP($A30,EnrollData2324,'2324 Jun 24 Enroll'!H$1,FALSE)=VLOOKUP($A30,'ESA Calculations 2324 Supp'!$A$4:$AE$34,8,FALSE),VLOOKUP($A30,EnrollData2324,'2324 Jun 24 Enroll'!H$1,FALSE),VLOOKUP($A30,'ESA Calculations 2324 Supp'!$A$4:$AE$34,8,FALSE))*Apport_214A2324s,3)</f>
        <v>0.504</v>
      </c>
      <c r="Q30">
        <f>ROUND(IF(VLOOKUP($A30,EnrollData2324,'2324 Jun 24 Enroll'!I$1,FALSE)+VLOOKUP($A30,EnrollData2324,'2324 Jun 24 Enroll'!M$1,FALSE)-VLOOKUP($A30,EnrollData2324,'2324 Jun 24 Enroll'!J$1,FALSE)=VLOOKUP($A30,'ESA Calculations 2324 Supp'!$A$4:$AE$34,9,FALSE)+VLOOKUP($A30,'ESA Calculations 2324 Supp'!$A$4:$AE$34,18,FALSE)-VLOOKUP($A30,'ESA Calculations 2324 Supp'!$A$4:$AE$34,10,FALSE),VLOOKUP($A30,EnrollData2324,'2324 Jun 24 Enroll'!I$1,FALSE)+VLOOKUP($A30,EnrollData2324,'2324 Jun 24 Enroll'!M$1,FALSE)-VLOOKUP($A30,EnrollData2324,'2324 Jun 24 Enroll'!J$1,FALSE),VLOOKUP($A30,'ESA Calculations 2324 Supp'!$A$4:$AE$34,9,FALSE)+VLOOKUP($A30,'ESA Calculations 2324 Supp'!$A$4:$AE$34,18,FALSE)-VLOOKUP($A30,'ESA Calculations 2324 Supp'!$A$4:$AE$34,10,FALSE))*Apport_217A2324s,3)</f>
        <v>1.0880000000000001</v>
      </c>
      <c r="R30">
        <f>ROUND(SUM(L30:Q30)/IF(VLOOKUP($A30,EnrollData2324,'2324 Jun 24 Enroll'!M$1,FALSE)+VLOOKUP($A30,EnrollData2324,'2324 Jun 24 Enroll'!D$1,FALSE)=VLOOKUP($A30,'ESA Calculations 2324 Supp'!$A$4:$AE$34,18,FALSE)+VLOOKUP($A30,'ESA Calculations 2324 Supp'!$A$4:$AE$34,4,FALSE),VLOOKUP($A30,EnrollData2324,'2324 Jun 24 Enroll'!M$1,FALSE)+VLOOKUP($A30,EnrollData2324,'2324 Jun 24 Enroll'!D$1,FALSE),VLOOKUP($A30,'ESA Calculations 2324 Supp'!$A$4:$AE$34,18,FALSE)+VLOOKUP($A30,'ESA Calculations 2324 Supp'!$A$4:$AE$34,4,FALSE)),5)</f>
        <v>4.13E-3</v>
      </c>
      <c r="S30" s="11">
        <f t="shared" si="2"/>
        <v>1.8689600000000001E-2</v>
      </c>
      <c r="T30">
        <f>ROUND(IF(VLOOKUP($A30,EnrollData2324,'2324 Jun 24 Enroll'!D$1,FALSE)=VLOOKUP($A30,'ESA Calculations 2324 Supp'!$A$4:$AE$34,4,FALSE),VLOOKUP($A30,EnrollData2324,'2324 Jun 24 Enroll'!D$1,FALSE),VLOOKUP($A30,'ESA Calculations 2324 Supp'!$A$4:$AE$34,4,FALSE))*S30,3)</f>
        <v>0.51400000000000001</v>
      </c>
      <c r="U30">
        <f>ROUND(IF(VLOOKUP($A30,EnrollData2324,'2324 Jun 24 Enroll'!E$1,FALSE)=VLOOKUP($A30,'ESA Calculations 2324 Supp'!$A$4:$AE$34,5,FALSE),VLOOKUP($A30,EnrollData2324,'2324 Jun 24 Enroll'!E$1,FALSE),VLOOKUP($A30,'ESA Calculations 2324 Supp'!$A$4:$AE$34,5,FALSE))*S30,3)</f>
        <v>3.6680000000000001</v>
      </c>
      <c r="V30">
        <f>ROUND(IF(VLOOKUP($A30,EnrollData2324,'2324 Jun 24 Enroll'!F$1,FALSE)=VLOOKUP($A30,'ESA Calculations 2324 Supp'!$A$4:$AE$34,6,FALSE),VLOOKUP($A30,EnrollData2324,'2324 Jun 24 Enroll'!F$1,FALSE),VLOOKUP($A30,'ESA Calculations 2324 Supp'!$A$4:$AE$34,6,FALSE))*Apport_224A2324s,3)</f>
        <v>0.80100000000000005</v>
      </c>
      <c r="W30">
        <f>ROUND(IF(VLOOKUP($A30,EnrollData2324,'2324 Jun 24 Enroll'!G$1,FALSE)=VLOOKUP($A30,'ESA Calculations 2324 Supp'!$A$4:$AE$34,7,FALSE),VLOOKUP($A30,EnrollData2324,'2324 Jun 24 Enroll'!G$1,FALSE),VLOOKUP($A30,'ESA Calculations 2324 Supp'!$A$4:$AE$34,7,FALSE))*Apport_212A2324s,3)</f>
        <v>2.3260000000000001</v>
      </c>
      <c r="X30">
        <f>ROUND(IF(VLOOKUP($A30,EnrollData2324,'2324 Jun 24 Enroll'!H$1,FALSE)=VLOOKUP($A30,'ESA Calculations 2324 Supp'!$A$4:$AE$34,8,FALSE),VLOOKUP($A30,EnrollData2324,'2324 Jun 24 Enroll'!H$1,FALSE),VLOOKUP($A30,'ESA Calculations 2324 Supp'!$A$4:$AE$34,8,FALSE))*Apport_215A2324s,3)</f>
        <v>2.1840000000000002</v>
      </c>
      <c r="Y30">
        <f>ROUND(IF(VLOOKUP($A30,EnrollData2324,'2324 Jun 24 Enroll'!I$1,FALSE)+VLOOKUP($A30,EnrollData2324,'2324 Jun 24 Enroll'!M$1,FALSE)-VLOOKUP($A30,EnrollData2324,'2324 Jun 24 Enroll'!J$1,FALSE)=VLOOKUP($A30,'ESA Calculations 2324 Supp'!$A$4:$AE$34,9,FALSE)+VLOOKUP($A30,'ESA Calculations 2324 Supp'!$A$4:$AE$34,18,FALSE)-VLOOKUP($A30,'ESA Calculations 2324 Supp'!$A$4:$AE$34,10,FALSE),VLOOKUP($A30,EnrollData2324,'2324 Jun 24 Enroll'!I$1,FALSE)+VLOOKUP($A30,EnrollData2324,'2324 Jun 24 Enroll'!M$1,FALSE)-VLOOKUP($A30,EnrollData2324,'2324 Jun 24 Enroll'!J$1,FALSE),VLOOKUP($A30,'ESA Calculations 2324 Supp'!$A$4:$AE$34,9,FALSE)+VLOOKUP($A30,'ESA Calculations 2324 Supp'!$A$4:$AE$34,18,FALSE)-VLOOKUP($A30,'ESA Calculations 2324 Supp'!$A$4:$AE$34,10,FALSE))*Apport_218A2324s,3)</f>
        <v>4.6820000000000004</v>
      </c>
      <c r="Z30">
        <f>ROUND(SUM(T30:Y30)/IF(VLOOKUP($A30,EnrollData2324,'2324 Jun 24 Enroll'!M$1,FALSE)+VLOOKUP($A30,EnrollData2324,'2324 Jun 24 Enroll'!D$1,FALSE)=VLOOKUP($A30,'ESA Calculations 2324 Supp'!$A$4:$AE$34,18,FALSE)+VLOOKUP($A30,'ESA Calculations 2324 Supp'!$A$4:$AE$34,4,FALSE),VLOOKUP($A30,EnrollData2324,'2324 Jun 24 Enroll'!M$1,FALSE)+VLOOKUP($A30,EnrollData2324,'2324 Jun 24 Enroll'!D$1,FALSE),VLOOKUP($A30,'ESA Calculations 2324 Supp'!$A$4:$AE$34,18,FALSE)+VLOOKUP($A30,'ESA Calculations 2324 Supp'!$A$4:$AE$34,4,FALSE)),5)</f>
        <v>1.7850000000000001E-2</v>
      </c>
      <c r="AA30" s="6" cm="1">
        <f t="array" ref="AA30">ROUND($J30*CIS_Base_Salary2324s*VLOOKUP($A30,EnrollData2324,'2324 Jun 24 Enroll'!S$1,FALSE),2)</f>
        <v>4074.22</v>
      </c>
      <c r="AB30" s="6" cm="1">
        <f t="array" ref="AB30">ROUND($J30*CIS_Inc_Salary2324s*(VLOOKUP($A30,EnrollData2324,'2324 Jun 24 Enroll'!T$1,FALSE)+VLOOKUP($A30,EnrollData2324,'2324 Jun 24 Enroll'!U$1,FALSE)),2)-AA30</f>
        <v>150.75000000000045</v>
      </c>
      <c r="AC30" s="6" cm="1">
        <f t="array" ref="AC30">ROUND($R30*CAS_Base_Salary2324s*VLOOKUP($A30,EnrollData2324,'2324 Jun 24 Enroll'!S$1,FALSE),2)</f>
        <v>445.85</v>
      </c>
      <c r="AD30" s="6" cm="1">
        <f t="array" ref="AD30">ROUND($R30*CAS_Inc_Salary2324s*VLOOKUP($A30,EnrollData2324,'2324 Jun 24 Enroll'!T$1,FALSE),2)-AC30</f>
        <v>16.5</v>
      </c>
      <c r="AE30" s="6" cm="1">
        <f t="array" ref="AE30">ROUND($Z30*CLS_Base_Salary2324s*VLOOKUP($A30,EnrollData2324,'2324 Jun 24 Enroll'!S$1,FALSE),2)</f>
        <v>931.29</v>
      </c>
      <c r="AF30" s="6" cm="1">
        <f t="array" ref="AF30">ROUND($Z30*CLS_Inc_Salary2324s*VLOOKUP($A30,EnrollData2324,'2324 Jun 24 Enroll'!T$1,FALSE),2)-AE30</f>
        <v>34.450000000000045</v>
      </c>
      <c r="AG30" cm="1">
        <f t="array" ref="AG30">ROUND(($J30+$R30)*Apport_124X2324s,2)</f>
        <v>740.57</v>
      </c>
      <c r="AH30" s="69">
        <f t="shared" si="3"/>
        <v>69.289999999999964</v>
      </c>
      <c r="AI30" cm="1">
        <f t="array" ref="AI30">ROUND($Z30*Apport_124X2324s,2)</f>
        <v>219.77</v>
      </c>
      <c r="AJ30" cm="1">
        <f t="array" ref="AJ30">ROUND($Z30*Apport_621X2324s*Apport_125X2324s,2)-AI30</f>
        <v>117.16999999999999</v>
      </c>
      <c r="AK30" cm="1">
        <f t="array" ref="AK30">ROUND((AA30+AC30)*Apport_126X2324s,2)</f>
        <v>812.26</v>
      </c>
      <c r="AL30" cm="1">
        <f t="array" ref="AL30">ROUND((AB30+AD30)*Apport_127X2324s,2)</f>
        <v>28.98</v>
      </c>
      <c r="AM30" cm="1">
        <f t="array" ref="AM30">ROUND(AE30*Apport_128X2324s,2)</f>
        <v>205.44</v>
      </c>
      <c r="AN30" cm="1">
        <f t="array" ref="AN30">ROUND(AF30*Apport_129X2324s,2)</f>
        <v>6.39</v>
      </c>
      <c r="AO30" cm="1">
        <f t="array" ref="AO30">ROUND(($J30*CIS_Inc_Salary2324s*(VLOOKUP($A30,EnrollData2324,'2324 Jun 24 Enroll'!T$1,FALSE)+VLOOKUP($A30,EnrollData2324,'2324 Jun 24 Enroll'!U$1,FALSE))/Apport_613Xpd)*Apport_614Xpd,2)</f>
        <v>70.42</v>
      </c>
      <c r="AP30" cm="1">
        <f t="array" ref="AP30">ROUND(AO30*Apport_127X2324s,2)</f>
        <v>12.2</v>
      </c>
      <c r="AQ30">
        <f t="shared" si="4"/>
        <v>31.2</v>
      </c>
      <c r="AR30" s="6" cm="1">
        <f t="array" ref="AR30">ROUND((IF(VLOOKUP($A30,EnrollData2324,'2324 Jun 24 Enroll'!D$1,FALSE)=VLOOKUP($A30,'ESA Calculations 2324 Supp'!$A$4:$AE$34,4,FALSE),VLOOKUP($A30,EnrollData2324,'2324 Jun 24 Enroll'!D$1,FALSE),VLOOKUP($A30,'ESA Calculations 2324 Supp'!$A$4:$AE$34,4,FALSE))*Apport_M802324s+IF(VLOOKUP($A30,EnrollData2324,'2324 Jun 24 Enroll'!M$1,FALSE)=VLOOKUP($A30,'ESA Calculations 2324 Supp'!$A$4:$AE$34,18,FALSE),VLOOKUP($A30,EnrollData2324,'2324 Jun 24 Enroll'!M$1,FALSE),VLOOKUP($A30,'ESA Calculations 2324 Supp'!$A$4:$AE$34,18,FALSE))*Apport_M802324s+IF((VLOOKUP($A30,EnrollData2324,'2324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Enroll'!L$1,FALSE))=VLOOKUP($A30,EnrollData2324,'2324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Enroll'!L$1,FALSE),(VLOOKUP($A30,EnrollData2324,'2324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Enroll'!L$1,FALSE)),(VLOOKUP($A30,EnrollData2324,'2324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Enroll'!L$1,FALSE)))*Apport_M812324s)/(IF(VLOOKUP($A30,EnrollData2324,'2324 Jun 24 Enroll'!M$1,FALSE)=VLOOKUP($A30,'ESA Calculations 2324 Supp'!$A$4:$AE$34,18,FALSE),VLOOKUP($A30,EnrollData2324,'2324 Jun 24 Enroll'!M$1,FALSE),VLOOKUP($A30,'ESA Calculations 2324 Supp'!$A$4:$AE$34,18,FALSE))+IF(VLOOKUP($A30,EnrollData2324,'2324 Jun 24 Enroll'!D$1,FALSE)=VLOOKUP($A30,'ESA Calculations 2324 Supp'!$A$4:$AE$34,4,FALSE),VLOOKUP($A30,EnrollData2324,'2324 Jun 24 Enroll'!D$1,FALSE),VLOOKUP($A30,'ESA Calculations 2324 Supp'!$A$4:$AE$34,4,FALSE))),2)</f>
        <v>1572.18</v>
      </c>
      <c r="AS30" s="7">
        <f t="shared" si="5"/>
        <v>9538.93</v>
      </c>
      <c r="AT30" s="6">
        <f>IF(VLOOKUP($A30,EnrollData2324,'2324 Jun 24 Enroll'!AA$1,FALSE)=VLOOKUP($A30,'ESA Calculations 2324 Supp'!$A$4:$AE$34,24,FALSE),VLOOKUP($A30,EnrollData2324,'2324 Jun 24 Enroll'!AA$1,FALSE),VLOOKUP($A30,'ESA Calculations 2324 Supp'!$A$4:$AE$34,24,FALSE))</f>
        <v>795.5</v>
      </c>
    </row>
    <row r="31" spans="1:46">
      <c r="A31" s="40" t="s">
        <v>845</v>
      </c>
      <c r="B31" s="40" t="s">
        <v>846</v>
      </c>
      <c r="C31" s="11">
        <f>ROUND((IFERROR((1/IF(VLOOKUP($A31,EnrollData2324,28,FALSE)=VLOOKUP($A31,'ESA Calculations 2324 Supp'!$A$4:$AE$34,3,FALSE),VLOOKUP($A31,EnrollData2324,28,FALSE),VLOOKUP($A31,'ESA Calculations 2324 Supp'!$A$4:$AE$34,3,FALSE)))*(1+Apport_Z315),0))+Apport_201A2324s,6)</f>
        <v>7.3449E-2</v>
      </c>
      <c r="D31">
        <f>ROUND(IF(VLOOKUP($A31,EnrollData2324,'2324 Jun 24 Enroll'!D$1,FALSE)=VLOOKUP($A31,'ESA Calculations 2324 Supp'!$A$4:$AE$34,4,FALSE),VLOOKUP($A31,EnrollData2324,'2324 Jun 24 Enroll'!D$1,FALSE),VLOOKUP($A31,'ESA Calculations 2324 Supp'!$A$4:$AE$34,4,FALSE))*C31,3)</f>
        <v>0</v>
      </c>
      <c r="E31">
        <f>ROUND(IF(VLOOKUP($A31,EnrollData2324,'2324 Jun 24 Enroll'!E$1,FALSE)=VLOOKUP($A31,'ESA Calculations 2324 Supp'!$A$4:$AE$34,5,FALSE),VLOOKUP($A31,EnrollData2324,'2324 Jun 24 Enroll'!E$1,FALSE),VLOOKUP($A31,'ESA Calculations 2324 Supp'!$A$4:$AE$34,5,FALSE))*C31,3)</f>
        <v>8.17</v>
      </c>
      <c r="F31">
        <f>ROUND(IF(VLOOKUP($A31,EnrollData2324,'2324 Jun 24 Enroll'!F$1,FALSE)=VLOOKUP($A31,'ESA Calculations 2324 Supp'!$A$4:$AE$34,6,FALSE),VLOOKUP($A31,EnrollData2324,'2324 Jun 24 Enroll'!F$1,FALSE),VLOOKUP($A31,'ESA Calculations 2324 Supp'!$A$4:$AE$34,6,FALSE))*Apport_222A2324s,3)</f>
        <v>1.569</v>
      </c>
      <c r="G31">
        <f>ROUND(IF(VLOOKUP($A31,EnrollData2324,'2324 Jun 24 Enroll'!G$1,FALSE)=VLOOKUP($A31,'ESA Calculations 2324 Supp'!$A$4:$AE$34,7,FALSE),VLOOKUP($A31,EnrollData2324,'2324 Jun 24 Enroll'!G$1,FALSE),VLOOKUP($A31,'ESA Calculations 2324 Supp'!$A$4:$AE$34,7,FALSE))*Apport_210A2324s,3)</f>
        <v>3.2749999999999999</v>
      </c>
      <c r="H31">
        <f>ROUND(IF(VLOOKUP($A31,EnrollData2324,'2324 Jun 24 Enroll'!H$1,FALSE)=VLOOKUP($A31,'ESA Calculations 2324 Supp'!$A$4:$AE$34,8,FALSE),VLOOKUP($A31,EnrollData2324,'2324 Jun 24 Enroll'!H$1,FALSE),VLOOKUP($A31,'ESA Calculations 2324 Supp'!$A$4:$AE$34,8,FALSE))*Apport_213A2324s,3)</f>
        <v>2.4729999999999999</v>
      </c>
      <c r="I31">
        <f>ROUND(IF(VLOOKUP($A31,EnrollData2324,'2324 Jun 24 Enroll'!I$1,FALSE)+VLOOKUP($A31,EnrollData2324,'2324 Jun 24 Enroll'!M$1,FALSE)-VLOOKUP($A31,EnrollData2324,'2324 Jun 24 Enroll'!J$1,FALSE)=VLOOKUP($A31,'ESA Calculations 2324 Supp'!$A$4:$AE$34,9,FALSE)+VLOOKUP($A31,'ESA Calculations 2324 Supp'!$A$4:$AE$34,18,FALSE)-VLOOKUP($A31,'ESA Calculations 2324 Supp'!$A$4:$AE$34,10,FALSE),VLOOKUP($A31,EnrollData2324,'2324 Jun 24 Enroll'!I$1,FALSE)+VLOOKUP($A31,EnrollData2324,'2324 Jun 24 Enroll'!M$1,FALSE)-VLOOKUP($A31,EnrollData2324,'2324 Jun 24 Enroll'!J$1,FALSE),VLOOKUP($A31,'ESA Calculations 2324 Supp'!$A$4:$AE$34,9,FALSE)+VLOOKUP($A31,'ESA Calculations 2324 Supp'!$A$4:$AE$34,18,FALSE)-VLOOKUP($A31,'ESA Calculations 2324 Supp'!$A$4:$AE$34,10,FALSE))*Apport_216A2324s,3)</f>
        <v>7.3920000000000003</v>
      </c>
      <c r="J31">
        <f>ROUND(SUM(D31:I31)/IF(VLOOKUP($A31,EnrollData2324,'2324 Jun 24 Enroll'!M$1,FALSE)+VLOOKUP($A31,EnrollData2324,'2324 Jun 24 Enroll'!D$1,FALSE)=VLOOKUP($A31,'ESA Calculations 2324 Supp'!$A$4:$AE$34,18,FALSE)+VLOOKUP($A31,'ESA Calculations 2324 Supp'!$A$4:$AE$34,4,FALSE),VLOOKUP($A31,EnrollData2324,'2324 Jun 24 Enroll'!M$1,FALSE)+VLOOKUP($A31,EnrollData2324,'2324 Jun 24 Enroll'!D$1,FALSE),VLOOKUP($A31,'ESA Calculations 2324 Supp'!$A$4:$AE$34,18,FALSE)+VLOOKUP($A31,'ESA Calculations 2324 Supp'!$A$4:$AE$34,4,FALSE)),5)</f>
        <v>5.5789999999999999E-2</v>
      </c>
      <c r="K31" s="11">
        <f t="shared" si="1"/>
        <v>4.3699999999999998E-3</v>
      </c>
      <c r="L31">
        <f>ROUND(IF(VLOOKUP($A31,EnrollData2324,'2324 Jun 24 Enroll'!D$1,FALSE)=VLOOKUP($A31,'ESA Calculations 2324 Supp'!$A$4:$AE$34,4,FALSE),VLOOKUP($A31,EnrollData2324,'2324 Jun 24 Enroll'!D$1,FALSE),VLOOKUP($A31,'ESA Calculations 2324 Supp'!$A$4:$AE$34,4,FALSE))*K31,3)</f>
        <v>0</v>
      </c>
      <c r="M31">
        <f>ROUND(IF(VLOOKUP($A31,EnrollData2324,'2324 Jun 24 Enroll'!E$1,FALSE)=VLOOKUP($A31,'ESA Calculations 2324 Supp'!$A$4:$AE$34,5,FALSE),VLOOKUP($A31,EnrollData2324,'2324 Jun 24 Enroll'!E$1,FALSE),VLOOKUP($A31,'ESA Calculations 2324 Supp'!$A$4:$AE$34,5,FALSE))*K31,3)</f>
        <v>0.48599999999999999</v>
      </c>
      <c r="N31">
        <f>ROUND(IF(VLOOKUP($A31,EnrollData2324,'2324 Jun 24 Enroll'!F$1,FALSE)=VLOOKUP($A31,'ESA Calculations 2324 Supp'!$A$4:$AE$34,6,FALSE),VLOOKUP($A31,EnrollData2324,'2324 Jun 24 Enroll'!F$1,FALSE),VLOOKUP($A31,'ESA Calculations 2324 Supp'!$A$4:$AE$34,6,FALSE))*Apport_223A2324s,3)</f>
        <v>0.13100000000000001</v>
      </c>
      <c r="O31">
        <f>ROUND(IF(VLOOKUP($A31,EnrollData2324,'2324 Jun 24 Enroll'!G$1,FALSE)=VLOOKUP($A31,'ESA Calculations 2324 Supp'!$A$4:$AE$34,7,FALSE),VLOOKUP($A31,EnrollData2324,'2324 Jun 24 Enroll'!G$1,FALSE),VLOOKUP($A31,'ESA Calculations 2324 Supp'!$A$4:$AE$34,7,FALSE))*Apport_211A2324s,3)</f>
        <v>0.27300000000000002</v>
      </c>
      <c r="P31">
        <f>ROUND(IF(VLOOKUP($A31,EnrollData2324,'2324 Jun 24 Enroll'!H$1,FALSE)=VLOOKUP($A31,'ESA Calculations 2324 Supp'!$A$4:$AE$34,8,FALSE),VLOOKUP($A31,EnrollData2324,'2324 Jun 24 Enroll'!H$1,FALSE),VLOOKUP($A31,'ESA Calculations 2324 Supp'!$A$4:$AE$34,8,FALSE))*Apport_214A2324s,3)</f>
        <v>0.20599999999999999</v>
      </c>
      <c r="Q31">
        <f>ROUND(IF(VLOOKUP($A31,EnrollData2324,'2324 Jun 24 Enroll'!I$1,FALSE)+VLOOKUP($A31,EnrollData2324,'2324 Jun 24 Enroll'!M$1,FALSE)-VLOOKUP($A31,EnrollData2324,'2324 Jun 24 Enroll'!J$1,FALSE)=VLOOKUP($A31,'ESA Calculations 2324 Supp'!$A$4:$AE$34,9,FALSE)+VLOOKUP($A31,'ESA Calculations 2324 Supp'!$A$4:$AE$34,18,FALSE)-VLOOKUP($A31,'ESA Calculations 2324 Supp'!$A$4:$AE$34,10,FALSE),VLOOKUP($A31,EnrollData2324,'2324 Jun 24 Enroll'!I$1,FALSE)+VLOOKUP($A31,EnrollData2324,'2324 Jun 24 Enroll'!M$1,FALSE)-VLOOKUP($A31,EnrollData2324,'2324 Jun 24 Enroll'!J$1,FALSE),VLOOKUP($A31,'ESA Calculations 2324 Supp'!$A$4:$AE$34,9,FALSE)+VLOOKUP($A31,'ESA Calculations 2324 Supp'!$A$4:$AE$34,18,FALSE)-VLOOKUP($A31,'ESA Calculations 2324 Supp'!$A$4:$AE$34,10,FALSE))*Apport_217A2324s,3)</f>
        <v>0.59699999999999998</v>
      </c>
      <c r="R31">
        <f>ROUND(SUM(L31:Q31)/IF(VLOOKUP($A31,EnrollData2324,'2324 Jun 24 Enroll'!M$1,FALSE)+VLOOKUP($A31,EnrollData2324,'2324 Jun 24 Enroll'!D$1,FALSE)=VLOOKUP($A31,'ESA Calculations 2324 Supp'!$A$4:$AE$34,18,FALSE)+VLOOKUP($A31,'ESA Calculations 2324 Supp'!$A$4:$AE$34,4,FALSE),VLOOKUP($A31,EnrollData2324,'2324 Jun 24 Enroll'!M$1,FALSE)+VLOOKUP($A31,EnrollData2324,'2324 Jun 24 Enroll'!D$1,FALSE),VLOOKUP($A31,'ESA Calculations 2324 Supp'!$A$4:$AE$34,18,FALSE)+VLOOKUP($A31,'ESA Calculations 2324 Supp'!$A$4:$AE$34,4,FALSE)),5)</f>
        <v>4.13E-3</v>
      </c>
      <c r="S31" s="11">
        <f t="shared" si="2"/>
        <v>1.8689600000000001E-2</v>
      </c>
      <c r="T31">
        <f>ROUND(IF(VLOOKUP($A31,EnrollData2324,'2324 Jun 24 Enroll'!D$1,FALSE)=VLOOKUP($A31,'ESA Calculations 2324 Supp'!$A$4:$AE$34,4,FALSE),VLOOKUP($A31,EnrollData2324,'2324 Jun 24 Enroll'!D$1,FALSE),VLOOKUP($A31,'ESA Calculations 2324 Supp'!$A$4:$AE$34,4,FALSE))*S31,3)</f>
        <v>0</v>
      </c>
      <c r="U31">
        <f>ROUND(IF(VLOOKUP($A31,EnrollData2324,'2324 Jun 24 Enroll'!E$1,FALSE)=VLOOKUP($A31,'ESA Calculations 2324 Supp'!$A$4:$AE$34,5,FALSE),VLOOKUP($A31,EnrollData2324,'2324 Jun 24 Enroll'!E$1,FALSE),VLOOKUP($A31,'ESA Calculations 2324 Supp'!$A$4:$AE$34,5,FALSE))*S31,3)</f>
        <v>2.0790000000000002</v>
      </c>
      <c r="V31">
        <f>ROUND(IF(VLOOKUP($A31,EnrollData2324,'2324 Jun 24 Enroll'!F$1,FALSE)=VLOOKUP($A31,'ESA Calculations 2324 Supp'!$A$4:$AE$34,6,FALSE),VLOOKUP($A31,EnrollData2324,'2324 Jun 24 Enroll'!F$1,FALSE),VLOOKUP($A31,'ESA Calculations 2324 Supp'!$A$4:$AE$34,6,FALSE))*Apport_224A2324s,3)</f>
        <v>0.57499999999999996</v>
      </c>
      <c r="W31">
        <f>ROUND(IF(VLOOKUP($A31,EnrollData2324,'2324 Jun 24 Enroll'!G$1,FALSE)=VLOOKUP($A31,'ESA Calculations 2324 Supp'!$A$4:$AE$34,7,FALSE),VLOOKUP($A31,EnrollData2324,'2324 Jun 24 Enroll'!G$1,FALSE),VLOOKUP($A31,'ESA Calculations 2324 Supp'!$A$4:$AE$34,7,FALSE))*Apport_212A2324s,3)</f>
        <v>1.2010000000000001</v>
      </c>
      <c r="X31">
        <f>ROUND(IF(VLOOKUP($A31,EnrollData2324,'2324 Jun 24 Enroll'!H$1,FALSE)=VLOOKUP($A31,'ESA Calculations 2324 Supp'!$A$4:$AE$34,8,FALSE),VLOOKUP($A31,EnrollData2324,'2324 Jun 24 Enroll'!H$1,FALSE),VLOOKUP($A31,'ESA Calculations 2324 Supp'!$A$4:$AE$34,8,FALSE))*Apport_215A2324s,3)</f>
        <v>0.89100000000000001</v>
      </c>
      <c r="Y31">
        <f>ROUND(IF(VLOOKUP($A31,EnrollData2324,'2324 Jun 24 Enroll'!I$1,FALSE)+VLOOKUP($A31,EnrollData2324,'2324 Jun 24 Enroll'!M$1,FALSE)-VLOOKUP($A31,EnrollData2324,'2324 Jun 24 Enroll'!J$1,FALSE)=VLOOKUP($A31,'ESA Calculations 2324 Supp'!$A$4:$AE$34,9,FALSE)+VLOOKUP($A31,'ESA Calculations 2324 Supp'!$A$4:$AE$34,18,FALSE)-VLOOKUP($A31,'ESA Calculations 2324 Supp'!$A$4:$AE$34,10,FALSE),VLOOKUP($A31,EnrollData2324,'2324 Jun 24 Enroll'!I$1,FALSE)+VLOOKUP($A31,EnrollData2324,'2324 Jun 24 Enroll'!M$1,FALSE)-VLOOKUP($A31,EnrollData2324,'2324 Jun 24 Enroll'!J$1,FALSE),VLOOKUP($A31,'ESA Calculations 2324 Supp'!$A$4:$AE$34,9,FALSE)+VLOOKUP($A31,'ESA Calculations 2324 Supp'!$A$4:$AE$34,18,FALSE)-VLOOKUP($A31,'ESA Calculations 2324 Supp'!$A$4:$AE$34,10,FALSE))*Apport_218A2324s,3)</f>
        <v>2.569</v>
      </c>
      <c r="Z31">
        <f>ROUND(SUM(T31:Y31)/IF(VLOOKUP($A31,EnrollData2324,'2324 Jun 24 Enroll'!M$1,FALSE)+VLOOKUP($A31,EnrollData2324,'2324 Jun 24 Enroll'!D$1,FALSE)=VLOOKUP($A31,'ESA Calculations 2324 Supp'!$A$4:$AE$34,18,FALSE)+VLOOKUP($A31,'ESA Calculations 2324 Supp'!$A$4:$AE$34,4,FALSE),VLOOKUP($A31,EnrollData2324,'2324 Jun 24 Enroll'!M$1,FALSE)+VLOOKUP($A31,EnrollData2324,'2324 Jun 24 Enroll'!D$1,FALSE),VLOOKUP($A31,'ESA Calculations 2324 Supp'!$A$4:$AE$34,18,FALSE)+VLOOKUP($A31,'ESA Calculations 2324 Supp'!$A$4:$AE$34,4,FALSE)),5)</f>
        <v>1.7840000000000002E-2</v>
      </c>
      <c r="AA31" s="6" cm="1">
        <f t="array" ref="AA31">ROUND($J31*CIS_Base_Salary2324s*VLOOKUP($A31,EnrollData2324,'2324 Jun 24 Enroll'!S$1,FALSE),2)</f>
        <v>4057.5</v>
      </c>
      <c r="AB31" s="6" cm="1">
        <f t="array" ref="AB31">ROUND($J31*CIS_Inc_Salary2324s*(VLOOKUP($A31,EnrollData2324,'2324 Jun 24 Enroll'!T$1,FALSE)+VLOOKUP($A31,EnrollData2324,'2324 Jun 24 Enroll'!U$1,FALSE)),2)-AA31</f>
        <v>318.43000000000029</v>
      </c>
      <c r="AC31" s="6" cm="1">
        <f t="array" ref="AC31">ROUND($R31*CAS_Base_Salary2324s*VLOOKUP($A31,EnrollData2324,'2324 Jun 24 Enroll'!S$1,FALSE),2)</f>
        <v>445.85</v>
      </c>
      <c r="AD31" s="6" cm="1">
        <f t="array" ref="AD31">ROUND($R31*CAS_Inc_Salary2324s*VLOOKUP($A31,EnrollData2324,'2324 Jun 24 Enroll'!T$1,FALSE),2)-AC31</f>
        <v>16.5</v>
      </c>
      <c r="AE31" s="6" cm="1">
        <f t="array" ref="AE31">ROUND($Z31*CLS_Base_Salary2324s*VLOOKUP($A31,EnrollData2324,'2324 Jun 24 Enroll'!S$1,FALSE),2)</f>
        <v>930.77</v>
      </c>
      <c r="AF31" s="6" cm="1">
        <f t="array" ref="AF31">ROUND($Z31*CLS_Inc_Salary2324s*VLOOKUP($A31,EnrollData2324,'2324 Jun 24 Enroll'!T$1,FALSE),2)-AE31</f>
        <v>34.430000000000064</v>
      </c>
      <c r="AG31" cm="1">
        <f t="array" ref="AG31">ROUND(($J31+$R31)*Apport_124X2324s,2)</f>
        <v>737.74</v>
      </c>
      <c r="AH31" s="69">
        <f t="shared" si="3"/>
        <v>69.019999999999982</v>
      </c>
      <c r="AI31" cm="1">
        <f t="array" ref="AI31">ROUND($Z31*Apport_124X2324s,2)</f>
        <v>219.65</v>
      </c>
      <c r="AJ31" cm="1">
        <f t="array" ref="AJ31">ROUND($Z31*Apport_621X2324s*Apport_125X2324s,2)-AI31</f>
        <v>117.1</v>
      </c>
      <c r="AK31" cm="1">
        <f t="array" ref="AK31">ROUND((AA31+AC31)*Apport_126X2324s,2)</f>
        <v>809.25</v>
      </c>
      <c r="AL31" cm="1">
        <f t="array" ref="AL31">ROUND((AB31+AD31)*Apport_127X2324s,2)</f>
        <v>58.04</v>
      </c>
      <c r="AM31" cm="1">
        <f t="array" ref="AM31">ROUND(AE31*Apport_128X2324s,2)</f>
        <v>205.33</v>
      </c>
      <c r="AN31" cm="1">
        <f t="array" ref="AN31">ROUND(AF31*Apport_129X2324s,2)</f>
        <v>6.39</v>
      </c>
      <c r="AO31" cm="1">
        <f t="array" ref="AO31">ROUND(($J31*CIS_Inc_Salary2324s*(VLOOKUP($A31,EnrollData2324,'2324 Jun 24 Enroll'!T$1,FALSE)+VLOOKUP($A31,EnrollData2324,'2324 Jun 24 Enroll'!U$1,FALSE))/Apport_613Xpd)*Apport_614Xpd,2)</f>
        <v>72.930000000000007</v>
      </c>
      <c r="AP31" cm="1">
        <f t="array" ref="AP31">ROUND(AO31*Apport_127X2324s,2)</f>
        <v>12.64</v>
      </c>
      <c r="AQ31">
        <f t="shared" si="4"/>
        <v>31.08</v>
      </c>
      <c r="AR31" s="6" cm="1">
        <f t="array" ref="AR31">ROUND((IF(VLOOKUP($A31,EnrollData2324,'2324 Jun 24 Enroll'!D$1,FALSE)=VLOOKUP($A31,'ESA Calculations 2324 Supp'!$A$4:$AE$34,4,FALSE),VLOOKUP($A31,EnrollData2324,'2324 Jun 24 Enroll'!D$1,FALSE),VLOOKUP($A31,'ESA Calculations 2324 Supp'!$A$4:$AE$34,4,FALSE))*Apport_M802324s+IF(VLOOKUP($A31,EnrollData2324,'2324 Jun 24 Enroll'!M$1,FALSE)=VLOOKUP($A31,'ESA Calculations 2324 Supp'!$A$4:$AE$34,18,FALSE),VLOOKUP($A31,EnrollData2324,'2324 Jun 24 Enroll'!M$1,FALSE),VLOOKUP($A31,'ESA Calculations 2324 Supp'!$A$4:$AE$34,18,FALSE))*Apport_M802324s+IF((VLOOKUP($A31,EnrollData2324,'2324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Enroll'!L$1,FALSE))=VLOOKUP($A31,EnrollData2324,'2324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Enroll'!L$1,FALSE),(VLOOKUP($A31,EnrollData2324,'2324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Enroll'!L$1,FALSE)),(VLOOKUP($A31,EnrollData2324,'2324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Enroll'!L$1,FALSE)))*Apport_M812324s)/(IF(VLOOKUP($A31,EnrollData2324,'2324 Jun 24 Enroll'!M$1,FALSE)=VLOOKUP($A31,'ESA Calculations 2324 Supp'!$A$4:$AE$34,18,FALSE),VLOOKUP($A31,EnrollData2324,'2324 Jun 24 Enroll'!M$1,FALSE),VLOOKUP($A31,'ESA Calculations 2324 Supp'!$A$4:$AE$34,18,FALSE))+IF(VLOOKUP($A31,EnrollData2324,'2324 Jun 24 Enroll'!D$1,FALSE)=VLOOKUP($A31,'ESA Calculations 2324 Supp'!$A$4:$AE$34,4,FALSE),VLOOKUP($A31,EnrollData2324,'2324 Jun 24 Enroll'!D$1,FALSE),VLOOKUP($A31,'ESA Calculations 2324 Supp'!$A$4:$AE$34,4,FALSE))),2)</f>
        <v>1576.44</v>
      </c>
      <c r="AS31" s="7">
        <f t="shared" si="5"/>
        <v>9719.090000000002</v>
      </c>
      <c r="AT31" s="6">
        <f>IF(VLOOKUP($A31,EnrollData2324,'2324 Jun 24 Enroll'!AA$1,FALSE)=VLOOKUP($A31,'ESA Calculations 2324 Supp'!$A$4:$AE$34,24,FALSE),VLOOKUP($A31,EnrollData2324,'2324 Jun 24 Enroll'!AA$1,FALSE),VLOOKUP($A31,'ESA Calculations 2324 Supp'!$A$4:$AE$34,24,FALSE))</f>
        <v>410.42</v>
      </c>
    </row>
    <row r="32" spans="1:46">
      <c r="A32" s="40" t="s">
        <v>432</v>
      </c>
      <c r="B32" s="40" t="s">
        <v>433</v>
      </c>
      <c r="C32" s="11">
        <f>ROUND((IFERROR((1/IF(VLOOKUP($A32,EnrollData2324,28,FALSE)=VLOOKUP($A32,'ESA Calculations 2324 Supp'!$A$4:$AE$34,3,FALSE),VLOOKUP($A32,EnrollData2324,28,FALSE),VLOOKUP($A32,'ESA Calculations 2324 Supp'!$A$4:$AE$34,3,FALSE)))*(1+Apport_Z315),0))+Apport_201A2324s,6)</f>
        <v>7.3449E-2</v>
      </c>
      <c r="D32">
        <f>ROUND(IF(VLOOKUP($A32,EnrollData2324,'2324 Jun 24 Enroll'!D$1,FALSE)=VLOOKUP($A32,'ESA Calculations 2324 Supp'!$A$4:$AE$34,4,FALSE),VLOOKUP($A32,EnrollData2324,'2324 Jun 24 Enroll'!D$1,FALSE),VLOOKUP($A32,'ESA Calculations 2324 Supp'!$A$4:$AE$34,4,FALSE))*C32,3)</f>
        <v>0</v>
      </c>
      <c r="E32">
        <f>ROUND(IF(VLOOKUP($A32,EnrollData2324,'2324 Jun 24 Enroll'!E$1,FALSE)=VLOOKUP($A32,'ESA Calculations 2324 Supp'!$A$4:$AE$34,5,FALSE),VLOOKUP($A32,EnrollData2324,'2324 Jun 24 Enroll'!E$1,FALSE),VLOOKUP($A32,'ESA Calculations 2324 Supp'!$A$4:$AE$34,5,FALSE))*C32,3)</f>
        <v>1.1020000000000001</v>
      </c>
      <c r="F32">
        <f>ROUND(IF(VLOOKUP($A32,EnrollData2324,'2324 Jun 24 Enroll'!F$1,FALSE)=VLOOKUP($A32,'ESA Calculations 2324 Supp'!$A$4:$AE$34,6,FALSE),VLOOKUP($A32,EnrollData2324,'2324 Jun 24 Enroll'!F$1,FALSE),VLOOKUP($A32,'ESA Calculations 2324 Supp'!$A$4:$AE$34,6,FALSE))*Apport_222A2324s,3)</f>
        <v>4.8000000000000001E-2</v>
      </c>
      <c r="G32">
        <f>ROUND(IF(VLOOKUP($A32,EnrollData2324,'2324 Jun 24 Enroll'!G$1,FALSE)=VLOOKUP($A32,'ESA Calculations 2324 Supp'!$A$4:$AE$34,7,FALSE),VLOOKUP($A32,EnrollData2324,'2324 Jun 24 Enroll'!G$1,FALSE),VLOOKUP($A32,'ESA Calculations 2324 Supp'!$A$4:$AE$34,7,FALSE))*Apport_210A2324s,3)</f>
        <v>0.14499999999999999</v>
      </c>
      <c r="H32">
        <f>ROUND(IF(VLOOKUP($A32,EnrollData2324,'2324 Jun 24 Enroll'!H$1,FALSE)=VLOOKUP($A32,'ESA Calculations 2324 Supp'!$A$4:$AE$34,8,FALSE),VLOOKUP($A32,EnrollData2324,'2324 Jun 24 Enroll'!H$1,FALSE),VLOOKUP($A32,'ESA Calculations 2324 Supp'!$A$4:$AE$34,8,FALSE))*Apport_213A2324s,3)</f>
        <v>0</v>
      </c>
      <c r="I32">
        <f>ROUND(IF(VLOOKUP($A32,EnrollData2324,'2324 Jun 24 Enroll'!I$1,FALSE)+VLOOKUP($A32,EnrollData2324,'2324 Jun 24 Enroll'!M$1,FALSE)-VLOOKUP($A32,EnrollData2324,'2324 Jun 24 Enroll'!J$1,FALSE)=VLOOKUP($A32,'ESA Calculations 2324 Supp'!$A$4:$AE$34,9,FALSE)+VLOOKUP($A32,'ESA Calculations 2324 Supp'!$A$4:$AE$34,18,FALSE)-VLOOKUP($A32,'ESA Calculations 2324 Supp'!$A$4:$AE$34,10,FALSE),VLOOKUP($A32,EnrollData2324,'2324 Jun 24 Enroll'!I$1,FALSE)+VLOOKUP($A32,EnrollData2324,'2324 Jun 24 Enroll'!M$1,FALSE)-VLOOKUP($A32,EnrollData2324,'2324 Jun 24 Enroll'!J$1,FALSE),VLOOKUP($A32,'ESA Calculations 2324 Supp'!$A$4:$AE$34,9,FALSE)+VLOOKUP($A32,'ESA Calculations 2324 Supp'!$A$4:$AE$34,18,FALSE)-VLOOKUP($A32,'ESA Calculations 2324 Supp'!$A$4:$AE$34,10,FALSE))*Apport_216A2324s,3)</f>
        <v>0</v>
      </c>
      <c r="J32">
        <f>ROUND(SUM(D32:I32)/IF(VLOOKUP($A32,EnrollData2324,'2324 Jun 24 Enroll'!M$1,FALSE)+VLOOKUP($A32,EnrollData2324,'2324 Jun 24 Enroll'!D$1,FALSE)=VLOOKUP($A32,'ESA Calculations 2324 Supp'!$A$4:$AE$34,18,FALSE)+VLOOKUP($A32,'ESA Calculations 2324 Supp'!$A$4:$AE$34,4,FALSE),VLOOKUP($A32,EnrollData2324,'2324 Jun 24 Enroll'!M$1,FALSE)+VLOOKUP($A32,EnrollData2324,'2324 Jun 24 Enroll'!D$1,FALSE),VLOOKUP($A32,'ESA Calculations 2324 Supp'!$A$4:$AE$34,18,FALSE)+VLOOKUP($A32,'ESA Calculations 2324 Supp'!$A$4:$AE$34,4,FALSE)),5)</f>
        <v>6.8159999999999998E-2</v>
      </c>
      <c r="K32" s="11">
        <f t="shared" si="1"/>
        <v>4.3699999999999998E-3</v>
      </c>
      <c r="L32">
        <f>ROUND(IF(VLOOKUP($A32,EnrollData2324,'2324 Jun 24 Enroll'!D$1,FALSE)=VLOOKUP($A32,'ESA Calculations 2324 Supp'!$A$4:$AE$34,4,FALSE),VLOOKUP($A32,EnrollData2324,'2324 Jun 24 Enroll'!D$1,FALSE),VLOOKUP($A32,'ESA Calculations 2324 Supp'!$A$4:$AE$34,4,FALSE))*K32,3)</f>
        <v>0</v>
      </c>
      <c r="M32">
        <f>ROUND(IF(VLOOKUP($A32,EnrollData2324,'2324 Jun 24 Enroll'!E$1,FALSE)=VLOOKUP($A32,'ESA Calculations 2324 Supp'!$A$4:$AE$34,5,FALSE),VLOOKUP($A32,EnrollData2324,'2324 Jun 24 Enroll'!E$1,FALSE),VLOOKUP($A32,'ESA Calculations 2324 Supp'!$A$4:$AE$34,5,FALSE))*K32,3)</f>
        <v>6.6000000000000003E-2</v>
      </c>
      <c r="N32">
        <f>ROUND(IF(VLOOKUP($A32,EnrollData2324,'2324 Jun 24 Enroll'!F$1,FALSE)=VLOOKUP($A32,'ESA Calculations 2324 Supp'!$A$4:$AE$34,6,FALSE),VLOOKUP($A32,EnrollData2324,'2324 Jun 24 Enroll'!F$1,FALSE),VLOOKUP($A32,'ESA Calculations 2324 Supp'!$A$4:$AE$34,6,FALSE))*Apport_223A2324s,3)</f>
        <v>4.0000000000000001E-3</v>
      </c>
      <c r="O32">
        <f>ROUND(IF(VLOOKUP($A32,EnrollData2324,'2324 Jun 24 Enroll'!G$1,FALSE)=VLOOKUP($A32,'ESA Calculations 2324 Supp'!$A$4:$AE$34,7,FALSE),VLOOKUP($A32,EnrollData2324,'2324 Jun 24 Enroll'!G$1,FALSE),VLOOKUP($A32,'ESA Calculations 2324 Supp'!$A$4:$AE$34,7,FALSE))*Apport_211A2324s,3)</f>
        <v>1.2E-2</v>
      </c>
      <c r="P32">
        <f>ROUND(IF(VLOOKUP($A32,EnrollData2324,'2324 Jun 24 Enroll'!H$1,FALSE)=VLOOKUP($A32,'ESA Calculations 2324 Supp'!$A$4:$AE$34,8,FALSE),VLOOKUP($A32,EnrollData2324,'2324 Jun 24 Enroll'!H$1,FALSE),VLOOKUP($A32,'ESA Calculations 2324 Supp'!$A$4:$AE$34,8,FALSE))*Apport_214A2324s,3)</f>
        <v>0</v>
      </c>
      <c r="Q32">
        <f>ROUND(IF(VLOOKUP($A32,EnrollData2324,'2324 Jun 24 Enroll'!I$1,FALSE)+VLOOKUP($A32,EnrollData2324,'2324 Jun 24 Enroll'!M$1,FALSE)-VLOOKUP($A32,EnrollData2324,'2324 Jun 24 Enroll'!J$1,FALSE)=VLOOKUP($A32,'ESA Calculations 2324 Supp'!$A$4:$AE$34,9,FALSE)+VLOOKUP($A32,'ESA Calculations 2324 Supp'!$A$4:$AE$34,18,FALSE)-VLOOKUP($A32,'ESA Calculations 2324 Supp'!$A$4:$AE$34,10,FALSE),VLOOKUP($A32,EnrollData2324,'2324 Jun 24 Enroll'!I$1,FALSE)+VLOOKUP($A32,EnrollData2324,'2324 Jun 24 Enroll'!M$1,FALSE)-VLOOKUP($A32,EnrollData2324,'2324 Jun 24 Enroll'!J$1,FALSE),VLOOKUP($A32,'ESA Calculations 2324 Supp'!$A$4:$AE$34,9,FALSE)+VLOOKUP($A32,'ESA Calculations 2324 Supp'!$A$4:$AE$34,18,FALSE)-VLOOKUP($A32,'ESA Calculations 2324 Supp'!$A$4:$AE$34,10,FALSE))*Apport_217A2324s,3)</f>
        <v>0</v>
      </c>
      <c r="R32">
        <f>ROUND(SUM(L32:Q32)/IF(VLOOKUP($A32,EnrollData2324,'2324 Jun 24 Enroll'!M$1,FALSE)+VLOOKUP($A32,EnrollData2324,'2324 Jun 24 Enroll'!D$1,FALSE)=VLOOKUP($A32,'ESA Calculations 2324 Supp'!$A$4:$AE$34,18,FALSE)+VLOOKUP($A32,'ESA Calculations 2324 Supp'!$A$4:$AE$34,4,FALSE),VLOOKUP($A32,EnrollData2324,'2324 Jun 24 Enroll'!M$1,FALSE)+VLOOKUP($A32,EnrollData2324,'2324 Jun 24 Enroll'!D$1,FALSE),VLOOKUP($A32,'ESA Calculations 2324 Supp'!$A$4:$AE$34,18,FALSE)+VLOOKUP($A32,'ESA Calculations 2324 Supp'!$A$4:$AE$34,4,FALSE)),5)</f>
        <v>4.3200000000000001E-3</v>
      </c>
      <c r="S32" s="11">
        <f t="shared" si="2"/>
        <v>1.8689600000000001E-2</v>
      </c>
      <c r="T32">
        <f>ROUND(IF(VLOOKUP($A32,EnrollData2324,'2324 Jun 24 Enroll'!D$1,FALSE)=VLOOKUP($A32,'ESA Calculations 2324 Supp'!$A$4:$AE$34,4,FALSE),VLOOKUP($A32,EnrollData2324,'2324 Jun 24 Enroll'!D$1,FALSE),VLOOKUP($A32,'ESA Calculations 2324 Supp'!$A$4:$AE$34,4,FALSE))*S32,3)</f>
        <v>0</v>
      </c>
      <c r="U32">
        <f>ROUND(IF(VLOOKUP($A32,EnrollData2324,'2324 Jun 24 Enroll'!E$1,FALSE)=VLOOKUP($A32,'ESA Calculations 2324 Supp'!$A$4:$AE$34,5,FALSE),VLOOKUP($A32,EnrollData2324,'2324 Jun 24 Enroll'!E$1,FALSE),VLOOKUP($A32,'ESA Calculations 2324 Supp'!$A$4:$AE$34,5,FALSE))*S32,3)</f>
        <v>0.28000000000000003</v>
      </c>
      <c r="V32">
        <f>ROUND(IF(VLOOKUP($A32,EnrollData2324,'2324 Jun 24 Enroll'!F$1,FALSE)=VLOOKUP($A32,'ESA Calculations 2324 Supp'!$A$4:$AE$34,6,FALSE),VLOOKUP($A32,EnrollData2324,'2324 Jun 24 Enroll'!F$1,FALSE),VLOOKUP($A32,'ESA Calculations 2324 Supp'!$A$4:$AE$34,6,FALSE))*Apport_224A2324s,3)</f>
        <v>1.7999999999999999E-2</v>
      </c>
      <c r="W32">
        <f>ROUND(IF(VLOOKUP($A32,EnrollData2324,'2324 Jun 24 Enroll'!G$1,FALSE)=VLOOKUP($A32,'ESA Calculations 2324 Supp'!$A$4:$AE$34,7,FALSE),VLOOKUP($A32,EnrollData2324,'2324 Jun 24 Enroll'!G$1,FALSE),VLOOKUP($A32,'ESA Calculations 2324 Supp'!$A$4:$AE$34,7,FALSE))*Apport_212A2324s,3)</f>
        <v>5.2999999999999999E-2</v>
      </c>
      <c r="X32">
        <f>ROUND(IF(VLOOKUP($A32,EnrollData2324,'2324 Jun 24 Enroll'!H$1,FALSE)=VLOOKUP($A32,'ESA Calculations 2324 Supp'!$A$4:$AE$34,8,FALSE),VLOOKUP($A32,EnrollData2324,'2324 Jun 24 Enroll'!H$1,FALSE),VLOOKUP($A32,'ESA Calculations 2324 Supp'!$A$4:$AE$34,8,FALSE))*Apport_215A2324s,3)</f>
        <v>0</v>
      </c>
      <c r="Y32">
        <f>ROUND(IF(VLOOKUP($A32,EnrollData2324,'2324 Jun 24 Enroll'!I$1,FALSE)+VLOOKUP($A32,EnrollData2324,'2324 Jun 24 Enroll'!M$1,FALSE)-VLOOKUP($A32,EnrollData2324,'2324 Jun 24 Enroll'!J$1,FALSE)=VLOOKUP($A32,'ESA Calculations 2324 Supp'!$A$4:$AE$34,9,FALSE)+VLOOKUP($A32,'ESA Calculations 2324 Supp'!$A$4:$AE$34,18,FALSE)-VLOOKUP($A32,'ESA Calculations 2324 Supp'!$A$4:$AE$34,10,FALSE),VLOOKUP($A32,EnrollData2324,'2324 Jun 24 Enroll'!I$1,FALSE)+VLOOKUP($A32,EnrollData2324,'2324 Jun 24 Enroll'!M$1,FALSE)-VLOOKUP($A32,EnrollData2324,'2324 Jun 24 Enroll'!J$1,FALSE),VLOOKUP($A32,'ESA Calculations 2324 Supp'!$A$4:$AE$34,9,FALSE)+VLOOKUP($A32,'ESA Calculations 2324 Supp'!$A$4:$AE$34,18,FALSE)-VLOOKUP($A32,'ESA Calculations 2324 Supp'!$A$4:$AE$34,10,FALSE))*Apport_218A2324s,3)</f>
        <v>0</v>
      </c>
      <c r="Z32">
        <f>ROUND(SUM(T32:Y32)/IF(VLOOKUP($A32,EnrollData2324,'2324 Jun 24 Enroll'!M$1,FALSE)+VLOOKUP($A32,EnrollData2324,'2324 Jun 24 Enroll'!D$1,FALSE)=VLOOKUP($A32,'ESA Calculations 2324 Supp'!$A$4:$AE$34,18,FALSE)+VLOOKUP($A32,'ESA Calculations 2324 Supp'!$A$4:$AE$34,4,FALSE),VLOOKUP($A32,EnrollData2324,'2324 Jun 24 Enroll'!M$1,FALSE)+VLOOKUP($A32,EnrollData2324,'2324 Jun 24 Enroll'!D$1,FALSE),VLOOKUP($A32,'ESA Calculations 2324 Supp'!$A$4:$AE$34,18,FALSE)+VLOOKUP($A32,'ESA Calculations 2324 Supp'!$A$4:$AE$34,4,FALSE)),5)</f>
        <v>1.847E-2</v>
      </c>
      <c r="AA32" s="6" cm="1">
        <f t="array" ref="AA32">ROUND($J32*CIS_Base_Salary2324s*VLOOKUP($A32,EnrollData2324,'2324 Jun 24 Enroll'!S$1,FALSE),2)</f>
        <v>4957.1400000000003</v>
      </c>
      <c r="AB32" s="6" cm="1">
        <f t="array" ref="AB32">ROUND($J32*CIS_Inc_Salary2324s*(VLOOKUP($A32,EnrollData2324,'2324 Jun 24 Enroll'!T$1,FALSE)+VLOOKUP($A32,EnrollData2324,'2324 Jun 24 Enroll'!U$1,FALSE)),2)-AA32</f>
        <v>389.03999999999996</v>
      </c>
      <c r="AC32" s="6" cm="1">
        <f t="array" ref="AC32">ROUND($R32*CAS_Base_Salary2324s*VLOOKUP($A32,EnrollData2324,'2324 Jun 24 Enroll'!S$1,FALSE),2)</f>
        <v>466.37</v>
      </c>
      <c r="AD32" s="6" cm="1">
        <f t="array" ref="AD32">ROUND($R32*CAS_Inc_Salary2324s*VLOOKUP($A32,EnrollData2324,'2324 Jun 24 Enroll'!T$1,FALSE),2)-AC32</f>
        <v>17.25</v>
      </c>
      <c r="AE32" s="6" cm="1">
        <f t="array" ref="AE32">ROUND($Z32*CLS_Base_Salary2324s*VLOOKUP($A32,EnrollData2324,'2324 Jun 24 Enroll'!S$1,FALSE),2)</f>
        <v>963.64</v>
      </c>
      <c r="AF32" s="6" cm="1">
        <f t="array" ref="AF32">ROUND($Z32*CLS_Inc_Salary2324s*VLOOKUP($A32,EnrollData2324,'2324 Jun 24 Enroll'!T$1,FALSE),2)-AE32</f>
        <v>35.639999999999986</v>
      </c>
      <c r="AG32" cm="1">
        <f t="array" ref="AG32">ROUND(($J32+$R32)*Apport_124X2324s,2)</f>
        <v>892.37</v>
      </c>
      <c r="AH32" s="69">
        <f t="shared" si="3"/>
        <v>83.5</v>
      </c>
      <c r="AI32" cm="1">
        <f t="array" ref="AI32">ROUND($Z32*Apport_124X2324s,2)</f>
        <v>227.4</v>
      </c>
      <c r="AJ32" cm="1">
        <f t="array" ref="AJ32">ROUND($Z32*Apport_621X2324s*Apport_125X2324s,2)-AI32</f>
        <v>121.23999999999998</v>
      </c>
      <c r="AK32" cm="1">
        <f t="array" ref="AK32">ROUND((AA32+AC32)*Apport_126X2324s,2)</f>
        <v>974.6</v>
      </c>
      <c r="AL32" cm="1">
        <f t="array" ref="AL32">ROUND((AB32+AD32)*Apport_127X2324s,2)</f>
        <v>70.41</v>
      </c>
      <c r="AM32" cm="1">
        <f t="array" ref="AM32">ROUND(AE32*Apport_128X2324s,2)</f>
        <v>212.58</v>
      </c>
      <c r="AN32" cm="1">
        <f t="array" ref="AN32">ROUND(AF32*Apport_129X2324s,2)</f>
        <v>6.61</v>
      </c>
      <c r="AO32" cm="1">
        <f t="array" ref="AO32">ROUND(($J32*CIS_Inc_Salary2324s*(VLOOKUP($A32,EnrollData2324,'2324 Jun 24 Enroll'!T$1,FALSE)+VLOOKUP($A32,EnrollData2324,'2324 Jun 24 Enroll'!U$1,FALSE))/Apport_613Xpd)*Apport_614Xpd,2)</f>
        <v>89.1</v>
      </c>
      <c r="AP32" cm="1">
        <f t="array" ref="AP32">ROUND(AO32*Apport_127X2324s,2)</f>
        <v>15.44</v>
      </c>
      <c r="AQ32">
        <f t="shared" si="4"/>
        <v>37.97</v>
      </c>
      <c r="AR32" s="6" cm="1">
        <f t="array" ref="AR32">ROUND((IF(VLOOKUP($A32,EnrollData2324,'2324 Jun 24 Enroll'!D$1,FALSE)=VLOOKUP($A32,'ESA Calculations 2324 Supp'!$A$4:$AE$34,4,FALSE),VLOOKUP($A32,EnrollData2324,'2324 Jun 24 Enroll'!D$1,FALSE),VLOOKUP($A32,'ESA Calculations 2324 Supp'!$A$4:$AE$34,4,FALSE))*Apport_M802324s+IF(VLOOKUP($A32,EnrollData2324,'2324 Jun 24 Enroll'!M$1,FALSE)=VLOOKUP($A32,'ESA Calculations 2324 Supp'!$A$4:$AE$34,18,FALSE),VLOOKUP($A32,EnrollData2324,'2324 Jun 24 Enroll'!M$1,FALSE),VLOOKUP($A32,'ESA Calculations 2324 Supp'!$A$4:$AE$34,18,FALSE))*Apport_M802324s+IF((VLOOKUP($A32,EnrollData2324,'2324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Enroll'!L$1,FALSE))=VLOOKUP($A32,EnrollData2324,'2324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Enroll'!L$1,FALSE),(VLOOKUP($A32,EnrollData2324,'2324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Enroll'!L$1,FALSE)),(VLOOKUP($A32,EnrollData2324,'2324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Enroll'!L$1,FALSE)))*Apport_M812324s)/(IF(VLOOKUP($A32,EnrollData2324,'2324 Jun 24 Enroll'!M$1,FALSE)=VLOOKUP($A32,'ESA Calculations 2324 Supp'!$A$4:$AE$34,18,FALSE),VLOOKUP($A32,EnrollData2324,'2324 Jun 24 Enroll'!M$1,FALSE),VLOOKUP($A32,'ESA Calculations 2324 Supp'!$A$4:$AE$34,18,FALSE))+IF(VLOOKUP($A32,EnrollData2324,'2324 Jun 24 Enroll'!D$1,FALSE)=VLOOKUP($A32,'ESA Calculations 2324 Supp'!$A$4:$AE$34,4,FALSE),VLOOKUP($A32,EnrollData2324,'2324 Jun 24 Enroll'!D$1,FALSE),VLOOKUP($A32,'ESA Calculations 2324 Supp'!$A$4:$AE$34,4,FALSE))),2)</f>
        <v>1504.44</v>
      </c>
      <c r="AS32" s="7">
        <f t="shared" si="5"/>
        <v>11064.740000000002</v>
      </c>
      <c r="AT32" s="6">
        <f>IF(VLOOKUP($A32,EnrollData2324,'2324 Jun 24 Enroll'!AA$1,FALSE)=VLOOKUP($A32,'ESA Calculations 2324 Supp'!$A$4:$AE$34,24,FALSE),VLOOKUP($A32,EnrollData2324,'2324 Jun 24 Enroll'!AA$1,FALSE),VLOOKUP($A32,'ESA Calculations 2324 Supp'!$A$4:$AE$34,24,FALSE))</f>
        <v>19</v>
      </c>
    </row>
    <row r="33" spans="1:46">
      <c r="A33" s="40" t="s">
        <v>849</v>
      </c>
      <c r="B33" s="40" t="s">
        <v>850</v>
      </c>
      <c r="C33" s="11">
        <f>ROUND((IFERROR((1/IF(VLOOKUP($A33,EnrollData2324,28,FALSE)=VLOOKUP($A33,'ESA Calculations 2324 Supp'!$A$4:$AE$34,3,FALSE),VLOOKUP($A33,EnrollData2324,28,FALSE),VLOOKUP($A33,'ESA Calculations 2324 Supp'!$A$4:$AE$34,3,FALSE)))*(1+Apport_Z315),0))+Apport_201A2324s,6)</f>
        <v>7.2894E-2</v>
      </c>
      <c r="D33">
        <f>ROUND(IF(VLOOKUP($A33,EnrollData2324,'2324 Jun 24 Enroll'!D$1,FALSE)=VLOOKUP($A33,'ESA Calculations 2324 Supp'!$A$4:$AE$34,4,FALSE),VLOOKUP($A33,EnrollData2324,'2324 Jun 24 Enroll'!D$1,FALSE),VLOOKUP($A33,'ESA Calculations 2324 Supp'!$A$4:$AE$34,4,FALSE))*C33,3)</f>
        <v>0</v>
      </c>
      <c r="E33">
        <f>ROUND(IF(VLOOKUP($A33,EnrollData2324,'2324 Jun 24 Enroll'!E$1,FALSE)=VLOOKUP($A33,'ESA Calculations 2324 Supp'!$A$4:$AE$34,5,FALSE),VLOOKUP($A33,EnrollData2324,'2324 Jun 24 Enroll'!E$1,FALSE),VLOOKUP($A33,'ESA Calculations 2324 Supp'!$A$4:$AE$34,5,FALSE))*C33,3)</f>
        <v>5.9169999999999998</v>
      </c>
      <c r="F33">
        <f>ROUND(IF(VLOOKUP($A33,EnrollData2324,'2324 Jun 24 Enroll'!F$1,FALSE)=VLOOKUP($A33,'ESA Calculations 2324 Supp'!$A$4:$AE$34,6,FALSE),VLOOKUP($A33,EnrollData2324,'2324 Jun 24 Enroll'!F$1,FALSE),VLOOKUP($A33,'ESA Calculations 2324 Supp'!$A$4:$AE$34,6,FALSE))*Apport_222A2324s,3)</f>
        <v>0.80600000000000005</v>
      </c>
      <c r="G33">
        <f>ROUND(IF(VLOOKUP($A33,EnrollData2324,'2324 Jun 24 Enroll'!G$1,FALSE)=VLOOKUP($A33,'ESA Calculations 2324 Supp'!$A$4:$AE$34,7,FALSE),VLOOKUP($A33,EnrollData2324,'2324 Jun 24 Enroll'!G$1,FALSE),VLOOKUP($A33,'ESA Calculations 2324 Supp'!$A$4:$AE$34,7,FALSE))*Apport_210A2324s,3)</f>
        <v>2.3860000000000001</v>
      </c>
      <c r="H33">
        <f>ROUND(IF(VLOOKUP($A33,EnrollData2324,'2324 Jun 24 Enroll'!H$1,FALSE)=VLOOKUP($A33,'ESA Calculations 2324 Supp'!$A$4:$AE$34,8,FALSE),VLOOKUP($A33,EnrollData2324,'2324 Jun 24 Enroll'!H$1,FALSE),VLOOKUP($A33,'ESA Calculations 2324 Supp'!$A$4:$AE$34,8,FALSE))*Apport_213A2324s,3)</f>
        <v>2.0099999999999998</v>
      </c>
      <c r="I33">
        <f>ROUND(IF(VLOOKUP($A33,EnrollData2324,'2324 Jun 24 Enroll'!I$1,FALSE)+VLOOKUP($A33,EnrollData2324,'2324 Jun 24 Enroll'!M$1,FALSE)-VLOOKUP($A33,EnrollData2324,'2324 Jun 24 Enroll'!J$1,FALSE)=VLOOKUP($A33,'ESA Calculations 2324 Supp'!$A$4:$AE$34,9,FALSE)+VLOOKUP($A33,'ESA Calculations 2324 Supp'!$A$4:$AE$34,18,FALSE)-VLOOKUP($A33,'ESA Calculations 2324 Supp'!$A$4:$AE$34,10,FALSE),VLOOKUP($A33,EnrollData2324,'2324 Jun 24 Enroll'!I$1,FALSE)+VLOOKUP($A33,EnrollData2324,'2324 Jun 24 Enroll'!M$1,FALSE)-VLOOKUP($A33,EnrollData2324,'2324 Jun 24 Enroll'!J$1,FALSE),VLOOKUP($A33,'ESA Calculations 2324 Supp'!$A$4:$AE$34,9,FALSE)+VLOOKUP($A33,'ESA Calculations 2324 Supp'!$A$4:$AE$34,18,FALSE)-VLOOKUP($A33,'ESA Calculations 2324 Supp'!$A$4:$AE$34,10,FALSE))*Apport_216A2324s,3)</f>
        <v>4.7210000000000001</v>
      </c>
      <c r="J33">
        <f>ROUND(SUM(D33:I33)/IF(VLOOKUP($A33,EnrollData2324,'2324 Jun 24 Enroll'!M$1,FALSE)+VLOOKUP($A33,EnrollData2324,'2324 Jun 24 Enroll'!D$1,FALSE)=VLOOKUP($A33,'ESA Calculations 2324 Supp'!$A$4:$AE$34,18,FALSE)+VLOOKUP($A33,'ESA Calculations 2324 Supp'!$A$4:$AE$34,4,FALSE),VLOOKUP($A33,EnrollData2324,'2324 Jun 24 Enroll'!M$1,FALSE)+VLOOKUP($A33,EnrollData2324,'2324 Jun 24 Enroll'!D$1,FALSE),VLOOKUP($A33,'ESA Calculations 2324 Supp'!$A$4:$AE$34,18,FALSE)+VLOOKUP($A33,'ESA Calculations 2324 Supp'!$A$4:$AE$34,4,FALSE)),5)</f>
        <v>5.5980000000000002E-2</v>
      </c>
      <c r="K33" s="11">
        <f t="shared" si="1"/>
        <v>4.3629999999999997E-3</v>
      </c>
      <c r="L33">
        <f>ROUND(IF(VLOOKUP($A33,EnrollData2324,'2324 Jun 24 Enroll'!D$1,FALSE)=VLOOKUP($A33,'ESA Calculations 2324 Supp'!$A$4:$AE$34,4,FALSE),VLOOKUP($A33,EnrollData2324,'2324 Jun 24 Enroll'!D$1,FALSE),VLOOKUP($A33,'ESA Calculations 2324 Supp'!$A$4:$AE$34,4,FALSE))*K33,3)</f>
        <v>0</v>
      </c>
      <c r="M33">
        <f>ROUND(IF(VLOOKUP($A33,EnrollData2324,'2324 Jun 24 Enroll'!E$1,FALSE)=VLOOKUP($A33,'ESA Calculations 2324 Supp'!$A$4:$AE$34,5,FALSE),VLOOKUP($A33,EnrollData2324,'2324 Jun 24 Enroll'!E$1,FALSE),VLOOKUP($A33,'ESA Calculations 2324 Supp'!$A$4:$AE$34,5,FALSE))*K33,3)</f>
        <v>0.35399999999999998</v>
      </c>
      <c r="N33">
        <f>ROUND(IF(VLOOKUP($A33,EnrollData2324,'2324 Jun 24 Enroll'!F$1,FALSE)=VLOOKUP($A33,'ESA Calculations 2324 Supp'!$A$4:$AE$34,6,FALSE),VLOOKUP($A33,EnrollData2324,'2324 Jun 24 Enroll'!F$1,FALSE),VLOOKUP($A33,'ESA Calculations 2324 Supp'!$A$4:$AE$34,6,FALSE))*Apport_223A2324s,3)</f>
        <v>6.7000000000000004E-2</v>
      </c>
      <c r="O33">
        <f>ROUND(IF(VLOOKUP($A33,EnrollData2324,'2324 Jun 24 Enroll'!G$1,FALSE)=VLOOKUP($A33,'ESA Calculations 2324 Supp'!$A$4:$AE$34,7,FALSE),VLOOKUP($A33,EnrollData2324,'2324 Jun 24 Enroll'!G$1,FALSE),VLOOKUP($A33,'ESA Calculations 2324 Supp'!$A$4:$AE$34,7,FALSE))*Apport_211A2324s,3)</f>
        <v>0.19900000000000001</v>
      </c>
      <c r="P33">
        <f>ROUND(IF(VLOOKUP($A33,EnrollData2324,'2324 Jun 24 Enroll'!H$1,FALSE)=VLOOKUP($A33,'ESA Calculations 2324 Supp'!$A$4:$AE$34,8,FALSE),VLOOKUP($A33,EnrollData2324,'2324 Jun 24 Enroll'!H$1,FALSE),VLOOKUP($A33,'ESA Calculations 2324 Supp'!$A$4:$AE$34,8,FALSE))*Apport_214A2324s,3)</f>
        <v>0.16700000000000001</v>
      </c>
      <c r="Q33">
        <f>ROUND(IF(VLOOKUP($A33,EnrollData2324,'2324 Jun 24 Enroll'!I$1,FALSE)+VLOOKUP($A33,EnrollData2324,'2324 Jun 24 Enroll'!M$1,FALSE)-VLOOKUP($A33,EnrollData2324,'2324 Jun 24 Enroll'!J$1,FALSE)=VLOOKUP($A33,'ESA Calculations 2324 Supp'!$A$4:$AE$34,9,FALSE)+VLOOKUP($A33,'ESA Calculations 2324 Supp'!$A$4:$AE$34,18,FALSE)-VLOOKUP($A33,'ESA Calculations 2324 Supp'!$A$4:$AE$34,10,FALSE),VLOOKUP($A33,EnrollData2324,'2324 Jun 24 Enroll'!I$1,FALSE)+VLOOKUP($A33,EnrollData2324,'2324 Jun 24 Enroll'!M$1,FALSE)-VLOOKUP($A33,EnrollData2324,'2324 Jun 24 Enroll'!J$1,FALSE),VLOOKUP($A33,'ESA Calculations 2324 Supp'!$A$4:$AE$34,9,FALSE)+VLOOKUP($A33,'ESA Calculations 2324 Supp'!$A$4:$AE$34,18,FALSE)-VLOOKUP($A33,'ESA Calculations 2324 Supp'!$A$4:$AE$34,10,FALSE))*Apport_217A2324s,3)</f>
        <v>0.38100000000000001</v>
      </c>
      <c r="R33">
        <f>ROUND(SUM(L33:Q33)/IF(VLOOKUP($A33,EnrollData2324,'2324 Jun 24 Enroll'!M$1,FALSE)+VLOOKUP($A33,EnrollData2324,'2324 Jun 24 Enroll'!D$1,FALSE)=VLOOKUP($A33,'ESA Calculations 2324 Supp'!$A$4:$AE$34,18,FALSE)+VLOOKUP($A33,'ESA Calculations 2324 Supp'!$A$4:$AE$34,4,FALSE),VLOOKUP($A33,EnrollData2324,'2324 Jun 24 Enroll'!M$1,FALSE)+VLOOKUP($A33,EnrollData2324,'2324 Jun 24 Enroll'!D$1,FALSE),VLOOKUP($A33,'ESA Calculations 2324 Supp'!$A$4:$AE$34,18,FALSE)+VLOOKUP($A33,'ESA Calculations 2324 Supp'!$A$4:$AE$34,4,FALSE)),5)</f>
        <v>4.13E-3</v>
      </c>
      <c r="S33" s="11">
        <f t="shared" si="2"/>
        <v>1.8667599999999999E-2</v>
      </c>
      <c r="T33">
        <f>ROUND(IF(VLOOKUP($A33,EnrollData2324,'2324 Jun 24 Enroll'!D$1,FALSE)=VLOOKUP($A33,'ESA Calculations 2324 Supp'!$A$4:$AE$34,4,FALSE),VLOOKUP($A33,EnrollData2324,'2324 Jun 24 Enroll'!D$1,FALSE),VLOOKUP($A33,'ESA Calculations 2324 Supp'!$A$4:$AE$34,4,FALSE))*S33,3)</f>
        <v>0</v>
      </c>
      <c r="U33">
        <f>ROUND(IF(VLOOKUP($A33,EnrollData2324,'2324 Jun 24 Enroll'!E$1,FALSE)=VLOOKUP($A33,'ESA Calculations 2324 Supp'!$A$4:$AE$34,5,FALSE),VLOOKUP($A33,EnrollData2324,'2324 Jun 24 Enroll'!E$1,FALSE),VLOOKUP($A33,'ESA Calculations 2324 Supp'!$A$4:$AE$34,5,FALSE))*S33,3)</f>
        <v>1.5149999999999999</v>
      </c>
      <c r="V33">
        <f>ROUND(IF(VLOOKUP($A33,EnrollData2324,'2324 Jun 24 Enroll'!F$1,FALSE)=VLOOKUP($A33,'ESA Calculations 2324 Supp'!$A$4:$AE$34,6,FALSE),VLOOKUP($A33,EnrollData2324,'2324 Jun 24 Enroll'!F$1,FALSE),VLOOKUP($A33,'ESA Calculations 2324 Supp'!$A$4:$AE$34,6,FALSE))*Apport_224A2324s,3)</f>
        <v>0.29599999999999999</v>
      </c>
      <c r="W33">
        <f>ROUND(IF(VLOOKUP($A33,EnrollData2324,'2324 Jun 24 Enroll'!G$1,FALSE)=VLOOKUP($A33,'ESA Calculations 2324 Supp'!$A$4:$AE$34,7,FALSE),VLOOKUP($A33,EnrollData2324,'2324 Jun 24 Enroll'!G$1,FALSE),VLOOKUP($A33,'ESA Calculations 2324 Supp'!$A$4:$AE$34,7,FALSE))*Apport_212A2324s,3)</f>
        <v>0.875</v>
      </c>
      <c r="X33">
        <f>ROUND(IF(VLOOKUP($A33,EnrollData2324,'2324 Jun 24 Enroll'!H$1,FALSE)=VLOOKUP($A33,'ESA Calculations 2324 Supp'!$A$4:$AE$34,8,FALSE),VLOOKUP($A33,EnrollData2324,'2324 Jun 24 Enroll'!H$1,FALSE),VLOOKUP($A33,'ESA Calculations 2324 Supp'!$A$4:$AE$34,8,FALSE))*Apport_215A2324s,3)</f>
        <v>0.72499999999999998</v>
      </c>
      <c r="Y33">
        <f>ROUND(IF(VLOOKUP($A33,EnrollData2324,'2324 Jun 24 Enroll'!I$1,FALSE)+VLOOKUP($A33,EnrollData2324,'2324 Jun 24 Enroll'!M$1,FALSE)-VLOOKUP($A33,EnrollData2324,'2324 Jun 24 Enroll'!J$1,FALSE)=VLOOKUP($A33,'ESA Calculations 2324 Supp'!$A$4:$AE$34,9,FALSE)+VLOOKUP($A33,'ESA Calculations 2324 Supp'!$A$4:$AE$34,18,FALSE)-VLOOKUP($A33,'ESA Calculations 2324 Supp'!$A$4:$AE$34,10,FALSE),VLOOKUP($A33,EnrollData2324,'2324 Jun 24 Enroll'!I$1,FALSE)+VLOOKUP($A33,EnrollData2324,'2324 Jun 24 Enroll'!M$1,FALSE)-VLOOKUP($A33,EnrollData2324,'2324 Jun 24 Enroll'!J$1,FALSE),VLOOKUP($A33,'ESA Calculations 2324 Supp'!$A$4:$AE$34,9,FALSE)+VLOOKUP($A33,'ESA Calculations 2324 Supp'!$A$4:$AE$34,18,FALSE)-VLOOKUP($A33,'ESA Calculations 2324 Supp'!$A$4:$AE$34,10,FALSE))*Apport_218A2324s,3)</f>
        <v>1.641</v>
      </c>
      <c r="Z33">
        <f>ROUND(SUM(T33:Y33)/IF(VLOOKUP($A33,EnrollData2324,'2324 Jun 24 Enroll'!M$1,FALSE)+VLOOKUP($A33,EnrollData2324,'2324 Jun 24 Enroll'!D$1,FALSE)=VLOOKUP($A33,'ESA Calculations 2324 Supp'!$A$4:$AE$34,18,FALSE)+VLOOKUP($A33,'ESA Calculations 2324 Supp'!$A$4:$AE$34,4,FALSE),VLOOKUP($A33,EnrollData2324,'2324 Jun 24 Enroll'!M$1,FALSE)+VLOOKUP($A33,EnrollData2324,'2324 Jun 24 Enroll'!D$1,FALSE),VLOOKUP($A33,'ESA Calculations 2324 Supp'!$A$4:$AE$34,18,FALSE)+VLOOKUP($A33,'ESA Calculations 2324 Supp'!$A$4:$AE$34,4,FALSE)),5)</f>
        <v>1.7850000000000001E-2</v>
      </c>
      <c r="AA33" s="6" cm="1">
        <f t="array" ref="AA33">ROUND($J33*CIS_Base_Salary2324s*VLOOKUP($A33,EnrollData2324,'2324 Jun 24 Enroll'!S$1,FALSE),2)</f>
        <v>4071.31</v>
      </c>
      <c r="AB33" s="6" cm="1">
        <f t="array" ref="AB33">ROUND($J33*CIS_Inc_Salary2324s*(VLOOKUP($A33,EnrollData2324,'2324 Jun 24 Enroll'!T$1,FALSE)+VLOOKUP($A33,EnrollData2324,'2324 Jun 24 Enroll'!U$1,FALSE)),2)-AA33</f>
        <v>150.65000000000009</v>
      </c>
      <c r="AC33" s="6" cm="1">
        <f t="array" ref="AC33">ROUND($R33*CAS_Base_Salary2324s*VLOOKUP($A33,EnrollData2324,'2324 Jun 24 Enroll'!S$1,FALSE),2)</f>
        <v>445.85</v>
      </c>
      <c r="AD33" s="6" cm="1">
        <f t="array" ref="AD33">ROUND($R33*CAS_Inc_Salary2324s*VLOOKUP($A33,EnrollData2324,'2324 Jun 24 Enroll'!T$1,FALSE),2)-AC33</f>
        <v>16.5</v>
      </c>
      <c r="AE33" s="6" cm="1">
        <f t="array" ref="AE33">ROUND($Z33*CLS_Base_Salary2324s*VLOOKUP($A33,EnrollData2324,'2324 Jun 24 Enroll'!S$1,FALSE),2)</f>
        <v>931.29</v>
      </c>
      <c r="AF33" s="6" cm="1">
        <f t="array" ref="AF33">ROUND($Z33*CLS_Inc_Salary2324s*VLOOKUP($A33,EnrollData2324,'2324 Jun 24 Enroll'!T$1,FALSE),2)-AE33</f>
        <v>34.450000000000045</v>
      </c>
      <c r="AG33" cm="1">
        <f t="array" ref="AG33">ROUND(($J33+$R33)*Apport_124X2324s,2)</f>
        <v>740.07</v>
      </c>
      <c r="AH33" s="69">
        <f t="shared" si="3"/>
        <v>69.25</v>
      </c>
      <c r="AI33" cm="1">
        <f t="array" ref="AI33">ROUND($Z33*Apport_124X2324s,2)</f>
        <v>219.77</v>
      </c>
      <c r="AJ33" cm="1">
        <f t="array" ref="AJ33">ROUND($Z33*Apport_621X2324s*Apport_125X2324s,2)-AI33</f>
        <v>117.16999999999999</v>
      </c>
      <c r="AK33" cm="1">
        <f t="array" ref="AK33">ROUND((AA33+AC33)*Apport_126X2324s,2)</f>
        <v>811.73</v>
      </c>
      <c r="AL33" cm="1">
        <f t="array" ref="AL33">ROUND((AB33+AD33)*Apport_127X2324s,2)</f>
        <v>28.97</v>
      </c>
      <c r="AM33" cm="1">
        <f t="array" ref="AM33">ROUND(AE33*Apport_128X2324s,2)</f>
        <v>205.44</v>
      </c>
      <c r="AN33" cm="1">
        <f t="array" ref="AN33">ROUND(AF33*Apport_129X2324s,2)</f>
        <v>6.39</v>
      </c>
      <c r="AO33" cm="1">
        <f t="array" ref="AO33">ROUND(($J33*CIS_Inc_Salary2324s*(VLOOKUP($A33,EnrollData2324,'2324 Jun 24 Enroll'!T$1,FALSE)+VLOOKUP($A33,EnrollData2324,'2324 Jun 24 Enroll'!U$1,FALSE))/Apport_613Xpd)*Apport_614Xpd,2)</f>
        <v>70.37</v>
      </c>
      <c r="AP33" cm="1">
        <f t="array" ref="AP33">ROUND(AO33*Apport_127X2324s,2)</f>
        <v>12.2</v>
      </c>
      <c r="AQ33">
        <f t="shared" si="4"/>
        <v>31.18</v>
      </c>
      <c r="AR33" s="6" cm="1">
        <f t="array" ref="AR33">ROUND((IF(VLOOKUP($A33,EnrollData2324,'2324 Jun 24 Enroll'!D$1,FALSE)=VLOOKUP($A33,'ESA Calculations 2324 Supp'!$A$4:$AE$34,4,FALSE),VLOOKUP($A33,EnrollData2324,'2324 Jun 24 Enroll'!D$1,FALSE),VLOOKUP($A33,'ESA Calculations 2324 Supp'!$A$4:$AE$34,4,FALSE))*Apport_M802324s+IF(VLOOKUP($A33,EnrollData2324,'2324 Jun 24 Enroll'!M$1,FALSE)=VLOOKUP($A33,'ESA Calculations 2324 Supp'!$A$4:$AE$34,18,FALSE),VLOOKUP($A33,EnrollData2324,'2324 Jun 24 Enroll'!M$1,FALSE),VLOOKUP($A33,'ESA Calculations 2324 Supp'!$A$4:$AE$34,18,FALSE))*Apport_M802324s+IF((VLOOKUP($A33,EnrollData2324,'2324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Enroll'!L$1,FALSE))=VLOOKUP($A33,EnrollData2324,'2324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Enroll'!L$1,FALSE),(VLOOKUP($A33,EnrollData2324,'2324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Enroll'!L$1,FALSE)),(VLOOKUP($A33,EnrollData2324,'2324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Enroll'!L$1,FALSE)))*Apport_M812324s)/(IF(VLOOKUP($A33,EnrollData2324,'2324 Jun 24 Enroll'!M$1,FALSE)=VLOOKUP($A33,'ESA Calculations 2324 Supp'!$A$4:$AE$34,18,FALSE),VLOOKUP($A33,EnrollData2324,'2324 Jun 24 Enroll'!M$1,FALSE),VLOOKUP($A33,'ESA Calculations 2324 Supp'!$A$4:$AE$34,18,FALSE))+IF(VLOOKUP($A33,EnrollData2324,'2324 Jun 24 Enroll'!D$1,FALSE)=VLOOKUP($A33,'ESA Calculations 2324 Supp'!$A$4:$AE$34,4,FALSE),VLOOKUP($A33,EnrollData2324,'2324 Jun 24 Enroll'!D$1,FALSE),VLOOKUP($A33,'ESA Calculations 2324 Supp'!$A$4:$AE$34,4,FALSE))),2)</f>
        <v>1571.08</v>
      </c>
      <c r="AS33" s="7">
        <f t="shared" si="5"/>
        <v>9533.6700000000019</v>
      </c>
      <c r="AT33" s="6">
        <f>IF(VLOOKUP($A33,EnrollData2324,'2324 Jun 24 Enroll'!AA$1,FALSE)=VLOOKUP($A33,'ESA Calculations 2324 Supp'!$A$4:$AE$34,24,FALSE),VLOOKUP($A33,EnrollData2324,'2324 Jun 24 Enroll'!AA$1,FALSE),VLOOKUP($A33,'ESA Calculations 2324 Supp'!$A$4:$AE$34,24,FALSE))</f>
        <v>287.66000000000003</v>
      </c>
    </row>
    <row r="34" spans="1:46" s="15" customFormat="1">
      <c r="A34" s="52" t="s">
        <v>1023</v>
      </c>
      <c r="B34" s="52" t="s">
        <v>1024</v>
      </c>
      <c r="C34" s="33"/>
      <c r="K34" s="33"/>
      <c r="S34" s="33"/>
      <c r="AA34" s="50"/>
      <c r="AB34" s="50"/>
      <c r="AC34" s="50"/>
      <c r="AD34" s="50"/>
      <c r="AE34" s="50"/>
      <c r="AF34" s="50"/>
      <c r="AR34" s="50"/>
      <c r="AS34" s="57">
        <f>ROUND(SUMPRODUCT($AT4:$AT33,AS4:AS33)/$AT34,2)</f>
        <v>9524.89</v>
      </c>
      <c r="AT34" s="53">
        <f>SUM(AT4:AT33)</f>
        <v>11746.89</v>
      </c>
    </row>
    <row r="35" spans="1:46">
      <c r="A35" s="40" t="s">
        <v>859</v>
      </c>
      <c r="B35" s="40" t="s">
        <v>860</v>
      </c>
      <c r="C35" s="11">
        <f>ROUND((IFERROR((1/IF(VLOOKUP($A35,EnrollData2324,28,FALSE)='District Calculations'!$D$10,VLOOKUP($A35,EnrollData2324,28,FALSE),'District Calculations'!$D$10))*(1+Apport_Z315),0))+Apport_201A2324s,6)</f>
        <v>7.3449E-2</v>
      </c>
      <c r="D35">
        <f>ROUND(IF(VLOOKUP($A35,EnrollData2324,'2324 Jun 24 Enroll'!D$1,FALSE)='District Calculations'!$D$11,VLOOKUP($A35,EnrollData2324,'2324 Jun 24 Enroll'!D$1,FALSE),'District Calculations'!$D$11)*C35,3)</f>
        <v>0</v>
      </c>
      <c r="E35">
        <f>ROUND(IF(VLOOKUP($A35,EnrollData2324,'2324 Jun 24 Enroll'!E$1,FALSE)='District Calculations'!$D$12,VLOOKUP($A35,EnrollData2324,'2324 Jun 24 Enroll'!E$1,FALSE),'District Calculations'!$D$12)*C35,3)</f>
        <v>59.53</v>
      </c>
      <c r="F35">
        <f>ROUND(IF(VLOOKUP($A35,EnrollData2324,'2324 Jun 24 Enroll'!F$1,FALSE)='District Calculations'!$D$13,VLOOKUP($A35,EnrollData2324,'2324 Jun 24 Enroll'!F$1,FALSE),'District Calculations'!$D$13)*Apport_222A2324s,3)</f>
        <v>10.101000000000001</v>
      </c>
      <c r="G35">
        <f>ROUND(IF(VLOOKUP($A35,EnrollData2324,'2324 Jun 24 Enroll'!G$1,FALSE)='District Calculations'!$D$14,VLOOKUP($A35,EnrollData2324,'2324 Jun 24 Enroll'!G$1,FALSE),'District Calculations'!$D$14)*Apport_210A2324s,3)</f>
        <v>22.395</v>
      </c>
      <c r="H35">
        <f>ROUND(IF(VLOOKUP($A35,EnrollData2324,'2324 Jun 24 Enroll'!H$1,FALSE)='District Calculations'!$D$15,VLOOKUP($A35,EnrollData2324,'2324 Jun 24 Enroll'!H$1,FALSE),'District Calculations'!$D$15)*Apport_213A2324s,3)</f>
        <v>23.091999999999999</v>
      </c>
      <c r="I35">
        <f>ROUND(IF(VLOOKUP($A35,EnrollData2324,'2324 Jun 24 Enroll'!I$1,FALSE)+VLOOKUP($A35,EnrollData2324,'2324 Jun 24 Enroll'!M$1,FALSE)-VLOOKUP($A35,EnrollData2324,'2324 Jun 24 Enroll'!J$1,FALSE)='District Calculations'!$D$16+'District Calculations'!$D$25-'District Calculations'!$D$17,VLOOKUP($A35,EnrollData2324,'2324 Jun 24 Enroll'!I$1,FALSE)+VLOOKUP($A35,EnrollData2324,'2324 Jun 24 Enroll'!M$1,FALSE)-VLOOKUP($A35,EnrollData2324,'2324 Jun 24 Enroll'!J$1,FALSE),'District Calculations'!$D$16+'District Calculations'!$D$25-'District Calculations'!$D$17)*Apport_216A2324s,3)</f>
        <v>58.183999999999997</v>
      </c>
      <c r="J35">
        <f>ROUND(SUM(D35:I35)/(IF(VLOOKUP($A35,EnrollData2324,'2324 Jun 24 Enroll'!M$1,FALSE)='District Calculations'!$D$25,VLOOKUP($A35,EnrollData2324,'2324 Jun 24 Enroll'!M$1,FALSE),'District Calculations'!$D$25)+IF(VLOOKUP($A35,EnrollData2324,'2324 Jun 24 Enroll'!D$1,FALSE)='District Calculations'!$D$11,VLOOKUP($A35,EnrollData2324,'2324 Jun 24 Enroll'!D$1,FALSE),'District Calculations'!$D$11)),5)</f>
        <v>5.5530000000000003E-2</v>
      </c>
      <c r="K35" s="11">
        <f t="shared" ref="K35:K98" si="6">ROUND(((($C35+Apport_203A2324s+Apport_202A2324s)*Apport_557X)*Apport_558X)+Apport_202A2324s,6)</f>
        <v>4.3699999999999998E-3</v>
      </c>
      <c r="L35">
        <f>ROUND(IF(VLOOKUP($A35,EnrollData2324,'2324 Jun 24 Enroll'!D$1,FALSE)='District Calculations'!$D$11,VLOOKUP($A35,EnrollData2324,'2324 Jun 24 Enroll'!D$1,FALSE),'District Calculations'!$D$11)*K35,3)</f>
        <v>0</v>
      </c>
      <c r="M35">
        <f>ROUND(IF(VLOOKUP($A35,EnrollData2324,'2324 Jun 24 Enroll'!E$1,FALSE)='District Calculations'!$D$12,VLOOKUP($A35,EnrollData2324,'2324 Jun 24 Enroll'!E$1,FALSE),'District Calculations'!$D$12)*K35,3)</f>
        <v>3.5419999999999998</v>
      </c>
      <c r="N35">
        <f>ROUND(IF(VLOOKUP($A35,EnrollData2324,'2324 Jun 24 Enroll'!F$1,FALSE)='District Calculations'!$D$13,VLOOKUP($A35,EnrollData2324,'2324 Jun 24 Enroll'!F$1,FALSE),'District Calculations'!$D$13)*Apport_223A2324s,3)</f>
        <v>0.84299999999999997</v>
      </c>
      <c r="O35">
        <f>ROUND(IF(VLOOKUP($A35,EnrollData2324,'2324 Jun 24 Enroll'!G$1,FALSE)='District Calculations'!$D$14,VLOOKUP($A35,EnrollData2324,'2324 Jun 24 Enroll'!G$1,FALSE),'District Calculations'!$D$14)*Apport_211A2324s,3)</f>
        <v>1.87</v>
      </c>
      <c r="P35">
        <f>ROUND(IF(VLOOKUP($A35,EnrollData2324,'2324 Jun 24 Enroll'!H$1,FALSE)='District Calculations'!$D$14,VLOOKUP($A35,EnrollData2324,'2324 Jun 24 Enroll'!H$1,FALSE),'District Calculations'!$D$14)*Apport_214A2324s,3)</f>
        <v>1.8680000000000001</v>
      </c>
      <c r="Q35">
        <f>ROUND(IF(VLOOKUP($A35,EnrollData2324,'2324 Jun 24 Enroll'!I$1,FALSE)+VLOOKUP($A35,EnrollData2324,'2324 Jun 24 Enroll'!M$1,FALSE)-VLOOKUP($A35,EnrollData2324,'2324 Jun 24 Enroll'!J$1,FALSE)='District Calculations'!$D$16+'District Calculations'!$D$25-'District Calculations'!$D$17,VLOOKUP($A35,EnrollData2324,'2324 Jun 24 Enroll'!I$1,FALSE)+VLOOKUP($A35,EnrollData2324,'2324 Jun 24 Enroll'!M$1,FALSE)-VLOOKUP($A35,EnrollData2324,'2324 Jun 24 Enroll'!J$1,FALSE),'District Calculations'!$D$16+'District Calculations'!$D$25-'District Calculations'!$D$17)*Apport_217A2324s,3)</f>
        <v>4.702</v>
      </c>
      <c r="R35">
        <f>ROUND(SUM(L35:Q35)/IF(VLOOKUP($A35,EnrollData2324,'2324 Jun 24 Enroll'!M$1,FALSE)+VLOOKUP($A35,EnrollData2324,'2324 Jun 24 Enroll'!D$1,FALSE)='District Calculations'!$D$25+'District Calculations'!$D$11,VLOOKUP($A35,EnrollData2324,'2324 Jun 24 Enroll'!M$1,FALSE)+VLOOKUP($A35,EnrollData2324,'2324 Jun 24 Enroll'!D$1,FALSE),'District Calculations'!$D$25+'District Calculations'!$D$11),5)</f>
        <v>4.1099999999999999E-3</v>
      </c>
      <c r="S35" s="11">
        <f t="shared" ref="S35:S98" si="7">ROUND(((($C35+Apport_203A2324s+Apport_202A2324s)*Apport_557X)*Apport_559X)+Apport_203A2324s,7)</f>
        <v>1.8689600000000001E-2</v>
      </c>
      <c r="T35">
        <f>ROUND(IF(VLOOKUP($A35,EnrollData2324,'2324 Jun 24 Enroll'!D$1,FALSE)='District Calculations'!$D$11,VLOOKUP($A35,EnrollData2324,'2324 Jun 24 Enroll'!D$1,FALSE),'District Calculations'!$D$11)*S35,3)</f>
        <v>0</v>
      </c>
      <c r="U35">
        <f>ROUND(IF(VLOOKUP($A35,EnrollData2324,'2324 Jun 24 Enroll'!E$1,FALSE)='District Calculations'!$D$12,VLOOKUP($A35,EnrollData2324,'2324 Jun 24 Enroll'!E$1,FALSE),'District Calculations'!$D$12)*S35,3)</f>
        <v>15.148</v>
      </c>
      <c r="V35">
        <f>ROUND(IF(VLOOKUP($A35,EnrollData2324,'2324 Jun 24 Enroll'!F$1,FALSE)='District Calculations'!$D$13,VLOOKUP($A35,EnrollData2324,'2324 Jun 24 Enroll'!F$1,FALSE),'District Calculations'!$D$13)*Apport_224A2324s,3)</f>
        <v>3.7029999999999998</v>
      </c>
      <c r="W35">
        <f>ROUND(IF(VLOOKUP($A35,EnrollData2324,'2324 Jun 24 Enroll'!G$1,FALSE)='District Calculations'!$D$14,VLOOKUP($A35,EnrollData2324,'2324 Jun 24 Enroll'!G$1,FALSE),'District Calculations'!$D$14)*Apport_212A2324s,3)</f>
        <v>8.2089999999999996</v>
      </c>
      <c r="X35">
        <f>ROUND(IF(VLOOKUP($A35,EnrollData2324,'2324 Jun 24 Enroll'!H$1,FALSE)='District Calculations'!$D$14,VLOOKUP($A35,EnrollData2324,'2324 Jun 24 Enroll'!H$1,FALSE),'District Calculations'!$D$14)*Apport_215A2324s,3)</f>
        <v>8.0969999999999995</v>
      </c>
      <c r="Y35">
        <f>ROUND(IF(VLOOKUP($A35,EnrollData2324,'2324 Jun 24 Enroll'!I$1,FALSE)+VLOOKUP($A35,EnrollData2324,'2324 Jun 24 Enroll'!M$1,FALSE)-VLOOKUP($A35,EnrollData2324,'2324 Jun 24 Enroll'!J$1,FALSE)='District Calculations'!$D$16+'District Calculations'!$D$25-'District Calculations'!$D$17,VLOOKUP($A35,EnrollData2324,'2324 Jun 24 Enroll'!I$1,FALSE)+VLOOKUP($A35,EnrollData2324,'2324 Jun 24 Enroll'!M$1,FALSE)-VLOOKUP($A35,EnrollData2324,'2324 Jun 24 Enroll'!J$1,FALSE),'District Calculations'!$D$16+'District Calculations'!$D$25-'District Calculations'!$D$17)*Apport_218A2324s,3)</f>
        <v>20.224</v>
      </c>
      <c r="Z35">
        <f>ROUND(SUM(T35:Y35)/IF(VLOOKUP($A35,EnrollData2324,'2324 Jun 24 Enroll'!M$1,FALSE)+VLOOKUP($A35,EnrollData2324,'2324 Jun 24 Enroll'!D$1,FALSE)='District Calculations'!$D$25+'District Calculations'!$D$11,VLOOKUP($A35,EnrollData2324,'2324 Jun 24 Enroll'!M$1,FALSE)+VLOOKUP($A35,EnrollData2324,'2324 Jun 24 Enroll'!D$1,FALSE),'District Calculations'!$D$25+'District Calculations'!$D$11),5)</f>
        <v>1.7749999999999998E-2</v>
      </c>
      <c r="AA35" s="6" cm="1">
        <f t="array" ref="AA35">ROUND($J35*CIS_Base_Salary2324s*VLOOKUP($A35,EnrollData2324,'2324 Jun 24 Enroll'!S$1,FALSE),2)</f>
        <v>4038.59</v>
      </c>
      <c r="AB35" s="6" cm="1">
        <f t="array" ref="AB35">ROUND($J35*CIS_Inc_Salary2324s*(VLOOKUP($A35,EnrollData2324,'2324 Jun 24 Enroll'!T$1,FALSE)+VLOOKUP($A35,EnrollData2324,'2324 Jun 24 Enroll'!U$1,FALSE)),2)-AA35</f>
        <v>149.43000000000029</v>
      </c>
      <c r="AC35" s="6" cm="1">
        <f t="array" ref="AC35">ROUND($R35*CAS_Base_Salary2324s*VLOOKUP($A35,EnrollData2324,'2324 Jun 24 Enroll'!S$1,FALSE),2)</f>
        <v>443.7</v>
      </c>
      <c r="AD35" s="6" cm="1">
        <f t="array" ref="AD35">ROUND($R35*CAS_Inc_Salary2324s*VLOOKUP($A35,EnrollData2324,'2324 Jun 24 Enroll'!T$1,FALSE),2)-AC35</f>
        <v>16.410000000000025</v>
      </c>
      <c r="AE35" s="6" cm="1">
        <f t="array" ref="AE35">ROUND($Z35*CLS_Base_Salary2324s*VLOOKUP($A35,EnrollData2324,'2324 Jun 24 Enroll'!S$1,FALSE),2)</f>
        <v>926.07</v>
      </c>
      <c r="AF35" s="6" cm="1">
        <f t="array" ref="AF35">ROUND($Z35*CLS_Inc_Salary2324s*VLOOKUP($A35,EnrollData2324,'2324 Jun 24 Enroll'!T$1,FALSE),2)-AE35</f>
        <v>34.259999999999991</v>
      </c>
      <c r="AG35" cm="1">
        <f t="array" ref="AG35">ROUND(($J35+$R35)*Apport_124X2324s,2)</f>
        <v>734.29</v>
      </c>
      <c r="AH35" s="69">
        <f t="shared" ref="AH35:AH98" si="8">ROUND(($J35+$R35)*Apport_621X2324s*Apport_125XC2324s,2)-AG35</f>
        <v>68.700000000000045</v>
      </c>
      <c r="AI35" cm="1">
        <f t="array" ref="AI35">ROUND($Z35*Apport_124X2324s,2)</f>
        <v>218.54</v>
      </c>
      <c r="AJ35" cm="1">
        <f t="array" ref="AJ35">ROUND($Z35*Apport_621X2324s*Apport_125X2324s,2)-AI35</f>
        <v>116.51000000000002</v>
      </c>
      <c r="AK35" cm="1">
        <f t="array" ref="AK35">ROUND((AA35+AC35)*Apport_126X2324s,2)</f>
        <v>805.47</v>
      </c>
      <c r="AL35" cm="1">
        <f t="array" ref="AL35">ROUND((AB35+AD35)*Apport_127X2324s,2)</f>
        <v>28.74</v>
      </c>
      <c r="AM35" cm="1">
        <f t="array" ref="AM35">ROUND(AE35*Apport_128X2324s,2)</f>
        <v>204.29</v>
      </c>
      <c r="AN35" cm="1">
        <f t="array" ref="AN35">ROUND(AF35*Apport_129X2324s,2)</f>
        <v>6.36</v>
      </c>
      <c r="AO35" cm="1">
        <f t="array" ref="AO35">ROUND(($J35*CIS_Inc_Salary2324s*(VLOOKUP($A35,EnrollData2324,'2324 Jun 24 Enroll'!T$1,FALSE)+VLOOKUP($A35,EnrollData2324,'2324 Jun 24 Enroll'!U$1,FALSE))/Apport_613Xpd)*Apport_614Xpd,2)</f>
        <v>69.8</v>
      </c>
      <c r="AP35" cm="1">
        <f t="array" ref="AP35">ROUND(AO35*Apport_127X2324s,2)</f>
        <v>12.1</v>
      </c>
      <c r="AQ35">
        <f t="shared" ref="AQ35:AQ98" si="9">ROUND((J35*Apport_581X)*(Apport_116X*Apport_132X),2)</f>
        <v>30.93</v>
      </c>
      <c r="AR35" s="6" cm="1">
        <f t="array" ref="AR35">ROUND((VLOOKUP($A35,EnrollData2324,'2324 Jun 24 Enroll'!D$1,FALSE)*Apport_M802324s+VLOOKUP($A35,EnrollData2324,'2324 Jun 24 Enroll'!M$1,FALSE)*Apport_M802324s+(VLOOKUP($A35,EnrollData2324,'2324 Jun 24 Enroll'!P$1,FALSE)+VLOOKUP($A35,EnrollData2324,'2324 Jun 24 Enroll'!Q$1,FALSE)+VLOOKUP($A35,EnrollData2324,'2324 Jun 24 Enroll'!R$1,FALSE)+VLOOKUP($A35,EnrollData2324,'2324 Jun 24 Enroll'!I$1,FALSE)+VLOOKUP($A35,EnrollData2324,'2324 Jun 24 Enroll'!N$1,FALSE)+VLOOKUP($A35,EnrollData2324,'2324 Jun 24 Enroll'!O$1,FALSE)+VLOOKUP($A35,EnrollData2324,'2324 Jun 24 Enroll'!K$1,FALSE)+VLOOKUP($A35,EnrollData2324,'2324 Jun 24 Enroll'!L$1,FALSE))*Apport_M812324s)/(VLOOKUP($A35,EnrollData2324,'2324 Jun 24 Enroll'!M$1,FALSE)+VLOOKUP($A35,EnrollData2324,'2324 Jun 24 Enroll'!D$1,FALSE)),2)</f>
        <v>1590.29</v>
      </c>
      <c r="AS35" s="7">
        <f t="shared" ref="AS35" si="10">SUM(AA35:AR35)</f>
        <v>9494.48</v>
      </c>
    </row>
    <row r="36" spans="1:46">
      <c r="A36" s="40" t="s">
        <v>337</v>
      </c>
      <c r="B36" s="40" t="s">
        <v>338</v>
      </c>
      <c r="C36" s="11">
        <f>ROUND((IFERROR((1/IF(VLOOKUP($A36,EnrollData2324,28,FALSE)='District Calculations'!$D$10,VLOOKUP($A36,EnrollData2324,28,FALSE),'District Calculations'!$D$10))*(1+Apport_Z315),0))+Apport_201A2324s,6)</f>
        <v>7.3449E-2</v>
      </c>
      <c r="D36">
        <f>ROUND(IF(VLOOKUP($A36,EnrollData2324,'2324 Jun 24 Enroll'!D$1,FALSE)='District Calculations'!$D$11,VLOOKUP($A36,EnrollData2324,'2324 Jun 24 Enroll'!D$1,FALSE),'District Calculations'!$D$11)*C36,3)</f>
        <v>0</v>
      </c>
      <c r="E36">
        <f>ROUND(IF(VLOOKUP($A36,EnrollData2324,'2324 Jun 24 Enroll'!E$1,FALSE)='District Calculations'!$D$12,VLOOKUP($A36,EnrollData2324,'2324 Jun 24 Enroll'!E$1,FALSE),'District Calculations'!$D$12)*C36,3)</f>
        <v>59.53</v>
      </c>
      <c r="F36">
        <f>ROUND(IF(VLOOKUP($A36,EnrollData2324,'2324 Jun 24 Enroll'!F$1,FALSE)='District Calculations'!$D$13,VLOOKUP($A36,EnrollData2324,'2324 Jun 24 Enroll'!F$1,FALSE),'District Calculations'!$D$13)*Apport_222A2324s,3)</f>
        <v>10.101000000000001</v>
      </c>
      <c r="G36">
        <f>ROUND(IF(VLOOKUP($A36,EnrollData2324,'2324 Jun 24 Enroll'!G$1,FALSE)='District Calculations'!$D$14,VLOOKUP($A36,EnrollData2324,'2324 Jun 24 Enroll'!G$1,FALSE),'District Calculations'!$D$14)*Apport_210A2324s,3)</f>
        <v>22.395</v>
      </c>
      <c r="H36">
        <f>ROUND(IF(VLOOKUP($A36,EnrollData2324,'2324 Jun 24 Enroll'!H$1,FALSE)='District Calculations'!$D$15,VLOOKUP($A36,EnrollData2324,'2324 Jun 24 Enroll'!H$1,FALSE),'District Calculations'!$D$15)*Apport_213A2324s,3)</f>
        <v>23.091999999999999</v>
      </c>
      <c r="I36">
        <f>ROUND(IF(VLOOKUP($A36,EnrollData2324,'2324 Jun 24 Enroll'!I$1,FALSE)+VLOOKUP($A36,EnrollData2324,'2324 Jun 24 Enroll'!M$1,FALSE)-VLOOKUP($A36,EnrollData2324,'2324 Jun 24 Enroll'!J$1,FALSE)='District Calculations'!$D$16+'District Calculations'!$D$25-'District Calculations'!$D$17,VLOOKUP($A36,EnrollData2324,'2324 Jun 24 Enroll'!I$1,FALSE)+VLOOKUP($A36,EnrollData2324,'2324 Jun 24 Enroll'!M$1,FALSE)-VLOOKUP($A36,EnrollData2324,'2324 Jun 24 Enroll'!J$1,FALSE),'District Calculations'!$D$16+'District Calculations'!$D$25-'District Calculations'!$D$17)*Apport_216A2324s,3)</f>
        <v>58.183999999999997</v>
      </c>
      <c r="J36">
        <f>ROUND(SUM(D36:I36)/(IF(VLOOKUP($A36,EnrollData2324,'2324 Jun 24 Enroll'!M$1,FALSE)='District Calculations'!$D$25,VLOOKUP($A36,EnrollData2324,'2324 Jun 24 Enroll'!M$1,FALSE),'District Calculations'!$D$25)+IF(VLOOKUP($A36,EnrollData2324,'2324 Jun 24 Enroll'!D$1,FALSE)='District Calculations'!$D$11,VLOOKUP($A36,EnrollData2324,'2324 Jun 24 Enroll'!D$1,FALSE),'District Calculations'!$D$11)),5)</f>
        <v>5.5530000000000003E-2</v>
      </c>
      <c r="K36" s="11">
        <f t="shared" si="6"/>
        <v>4.3699999999999998E-3</v>
      </c>
      <c r="L36">
        <f>ROUND(IF(VLOOKUP($A36,EnrollData2324,'2324 Jun 24 Enroll'!D$1,FALSE)='District Calculations'!$D$11,VLOOKUP($A36,EnrollData2324,'2324 Jun 24 Enroll'!D$1,FALSE),'District Calculations'!$D$11)*K36,3)</f>
        <v>0</v>
      </c>
      <c r="M36">
        <f>ROUND(IF(VLOOKUP($A36,EnrollData2324,'2324 Jun 24 Enroll'!E$1,FALSE)='District Calculations'!$D$12,VLOOKUP($A36,EnrollData2324,'2324 Jun 24 Enroll'!E$1,FALSE),'District Calculations'!$D$12)*K36,3)</f>
        <v>3.5419999999999998</v>
      </c>
      <c r="N36">
        <f>ROUND(IF(VLOOKUP($A36,EnrollData2324,'2324 Jun 24 Enroll'!F$1,FALSE)='District Calculations'!$D$13,VLOOKUP($A36,EnrollData2324,'2324 Jun 24 Enroll'!F$1,FALSE),'District Calculations'!$D$13)*Apport_223A2324s,3)</f>
        <v>0.84299999999999997</v>
      </c>
      <c r="O36">
        <f>ROUND(IF(VLOOKUP($A36,EnrollData2324,'2324 Jun 24 Enroll'!G$1,FALSE)='District Calculations'!$D$14,VLOOKUP($A36,EnrollData2324,'2324 Jun 24 Enroll'!G$1,FALSE),'District Calculations'!$D$14)*Apport_211A2324s,3)</f>
        <v>1.87</v>
      </c>
      <c r="P36">
        <f>ROUND(IF(VLOOKUP($A36,EnrollData2324,'2324 Jun 24 Enroll'!H$1,FALSE)='District Calculations'!$D$14,VLOOKUP($A36,EnrollData2324,'2324 Jun 24 Enroll'!H$1,FALSE),'District Calculations'!$D$14)*Apport_214A2324s,3)</f>
        <v>1.8680000000000001</v>
      </c>
      <c r="Q36">
        <f>ROUND(IF(VLOOKUP($A36,EnrollData2324,'2324 Jun 24 Enroll'!I$1,FALSE)+VLOOKUP($A36,EnrollData2324,'2324 Jun 24 Enroll'!M$1,FALSE)-VLOOKUP($A36,EnrollData2324,'2324 Jun 24 Enroll'!J$1,FALSE)='District Calculations'!$D$16+'District Calculations'!$D$25-'District Calculations'!$D$17,VLOOKUP($A36,EnrollData2324,'2324 Jun 24 Enroll'!I$1,FALSE)+VLOOKUP($A36,EnrollData2324,'2324 Jun 24 Enroll'!M$1,FALSE)-VLOOKUP($A36,EnrollData2324,'2324 Jun 24 Enroll'!J$1,FALSE),'District Calculations'!$D$16+'District Calculations'!$D$25-'District Calculations'!$D$17)*Apport_217A2324s,3)</f>
        <v>4.702</v>
      </c>
      <c r="R36">
        <f>ROUND(SUM(L36:Q36)/IF(VLOOKUP($A36,EnrollData2324,'2324 Jun 24 Enroll'!M$1,FALSE)+VLOOKUP($A36,EnrollData2324,'2324 Jun 24 Enroll'!D$1,FALSE)='District Calculations'!$D$25+'District Calculations'!$D$11,VLOOKUP($A36,EnrollData2324,'2324 Jun 24 Enroll'!M$1,FALSE)+VLOOKUP($A36,EnrollData2324,'2324 Jun 24 Enroll'!D$1,FALSE),'District Calculations'!$D$25+'District Calculations'!$D$11),5)</f>
        <v>4.1099999999999999E-3</v>
      </c>
      <c r="S36" s="11">
        <f t="shared" si="7"/>
        <v>1.8689600000000001E-2</v>
      </c>
      <c r="T36">
        <f>ROUND(IF(VLOOKUP($A36,EnrollData2324,'2324 Jun 24 Enroll'!D$1,FALSE)='District Calculations'!$D$11,VLOOKUP($A36,EnrollData2324,'2324 Jun 24 Enroll'!D$1,FALSE),'District Calculations'!$D$11)*S36,3)</f>
        <v>0</v>
      </c>
      <c r="U36">
        <f>ROUND(IF(VLOOKUP($A36,EnrollData2324,'2324 Jun 24 Enroll'!E$1,FALSE)='District Calculations'!$D$12,VLOOKUP($A36,EnrollData2324,'2324 Jun 24 Enroll'!E$1,FALSE),'District Calculations'!$D$12)*S36,3)</f>
        <v>15.148</v>
      </c>
      <c r="V36">
        <f>ROUND(IF(VLOOKUP($A36,EnrollData2324,'2324 Jun 24 Enroll'!F$1,FALSE)='District Calculations'!$D$13,VLOOKUP($A36,EnrollData2324,'2324 Jun 24 Enroll'!F$1,FALSE),'District Calculations'!$D$13)*Apport_224A2324s,3)</f>
        <v>3.7029999999999998</v>
      </c>
      <c r="W36">
        <f>ROUND(IF(VLOOKUP($A36,EnrollData2324,'2324 Jun 24 Enroll'!G$1,FALSE)='District Calculations'!$D$14,VLOOKUP($A36,EnrollData2324,'2324 Jun 24 Enroll'!G$1,FALSE),'District Calculations'!$D$14)*Apport_212A2324s,3)</f>
        <v>8.2089999999999996</v>
      </c>
      <c r="X36">
        <f>ROUND(IF(VLOOKUP($A36,EnrollData2324,'2324 Jun 24 Enroll'!H$1,FALSE)='District Calculations'!$D$14,VLOOKUP($A36,EnrollData2324,'2324 Jun 24 Enroll'!H$1,FALSE),'District Calculations'!$D$14)*Apport_215A2324s,3)</f>
        <v>8.0969999999999995</v>
      </c>
      <c r="Y36">
        <f>ROUND(IF(VLOOKUP($A36,EnrollData2324,'2324 Jun 24 Enroll'!I$1,FALSE)+VLOOKUP($A36,EnrollData2324,'2324 Jun 24 Enroll'!M$1,FALSE)-VLOOKUP($A36,EnrollData2324,'2324 Jun 24 Enroll'!J$1,FALSE)='District Calculations'!$D$16+'District Calculations'!$D$25-'District Calculations'!$D$17,VLOOKUP($A36,EnrollData2324,'2324 Jun 24 Enroll'!I$1,FALSE)+VLOOKUP($A36,EnrollData2324,'2324 Jun 24 Enroll'!M$1,FALSE)-VLOOKUP($A36,EnrollData2324,'2324 Jun 24 Enroll'!J$1,FALSE),'District Calculations'!$D$16+'District Calculations'!$D$25-'District Calculations'!$D$17)*Apport_218A2324s,3)</f>
        <v>20.224</v>
      </c>
      <c r="Z36">
        <f>ROUND(SUM(T36:Y36)/IF(VLOOKUP($A36,EnrollData2324,'2324 Jun 24 Enroll'!M$1,FALSE)+VLOOKUP($A36,EnrollData2324,'2324 Jun 24 Enroll'!D$1,FALSE)='District Calculations'!$D$25+'District Calculations'!$D$11,VLOOKUP($A36,EnrollData2324,'2324 Jun 24 Enroll'!M$1,FALSE)+VLOOKUP($A36,EnrollData2324,'2324 Jun 24 Enroll'!D$1,FALSE),'District Calculations'!$D$25+'District Calculations'!$D$11),5)</f>
        <v>1.7749999999999998E-2</v>
      </c>
      <c r="AA36" s="6" cm="1">
        <f t="array" ref="AA36">ROUND($J36*CIS_Base_Salary2324s*VLOOKUP($A36,EnrollData2324,'2324 Jun 24 Enroll'!S$1,FALSE),2)</f>
        <v>4038.59</v>
      </c>
      <c r="AB36" s="6" cm="1">
        <f t="array" ref="AB36">ROUND($J36*CIS_Inc_Salary2324s*(VLOOKUP($A36,EnrollData2324,'2324 Jun 24 Enroll'!T$1,FALSE)+VLOOKUP($A36,EnrollData2324,'2324 Jun 24 Enroll'!U$1,FALSE)),2)-AA36</f>
        <v>149.43000000000029</v>
      </c>
      <c r="AC36" s="6" cm="1">
        <f t="array" ref="AC36">ROUND($R36*CAS_Base_Salary2324s*VLOOKUP($A36,EnrollData2324,'2324 Jun 24 Enroll'!S$1,FALSE),2)</f>
        <v>443.7</v>
      </c>
      <c r="AD36" s="6" cm="1">
        <f t="array" ref="AD36">ROUND($R36*CAS_Inc_Salary2324s*VLOOKUP($A36,EnrollData2324,'2324 Jun 24 Enroll'!T$1,FALSE),2)-AC36</f>
        <v>16.410000000000025</v>
      </c>
      <c r="AE36" s="6" cm="1">
        <f t="array" ref="AE36">ROUND($Z36*CLS_Base_Salary2324s*VLOOKUP($A36,EnrollData2324,'2324 Jun 24 Enroll'!S$1,FALSE),2)</f>
        <v>926.07</v>
      </c>
      <c r="AF36" s="6" cm="1">
        <f t="array" ref="AF36">ROUND($Z36*CLS_Inc_Salary2324s*VLOOKUP($A36,EnrollData2324,'2324 Jun 24 Enroll'!T$1,FALSE),2)-AE36</f>
        <v>34.259999999999991</v>
      </c>
      <c r="AG36" cm="1">
        <f t="array" ref="AG36">ROUND(($J36+$R36)*Apport_124X2324s,2)</f>
        <v>734.29</v>
      </c>
      <c r="AH36" s="69">
        <f t="shared" si="8"/>
        <v>68.700000000000045</v>
      </c>
      <c r="AI36" cm="1">
        <f t="array" ref="AI36">ROUND($Z36*Apport_124X2324s,2)</f>
        <v>218.54</v>
      </c>
      <c r="AJ36" cm="1">
        <f t="array" ref="AJ36">ROUND($Z36*Apport_621X2324s*Apport_125X2324s,2)-AI36</f>
        <v>116.51000000000002</v>
      </c>
      <c r="AK36" cm="1">
        <f t="array" ref="AK36">ROUND((AA36+AC36)*Apport_126X2324s,2)</f>
        <v>805.47</v>
      </c>
      <c r="AL36" cm="1">
        <f t="array" ref="AL36">ROUND((AB36+AD36)*Apport_127X2324s,2)</f>
        <v>28.74</v>
      </c>
      <c r="AM36" cm="1">
        <f t="array" ref="AM36">ROUND(AE36*Apport_128X2324s,2)</f>
        <v>204.29</v>
      </c>
      <c r="AN36" cm="1">
        <f t="array" ref="AN36">ROUND(AF36*Apport_129X2324s,2)</f>
        <v>6.36</v>
      </c>
      <c r="AO36" cm="1">
        <f t="array" ref="AO36">ROUND(($J36*CIS_Inc_Salary2324s*(VLOOKUP($A36,EnrollData2324,'2324 Jun 24 Enroll'!T$1,FALSE)+VLOOKUP($A36,EnrollData2324,'2324 Jun 24 Enroll'!U$1,FALSE))/Apport_613Xpd)*Apport_614Xpd,2)</f>
        <v>69.8</v>
      </c>
      <c r="AP36" cm="1">
        <f t="array" ref="AP36">ROUND(AO36*Apport_127X2324s,2)</f>
        <v>12.1</v>
      </c>
      <c r="AQ36">
        <f t="shared" si="9"/>
        <v>30.93</v>
      </c>
      <c r="AR36" s="6" cm="1">
        <f t="array" ref="AR36">ROUND((VLOOKUP($A36,EnrollData2324,'2324 Jun 24 Enroll'!D$1,FALSE)*Apport_M802324s+VLOOKUP($A36,EnrollData2324,'2324 Jun 24 Enroll'!M$1,FALSE)*Apport_M802324s+(VLOOKUP($A36,EnrollData2324,'2324 Jun 24 Enroll'!P$1,FALSE)+VLOOKUP($A36,EnrollData2324,'2324 Jun 24 Enroll'!Q$1,FALSE)+VLOOKUP($A36,EnrollData2324,'2324 Jun 24 Enroll'!R$1,FALSE)+VLOOKUP($A36,EnrollData2324,'2324 Jun 24 Enroll'!I$1,FALSE)+VLOOKUP($A36,EnrollData2324,'2324 Jun 24 Enroll'!N$1,FALSE)+VLOOKUP($A36,EnrollData2324,'2324 Jun 24 Enroll'!O$1,FALSE)+VLOOKUP($A36,EnrollData2324,'2324 Jun 24 Enroll'!K$1,FALSE)+VLOOKUP($A36,EnrollData2324,'2324 Jun 24 Enroll'!L$1,FALSE))*Apport_M812324s)/(VLOOKUP($A36,EnrollData2324,'2324 Jun 24 Enroll'!M$1,FALSE)+VLOOKUP($A36,EnrollData2324,'2324 Jun 24 Enroll'!D$1,FALSE)),2)</f>
        <v>1504.44</v>
      </c>
      <c r="AS36" s="7">
        <f>SUM(AA36:AR36)</f>
        <v>9408.630000000001</v>
      </c>
    </row>
    <row r="37" spans="1:46">
      <c r="A37" s="40" t="s">
        <v>675</v>
      </c>
      <c r="B37" s="40" t="s">
        <v>676</v>
      </c>
      <c r="C37" s="11">
        <f>ROUND((IFERROR((1/IF(VLOOKUP($A37,EnrollData2324,28,FALSE)='District Calculations'!$D$10,VLOOKUP($A37,EnrollData2324,28,FALSE),'District Calculations'!$D$10))*(1+Apport_Z315),0))+Apport_201A2324s,6)</f>
        <v>7.3449E-2</v>
      </c>
      <c r="D37">
        <f>ROUND(IF(VLOOKUP($A37,EnrollData2324,'2324 Jun 24 Enroll'!D$1,FALSE)='District Calculations'!$D$11,VLOOKUP($A37,EnrollData2324,'2324 Jun 24 Enroll'!D$1,FALSE),'District Calculations'!$D$11)*C37,3)</f>
        <v>0</v>
      </c>
      <c r="E37">
        <f>ROUND(IF(VLOOKUP($A37,EnrollData2324,'2324 Jun 24 Enroll'!E$1,FALSE)='District Calculations'!$D$12,VLOOKUP($A37,EnrollData2324,'2324 Jun 24 Enroll'!E$1,FALSE),'District Calculations'!$D$12)*C37,3)</f>
        <v>59.53</v>
      </c>
      <c r="F37">
        <f>ROUND(IF(VLOOKUP($A37,EnrollData2324,'2324 Jun 24 Enroll'!F$1,FALSE)='District Calculations'!$D$13,VLOOKUP($A37,EnrollData2324,'2324 Jun 24 Enroll'!F$1,FALSE),'District Calculations'!$D$13)*Apport_222A2324s,3)</f>
        <v>10.101000000000001</v>
      </c>
      <c r="G37">
        <f>ROUND(IF(VLOOKUP($A37,EnrollData2324,'2324 Jun 24 Enroll'!G$1,FALSE)='District Calculations'!$D$14,VLOOKUP($A37,EnrollData2324,'2324 Jun 24 Enroll'!G$1,FALSE),'District Calculations'!$D$14)*Apport_210A2324s,3)</f>
        <v>22.395</v>
      </c>
      <c r="H37">
        <f>ROUND(IF(VLOOKUP($A37,EnrollData2324,'2324 Jun 24 Enroll'!H$1,FALSE)='District Calculations'!$D$15,VLOOKUP($A37,EnrollData2324,'2324 Jun 24 Enroll'!H$1,FALSE),'District Calculations'!$D$15)*Apport_213A2324s,3)</f>
        <v>23.091999999999999</v>
      </c>
      <c r="I37">
        <f>ROUND(IF(VLOOKUP($A37,EnrollData2324,'2324 Jun 24 Enroll'!I$1,FALSE)+VLOOKUP($A37,EnrollData2324,'2324 Jun 24 Enroll'!M$1,FALSE)-VLOOKUP($A37,EnrollData2324,'2324 Jun 24 Enroll'!J$1,FALSE)='District Calculations'!$D$16+'District Calculations'!$D$25-'District Calculations'!$D$17,VLOOKUP($A37,EnrollData2324,'2324 Jun 24 Enroll'!I$1,FALSE)+VLOOKUP($A37,EnrollData2324,'2324 Jun 24 Enroll'!M$1,FALSE)-VLOOKUP($A37,EnrollData2324,'2324 Jun 24 Enroll'!J$1,FALSE),'District Calculations'!$D$16+'District Calculations'!$D$25-'District Calculations'!$D$17)*Apport_216A2324s,3)</f>
        <v>58.183999999999997</v>
      </c>
      <c r="J37">
        <f>ROUND(SUM(D37:I37)/(IF(VLOOKUP($A37,EnrollData2324,'2324 Jun 24 Enroll'!M$1,FALSE)='District Calculations'!$D$25,VLOOKUP($A37,EnrollData2324,'2324 Jun 24 Enroll'!M$1,FALSE),'District Calculations'!$D$25)+IF(VLOOKUP($A37,EnrollData2324,'2324 Jun 24 Enroll'!D$1,FALSE)='District Calculations'!$D$11,VLOOKUP($A37,EnrollData2324,'2324 Jun 24 Enroll'!D$1,FALSE),'District Calculations'!$D$11)),5)</f>
        <v>5.5530000000000003E-2</v>
      </c>
      <c r="K37" s="11">
        <f t="shared" si="6"/>
        <v>4.3699999999999998E-3</v>
      </c>
      <c r="L37">
        <f>ROUND(IF(VLOOKUP($A37,EnrollData2324,'2324 Jun 24 Enroll'!D$1,FALSE)='District Calculations'!$D$11,VLOOKUP($A37,EnrollData2324,'2324 Jun 24 Enroll'!D$1,FALSE),'District Calculations'!$D$11)*K37,3)</f>
        <v>0</v>
      </c>
      <c r="M37">
        <f>ROUND(IF(VLOOKUP($A37,EnrollData2324,'2324 Jun 24 Enroll'!E$1,FALSE)='District Calculations'!$D$12,VLOOKUP($A37,EnrollData2324,'2324 Jun 24 Enroll'!E$1,FALSE),'District Calculations'!$D$12)*K37,3)</f>
        <v>3.5419999999999998</v>
      </c>
      <c r="N37">
        <f>ROUND(IF(VLOOKUP($A37,EnrollData2324,'2324 Jun 24 Enroll'!F$1,FALSE)='District Calculations'!$D$13,VLOOKUP($A37,EnrollData2324,'2324 Jun 24 Enroll'!F$1,FALSE),'District Calculations'!$D$13)*Apport_223A2324s,3)</f>
        <v>0.84299999999999997</v>
      </c>
      <c r="O37">
        <f>ROUND(IF(VLOOKUP($A37,EnrollData2324,'2324 Jun 24 Enroll'!G$1,FALSE)='District Calculations'!$D$14,VLOOKUP($A37,EnrollData2324,'2324 Jun 24 Enroll'!G$1,FALSE),'District Calculations'!$D$14)*Apport_211A2324s,3)</f>
        <v>1.87</v>
      </c>
      <c r="P37">
        <f>ROUND(IF(VLOOKUP($A37,EnrollData2324,'2324 Jun 24 Enroll'!H$1,FALSE)='District Calculations'!$D$14,VLOOKUP($A37,EnrollData2324,'2324 Jun 24 Enroll'!H$1,FALSE),'District Calculations'!$D$14)*Apport_214A2324s,3)</f>
        <v>1.8680000000000001</v>
      </c>
      <c r="Q37">
        <f>ROUND(IF(VLOOKUP($A37,EnrollData2324,'2324 Jun 24 Enroll'!I$1,FALSE)+VLOOKUP($A37,EnrollData2324,'2324 Jun 24 Enroll'!M$1,FALSE)-VLOOKUP($A37,EnrollData2324,'2324 Jun 24 Enroll'!J$1,FALSE)='District Calculations'!$D$16+'District Calculations'!$D$25-'District Calculations'!$D$17,VLOOKUP($A37,EnrollData2324,'2324 Jun 24 Enroll'!I$1,FALSE)+VLOOKUP($A37,EnrollData2324,'2324 Jun 24 Enroll'!M$1,FALSE)-VLOOKUP($A37,EnrollData2324,'2324 Jun 24 Enroll'!J$1,FALSE),'District Calculations'!$D$16+'District Calculations'!$D$25-'District Calculations'!$D$17)*Apport_217A2324s,3)</f>
        <v>4.702</v>
      </c>
      <c r="R37">
        <f>ROUND(SUM(L37:Q37)/IF(VLOOKUP($A37,EnrollData2324,'2324 Jun 24 Enroll'!M$1,FALSE)+VLOOKUP($A37,EnrollData2324,'2324 Jun 24 Enroll'!D$1,FALSE)='District Calculations'!$D$25+'District Calculations'!$D$11,VLOOKUP($A37,EnrollData2324,'2324 Jun 24 Enroll'!M$1,FALSE)+VLOOKUP($A37,EnrollData2324,'2324 Jun 24 Enroll'!D$1,FALSE),'District Calculations'!$D$25+'District Calculations'!$D$11),5)</f>
        <v>4.1099999999999999E-3</v>
      </c>
      <c r="S37" s="11">
        <f t="shared" si="7"/>
        <v>1.8689600000000001E-2</v>
      </c>
      <c r="T37">
        <f>ROUND(IF(VLOOKUP($A37,EnrollData2324,'2324 Jun 24 Enroll'!D$1,FALSE)='District Calculations'!$D$11,VLOOKUP($A37,EnrollData2324,'2324 Jun 24 Enroll'!D$1,FALSE),'District Calculations'!$D$11)*S37,3)</f>
        <v>0</v>
      </c>
      <c r="U37">
        <f>ROUND(IF(VLOOKUP($A37,EnrollData2324,'2324 Jun 24 Enroll'!E$1,FALSE)='District Calculations'!$D$12,VLOOKUP($A37,EnrollData2324,'2324 Jun 24 Enroll'!E$1,FALSE),'District Calculations'!$D$12)*S37,3)</f>
        <v>15.148</v>
      </c>
      <c r="V37">
        <f>ROUND(IF(VLOOKUP($A37,EnrollData2324,'2324 Jun 24 Enroll'!F$1,FALSE)='District Calculations'!$D$13,VLOOKUP($A37,EnrollData2324,'2324 Jun 24 Enroll'!F$1,FALSE),'District Calculations'!$D$13)*Apport_224A2324s,3)</f>
        <v>3.7029999999999998</v>
      </c>
      <c r="W37">
        <f>ROUND(IF(VLOOKUP($A37,EnrollData2324,'2324 Jun 24 Enroll'!G$1,FALSE)='District Calculations'!$D$14,VLOOKUP($A37,EnrollData2324,'2324 Jun 24 Enroll'!G$1,FALSE),'District Calculations'!$D$14)*Apport_212A2324s,3)</f>
        <v>8.2089999999999996</v>
      </c>
      <c r="X37">
        <f>ROUND(IF(VLOOKUP($A37,EnrollData2324,'2324 Jun 24 Enroll'!H$1,FALSE)='District Calculations'!$D$14,VLOOKUP($A37,EnrollData2324,'2324 Jun 24 Enroll'!H$1,FALSE),'District Calculations'!$D$14)*Apport_215A2324s,3)</f>
        <v>8.0969999999999995</v>
      </c>
      <c r="Y37">
        <f>ROUND(IF(VLOOKUP($A37,EnrollData2324,'2324 Jun 24 Enroll'!I$1,FALSE)+VLOOKUP($A37,EnrollData2324,'2324 Jun 24 Enroll'!M$1,FALSE)-VLOOKUP($A37,EnrollData2324,'2324 Jun 24 Enroll'!J$1,FALSE)='District Calculations'!$D$16+'District Calculations'!$D$25-'District Calculations'!$D$17,VLOOKUP($A37,EnrollData2324,'2324 Jun 24 Enroll'!I$1,FALSE)+VLOOKUP($A37,EnrollData2324,'2324 Jun 24 Enroll'!M$1,FALSE)-VLOOKUP($A37,EnrollData2324,'2324 Jun 24 Enroll'!J$1,FALSE),'District Calculations'!$D$16+'District Calculations'!$D$25-'District Calculations'!$D$17)*Apport_218A2324s,3)</f>
        <v>20.224</v>
      </c>
      <c r="Z37">
        <f>ROUND(SUM(T37:Y37)/IF(VLOOKUP($A37,EnrollData2324,'2324 Jun 24 Enroll'!M$1,FALSE)+VLOOKUP($A37,EnrollData2324,'2324 Jun 24 Enroll'!D$1,FALSE)='District Calculations'!$D$25+'District Calculations'!$D$11,VLOOKUP($A37,EnrollData2324,'2324 Jun 24 Enroll'!M$1,FALSE)+VLOOKUP($A37,EnrollData2324,'2324 Jun 24 Enroll'!D$1,FALSE),'District Calculations'!$D$25+'District Calculations'!$D$11),5)</f>
        <v>1.7749999999999998E-2</v>
      </c>
      <c r="AA37" s="6" cm="1">
        <f t="array" ref="AA37">ROUND($J37*CIS_Base_Salary2324s*VLOOKUP($A37,EnrollData2324,'2324 Jun 24 Enroll'!S$1,FALSE),2)</f>
        <v>4038.59</v>
      </c>
      <c r="AB37" s="6" cm="1">
        <f t="array" ref="AB37">ROUND($J37*CIS_Inc_Salary2324s*(VLOOKUP($A37,EnrollData2324,'2324 Jun 24 Enroll'!T$1,FALSE)+VLOOKUP($A37,EnrollData2324,'2324 Jun 24 Enroll'!U$1,FALSE)),2)-AA37</f>
        <v>149.43000000000029</v>
      </c>
      <c r="AC37" s="6" cm="1">
        <f t="array" ref="AC37">ROUND($R37*CAS_Base_Salary2324s*VLOOKUP($A37,EnrollData2324,'2324 Jun 24 Enroll'!S$1,FALSE),2)</f>
        <v>443.7</v>
      </c>
      <c r="AD37" s="6" cm="1">
        <f t="array" ref="AD37">ROUND($R37*CAS_Inc_Salary2324s*VLOOKUP($A37,EnrollData2324,'2324 Jun 24 Enroll'!T$1,FALSE),2)-AC37</f>
        <v>16.410000000000025</v>
      </c>
      <c r="AE37" s="6" cm="1">
        <f t="array" ref="AE37">ROUND($Z37*CLS_Base_Salary2324s*VLOOKUP($A37,EnrollData2324,'2324 Jun 24 Enroll'!S$1,FALSE),2)</f>
        <v>926.07</v>
      </c>
      <c r="AF37" s="6" cm="1">
        <f t="array" ref="AF37">ROUND($Z37*CLS_Inc_Salary2324s*VLOOKUP($A37,EnrollData2324,'2324 Jun 24 Enroll'!T$1,FALSE),2)-AE37</f>
        <v>34.259999999999991</v>
      </c>
      <c r="AG37" cm="1">
        <f t="array" ref="AG37">ROUND(($J37+$R37)*Apport_124X2324s,2)</f>
        <v>734.29</v>
      </c>
      <c r="AH37" s="69">
        <f t="shared" si="8"/>
        <v>68.700000000000045</v>
      </c>
      <c r="AI37" cm="1">
        <f t="array" ref="AI37">ROUND($Z37*Apport_124X2324s,2)</f>
        <v>218.54</v>
      </c>
      <c r="AJ37" cm="1">
        <f t="array" ref="AJ37">ROUND($Z37*Apport_621X2324s*Apport_125X2324s,2)-AI37</f>
        <v>116.51000000000002</v>
      </c>
      <c r="AK37" cm="1">
        <f t="array" ref="AK37">ROUND((AA37+AC37)*Apport_126X2324s,2)</f>
        <v>805.47</v>
      </c>
      <c r="AL37" cm="1">
        <f t="array" ref="AL37">ROUND((AB37+AD37)*Apport_127X2324s,2)</f>
        <v>28.74</v>
      </c>
      <c r="AM37" cm="1">
        <f t="array" ref="AM37">ROUND(AE37*Apport_128X2324s,2)</f>
        <v>204.29</v>
      </c>
      <c r="AN37" cm="1">
        <f t="array" ref="AN37">ROUND(AF37*Apport_129X2324s,2)</f>
        <v>6.36</v>
      </c>
      <c r="AO37" cm="1">
        <f t="array" ref="AO37">ROUND(($J37*CIS_Inc_Salary2324s*(VLOOKUP($A37,EnrollData2324,'2324 Jun 24 Enroll'!T$1,FALSE)+VLOOKUP($A37,EnrollData2324,'2324 Jun 24 Enroll'!U$1,FALSE))/Apport_613Xpd)*Apport_614Xpd,2)</f>
        <v>69.8</v>
      </c>
      <c r="AP37" cm="1">
        <f t="array" ref="AP37">ROUND(AO37*Apport_127X2324s,2)</f>
        <v>12.1</v>
      </c>
      <c r="AQ37">
        <f t="shared" si="9"/>
        <v>30.93</v>
      </c>
      <c r="AR37" s="6" cm="1">
        <f t="array" ref="AR37">ROUND((VLOOKUP($A37,EnrollData2324,'2324 Jun 24 Enroll'!D$1,FALSE)*Apport_M802324s+VLOOKUP($A37,EnrollData2324,'2324 Jun 24 Enroll'!M$1,FALSE)*Apport_M802324s+(VLOOKUP($A37,EnrollData2324,'2324 Jun 24 Enroll'!P$1,FALSE)+VLOOKUP($A37,EnrollData2324,'2324 Jun 24 Enroll'!Q$1,FALSE)+VLOOKUP($A37,EnrollData2324,'2324 Jun 24 Enroll'!R$1,FALSE)+VLOOKUP($A37,EnrollData2324,'2324 Jun 24 Enroll'!I$1,FALSE)+VLOOKUP($A37,EnrollData2324,'2324 Jun 24 Enroll'!N$1,FALSE)+VLOOKUP($A37,EnrollData2324,'2324 Jun 24 Enroll'!O$1,FALSE)+VLOOKUP($A37,EnrollData2324,'2324 Jun 24 Enroll'!K$1,FALSE)+VLOOKUP($A37,EnrollData2324,'2324 Jun 24 Enroll'!L$1,FALSE))*Apport_M812324s)/(VLOOKUP($A37,EnrollData2324,'2324 Jun 24 Enroll'!M$1,FALSE)+VLOOKUP($A37,EnrollData2324,'2324 Jun 24 Enroll'!D$1,FALSE)),2)</f>
        <v>1569.18</v>
      </c>
      <c r="AS37" s="7">
        <f t="shared" ref="AS37:AS100" si="11">SUM(AA37:AR37)</f>
        <v>9473.3700000000008</v>
      </c>
    </row>
    <row r="38" spans="1:46">
      <c r="A38" s="40" t="s">
        <v>556</v>
      </c>
      <c r="B38" s="40" t="s">
        <v>557</v>
      </c>
      <c r="C38" s="11">
        <f>ROUND((IFERROR((1/IF(VLOOKUP($A38,EnrollData2324,28,FALSE)='District Calculations'!$D$10,VLOOKUP($A38,EnrollData2324,28,FALSE),'District Calculations'!$D$10))*(1+Apport_Z315),0))+Apport_201A2324s,6)</f>
        <v>7.3449E-2</v>
      </c>
      <c r="D38">
        <f>ROUND(IF(VLOOKUP($A38,EnrollData2324,'2324 Jun 24 Enroll'!D$1,FALSE)='District Calculations'!$D$11,VLOOKUP($A38,EnrollData2324,'2324 Jun 24 Enroll'!D$1,FALSE),'District Calculations'!$D$11)*C38,3)</f>
        <v>0</v>
      </c>
      <c r="E38">
        <f>ROUND(IF(VLOOKUP($A38,EnrollData2324,'2324 Jun 24 Enroll'!E$1,FALSE)='District Calculations'!$D$12,VLOOKUP($A38,EnrollData2324,'2324 Jun 24 Enroll'!E$1,FALSE),'District Calculations'!$D$12)*C38,3)</f>
        <v>59.53</v>
      </c>
      <c r="F38">
        <f>ROUND(IF(VLOOKUP($A38,EnrollData2324,'2324 Jun 24 Enroll'!F$1,FALSE)='District Calculations'!$D$13,VLOOKUP($A38,EnrollData2324,'2324 Jun 24 Enroll'!F$1,FALSE),'District Calculations'!$D$13)*Apport_222A2324s,3)</f>
        <v>10.101000000000001</v>
      </c>
      <c r="G38">
        <f>ROUND(IF(VLOOKUP($A38,EnrollData2324,'2324 Jun 24 Enroll'!G$1,FALSE)='District Calculations'!$D$14,VLOOKUP($A38,EnrollData2324,'2324 Jun 24 Enroll'!G$1,FALSE),'District Calculations'!$D$14)*Apport_210A2324s,3)</f>
        <v>22.395</v>
      </c>
      <c r="H38">
        <f>ROUND(IF(VLOOKUP($A38,EnrollData2324,'2324 Jun 24 Enroll'!H$1,FALSE)='District Calculations'!$D$15,VLOOKUP($A38,EnrollData2324,'2324 Jun 24 Enroll'!H$1,FALSE),'District Calculations'!$D$15)*Apport_213A2324s,3)</f>
        <v>23.091999999999999</v>
      </c>
      <c r="I38">
        <f>ROUND(IF(VLOOKUP($A38,EnrollData2324,'2324 Jun 24 Enroll'!I$1,FALSE)+VLOOKUP($A38,EnrollData2324,'2324 Jun 24 Enroll'!M$1,FALSE)-VLOOKUP($A38,EnrollData2324,'2324 Jun 24 Enroll'!J$1,FALSE)='District Calculations'!$D$16+'District Calculations'!$D$25-'District Calculations'!$D$17,VLOOKUP($A38,EnrollData2324,'2324 Jun 24 Enroll'!I$1,FALSE)+VLOOKUP($A38,EnrollData2324,'2324 Jun 24 Enroll'!M$1,FALSE)-VLOOKUP($A38,EnrollData2324,'2324 Jun 24 Enroll'!J$1,FALSE),'District Calculations'!$D$16+'District Calculations'!$D$25-'District Calculations'!$D$17)*Apport_216A2324s,3)</f>
        <v>58.183999999999997</v>
      </c>
      <c r="J38">
        <f>ROUND(SUM(D38:I38)/(IF(VLOOKUP($A38,EnrollData2324,'2324 Jun 24 Enroll'!M$1,FALSE)='District Calculations'!$D$25,VLOOKUP($A38,EnrollData2324,'2324 Jun 24 Enroll'!M$1,FALSE),'District Calculations'!$D$25)+IF(VLOOKUP($A38,EnrollData2324,'2324 Jun 24 Enroll'!D$1,FALSE)='District Calculations'!$D$11,VLOOKUP($A38,EnrollData2324,'2324 Jun 24 Enroll'!D$1,FALSE),'District Calculations'!$D$11)),5)</f>
        <v>5.5530000000000003E-2</v>
      </c>
      <c r="K38" s="11">
        <f t="shared" si="6"/>
        <v>4.3699999999999998E-3</v>
      </c>
      <c r="L38">
        <f>ROUND(IF(VLOOKUP($A38,EnrollData2324,'2324 Jun 24 Enroll'!D$1,FALSE)='District Calculations'!$D$11,VLOOKUP($A38,EnrollData2324,'2324 Jun 24 Enroll'!D$1,FALSE),'District Calculations'!$D$11)*K38,3)</f>
        <v>0</v>
      </c>
      <c r="M38">
        <f>ROUND(IF(VLOOKUP($A38,EnrollData2324,'2324 Jun 24 Enroll'!E$1,FALSE)='District Calculations'!$D$12,VLOOKUP($A38,EnrollData2324,'2324 Jun 24 Enroll'!E$1,FALSE),'District Calculations'!$D$12)*K38,3)</f>
        <v>3.5419999999999998</v>
      </c>
      <c r="N38">
        <f>ROUND(IF(VLOOKUP($A38,EnrollData2324,'2324 Jun 24 Enroll'!F$1,FALSE)='District Calculations'!$D$13,VLOOKUP($A38,EnrollData2324,'2324 Jun 24 Enroll'!F$1,FALSE),'District Calculations'!$D$13)*Apport_223A2324s,3)</f>
        <v>0.84299999999999997</v>
      </c>
      <c r="O38">
        <f>ROUND(IF(VLOOKUP($A38,EnrollData2324,'2324 Jun 24 Enroll'!G$1,FALSE)='District Calculations'!$D$14,VLOOKUP($A38,EnrollData2324,'2324 Jun 24 Enroll'!G$1,FALSE),'District Calculations'!$D$14)*Apport_211A2324s,3)</f>
        <v>1.87</v>
      </c>
      <c r="P38">
        <f>ROUND(IF(VLOOKUP($A38,EnrollData2324,'2324 Jun 24 Enroll'!H$1,FALSE)='District Calculations'!$D$14,VLOOKUP($A38,EnrollData2324,'2324 Jun 24 Enroll'!H$1,FALSE),'District Calculations'!$D$14)*Apport_214A2324s,3)</f>
        <v>1.8680000000000001</v>
      </c>
      <c r="Q38">
        <f>ROUND(IF(VLOOKUP($A38,EnrollData2324,'2324 Jun 24 Enroll'!I$1,FALSE)+VLOOKUP($A38,EnrollData2324,'2324 Jun 24 Enroll'!M$1,FALSE)-VLOOKUP($A38,EnrollData2324,'2324 Jun 24 Enroll'!J$1,FALSE)='District Calculations'!$D$16+'District Calculations'!$D$25-'District Calculations'!$D$17,VLOOKUP($A38,EnrollData2324,'2324 Jun 24 Enroll'!I$1,FALSE)+VLOOKUP($A38,EnrollData2324,'2324 Jun 24 Enroll'!M$1,FALSE)-VLOOKUP($A38,EnrollData2324,'2324 Jun 24 Enroll'!J$1,FALSE),'District Calculations'!$D$16+'District Calculations'!$D$25-'District Calculations'!$D$17)*Apport_217A2324s,3)</f>
        <v>4.702</v>
      </c>
      <c r="R38">
        <f>ROUND(SUM(L38:Q38)/IF(VLOOKUP($A38,EnrollData2324,'2324 Jun 24 Enroll'!M$1,FALSE)+VLOOKUP($A38,EnrollData2324,'2324 Jun 24 Enroll'!D$1,FALSE)='District Calculations'!$D$25+'District Calculations'!$D$11,VLOOKUP($A38,EnrollData2324,'2324 Jun 24 Enroll'!M$1,FALSE)+VLOOKUP($A38,EnrollData2324,'2324 Jun 24 Enroll'!D$1,FALSE),'District Calculations'!$D$25+'District Calculations'!$D$11),5)</f>
        <v>4.1099999999999999E-3</v>
      </c>
      <c r="S38" s="11">
        <f t="shared" si="7"/>
        <v>1.8689600000000001E-2</v>
      </c>
      <c r="T38">
        <f>ROUND(IF(VLOOKUP($A38,EnrollData2324,'2324 Jun 24 Enroll'!D$1,FALSE)='District Calculations'!$D$11,VLOOKUP($A38,EnrollData2324,'2324 Jun 24 Enroll'!D$1,FALSE),'District Calculations'!$D$11)*S38,3)</f>
        <v>0</v>
      </c>
      <c r="U38">
        <f>ROUND(IF(VLOOKUP($A38,EnrollData2324,'2324 Jun 24 Enroll'!E$1,FALSE)='District Calculations'!$D$12,VLOOKUP($A38,EnrollData2324,'2324 Jun 24 Enroll'!E$1,FALSE),'District Calculations'!$D$12)*S38,3)</f>
        <v>15.148</v>
      </c>
      <c r="V38">
        <f>ROUND(IF(VLOOKUP($A38,EnrollData2324,'2324 Jun 24 Enroll'!F$1,FALSE)='District Calculations'!$D$13,VLOOKUP($A38,EnrollData2324,'2324 Jun 24 Enroll'!F$1,FALSE),'District Calculations'!$D$13)*Apport_224A2324s,3)</f>
        <v>3.7029999999999998</v>
      </c>
      <c r="W38">
        <f>ROUND(IF(VLOOKUP($A38,EnrollData2324,'2324 Jun 24 Enroll'!G$1,FALSE)='District Calculations'!$D$14,VLOOKUP($A38,EnrollData2324,'2324 Jun 24 Enroll'!G$1,FALSE),'District Calculations'!$D$14)*Apport_212A2324s,3)</f>
        <v>8.2089999999999996</v>
      </c>
      <c r="X38">
        <f>ROUND(IF(VLOOKUP($A38,EnrollData2324,'2324 Jun 24 Enroll'!H$1,FALSE)='District Calculations'!$D$14,VLOOKUP($A38,EnrollData2324,'2324 Jun 24 Enroll'!H$1,FALSE),'District Calculations'!$D$14)*Apport_215A2324s,3)</f>
        <v>8.0969999999999995</v>
      </c>
      <c r="Y38">
        <f>ROUND(IF(VLOOKUP($A38,EnrollData2324,'2324 Jun 24 Enroll'!I$1,FALSE)+VLOOKUP($A38,EnrollData2324,'2324 Jun 24 Enroll'!M$1,FALSE)-VLOOKUP($A38,EnrollData2324,'2324 Jun 24 Enroll'!J$1,FALSE)='District Calculations'!$D$16+'District Calculations'!$D$25-'District Calculations'!$D$17,VLOOKUP($A38,EnrollData2324,'2324 Jun 24 Enroll'!I$1,FALSE)+VLOOKUP($A38,EnrollData2324,'2324 Jun 24 Enroll'!M$1,FALSE)-VLOOKUP($A38,EnrollData2324,'2324 Jun 24 Enroll'!J$1,FALSE),'District Calculations'!$D$16+'District Calculations'!$D$25-'District Calculations'!$D$17)*Apport_218A2324s,3)</f>
        <v>20.224</v>
      </c>
      <c r="Z38">
        <f>ROUND(SUM(T38:Y38)/IF(VLOOKUP($A38,EnrollData2324,'2324 Jun 24 Enroll'!M$1,FALSE)+VLOOKUP($A38,EnrollData2324,'2324 Jun 24 Enroll'!D$1,FALSE)='District Calculations'!$D$25+'District Calculations'!$D$11,VLOOKUP($A38,EnrollData2324,'2324 Jun 24 Enroll'!M$1,FALSE)+VLOOKUP($A38,EnrollData2324,'2324 Jun 24 Enroll'!D$1,FALSE),'District Calculations'!$D$25+'District Calculations'!$D$11),5)</f>
        <v>1.7749999999999998E-2</v>
      </c>
      <c r="AA38" s="6" cm="1">
        <f t="array" ref="AA38">ROUND($J38*CIS_Base_Salary2324s*VLOOKUP($A38,EnrollData2324,'2324 Jun 24 Enroll'!S$1,FALSE),2)</f>
        <v>4038.59</v>
      </c>
      <c r="AB38" s="6" cm="1">
        <f t="array" ref="AB38">ROUND($J38*CIS_Inc_Salary2324s*(VLOOKUP($A38,EnrollData2324,'2324 Jun 24 Enroll'!T$1,FALSE)+VLOOKUP($A38,EnrollData2324,'2324 Jun 24 Enroll'!U$1,FALSE)),2)-AA38</f>
        <v>149.43000000000029</v>
      </c>
      <c r="AC38" s="6" cm="1">
        <f t="array" ref="AC38">ROUND($R38*CAS_Base_Salary2324s*VLOOKUP($A38,EnrollData2324,'2324 Jun 24 Enroll'!S$1,FALSE),2)</f>
        <v>443.7</v>
      </c>
      <c r="AD38" s="6" cm="1">
        <f t="array" ref="AD38">ROUND($R38*CAS_Inc_Salary2324s*VLOOKUP($A38,EnrollData2324,'2324 Jun 24 Enroll'!T$1,FALSE),2)-AC38</f>
        <v>16.410000000000025</v>
      </c>
      <c r="AE38" s="6" cm="1">
        <f t="array" ref="AE38">ROUND($Z38*CLS_Base_Salary2324s*VLOOKUP($A38,EnrollData2324,'2324 Jun 24 Enroll'!S$1,FALSE),2)</f>
        <v>926.07</v>
      </c>
      <c r="AF38" s="6" cm="1">
        <f t="array" ref="AF38">ROUND($Z38*CLS_Inc_Salary2324s*VLOOKUP($A38,EnrollData2324,'2324 Jun 24 Enroll'!T$1,FALSE),2)-AE38</f>
        <v>34.259999999999991</v>
      </c>
      <c r="AG38" cm="1">
        <f t="array" ref="AG38">ROUND(($J38+$R38)*Apport_124X2324s,2)</f>
        <v>734.29</v>
      </c>
      <c r="AH38" s="69">
        <f t="shared" si="8"/>
        <v>68.700000000000045</v>
      </c>
      <c r="AI38" cm="1">
        <f t="array" ref="AI38">ROUND($Z38*Apport_124X2324s,2)</f>
        <v>218.54</v>
      </c>
      <c r="AJ38" cm="1">
        <f t="array" ref="AJ38">ROUND($Z38*Apport_621X2324s*Apport_125X2324s,2)-AI38</f>
        <v>116.51000000000002</v>
      </c>
      <c r="AK38" cm="1">
        <f t="array" ref="AK38">ROUND((AA38+AC38)*Apport_126X2324s,2)</f>
        <v>805.47</v>
      </c>
      <c r="AL38" cm="1">
        <f t="array" ref="AL38">ROUND((AB38+AD38)*Apport_127X2324s,2)</f>
        <v>28.74</v>
      </c>
      <c r="AM38" cm="1">
        <f t="array" ref="AM38">ROUND(AE38*Apport_128X2324s,2)</f>
        <v>204.29</v>
      </c>
      <c r="AN38" cm="1">
        <f t="array" ref="AN38">ROUND(AF38*Apport_129X2324s,2)</f>
        <v>6.36</v>
      </c>
      <c r="AO38" cm="1">
        <f t="array" ref="AO38">ROUND(($J38*CIS_Inc_Salary2324s*(VLOOKUP($A38,EnrollData2324,'2324 Jun 24 Enroll'!T$1,FALSE)+VLOOKUP($A38,EnrollData2324,'2324 Jun 24 Enroll'!U$1,FALSE))/Apport_613Xpd)*Apport_614Xpd,2)</f>
        <v>69.8</v>
      </c>
      <c r="AP38" cm="1">
        <f t="array" ref="AP38">ROUND(AO38*Apport_127X2324s,2)</f>
        <v>12.1</v>
      </c>
      <c r="AQ38">
        <f t="shared" si="9"/>
        <v>30.93</v>
      </c>
      <c r="AR38" s="6" cm="1">
        <f t="array" ref="AR38">ROUND((VLOOKUP($A38,EnrollData2324,'2324 Jun 24 Enroll'!D$1,FALSE)*Apport_M802324s+VLOOKUP($A38,EnrollData2324,'2324 Jun 24 Enroll'!M$1,FALSE)*Apport_M802324s+(VLOOKUP($A38,EnrollData2324,'2324 Jun 24 Enroll'!P$1,FALSE)+VLOOKUP($A38,EnrollData2324,'2324 Jun 24 Enroll'!Q$1,FALSE)+VLOOKUP($A38,EnrollData2324,'2324 Jun 24 Enroll'!R$1,FALSE)+VLOOKUP($A38,EnrollData2324,'2324 Jun 24 Enroll'!I$1,FALSE)+VLOOKUP($A38,EnrollData2324,'2324 Jun 24 Enroll'!N$1,FALSE)+VLOOKUP($A38,EnrollData2324,'2324 Jun 24 Enroll'!O$1,FALSE)+VLOOKUP($A38,EnrollData2324,'2324 Jun 24 Enroll'!K$1,FALSE)+VLOOKUP($A38,EnrollData2324,'2324 Jun 24 Enroll'!L$1,FALSE))*Apport_M812324s)/(VLOOKUP($A38,EnrollData2324,'2324 Jun 24 Enroll'!M$1,FALSE)+VLOOKUP($A38,EnrollData2324,'2324 Jun 24 Enroll'!D$1,FALSE)),2)</f>
        <v>1551.61</v>
      </c>
      <c r="AS38" s="7">
        <f t="shared" si="11"/>
        <v>9455.8000000000011</v>
      </c>
    </row>
    <row r="39" spans="1:46">
      <c r="A39" s="40" t="s">
        <v>729</v>
      </c>
      <c r="B39" s="40" t="s">
        <v>730</v>
      </c>
      <c r="C39" s="11">
        <f>ROUND((IFERROR((1/IF(VLOOKUP($A39,EnrollData2324,28,FALSE)='District Calculations'!$D$10,VLOOKUP($A39,EnrollData2324,28,FALSE),'District Calculations'!$D$10))*(1+Apport_Z315),0))+Apport_201A2324s,6)</f>
        <v>7.3449E-2</v>
      </c>
      <c r="D39">
        <f>ROUND(IF(VLOOKUP($A39,EnrollData2324,'2324 Jun 24 Enroll'!D$1,FALSE)='District Calculations'!$D$11,VLOOKUP($A39,EnrollData2324,'2324 Jun 24 Enroll'!D$1,FALSE),'District Calculations'!$D$11)*C39,3)</f>
        <v>0</v>
      </c>
      <c r="E39">
        <f>ROUND(IF(VLOOKUP($A39,EnrollData2324,'2324 Jun 24 Enroll'!E$1,FALSE)='District Calculations'!$D$12,VLOOKUP($A39,EnrollData2324,'2324 Jun 24 Enroll'!E$1,FALSE),'District Calculations'!$D$12)*C39,3)</f>
        <v>59.53</v>
      </c>
      <c r="F39">
        <f>ROUND(IF(VLOOKUP($A39,EnrollData2324,'2324 Jun 24 Enroll'!F$1,FALSE)='District Calculations'!$D$13,VLOOKUP($A39,EnrollData2324,'2324 Jun 24 Enroll'!F$1,FALSE),'District Calculations'!$D$13)*Apport_222A2324s,3)</f>
        <v>10.101000000000001</v>
      </c>
      <c r="G39">
        <f>ROUND(IF(VLOOKUP($A39,EnrollData2324,'2324 Jun 24 Enroll'!G$1,FALSE)='District Calculations'!$D$14,VLOOKUP($A39,EnrollData2324,'2324 Jun 24 Enroll'!G$1,FALSE),'District Calculations'!$D$14)*Apport_210A2324s,3)</f>
        <v>22.395</v>
      </c>
      <c r="H39">
        <f>ROUND(IF(VLOOKUP($A39,EnrollData2324,'2324 Jun 24 Enroll'!H$1,FALSE)='District Calculations'!$D$15,VLOOKUP($A39,EnrollData2324,'2324 Jun 24 Enroll'!H$1,FALSE),'District Calculations'!$D$15)*Apport_213A2324s,3)</f>
        <v>23.091999999999999</v>
      </c>
      <c r="I39">
        <f>ROUND(IF(VLOOKUP($A39,EnrollData2324,'2324 Jun 24 Enroll'!I$1,FALSE)+VLOOKUP($A39,EnrollData2324,'2324 Jun 24 Enroll'!M$1,FALSE)-VLOOKUP($A39,EnrollData2324,'2324 Jun 24 Enroll'!J$1,FALSE)='District Calculations'!$D$16+'District Calculations'!$D$25-'District Calculations'!$D$17,VLOOKUP($A39,EnrollData2324,'2324 Jun 24 Enroll'!I$1,FALSE)+VLOOKUP($A39,EnrollData2324,'2324 Jun 24 Enroll'!M$1,FALSE)-VLOOKUP($A39,EnrollData2324,'2324 Jun 24 Enroll'!J$1,FALSE),'District Calculations'!$D$16+'District Calculations'!$D$25-'District Calculations'!$D$17)*Apport_216A2324s,3)</f>
        <v>58.183999999999997</v>
      </c>
      <c r="J39">
        <f>ROUND(SUM(D39:I39)/(IF(VLOOKUP($A39,EnrollData2324,'2324 Jun 24 Enroll'!M$1,FALSE)='District Calculations'!$D$25,VLOOKUP($A39,EnrollData2324,'2324 Jun 24 Enroll'!M$1,FALSE),'District Calculations'!$D$25)+IF(VLOOKUP($A39,EnrollData2324,'2324 Jun 24 Enroll'!D$1,FALSE)='District Calculations'!$D$11,VLOOKUP($A39,EnrollData2324,'2324 Jun 24 Enroll'!D$1,FALSE),'District Calculations'!$D$11)),5)</f>
        <v>5.5530000000000003E-2</v>
      </c>
      <c r="K39" s="11">
        <f t="shared" si="6"/>
        <v>4.3699999999999998E-3</v>
      </c>
      <c r="L39">
        <f>ROUND(IF(VLOOKUP($A39,EnrollData2324,'2324 Jun 24 Enroll'!D$1,FALSE)='District Calculations'!$D$11,VLOOKUP($A39,EnrollData2324,'2324 Jun 24 Enroll'!D$1,FALSE),'District Calculations'!$D$11)*K39,3)</f>
        <v>0</v>
      </c>
      <c r="M39">
        <f>ROUND(IF(VLOOKUP($A39,EnrollData2324,'2324 Jun 24 Enroll'!E$1,FALSE)='District Calculations'!$D$12,VLOOKUP($A39,EnrollData2324,'2324 Jun 24 Enroll'!E$1,FALSE),'District Calculations'!$D$12)*K39,3)</f>
        <v>3.5419999999999998</v>
      </c>
      <c r="N39">
        <f>ROUND(IF(VLOOKUP($A39,EnrollData2324,'2324 Jun 24 Enroll'!F$1,FALSE)='District Calculations'!$D$13,VLOOKUP($A39,EnrollData2324,'2324 Jun 24 Enroll'!F$1,FALSE),'District Calculations'!$D$13)*Apport_223A2324s,3)</f>
        <v>0.84299999999999997</v>
      </c>
      <c r="O39">
        <f>ROUND(IF(VLOOKUP($A39,EnrollData2324,'2324 Jun 24 Enroll'!G$1,FALSE)='District Calculations'!$D$14,VLOOKUP($A39,EnrollData2324,'2324 Jun 24 Enroll'!G$1,FALSE),'District Calculations'!$D$14)*Apport_211A2324s,3)</f>
        <v>1.87</v>
      </c>
      <c r="P39">
        <f>ROUND(IF(VLOOKUP($A39,EnrollData2324,'2324 Jun 24 Enroll'!H$1,FALSE)='District Calculations'!$D$14,VLOOKUP($A39,EnrollData2324,'2324 Jun 24 Enroll'!H$1,FALSE),'District Calculations'!$D$14)*Apport_214A2324s,3)</f>
        <v>1.8680000000000001</v>
      </c>
      <c r="Q39">
        <f>ROUND(IF(VLOOKUP($A39,EnrollData2324,'2324 Jun 24 Enroll'!I$1,FALSE)+VLOOKUP($A39,EnrollData2324,'2324 Jun 24 Enroll'!M$1,FALSE)-VLOOKUP($A39,EnrollData2324,'2324 Jun 24 Enroll'!J$1,FALSE)='District Calculations'!$D$16+'District Calculations'!$D$25-'District Calculations'!$D$17,VLOOKUP($A39,EnrollData2324,'2324 Jun 24 Enroll'!I$1,FALSE)+VLOOKUP($A39,EnrollData2324,'2324 Jun 24 Enroll'!M$1,FALSE)-VLOOKUP($A39,EnrollData2324,'2324 Jun 24 Enroll'!J$1,FALSE),'District Calculations'!$D$16+'District Calculations'!$D$25-'District Calculations'!$D$17)*Apport_217A2324s,3)</f>
        <v>4.702</v>
      </c>
      <c r="R39">
        <f>ROUND(SUM(L39:Q39)/IF(VLOOKUP($A39,EnrollData2324,'2324 Jun 24 Enroll'!M$1,FALSE)+VLOOKUP($A39,EnrollData2324,'2324 Jun 24 Enroll'!D$1,FALSE)='District Calculations'!$D$25+'District Calculations'!$D$11,VLOOKUP($A39,EnrollData2324,'2324 Jun 24 Enroll'!M$1,FALSE)+VLOOKUP($A39,EnrollData2324,'2324 Jun 24 Enroll'!D$1,FALSE),'District Calculations'!$D$25+'District Calculations'!$D$11),5)</f>
        <v>4.1099999999999999E-3</v>
      </c>
      <c r="S39" s="11">
        <f t="shared" si="7"/>
        <v>1.8689600000000001E-2</v>
      </c>
      <c r="T39">
        <f>ROUND(IF(VLOOKUP($A39,EnrollData2324,'2324 Jun 24 Enroll'!D$1,FALSE)='District Calculations'!$D$11,VLOOKUP($A39,EnrollData2324,'2324 Jun 24 Enroll'!D$1,FALSE),'District Calculations'!$D$11)*S39,3)</f>
        <v>0</v>
      </c>
      <c r="U39">
        <f>ROUND(IF(VLOOKUP($A39,EnrollData2324,'2324 Jun 24 Enroll'!E$1,FALSE)='District Calculations'!$D$12,VLOOKUP($A39,EnrollData2324,'2324 Jun 24 Enroll'!E$1,FALSE),'District Calculations'!$D$12)*S39,3)</f>
        <v>15.148</v>
      </c>
      <c r="V39">
        <f>ROUND(IF(VLOOKUP($A39,EnrollData2324,'2324 Jun 24 Enroll'!F$1,FALSE)='District Calculations'!$D$13,VLOOKUP($A39,EnrollData2324,'2324 Jun 24 Enroll'!F$1,FALSE),'District Calculations'!$D$13)*Apport_224A2324s,3)</f>
        <v>3.7029999999999998</v>
      </c>
      <c r="W39">
        <f>ROUND(IF(VLOOKUP($A39,EnrollData2324,'2324 Jun 24 Enroll'!G$1,FALSE)='District Calculations'!$D$14,VLOOKUP($A39,EnrollData2324,'2324 Jun 24 Enroll'!G$1,FALSE),'District Calculations'!$D$14)*Apport_212A2324s,3)</f>
        <v>8.2089999999999996</v>
      </c>
      <c r="X39">
        <f>ROUND(IF(VLOOKUP($A39,EnrollData2324,'2324 Jun 24 Enroll'!H$1,FALSE)='District Calculations'!$D$14,VLOOKUP($A39,EnrollData2324,'2324 Jun 24 Enroll'!H$1,FALSE),'District Calculations'!$D$14)*Apport_215A2324s,3)</f>
        <v>8.0969999999999995</v>
      </c>
      <c r="Y39">
        <f>ROUND(IF(VLOOKUP($A39,EnrollData2324,'2324 Jun 24 Enroll'!I$1,FALSE)+VLOOKUP($A39,EnrollData2324,'2324 Jun 24 Enroll'!M$1,FALSE)-VLOOKUP($A39,EnrollData2324,'2324 Jun 24 Enroll'!J$1,FALSE)='District Calculations'!$D$16+'District Calculations'!$D$25-'District Calculations'!$D$17,VLOOKUP($A39,EnrollData2324,'2324 Jun 24 Enroll'!I$1,FALSE)+VLOOKUP($A39,EnrollData2324,'2324 Jun 24 Enroll'!M$1,FALSE)-VLOOKUP($A39,EnrollData2324,'2324 Jun 24 Enroll'!J$1,FALSE),'District Calculations'!$D$16+'District Calculations'!$D$25-'District Calculations'!$D$17)*Apport_218A2324s,3)</f>
        <v>20.224</v>
      </c>
      <c r="Z39">
        <f>ROUND(SUM(T39:Y39)/IF(VLOOKUP($A39,EnrollData2324,'2324 Jun 24 Enroll'!M$1,FALSE)+VLOOKUP($A39,EnrollData2324,'2324 Jun 24 Enroll'!D$1,FALSE)='District Calculations'!$D$25+'District Calculations'!$D$11,VLOOKUP($A39,EnrollData2324,'2324 Jun 24 Enroll'!M$1,FALSE)+VLOOKUP($A39,EnrollData2324,'2324 Jun 24 Enroll'!D$1,FALSE),'District Calculations'!$D$25+'District Calculations'!$D$11),5)</f>
        <v>1.7749999999999998E-2</v>
      </c>
      <c r="AA39" s="6" cm="1">
        <f t="array" ref="AA39">ROUND($J39*CIS_Base_Salary2324s*VLOOKUP($A39,EnrollData2324,'2324 Jun 24 Enroll'!S$1,FALSE),2)</f>
        <v>4038.59</v>
      </c>
      <c r="AB39" s="6" cm="1">
        <f t="array" ref="AB39">ROUND($J39*CIS_Inc_Salary2324s*(VLOOKUP($A39,EnrollData2324,'2324 Jun 24 Enroll'!T$1,FALSE)+VLOOKUP($A39,EnrollData2324,'2324 Jun 24 Enroll'!U$1,FALSE)),2)-AA39</f>
        <v>316.94999999999982</v>
      </c>
      <c r="AC39" s="6" cm="1">
        <f t="array" ref="AC39">ROUND($R39*CAS_Base_Salary2324s*VLOOKUP($A39,EnrollData2324,'2324 Jun 24 Enroll'!S$1,FALSE),2)</f>
        <v>443.7</v>
      </c>
      <c r="AD39" s="6" cm="1">
        <f t="array" ref="AD39">ROUND($R39*CAS_Inc_Salary2324s*VLOOKUP($A39,EnrollData2324,'2324 Jun 24 Enroll'!T$1,FALSE),2)-AC39</f>
        <v>16.410000000000025</v>
      </c>
      <c r="AE39" s="6" cm="1">
        <f t="array" ref="AE39">ROUND($Z39*CLS_Base_Salary2324s*VLOOKUP($A39,EnrollData2324,'2324 Jun 24 Enroll'!S$1,FALSE),2)</f>
        <v>926.07</v>
      </c>
      <c r="AF39" s="6" cm="1">
        <f t="array" ref="AF39">ROUND($Z39*CLS_Inc_Salary2324s*VLOOKUP($A39,EnrollData2324,'2324 Jun 24 Enroll'!T$1,FALSE),2)-AE39</f>
        <v>34.259999999999991</v>
      </c>
      <c r="AG39" cm="1">
        <f t="array" ref="AG39">ROUND(($J39+$R39)*Apport_124X2324s,2)</f>
        <v>734.29</v>
      </c>
      <c r="AH39" s="69">
        <f t="shared" si="8"/>
        <v>68.700000000000045</v>
      </c>
      <c r="AI39" cm="1">
        <f t="array" ref="AI39">ROUND($Z39*Apport_124X2324s,2)</f>
        <v>218.54</v>
      </c>
      <c r="AJ39" cm="1">
        <f t="array" ref="AJ39">ROUND($Z39*Apport_621X2324s*Apport_125X2324s,2)-AI39</f>
        <v>116.51000000000002</v>
      </c>
      <c r="AK39" cm="1">
        <f t="array" ref="AK39">ROUND((AA39+AC39)*Apport_126X2324s,2)</f>
        <v>805.47</v>
      </c>
      <c r="AL39" cm="1">
        <f t="array" ref="AL39">ROUND((AB39+AD39)*Apport_127X2324s,2)</f>
        <v>57.77</v>
      </c>
      <c r="AM39" cm="1">
        <f t="array" ref="AM39">ROUND(AE39*Apport_128X2324s,2)</f>
        <v>204.29</v>
      </c>
      <c r="AN39" cm="1">
        <f t="array" ref="AN39">ROUND(AF39*Apport_129X2324s,2)</f>
        <v>6.36</v>
      </c>
      <c r="AO39" cm="1">
        <f t="array" ref="AO39">ROUND(($J39*CIS_Inc_Salary2324s*(VLOOKUP($A39,EnrollData2324,'2324 Jun 24 Enroll'!T$1,FALSE)+VLOOKUP($A39,EnrollData2324,'2324 Jun 24 Enroll'!U$1,FALSE))/Apport_613Xpd)*Apport_614Xpd,2)</f>
        <v>72.59</v>
      </c>
      <c r="AP39" cm="1">
        <f t="array" ref="AP39">ROUND(AO39*Apport_127X2324s,2)</f>
        <v>12.58</v>
      </c>
      <c r="AQ39">
        <f t="shared" si="9"/>
        <v>30.93</v>
      </c>
      <c r="AR39" s="6" cm="1">
        <f t="array" ref="AR39">ROUND((VLOOKUP($A39,EnrollData2324,'2324 Jun 24 Enroll'!D$1,FALSE)*Apport_M802324s+VLOOKUP($A39,EnrollData2324,'2324 Jun 24 Enroll'!M$1,FALSE)*Apport_M802324s+(VLOOKUP($A39,EnrollData2324,'2324 Jun 24 Enroll'!P$1,FALSE)+VLOOKUP($A39,EnrollData2324,'2324 Jun 24 Enroll'!Q$1,FALSE)+VLOOKUP($A39,EnrollData2324,'2324 Jun 24 Enroll'!R$1,FALSE)+VLOOKUP($A39,EnrollData2324,'2324 Jun 24 Enroll'!I$1,FALSE)+VLOOKUP($A39,EnrollData2324,'2324 Jun 24 Enroll'!N$1,FALSE)+VLOOKUP($A39,EnrollData2324,'2324 Jun 24 Enroll'!O$1,FALSE)+VLOOKUP($A39,EnrollData2324,'2324 Jun 24 Enroll'!K$1,FALSE)+VLOOKUP($A39,EnrollData2324,'2324 Jun 24 Enroll'!L$1,FALSE))*Apport_M812324s)/(VLOOKUP($A39,EnrollData2324,'2324 Jun 24 Enroll'!M$1,FALSE)+VLOOKUP($A39,EnrollData2324,'2324 Jun 24 Enroll'!D$1,FALSE)),2)</f>
        <v>1575.64</v>
      </c>
      <c r="AS39" s="7">
        <f t="shared" si="11"/>
        <v>9679.65</v>
      </c>
    </row>
    <row r="40" spans="1:46">
      <c r="A40" s="40" t="s">
        <v>384</v>
      </c>
      <c r="B40" s="40" t="s">
        <v>385</v>
      </c>
      <c r="C40" s="11">
        <f>ROUND((IFERROR((1/IF(VLOOKUP($A40,EnrollData2324,28,FALSE)='District Calculations'!$D$10,VLOOKUP($A40,EnrollData2324,28,FALSE),'District Calculations'!$D$10))*(1+Apport_Z315),0))+Apport_201A2324s,6)</f>
        <v>7.3449E-2</v>
      </c>
      <c r="D40">
        <f>ROUND(IF(VLOOKUP($A40,EnrollData2324,'2324 Jun 24 Enroll'!D$1,FALSE)='District Calculations'!$D$11,VLOOKUP($A40,EnrollData2324,'2324 Jun 24 Enroll'!D$1,FALSE),'District Calculations'!$D$11)*C40,3)</f>
        <v>0</v>
      </c>
      <c r="E40">
        <f>ROUND(IF(VLOOKUP($A40,EnrollData2324,'2324 Jun 24 Enroll'!E$1,FALSE)='District Calculations'!$D$12,VLOOKUP($A40,EnrollData2324,'2324 Jun 24 Enroll'!E$1,FALSE),'District Calculations'!$D$12)*C40,3)</f>
        <v>59.53</v>
      </c>
      <c r="F40">
        <f>ROUND(IF(VLOOKUP($A40,EnrollData2324,'2324 Jun 24 Enroll'!F$1,FALSE)='District Calculations'!$D$13,VLOOKUP($A40,EnrollData2324,'2324 Jun 24 Enroll'!F$1,FALSE),'District Calculations'!$D$13)*Apport_222A2324s,3)</f>
        <v>10.101000000000001</v>
      </c>
      <c r="G40">
        <f>ROUND(IF(VLOOKUP($A40,EnrollData2324,'2324 Jun 24 Enroll'!G$1,FALSE)='District Calculations'!$D$14,VLOOKUP($A40,EnrollData2324,'2324 Jun 24 Enroll'!G$1,FALSE),'District Calculations'!$D$14)*Apport_210A2324s,3)</f>
        <v>22.395</v>
      </c>
      <c r="H40">
        <f>ROUND(IF(VLOOKUP($A40,EnrollData2324,'2324 Jun 24 Enroll'!H$1,FALSE)='District Calculations'!$D$15,VLOOKUP($A40,EnrollData2324,'2324 Jun 24 Enroll'!H$1,FALSE),'District Calculations'!$D$15)*Apport_213A2324s,3)</f>
        <v>23.091999999999999</v>
      </c>
      <c r="I40">
        <f>ROUND(IF(VLOOKUP($A40,EnrollData2324,'2324 Jun 24 Enroll'!I$1,FALSE)+VLOOKUP($A40,EnrollData2324,'2324 Jun 24 Enroll'!M$1,FALSE)-VLOOKUP($A40,EnrollData2324,'2324 Jun 24 Enroll'!J$1,FALSE)='District Calculations'!$D$16+'District Calculations'!$D$25-'District Calculations'!$D$17,VLOOKUP($A40,EnrollData2324,'2324 Jun 24 Enroll'!I$1,FALSE)+VLOOKUP($A40,EnrollData2324,'2324 Jun 24 Enroll'!M$1,FALSE)-VLOOKUP($A40,EnrollData2324,'2324 Jun 24 Enroll'!J$1,FALSE),'District Calculations'!$D$16+'District Calculations'!$D$25-'District Calculations'!$D$17)*Apport_216A2324s,3)</f>
        <v>58.183999999999997</v>
      </c>
      <c r="J40">
        <f>ROUND(SUM(D40:I40)/(IF(VLOOKUP($A40,EnrollData2324,'2324 Jun 24 Enroll'!M$1,FALSE)='District Calculations'!$D$25,VLOOKUP($A40,EnrollData2324,'2324 Jun 24 Enroll'!M$1,FALSE),'District Calculations'!$D$25)+IF(VLOOKUP($A40,EnrollData2324,'2324 Jun 24 Enroll'!D$1,FALSE)='District Calculations'!$D$11,VLOOKUP($A40,EnrollData2324,'2324 Jun 24 Enroll'!D$1,FALSE),'District Calculations'!$D$11)),5)</f>
        <v>5.5530000000000003E-2</v>
      </c>
      <c r="K40" s="11">
        <f t="shared" si="6"/>
        <v>4.3699999999999998E-3</v>
      </c>
      <c r="L40">
        <f>ROUND(IF(VLOOKUP($A40,EnrollData2324,'2324 Jun 24 Enroll'!D$1,FALSE)='District Calculations'!$D$11,VLOOKUP($A40,EnrollData2324,'2324 Jun 24 Enroll'!D$1,FALSE),'District Calculations'!$D$11)*K40,3)</f>
        <v>0</v>
      </c>
      <c r="M40">
        <f>ROUND(IF(VLOOKUP($A40,EnrollData2324,'2324 Jun 24 Enroll'!E$1,FALSE)='District Calculations'!$D$12,VLOOKUP($A40,EnrollData2324,'2324 Jun 24 Enroll'!E$1,FALSE),'District Calculations'!$D$12)*K40,3)</f>
        <v>3.5419999999999998</v>
      </c>
      <c r="N40">
        <f>ROUND(IF(VLOOKUP($A40,EnrollData2324,'2324 Jun 24 Enroll'!F$1,FALSE)='District Calculations'!$D$13,VLOOKUP($A40,EnrollData2324,'2324 Jun 24 Enroll'!F$1,FALSE),'District Calculations'!$D$13)*Apport_223A2324s,3)</f>
        <v>0.84299999999999997</v>
      </c>
      <c r="O40">
        <f>ROUND(IF(VLOOKUP($A40,EnrollData2324,'2324 Jun 24 Enroll'!G$1,FALSE)='District Calculations'!$D$14,VLOOKUP($A40,EnrollData2324,'2324 Jun 24 Enroll'!G$1,FALSE),'District Calculations'!$D$14)*Apport_211A2324s,3)</f>
        <v>1.87</v>
      </c>
      <c r="P40">
        <f>ROUND(IF(VLOOKUP($A40,EnrollData2324,'2324 Jun 24 Enroll'!H$1,FALSE)='District Calculations'!$D$14,VLOOKUP($A40,EnrollData2324,'2324 Jun 24 Enroll'!H$1,FALSE),'District Calculations'!$D$14)*Apport_214A2324s,3)</f>
        <v>1.8680000000000001</v>
      </c>
      <c r="Q40">
        <f>ROUND(IF(VLOOKUP($A40,EnrollData2324,'2324 Jun 24 Enroll'!I$1,FALSE)+VLOOKUP($A40,EnrollData2324,'2324 Jun 24 Enroll'!M$1,FALSE)-VLOOKUP($A40,EnrollData2324,'2324 Jun 24 Enroll'!J$1,FALSE)='District Calculations'!$D$16+'District Calculations'!$D$25-'District Calculations'!$D$17,VLOOKUP($A40,EnrollData2324,'2324 Jun 24 Enroll'!I$1,FALSE)+VLOOKUP($A40,EnrollData2324,'2324 Jun 24 Enroll'!M$1,FALSE)-VLOOKUP($A40,EnrollData2324,'2324 Jun 24 Enroll'!J$1,FALSE),'District Calculations'!$D$16+'District Calculations'!$D$25-'District Calculations'!$D$17)*Apport_217A2324s,3)</f>
        <v>4.702</v>
      </c>
      <c r="R40">
        <f>ROUND(SUM(L40:Q40)/IF(VLOOKUP($A40,EnrollData2324,'2324 Jun 24 Enroll'!M$1,FALSE)+VLOOKUP($A40,EnrollData2324,'2324 Jun 24 Enroll'!D$1,FALSE)='District Calculations'!$D$25+'District Calculations'!$D$11,VLOOKUP($A40,EnrollData2324,'2324 Jun 24 Enroll'!M$1,FALSE)+VLOOKUP($A40,EnrollData2324,'2324 Jun 24 Enroll'!D$1,FALSE),'District Calculations'!$D$25+'District Calculations'!$D$11),5)</f>
        <v>4.1099999999999999E-3</v>
      </c>
      <c r="S40" s="11">
        <f t="shared" si="7"/>
        <v>1.8689600000000001E-2</v>
      </c>
      <c r="T40">
        <f>ROUND(IF(VLOOKUP($A40,EnrollData2324,'2324 Jun 24 Enroll'!D$1,FALSE)='District Calculations'!$D$11,VLOOKUP($A40,EnrollData2324,'2324 Jun 24 Enroll'!D$1,FALSE),'District Calculations'!$D$11)*S40,3)</f>
        <v>0</v>
      </c>
      <c r="U40">
        <f>ROUND(IF(VLOOKUP($A40,EnrollData2324,'2324 Jun 24 Enroll'!E$1,FALSE)='District Calculations'!$D$12,VLOOKUP($A40,EnrollData2324,'2324 Jun 24 Enroll'!E$1,FALSE),'District Calculations'!$D$12)*S40,3)</f>
        <v>15.148</v>
      </c>
      <c r="V40">
        <f>ROUND(IF(VLOOKUP($A40,EnrollData2324,'2324 Jun 24 Enroll'!F$1,FALSE)='District Calculations'!$D$13,VLOOKUP($A40,EnrollData2324,'2324 Jun 24 Enroll'!F$1,FALSE),'District Calculations'!$D$13)*Apport_224A2324s,3)</f>
        <v>3.7029999999999998</v>
      </c>
      <c r="W40">
        <f>ROUND(IF(VLOOKUP($A40,EnrollData2324,'2324 Jun 24 Enroll'!G$1,FALSE)='District Calculations'!$D$14,VLOOKUP($A40,EnrollData2324,'2324 Jun 24 Enroll'!G$1,FALSE),'District Calculations'!$D$14)*Apport_212A2324s,3)</f>
        <v>8.2089999999999996</v>
      </c>
      <c r="X40">
        <f>ROUND(IF(VLOOKUP($A40,EnrollData2324,'2324 Jun 24 Enroll'!H$1,FALSE)='District Calculations'!$D$14,VLOOKUP($A40,EnrollData2324,'2324 Jun 24 Enroll'!H$1,FALSE),'District Calculations'!$D$14)*Apport_215A2324s,3)</f>
        <v>8.0969999999999995</v>
      </c>
      <c r="Y40">
        <f>ROUND(IF(VLOOKUP($A40,EnrollData2324,'2324 Jun 24 Enroll'!I$1,FALSE)+VLOOKUP($A40,EnrollData2324,'2324 Jun 24 Enroll'!M$1,FALSE)-VLOOKUP($A40,EnrollData2324,'2324 Jun 24 Enroll'!J$1,FALSE)='District Calculations'!$D$16+'District Calculations'!$D$25-'District Calculations'!$D$17,VLOOKUP($A40,EnrollData2324,'2324 Jun 24 Enroll'!I$1,FALSE)+VLOOKUP($A40,EnrollData2324,'2324 Jun 24 Enroll'!M$1,FALSE)-VLOOKUP($A40,EnrollData2324,'2324 Jun 24 Enroll'!J$1,FALSE),'District Calculations'!$D$16+'District Calculations'!$D$25-'District Calculations'!$D$17)*Apport_218A2324s,3)</f>
        <v>20.224</v>
      </c>
      <c r="Z40">
        <f>ROUND(SUM(T40:Y40)/IF(VLOOKUP($A40,EnrollData2324,'2324 Jun 24 Enroll'!M$1,FALSE)+VLOOKUP($A40,EnrollData2324,'2324 Jun 24 Enroll'!D$1,FALSE)='District Calculations'!$D$25+'District Calculations'!$D$11,VLOOKUP($A40,EnrollData2324,'2324 Jun 24 Enroll'!M$1,FALSE)+VLOOKUP($A40,EnrollData2324,'2324 Jun 24 Enroll'!D$1,FALSE),'District Calculations'!$D$25+'District Calculations'!$D$11),5)</f>
        <v>1.7749999999999998E-2</v>
      </c>
      <c r="AA40" s="6" cm="1">
        <f t="array" ref="AA40">ROUND($J40*CIS_Base_Salary2324s*VLOOKUP($A40,EnrollData2324,'2324 Jun 24 Enroll'!S$1,FALSE),2)</f>
        <v>4038.59</v>
      </c>
      <c r="AB40" s="6" cm="1">
        <f t="array" ref="AB40">ROUND($J40*CIS_Inc_Salary2324s*(VLOOKUP($A40,EnrollData2324,'2324 Jun 24 Enroll'!T$1,FALSE)+VLOOKUP($A40,EnrollData2324,'2324 Jun 24 Enroll'!U$1,FALSE)),2)-AA40</f>
        <v>149.43000000000029</v>
      </c>
      <c r="AC40" s="6" cm="1">
        <f t="array" ref="AC40">ROUND($R40*CAS_Base_Salary2324s*VLOOKUP($A40,EnrollData2324,'2324 Jun 24 Enroll'!S$1,FALSE),2)</f>
        <v>443.7</v>
      </c>
      <c r="AD40" s="6" cm="1">
        <f t="array" ref="AD40">ROUND($R40*CAS_Inc_Salary2324s*VLOOKUP($A40,EnrollData2324,'2324 Jun 24 Enroll'!T$1,FALSE),2)-AC40</f>
        <v>16.410000000000025</v>
      </c>
      <c r="AE40" s="6" cm="1">
        <f t="array" ref="AE40">ROUND($Z40*CLS_Base_Salary2324s*VLOOKUP($A40,EnrollData2324,'2324 Jun 24 Enroll'!S$1,FALSE),2)</f>
        <v>926.07</v>
      </c>
      <c r="AF40" s="6" cm="1">
        <f t="array" ref="AF40">ROUND($Z40*CLS_Inc_Salary2324s*VLOOKUP($A40,EnrollData2324,'2324 Jun 24 Enroll'!T$1,FALSE),2)-AE40</f>
        <v>34.259999999999991</v>
      </c>
      <c r="AG40" cm="1">
        <f t="array" ref="AG40">ROUND(($J40+$R40)*Apport_124X2324s,2)</f>
        <v>734.29</v>
      </c>
      <c r="AH40" s="69">
        <f t="shared" si="8"/>
        <v>68.700000000000045</v>
      </c>
      <c r="AI40" cm="1">
        <f t="array" ref="AI40">ROUND($Z40*Apport_124X2324s,2)</f>
        <v>218.54</v>
      </c>
      <c r="AJ40" cm="1">
        <f t="array" ref="AJ40">ROUND($Z40*Apport_621X2324s*Apport_125X2324s,2)-AI40</f>
        <v>116.51000000000002</v>
      </c>
      <c r="AK40" cm="1">
        <f t="array" ref="AK40">ROUND((AA40+AC40)*Apport_126X2324s,2)</f>
        <v>805.47</v>
      </c>
      <c r="AL40" cm="1">
        <f t="array" ref="AL40">ROUND((AB40+AD40)*Apport_127X2324s,2)</f>
        <v>28.74</v>
      </c>
      <c r="AM40" cm="1">
        <f t="array" ref="AM40">ROUND(AE40*Apport_128X2324s,2)</f>
        <v>204.29</v>
      </c>
      <c r="AN40" cm="1">
        <f t="array" ref="AN40">ROUND(AF40*Apport_129X2324s,2)</f>
        <v>6.36</v>
      </c>
      <c r="AO40" cm="1">
        <f t="array" ref="AO40">ROUND(($J40*CIS_Inc_Salary2324s*(VLOOKUP($A40,EnrollData2324,'2324 Jun 24 Enroll'!T$1,FALSE)+VLOOKUP($A40,EnrollData2324,'2324 Jun 24 Enroll'!U$1,FALSE))/Apport_613Xpd)*Apport_614Xpd,2)</f>
        <v>69.8</v>
      </c>
      <c r="AP40" cm="1">
        <f t="array" ref="AP40">ROUND(AO40*Apport_127X2324s,2)</f>
        <v>12.1</v>
      </c>
      <c r="AQ40">
        <f t="shared" si="9"/>
        <v>30.93</v>
      </c>
      <c r="AR40" s="6" cm="1">
        <f t="array" ref="AR40">ROUND((VLOOKUP($A40,EnrollData2324,'2324 Jun 24 Enroll'!D$1,FALSE)*Apport_M802324s+VLOOKUP($A40,EnrollData2324,'2324 Jun 24 Enroll'!M$1,FALSE)*Apport_M802324s+(VLOOKUP($A40,EnrollData2324,'2324 Jun 24 Enroll'!P$1,FALSE)+VLOOKUP($A40,EnrollData2324,'2324 Jun 24 Enroll'!Q$1,FALSE)+VLOOKUP($A40,EnrollData2324,'2324 Jun 24 Enroll'!R$1,FALSE)+VLOOKUP($A40,EnrollData2324,'2324 Jun 24 Enroll'!I$1,FALSE)+VLOOKUP($A40,EnrollData2324,'2324 Jun 24 Enroll'!N$1,FALSE)+VLOOKUP($A40,EnrollData2324,'2324 Jun 24 Enroll'!O$1,FALSE)+VLOOKUP($A40,EnrollData2324,'2324 Jun 24 Enroll'!K$1,FALSE)+VLOOKUP($A40,EnrollData2324,'2324 Jun 24 Enroll'!L$1,FALSE))*Apport_M812324s)/(VLOOKUP($A40,EnrollData2324,'2324 Jun 24 Enroll'!M$1,FALSE)+VLOOKUP($A40,EnrollData2324,'2324 Jun 24 Enroll'!D$1,FALSE)),2)</f>
        <v>1573.6</v>
      </c>
      <c r="AS40" s="7">
        <f t="shared" si="11"/>
        <v>9477.7900000000009</v>
      </c>
    </row>
    <row r="41" spans="1:46">
      <c r="A41" s="40" t="s">
        <v>325</v>
      </c>
      <c r="B41" s="40" t="s">
        <v>326</v>
      </c>
      <c r="C41" s="11">
        <f>ROUND((IFERROR((1/IF(VLOOKUP($A41,EnrollData2324,28,FALSE)='District Calculations'!$D$10,VLOOKUP($A41,EnrollData2324,28,FALSE),'District Calculations'!$D$10))*(1+Apport_Z315),0))+Apport_201A2324s,6)</f>
        <v>7.3449E-2</v>
      </c>
      <c r="D41">
        <f>ROUND(IF(VLOOKUP($A41,EnrollData2324,'2324 Jun 24 Enroll'!D$1,FALSE)='District Calculations'!$D$11,VLOOKUP($A41,EnrollData2324,'2324 Jun 24 Enroll'!D$1,FALSE),'District Calculations'!$D$11)*C41,3)</f>
        <v>0</v>
      </c>
      <c r="E41">
        <f>ROUND(IF(VLOOKUP($A41,EnrollData2324,'2324 Jun 24 Enroll'!E$1,FALSE)='District Calculations'!$D$12,VLOOKUP($A41,EnrollData2324,'2324 Jun 24 Enroll'!E$1,FALSE),'District Calculations'!$D$12)*C41,3)</f>
        <v>59.53</v>
      </c>
      <c r="F41">
        <f>ROUND(IF(VLOOKUP($A41,EnrollData2324,'2324 Jun 24 Enroll'!F$1,FALSE)='District Calculations'!$D$13,VLOOKUP($A41,EnrollData2324,'2324 Jun 24 Enroll'!F$1,FALSE),'District Calculations'!$D$13)*Apport_222A2324s,3)</f>
        <v>10.101000000000001</v>
      </c>
      <c r="G41">
        <f>ROUND(IF(VLOOKUP($A41,EnrollData2324,'2324 Jun 24 Enroll'!G$1,FALSE)='District Calculations'!$D$14,VLOOKUP($A41,EnrollData2324,'2324 Jun 24 Enroll'!G$1,FALSE),'District Calculations'!$D$14)*Apport_210A2324s,3)</f>
        <v>22.395</v>
      </c>
      <c r="H41">
        <f>ROUND(IF(VLOOKUP($A41,EnrollData2324,'2324 Jun 24 Enroll'!H$1,FALSE)='District Calculations'!$D$15,VLOOKUP($A41,EnrollData2324,'2324 Jun 24 Enroll'!H$1,FALSE),'District Calculations'!$D$15)*Apport_213A2324s,3)</f>
        <v>23.091999999999999</v>
      </c>
      <c r="I41">
        <f>ROUND(IF(VLOOKUP($A41,EnrollData2324,'2324 Jun 24 Enroll'!I$1,FALSE)+VLOOKUP($A41,EnrollData2324,'2324 Jun 24 Enroll'!M$1,FALSE)-VLOOKUP($A41,EnrollData2324,'2324 Jun 24 Enroll'!J$1,FALSE)='District Calculations'!$D$16+'District Calculations'!$D$25-'District Calculations'!$D$17,VLOOKUP($A41,EnrollData2324,'2324 Jun 24 Enroll'!I$1,FALSE)+VLOOKUP($A41,EnrollData2324,'2324 Jun 24 Enroll'!M$1,FALSE)-VLOOKUP($A41,EnrollData2324,'2324 Jun 24 Enroll'!J$1,FALSE),'District Calculations'!$D$16+'District Calculations'!$D$25-'District Calculations'!$D$17)*Apport_216A2324s,3)</f>
        <v>58.183999999999997</v>
      </c>
      <c r="J41">
        <f>ROUND(SUM(D41:I41)/(IF(VLOOKUP($A41,EnrollData2324,'2324 Jun 24 Enroll'!M$1,FALSE)='District Calculations'!$D$25,VLOOKUP($A41,EnrollData2324,'2324 Jun 24 Enroll'!M$1,FALSE),'District Calculations'!$D$25)+IF(VLOOKUP($A41,EnrollData2324,'2324 Jun 24 Enroll'!D$1,FALSE)='District Calculations'!$D$11,VLOOKUP($A41,EnrollData2324,'2324 Jun 24 Enroll'!D$1,FALSE),'District Calculations'!$D$11)),5)</f>
        <v>5.5530000000000003E-2</v>
      </c>
      <c r="K41" s="11">
        <f t="shared" si="6"/>
        <v>4.3699999999999998E-3</v>
      </c>
      <c r="L41">
        <f>ROUND(IF(VLOOKUP($A41,EnrollData2324,'2324 Jun 24 Enroll'!D$1,FALSE)='District Calculations'!$D$11,VLOOKUP($A41,EnrollData2324,'2324 Jun 24 Enroll'!D$1,FALSE),'District Calculations'!$D$11)*K41,3)</f>
        <v>0</v>
      </c>
      <c r="M41">
        <f>ROUND(IF(VLOOKUP($A41,EnrollData2324,'2324 Jun 24 Enroll'!E$1,FALSE)='District Calculations'!$D$12,VLOOKUP($A41,EnrollData2324,'2324 Jun 24 Enroll'!E$1,FALSE),'District Calculations'!$D$12)*K41,3)</f>
        <v>3.5419999999999998</v>
      </c>
      <c r="N41">
        <f>ROUND(IF(VLOOKUP($A41,EnrollData2324,'2324 Jun 24 Enroll'!F$1,FALSE)='District Calculations'!$D$13,VLOOKUP($A41,EnrollData2324,'2324 Jun 24 Enroll'!F$1,FALSE),'District Calculations'!$D$13)*Apport_223A2324s,3)</f>
        <v>0.84299999999999997</v>
      </c>
      <c r="O41">
        <f>ROUND(IF(VLOOKUP($A41,EnrollData2324,'2324 Jun 24 Enroll'!G$1,FALSE)='District Calculations'!$D$14,VLOOKUP($A41,EnrollData2324,'2324 Jun 24 Enroll'!G$1,FALSE),'District Calculations'!$D$14)*Apport_211A2324s,3)</f>
        <v>1.87</v>
      </c>
      <c r="P41">
        <f>ROUND(IF(VLOOKUP($A41,EnrollData2324,'2324 Jun 24 Enroll'!H$1,FALSE)='District Calculations'!$D$14,VLOOKUP($A41,EnrollData2324,'2324 Jun 24 Enroll'!H$1,FALSE),'District Calculations'!$D$14)*Apport_214A2324s,3)</f>
        <v>1.8680000000000001</v>
      </c>
      <c r="Q41">
        <f>ROUND(IF(VLOOKUP($A41,EnrollData2324,'2324 Jun 24 Enroll'!I$1,FALSE)+VLOOKUP($A41,EnrollData2324,'2324 Jun 24 Enroll'!M$1,FALSE)-VLOOKUP($A41,EnrollData2324,'2324 Jun 24 Enroll'!J$1,FALSE)='District Calculations'!$D$16+'District Calculations'!$D$25-'District Calculations'!$D$17,VLOOKUP($A41,EnrollData2324,'2324 Jun 24 Enroll'!I$1,FALSE)+VLOOKUP($A41,EnrollData2324,'2324 Jun 24 Enroll'!M$1,FALSE)-VLOOKUP($A41,EnrollData2324,'2324 Jun 24 Enroll'!J$1,FALSE),'District Calculations'!$D$16+'District Calculations'!$D$25-'District Calculations'!$D$17)*Apport_217A2324s,3)</f>
        <v>4.702</v>
      </c>
      <c r="R41">
        <f>ROUND(SUM(L41:Q41)/IF(VLOOKUP($A41,EnrollData2324,'2324 Jun 24 Enroll'!M$1,FALSE)+VLOOKUP($A41,EnrollData2324,'2324 Jun 24 Enroll'!D$1,FALSE)='District Calculations'!$D$25+'District Calculations'!$D$11,VLOOKUP($A41,EnrollData2324,'2324 Jun 24 Enroll'!M$1,FALSE)+VLOOKUP($A41,EnrollData2324,'2324 Jun 24 Enroll'!D$1,FALSE),'District Calculations'!$D$25+'District Calculations'!$D$11),5)</f>
        <v>4.1099999999999999E-3</v>
      </c>
      <c r="S41" s="11">
        <f t="shared" si="7"/>
        <v>1.8689600000000001E-2</v>
      </c>
      <c r="T41">
        <f>ROUND(IF(VLOOKUP($A41,EnrollData2324,'2324 Jun 24 Enroll'!D$1,FALSE)='District Calculations'!$D$11,VLOOKUP($A41,EnrollData2324,'2324 Jun 24 Enroll'!D$1,FALSE),'District Calculations'!$D$11)*S41,3)</f>
        <v>0</v>
      </c>
      <c r="U41">
        <f>ROUND(IF(VLOOKUP($A41,EnrollData2324,'2324 Jun 24 Enroll'!E$1,FALSE)='District Calculations'!$D$12,VLOOKUP($A41,EnrollData2324,'2324 Jun 24 Enroll'!E$1,FALSE),'District Calculations'!$D$12)*S41,3)</f>
        <v>15.148</v>
      </c>
      <c r="V41">
        <f>ROUND(IF(VLOOKUP($A41,EnrollData2324,'2324 Jun 24 Enroll'!F$1,FALSE)='District Calculations'!$D$13,VLOOKUP($A41,EnrollData2324,'2324 Jun 24 Enroll'!F$1,FALSE),'District Calculations'!$D$13)*Apport_224A2324s,3)</f>
        <v>3.7029999999999998</v>
      </c>
      <c r="W41">
        <f>ROUND(IF(VLOOKUP($A41,EnrollData2324,'2324 Jun 24 Enroll'!G$1,FALSE)='District Calculations'!$D$14,VLOOKUP($A41,EnrollData2324,'2324 Jun 24 Enroll'!G$1,FALSE),'District Calculations'!$D$14)*Apport_212A2324s,3)</f>
        <v>8.2089999999999996</v>
      </c>
      <c r="X41">
        <f>ROUND(IF(VLOOKUP($A41,EnrollData2324,'2324 Jun 24 Enroll'!H$1,FALSE)='District Calculations'!$D$14,VLOOKUP($A41,EnrollData2324,'2324 Jun 24 Enroll'!H$1,FALSE),'District Calculations'!$D$14)*Apport_215A2324s,3)</f>
        <v>8.0969999999999995</v>
      </c>
      <c r="Y41">
        <f>ROUND(IF(VLOOKUP($A41,EnrollData2324,'2324 Jun 24 Enroll'!I$1,FALSE)+VLOOKUP($A41,EnrollData2324,'2324 Jun 24 Enroll'!M$1,FALSE)-VLOOKUP($A41,EnrollData2324,'2324 Jun 24 Enroll'!J$1,FALSE)='District Calculations'!$D$16+'District Calculations'!$D$25-'District Calculations'!$D$17,VLOOKUP($A41,EnrollData2324,'2324 Jun 24 Enroll'!I$1,FALSE)+VLOOKUP($A41,EnrollData2324,'2324 Jun 24 Enroll'!M$1,FALSE)-VLOOKUP($A41,EnrollData2324,'2324 Jun 24 Enroll'!J$1,FALSE),'District Calculations'!$D$16+'District Calculations'!$D$25-'District Calculations'!$D$17)*Apport_218A2324s,3)</f>
        <v>20.224</v>
      </c>
      <c r="Z41">
        <f>ROUND(SUM(T41:Y41)/IF(VLOOKUP($A41,EnrollData2324,'2324 Jun 24 Enroll'!M$1,FALSE)+VLOOKUP($A41,EnrollData2324,'2324 Jun 24 Enroll'!D$1,FALSE)='District Calculations'!$D$25+'District Calculations'!$D$11,VLOOKUP($A41,EnrollData2324,'2324 Jun 24 Enroll'!M$1,FALSE)+VLOOKUP($A41,EnrollData2324,'2324 Jun 24 Enroll'!D$1,FALSE),'District Calculations'!$D$25+'District Calculations'!$D$11),5)</f>
        <v>1.7749999999999998E-2</v>
      </c>
      <c r="AA41" s="6" cm="1">
        <f t="array" ref="AA41">ROUND($J41*CIS_Base_Salary2324s*VLOOKUP($A41,EnrollData2324,'2324 Jun 24 Enroll'!S$1,FALSE),2)</f>
        <v>4038.59</v>
      </c>
      <c r="AB41" s="6" cm="1">
        <f t="array" ref="AB41">ROUND($J41*CIS_Inc_Salary2324s*(VLOOKUP($A41,EnrollData2324,'2324 Jun 24 Enroll'!T$1,FALSE)+VLOOKUP($A41,EnrollData2324,'2324 Jun 24 Enroll'!U$1,FALSE)),2)-AA41</f>
        <v>149.43000000000029</v>
      </c>
      <c r="AC41" s="6" cm="1">
        <f t="array" ref="AC41">ROUND($R41*CAS_Base_Salary2324s*VLOOKUP($A41,EnrollData2324,'2324 Jun 24 Enroll'!S$1,FALSE),2)</f>
        <v>443.7</v>
      </c>
      <c r="AD41" s="6" cm="1">
        <f t="array" ref="AD41">ROUND($R41*CAS_Inc_Salary2324s*VLOOKUP($A41,EnrollData2324,'2324 Jun 24 Enroll'!T$1,FALSE),2)-AC41</f>
        <v>16.410000000000025</v>
      </c>
      <c r="AE41" s="6" cm="1">
        <f t="array" ref="AE41">ROUND($Z41*CLS_Base_Salary2324s*VLOOKUP($A41,EnrollData2324,'2324 Jun 24 Enroll'!S$1,FALSE),2)</f>
        <v>926.07</v>
      </c>
      <c r="AF41" s="6" cm="1">
        <f t="array" ref="AF41">ROUND($Z41*CLS_Inc_Salary2324s*VLOOKUP($A41,EnrollData2324,'2324 Jun 24 Enroll'!T$1,FALSE),2)-AE41</f>
        <v>34.259999999999991</v>
      </c>
      <c r="AG41" cm="1">
        <f t="array" ref="AG41">ROUND(($J41+$R41)*Apport_124X2324s,2)</f>
        <v>734.29</v>
      </c>
      <c r="AH41" s="69">
        <f t="shared" si="8"/>
        <v>68.700000000000045</v>
      </c>
      <c r="AI41" cm="1">
        <f t="array" ref="AI41">ROUND($Z41*Apport_124X2324s,2)</f>
        <v>218.54</v>
      </c>
      <c r="AJ41" cm="1">
        <f t="array" ref="AJ41">ROUND($Z41*Apport_621X2324s*Apport_125X2324s,2)-AI41</f>
        <v>116.51000000000002</v>
      </c>
      <c r="AK41" cm="1">
        <f t="array" ref="AK41">ROUND((AA41+AC41)*Apport_126X2324s,2)</f>
        <v>805.47</v>
      </c>
      <c r="AL41" cm="1">
        <f t="array" ref="AL41">ROUND((AB41+AD41)*Apport_127X2324s,2)</f>
        <v>28.74</v>
      </c>
      <c r="AM41" cm="1">
        <f t="array" ref="AM41">ROUND(AE41*Apport_128X2324s,2)</f>
        <v>204.29</v>
      </c>
      <c r="AN41" cm="1">
        <f t="array" ref="AN41">ROUND(AF41*Apport_129X2324s,2)</f>
        <v>6.36</v>
      </c>
      <c r="AO41" cm="1">
        <f t="array" ref="AO41">ROUND(($J41*CIS_Inc_Salary2324s*(VLOOKUP($A41,EnrollData2324,'2324 Jun 24 Enroll'!T$1,FALSE)+VLOOKUP($A41,EnrollData2324,'2324 Jun 24 Enroll'!U$1,FALSE))/Apport_613Xpd)*Apport_614Xpd,2)</f>
        <v>69.8</v>
      </c>
      <c r="AP41" cm="1">
        <f t="array" ref="AP41">ROUND(AO41*Apport_127X2324s,2)</f>
        <v>12.1</v>
      </c>
      <c r="AQ41">
        <f t="shared" si="9"/>
        <v>30.93</v>
      </c>
      <c r="AR41" s="6" cm="1">
        <f t="array" ref="AR41">ROUND((VLOOKUP($A41,EnrollData2324,'2324 Jun 24 Enroll'!D$1,FALSE)*Apport_M802324s+VLOOKUP($A41,EnrollData2324,'2324 Jun 24 Enroll'!M$1,FALSE)*Apport_M802324s+(VLOOKUP($A41,EnrollData2324,'2324 Jun 24 Enroll'!P$1,FALSE)+VLOOKUP($A41,EnrollData2324,'2324 Jun 24 Enroll'!Q$1,FALSE)+VLOOKUP($A41,EnrollData2324,'2324 Jun 24 Enroll'!R$1,FALSE)+VLOOKUP($A41,EnrollData2324,'2324 Jun 24 Enroll'!I$1,FALSE)+VLOOKUP($A41,EnrollData2324,'2324 Jun 24 Enroll'!N$1,FALSE)+VLOOKUP($A41,EnrollData2324,'2324 Jun 24 Enroll'!O$1,FALSE)+VLOOKUP($A41,EnrollData2324,'2324 Jun 24 Enroll'!K$1,FALSE)+VLOOKUP($A41,EnrollData2324,'2324 Jun 24 Enroll'!L$1,FALSE))*Apport_M812324s)/(VLOOKUP($A41,EnrollData2324,'2324 Jun 24 Enroll'!M$1,FALSE)+VLOOKUP($A41,EnrollData2324,'2324 Jun 24 Enroll'!D$1,FALSE)),2)</f>
        <v>1561.28</v>
      </c>
      <c r="AS41" s="7">
        <f t="shared" si="11"/>
        <v>9465.4700000000012</v>
      </c>
    </row>
    <row r="42" spans="1:46">
      <c r="A42" s="40" t="s">
        <v>524</v>
      </c>
      <c r="B42" s="40" t="s">
        <v>525</v>
      </c>
      <c r="C42" s="11">
        <f>ROUND((IFERROR((1/IF(VLOOKUP($A42,EnrollData2324,28,FALSE)='District Calculations'!$D$10,VLOOKUP($A42,EnrollData2324,28,FALSE),'District Calculations'!$D$10))*(1+Apport_Z315),0))+Apport_201A2324s,6)</f>
        <v>7.3449E-2</v>
      </c>
      <c r="D42">
        <f>ROUND(IF(VLOOKUP($A42,EnrollData2324,'2324 Jun 24 Enroll'!D$1,FALSE)='District Calculations'!$D$11,VLOOKUP($A42,EnrollData2324,'2324 Jun 24 Enroll'!D$1,FALSE),'District Calculations'!$D$11)*C42,3)</f>
        <v>0</v>
      </c>
      <c r="E42">
        <f>ROUND(IF(VLOOKUP($A42,EnrollData2324,'2324 Jun 24 Enroll'!E$1,FALSE)='District Calculations'!$D$12,VLOOKUP($A42,EnrollData2324,'2324 Jun 24 Enroll'!E$1,FALSE),'District Calculations'!$D$12)*C42,3)</f>
        <v>59.53</v>
      </c>
      <c r="F42">
        <f>ROUND(IF(VLOOKUP($A42,EnrollData2324,'2324 Jun 24 Enroll'!F$1,FALSE)='District Calculations'!$D$13,VLOOKUP($A42,EnrollData2324,'2324 Jun 24 Enroll'!F$1,FALSE),'District Calculations'!$D$13)*Apport_222A2324s,3)</f>
        <v>10.101000000000001</v>
      </c>
      <c r="G42">
        <f>ROUND(IF(VLOOKUP($A42,EnrollData2324,'2324 Jun 24 Enroll'!G$1,FALSE)='District Calculations'!$D$14,VLOOKUP($A42,EnrollData2324,'2324 Jun 24 Enroll'!G$1,FALSE),'District Calculations'!$D$14)*Apport_210A2324s,3)</f>
        <v>22.395</v>
      </c>
      <c r="H42">
        <f>ROUND(IF(VLOOKUP($A42,EnrollData2324,'2324 Jun 24 Enroll'!H$1,FALSE)='District Calculations'!$D$15,VLOOKUP($A42,EnrollData2324,'2324 Jun 24 Enroll'!H$1,FALSE),'District Calculations'!$D$15)*Apport_213A2324s,3)</f>
        <v>23.091999999999999</v>
      </c>
      <c r="I42">
        <f>ROUND(IF(VLOOKUP($A42,EnrollData2324,'2324 Jun 24 Enroll'!I$1,FALSE)+VLOOKUP($A42,EnrollData2324,'2324 Jun 24 Enroll'!M$1,FALSE)-VLOOKUP($A42,EnrollData2324,'2324 Jun 24 Enroll'!J$1,FALSE)='District Calculations'!$D$16+'District Calculations'!$D$25-'District Calculations'!$D$17,VLOOKUP($A42,EnrollData2324,'2324 Jun 24 Enroll'!I$1,FALSE)+VLOOKUP($A42,EnrollData2324,'2324 Jun 24 Enroll'!M$1,FALSE)-VLOOKUP($A42,EnrollData2324,'2324 Jun 24 Enroll'!J$1,FALSE),'District Calculations'!$D$16+'District Calculations'!$D$25-'District Calculations'!$D$17)*Apport_216A2324s,3)</f>
        <v>58.183999999999997</v>
      </c>
      <c r="J42">
        <f>ROUND(SUM(D42:I42)/(IF(VLOOKUP($A42,EnrollData2324,'2324 Jun 24 Enroll'!M$1,FALSE)='District Calculations'!$D$25,VLOOKUP($A42,EnrollData2324,'2324 Jun 24 Enroll'!M$1,FALSE),'District Calculations'!$D$25)+IF(VLOOKUP($A42,EnrollData2324,'2324 Jun 24 Enroll'!D$1,FALSE)='District Calculations'!$D$11,VLOOKUP($A42,EnrollData2324,'2324 Jun 24 Enroll'!D$1,FALSE),'District Calculations'!$D$11)),5)</f>
        <v>5.5530000000000003E-2</v>
      </c>
      <c r="K42" s="11">
        <f t="shared" si="6"/>
        <v>4.3699999999999998E-3</v>
      </c>
      <c r="L42">
        <f>ROUND(IF(VLOOKUP($A42,EnrollData2324,'2324 Jun 24 Enroll'!D$1,FALSE)='District Calculations'!$D$11,VLOOKUP($A42,EnrollData2324,'2324 Jun 24 Enroll'!D$1,FALSE),'District Calculations'!$D$11)*K42,3)</f>
        <v>0</v>
      </c>
      <c r="M42">
        <f>ROUND(IF(VLOOKUP($A42,EnrollData2324,'2324 Jun 24 Enroll'!E$1,FALSE)='District Calculations'!$D$12,VLOOKUP($A42,EnrollData2324,'2324 Jun 24 Enroll'!E$1,FALSE),'District Calculations'!$D$12)*K42,3)</f>
        <v>3.5419999999999998</v>
      </c>
      <c r="N42">
        <f>ROUND(IF(VLOOKUP($A42,EnrollData2324,'2324 Jun 24 Enroll'!F$1,FALSE)='District Calculations'!$D$13,VLOOKUP($A42,EnrollData2324,'2324 Jun 24 Enroll'!F$1,FALSE),'District Calculations'!$D$13)*Apport_223A2324s,3)</f>
        <v>0.84299999999999997</v>
      </c>
      <c r="O42">
        <f>ROUND(IF(VLOOKUP($A42,EnrollData2324,'2324 Jun 24 Enroll'!G$1,FALSE)='District Calculations'!$D$14,VLOOKUP($A42,EnrollData2324,'2324 Jun 24 Enroll'!G$1,FALSE),'District Calculations'!$D$14)*Apport_211A2324s,3)</f>
        <v>1.87</v>
      </c>
      <c r="P42">
        <f>ROUND(IF(VLOOKUP($A42,EnrollData2324,'2324 Jun 24 Enroll'!H$1,FALSE)='District Calculations'!$D$14,VLOOKUP($A42,EnrollData2324,'2324 Jun 24 Enroll'!H$1,FALSE),'District Calculations'!$D$14)*Apport_214A2324s,3)</f>
        <v>1.8680000000000001</v>
      </c>
      <c r="Q42">
        <f>ROUND(IF(VLOOKUP($A42,EnrollData2324,'2324 Jun 24 Enroll'!I$1,FALSE)+VLOOKUP($A42,EnrollData2324,'2324 Jun 24 Enroll'!M$1,FALSE)-VLOOKUP($A42,EnrollData2324,'2324 Jun 24 Enroll'!J$1,FALSE)='District Calculations'!$D$16+'District Calculations'!$D$25-'District Calculations'!$D$17,VLOOKUP($A42,EnrollData2324,'2324 Jun 24 Enroll'!I$1,FALSE)+VLOOKUP($A42,EnrollData2324,'2324 Jun 24 Enroll'!M$1,FALSE)-VLOOKUP($A42,EnrollData2324,'2324 Jun 24 Enroll'!J$1,FALSE),'District Calculations'!$D$16+'District Calculations'!$D$25-'District Calculations'!$D$17)*Apport_217A2324s,3)</f>
        <v>4.702</v>
      </c>
      <c r="R42">
        <f>ROUND(SUM(L42:Q42)/IF(VLOOKUP($A42,EnrollData2324,'2324 Jun 24 Enroll'!M$1,FALSE)+VLOOKUP($A42,EnrollData2324,'2324 Jun 24 Enroll'!D$1,FALSE)='District Calculations'!$D$25+'District Calculations'!$D$11,VLOOKUP($A42,EnrollData2324,'2324 Jun 24 Enroll'!M$1,FALSE)+VLOOKUP($A42,EnrollData2324,'2324 Jun 24 Enroll'!D$1,FALSE),'District Calculations'!$D$25+'District Calculations'!$D$11),5)</f>
        <v>4.1099999999999999E-3</v>
      </c>
      <c r="S42" s="11">
        <f t="shared" si="7"/>
        <v>1.8689600000000001E-2</v>
      </c>
      <c r="T42">
        <f>ROUND(IF(VLOOKUP($A42,EnrollData2324,'2324 Jun 24 Enroll'!D$1,FALSE)='District Calculations'!$D$11,VLOOKUP($A42,EnrollData2324,'2324 Jun 24 Enroll'!D$1,FALSE),'District Calculations'!$D$11)*S42,3)</f>
        <v>0</v>
      </c>
      <c r="U42">
        <f>ROUND(IF(VLOOKUP($A42,EnrollData2324,'2324 Jun 24 Enroll'!E$1,FALSE)='District Calculations'!$D$12,VLOOKUP($A42,EnrollData2324,'2324 Jun 24 Enroll'!E$1,FALSE),'District Calculations'!$D$12)*S42,3)</f>
        <v>15.148</v>
      </c>
      <c r="V42">
        <f>ROUND(IF(VLOOKUP($A42,EnrollData2324,'2324 Jun 24 Enroll'!F$1,FALSE)='District Calculations'!$D$13,VLOOKUP($A42,EnrollData2324,'2324 Jun 24 Enroll'!F$1,FALSE),'District Calculations'!$D$13)*Apport_224A2324s,3)</f>
        <v>3.7029999999999998</v>
      </c>
      <c r="W42">
        <f>ROUND(IF(VLOOKUP($A42,EnrollData2324,'2324 Jun 24 Enroll'!G$1,FALSE)='District Calculations'!$D$14,VLOOKUP($A42,EnrollData2324,'2324 Jun 24 Enroll'!G$1,FALSE),'District Calculations'!$D$14)*Apport_212A2324s,3)</f>
        <v>8.2089999999999996</v>
      </c>
      <c r="X42">
        <f>ROUND(IF(VLOOKUP($A42,EnrollData2324,'2324 Jun 24 Enroll'!H$1,FALSE)='District Calculations'!$D$14,VLOOKUP($A42,EnrollData2324,'2324 Jun 24 Enroll'!H$1,FALSE),'District Calculations'!$D$14)*Apport_215A2324s,3)</f>
        <v>8.0969999999999995</v>
      </c>
      <c r="Y42">
        <f>ROUND(IF(VLOOKUP($A42,EnrollData2324,'2324 Jun 24 Enroll'!I$1,FALSE)+VLOOKUP($A42,EnrollData2324,'2324 Jun 24 Enroll'!M$1,FALSE)-VLOOKUP($A42,EnrollData2324,'2324 Jun 24 Enroll'!J$1,FALSE)='District Calculations'!$D$16+'District Calculations'!$D$25-'District Calculations'!$D$17,VLOOKUP($A42,EnrollData2324,'2324 Jun 24 Enroll'!I$1,FALSE)+VLOOKUP($A42,EnrollData2324,'2324 Jun 24 Enroll'!M$1,FALSE)-VLOOKUP($A42,EnrollData2324,'2324 Jun 24 Enroll'!J$1,FALSE),'District Calculations'!$D$16+'District Calculations'!$D$25-'District Calculations'!$D$17)*Apport_218A2324s,3)</f>
        <v>20.224</v>
      </c>
      <c r="Z42">
        <f>ROUND(SUM(T42:Y42)/IF(VLOOKUP($A42,EnrollData2324,'2324 Jun 24 Enroll'!M$1,FALSE)+VLOOKUP($A42,EnrollData2324,'2324 Jun 24 Enroll'!D$1,FALSE)='District Calculations'!$D$25+'District Calculations'!$D$11,VLOOKUP($A42,EnrollData2324,'2324 Jun 24 Enroll'!M$1,FALSE)+VLOOKUP($A42,EnrollData2324,'2324 Jun 24 Enroll'!D$1,FALSE),'District Calculations'!$D$25+'District Calculations'!$D$11),5)</f>
        <v>1.7749999999999998E-2</v>
      </c>
      <c r="AA42" s="6" cm="1">
        <f t="array" ref="AA42">ROUND($J42*CIS_Base_Salary2324s*VLOOKUP($A42,EnrollData2324,'2324 Jun 24 Enroll'!S$1,FALSE),2)</f>
        <v>4038.59</v>
      </c>
      <c r="AB42" s="6" cm="1">
        <f t="array" ref="AB42">ROUND($J42*CIS_Inc_Salary2324s*(VLOOKUP($A42,EnrollData2324,'2324 Jun 24 Enroll'!T$1,FALSE)+VLOOKUP($A42,EnrollData2324,'2324 Jun 24 Enroll'!U$1,FALSE)),2)-AA42</f>
        <v>149.43000000000029</v>
      </c>
      <c r="AC42" s="6" cm="1">
        <f t="array" ref="AC42">ROUND($R42*CAS_Base_Salary2324s*VLOOKUP($A42,EnrollData2324,'2324 Jun 24 Enroll'!S$1,FALSE),2)</f>
        <v>443.7</v>
      </c>
      <c r="AD42" s="6" cm="1">
        <f t="array" ref="AD42">ROUND($R42*CAS_Inc_Salary2324s*VLOOKUP($A42,EnrollData2324,'2324 Jun 24 Enroll'!T$1,FALSE),2)-AC42</f>
        <v>16.410000000000025</v>
      </c>
      <c r="AE42" s="6" cm="1">
        <f t="array" ref="AE42">ROUND($Z42*CLS_Base_Salary2324s*VLOOKUP($A42,EnrollData2324,'2324 Jun 24 Enroll'!S$1,FALSE),2)</f>
        <v>926.07</v>
      </c>
      <c r="AF42" s="6" cm="1">
        <f t="array" ref="AF42">ROUND($Z42*CLS_Inc_Salary2324s*VLOOKUP($A42,EnrollData2324,'2324 Jun 24 Enroll'!T$1,FALSE),2)-AE42</f>
        <v>34.259999999999991</v>
      </c>
      <c r="AG42" cm="1">
        <f t="array" ref="AG42">ROUND(($J42+$R42)*Apport_124X2324s,2)</f>
        <v>734.29</v>
      </c>
      <c r="AH42" s="69">
        <f t="shared" si="8"/>
        <v>68.700000000000045</v>
      </c>
      <c r="AI42" cm="1">
        <f t="array" ref="AI42">ROUND($Z42*Apport_124X2324s,2)</f>
        <v>218.54</v>
      </c>
      <c r="AJ42" cm="1">
        <f t="array" ref="AJ42">ROUND($Z42*Apport_621X2324s*Apport_125X2324s,2)-AI42</f>
        <v>116.51000000000002</v>
      </c>
      <c r="AK42" cm="1">
        <f t="array" ref="AK42">ROUND((AA42+AC42)*Apport_126X2324s,2)</f>
        <v>805.47</v>
      </c>
      <c r="AL42" cm="1">
        <f t="array" ref="AL42">ROUND((AB42+AD42)*Apport_127X2324s,2)</f>
        <v>28.74</v>
      </c>
      <c r="AM42" cm="1">
        <f t="array" ref="AM42">ROUND(AE42*Apport_128X2324s,2)</f>
        <v>204.29</v>
      </c>
      <c r="AN42" cm="1">
        <f t="array" ref="AN42">ROUND(AF42*Apport_129X2324s,2)</f>
        <v>6.36</v>
      </c>
      <c r="AO42" cm="1">
        <f t="array" ref="AO42">ROUND(($J42*CIS_Inc_Salary2324s*(VLOOKUP($A42,EnrollData2324,'2324 Jun 24 Enroll'!T$1,FALSE)+VLOOKUP($A42,EnrollData2324,'2324 Jun 24 Enroll'!U$1,FALSE))/Apport_613Xpd)*Apport_614Xpd,2)</f>
        <v>69.8</v>
      </c>
      <c r="AP42" cm="1">
        <f t="array" ref="AP42">ROUND(AO42*Apport_127X2324s,2)</f>
        <v>12.1</v>
      </c>
      <c r="AQ42">
        <f t="shared" si="9"/>
        <v>30.93</v>
      </c>
      <c r="AR42" s="6" cm="1">
        <f t="array" ref="AR42">ROUND((VLOOKUP($A42,EnrollData2324,'2324 Jun 24 Enroll'!D$1,FALSE)*Apport_M802324s+VLOOKUP($A42,EnrollData2324,'2324 Jun 24 Enroll'!M$1,FALSE)*Apport_M802324s+(VLOOKUP($A42,EnrollData2324,'2324 Jun 24 Enroll'!P$1,FALSE)+VLOOKUP($A42,EnrollData2324,'2324 Jun 24 Enroll'!Q$1,FALSE)+VLOOKUP($A42,EnrollData2324,'2324 Jun 24 Enroll'!R$1,FALSE)+VLOOKUP($A42,EnrollData2324,'2324 Jun 24 Enroll'!I$1,FALSE)+VLOOKUP($A42,EnrollData2324,'2324 Jun 24 Enroll'!N$1,FALSE)+VLOOKUP($A42,EnrollData2324,'2324 Jun 24 Enroll'!O$1,FALSE)+VLOOKUP($A42,EnrollData2324,'2324 Jun 24 Enroll'!K$1,FALSE)+VLOOKUP($A42,EnrollData2324,'2324 Jun 24 Enroll'!L$1,FALSE))*Apport_M812324s)/(VLOOKUP($A42,EnrollData2324,'2324 Jun 24 Enroll'!M$1,FALSE)+VLOOKUP($A42,EnrollData2324,'2324 Jun 24 Enroll'!D$1,FALSE)),2)</f>
        <v>1575.38</v>
      </c>
      <c r="AS42" s="7">
        <f t="shared" si="11"/>
        <v>9479.57</v>
      </c>
    </row>
    <row r="43" spans="1:46">
      <c r="A43" s="40" t="s">
        <v>685</v>
      </c>
      <c r="B43" s="40" t="s">
        <v>686</v>
      </c>
      <c r="C43" s="11">
        <f>ROUND((IFERROR((1/IF(VLOOKUP($A43,EnrollData2324,28,FALSE)='District Calculations'!$D$10,VLOOKUP($A43,EnrollData2324,28,FALSE),'District Calculations'!$D$10))*(1+Apport_Z315),0))+Apport_201A2324s,6)</f>
        <v>7.3449E-2</v>
      </c>
      <c r="D43">
        <f>ROUND(IF(VLOOKUP($A43,EnrollData2324,'2324 Jun 24 Enroll'!D$1,FALSE)='District Calculations'!$D$11,VLOOKUP($A43,EnrollData2324,'2324 Jun 24 Enroll'!D$1,FALSE),'District Calculations'!$D$11)*C43,3)</f>
        <v>0</v>
      </c>
      <c r="E43">
        <f>ROUND(IF(VLOOKUP($A43,EnrollData2324,'2324 Jun 24 Enroll'!E$1,FALSE)='District Calculations'!$D$12,VLOOKUP($A43,EnrollData2324,'2324 Jun 24 Enroll'!E$1,FALSE),'District Calculations'!$D$12)*C43,3)</f>
        <v>59.53</v>
      </c>
      <c r="F43">
        <f>ROUND(IF(VLOOKUP($A43,EnrollData2324,'2324 Jun 24 Enroll'!F$1,FALSE)='District Calculations'!$D$13,VLOOKUP($A43,EnrollData2324,'2324 Jun 24 Enroll'!F$1,FALSE),'District Calculations'!$D$13)*Apport_222A2324s,3)</f>
        <v>10.101000000000001</v>
      </c>
      <c r="G43">
        <f>ROUND(IF(VLOOKUP($A43,EnrollData2324,'2324 Jun 24 Enroll'!G$1,FALSE)='District Calculations'!$D$14,VLOOKUP($A43,EnrollData2324,'2324 Jun 24 Enroll'!G$1,FALSE),'District Calculations'!$D$14)*Apport_210A2324s,3)</f>
        <v>22.395</v>
      </c>
      <c r="H43">
        <f>ROUND(IF(VLOOKUP($A43,EnrollData2324,'2324 Jun 24 Enroll'!H$1,FALSE)='District Calculations'!$D$15,VLOOKUP($A43,EnrollData2324,'2324 Jun 24 Enroll'!H$1,FALSE),'District Calculations'!$D$15)*Apport_213A2324s,3)</f>
        <v>23.091999999999999</v>
      </c>
      <c r="I43">
        <f>ROUND(IF(VLOOKUP($A43,EnrollData2324,'2324 Jun 24 Enroll'!I$1,FALSE)+VLOOKUP($A43,EnrollData2324,'2324 Jun 24 Enroll'!M$1,FALSE)-VLOOKUP($A43,EnrollData2324,'2324 Jun 24 Enroll'!J$1,FALSE)='District Calculations'!$D$16+'District Calculations'!$D$25-'District Calculations'!$D$17,VLOOKUP($A43,EnrollData2324,'2324 Jun 24 Enroll'!I$1,FALSE)+VLOOKUP($A43,EnrollData2324,'2324 Jun 24 Enroll'!M$1,FALSE)-VLOOKUP($A43,EnrollData2324,'2324 Jun 24 Enroll'!J$1,FALSE),'District Calculations'!$D$16+'District Calculations'!$D$25-'District Calculations'!$D$17)*Apport_216A2324s,3)</f>
        <v>58.183999999999997</v>
      </c>
      <c r="J43">
        <f>ROUND(SUM(D43:I43)/(IF(VLOOKUP($A43,EnrollData2324,'2324 Jun 24 Enroll'!M$1,FALSE)='District Calculations'!$D$25,VLOOKUP($A43,EnrollData2324,'2324 Jun 24 Enroll'!M$1,FALSE),'District Calculations'!$D$25)+IF(VLOOKUP($A43,EnrollData2324,'2324 Jun 24 Enroll'!D$1,FALSE)='District Calculations'!$D$11,VLOOKUP($A43,EnrollData2324,'2324 Jun 24 Enroll'!D$1,FALSE),'District Calculations'!$D$11)),5)</f>
        <v>5.5530000000000003E-2</v>
      </c>
      <c r="K43" s="11">
        <f t="shared" si="6"/>
        <v>4.3699999999999998E-3</v>
      </c>
      <c r="L43">
        <f>ROUND(IF(VLOOKUP($A43,EnrollData2324,'2324 Jun 24 Enroll'!D$1,FALSE)='District Calculations'!$D$11,VLOOKUP($A43,EnrollData2324,'2324 Jun 24 Enroll'!D$1,FALSE),'District Calculations'!$D$11)*K43,3)</f>
        <v>0</v>
      </c>
      <c r="M43">
        <f>ROUND(IF(VLOOKUP($A43,EnrollData2324,'2324 Jun 24 Enroll'!E$1,FALSE)='District Calculations'!$D$12,VLOOKUP($A43,EnrollData2324,'2324 Jun 24 Enroll'!E$1,FALSE),'District Calculations'!$D$12)*K43,3)</f>
        <v>3.5419999999999998</v>
      </c>
      <c r="N43">
        <f>ROUND(IF(VLOOKUP($A43,EnrollData2324,'2324 Jun 24 Enroll'!F$1,FALSE)='District Calculations'!$D$13,VLOOKUP($A43,EnrollData2324,'2324 Jun 24 Enroll'!F$1,FALSE),'District Calculations'!$D$13)*Apport_223A2324s,3)</f>
        <v>0.84299999999999997</v>
      </c>
      <c r="O43">
        <f>ROUND(IF(VLOOKUP($A43,EnrollData2324,'2324 Jun 24 Enroll'!G$1,FALSE)='District Calculations'!$D$14,VLOOKUP($A43,EnrollData2324,'2324 Jun 24 Enroll'!G$1,FALSE),'District Calculations'!$D$14)*Apport_211A2324s,3)</f>
        <v>1.87</v>
      </c>
      <c r="P43">
        <f>ROUND(IF(VLOOKUP($A43,EnrollData2324,'2324 Jun 24 Enroll'!H$1,FALSE)='District Calculations'!$D$14,VLOOKUP($A43,EnrollData2324,'2324 Jun 24 Enroll'!H$1,FALSE),'District Calculations'!$D$14)*Apport_214A2324s,3)</f>
        <v>1.8680000000000001</v>
      </c>
      <c r="Q43">
        <f>ROUND(IF(VLOOKUP($A43,EnrollData2324,'2324 Jun 24 Enroll'!I$1,FALSE)+VLOOKUP($A43,EnrollData2324,'2324 Jun 24 Enroll'!M$1,FALSE)-VLOOKUP($A43,EnrollData2324,'2324 Jun 24 Enroll'!J$1,FALSE)='District Calculations'!$D$16+'District Calculations'!$D$25-'District Calculations'!$D$17,VLOOKUP($A43,EnrollData2324,'2324 Jun 24 Enroll'!I$1,FALSE)+VLOOKUP($A43,EnrollData2324,'2324 Jun 24 Enroll'!M$1,FALSE)-VLOOKUP($A43,EnrollData2324,'2324 Jun 24 Enroll'!J$1,FALSE),'District Calculations'!$D$16+'District Calculations'!$D$25-'District Calculations'!$D$17)*Apport_217A2324s,3)</f>
        <v>4.702</v>
      </c>
      <c r="R43">
        <f>ROUND(SUM(L43:Q43)/IF(VLOOKUP($A43,EnrollData2324,'2324 Jun 24 Enroll'!M$1,FALSE)+VLOOKUP($A43,EnrollData2324,'2324 Jun 24 Enroll'!D$1,FALSE)='District Calculations'!$D$25+'District Calculations'!$D$11,VLOOKUP($A43,EnrollData2324,'2324 Jun 24 Enroll'!M$1,FALSE)+VLOOKUP($A43,EnrollData2324,'2324 Jun 24 Enroll'!D$1,FALSE),'District Calculations'!$D$25+'District Calculations'!$D$11),5)</f>
        <v>4.1099999999999999E-3</v>
      </c>
      <c r="S43" s="11">
        <f t="shared" si="7"/>
        <v>1.8689600000000001E-2</v>
      </c>
      <c r="T43">
        <f>ROUND(IF(VLOOKUP($A43,EnrollData2324,'2324 Jun 24 Enroll'!D$1,FALSE)='District Calculations'!$D$11,VLOOKUP($A43,EnrollData2324,'2324 Jun 24 Enroll'!D$1,FALSE),'District Calculations'!$D$11)*S43,3)</f>
        <v>0</v>
      </c>
      <c r="U43">
        <f>ROUND(IF(VLOOKUP($A43,EnrollData2324,'2324 Jun 24 Enroll'!E$1,FALSE)='District Calculations'!$D$12,VLOOKUP($A43,EnrollData2324,'2324 Jun 24 Enroll'!E$1,FALSE),'District Calculations'!$D$12)*S43,3)</f>
        <v>15.148</v>
      </c>
      <c r="V43">
        <f>ROUND(IF(VLOOKUP($A43,EnrollData2324,'2324 Jun 24 Enroll'!F$1,FALSE)='District Calculations'!$D$13,VLOOKUP($A43,EnrollData2324,'2324 Jun 24 Enroll'!F$1,FALSE),'District Calculations'!$D$13)*Apport_224A2324s,3)</f>
        <v>3.7029999999999998</v>
      </c>
      <c r="W43">
        <f>ROUND(IF(VLOOKUP($A43,EnrollData2324,'2324 Jun 24 Enroll'!G$1,FALSE)='District Calculations'!$D$14,VLOOKUP($A43,EnrollData2324,'2324 Jun 24 Enroll'!G$1,FALSE),'District Calculations'!$D$14)*Apport_212A2324s,3)</f>
        <v>8.2089999999999996</v>
      </c>
      <c r="X43">
        <f>ROUND(IF(VLOOKUP($A43,EnrollData2324,'2324 Jun 24 Enroll'!H$1,FALSE)='District Calculations'!$D$14,VLOOKUP($A43,EnrollData2324,'2324 Jun 24 Enroll'!H$1,FALSE),'District Calculations'!$D$14)*Apport_215A2324s,3)</f>
        <v>8.0969999999999995</v>
      </c>
      <c r="Y43">
        <f>ROUND(IF(VLOOKUP($A43,EnrollData2324,'2324 Jun 24 Enroll'!I$1,FALSE)+VLOOKUP($A43,EnrollData2324,'2324 Jun 24 Enroll'!M$1,FALSE)-VLOOKUP($A43,EnrollData2324,'2324 Jun 24 Enroll'!J$1,FALSE)='District Calculations'!$D$16+'District Calculations'!$D$25-'District Calculations'!$D$17,VLOOKUP($A43,EnrollData2324,'2324 Jun 24 Enroll'!I$1,FALSE)+VLOOKUP($A43,EnrollData2324,'2324 Jun 24 Enroll'!M$1,FALSE)-VLOOKUP($A43,EnrollData2324,'2324 Jun 24 Enroll'!J$1,FALSE),'District Calculations'!$D$16+'District Calculations'!$D$25-'District Calculations'!$D$17)*Apport_218A2324s,3)</f>
        <v>20.224</v>
      </c>
      <c r="Z43">
        <f>ROUND(SUM(T43:Y43)/IF(VLOOKUP($A43,EnrollData2324,'2324 Jun 24 Enroll'!M$1,FALSE)+VLOOKUP($A43,EnrollData2324,'2324 Jun 24 Enroll'!D$1,FALSE)='District Calculations'!$D$25+'District Calculations'!$D$11,VLOOKUP($A43,EnrollData2324,'2324 Jun 24 Enroll'!M$1,FALSE)+VLOOKUP($A43,EnrollData2324,'2324 Jun 24 Enroll'!D$1,FALSE),'District Calculations'!$D$25+'District Calculations'!$D$11),5)</f>
        <v>1.7749999999999998E-2</v>
      </c>
      <c r="AA43" s="6" cm="1">
        <f t="array" ref="AA43">ROUND($J43*CIS_Base_Salary2324s*VLOOKUP($A43,EnrollData2324,'2324 Jun 24 Enroll'!S$1,FALSE),2)</f>
        <v>4038.59</v>
      </c>
      <c r="AB43" s="6" cm="1">
        <f t="array" ref="AB43">ROUND($J43*CIS_Inc_Salary2324s*(VLOOKUP($A43,EnrollData2324,'2324 Jun 24 Enroll'!T$1,FALSE)+VLOOKUP($A43,EnrollData2324,'2324 Jun 24 Enroll'!U$1,FALSE)),2)-AA43</f>
        <v>149.43000000000029</v>
      </c>
      <c r="AC43" s="6" cm="1">
        <f t="array" ref="AC43">ROUND($R43*CAS_Base_Salary2324s*VLOOKUP($A43,EnrollData2324,'2324 Jun 24 Enroll'!S$1,FALSE),2)</f>
        <v>443.7</v>
      </c>
      <c r="AD43" s="6" cm="1">
        <f t="array" ref="AD43">ROUND($R43*CAS_Inc_Salary2324s*VLOOKUP($A43,EnrollData2324,'2324 Jun 24 Enroll'!T$1,FALSE),2)-AC43</f>
        <v>16.410000000000025</v>
      </c>
      <c r="AE43" s="6" cm="1">
        <f t="array" ref="AE43">ROUND($Z43*CLS_Base_Salary2324s*VLOOKUP($A43,EnrollData2324,'2324 Jun 24 Enroll'!S$1,FALSE),2)</f>
        <v>926.07</v>
      </c>
      <c r="AF43" s="6" cm="1">
        <f t="array" ref="AF43">ROUND($Z43*CLS_Inc_Salary2324s*VLOOKUP($A43,EnrollData2324,'2324 Jun 24 Enroll'!T$1,FALSE),2)-AE43</f>
        <v>34.259999999999991</v>
      </c>
      <c r="AG43" cm="1">
        <f t="array" ref="AG43">ROUND(($J43+$R43)*Apport_124X2324s,2)</f>
        <v>734.29</v>
      </c>
      <c r="AH43" s="69">
        <f t="shared" si="8"/>
        <v>68.700000000000045</v>
      </c>
      <c r="AI43" cm="1">
        <f t="array" ref="AI43">ROUND($Z43*Apport_124X2324s,2)</f>
        <v>218.54</v>
      </c>
      <c r="AJ43" cm="1">
        <f t="array" ref="AJ43">ROUND($Z43*Apport_621X2324s*Apport_125X2324s,2)-AI43</f>
        <v>116.51000000000002</v>
      </c>
      <c r="AK43" cm="1">
        <f t="array" ref="AK43">ROUND((AA43+AC43)*Apport_126X2324s,2)</f>
        <v>805.47</v>
      </c>
      <c r="AL43" cm="1">
        <f t="array" ref="AL43">ROUND((AB43+AD43)*Apport_127X2324s,2)</f>
        <v>28.74</v>
      </c>
      <c r="AM43" cm="1">
        <f t="array" ref="AM43">ROUND(AE43*Apport_128X2324s,2)</f>
        <v>204.29</v>
      </c>
      <c r="AN43" cm="1">
        <f t="array" ref="AN43">ROUND(AF43*Apport_129X2324s,2)</f>
        <v>6.36</v>
      </c>
      <c r="AO43" cm="1">
        <f t="array" ref="AO43">ROUND(($J43*CIS_Inc_Salary2324s*(VLOOKUP($A43,EnrollData2324,'2324 Jun 24 Enroll'!T$1,FALSE)+VLOOKUP($A43,EnrollData2324,'2324 Jun 24 Enroll'!U$1,FALSE))/Apport_613Xpd)*Apport_614Xpd,2)</f>
        <v>69.8</v>
      </c>
      <c r="AP43" cm="1">
        <f t="array" ref="AP43">ROUND(AO43*Apport_127X2324s,2)</f>
        <v>12.1</v>
      </c>
      <c r="AQ43">
        <f t="shared" si="9"/>
        <v>30.93</v>
      </c>
      <c r="AR43" s="6" cm="1">
        <f t="array" ref="AR43">ROUND((VLOOKUP($A43,EnrollData2324,'2324 Jun 24 Enroll'!D$1,FALSE)*Apport_M802324s+VLOOKUP($A43,EnrollData2324,'2324 Jun 24 Enroll'!M$1,FALSE)*Apport_M802324s+(VLOOKUP($A43,EnrollData2324,'2324 Jun 24 Enroll'!P$1,FALSE)+VLOOKUP($A43,EnrollData2324,'2324 Jun 24 Enroll'!Q$1,FALSE)+VLOOKUP($A43,EnrollData2324,'2324 Jun 24 Enroll'!R$1,FALSE)+VLOOKUP($A43,EnrollData2324,'2324 Jun 24 Enroll'!I$1,FALSE)+VLOOKUP($A43,EnrollData2324,'2324 Jun 24 Enroll'!N$1,FALSE)+VLOOKUP($A43,EnrollData2324,'2324 Jun 24 Enroll'!O$1,FALSE)+VLOOKUP($A43,EnrollData2324,'2324 Jun 24 Enroll'!K$1,FALSE)+VLOOKUP($A43,EnrollData2324,'2324 Jun 24 Enroll'!L$1,FALSE))*Apport_M812324s)/(VLOOKUP($A43,EnrollData2324,'2324 Jun 24 Enroll'!M$1,FALSE)+VLOOKUP($A43,EnrollData2324,'2324 Jun 24 Enroll'!D$1,FALSE)),2)</f>
        <v>1504.44</v>
      </c>
      <c r="AS43" s="7">
        <f t="shared" si="11"/>
        <v>9408.630000000001</v>
      </c>
    </row>
    <row r="44" spans="1:46">
      <c r="A44" s="40" t="s">
        <v>530</v>
      </c>
      <c r="B44" s="40" t="s">
        <v>531</v>
      </c>
      <c r="C44" s="11">
        <f>ROUND((IFERROR((1/IF(VLOOKUP($A44,EnrollData2324,28,FALSE)='District Calculations'!$D$10,VLOOKUP($A44,EnrollData2324,28,FALSE),'District Calculations'!$D$10))*(1+Apport_Z315),0))+Apport_201A2324s,6)</f>
        <v>7.3449E-2</v>
      </c>
      <c r="D44">
        <f>ROUND(IF(VLOOKUP($A44,EnrollData2324,'2324 Jun 24 Enroll'!D$1,FALSE)='District Calculations'!$D$11,VLOOKUP($A44,EnrollData2324,'2324 Jun 24 Enroll'!D$1,FALSE),'District Calculations'!$D$11)*C44,3)</f>
        <v>0</v>
      </c>
      <c r="E44">
        <f>ROUND(IF(VLOOKUP($A44,EnrollData2324,'2324 Jun 24 Enroll'!E$1,FALSE)='District Calculations'!$D$12,VLOOKUP($A44,EnrollData2324,'2324 Jun 24 Enroll'!E$1,FALSE),'District Calculations'!$D$12)*C44,3)</f>
        <v>59.53</v>
      </c>
      <c r="F44">
        <f>ROUND(IF(VLOOKUP($A44,EnrollData2324,'2324 Jun 24 Enroll'!F$1,FALSE)='District Calculations'!$D$13,VLOOKUP($A44,EnrollData2324,'2324 Jun 24 Enroll'!F$1,FALSE),'District Calculations'!$D$13)*Apport_222A2324s,3)</f>
        <v>10.101000000000001</v>
      </c>
      <c r="G44">
        <f>ROUND(IF(VLOOKUP($A44,EnrollData2324,'2324 Jun 24 Enroll'!G$1,FALSE)='District Calculations'!$D$14,VLOOKUP($A44,EnrollData2324,'2324 Jun 24 Enroll'!G$1,FALSE),'District Calculations'!$D$14)*Apport_210A2324s,3)</f>
        <v>22.395</v>
      </c>
      <c r="H44">
        <f>ROUND(IF(VLOOKUP($A44,EnrollData2324,'2324 Jun 24 Enroll'!H$1,FALSE)='District Calculations'!$D$15,VLOOKUP($A44,EnrollData2324,'2324 Jun 24 Enroll'!H$1,FALSE),'District Calculations'!$D$15)*Apport_213A2324s,3)</f>
        <v>23.091999999999999</v>
      </c>
      <c r="I44">
        <f>ROUND(IF(VLOOKUP($A44,EnrollData2324,'2324 Jun 24 Enroll'!I$1,FALSE)+VLOOKUP($A44,EnrollData2324,'2324 Jun 24 Enroll'!M$1,FALSE)-VLOOKUP($A44,EnrollData2324,'2324 Jun 24 Enroll'!J$1,FALSE)='District Calculations'!$D$16+'District Calculations'!$D$25-'District Calculations'!$D$17,VLOOKUP($A44,EnrollData2324,'2324 Jun 24 Enroll'!I$1,FALSE)+VLOOKUP($A44,EnrollData2324,'2324 Jun 24 Enroll'!M$1,FALSE)-VLOOKUP($A44,EnrollData2324,'2324 Jun 24 Enroll'!J$1,FALSE),'District Calculations'!$D$16+'District Calculations'!$D$25-'District Calculations'!$D$17)*Apport_216A2324s,3)</f>
        <v>58.183999999999997</v>
      </c>
      <c r="J44">
        <f>ROUND(SUM(D44:I44)/(IF(VLOOKUP($A44,EnrollData2324,'2324 Jun 24 Enroll'!M$1,FALSE)='District Calculations'!$D$25,VLOOKUP($A44,EnrollData2324,'2324 Jun 24 Enroll'!M$1,FALSE),'District Calculations'!$D$25)+IF(VLOOKUP($A44,EnrollData2324,'2324 Jun 24 Enroll'!D$1,FALSE)='District Calculations'!$D$11,VLOOKUP($A44,EnrollData2324,'2324 Jun 24 Enroll'!D$1,FALSE),'District Calculations'!$D$11)),5)</f>
        <v>5.5530000000000003E-2</v>
      </c>
      <c r="K44" s="11">
        <f t="shared" si="6"/>
        <v>4.3699999999999998E-3</v>
      </c>
      <c r="L44">
        <f>ROUND(IF(VLOOKUP($A44,EnrollData2324,'2324 Jun 24 Enroll'!D$1,FALSE)='District Calculations'!$D$11,VLOOKUP($A44,EnrollData2324,'2324 Jun 24 Enroll'!D$1,FALSE),'District Calculations'!$D$11)*K44,3)</f>
        <v>0</v>
      </c>
      <c r="M44">
        <f>ROUND(IF(VLOOKUP($A44,EnrollData2324,'2324 Jun 24 Enroll'!E$1,FALSE)='District Calculations'!$D$12,VLOOKUP($A44,EnrollData2324,'2324 Jun 24 Enroll'!E$1,FALSE),'District Calculations'!$D$12)*K44,3)</f>
        <v>3.5419999999999998</v>
      </c>
      <c r="N44">
        <f>ROUND(IF(VLOOKUP($A44,EnrollData2324,'2324 Jun 24 Enroll'!F$1,FALSE)='District Calculations'!$D$13,VLOOKUP($A44,EnrollData2324,'2324 Jun 24 Enroll'!F$1,FALSE),'District Calculations'!$D$13)*Apport_223A2324s,3)</f>
        <v>0.84299999999999997</v>
      </c>
      <c r="O44">
        <f>ROUND(IF(VLOOKUP($A44,EnrollData2324,'2324 Jun 24 Enroll'!G$1,FALSE)='District Calculations'!$D$14,VLOOKUP($A44,EnrollData2324,'2324 Jun 24 Enroll'!G$1,FALSE),'District Calculations'!$D$14)*Apport_211A2324s,3)</f>
        <v>1.87</v>
      </c>
      <c r="P44">
        <f>ROUND(IF(VLOOKUP($A44,EnrollData2324,'2324 Jun 24 Enroll'!H$1,FALSE)='District Calculations'!$D$14,VLOOKUP($A44,EnrollData2324,'2324 Jun 24 Enroll'!H$1,FALSE),'District Calculations'!$D$14)*Apport_214A2324s,3)</f>
        <v>1.8680000000000001</v>
      </c>
      <c r="Q44">
        <f>ROUND(IF(VLOOKUP($A44,EnrollData2324,'2324 Jun 24 Enroll'!I$1,FALSE)+VLOOKUP($A44,EnrollData2324,'2324 Jun 24 Enroll'!M$1,FALSE)-VLOOKUP($A44,EnrollData2324,'2324 Jun 24 Enroll'!J$1,FALSE)='District Calculations'!$D$16+'District Calculations'!$D$25-'District Calculations'!$D$17,VLOOKUP($A44,EnrollData2324,'2324 Jun 24 Enroll'!I$1,FALSE)+VLOOKUP($A44,EnrollData2324,'2324 Jun 24 Enroll'!M$1,FALSE)-VLOOKUP($A44,EnrollData2324,'2324 Jun 24 Enroll'!J$1,FALSE),'District Calculations'!$D$16+'District Calculations'!$D$25-'District Calculations'!$D$17)*Apport_217A2324s,3)</f>
        <v>4.702</v>
      </c>
      <c r="R44">
        <f>ROUND(SUM(L44:Q44)/IF(VLOOKUP($A44,EnrollData2324,'2324 Jun 24 Enroll'!M$1,FALSE)+VLOOKUP($A44,EnrollData2324,'2324 Jun 24 Enroll'!D$1,FALSE)='District Calculations'!$D$25+'District Calculations'!$D$11,VLOOKUP($A44,EnrollData2324,'2324 Jun 24 Enroll'!M$1,FALSE)+VLOOKUP($A44,EnrollData2324,'2324 Jun 24 Enroll'!D$1,FALSE),'District Calculations'!$D$25+'District Calculations'!$D$11),5)</f>
        <v>4.1099999999999999E-3</v>
      </c>
      <c r="S44" s="11">
        <f t="shared" si="7"/>
        <v>1.8689600000000001E-2</v>
      </c>
      <c r="T44">
        <f>ROUND(IF(VLOOKUP($A44,EnrollData2324,'2324 Jun 24 Enroll'!D$1,FALSE)='District Calculations'!$D$11,VLOOKUP($A44,EnrollData2324,'2324 Jun 24 Enroll'!D$1,FALSE),'District Calculations'!$D$11)*S44,3)</f>
        <v>0</v>
      </c>
      <c r="U44">
        <f>ROUND(IF(VLOOKUP($A44,EnrollData2324,'2324 Jun 24 Enroll'!E$1,FALSE)='District Calculations'!$D$12,VLOOKUP($A44,EnrollData2324,'2324 Jun 24 Enroll'!E$1,FALSE),'District Calculations'!$D$12)*S44,3)</f>
        <v>15.148</v>
      </c>
      <c r="V44">
        <f>ROUND(IF(VLOOKUP($A44,EnrollData2324,'2324 Jun 24 Enroll'!F$1,FALSE)='District Calculations'!$D$13,VLOOKUP($A44,EnrollData2324,'2324 Jun 24 Enroll'!F$1,FALSE),'District Calculations'!$D$13)*Apport_224A2324s,3)</f>
        <v>3.7029999999999998</v>
      </c>
      <c r="W44">
        <f>ROUND(IF(VLOOKUP($A44,EnrollData2324,'2324 Jun 24 Enroll'!G$1,FALSE)='District Calculations'!$D$14,VLOOKUP($A44,EnrollData2324,'2324 Jun 24 Enroll'!G$1,FALSE),'District Calculations'!$D$14)*Apport_212A2324s,3)</f>
        <v>8.2089999999999996</v>
      </c>
      <c r="X44">
        <f>ROUND(IF(VLOOKUP($A44,EnrollData2324,'2324 Jun 24 Enroll'!H$1,FALSE)='District Calculations'!$D$14,VLOOKUP($A44,EnrollData2324,'2324 Jun 24 Enroll'!H$1,FALSE),'District Calculations'!$D$14)*Apport_215A2324s,3)</f>
        <v>8.0969999999999995</v>
      </c>
      <c r="Y44">
        <f>ROUND(IF(VLOOKUP($A44,EnrollData2324,'2324 Jun 24 Enroll'!I$1,FALSE)+VLOOKUP($A44,EnrollData2324,'2324 Jun 24 Enroll'!M$1,FALSE)-VLOOKUP($A44,EnrollData2324,'2324 Jun 24 Enroll'!J$1,FALSE)='District Calculations'!$D$16+'District Calculations'!$D$25-'District Calculations'!$D$17,VLOOKUP($A44,EnrollData2324,'2324 Jun 24 Enroll'!I$1,FALSE)+VLOOKUP($A44,EnrollData2324,'2324 Jun 24 Enroll'!M$1,FALSE)-VLOOKUP($A44,EnrollData2324,'2324 Jun 24 Enroll'!J$1,FALSE),'District Calculations'!$D$16+'District Calculations'!$D$25-'District Calculations'!$D$17)*Apport_218A2324s,3)</f>
        <v>20.224</v>
      </c>
      <c r="Z44">
        <f>ROUND(SUM(T44:Y44)/IF(VLOOKUP($A44,EnrollData2324,'2324 Jun 24 Enroll'!M$1,FALSE)+VLOOKUP($A44,EnrollData2324,'2324 Jun 24 Enroll'!D$1,FALSE)='District Calculations'!$D$25+'District Calculations'!$D$11,VLOOKUP($A44,EnrollData2324,'2324 Jun 24 Enroll'!M$1,FALSE)+VLOOKUP($A44,EnrollData2324,'2324 Jun 24 Enroll'!D$1,FALSE),'District Calculations'!$D$25+'District Calculations'!$D$11),5)</f>
        <v>1.7749999999999998E-2</v>
      </c>
      <c r="AA44" s="6" cm="1">
        <f t="array" ref="AA44">ROUND($J44*CIS_Base_Salary2324s*VLOOKUP($A44,EnrollData2324,'2324 Jun 24 Enroll'!S$1,FALSE),2)</f>
        <v>4038.59</v>
      </c>
      <c r="AB44" s="6" cm="1">
        <f t="array" ref="AB44">ROUND($J44*CIS_Inc_Salary2324s*(VLOOKUP($A44,EnrollData2324,'2324 Jun 24 Enroll'!T$1,FALSE)+VLOOKUP($A44,EnrollData2324,'2324 Jun 24 Enroll'!U$1,FALSE)),2)-AA44</f>
        <v>316.94999999999982</v>
      </c>
      <c r="AC44" s="6" cm="1">
        <f t="array" ref="AC44">ROUND($R44*CAS_Base_Salary2324s*VLOOKUP($A44,EnrollData2324,'2324 Jun 24 Enroll'!S$1,FALSE),2)</f>
        <v>443.7</v>
      </c>
      <c r="AD44" s="6" cm="1">
        <f t="array" ref="AD44">ROUND($R44*CAS_Inc_Salary2324s*VLOOKUP($A44,EnrollData2324,'2324 Jun 24 Enroll'!T$1,FALSE),2)-AC44</f>
        <v>16.410000000000025</v>
      </c>
      <c r="AE44" s="6" cm="1">
        <f t="array" ref="AE44">ROUND($Z44*CLS_Base_Salary2324s*VLOOKUP($A44,EnrollData2324,'2324 Jun 24 Enroll'!S$1,FALSE),2)</f>
        <v>926.07</v>
      </c>
      <c r="AF44" s="6" cm="1">
        <f t="array" ref="AF44">ROUND($Z44*CLS_Inc_Salary2324s*VLOOKUP($A44,EnrollData2324,'2324 Jun 24 Enroll'!T$1,FALSE),2)-AE44</f>
        <v>34.259999999999991</v>
      </c>
      <c r="AG44" cm="1">
        <f t="array" ref="AG44">ROUND(($J44+$R44)*Apport_124X2324s,2)</f>
        <v>734.29</v>
      </c>
      <c r="AH44" s="69">
        <f t="shared" si="8"/>
        <v>68.700000000000045</v>
      </c>
      <c r="AI44" cm="1">
        <f t="array" ref="AI44">ROUND($Z44*Apport_124X2324s,2)</f>
        <v>218.54</v>
      </c>
      <c r="AJ44" cm="1">
        <f t="array" ref="AJ44">ROUND($Z44*Apport_621X2324s*Apport_125X2324s,2)-AI44</f>
        <v>116.51000000000002</v>
      </c>
      <c r="AK44" cm="1">
        <f t="array" ref="AK44">ROUND((AA44+AC44)*Apport_126X2324s,2)</f>
        <v>805.47</v>
      </c>
      <c r="AL44" cm="1">
        <f t="array" ref="AL44">ROUND((AB44+AD44)*Apport_127X2324s,2)</f>
        <v>57.77</v>
      </c>
      <c r="AM44" cm="1">
        <f t="array" ref="AM44">ROUND(AE44*Apport_128X2324s,2)</f>
        <v>204.29</v>
      </c>
      <c r="AN44" cm="1">
        <f t="array" ref="AN44">ROUND(AF44*Apport_129X2324s,2)</f>
        <v>6.36</v>
      </c>
      <c r="AO44" cm="1">
        <f t="array" ref="AO44">ROUND(($J44*CIS_Inc_Salary2324s*(VLOOKUP($A44,EnrollData2324,'2324 Jun 24 Enroll'!T$1,FALSE)+VLOOKUP($A44,EnrollData2324,'2324 Jun 24 Enroll'!U$1,FALSE))/Apport_613Xpd)*Apport_614Xpd,2)</f>
        <v>72.59</v>
      </c>
      <c r="AP44" cm="1">
        <f t="array" ref="AP44">ROUND(AO44*Apport_127X2324s,2)</f>
        <v>12.58</v>
      </c>
      <c r="AQ44">
        <f t="shared" si="9"/>
        <v>30.93</v>
      </c>
      <c r="AR44" s="6" cm="1">
        <f t="array" ref="AR44">ROUND((VLOOKUP($A44,EnrollData2324,'2324 Jun 24 Enroll'!D$1,FALSE)*Apport_M802324s+VLOOKUP($A44,EnrollData2324,'2324 Jun 24 Enroll'!M$1,FALSE)*Apport_M802324s+(VLOOKUP($A44,EnrollData2324,'2324 Jun 24 Enroll'!P$1,FALSE)+VLOOKUP($A44,EnrollData2324,'2324 Jun 24 Enroll'!Q$1,FALSE)+VLOOKUP($A44,EnrollData2324,'2324 Jun 24 Enroll'!R$1,FALSE)+VLOOKUP($A44,EnrollData2324,'2324 Jun 24 Enroll'!I$1,FALSE)+VLOOKUP($A44,EnrollData2324,'2324 Jun 24 Enroll'!N$1,FALSE)+VLOOKUP($A44,EnrollData2324,'2324 Jun 24 Enroll'!O$1,FALSE)+VLOOKUP($A44,EnrollData2324,'2324 Jun 24 Enroll'!K$1,FALSE)+VLOOKUP($A44,EnrollData2324,'2324 Jun 24 Enroll'!L$1,FALSE))*Apport_M812324s)/(VLOOKUP($A44,EnrollData2324,'2324 Jun 24 Enroll'!M$1,FALSE)+VLOOKUP($A44,EnrollData2324,'2324 Jun 24 Enroll'!D$1,FALSE)),2)</f>
        <v>1565.67</v>
      </c>
      <c r="AS44" s="7">
        <f t="shared" si="11"/>
        <v>9669.68</v>
      </c>
    </row>
    <row r="45" spans="1:46">
      <c r="A45" s="40" t="s">
        <v>470</v>
      </c>
      <c r="B45" s="40" t="s">
        <v>471</v>
      </c>
      <c r="C45" s="11">
        <f>ROUND((IFERROR((1/IF(VLOOKUP($A45,EnrollData2324,28,FALSE)='District Calculations'!$D$10,VLOOKUP($A45,EnrollData2324,28,FALSE),'District Calculations'!$D$10))*(1+Apport_Z315),0))+Apport_201A2324s,6)</f>
        <v>7.3449E-2</v>
      </c>
      <c r="D45">
        <f>ROUND(IF(VLOOKUP($A45,EnrollData2324,'2324 Jun 24 Enroll'!D$1,FALSE)='District Calculations'!$D$11,VLOOKUP($A45,EnrollData2324,'2324 Jun 24 Enroll'!D$1,FALSE),'District Calculations'!$D$11)*C45,3)</f>
        <v>0</v>
      </c>
      <c r="E45">
        <f>ROUND(IF(VLOOKUP($A45,EnrollData2324,'2324 Jun 24 Enroll'!E$1,FALSE)='District Calculations'!$D$12,VLOOKUP($A45,EnrollData2324,'2324 Jun 24 Enroll'!E$1,FALSE),'District Calculations'!$D$12)*C45,3)</f>
        <v>59.53</v>
      </c>
      <c r="F45">
        <f>ROUND(IF(VLOOKUP($A45,EnrollData2324,'2324 Jun 24 Enroll'!F$1,FALSE)='District Calculations'!$D$13,VLOOKUP($A45,EnrollData2324,'2324 Jun 24 Enroll'!F$1,FALSE),'District Calculations'!$D$13)*Apport_222A2324s,3)</f>
        <v>10.101000000000001</v>
      </c>
      <c r="G45">
        <f>ROUND(IF(VLOOKUP($A45,EnrollData2324,'2324 Jun 24 Enroll'!G$1,FALSE)='District Calculations'!$D$14,VLOOKUP($A45,EnrollData2324,'2324 Jun 24 Enroll'!G$1,FALSE),'District Calculations'!$D$14)*Apport_210A2324s,3)</f>
        <v>22.395</v>
      </c>
      <c r="H45">
        <f>ROUND(IF(VLOOKUP($A45,EnrollData2324,'2324 Jun 24 Enroll'!H$1,FALSE)='District Calculations'!$D$15,VLOOKUP($A45,EnrollData2324,'2324 Jun 24 Enroll'!H$1,FALSE),'District Calculations'!$D$15)*Apport_213A2324s,3)</f>
        <v>23.091999999999999</v>
      </c>
      <c r="I45">
        <f>ROUND(IF(VLOOKUP($A45,EnrollData2324,'2324 Jun 24 Enroll'!I$1,FALSE)+VLOOKUP($A45,EnrollData2324,'2324 Jun 24 Enroll'!M$1,FALSE)-VLOOKUP($A45,EnrollData2324,'2324 Jun 24 Enroll'!J$1,FALSE)='District Calculations'!$D$16+'District Calculations'!$D$25-'District Calculations'!$D$17,VLOOKUP($A45,EnrollData2324,'2324 Jun 24 Enroll'!I$1,FALSE)+VLOOKUP($A45,EnrollData2324,'2324 Jun 24 Enroll'!M$1,FALSE)-VLOOKUP($A45,EnrollData2324,'2324 Jun 24 Enroll'!J$1,FALSE),'District Calculations'!$D$16+'District Calculations'!$D$25-'District Calculations'!$D$17)*Apport_216A2324s,3)</f>
        <v>58.183999999999997</v>
      </c>
      <c r="J45">
        <f>ROUND(SUM(D45:I45)/(IF(VLOOKUP($A45,EnrollData2324,'2324 Jun 24 Enroll'!M$1,FALSE)='District Calculations'!$D$25,VLOOKUP($A45,EnrollData2324,'2324 Jun 24 Enroll'!M$1,FALSE),'District Calculations'!$D$25)+IF(VLOOKUP($A45,EnrollData2324,'2324 Jun 24 Enroll'!D$1,FALSE)='District Calculations'!$D$11,VLOOKUP($A45,EnrollData2324,'2324 Jun 24 Enroll'!D$1,FALSE),'District Calculations'!$D$11)),5)</f>
        <v>5.5530000000000003E-2</v>
      </c>
      <c r="K45" s="11">
        <f t="shared" si="6"/>
        <v>4.3699999999999998E-3</v>
      </c>
      <c r="L45">
        <f>ROUND(IF(VLOOKUP($A45,EnrollData2324,'2324 Jun 24 Enroll'!D$1,FALSE)='District Calculations'!$D$11,VLOOKUP($A45,EnrollData2324,'2324 Jun 24 Enroll'!D$1,FALSE),'District Calculations'!$D$11)*K45,3)</f>
        <v>0</v>
      </c>
      <c r="M45">
        <f>ROUND(IF(VLOOKUP($A45,EnrollData2324,'2324 Jun 24 Enroll'!E$1,FALSE)='District Calculations'!$D$12,VLOOKUP($A45,EnrollData2324,'2324 Jun 24 Enroll'!E$1,FALSE),'District Calculations'!$D$12)*K45,3)</f>
        <v>3.5419999999999998</v>
      </c>
      <c r="N45">
        <f>ROUND(IF(VLOOKUP($A45,EnrollData2324,'2324 Jun 24 Enroll'!F$1,FALSE)='District Calculations'!$D$13,VLOOKUP($A45,EnrollData2324,'2324 Jun 24 Enroll'!F$1,FALSE),'District Calculations'!$D$13)*Apport_223A2324s,3)</f>
        <v>0.84299999999999997</v>
      </c>
      <c r="O45">
        <f>ROUND(IF(VLOOKUP($A45,EnrollData2324,'2324 Jun 24 Enroll'!G$1,FALSE)='District Calculations'!$D$14,VLOOKUP($A45,EnrollData2324,'2324 Jun 24 Enroll'!G$1,FALSE),'District Calculations'!$D$14)*Apport_211A2324s,3)</f>
        <v>1.87</v>
      </c>
      <c r="P45">
        <f>ROUND(IF(VLOOKUP($A45,EnrollData2324,'2324 Jun 24 Enroll'!H$1,FALSE)='District Calculations'!$D$14,VLOOKUP($A45,EnrollData2324,'2324 Jun 24 Enroll'!H$1,FALSE),'District Calculations'!$D$14)*Apport_214A2324s,3)</f>
        <v>1.8680000000000001</v>
      </c>
      <c r="Q45">
        <f>ROUND(IF(VLOOKUP($A45,EnrollData2324,'2324 Jun 24 Enroll'!I$1,FALSE)+VLOOKUP($A45,EnrollData2324,'2324 Jun 24 Enroll'!M$1,FALSE)-VLOOKUP($A45,EnrollData2324,'2324 Jun 24 Enroll'!J$1,FALSE)='District Calculations'!$D$16+'District Calculations'!$D$25-'District Calculations'!$D$17,VLOOKUP($A45,EnrollData2324,'2324 Jun 24 Enroll'!I$1,FALSE)+VLOOKUP($A45,EnrollData2324,'2324 Jun 24 Enroll'!M$1,FALSE)-VLOOKUP($A45,EnrollData2324,'2324 Jun 24 Enroll'!J$1,FALSE),'District Calculations'!$D$16+'District Calculations'!$D$25-'District Calculations'!$D$17)*Apport_217A2324s,3)</f>
        <v>4.702</v>
      </c>
      <c r="R45">
        <f>ROUND(SUM(L45:Q45)/IF(VLOOKUP($A45,EnrollData2324,'2324 Jun 24 Enroll'!M$1,FALSE)+VLOOKUP($A45,EnrollData2324,'2324 Jun 24 Enroll'!D$1,FALSE)='District Calculations'!$D$25+'District Calculations'!$D$11,VLOOKUP($A45,EnrollData2324,'2324 Jun 24 Enroll'!M$1,FALSE)+VLOOKUP($A45,EnrollData2324,'2324 Jun 24 Enroll'!D$1,FALSE),'District Calculations'!$D$25+'District Calculations'!$D$11),5)</f>
        <v>4.1099999999999999E-3</v>
      </c>
      <c r="S45" s="11">
        <f t="shared" si="7"/>
        <v>1.8689600000000001E-2</v>
      </c>
      <c r="T45">
        <f>ROUND(IF(VLOOKUP($A45,EnrollData2324,'2324 Jun 24 Enroll'!D$1,FALSE)='District Calculations'!$D$11,VLOOKUP($A45,EnrollData2324,'2324 Jun 24 Enroll'!D$1,FALSE),'District Calculations'!$D$11)*S45,3)</f>
        <v>0</v>
      </c>
      <c r="U45">
        <f>ROUND(IF(VLOOKUP($A45,EnrollData2324,'2324 Jun 24 Enroll'!E$1,FALSE)='District Calculations'!$D$12,VLOOKUP($A45,EnrollData2324,'2324 Jun 24 Enroll'!E$1,FALSE),'District Calculations'!$D$12)*S45,3)</f>
        <v>15.148</v>
      </c>
      <c r="V45">
        <f>ROUND(IF(VLOOKUP($A45,EnrollData2324,'2324 Jun 24 Enroll'!F$1,FALSE)='District Calculations'!$D$13,VLOOKUP($A45,EnrollData2324,'2324 Jun 24 Enroll'!F$1,FALSE),'District Calculations'!$D$13)*Apport_224A2324s,3)</f>
        <v>3.7029999999999998</v>
      </c>
      <c r="W45">
        <f>ROUND(IF(VLOOKUP($A45,EnrollData2324,'2324 Jun 24 Enroll'!G$1,FALSE)='District Calculations'!$D$14,VLOOKUP($A45,EnrollData2324,'2324 Jun 24 Enroll'!G$1,FALSE),'District Calculations'!$D$14)*Apport_212A2324s,3)</f>
        <v>8.2089999999999996</v>
      </c>
      <c r="X45">
        <f>ROUND(IF(VLOOKUP($A45,EnrollData2324,'2324 Jun 24 Enroll'!H$1,FALSE)='District Calculations'!$D$14,VLOOKUP($A45,EnrollData2324,'2324 Jun 24 Enroll'!H$1,FALSE),'District Calculations'!$D$14)*Apport_215A2324s,3)</f>
        <v>8.0969999999999995</v>
      </c>
      <c r="Y45">
        <f>ROUND(IF(VLOOKUP($A45,EnrollData2324,'2324 Jun 24 Enroll'!I$1,FALSE)+VLOOKUP($A45,EnrollData2324,'2324 Jun 24 Enroll'!M$1,FALSE)-VLOOKUP($A45,EnrollData2324,'2324 Jun 24 Enroll'!J$1,FALSE)='District Calculations'!$D$16+'District Calculations'!$D$25-'District Calculations'!$D$17,VLOOKUP($A45,EnrollData2324,'2324 Jun 24 Enroll'!I$1,FALSE)+VLOOKUP($A45,EnrollData2324,'2324 Jun 24 Enroll'!M$1,FALSE)-VLOOKUP($A45,EnrollData2324,'2324 Jun 24 Enroll'!J$1,FALSE),'District Calculations'!$D$16+'District Calculations'!$D$25-'District Calculations'!$D$17)*Apport_218A2324s,3)</f>
        <v>20.224</v>
      </c>
      <c r="Z45">
        <f>ROUND(SUM(T45:Y45)/IF(VLOOKUP($A45,EnrollData2324,'2324 Jun 24 Enroll'!M$1,FALSE)+VLOOKUP($A45,EnrollData2324,'2324 Jun 24 Enroll'!D$1,FALSE)='District Calculations'!$D$25+'District Calculations'!$D$11,VLOOKUP($A45,EnrollData2324,'2324 Jun 24 Enroll'!M$1,FALSE)+VLOOKUP($A45,EnrollData2324,'2324 Jun 24 Enroll'!D$1,FALSE),'District Calculations'!$D$25+'District Calculations'!$D$11),5)</f>
        <v>1.7749999999999998E-2</v>
      </c>
      <c r="AA45" s="6" cm="1">
        <f t="array" ref="AA45">ROUND($J45*CIS_Base_Salary2324s*VLOOKUP($A45,EnrollData2324,'2324 Jun 24 Enroll'!S$1,FALSE),2)</f>
        <v>4038.59</v>
      </c>
      <c r="AB45" s="6" cm="1">
        <f t="array" ref="AB45">ROUND($J45*CIS_Inc_Salary2324s*(VLOOKUP($A45,EnrollData2324,'2324 Jun 24 Enroll'!T$1,FALSE)+VLOOKUP($A45,EnrollData2324,'2324 Jun 24 Enroll'!U$1,FALSE)),2)-AA45</f>
        <v>149.43000000000029</v>
      </c>
      <c r="AC45" s="6" cm="1">
        <f t="array" ref="AC45">ROUND($R45*CAS_Base_Salary2324s*VLOOKUP($A45,EnrollData2324,'2324 Jun 24 Enroll'!S$1,FALSE),2)</f>
        <v>443.7</v>
      </c>
      <c r="AD45" s="6" cm="1">
        <f t="array" ref="AD45">ROUND($R45*CAS_Inc_Salary2324s*VLOOKUP($A45,EnrollData2324,'2324 Jun 24 Enroll'!T$1,FALSE),2)-AC45</f>
        <v>16.410000000000025</v>
      </c>
      <c r="AE45" s="6" cm="1">
        <f t="array" ref="AE45">ROUND($Z45*CLS_Base_Salary2324s*VLOOKUP($A45,EnrollData2324,'2324 Jun 24 Enroll'!S$1,FALSE),2)</f>
        <v>926.07</v>
      </c>
      <c r="AF45" s="6" cm="1">
        <f t="array" ref="AF45">ROUND($Z45*CLS_Inc_Salary2324s*VLOOKUP($A45,EnrollData2324,'2324 Jun 24 Enroll'!T$1,FALSE),2)-AE45</f>
        <v>34.259999999999991</v>
      </c>
      <c r="AG45" cm="1">
        <f t="array" ref="AG45">ROUND(($J45+$R45)*Apport_124X2324s,2)</f>
        <v>734.29</v>
      </c>
      <c r="AH45" s="69">
        <f t="shared" si="8"/>
        <v>68.700000000000045</v>
      </c>
      <c r="AI45" cm="1">
        <f t="array" ref="AI45">ROUND($Z45*Apport_124X2324s,2)</f>
        <v>218.54</v>
      </c>
      <c r="AJ45" cm="1">
        <f t="array" ref="AJ45">ROUND($Z45*Apport_621X2324s*Apport_125X2324s,2)-AI45</f>
        <v>116.51000000000002</v>
      </c>
      <c r="AK45" cm="1">
        <f t="array" ref="AK45">ROUND((AA45+AC45)*Apport_126X2324s,2)</f>
        <v>805.47</v>
      </c>
      <c r="AL45" cm="1">
        <f t="array" ref="AL45">ROUND((AB45+AD45)*Apport_127X2324s,2)</f>
        <v>28.74</v>
      </c>
      <c r="AM45" cm="1">
        <f t="array" ref="AM45">ROUND(AE45*Apport_128X2324s,2)</f>
        <v>204.29</v>
      </c>
      <c r="AN45" cm="1">
        <f t="array" ref="AN45">ROUND(AF45*Apport_129X2324s,2)</f>
        <v>6.36</v>
      </c>
      <c r="AO45" cm="1">
        <f t="array" ref="AO45">ROUND(($J45*CIS_Inc_Salary2324s*(VLOOKUP($A45,EnrollData2324,'2324 Jun 24 Enroll'!T$1,FALSE)+VLOOKUP($A45,EnrollData2324,'2324 Jun 24 Enroll'!U$1,FALSE))/Apport_613Xpd)*Apport_614Xpd,2)</f>
        <v>69.8</v>
      </c>
      <c r="AP45" cm="1">
        <f t="array" ref="AP45">ROUND(AO45*Apport_127X2324s,2)</f>
        <v>12.1</v>
      </c>
      <c r="AQ45">
        <f t="shared" si="9"/>
        <v>30.93</v>
      </c>
      <c r="AR45" s="6" cm="1">
        <f t="array" ref="AR45">ROUND((VLOOKUP($A45,EnrollData2324,'2324 Jun 24 Enroll'!D$1,FALSE)*Apport_M802324s+VLOOKUP($A45,EnrollData2324,'2324 Jun 24 Enroll'!M$1,FALSE)*Apport_M802324s+(VLOOKUP($A45,EnrollData2324,'2324 Jun 24 Enroll'!P$1,FALSE)+VLOOKUP($A45,EnrollData2324,'2324 Jun 24 Enroll'!Q$1,FALSE)+VLOOKUP($A45,EnrollData2324,'2324 Jun 24 Enroll'!R$1,FALSE)+VLOOKUP($A45,EnrollData2324,'2324 Jun 24 Enroll'!I$1,FALSE)+VLOOKUP($A45,EnrollData2324,'2324 Jun 24 Enroll'!N$1,FALSE)+VLOOKUP($A45,EnrollData2324,'2324 Jun 24 Enroll'!O$1,FALSE)+VLOOKUP($A45,EnrollData2324,'2324 Jun 24 Enroll'!K$1,FALSE)+VLOOKUP($A45,EnrollData2324,'2324 Jun 24 Enroll'!L$1,FALSE))*Apport_M812324s)/(VLOOKUP($A45,EnrollData2324,'2324 Jun 24 Enroll'!M$1,FALSE)+VLOOKUP($A45,EnrollData2324,'2324 Jun 24 Enroll'!D$1,FALSE)),2)</f>
        <v>1569.46</v>
      </c>
      <c r="AS45" s="7">
        <f t="shared" si="11"/>
        <v>9473.6500000000015</v>
      </c>
    </row>
    <row r="46" spans="1:46">
      <c r="A46" s="40" t="s">
        <v>701</v>
      </c>
      <c r="B46" s="40" t="s">
        <v>702</v>
      </c>
      <c r="C46" s="11">
        <f>ROUND((IFERROR((1/IF(VLOOKUP($A46,EnrollData2324,28,FALSE)='District Calculations'!$D$10,VLOOKUP($A46,EnrollData2324,28,FALSE),'District Calculations'!$D$10))*(1+Apport_Z315),0))+Apport_201A2324s,6)</f>
        <v>7.3449E-2</v>
      </c>
      <c r="D46">
        <f>ROUND(IF(VLOOKUP($A46,EnrollData2324,'2324 Jun 24 Enroll'!D$1,FALSE)='District Calculations'!$D$11,VLOOKUP($A46,EnrollData2324,'2324 Jun 24 Enroll'!D$1,FALSE),'District Calculations'!$D$11)*C46,3)</f>
        <v>0</v>
      </c>
      <c r="E46">
        <f>ROUND(IF(VLOOKUP($A46,EnrollData2324,'2324 Jun 24 Enroll'!E$1,FALSE)='District Calculations'!$D$12,VLOOKUP($A46,EnrollData2324,'2324 Jun 24 Enroll'!E$1,FALSE),'District Calculations'!$D$12)*C46,3)</f>
        <v>59.53</v>
      </c>
      <c r="F46">
        <f>ROUND(IF(VLOOKUP($A46,EnrollData2324,'2324 Jun 24 Enroll'!F$1,FALSE)='District Calculations'!$D$13,VLOOKUP($A46,EnrollData2324,'2324 Jun 24 Enroll'!F$1,FALSE),'District Calculations'!$D$13)*Apport_222A2324s,3)</f>
        <v>10.101000000000001</v>
      </c>
      <c r="G46">
        <f>ROUND(IF(VLOOKUP($A46,EnrollData2324,'2324 Jun 24 Enroll'!G$1,FALSE)='District Calculations'!$D$14,VLOOKUP($A46,EnrollData2324,'2324 Jun 24 Enroll'!G$1,FALSE),'District Calculations'!$D$14)*Apport_210A2324s,3)</f>
        <v>22.395</v>
      </c>
      <c r="H46">
        <f>ROUND(IF(VLOOKUP($A46,EnrollData2324,'2324 Jun 24 Enroll'!H$1,FALSE)='District Calculations'!$D$15,VLOOKUP($A46,EnrollData2324,'2324 Jun 24 Enroll'!H$1,FALSE),'District Calculations'!$D$15)*Apport_213A2324s,3)</f>
        <v>23.091999999999999</v>
      </c>
      <c r="I46">
        <f>ROUND(IF(VLOOKUP($A46,EnrollData2324,'2324 Jun 24 Enroll'!I$1,FALSE)+VLOOKUP($A46,EnrollData2324,'2324 Jun 24 Enroll'!M$1,FALSE)-VLOOKUP($A46,EnrollData2324,'2324 Jun 24 Enroll'!J$1,FALSE)='District Calculations'!$D$16+'District Calculations'!$D$25-'District Calculations'!$D$17,VLOOKUP($A46,EnrollData2324,'2324 Jun 24 Enroll'!I$1,FALSE)+VLOOKUP($A46,EnrollData2324,'2324 Jun 24 Enroll'!M$1,FALSE)-VLOOKUP($A46,EnrollData2324,'2324 Jun 24 Enroll'!J$1,FALSE),'District Calculations'!$D$16+'District Calculations'!$D$25-'District Calculations'!$D$17)*Apport_216A2324s,3)</f>
        <v>58.183999999999997</v>
      </c>
      <c r="J46">
        <f>ROUND(SUM(D46:I46)/(IF(VLOOKUP($A46,EnrollData2324,'2324 Jun 24 Enroll'!M$1,FALSE)='District Calculations'!$D$25,VLOOKUP($A46,EnrollData2324,'2324 Jun 24 Enroll'!M$1,FALSE),'District Calculations'!$D$25)+IF(VLOOKUP($A46,EnrollData2324,'2324 Jun 24 Enroll'!D$1,FALSE)='District Calculations'!$D$11,VLOOKUP($A46,EnrollData2324,'2324 Jun 24 Enroll'!D$1,FALSE),'District Calculations'!$D$11)),5)</f>
        <v>5.5530000000000003E-2</v>
      </c>
      <c r="K46" s="11">
        <f t="shared" si="6"/>
        <v>4.3699999999999998E-3</v>
      </c>
      <c r="L46">
        <f>ROUND(IF(VLOOKUP($A46,EnrollData2324,'2324 Jun 24 Enroll'!D$1,FALSE)='District Calculations'!$D$11,VLOOKUP($A46,EnrollData2324,'2324 Jun 24 Enroll'!D$1,FALSE),'District Calculations'!$D$11)*K46,3)</f>
        <v>0</v>
      </c>
      <c r="M46">
        <f>ROUND(IF(VLOOKUP($A46,EnrollData2324,'2324 Jun 24 Enroll'!E$1,FALSE)='District Calculations'!$D$12,VLOOKUP($A46,EnrollData2324,'2324 Jun 24 Enroll'!E$1,FALSE),'District Calculations'!$D$12)*K46,3)</f>
        <v>3.5419999999999998</v>
      </c>
      <c r="N46">
        <f>ROUND(IF(VLOOKUP($A46,EnrollData2324,'2324 Jun 24 Enroll'!F$1,FALSE)='District Calculations'!$D$13,VLOOKUP($A46,EnrollData2324,'2324 Jun 24 Enroll'!F$1,FALSE),'District Calculations'!$D$13)*Apport_223A2324s,3)</f>
        <v>0.84299999999999997</v>
      </c>
      <c r="O46">
        <f>ROUND(IF(VLOOKUP($A46,EnrollData2324,'2324 Jun 24 Enroll'!G$1,FALSE)='District Calculations'!$D$14,VLOOKUP($A46,EnrollData2324,'2324 Jun 24 Enroll'!G$1,FALSE),'District Calculations'!$D$14)*Apport_211A2324s,3)</f>
        <v>1.87</v>
      </c>
      <c r="P46">
        <f>ROUND(IF(VLOOKUP($A46,EnrollData2324,'2324 Jun 24 Enroll'!H$1,FALSE)='District Calculations'!$D$14,VLOOKUP($A46,EnrollData2324,'2324 Jun 24 Enroll'!H$1,FALSE),'District Calculations'!$D$14)*Apport_214A2324s,3)</f>
        <v>1.8680000000000001</v>
      </c>
      <c r="Q46">
        <f>ROUND(IF(VLOOKUP($A46,EnrollData2324,'2324 Jun 24 Enroll'!I$1,FALSE)+VLOOKUP($A46,EnrollData2324,'2324 Jun 24 Enroll'!M$1,FALSE)-VLOOKUP($A46,EnrollData2324,'2324 Jun 24 Enroll'!J$1,FALSE)='District Calculations'!$D$16+'District Calculations'!$D$25-'District Calculations'!$D$17,VLOOKUP($A46,EnrollData2324,'2324 Jun 24 Enroll'!I$1,FALSE)+VLOOKUP($A46,EnrollData2324,'2324 Jun 24 Enroll'!M$1,FALSE)-VLOOKUP($A46,EnrollData2324,'2324 Jun 24 Enroll'!J$1,FALSE),'District Calculations'!$D$16+'District Calculations'!$D$25-'District Calculations'!$D$17)*Apport_217A2324s,3)</f>
        <v>4.702</v>
      </c>
      <c r="R46">
        <f>ROUND(SUM(L46:Q46)/IF(VLOOKUP($A46,EnrollData2324,'2324 Jun 24 Enroll'!M$1,FALSE)+VLOOKUP($A46,EnrollData2324,'2324 Jun 24 Enroll'!D$1,FALSE)='District Calculations'!$D$25+'District Calculations'!$D$11,VLOOKUP($A46,EnrollData2324,'2324 Jun 24 Enroll'!M$1,FALSE)+VLOOKUP($A46,EnrollData2324,'2324 Jun 24 Enroll'!D$1,FALSE),'District Calculations'!$D$25+'District Calculations'!$D$11),5)</f>
        <v>4.1099999999999999E-3</v>
      </c>
      <c r="S46" s="11">
        <f t="shared" si="7"/>
        <v>1.8689600000000001E-2</v>
      </c>
      <c r="T46">
        <f>ROUND(IF(VLOOKUP($A46,EnrollData2324,'2324 Jun 24 Enroll'!D$1,FALSE)='District Calculations'!$D$11,VLOOKUP($A46,EnrollData2324,'2324 Jun 24 Enroll'!D$1,FALSE),'District Calculations'!$D$11)*S46,3)</f>
        <v>0</v>
      </c>
      <c r="U46">
        <f>ROUND(IF(VLOOKUP($A46,EnrollData2324,'2324 Jun 24 Enroll'!E$1,FALSE)='District Calculations'!$D$12,VLOOKUP($A46,EnrollData2324,'2324 Jun 24 Enroll'!E$1,FALSE),'District Calculations'!$D$12)*S46,3)</f>
        <v>15.148</v>
      </c>
      <c r="V46">
        <f>ROUND(IF(VLOOKUP($A46,EnrollData2324,'2324 Jun 24 Enroll'!F$1,FALSE)='District Calculations'!$D$13,VLOOKUP($A46,EnrollData2324,'2324 Jun 24 Enroll'!F$1,FALSE),'District Calculations'!$D$13)*Apport_224A2324s,3)</f>
        <v>3.7029999999999998</v>
      </c>
      <c r="W46">
        <f>ROUND(IF(VLOOKUP($A46,EnrollData2324,'2324 Jun 24 Enroll'!G$1,FALSE)='District Calculations'!$D$14,VLOOKUP($A46,EnrollData2324,'2324 Jun 24 Enroll'!G$1,FALSE),'District Calculations'!$D$14)*Apport_212A2324s,3)</f>
        <v>8.2089999999999996</v>
      </c>
      <c r="X46">
        <f>ROUND(IF(VLOOKUP($A46,EnrollData2324,'2324 Jun 24 Enroll'!H$1,FALSE)='District Calculations'!$D$14,VLOOKUP($A46,EnrollData2324,'2324 Jun 24 Enroll'!H$1,FALSE),'District Calculations'!$D$14)*Apport_215A2324s,3)</f>
        <v>8.0969999999999995</v>
      </c>
      <c r="Y46">
        <f>ROUND(IF(VLOOKUP($A46,EnrollData2324,'2324 Jun 24 Enroll'!I$1,FALSE)+VLOOKUP($A46,EnrollData2324,'2324 Jun 24 Enroll'!M$1,FALSE)-VLOOKUP($A46,EnrollData2324,'2324 Jun 24 Enroll'!J$1,FALSE)='District Calculations'!$D$16+'District Calculations'!$D$25-'District Calculations'!$D$17,VLOOKUP($A46,EnrollData2324,'2324 Jun 24 Enroll'!I$1,FALSE)+VLOOKUP($A46,EnrollData2324,'2324 Jun 24 Enroll'!M$1,FALSE)-VLOOKUP($A46,EnrollData2324,'2324 Jun 24 Enroll'!J$1,FALSE),'District Calculations'!$D$16+'District Calculations'!$D$25-'District Calculations'!$D$17)*Apport_218A2324s,3)</f>
        <v>20.224</v>
      </c>
      <c r="Z46">
        <f>ROUND(SUM(T46:Y46)/IF(VLOOKUP($A46,EnrollData2324,'2324 Jun 24 Enroll'!M$1,FALSE)+VLOOKUP($A46,EnrollData2324,'2324 Jun 24 Enroll'!D$1,FALSE)='District Calculations'!$D$25+'District Calculations'!$D$11,VLOOKUP($A46,EnrollData2324,'2324 Jun 24 Enroll'!M$1,FALSE)+VLOOKUP($A46,EnrollData2324,'2324 Jun 24 Enroll'!D$1,FALSE),'District Calculations'!$D$25+'District Calculations'!$D$11),5)</f>
        <v>1.7749999999999998E-2</v>
      </c>
      <c r="AA46" s="6" cm="1">
        <f t="array" ref="AA46">ROUND($J46*CIS_Base_Salary2324s*VLOOKUP($A46,EnrollData2324,'2324 Jun 24 Enroll'!S$1,FALSE),2)</f>
        <v>4038.59</v>
      </c>
      <c r="AB46" s="6" cm="1">
        <f t="array" ref="AB46">ROUND($J46*CIS_Inc_Salary2324s*(VLOOKUP($A46,EnrollData2324,'2324 Jun 24 Enroll'!T$1,FALSE)+VLOOKUP($A46,EnrollData2324,'2324 Jun 24 Enroll'!U$1,FALSE)),2)-AA46</f>
        <v>149.43000000000029</v>
      </c>
      <c r="AC46" s="6" cm="1">
        <f t="array" ref="AC46">ROUND($R46*CAS_Base_Salary2324s*VLOOKUP($A46,EnrollData2324,'2324 Jun 24 Enroll'!S$1,FALSE),2)</f>
        <v>443.7</v>
      </c>
      <c r="AD46" s="6" cm="1">
        <f t="array" ref="AD46">ROUND($R46*CAS_Inc_Salary2324s*VLOOKUP($A46,EnrollData2324,'2324 Jun 24 Enroll'!T$1,FALSE),2)-AC46</f>
        <v>16.410000000000025</v>
      </c>
      <c r="AE46" s="6" cm="1">
        <f t="array" ref="AE46">ROUND($Z46*CLS_Base_Salary2324s*VLOOKUP($A46,EnrollData2324,'2324 Jun 24 Enroll'!S$1,FALSE),2)</f>
        <v>926.07</v>
      </c>
      <c r="AF46" s="6" cm="1">
        <f t="array" ref="AF46">ROUND($Z46*CLS_Inc_Salary2324s*VLOOKUP($A46,EnrollData2324,'2324 Jun 24 Enroll'!T$1,FALSE),2)-AE46</f>
        <v>34.259999999999991</v>
      </c>
      <c r="AG46" cm="1">
        <f t="array" ref="AG46">ROUND(($J46+$R46)*Apport_124X2324s,2)</f>
        <v>734.29</v>
      </c>
      <c r="AH46" s="69">
        <f t="shared" si="8"/>
        <v>68.700000000000045</v>
      </c>
      <c r="AI46" cm="1">
        <f t="array" ref="AI46">ROUND($Z46*Apport_124X2324s,2)</f>
        <v>218.54</v>
      </c>
      <c r="AJ46" cm="1">
        <f t="array" ref="AJ46">ROUND($Z46*Apport_621X2324s*Apport_125X2324s,2)-AI46</f>
        <v>116.51000000000002</v>
      </c>
      <c r="AK46" cm="1">
        <f t="array" ref="AK46">ROUND((AA46+AC46)*Apport_126X2324s,2)</f>
        <v>805.47</v>
      </c>
      <c r="AL46" cm="1">
        <f t="array" ref="AL46">ROUND((AB46+AD46)*Apport_127X2324s,2)</f>
        <v>28.74</v>
      </c>
      <c r="AM46" cm="1">
        <f t="array" ref="AM46">ROUND(AE46*Apport_128X2324s,2)</f>
        <v>204.29</v>
      </c>
      <c r="AN46" cm="1">
        <f t="array" ref="AN46">ROUND(AF46*Apport_129X2324s,2)</f>
        <v>6.36</v>
      </c>
      <c r="AO46" cm="1">
        <f t="array" ref="AO46">ROUND(($J46*CIS_Inc_Salary2324s*(VLOOKUP($A46,EnrollData2324,'2324 Jun 24 Enroll'!T$1,FALSE)+VLOOKUP($A46,EnrollData2324,'2324 Jun 24 Enroll'!U$1,FALSE))/Apport_613Xpd)*Apport_614Xpd,2)</f>
        <v>69.8</v>
      </c>
      <c r="AP46" cm="1">
        <f t="array" ref="AP46">ROUND(AO46*Apport_127X2324s,2)</f>
        <v>12.1</v>
      </c>
      <c r="AQ46">
        <f t="shared" si="9"/>
        <v>30.93</v>
      </c>
      <c r="AR46" s="6" cm="1">
        <f t="array" ref="AR46">ROUND((VLOOKUP($A46,EnrollData2324,'2324 Jun 24 Enroll'!D$1,FALSE)*Apport_M802324s+VLOOKUP($A46,EnrollData2324,'2324 Jun 24 Enroll'!M$1,FALSE)*Apport_M802324s+(VLOOKUP($A46,EnrollData2324,'2324 Jun 24 Enroll'!P$1,FALSE)+VLOOKUP($A46,EnrollData2324,'2324 Jun 24 Enroll'!Q$1,FALSE)+VLOOKUP($A46,EnrollData2324,'2324 Jun 24 Enroll'!R$1,FALSE)+VLOOKUP($A46,EnrollData2324,'2324 Jun 24 Enroll'!I$1,FALSE)+VLOOKUP($A46,EnrollData2324,'2324 Jun 24 Enroll'!N$1,FALSE)+VLOOKUP($A46,EnrollData2324,'2324 Jun 24 Enroll'!O$1,FALSE)+VLOOKUP($A46,EnrollData2324,'2324 Jun 24 Enroll'!K$1,FALSE)+VLOOKUP($A46,EnrollData2324,'2324 Jun 24 Enroll'!L$1,FALSE))*Apport_M812324s)/(VLOOKUP($A46,EnrollData2324,'2324 Jun 24 Enroll'!M$1,FALSE)+VLOOKUP($A46,EnrollData2324,'2324 Jun 24 Enroll'!D$1,FALSE)),2)</f>
        <v>1576.2</v>
      </c>
      <c r="AS46" s="7">
        <f t="shared" si="11"/>
        <v>9480.3900000000012</v>
      </c>
    </row>
    <row r="47" spans="1:46">
      <c r="A47" s="40" t="s">
        <v>725</v>
      </c>
      <c r="B47" s="40" t="s">
        <v>726</v>
      </c>
      <c r="C47" s="11">
        <f>ROUND((IFERROR((1/IF(VLOOKUP($A47,EnrollData2324,28,FALSE)='District Calculations'!$D$10,VLOOKUP($A47,EnrollData2324,28,FALSE),'District Calculations'!$D$10))*(1+Apport_Z315),0))+Apport_201A2324s,6)</f>
        <v>7.3449E-2</v>
      </c>
      <c r="D47">
        <f>ROUND(IF(VLOOKUP($A47,EnrollData2324,'2324 Jun 24 Enroll'!D$1,FALSE)='District Calculations'!$D$11,VLOOKUP($A47,EnrollData2324,'2324 Jun 24 Enroll'!D$1,FALSE),'District Calculations'!$D$11)*C47,3)</f>
        <v>0</v>
      </c>
      <c r="E47">
        <f>ROUND(IF(VLOOKUP($A47,EnrollData2324,'2324 Jun 24 Enroll'!E$1,FALSE)='District Calculations'!$D$12,VLOOKUP($A47,EnrollData2324,'2324 Jun 24 Enroll'!E$1,FALSE),'District Calculations'!$D$12)*C47,3)</f>
        <v>59.53</v>
      </c>
      <c r="F47">
        <f>ROUND(IF(VLOOKUP($A47,EnrollData2324,'2324 Jun 24 Enroll'!F$1,FALSE)='District Calculations'!$D$13,VLOOKUP($A47,EnrollData2324,'2324 Jun 24 Enroll'!F$1,FALSE),'District Calculations'!$D$13)*Apport_222A2324s,3)</f>
        <v>10.101000000000001</v>
      </c>
      <c r="G47">
        <f>ROUND(IF(VLOOKUP($A47,EnrollData2324,'2324 Jun 24 Enroll'!G$1,FALSE)='District Calculations'!$D$14,VLOOKUP($A47,EnrollData2324,'2324 Jun 24 Enroll'!G$1,FALSE),'District Calculations'!$D$14)*Apport_210A2324s,3)</f>
        <v>22.395</v>
      </c>
      <c r="H47">
        <f>ROUND(IF(VLOOKUP($A47,EnrollData2324,'2324 Jun 24 Enroll'!H$1,FALSE)='District Calculations'!$D$15,VLOOKUP($A47,EnrollData2324,'2324 Jun 24 Enroll'!H$1,FALSE),'District Calculations'!$D$15)*Apport_213A2324s,3)</f>
        <v>23.091999999999999</v>
      </c>
      <c r="I47">
        <f>ROUND(IF(VLOOKUP($A47,EnrollData2324,'2324 Jun 24 Enroll'!I$1,FALSE)+VLOOKUP($A47,EnrollData2324,'2324 Jun 24 Enroll'!M$1,FALSE)-VLOOKUP($A47,EnrollData2324,'2324 Jun 24 Enroll'!J$1,FALSE)='District Calculations'!$D$16+'District Calculations'!$D$25-'District Calculations'!$D$17,VLOOKUP($A47,EnrollData2324,'2324 Jun 24 Enroll'!I$1,FALSE)+VLOOKUP($A47,EnrollData2324,'2324 Jun 24 Enroll'!M$1,FALSE)-VLOOKUP($A47,EnrollData2324,'2324 Jun 24 Enroll'!J$1,FALSE),'District Calculations'!$D$16+'District Calculations'!$D$25-'District Calculations'!$D$17)*Apport_216A2324s,3)</f>
        <v>58.183999999999997</v>
      </c>
      <c r="J47">
        <f>ROUND(SUM(D47:I47)/(IF(VLOOKUP($A47,EnrollData2324,'2324 Jun 24 Enroll'!M$1,FALSE)='District Calculations'!$D$25,VLOOKUP($A47,EnrollData2324,'2324 Jun 24 Enroll'!M$1,FALSE),'District Calculations'!$D$25)+IF(VLOOKUP($A47,EnrollData2324,'2324 Jun 24 Enroll'!D$1,FALSE)='District Calculations'!$D$11,VLOOKUP($A47,EnrollData2324,'2324 Jun 24 Enroll'!D$1,FALSE),'District Calculations'!$D$11)),5)</f>
        <v>5.5530000000000003E-2</v>
      </c>
      <c r="K47" s="11">
        <f t="shared" si="6"/>
        <v>4.3699999999999998E-3</v>
      </c>
      <c r="L47">
        <f>ROUND(IF(VLOOKUP($A47,EnrollData2324,'2324 Jun 24 Enroll'!D$1,FALSE)='District Calculations'!$D$11,VLOOKUP($A47,EnrollData2324,'2324 Jun 24 Enroll'!D$1,FALSE),'District Calculations'!$D$11)*K47,3)</f>
        <v>0</v>
      </c>
      <c r="M47">
        <f>ROUND(IF(VLOOKUP($A47,EnrollData2324,'2324 Jun 24 Enroll'!E$1,FALSE)='District Calculations'!$D$12,VLOOKUP($A47,EnrollData2324,'2324 Jun 24 Enroll'!E$1,FALSE),'District Calculations'!$D$12)*K47,3)</f>
        <v>3.5419999999999998</v>
      </c>
      <c r="N47">
        <f>ROUND(IF(VLOOKUP($A47,EnrollData2324,'2324 Jun 24 Enroll'!F$1,FALSE)='District Calculations'!$D$13,VLOOKUP($A47,EnrollData2324,'2324 Jun 24 Enroll'!F$1,FALSE),'District Calculations'!$D$13)*Apport_223A2324s,3)</f>
        <v>0.84299999999999997</v>
      </c>
      <c r="O47">
        <f>ROUND(IF(VLOOKUP($A47,EnrollData2324,'2324 Jun 24 Enroll'!G$1,FALSE)='District Calculations'!$D$14,VLOOKUP($A47,EnrollData2324,'2324 Jun 24 Enroll'!G$1,FALSE),'District Calculations'!$D$14)*Apport_211A2324s,3)</f>
        <v>1.87</v>
      </c>
      <c r="P47">
        <f>ROUND(IF(VLOOKUP($A47,EnrollData2324,'2324 Jun 24 Enroll'!H$1,FALSE)='District Calculations'!$D$14,VLOOKUP($A47,EnrollData2324,'2324 Jun 24 Enroll'!H$1,FALSE),'District Calculations'!$D$14)*Apport_214A2324s,3)</f>
        <v>1.8680000000000001</v>
      </c>
      <c r="Q47">
        <f>ROUND(IF(VLOOKUP($A47,EnrollData2324,'2324 Jun 24 Enroll'!I$1,FALSE)+VLOOKUP($A47,EnrollData2324,'2324 Jun 24 Enroll'!M$1,FALSE)-VLOOKUP($A47,EnrollData2324,'2324 Jun 24 Enroll'!J$1,FALSE)='District Calculations'!$D$16+'District Calculations'!$D$25-'District Calculations'!$D$17,VLOOKUP($A47,EnrollData2324,'2324 Jun 24 Enroll'!I$1,FALSE)+VLOOKUP($A47,EnrollData2324,'2324 Jun 24 Enroll'!M$1,FALSE)-VLOOKUP($A47,EnrollData2324,'2324 Jun 24 Enroll'!J$1,FALSE),'District Calculations'!$D$16+'District Calculations'!$D$25-'District Calculations'!$D$17)*Apport_217A2324s,3)</f>
        <v>4.702</v>
      </c>
      <c r="R47">
        <f>ROUND(SUM(L47:Q47)/IF(VLOOKUP($A47,EnrollData2324,'2324 Jun 24 Enroll'!M$1,FALSE)+VLOOKUP($A47,EnrollData2324,'2324 Jun 24 Enroll'!D$1,FALSE)='District Calculations'!$D$25+'District Calculations'!$D$11,VLOOKUP($A47,EnrollData2324,'2324 Jun 24 Enroll'!M$1,FALSE)+VLOOKUP($A47,EnrollData2324,'2324 Jun 24 Enroll'!D$1,FALSE),'District Calculations'!$D$25+'District Calculations'!$D$11),5)</f>
        <v>4.1099999999999999E-3</v>
      </c>
      <c r="S47" s="11">
        <f t="shared" si="7"/>
        <v>1.8689600000000001E-2</v>
      </c>
      <c r="T47">
        <f>ROUND(IF(VLOOKUP($A47,EnrollData2324,'2324 Jun 24 Enroll'!D$1,FALSE)='District Calculations'!$D$11,VLOOKUP($A47,EnrollData2324,'2324 Jun 24 Enroll'!D$1,FALSE),'District Calculations'!$D$11)*S47,3)</f>
        <v>0</v>
      </c>
      <c r="U47">
        <f>ROUND(IF(VLOOKUP($A47,EnrollData2324,'2324 Jun 24 Enroll'!E$1,FALSE)='District Calculations'!$D$12,VLOOKUP($A47,EnrollData2324,'2324 Jun 24 Enroll'!E$1,FALSE),'District Calculations'!$D$12)*S47,3)</f>
        <v>15.148</v>
      </c>
      <c r="V47">
        <f>ROUND(IF(VLOOKUP($A47,EnrollData2324,'2324 Jun 24 Enroll'!F$1,FALSE)='District Calculations'!$D$13,VLOOKUP($A47,EnrollData2324,'2324 Jun 24 Enroll'!F$1,FALSE),'District Calculations'!$D$13)*Apport_224A2324s,3)</f>
        <v>3.7029999999999998</v>
      </c>
      <c r="W47">
        <f>ROUND(IF(VLOOKUP($A47,EnrollData2324,'2324 Jun 24 Enroll'!G$1,FALSE)='District Calculations'!$D$14,VLOOKUP($A47,EnrollData2324,'2324 Jun 24 Enroll'!G$1,FALSE),'District Calculations'!$D$14)*Apport_212A2324s,3)</f>
        <v>8.2089999999999996</v>
      </c>
      <c r="X47">
        <f>ROUND(IF(VLOOKUP($A47,EnrollData2324,'2324 Jun 24 Enroll'!H$1,FALSE)='District Calculations'!$D$14,VLOOKUP($A47,EnrollData2324,'2324 Jun 24 Enroll'!H$1,FALSE),'District Calculations'!$D$14)*Apport_215A2324s,3)</f>
        <v>8.0969999999999995</v>
      </c>
      <c r="Y47">
        <f>ROUND(IF(VLOOKUP($A47,EnrollData2324,'2324 Jun 24 Enroll'!I$1,FALSE)+VLOOKUP($A47,EnrollData2324,'2324 Jun 24 Enroll'!M$1,FALSE)-VLOOKUP($A47,EnrollData2324,'2324 Jun 24 Enroll'!J$1,FALSE)='District Calculations'!$D$16+'District Calculations'!$D$25-'District Calculations'!$D$17,VLOOKUP($A47,EnrollData2324,'2324 Jun 24 Enroll'!I$1,FALSE)+VLOOKUP($A47,EnrollData2324,'2324 Jun 24 Enroll'!M$1,FALSE)-VLOOKUP($A47,EnrollData2324,'2324 Jun 24 Enroll'!J$1,FALSE),'District Calculations'!$D$16+'District Calculations'!$D$25-'District Calculations'!$D$17)*Apport_218A2324s,3)</f>
        <v>20.224</v>
      </c>
      <c r="Z47">
        <f>ROUND(SUM(T47:Y47)/IF(VLOOKUP($A47,EnrollData2324,'2324 Jun 24 Enroll'!M$1,FALSE)+VLOOKUP($A47,EnrollData2324,'2324 Jun 24 Enroll'!D$1,FALSE)='District Calculations'!$D$25+'District Calculations'!$D$11,VLOOKUP($A47,EnrollData2324,'2324 Jun 24 Enroll'!M$1,FALSE)+VLOOKUP($A47,EnrollData2324,'2324 Jun 24 Enroll'!D$1,FALSE),'District Calculations'!$D$25+'District Calculations'!$D$11),5)</f>
        <v>1.7749999999999998E-2</v>
      </c>
      <c r="AA47" s="6" cm="1">
        <f t="array" ref="AA47">ROUND($J47*CIS_Base_Salary2324s*VLOOKUP($A47,EnrollData2324,'2324 Jun 24 Enroll'!S$1,FALSE),2)</f>
        <v>4099.16</v>
      </c>
      <c r="AB47" s="6" cm="1">
        <f t="array" ref="AB47">ROUND($J47*CIS_Inc_Salary2324s*(VLOOKUP($A47,EnrollData2324,'2324 Jun 24 Enroll'!T$1,FALSE)+VLOOKUP($A47,EnrollData2324,'2324 Jun 24 Enroll'!U$1,FALSE)),2)-AA47</f>
        <v>151.68000000000029</v>
      </c>
      <c r="AC47" s="6" cm="1">
        <f t="array" ref="AC47">ROUND($R47*CAS_Base_Salary2324s*VLOOKUP($A47,EnrollData2324,'2324 Jun 24 Enroll'!S$1,FALSE),2)</f>
        <v>450.35</v>
      </c>
      <c r="AD47" s="6" cm="1">
        <f t="array" ref="AD47">ROUND($R47*CAS_Inc_Salary2324s*VLOOKUP($A47,EnrollData2324,'2324 Jun 24 Enroll'!T$1,FALSE),2)-AC47</f>
        <v>16.669999999999959</v>
      </c>
      <c r="AE47" s="6" cm="1">
        <f t="array" ref="AE47">ROUND($Z47*CLS_Base_Salary2324s*VLOOKUP($A47,EnrollData2324,'2324 Jun 24 Enroll'!S$1,FALSE),2)</f>
        <v>939.96</v>
      </c>
      <c r="AF47" s="6" cm="1">
        <f t="array" ref="AF47">ROUND($Z47*CLS_Inc_Salary2324s*VLOOKUP($A47,EnrollData2324,'2324 Jun 24 Enroll'!T$1,FALSE),2)-AE47</f>
        <v>34.769999999999982</v>
      </c>
      <c r="AG47" cm="1">
        <f t="array" ref="AG47">ROUND(($J47+$R47)*Apport_124X2324s,2)</f>
        <v>734.29</v>
      </c>
      <c r="AH47" s="69">
        <f t="shared" si="8"/>
        <v>68.700000000000045</v>
      </c>
      <c r="AI47" cm="1">
        <f t="array" ref="AI47">ROUND($Z47*Apport_124X2324s,2)</f>
        <v>218.54</v>
      </c>
      <c r="AJ47" cm="1">
        <f t="array" ref="AJ47">ROUND($Z47*Apport_621X2324s*Apport_125X2324s,2)-AI47</f>
        <v>116.51000000000002</v>
      </c>
      <c r="AK47" cm="1">
        <f t="array" ref="AK47">ROUND((AA47+AC47)*Apport_126X2324s,2)</f>
        <v>817.55</v>
      </c>
      <c r="AL47" cm="1">
        <f t="array" ref="AL47">ROUND((AB47+AD47)*Apport_127X2324s,2)</f>
        <v>29.18</v>
      </c>
      <c r="AM47" cm="1">
        <f t="array" ref="AM47">ROUND(AE47*Apport_128X2324s,2)</f>
        <v>207.36</v>
      </c>
      <c r="AN47" cm="1">
        <f t="array" ref="AN47">ROUND(AF47*Apport_129X2324s,2)</f>
        <v>6.45</v>
      </c>
      <c r="AO47" cm="1">
        <f t="array" ref="AO47">ROUND(($J47*CIS_Inc_Salary2324s*(VLOOKUP($A47,EnrollData2324,'2324 Jun 24 Enroll'!T$1,FALSE)+VLOOKUP($A47,EnrollData2324,'2324 Jun 24 Enroll'!U$1,FALSE))/Apport_613Xpd)*Apport_614Xpd,2)</f>
        <v>70.849999999999994</v>
      </c>
      <c r="AP47" cm="1">
        <f t="array" ref="AP47">ROUND(AO47*Apport_127X2324s,2)</f>
        <v>12.28</v>
      </c>
      <c r="AQ47">
        <f t="shared" si="9"/>
        <v>30.93</v>
      </c>
      <c r="AR47" s="6" cm="1">
        <f t="array" ref="AR47">ROUND((VLOOKUP($A47,EnrollData2324,'2324 Jun 24 Enroll'!D$1,FALSE)*Apport_M802324s+VLOOKUP($A47,EnrollData2324,'2324 Jun 24 Enroll'!M$1,FALSE)*Apport_M802324s+(VLOOKUP($A47,EnrollData2324,'2324 Jun 24 Enroll'!P$1,FALSE)+VLOOKUP($A47,EnrollData2324,'2324 Jun 24 Enroll'!Q$1,FALSE)+VLOOKUP($A47,EnrollData2324,'2324 Jun 24 Enroll'!R$1,FALSE)+VLOOKUP($A47,EnrollData2324,'2324 Jun 24 Enroll'!I$1,FALSE)+VLOOKUP($A47,EnrollData2324,'2324 Jun 24 Enroll'!N$1,FALSE)+VLOOKUP($A47,EnrollData2324,'2324 Jun 24 Enroll'!O$1,FALSE)+VLOOKUP($A47,EnrollData2324,'2324 Jun 24 Enroll'!K$1,FALSE)+VLOOKUP($A47,EnrollData2324,'2324 Jun 24 Enroll'!L$1,FALSE))*Apport_M812324s)/(VLOOKUP($A47,EnrollData2324,'2324 Jun 24 Enroll'!M$1,FALSE)+VLOOKUP($A47,EnrollData2324,'2324 Jun 24 Enroll'!D$1,FALSE)),2)</f>
        <v>1580.42</v>
      </c>
      <c r="AS47" s="7">
        <f t="shared" si="11"/>
        <v>9585.6500000000015</v>
      </c>
    </row>
    <row r="48" spans="1:46">
      <c r="A48" s="40" t="s">
        <v>572</v>
      </c>
      <c r="B48" s="40" t="s">
        <v>573</v>
      </c>
      <c r="C48" s="11">
        <f>ROUND((IFERROR((1/IF(VLOOKUP($A48,EnrollData2324,28,FALSE)='District Calculations'!$D$10,VLOOKUP($A48,EnrollData2324,28,FALSE),'District Calculations'!$D$10))*(1+Apport_Z315),0))+Apport_201A2324s,6)</f>
        <v>7.3449E-2</v>
      </c>
      <c r="D48">
        <f>ROUND(IF(VLOOKUP($A48,EnrollData2324,'2324 Jun 24 Enroll'!D$1,FALSE)='District Calculations'!$D$11,VLOOKUP($A48,EnrollData2324,'2324 Jun 24 Enroll'!D$1,FALSE),'District Calculations'!$D$11)*C48,3)</f>
        <v>0</v>
      </c>
      <c r="E48">
        <f>ROUND(IF(VLOOKUP($A48,EnrollData2324,'2324 Jun 24 Enroll'!E$1,FALSE)='District Calculations'!$D$12,VLOOKUP($A48,EnrollData2324,'2324 Jun 24 Enroll'!E$1,FALSE),'District Calculations'!$D$12)*C48,3)</f>
        <v>59.53</v>
      </c>
      <c r="F48">
        <f>ROUND(IF(VLOOKUP($A48,EnrollData2324,'2324 Jun 24 Enroll'!F$1,FALSE)='District Calculations'!$D$13,VLOOKUP($A48,EnrollData2324,'2324 Jun 24 Enroll'!F$1,FALSE),'District Calculations'!$D$13)*Apport_222A2324s,3)</f>
        <v>10.101000000000001</v>
      </c>
      <c r="G48">
        <f>ROUND(IF(VLOOKUP($A48,EnrollData2324,'2324 Jun 24 Enroll'!G$1,FALSE)='District Calculations'!$D$14,VLOOKUP($A48,EnrollData2324,'2324 Jun 24 Enroll'!G$1,FALSE),'District Calculations'!$D$14)*Apport_210A2324s,3)</f>
        <v>22.395</v>
      </c>
      <c r="H48">
        <f>ROUND(IF(VLOOKUP($A48,EnrollData2324,'2324 Jun 24 Enroll'!H$1,FALSE)='District Calculations'!$D$15,VLOOKUP($A48,EnrollData2324,'2324 Jun 24 Enroll'!H$1,FALSE),'District Calculations'!$D$15)*Apport_213A2324s,3)</f>
        <v>23.091999999999999</v>
      </c>
      <c r="I48">
        <f>ROUND(IF(VLOOKUP($A48,EnrollData2324,'2324 Jun 24 Enroll'!I$1,FALSE)+VLOOKUP($A48,EnrollData2324,'2324 Jun 24 Enroll'!M$1,FALSE)-VLOOKUP($A48,EnrollData2324,'2324 Jun 24 Enroll'!J$1,FALSE)='District Calculations'!$D$16+'District Calculations'!$D$25-'District Calculations'!$D$17,VLOOKUP($A48,EnrollData2324,'2324 Jun 24 Enroll'!I$1,FALSE)+VLOOKUP($A48,EnrollData2324,'2324 Jun 24 Enroll'!M$1,FALSE)-VLOOKUP($A48,EnrollData2324,'2324 Jun 24 Enroll'!J$1,FALSE),'District Calculations'!$D$16+'District Calculations'!$D$25-'District Calculations'!$D$17)*Apport_216A2324s,3)</f>
        <v>58.183999999999997</v>
      </c>
      <c r="J48">
        <f>ROUND(SUM(D48:I48)/(IF(VLOOKUP($A48,EnrollData2324,'2324 Jun 24 Enroll'!M$1,FALSE)='District Calculations'!$D$25,VLOOKUP($A48,EnrollData2324,'2324 Jun 24 Enroll'!M$1,FALSE),'District Calculations'!$D$25)+IF(VLOOKUP($A48,EnrollData2324,'2324 Jun 24 Enroll'!D$1,FALSE)='District Calculations'!$D$11,VLOOKUP($A48,EnrollData2324,'2324 Jun 24 Enroll'!D$1,FALSE),'District Calculations'!$D$11)),5)</f>
        <v>5.5530000000000003E-2</v>
      </c>
      <c r="K48" s="11">
        <f t="shared" si="6"/>
        <v>4.3699999999999998E-3</v>
      </c>
      <c r="L48">
        <f>ROUND(IF(VLOOKUP($A48,EnrollData2324,'2324 Jun 24 Enroll'!D$1,FALSE)='District Calculations'!$D$11,VLOOKUP($A48,EnrollData2324,'2324 Jun 24 Enroll'!D$1,FALSE),'District Calculations'!$D$11)*K48,3)</f>
        <v>0</v>
      </c>
      <c r="M48">
        <f>ROUND(IF(VLOOKUP($A48,EnrollData2324,'2324 Jun 24 Enroll'!E$1,FALSE)='District Calculations'!$D$12,VLOOKUP($A48,EnrollData2324,'2324 Jun 24 Enroll'!E$1,FALSE),'District Calculations'!$D$12)*K48,3)</f>
        <v>3.5419999999999998</v>
      </c>
      <c r="N48">
        <f>ROUND(IF(VLOOKUP($A48,EnrollData2324,'2324 Jun 24 Enroll'!F$1,FALSE)='District Calculations'!$D$13,VLOOKUP($A48,EnrollData2324,'2324 Jun 24 Enroll'!F$1,FALSE),'District Calculations'!$D$13)*Apport_223A2324s,3)</f>
        <v>0.84299999999999997</v>
      </c>
      <c r="O48">
        <f>ROUND(IF(VLOOKUP($A48,EnrollData2324,'2324 Jun 24 Enroll'!G$1,FALSE)='District Calculations'!$D$14,VLOOKUP($A48,EnrollData2324,'2324 Jun 24 Enroll'!G$1,FALSE),'District Calculations'!$D$14)*Apport_211A2324s,3)</f>
        <v>1.87</v>
      </c>
      <c r="P48">
        <f>ROUND(IF(VLOOKUP($A48,EnrollData2324,'2324 Jun 24 Enroll'!H$1,FALSE)='District Calculations'!$D$14,VLOOKUP($A48,EnrollData2324,'2324 Jun 24 Enroll'!H$1,FALSE),'District Calculations'!$D$14)*Apport_214A2324s,3)</f>
        <v>1.8680000000000001</v>
      </c>
      <c r="Q48">
        <f>ROUND(IF(VLOOKUP($A48,EnrollData2324,'2324 Jun 24 Enroll'!I$1,FALSE)+VLOOKUP($A48,EnrollData2324,'2324 Jun 24 Enroll'!M$1,FALSE)-VLOOKUP($A48,EnrollData2324,'2324 Jun 24 Enroll'!J$1,FALSE)='District Calculations'!$D$16+'District Calculations'!$D$25-'District Calculations'!$D$17,VLOOKUP($A48,EnrollData2324,'2324 Jun 24 Enroll'!I$1,FALSE)+VLOOKUP($A48,EnrollData2324,'2324 Jun 24 Enroll'!M$1,FALSE)-VLOOKUP($A48,EnrollData2324,'2324 Jun 24 Enroll'!J$1,FALSE),'District Calculations'!$D$16+'District Calculations'!$D$25-'District Calculations'!$D$17)*Apport_217A2324s,3)</f>
        <v>4.702</v>
      </c>
      <c r="R48">
        <f>ROUND(SUM(L48:Q48)/IF(VLOOKUP($A48,EnrollData2324,'2324 Jun 24 Enroll'!M$1,FALSE)+VLOOKUP($A48,EnrollData2324,'2324 Jun 24 Enroll'!D$1,FALSE)='District Calculations'!$D$25+'District Calculations'!$D$11,VLOOKUP($A48,EnrollData2324,'2324 Jun 24 Enroll'!M$1,FALSE)+VLOOKUP($A48,EnrollData2324,'2324 Jun 24 Enroll'!D$1,FALSE),'District Calculations'!$D$25+'District Calculations'!$D$11),5)</f>
        <v>4.1099999999999999E-3</v>
      </c>
      <c r="S48" s="11">
        <f t="shared" si="7"/>
        <v>1.8689600000000001E-2</v>
      </c>
      <c r="T48">
        <f>ROUND(IF(VLOOKUP($A48,EnrollData2324,'2324 Jun 24 Enroll'!D$1,FALSE)='District Calculations'!$D$11,VLOOKUP($A48,EnrollData2324,'2324 Jun 24 Enroll'!D$1,FALSE),'District Calculations'!$D$11)*S48,3)</f>
        <v>0</v>
      </c>
      <c r="U48">
        <f>ROUND(IF(VLOOKUP($A48,EnrollData2324,'2324 Jun 24 Enroll'!E$1,FALSE)='District Calculations'!$D$12,VLOOKUP($A48,EnrollData2324,'2324 Jun 24 Enroll'!E$1,FALSE),'District Calculations'!$D$12)*S48,3)</f>
        <v>15.148</v>
      </c>
      <c r="V48">
        <f>ROUND(IF(VLOOKUP($A48,EnrollData2324,'2324 Jun 24 Enroll'!F$1,FALSE)='District Calculations'!$D$13,VLOOKUP($A48,EnrollData2324,'2324 Jun 24 Enroll'!F$1,FALSE),'District Calculations'!$D$13)*Apport_224A2324s,3)</f>
        <v>3.7029999999999998</v>
      </c>
      <c r="W48">
        <f>ROUND(IF(VLOOKUP($A48,EnrollData2324,'2324 Jun 24 Enroll'!G$1,FALSE)='District Calculations'!$D$14,VLOOKUP($A48,EnrollData2324,'2324 Jun 24 Enroll'!G$1,FALSE),'District Calculations'!$D$14)*Apport_212A2324s,3)</f>
        <v>8.2089999999999996</v>
      </c>
      <c r="X48">
        <f>ROUND(IF(VLOOKUP($A48,EnrollData2324,'2324 Jun 24 Enroll'!H$1,FALSE)='District Calculations'!$D$14,VLOOKUP($A48,EnrollData2324,'2324 Jun 24 Enroll'!H$1,FALSE),'District Calculations'!$D$14)*Apport_215A2324s,3)</f>
        <v>8.0969999999999995</v>
      </c>
      <c r="Y48">
        <f>ROUND(IF(VLOOKUP($A48,EnrollData2324,'2324 Jun 24 Enroll'!I$1,FALSE)+VLOOKUP($A48,EnrollData2324,'2324 Jun 24 Enroll'!M$1,FALSE)-VLOOKUP($A48,EnrollData2324,'2324 Jun 24 Enroll'!J$1,FALSE)='District Calculations'!$D$16+'District Calculations'!$D$25-'District Calculations'!$D$17,VLOOKUP($A48,EnrollData2324,'2324 Jun 24 Enroll'!I$1,FALSE)+VLOOKUP($A48,EnrollData2324,'2324 Jun 24 Enroll'!M$1,FALSE)-VLOOKUP($A48,EnrollData2324,'2324 Jun 24 Enroll'!J$1,FALSE),'District Calculations'!$D$16+'District Calculations'!$D$25-'District Calculations'!$D$17)*Apport_218A2324s,3)</f>
        <v>20.224</v>
      </c>
      <c r="Z48">
        <f>ROUND(SUM(T48:Y48)/IF(VLOOKUP($A48,EnrollData2324,'2324 Jun 24 Enroll'!M$1,FALSE)+VLOOKUP($A48,EnrollData2324,'2324 Jun 24 Enroll'!D$1,FALSE)='District Calculations'!$D$25+'District Calculations'!$D$11,VLOOKUP($A48,EnrollData2324,'2324 Jun 24 Enroll'!M$1,FALSE)+VLOOKUP($A48,EnrollData2324,'2324 Jun 24 Enroll'!D$1,FALSE),'District Calculations'!$D$25+'District Calculations'!$D$11),5)</f>
        <v>1.7749999999999998E-2</v>
      </c>
      <c r="AA48" s="6" cm="1">
        <f t="array" ref="AA48">ROUND($J48*CIS_Base_Salary2324s*VLOOKUP($A48,EnrollData2324,'2324 Jun 24 Enroll'!S$1,FALSE),2)</f>
        <v>4038.59</v>
      </c>
      <c r="AB48" s="6" cm="1">
        <f t="array" ref="AB48">ROUND($J48*CIS_Inc_Salary2324s*(VLOOKUP($A48,EnrollData2324,'2324 Jun 24 Enroll'!T$1,FALSE)+VLOOKUP($A48,EnrollData2324,'2324 Jun 24 Enroll'!U$1,FALSE)),2)-AA48</f>
        <v>149.43000000000029</v>
      </c>
      <c r="AC48" s="6" cm="1">
        <f t="array" ref="AC48">ROUND($R48*CAS_Base_Salary2324s*VLOOKUP($A48,EnrollData2324,'2324 Jun 24 Enroll'!S$1,FALSE),2)</f>
        <v>443.7</v>
      </c>
      <c r="AD48" s="6" cm="1">
        <f t="array" ref="AD48">ROUND($R48*CAS_Inc_Salary2324s*VLOOKUP($A48,EnrollData2324,'2324 Jun 24 Enroll'!T$1,FALSE),2)-AC48</f>
        <v>16.410000000000025</v>
      </c>
      <c r="AE48" s="6" cm="1">
        <f t="array" ref="AE48">ROUND($Z48*CLS_Base_Salary2324s*VLOOKUP($A48,EnrollData2324,'2324 Jun 24 Enroll'!S$1,FALSE),2)</f>
        <v>926.07</v>
      </c>
      <c r="AF48" s="6" cm="1">
        <f t="array" ref="AF48">ROUND($Z48*CLS_Inc_Salary2324s*VLOOKUP($A48,EnrollData2324,'2324 Jun 24 Enroll'!T$1,FALSE),2)-AE48</f>
        <v>34.259999999999991</v>
      </c>
      <c r="AG48" cm="1">
        <f t="array" ref="AG48">ROUND(($J48+$R48)*Apport_124X2324s,2)</f>
        <v>734.29</v>
      </c>
      <c r="AH48" s="69">
        <f t="shared" si="8"/>
        <v>68.700000000000045</v>
      </c>
      <c r="AI48" cm="1">
        <f t="array" ref="AI48">ROUND($Z48*Apport_124X2324s,2)</f>
        <v>218.54</v>
      </c>
      <c r="AJ48" cm="1">
        <f t="array" ref="AJ48">ROUND($Z48*Apport_621X2324s*Apport_125X2324s,2)-AI48</f>
        <v>116.51000000000002</v>
      </c>
      <c r="AK48" cm="1">
        <f t="array" ref="AK48">ROUND((AA48+AC48)*Apport_126X2324s,2)</f>
        <v>805.47</v>
      </c>
      <c r="AL48" cm="1">
        <f t="array" ref="AL48">ROUND((AB48+AD48)*Apport_127X2324s,2)</f>
        <v>28.74</v>
      </c>
      <c r="AM48" cm="1">
        <f t="array" ref="AM48">ROUND(AE48*Apport_128X2324s,2)</f>
        <v>204.29</v>
      </c>
      <c r="AN48" cm="1">
        <f t="array" ref="AN48">ROUND(AF48*Apport_129X2324s,2)</f>
        <v>6.36</v>
      </c>
      <c r="AO48" cm="1">
        <f t="array" ref="AO48">ROUND(($J48*CIS_Inc_Salary2324s*(VLOOKUP($A48,EnrollData2324,'2324 Jun 24 Enroll'!T$1,FALSE)+VLOOKUP($A48,EnrollData2324,'2324 Jun 24 Enroll'!U$1,FALSE))/Apport_613Xpd)*Apport_614Xpd,2)</f>
        <v>69.8</v>
      </c>
      <c r="AP48" cm="1">
        <f t="array" ref="AP48">ROUND(AO48*Apport_127X2324s,2)</f>
        <v>12.1</v>
      </c>
      <c r="AQ48">
        <f>ROUND((J48*Apport_581X)*(Apport_116X*Apport_132X),2)</f>
        <v>30.93</v>
      </c>
      <c r="AR48" s="6" cm="1">
        <f t="array" ref="AR48">ROUND((VLOOKUP($A48,EnrollData2324,'2324 Jun 24 Enroll'!D$1,FALSE)*Apport_M802324s+VLOOKUP($A48,EnrollData2324,'2324 Jun 24 Enroll'!M$1,FALSE)*Apport_M802324s+(VLOOKUP($A48,EnrollData2324,'2324 Jun 24 Enroll'!P$1,FALSE)+VLOOKUP($A48,EnrollData2324,'2324 Jun 24 Enroll'!Q$1,FALSE)+VLOOKUP($A48,EnrollData2324,'2324 Jun 24 Enroll'!R$1,FALSE)+VLOOKUP($A48,EnrollData2324,'2324 Jun 24 Enroll'!I$1,FALSE)+VLOOKUP($A48,EnrollData2324,'2324 Jun 24 Enroll'!N$1,FALSE)+VLOOKUP($A48,EnrollData2324,'2324 Jun 24 Enroll'!O$1,FALSE)+VLOOKUP($A48,EnrollData2324,'2324 Jun 24 Enroll'!K$1,FALSE)+VLOOKUP($A48,EnrollData2324,'2324 Jun 24 Enroll'!L$1,FALSE))*Apport_M812324s)/(VLOOKUP($A48,EnrollData2324,'2324 Jun 24 Enroll'!M$1,FALSE)+VLOOKUP($A48,EnrollData2324,'2324 Jun 24 Enroll'!D$1,FALSE)),2)</f>
        <v>1576.67</v>
      </c>
      <c r="AS48" s="7">
        <f>SUM(AA48:AR48)</f>
        <v>9480.86</v>
      </c>
      <c r="AT48" s="6"/>
    </row>
    <row r="49" spans="1:46">
      <c r="A49" s="40" t="s">
        <v>793</v>
      </c>
      <c r="B49" s="40" t="s">
        <v>794</v>
      </c>
      <c r="C49" s="11">
        <f>ROUND((IFERROR((1/IF(VLOOKUP($A49,EnrollData2324,28,FALSE)='District Calculations'!$D$10,VLOOKUP($A49,EnrollData2324,28,FALSE),'District Calculations'!$D$10))*(1+Apport_Z315),0))+Apport_201A2324s,6)</f>
        <v>7.3449E-2</v>
      </c>
      <c r="D49">
        <f>ROUND(IF(VLOOKUP($A49,EnrollData2324,'2324 Jun 24 Enroll'!D$1,FALSE)='District Calculations'!$D$11,VLOOKUP($A49,EnrollData2324,'2324 Jun 24 Enroll'!D$1,FALSE),'District Calculations'!$D$11)*C49,3)</f>
        <v>0</v>
      </c>
      <c r="E49">
        <f>ROUND(IF(VLOOKUP($A49,EnrollData2324,'2324 Jun 24 Enroll'!E$1,FALSE)='District Calculations'!$D$12,VLOOKUP($A49,EnrollData2324,'2324 Jun 24 Enroll'!E$1,FALSE),'District Calculations'!$D$12)*C49,3)</f>
        <v>59.53</v>
      </c>
      <c r="F49">
        <f>ROUND(IF(VLOOKUP($A49,EnrollData2324,'2324 Jun 24 Enroll'!F$1,FALSE)='District Calculations'!$D$13,VLOOKUP($A49,EnrollData2324,'2324 Jun 24 Enroll'!F$1,FALSE),'District Calculations'!$D$13)*Apport_222A2324s,3)</f>
        <v>10.101000000000001</v>
      </c>
      <c r="G49">
        <f>ROUND(IF(VLOOKUP($A49,EnrollData2324,'2324 Jun 24 Enroll'!G$1,FALSE)='District Calculations'!$D$14,VLOOKUP($A49,EnrollData2324,'2324 Jun 24 Enroll'!G$1,FALSE),'District Calculations'!$D$14)*Apport_210A2324s,3)</f>
        <v>22.395</v>
      </c>
      <c r="H49">
        <f>ROUND(IF(VLOOKUP($A49,EnrollData2324,'2324 Jun 24 Enroll'!H$1,FALSE)='District Calculations'!$D$15,VLOOKUP($A49,EnrollData2324,'2324 Jun 24 Enroll'!H$1,FALSE),'District Calculations'!$D$15)*Apport_213A2324s,3)</f>
        <v>23.091999999999999</v>
      </c>
      <c r="I49">
        <f>ROUND(IF(VLOOKUP($A49,EnrollData2324,'2324 Jun 24 Enroll'!I$1,FALSE)+VLOOKUP($A49,EnrollData2324,'2324 Jun 24 Enroll'!M$1,FALSE)-VLOOKUP($A49,EnrollData2324,'2324 Jun 24 Enroll'!J$1,FALSE)='District Calculations'!$D$16+'District Calculations'!$D$25-'District Calculations'!$D$17,VLOOKUP($A49,EnrollData2324,'2324 Jun 24 Enroll'!I$1,FALSE)+VLOOKUP($A49,EnrollData2324,'2324 Jun 24 Enroll'!M$1,FALSE)-VLOOKUP($A49,EnrollData2324,'2324 Jun 24 Enroll'!J$1,FALSE),'District Calculations'!$D$16+'District Calculations'!$D$25-'District Calculations'!$D$17)*Apport_216A2324s,3)</f>
        <v>58.183999999999997</v>
      </c>
      <c r="J49">
        <f>ROUND(SUM(D49:I49)/(IF(VLOOKUP($A49,EnrollData2324,'2324 Jun 24 Enroll'!M$1,FALSE)='District Calculations'!$D$25,VLOOKUP($A49,EnrollData2324,'2324 Jun 24 Enroll'!M$1,FALSE),'District Calculations'!$D$25)+IF(VLOOKUP($A49,EnrollData2324,'2324 Jun 24 Enroll'!D$1,FALSE)='District Calculations'!$D$11,VLOOKUP($A49,EnrollData2324,'2324 Jun 24 Enroll'!D$1,FALSE),'District Calculations'!$D$11)),5)</f>
        <v>5.5530000000000003E-2</v>
      </c>
      <c r="K49" s="11">
        <f t="shared" si="6"/>
        <v>4.3699999999999998E-3</v>
      </c>
      <c r="L49">
        <f>ROUND(IF(VLOOKUP($A49,EnrollData2324,'2324 Jun 24 Enroll'!D$1,FALSE)='District Calculations'!$D$11,VLOOKUP($A49,EnrollData2324,'2324 Jun 24 Enroll'!D$1,FALSE),'District Calculations'!$D$11)*K49,3)</f>
        <v>0</v>
      </c>
      <c r="M49">
        <f>ROUND(IF(VLOOKUP($A49,EnrollData2324,'2324 Jun 24 Enroll'!E$1,FALSE)='District Calculations'!$D$12,VLOOKUP($A49,EnrollData2324,'2324 Jun 24 Enroll'!E$1,FALSE),'District Calculations'!$D$12)*K49,3)</f>
        <v>3.5419999999999998</v>
      </c>
      <c r="N49">
        <f>ROUND(IF(VLOOKUP($A49,EnrollData2324,'2324 Jun 24 Enroll'!F$1,FALSE)='District Calculations'!$D$13,VLOOKUP($A49,EnrollData2324,'2324 Jun 24 Enroll'!F$1,FALSE),'District Calculations'!$D$13)*Apport_223A2324s,3)</f>
        <v>0.84299999999999997</v>
      </c>
      <c r="O49">
        <f>ROUND(IF(VLOOKUP($A49,EnrollData2324,'2324 Jun 24 Enroll'!G$1,FALSE)='District Calculations'!$D$14,VLOOKUP($A49,EnrollData2324,'2324 Jun 24 Enroll'!G$1,FALSE),'District Calculations'!$D$14)*Apport_211A2324s,3)</f>
        <v>1.87</v>
      </c>
      <c r="P49">
        <f>ROUND(IF(VLOOKUP($A49,EnrollData2324,'2324 Jun 24 Enroll'!H$1,FALSE)='District Calculations'!$D$14,VLOOKUP($A49,EnrollData2324,'2324 Jun 24 Enroll'!H$1,FALSE),'District Calculations'!$D$14)*Apport_214A2324s,3)</f>
        <v>1.8680000000000001</v>
      </c>
      <c r="Q49">
        <f>ROUND(IF(VLOOKUP($A49,EnrollData2324,'2324 Jun 24 Enroll'!I$1,FALSE)+VLOOKUP($A49,EnrollData2324,'2324 Jun 24 Enroll'!M$1,FALSE)-VLOOKUP($A49,EnrollData2324,'2324 Jun 24 Enroll'!J$1,FALSE)='District Calculations'!$D$16+'District Calculations'!$D$25-'District Calculations'!$D$17,VLOOKUP($A49,EnrollData2324,'2324 Jun 24 Enroll'!I$1,FALSE)+VLOOKUP($A49,EnrollData2324,'2324 Jun 24 Enroll'!M$1,FALSE)-VLOOKUP($A49,EnrollData2324,'2324 Jun 24 Enroll'!J$1,FALSE),'District Calculations'!$D$16+'District Calculations'!$D$25-'District Calculations'!$D$17)*Apport_217A2324s,3)</f>
        <v>4.702</v>
      </c>
      <c r="R49">
        <f>ROUND(SUM(L49:Q49)/IF(VLOOKUP($A49,EnrollData2324,'2324 Jun 24 Enroll'!M$1,FALSE)+VLOOKUP($A49,EnrollData2324,'2324 Jun 24 Enroll'!D$1,FALSE)='District Calculations'!$D$25+'District Calculations'!$D$11,VLOOKUP($A49,EnrollData2324,'2324 Jun 24 Enroll'!M$1,FALSE)+VLOOKUP($A49,EnrollData2324,'2324 Jun 24 Enroll'!D$1,FALSE),'District Calculations'!$D$25+'District Calculations'!$D$11),5)</f>
        <v>4.1099999999999999E-3</v>
      </c>
      <c r="S49" s="11">
        <f t="shared" si="7"/>
        <v>1.8689600000000001E-2</v>
      </c>
      <c r="T49">
        <f>ROUND(IF(VLOOKUP($A49,EnrollData2324,'2324 Jun 24 Enroll'!D$1,FALSE)='District Calculations'!$D$11,VLOOKUP($A49,EnrollData2324,'2324 Jun 24 Enroll'!D$1,FALSE),'District Calculations'!$D$11)*S49,3)</f>
        <v>0</v>
      </c>
      <c r="U49">
        <f>ROUND(IF(VLOOKUP($A49,EnrollData2324,'2324 Jun 24 Enroll'!E$1,FALSE)='District Calculations'!$D$12,VLOOKUP($A49,EnrollData2324,'2324 Jun 24 Enroll'!E$1,FALSE),'District Calculations'!$D$12)*S49,3)</f>
        <v>15.148</v>
      </c>
      <c r="V49">
        <f>ROUND(IF(VLOOKUP($A49,EnrollData2324,'2324 Jun 24 Enroll'!F$1,FALSE)='District Calculations'!$D$13,VLOOKUP($A49,EnrollData2324,'2324 Jun 24 Enroll'!F$1,FALSE),'District Calculations'!$D$13)*Apport_224A2324s,3)</f>
        <v>3.7029999999999998</v>
      </c>
      <c r="W49">
        <f>ROUND(IF(VLOOKUP($A49,EnrollData2324,'2324 Jun 24 Enroll'!G$1,FALSE)='District Calculations'!$D$14,VLOOKUP($A49,EnrollData2324,'2324 Jun 24 Enroll'!G$1,FALSE),'District Calculations'!$D$14)*Apport_212A2324s,3)</f>
        <v>8.2089999999999996</v>
      </c>
      <c r="X49">
        <f>ROUND(IF(VLOOKUP($A49,EnrollData2324,'2324 Jun 24 Enroll'!H$1,FALSE)='District Calculations'!$D$14,VLOOKUP($A49,EnrollData2324,'2324 Jun 24 Enroll'!H$1,FALSE),'District Calculations'!$D$14)*Apport_215A2324s,3)</f>
        <v>8.0969999999999995</v>
      </c>
      <c r="Y49">
        <f>ROUND(IF(VLOOKUP($A49,EnrollData2324,'2324 Jun 24 Enroll'!I$1,FALSE)+VLOOKUP($A49,EnrollData2324,'2324 Jun 24 Enroll'!M$1,FALSE)-VLOOKUP($A49,EnrollData2324,'2324 Jun 24 Enroll'!J$1,FALSE)='District Calculations'!$D$16+'District Calculations'!$D$25-'District Calculations'!$D$17,VLOOKUP($A49,EnrollData2324,'2324 Jun 24 Enroll'!I$1,FALSE)+VLOOKUP($A49,EnrollData2324,'2324 Jun 24 Enroll'!M$1,FALSE)-VLOOKUP($A49,EnrollData2324,'2324 Jun 24 Enroll'!J$1,FALSE),'District Calculations'!$D$16+'District Calculations'!$D$25-'District Calculations'!$D$17)*Apport_218A2324s,3)</f>
        <v>20.224</v>
      </c>
      <c r="Z49">
        <f>ROUND(SUM(T49:Y49)/IF(VLOOKUP($A49,EnrollData2324,'2324 Jun 24 Enroll'!M$1,FALSE)+VLOOKUP($A49,EnrollData2324,'2324 Jun 24 Enroll'!D$1,FALSE)='District Calculations'!$D$25+'District Calculations'!$D$11,VLOOKUP($A49,EnrollData2324,'2324 Jun 24 Enroll'!M$1,FALSE)+VLOOKUP($A49,EnrollData2324,'2324 Jun 24 Enroll'!D$1,FALSE),'District Calculations'!$D$25+'District Calculations'!$D$11),5)</f>
        <v>1.7749999999999998E-2</v>
      </c>
      <c r="AA49" s="6" cm="1">
        <f t="array" ref="AA49">ROUND($J49*CIS_Base_Salary2324s*VLOOKUP($A49,EnrollData2324,'2324 Jun 24 Enroll'!S$1,FALSE),2)</f>
        <v>4099.16</v>
      </c>
      <c r="AB49" s="6" cm="1">
        <f t="array" ref="AB49">ROUND($J49*CIS_Inc_Salary2324s*(VLOOKUP($A49,EnrollData2324,'2324 Jun 24 Enroll'!T$1,FALSE)+VLOOKUP($A49,EnrollData2324,'2324 Jun 24 Enroll'!U$1,FALSE)),2)-AA49</f>
        <v>151.68000000000029</v>
      </c>
      <c r="AC49" s="6" cm="1">
        <f t="array" ref="AC49">ROUND($R49*CAS_Base_Salary2324s*VLOOKUP($A49,EnrollData2324,'2324 Jun 24 Enroll'!S$1,FALSE),2)</f>
        <v>450.35</v>
      </c>
      <c r="AD49" s="6" cm="1">
        <f t="array" ref="AD49">ROUND($R49*CAS_Inc_Salary2324s*VLOOKUP($A49,EnrollData2324,'2324 Jun 24 Enroll'!T$1,FALSE),2)-AC49</f>
        <v>16.669999999999959</v>
      </c>
      <c r="AE49" s="6" cm="1">
        <f t="array" ref="AE49">ROUND($Z49*CLS_Base_Salary2324s*VLOOKUP($A49,EnrollData2324,'2324 Jun 24 Enroll'!S$1,FALSE),2)</f>
        <v>939.96</v>
      </c>
      <c r="AF49" s="6" cm="1">
        <f t="array" ref="AF49">ROUND($Z49*CLS_Inc_Salary2324s*VLOOKUP($A49,EnrollData2324,'2324 Jun 24 Enroll'!T$1,FALSE),2)-AE49</f>
        <v>34.769999999999982</v>
      </c>
      <c r="AG49" cm="1">
        <f t="array" ref="AG49">ROUND(($J49+$R49)*Apport_124X2324s,2)</f>
        <v>734.29</v>
      </c>
      <c r="AH49" s="69">
        <f t="shared" si="8"/>
        <v>68.700000000000045</v>
      </c>
      <c r="AI49" cm="1">
        <f t="array" ref="AI49">ROUND($Z49*Apport_124X2324s,2)</f>
        <v>218.54</v>
      </c>
      <c r="AJ49" cm="1">
        <f t="array" ref="AJ49">ROUND($Z49*Apport_621X2324s*Apport_125X2324s,2)-AI49</f>
        <v>116.51000000000002</v>
      </c>
      <c r="AK49" cm="1">
        <f t="array" ref="AK49">ROUND((AA49+AC49)*Apport_126X2324s,2)</f>
        <v>817.55</v>
      </c>
      <c r="AL49" cm="1">
        <f t="array" ref="AL49">ROUND((AB49+AD49)*Apport_127X2324s,2)</f>
        <v>29.18</v>
      </c>
      <c r="AM49" cm="1">
        <f t="array" ref="AM49">ROUND(AE49*Apport_128X2324s,2)</f>
        <v>207.36</v>
      </c>
      <c r="AN49" cm="1">
        <f t="array" ref="AN49">ROUND(AF49*Apport_129X2324s,2)</f>
        <v>6.45</v>
      </c>
      <c r="AO49" cm="1">
        <f t="array" ref="AO49">ROUND(($J49*CIS_Inc_Salary2324s*(VLOOKUP($A49,EnrollData2324,'2324 Jun 24 Enroll'!T$1,FALSE)+VLOOKUP($A49,EnrollData2324,'2324 Jun 24 Enroll'!U$1,FALSE))/Apport_613Xpd)*Apport_614Xpd,2)</f>
        <v>70.849999999999994</v>
      </c>
      <c r="AP49" cm="1">
        <f t="array" ref="AP49">ROUND(AO49*Apport_127X2324s,2)</f>
        <v>12.28</v>
      </c>
      <c r="AQ49">
        <f t="shared" si="9"/>
        <v>30.93</v>
      </c>
      <c r="AR49" s="6" cm="1">
        <f t="array" ref="AR49">ROUND((VLOOKUP($A49,EnrollData2324,'2324 Jun 24 Enroll'!D$1,FALSE)*Apport_M802324s+VLOOKUP($A49,EnrollData2324,'2324 Jun 24 Enroll'!M$1,FALSE)*Apport_M802324s+(VLOOKUP($A49,EnrollData2324,'2324 Jun 24 Enroll'!P$1,FALSE)+VLOOKUP($A49,EnrollData2324,'2324 Jun 24 Enroll'!Q$1,FALSE)+VLOOKUP($A49,EnrollData2324,'2324 Jun 24 Enroll'!R$1,FALSE)+VLOOKUP($A49,EnrollData2324,'2324 Jun 24 Enroll'!I$1,FALSE)+VLOOKUP($A49,EnrollData2324,'2324 Jun 24 Enroll'!N$1,FALSE)+VLOOKUP($A49,EnrollData2324,'2324 Jun 24 Enroll'!O$1,FALSE)+VLOOKUP($A49,EnrollData2324,'2324 Jun 24 Enroll'!K$1,FALSE)+VLOOKUP($A49,EnrollData2324,'2324 Jun 24 Enroll'!L$1,FALSE))*Apport_M812324s)/(VLOOKUP($A49,EnrollData2324,'2324 Jun 24 Enroll'!M$1,FALSE)+VLOOKUP($A49,EnrollData2324,'2324 Jun 24 Enroll'!D$1,FALSE)),2)</f>
        <v>1504.44</v>
      </c>
      <c r="AS49" s="7">
        <f t="shared" si="11"/>
        <v>9509.67</v>
      </c>
    </row>
    <row r="50" spans="1:46">
      <c r="A50" s="40" t="s">
        <v>450</v>
      </c>
      <c r="B50" s="40" t="s">
        <v>451</v>
      </c>
      <c r="C50" s="11">
        <f>ROUND((IFERROR((1/IF(VLOOKUP($A50,EnrollData2324,28,FALSE)='District Calculations'!$D$10,VLOOKUP($A50,EnrollData2324,28,FALSE),'District Calculations'!$D$10))*(1+Apport_Z315),0))+Apport_201A2324s,6)</f>
        <v>7.3449E-2</v>
      </c>
      <c r="D50">
        <f>ROUND(IF(VLOOKUP($A50,EnrollData2324,'2324 Jun 24 Enroll'!D$1,FALSE)='District Calculations'!$D$11,VLOOKUP($A50,EnrollData2324,'2324 Jun 24 Enroll'!D$1,FALSE),'District Calculations'!$D$11)*C50,3)</f>
        <v>0</v>
      </c>
      <c r="E50">
        <f>ROUND(IF(VLOOKUP($A50,EnrollData2324,'2324 Jun 24 Enroll'!E$1,FALSE)='District Calculations'!$D$12,VLOOKUP($A50,EnrollData2324,'2324 Jun 24 Enroll'!E$1,FALSE),'District Calculations'!$D$12)*C50,3)</f>
        <v>59.53</v>
      </c>
      <c r="F50">
        <f>ROUND(IF(VLOOKUP($A50,EnrollData2324,'2324 Jun 24 Enroll'!F$1,FALSE)='District Calculations'!$D$13,VLOOKUP($A50,EnrollData2324,'2324 Jun 24 Enroll'!F$1,FALSE),'District Calculations'!$D$13)*Apport_222A2324s,3)</f>
        <v>10.101000000000001</v>
      </c>
      <c r="G50">
        <f>ROUND(IF(VLOOKUP($A50,EnrollData2324,'2324 Jun 24 Enroll'!G$1,FALSE)='District Calculations'!$D$14,VLOOKUP($A50,EnrollData2324,'2324 Jun 24 Enroll'!G$1,FALSE),'District Calculations'!$D$14)*Apport_210A2324s,3)</f>
        <v>22.395</v>
      </c>
      <c r="H50">
        <f>ROUND(IF(VLOOKUP($A50,EnrollData2324,'2324 Jun 24 Enroll'!H$1,FALSE)='District Calculations'!$D$15,VLOOKUP($A50,EnrollData2324,'2324 Jun 24 Enroll'!H$1,FALSE),'District Calculations'!$D$15)*Apport_213A2324s,3)</f>
        <v>23.091999999999999</v>
      </c>
      <c r="I50">
        <f>ROUND(IF(VLOOKUP($A50,EnrollData2324,'2324 Jun 24 Enroll'!I$1,FALSE)+VLOOKUP($A50,EnrollData2324,'2324 Jun 24 Enroll'!M$1,FALSE)-VLOOKUP($A50,EnrollData2324,'2324 Jun 24 Enroll'!J$1,FALSE)='District Calculations'!$D$16+'District Calculations'!$D$25-'District Calculations'!$D$17,VLOOKUP($A50,EnrollData2324,'2324 Jun 24 Enroll'!I$1,FALSE)+VLOOKUP($A50,EnrollData2324,'2324 Jun 24 Enroll'!M$1,FALSE)-VLOOKUP($A50,EnrollData2324,'2324 Jun 24 Enroll'!J$1,FALSE),'District Calculations'!$D$16+'District Calculations'!$D$25-'District Calculations'!$D$17)*Apport_216A2324s,3)</f>
        <v>58.183999999999997</v>
      </c>
      <c r="J50">
        <f>ROUND(SUM(D50:I50)/(IF(VLOOKUP($A50,EnrollData2324,'2324 Jun 24 Enroll'!M$1,FALSE)='District Calculations'!$D$25,VLOOKUP($A50,EnrollData2324,'2324 Jun 24 Enroll'!M$1,FALSE),'District Calculations'!$D$25)+IF(VLOOKUP($A50,EnrollData2324,'2324 Jun 24 Enroll'!D$1,FALSE)='District Calculations'!$D$11,VLOOKUP($A50,EnrollData2324,'2324 Jun 24 Enroll'!D$1,FALSE),'District Calculations'!$D$11)),5)</f>
        <v>5.5530000000000003E-2</v>
      </c>
      <c r="K50" s="11">
        <f t="shared" si="6"/>
        <v>4.3699999999999998E-3</v>
      </c>
      <c r="L50">
        <f>ROUND(IF(VLOOKUP($A50,EnrollData2324,'2324 Jun 24 Enroll'!D$1,FALSE)='District Calculations'!$D$11,VLOOKUP($A50,EnrollData2324,'2324 Jun 24 Enroll'!D$1,FALSE),'District Calculations'!$D$11)*K50,3)</f>
        <v>0</v>
      </c>
      <c r="M50">
        <f>ROUND(IF(VLOOKUP($A50,EnrollData2324,'2324 Jun 24 Enroll'!E$1,FALSE)='District Calculations'!$D$12,VLOOKUP($A50,EnrollData2324,'2324 Jun 24 Enroll'!E$1,FALSE),'District Calculations'!$D$12)*K50,3)</f>
        <v>3.5419999999999998</v>
      </c>
      <c r="N50">
        <f>ROUND(IF(VLOOKUP($A50,EnrollData2324,'2324 Jun 24 Enroll'!F$1,FALSE)='District Calculations'!$D$13,VLOOKUP($A50,EnrollData2324,'2324 Jun 24 Enroll'!F$1,FALSE),'District Calculations'!$D$13)*Apport_223A2324s,3)</f>
        <v>0.84299999999999997</v>
      </c>
      <c r="O50">
        <f>ROUND(IF(VLOOKUP($A50,EnrollData2324,'2324 Jun 24 Enroll'!G$1,FALSE)='District Calculations'!$D$14,VLOOKUP($A50,EnrollData2324,'2324 Jun 24 Enroll'!G$1,FALSE),'District Calculations'!$D$14)*Apport_211A2324s,3)</f>
        <v>1.87</v>
      </c>
      <c r="P50">
        <f>ROUND(IF(VLOOKUP($A50,EnrollData2324,'2324 Jun 24 Enroll'!H$1,FALSE)='District Calculations'!$D$14,VLOOKUP($A50,EnrollData2324,'2324 Jun 24 Enroll'!H$1,FALSE),'District Calculations'!$D$14)*Apport_214A2324s,3)</f>
        <v>1.8680000000000001</v>
      </c>
      <c r="Q50">
        <f>ROUND(IF(VLOOKUP($A50,EnrollData2324,'2324 Jun 24 Enroll'!I$1,FALSE)+VLOOKUP($A50,EnrollData2324,'2324 Jun 24 Enroll'!M$1,FALSE)-VLOOKUP($A50,EnrollData2324,'2324 Jun 24 Enroll'!J$1,FALSE)='District Calculations'!$D$16+'District Calculations'!$D$25-'District Calculations'!$D$17,VLOOKUP($A50,EnrollData2324,'2324 Jun 24 Enroll'!I$1,FALSE)+VLOOKUP($A50,EnrollData2324,'2324 Jun 24 Enroll'!M$1,FALSE)-VLOOKUP($A50,EnrollData2324,'2324 Jun 24 Enroll'!J$1,FALSE),'District Calculations'!$D$16+'District Calculations'!$D$25-'District Calculations'!$D$17)*Apport_217A2324s,3)</f>
        <v>4.702</v>
      </c>
      <c r="R50">
        <f>ROUND(SUM(L50:Q50)/IF(VLOOKUP($A50,EnrollData2324,'2324 Jun 24 Enroll'!M$1,FALSE)+VLOOKUP($A50,EnrollData2324,'2324 Jun 24 Enroll'!D$1,FALSE)='District Calculations'!$D$25+'District Calculations'!$D$11,VLOOKUP($A50,EnrollData2324,'2324 Jun 24 Enroll'!M$1,FALSE)+VLOOKUP($A50,EnrollData2324,'2324 Jun 24 Enroll'!D$1,FALSE),'District Calculations'!$D$25+'District Calculations'!$D$11),5)</f>
        <v>4.1099999999999999E-3</v>
      </c>
      <c r="S50" s="11">
        <f t="shared" si="7"/>
        <v>1.8689600000000001E-2</v>
      </c>
      <c r="T50">
        <f>ROUND(IF(VLOOKUP($A50,EnrollData2324,'2324 Jun 24 Enroll'!D$1,FALSE)='District Calculations'!$D$11,VLOOKUP($A50,EnrollData2324,'2324 Jun 24 Enroll'!D$1,FALSE),'District Calculations'!$D$11)*S50,3)</f>
        <v>0</v>
      </c>
      <c r="U50">
        <f>ROUND(IF(VLOOKUP($A50,EnrollData2324,'2324 Jun 24 Enroll'!E$1,FALSE)='District Calculations'!$D$12,VLOOKUP($A50,EnrollData2324,'2324 Jun 24 Enroll'!E$1,FALSE),'District Calculations'!$D$12)*S50,3)</f>
        <v>15.148</v>
      </c>
      <c r="V50">
        <f>ROUND(IF(VLOOKUP($A50,EnrollData2324,'2324 Jun 24 Enroll'!F$1,FALSE)='District Calculations'!$D$13,VLOOKUP($A50,EnrollData2324,'2324 Jun 24 Enroll'!F$1,FALSE),'District Calculations'!$D$13)*Apport_224A2324s,3)</f>
        <v>3.7029999999999998</v>
      </c>
      <c r="W50">
        <f>ROUND(IF(VLOOKUP($A50,EnrollData2324,'2324 Jun 24 Enroll'!G$1,FALSE)='District Calculations'!$D$14,VLOOKUP($A50,EnrollData2324,'2324 Jun 24 Enroll'!G$1,FALSE),'District Calculations'!$D$14)*Apport_212A2324s,3)</f>
        <v>8.2089999999999996</v>
      </c>
      <c r="X50">
        <f>ROUND(IF(VLOOKUP($A50,EnrollData2324,'2324 Jun 24 Enroll'!H$1,FALSE)='District Calculations'!$D$14,VLOOKUP($A50,EnrollData2324,'2324 Jun 24 Enroll'!H$1,FALSE),'District Calculations'!$D$14)*Apport_215A2324s,3)</f>
        <v>8.0969999999999995</v>
      </c>
      <c r="Y50">
        <f>ROUND(IF(VLOOKUP($A50,EnrollData2324,'2324 Jun 24 Enroll'!I$1,FALSE)+VLOOKUP($A50,EnrollData2324,'2324 Jun 24 Enroll'!M$1,FALSE)-VLOOKUP($A50,EnrollData2324,'2324 Jun 24 Enroll'!J$1,FALSE)='District Calculations'!$D$16+'District Calculations'!$D$25-'District Calculations'!$D$17,VLOOKUP($A50,EnrollData2324,'2324 Jun 24 Enroll'!I$1,FALSE)+VLOOKUP($A50,EnrollData2324,'2324 Jun 24 Enroll'!M$1,FALSE)-VLOOKUP($A50,EnrollData2324,'2324 Jun 24 Enroll'!J$1,FALSE),'District Calculations'!$D$16+'District Calculations'!$D$25-'District Calculations'!$D$17)*Apport_218A2324s,3)</f>
        <v>20.224</v>
      </c>
      <c r="Z50">
        <f>ROUND(SUM(T50:Y50)/IF(VLOOKUP($A50,EnrollData2324,'2324 Jun 24 Enroll'!M$1,FALSE)+VLOOKUP($A50,EnrollData2324,'2324 Jun 24 Enroll'!D$1,FALSE)='District Calculations'!$D$25+'District Calculations'!$D$11,VLOOKUP($A50,EnrollData2324,'2324 Jun 24 Enroll'!M$1,FALSE)+VLOOKUP($A50,EnrollData2324,'2324 Jun 24 Enroll'!D$1,FALSE),'District Calculations'!$D$25+'District Calculations'!$D$11),5)</f>
        <v>1.7749999999999998E-2</v>
      </c>
      <c r="AA50" s="6" cm="1">
        <f t="array" ref="AA50">ROUND($J50*CIS_Base_Salary2324s*VLOOKUP($A50,EnrollData2324,'2324 Jun 24 Enroll'!S$1,FALSE),2)</f>
        <v>4038.59</v>
      </c>
      <c r="AB50" s="6" cm="1">
        <f t="array" ref="AB50">ROUND($J50*CIS_Inc_Salary2324s*(VLOOKUP($A50,EnrollData2324,'2324 Jun 24 Enroll'!T$1,FALSE)+VLOOKUP($A50,EnrollData2324,'2324 Jun 24 Enroll'!U$1,FALSE)),2)-AA50</f>
        <v>316.94999999999982</v>
      </c>
      <c r="AC50" s="6" cm="1">
        <f t="array" ref="AC50">ROUND($R50*CAS_Base_Salary2324s*VLOOKUP($A50,EnrollData2324,'2324 Jun 24 Enroll'!S$1,FALSE),2)</f>
        <v>443.7</v>
      </c>
      <c r="AD50" s="6" cm="1">
        <f t="array" ref="AD50">ROUND($R50*CAS_Inc_Salary2324s*VLOOKUP($A50,EnrollData2324,'2324 Jun 24 Enroll'!T$1,FALSE),2)-AC50</f>
        <v>16.410000000000025</v>
      </c>
      <c r="AE50" s="6" cm="1">
        <f t="array" ref="AE50">ROUND($Z50*CLS_Base_Salary2324s*VLOOKUP($A50,EnrollData2324,'2324 Jun 24 Enroll'!S$1,FALSE),2)</f>
        <v>926.07</v>
      </c>
      <c r="AF50" s="6" cm="1">
        <f t="array" ref="AF50">ROUND($Z50*CLS_Inc_Salary2324s*VLOOKUP($A50,EnrollData2324,'2324 Jun 24 Enroll'!T$1,FALSE),2)-AE50</f>
        <v>34.259999999999991</v>
      </c>
      <c r="AG50" cm="1">
        <f t="array" ref="AG50">ROUND(($J50+$R50)*Apport_124X2324s,2)</f>
        <v>734.29</v>
      </c>
      <c r="AH50" s="69">
        <f t="shared" si="8"/>
        <v>68.700000000000045</v>
      </c>
      <c r="AI50" cm="1">
        <f t="array" ref="AI50">ROUND($Z50*Apport_124X2324s,2)</f>
        <v>218.54</v>
      </c>
      <c r="AJ50" cm="1">
        <f t="array" ref="AJ50">ROUND($Z50*Apport_621X2324s*Apport_125X2324s,2)-AI50</f>
        <v>116.51000000000002</v>
      </c>
      <c r="AK50" cm="1">
        <f t="array" ref="AK50">ROUND((AA50+AC50)*Apport_126X2324s,2)</f>
        <v>805.47</v>
      </c>
      <c r="AL50" cm="1">
        <f t="array" ref="AL50">ROUND((AB50+AD50)*Apport_127X2324s,2)</f>
        <v>57.77</v>
      </c>
      <c r="AM50" cm="1">
        <f t="array" ref="AM50">ROUND(AE50*Apport_128X2324s,2)</f>
        <v>204.29</v>
      </c>
      <c r="AN50" cm="1">
        <f t="array" ref="AN50">ROUND(AF50*Apport_129X2324s,2)</f>
        <v>6.36</v>
      </c>
      <c r="AO50" cm="1">
        <f t="array" ref="AO50">ROUND(($J50*CIS_Inc_Salary2324s*(VLOOKUP($A50,EnrollData2324,'2324 Jun 24 Enroll'!T$1,FALSE)+VLOOKUP($A50,EnrollData2324,'2324 Jun 24 Enroll'!U$1,FALSE))/Apport_613Xpd)*Apport_614Xpd,2)</f>
        <v>72.59</v>
      </c>
      <c r="AP50" cm="1">
        <f t="array" ref="AP50">ROUND(AO50*Apport_127X2324s,2)</f>
        <v>12.58</v>
      </c>
      <c r="AQ50">
        <f>ROUND((J50*Apport_581X)*(Apport_116X*Apport_132X),2)</f>
        <v>30.93</v>
      </c>
      <c r="AR50" s="6" cm="1">
        <f t="array" ref="AR50">ROUND((VLOOKUP($A50,EnrollData2324,'2324 Jun 24 Enroll'!D$1,FALSE)*Apport_M802324s+VLOOKUP($A50,EnrollData2324,'2324 Jun 24 Enroll'!M$1,FALSE)*Apport_M802324s+(VLOOKUP($A50,EnrollData2324,'2324 Jun 24 Enroll'!P$1,FALSE)+VLOOKUP($A50,EnrollData2324,'2324 Jun 24 Enroll'!Q$1,FALSE)+VLOOKUP($A50,EnrollData2324,'2324 Jun 24 Enroll'!R$1,FALSE)+VLOOKUP($A50,EnrollData2324,'2324 Jun 24 Enroll'!I$1,FALSE)+VLOOKUP($A50,EnrollData2324,'2324 Jun 24 Enroll'!N$1,FALSE)+VLOOKUP($A50,EnrollData2324,'2324 Jun 24 Enroll'!O$1,FALSE)+VLOOKUP($A50,EnrollData2324,'2324 Jun 24 Enroll'!K$1,FALSE)+VLOOKUP($A50,EnrollData2324,'2324 Jun 24 Enroll'!L$1,FALSE))*Apport_M812324s)/(VLOOKUP($A50,EnrollData2324,'2324 Jun 24 Enroll'!M$1,FALSE)+VLOOKUP($A50,EnrollData2324,'2324 Jun 24 Enroll'!D$1,FALSE)),2)</f>
        <v>1552.9</v>
      </c>
      <c r="AS50" s="7">
        <f>SUM(AA50:AR50)</f>
        <v>9656.91</v>
      </c>
      <c r="AT50" s="6"/>
    </row>
    <row r="51" spans="1:46">
      <c r="A51" s="40" t="s">
        <v>542</v>
      </c>
      <c r="B51" s="40" t="s">
        <v>543</v>
      </c>
      <c r="C51" s="11">
        <f>ROUND((IFERROR((1/IF(VLOOKUP($A51,EnrollData2324,28,FALSE)='District Calculations'!$D$10,VLOOKUP($A51,EnrollData2324,28,FALSE),'District Calculations'!$D$10))*(1+Apport_Z315),0))+Apport_201A2324s,6)</f>
        <v>7.3449E-2</v>
      </c>
      <c r="D51">
        <f>ROUND(IF(VLOOKUP($A51,EnrollData2324,'2324 Jun 24 Enroll'!D$1,FALSE)='District Calculations'!$D$11,VLOOKUP($A51,EnrollData2324,'2324 Jun 24 Enroll'!D$1,FALSE),'District Calculations'!$D$11)*C51,3)</f>
        <v>0</v>
      </c>
      <c r="E51">
        <f>ROUND(IF(VLOOKUP($A51,EnrollData2324,'2324 Jun 24 Enroll'!E$1,FALSE)='District Calculations'!$D$12,VLOOKUP($A51,EnrollData2324,'2324 Jun 24 Enroll'!E$1,FALSE),'District Calculations'!$D$12)*C51,3)</f>
        <v>59.53</v>
      </c>
      <c r="F51">
        <f>ROUND(IF(VLOOKUP($A51,EnrollData2324,'2324 Jun 24 Enroll'!F$1,FALSE)='District Calculations'!$D$13,VLOOKUP($A51,EnrollData2324,'2324 Jun 24 Enroll'!F$1,FALSE),'District Calculations'!$D$13)*Apport_222A2324s,3)</f>
        <v>10.101000000000001</v>
      </c>
      <c r="G51">
        <f>ROUND(IF(VLOOKUP($A51,EnrollData2324,'2324 Jun 24 Enroll'!G$1,FALSE)='District Calculations'!$D$14,VLOOKUP($A51,EnrollData2324,'2324 Jun 24 Enroll'!G$1,FALSE),'District Calculations'!$D$14)*Apport_210A2324s,3)</f>
        <v>22.395</v>
      </c>
      <c r="H51">
        <f>ROUND(IF(VLOOKUP($A51,EnrollData2324,'2324 Jun 24 Enroll'!H$1,FALSE)='District Calculations'!$D$15,VLOOKUP($A51,EnrollData2324,'2324 Jun 24 Enroll'!H$1,FALSE),'District Calculations'!$D$15)*Apport_213A2324s,3)</f>
        <v>23.091999999999999</v>
      </c>
      <c r="I51">
        <f>ROUND(IF(VLOOKUP($A51,EnrollData2324,'2324 Jun 24 Enroll'!I$1,FALSE)+VLOOKUP($A51,EnrollData2324,'2324 Jun 24 Enroll'!M$1,FALSE)-VLOOKUP($A51,EnrollData2324,'2324 Jun 24 Enroll'!J$1,FALSE)='District Calculations'!$D$16+'District Calculations'!$D$25-'District Calculations'!$D$17,VLOOKUP($A51,EnrollData2324,'2324 Jun 24 Enroll'!I$1,FALSE)+VLOOKUP($A51,EnrollData2324,'2324 Jun 24 Enroll'!M$1,FALSE)-VLOOKUP($A51,EnrollData2324,'2324 Jun 24 Enroll'!J$1,FALSE),'District Calculations'!$D$16+'District Calculations'!$D$25-'District Calculations'!$D$17)*Apport_216A2324s,3)</f>
        <v>58.183999999999997</v>
      </c>
      <c r="J51">
        <f>ROUND(SUM(D51:I51)/(IF(VLOOKUP($A51,EnrollData2324,'2324 Jun 24 Enroll'!M$1,FALSE)='District Calculations'!$D$25,VLOOKUP($A51,EnrollData2324,'2324 Jun 24 Enroll'!M$1,FALSE),'District Calculations'!$D$25)+IF(VLOOKUP($A51,EnrollData2324,'2324 Jun 24 Enroll'!D$1,FALSE)='District Calculations'!$D$11,VLOOKUP($A51,EnrollData2324,'2324 Jun 24 Enroll'!D$1,FALSE),'District Calculations'!$D$11)),5)</f>
        <v>5.5530000000000003E-2</v>
      </c>
      <c r="K51" s="11">
        <f t="shared" si="6"/>
        <v>4.3699999999999998E-3</v>
      </c>
      <c r="L51">
        <f>ROUND(IF(VLOOKUP($A51,EnrollData2324,'2324 Jun 24 Enroll'!D$1,FALSE)='District Calculations'!$D$11,VLOOKUP($A51,EnrollData2324,'2324 Jun 24 Enroll'!D$1,FALSE),'District Calculations'!$D$11)*K51,3)</f>
        <v>0</v>
      </c>
      <c r="M51">
        <f>ROUND(IF(VLOOKUP($A51,EnrollData2324,'2324 Jun 24 Enroll'!E$1,FALSE)='District Calculations'!$D$12,VLOOKUP($A51,EnrollData2324,'2324 Jun 24 Enroll'!E$1,FALSE),'District Calculations'!$D$12)*K51,3)</f>
        <v>3.5419999999999998</v>
      </c>
      <c r="N51">
        <f>ROUND(IF(VLOOKUP($A51,EnrollData2324,'2324 Jun 24 Enroll'!F$1,FALSE)='District Calculations'!$D$13,VLOOKUP($A51,EnrollData2324,'2324 Jun 24 Enroll'!F$1,FALSE),'District Calculations'!$D$13)*Apport_223A2324s,3)</f>
        <v>0.84299999999999997</v>
      </c>
      <c r="O51">
        <f>ROUND(IF(VLOOKUP($A51,EnrollData2324,'2324 Jun 24 Enroll'!G$1,FALSE)='District Calculations'!$D$14,VLOOKUP($A51,EnrollData2324,'2324 Jun 24 Enroll'!G$1,FALSE),'District Calculations'!$D$14)*Apport_211A2324s,3)</f>
        <v>1.87</v>
      </c>
      <c r="P51">
        <f>ROUND(IF(VLOOKUP($A51,EnrollData2324,'2324 Jun 24 Enroll'!H$1,FALSE)='District Calculations'!$D$14,VLOOKUP($A51,EnrollData2324,'2324 Jun 24 Enroll'!H$1,FALSE),'District Calculations'!$D$14)*Apport_214A2324s,3)</f>
        <v>1.8680000000000001</v>
      </c>
      <c r="Q51">
        <f>ROUND(IF(VLOOKUP($A51,EnrollData2324,'2324 Jun 24 Enroll'!I$1,FALSE)+VLOOKUP($A51,EnrollData2324,'2324 Jun 24 Enroll'!M$1,FALSE)-VLOOKUP($A51,EnrollData2324,'2324 Jun 24 Enroll'!J$1,FALSE)='District Calculations'!$D$16+'District Calculations'!$D$25-'District Calculations'!$D$17,VLOOKUP($A51,EnrollData2324,'2324 Jun 24 Enroll'!I$1,FALSE)+VLOOKUP($A51,EnrollData2324,'2324 Jun 24 Enroll'!M$1,FALSE)-VLOOKUP($A51,EnrollData2324,'2324 Jun 24 Enroll'!J$1,FALSE),'District Calculations'!$D$16+'District Calculations'!$D$25-'District Calculations'!$D$17)*Apport_217A2324s,3)</f>
        <v>4.702</v>
      </c>
      <c r="R51">
        <f>ROUND(SUM(L51:Q51)/IF(VLOOKUP($A51,EnrollData2324,'2324 Jun 24 Enroll'!M$1,FALSE)+VLOOKUP($A51,EnrollData2324,'2324 Jun 24 Enroll'!D$1,FALSE)='District Calculations'!$D$25+'District Calculations'!$D$11,VLOOKUP($A51,EnrollData2324,'2324 Jun 24 Enroll'!M$1,FALSE)+VLOOKUP($A51,EnrollData2324,'2324 Jun 24 Enroll'!D$1,FALSE),'District Calculations'!$D$25+'District Calculations'!$D$11),5)</f>
        <v>4.1099999999999999E-3</v>
      </c>
      <c r="S51" s="11">
        <f t="shared" si="7"/>
        <v>1.8689600000000001E-2</v>
      </c>
      <c r="T51">
        <f>ROUND(IF(VLOOKUP($A51,EnrollData2324,'2324 Jun 24 Enroll'!D$1,FALSE)='District Calculations'!$D$11,VLOOKUP($A51,EnrollData2324,'2324 Jun 24 Enroll'!D$1,FALSE),'District Calculations'!$D$11)*S51,3)</f>
        <v>0</v>
      </c>
      <c r="U51">
        <f>ROUND(IF(VLOOKUP($A51,EnrollData2324,'2324 Jun 24 Enroll'!E$1,FALSE)='District Calculations'!$D$12,VLOOKUP($A51,EnrollData2324,'2324 Jun 24 Enroll'!E$1,FALSE),'District Calculations'!$D$12)*S51,3)</f>
        <v>15.148</v>
      </c>
      <c r="V51">
        <f>ROUND(IF(VLOOKUP($A51,EnrollData2324,'2324 Jun 24 Enroll'!F$1,FALSE)='District Calculations'!$D$13,VLOOKUP($A51,EnrollData2324,'2324 Jun 24 Enroll'!F$1,FALSE),'District Calculations'!$D$13)*Apport_224A2324s,3)</f>
        <v>3.7029999999999998</v>
      </c>
      <c r="W51">
        <f>ROUND(IF(VLOOKUP($A51,EnrollData2324,'2324 Jun 24 Enroll'!G$1,FALSE)='District Calculations'!$D$14,VLOOKUP($A51,EnrollData2324,'2324 Jun 24 Enroll'!G$1,FALSE),'District Calculations'!$D$14)*Apport_212A2324s,3)</f>
        <v>8.2089999999999996</v>
      </c>
      <c r="X51">
        <f>ROUND(IF(VLOOKUP($A51,EnrollData2324,'2324 Jun 24 Enroll'!H$1,FALSE)='District Calculations'!$D$14,VLOOKUP($A51,EnrollData2324,'2324 Jun 24 Enroll'!H$1,FALSE),'District Calculations'!$D$14)*Apport_215A2324s,3)</f>
        <v>8.0969999999999995</v>
      </c>
      <c r="Y51">
        <f>ROUND(IF(VLOOKUP($A51,EnrollData2324,'2324 Jun 24 Enroll'!I$1,FALSE)+VLOOKUP($A51,EnrollData2324,'2324 Jun 24 Enroll'!M$1,FALSE)-VLOOKUP($A51,EnrollData2324,'2324 Jun 24 Enroll'!J$1,FALSE)='District Calculations'!$D$16+'District Calculations'!$D$25-'District Calculations'!$D$17,VLOOKUP($A51,EnrollData2324,'2324 Jun 24 Enroll'!I$1,FALSE)+VLOOKUP($A51,EnrollData2324,'2324 Jun 24 Enroll'!M$1,FALSE)-VLOOKUP($A51,EnrollData2324,'2324 Jun 24 Enroll'!J$1,FALSE),'District Calculations'!$D$16+'District Calculations'!$D$25-'District Calculations'!$D$17)*Apport_218A2324s,3)</f>
        <v>20.224</v>
      </c>
      <c r="Z51">
        <f>ROUND(SUM(T51:Y51)/IF(VLOOKUP($A51,EnrollData2324,'2324 Jun 24 Enroll'!M$1,FALSE)+VLOOKUP($A51,EnrollData2324,'2324 Jun 24 Enroll'!D$1,FALSE)='District Calculations'!$D$25+'District Calculations'!$D$11,VLOOKUP($A51,EnrollData2324,'2324 Jun 24 Enroll'!M$1,FALSE)+VLOOKUP($A51,EnrollData2324,'2324 Jun 24 Enroll'!D$1,FALSE),'District Calculations'!$D$25+'District Calculations'!$D$11),5)</f>
        <v>1.7749999999999998E-2</v>
      </c>
      <c r="AA51" s="6" cm="1">
        <f t="array" ref="AA51">ROUND($J51*CIS_Base_Salary2324s*VLOOKUP($A51,EnrollData2324,'2324 Jun 24 Enroll'!S$1,FALSE),2)</f>
        <v>4038.59</v>
      </c>
      <c r="AB51" s="6" cm="1">
        <f t="array" ref="AB51">ROUND($J51*CIS_Inc_Salary2324s*(VLOOKUP($A51,EnrollData2324,'2324 Jun 24 Enroll'!T$1,FALSE)+VLOOKUP($A51,EnrollData2324,'2324 Jun 24 Enroll'!U$1,FALSE)),2)-AA51</f>
        <v>149.43000000000029</v>
      </c>
      <c r="AC51" s="6" cm="1">
        <f t="array" ref="AC51">ROUND($R51*CAS_Base_Salary2324s*VLOOKUP($A51,EnrollData2324,'2324 Jun 24 Enroll'!S$1,FALSE),2)</f>
        <v>443.7</v>
      </c>
      <c r="AD51" s="6" cm="1">
        <f t="array" ref="AD51">ROUND($R51*CAS_Inc_Salary2324s*VLOOKUP($A51,EnrollData2324,'2324 Jun 24 Enroll'!T$1,FALSE),2)-AC51</f>
        <v>16.410000000000025</v>
      </c>
      <c r="AE51" s="6" cm="1">
        <f t="array" ref="AE51">ROUND($Z51*CLS_Base_Salary2324s*VLOOKUP($A51,EnrollData2324,'2324 Jun 24 Enroll'!S$1,FALSE),2)</f>
        <v>926.07</v>
      </c>
      <c r="AF51" s="6" cm="1">
        <f t="array" ref="AF51">ROUND($Z51*CLS_Inc_Salary2324s*VLOOKUP($A51,EnrollData2324,'2324 Jun 24 Enroll'!T$1,FALSE),2)-AE51</f>
        <v>34.259999999999991</v>
      </c>
      <c r="AG51" cm="1">
        <f t="array" ref="AG51">ROUND(($J51+$R51)*Apport_124X2324s,2)</f>
        <v>734.29</v>
      </c>
      <c r="AH51" s="69">
        <f t="shared" si="8"/>
        <v>68.700000000000045</v>
      </c>
      <c r="AI51" cm="1">
        <f t="array" ref="AI51">ROUND($Z51*Apport_124X2324s,2)</f>
        <v>218.54</v>
      </c>
      <c r="AJ51" cm="1">
        <f t="array" ref="AJ51">ROUND($Z51*Apport_621X2324s*Apport_125X2324s,2)-AI51</f>
        <v>116.51000000000002</v>
      </c>
      <c r="AK51" cm="1">
        <f t="array" ref="AK51">ROUND((AA51+AC51)*Apport_126X2324s,2)</f>
        <v>805.47</v>
      </c>
      <c r="AL51" cm="1">
        <f t="array" ref="AL51">ROUND((AB51+AD51)*Apport_127X2324s,2)</f>
        <v>28.74</v>
      </c>
      <c r="AM51" cm="1">
        <f t="array" ref="AM51">ROUND(AE51*Apport_128X2324s,2)</f>
        <v>204.29</v>
      </c>
      <c r="AN51" cm="1">
        <f t="array" ref="AN51">ROUND(AF51*Apport_129X2324s,2)</f>
        <v>6.36</v>
      </c>
      <c r="AO51" cm="1">
        <f t="array" ref="AO51">ROUND(($J51*CIS_Inc_Salary2324s*(VLOOKUP($A51,EnrollData2324,'2324 Jun 24 Enroll'!T$1,FALSE)+VLOOKUP($A51,EnrollData2324,'2324 Jun 24 Enroll'!U$1,FALSE))/Apport_613Xpd)*Apport_614Xpd,2)</f>
        <v>69.8</v>
      </c>
      <c r="AP51" cm="1">
        <f t="array" ref="AP51">ROUND(AO51*Apport_127X2324s,2)</f>
        <v>12.1</v>
      </c>
      <c r="AQ51">
        <f t="shared" si="9"/>
        <v>30.93</v>
      </c>
      <c r="AR51" s="6" cm="1">
        <f t="array" ref="AR51">ROUND((VLOOKUP($A51,EnrollData2324,'2324 Jun 24 Enroll'!D$1,FALSE)*Apport_M802324s+VLOOKUP($A51,EnrollData2324,'2324 Jun 24 Enroll'!M$1,FALSE)*Apport_M802324s+(VLOOKUP($A51,EnrollData2324,'2324 Jun 24 Enroll'!P$1,FALSE)+VLOOKUP($A51,EnrollData2324,'2324 Jun 24 Enroll'!Q$1,FALSE)+VLOOKUP($A51,EnrollData2324,'2324 Jun 24 Enroll'!R$1,FALSE)+VLOOKUP($A51,EnrollData2324,'2324 Jun 24 Enroll'!I$1,FALSE)+VLOOKUP($A51,EnrollData2324,'2324 Jun 24 Enroll'!N$1,FALSE)+VLOOKUP($A51,EnrollData2324,'2324 Jun 24 Enroll'!O$1,FALSE)+VLOOKUP($A51,EnrollData2324,'2324 Jun 24 Enroll'!K$1,FALSE)+VLOOKUP($A51,EnrollData2324,'2324 Jun 24 Enroll'!L$1,FALSE))*Apport_M812324s)/(VLOOKUP($A51,EnrollData2324,'2324 Jun 24 Enroll'!M$1,FALSE)+VLOOKUP($A51,EnrollData2324,'2324 Jun 24 Enroll'!D$1,FALSE)),2)</f>
        <v>1581.4</v>
      </c>
      <c r="AS51" s="7">
        <f t="shared" si="11"/>
        <v>9485.59</v>
      </c>
    </row>
    <row r="52" spans="1:46">
      <c r="A52" s="40" t="s">
        <v>365</v>
      </c>
      <c r="B52" s="40" t="s">
        <v>1007</v>
      </c>
      <c r="C52" s="11">
        <f>ROUND((IFERROR((1/IF(VLOOKUP($A52,EnrollData2324,28,FALSE)='District Calculations'!$D$10,VLOOKUP($A52,EnrollData2324,28,FALSE),'District Calculations'!$D$10))*(1+Apport_Z315),0))+Apport_201A2324s,6)</f>
        <v>7.3449E-2</v>
      </c>
      <c r="D52">
        <f>ROUND(IF(VLOOKUP($A52,EnrollData2324,'2324 Jun 24 Enroll'!D$1,FALSE)='District Calculations'!$D$11,VLOOKUP($A52,EnrollData2324,'2324 Jun 24 Enroll'!D$1,FALSE),'District Calculations'!$D$11)*C52,3)</f>
        <v>0</v>
      </c>
      <c r="E52">
        <f>ROUND(IF(VLOOKUP($A52,EnrollData2324,'2324 Jun 24 Enroll'!E$1,FALSE)='District Calculations'!$D$12,VLOOKUP($A52,EnrollData2324,'2324 Jun 24 Enroll'!E$1,FALSE),'District Calculations'!$D$12)*C52,3)</f>
        <v>59.53</v>
      </c>
      <c r="F52">
        <f>ROUND(IF(VLOOKUP($A52,EnrollData2324,'2324 Jun 24 Enroll'!F$1,FALSE)='District Calculations'!$D$13,VLOOKUP($A52,EnrollData2324,'2324 Jun 24 Enroll'!F$1,FALSE),'District Calculations'!$D$13)*Apport_222A2324s,3)</f>
        <v>10.101000000000001</v>
      </c>
      <c r="G52">
        <f>ROUND(IF(VLOOKUP($A52,EnrollData2324,'2324 Jun 24 Enroll'!G$1,FALSE)='District Calculations'!$D$14,VLOOKUP($A52,EnrollData2324,'2324 Jun 24 Enroll'!G$1,FALSE),'District Calculations'!$D$14)*Apport_210A2324s,3)</f>
        <v>22.395</v>
      </c>
      <c r="H52">
        <f>ROUND(IF(VLOOKUP($A52,EnrollData2324,'2324 Jun 24 Enroll'!H$1,FALSE)='District Calculations'!$D$15,VLOOKUP($A52,EnrollData2324,'2324 Jun 24 Enroll'!H$1,FALSE),'District Calculations'!$D$15)*Apport_213A2324s,3)</f>
        <v>23.091999999999999</v>
      </c>
      <c r="I52">
        <f>ROUND(IF(VLOOKUP($A52,EnrollData2324,'2324 Jun 24 Enroll'!I$1,FALSE)+VLOOKUP($A52,EnrollData2324,'2324 Jun 24 Enroll'!M$1,FALSE)-VLOOKUP($A52,EnrollData2324,'2324 Jun 24 Enroll'!J$1,FALSE)='District Calculations'!$D$16+'District Calculations'!$D$25-'District Calculations'!$D$17,VLOOKUP($A52,EnrollData2324,'2324 Jun 24 Enroll'!I$1,FALSE)+VLOOKUP($A52,EnrollData2324,'2324 Jun 24 Enroll'!M$1,FALSE)-VLOOKUP($A52,EnrollData2324,'2324 Jun 24 Enroll'!J$1,FALSE),'District Calculations'!$D$16+'District Calculations'!$D$25-'District Calculations'!$D$17)*Apport_216A2324s,3)</f>
        <v>58.183999999999997</v>
      </c>
      <c r="J52">
        <f>ROUND(SUM(D52:I52)/(IF(VLOOKUP($A52,EnrollData2324,'2324 Jun 24 Enroll'!M$1,FALSE)='District Calculations'!$D$25,VLOOKUP($A52,EnrollData2324,'2324 Jun 24 Enroll'!M$1,FALSE),'District Calculations'!$D$25)+IF(VLOOKUP($A52,EnrollData2324,'2324 Jun 24 Enroll'!D$1,FALSE)='District Calculations'!$D$11,VLOOKUP($A52,EnrollData2324,'2324 Jun 24 Enroll'!D$1,FALSE),'District Calculations'!$D$11)),5)</f>
        <v>5.5530000000000003E-2</v>
      </c>
      <c r="K52" s="11">
        <f t="shared" si="6"/>
        <v>4.3699999999999998E-3</v>
      </c>
      <c r="L52">
        <f>ROUND(IF(VLOOKUP($A52,EnrollData2324,'2324 Jun 24 Enroll'!D$1,FALSE)='District Calculations'!$D$11,VLOOKUP($A52,EnrollData2324,'2324 Jun 24 Enroll'!D$1,FALSE),'District Calculations'!$D$11)*K52,3)</f>
        <v>0</v>
      </c>
      <c r="M52">
        <f>ROUND(IF(VLOOKUP($A52,EnrollData2324,'2324 Jun 24 Enroll'!E$1,FALSE)='District Calculations'!$D$12,VLOOKUP($A52,EnrollData2324,'2324 Jun 24 Enroll'!E$1,FALSE),'District Calculations'!$D$12)*K52,3)</f>
        <v>3.5419999999999998</v>
      </c>
      <c r="N52">
        <f>ROUND(IF(VLOOKUP($A52,EnrollData2324,'2324 Jun 24 Enroll'!F$1,FALSE)='District Calculations'!$D$13,VLOOKUP($A52,EnrollData2324,'2324 Jun 24 Enroll'!F$1,FALSE),'District Calculations'!$D$13)*Apport_223A2324s,3)</f>
        <v>0.84299999999999997</v>
      </c>
      <c r="O52">
        <f>ROUND(IF(VLOOKUP($A52,EnrollData2324,'2324 Jun 24 Enroll'!G$1,FALSE)='District Calculations'!$D$14,VLOOKUP($A52,EnrollData2324,'2324 Jun 24 Enroll'!G$1,FALSE),'District Calculations'!$D$14)*Apport_211A2324s,3)</f>
        <v>1.87</v>
      </c>
      <c r="P52">
        <f>ROUND(IF(VLOOKUP($A52,EnrollData2324,'2324 Jun 24 Enroll'!H$1,FALSE)='District Calculations'!$D$14,VLOOKUP($A52,EnrollData2324,'2324 Jun 24 Enroll'!H$1,FALSE),'District Calculations'!$D$14)*Apport_214A2324s,3)</f>
        <v>1.8680000000000001</v>
      </c>
      <c r="Q52">
        <f>ROUND(IF(VLOOKUP($A52,EnrollData2324,'2324 Jun 24 Enroll'!I$1,FALSE)+VLOOKUP($A52,EnrollData2324,'2324 Jun 24 Enroll'!M$1,FALSE)-VLOOKUP($A52,EnrollData2324,'2324 Jun 24 Enroll'!J$1,FALSE)='District Calculations'!$D$16+'District Calculations'!$D$25-'District Calculations'!$D$17,VLOOKUP($A52,EnrollData2324,'2324 Jun 24 Enroll'!I$1,FALSE)+VLOOKUP($A52,EnrollData2324,'2324 Jun 24 Enroll'!M$1,FALSE)-VLOOKUP($A52,EnrollData2324,'2324 Jun 24 Enroll'!J$1,FALSE),'District Calculations'!$D$16+'District Calculations'!$D$25-'District Calculations'!$D$17)*Apport_217A2324s,3)</f>
        <v>4.702</v>
      </c>
      <c r="R52">
        <f>ROUND(SUM(L52:Q52)/IF(VLOOKUP($A52,EnrollData2324,'2324 Jun 24 Enroll'!M$1,FALSE)+VLOOKUP($A52,EnrollData2324,'2324 Jun 24 Enroll'!D$1,FALSE)='District Calculations'!$D$25+'District Calculations'!$D$11,VLOOKUP($A52,EnrollData2324,'2324 Jun 24 Enroll'!M$1,FALSE)+VLOOKUP($A52,EnrollData2324,'2324 Jun 24 Enroll'!D$1,FALSE),'District Calculations'!$D$25+'District Calculations'!$D$11),5)</f>
        <v>4.1099999999999999E-3</v>
      </c>
      <c r="S52" s="11">
        <f t="shared" si="7"/>
        <v>1.8689600000000001E-2</v>
      </c>
      <c r="T52">
        <f>ROUND(IF(VLOOKUP($A52,EnrollData2324,'2324 Jun 24 Enroll'!D$1,FALSE)='District Calculations'!$D$11,VLOOKUP($A52,EnrollData2324,'2324 Jun 24 Enroll'!D$1,FALSE),'District Calculations'!$D$11)*S52,3)</f>
        <v>0</v>
      </c>
      <c r="U52">
        <f>ROUND(IF(VLOOKUP($A52,EnrollData2324,'2324 Jun 24 Enroll'!E$1,FALSE)='District Calculations'!$D$12,VLOOKUP($A52,EnrollData2324,'2324 Jun 24 Enroll'!E$1,FALSE),'District Calculations'!$D$12)*S52,3)</f>
        <v>15.148</v>
      </c>
      <c r="V52">
        <f>ROUND(IF(VLOOKUP($A52,EnrollData2324,'2324 Jun 24 Enroll'!F$1,FALSE)='District Calculations'!$D$13,VLOOKUP($A52,EnrollData2324,'2324 Jun 24 Enroll'!F$1,FALSE),'District Calculations'!$D$13)*Apport_224A2324s,3)</f>
        <v>3.7029999999999998</v>
      </c>
      <c r="W52">
        <f>ROUND(IF(VLOOKUP($A52,EnrollData2324,'2324 Jun 24 Enroll'!G$1,FALSE)='District Calculations'!$D$14,VLOOKUP($A52,EnrollData2324,'2324 Jun 24 Enroll'!G$1,FALSE),'District Calculations'!$D$14)*Apport_212A2324s,3)</f>
        <v>8.2089999999999996</v>
      </c>
      <c r="X52">
        <f>ROUND(IF(VLOOKUP($A52,EnrollData2324,'2324 Jun 24 Enroll'!H$1,FALSE)='District Calculations'!$D$14,VLOOKUP($A52,EnrollData2324,'2324 Jun 24 Enroll'!H$1,FALSE),'District Calculations'!$D$14)*Apport_215A2324s,3)</f>
        <v>8.0969999999999995</v>
      </c>
      <c r="Y52">
        <f>ROUND(IF(VLOOKUP($A52,EnrollData2324,'2324 Jun 24 Enroll'!I$1,FALSE)+VLOOKUP($A52,EnrollData2324,'2324 Jun 24 Enroll'!M$1,FALSE)-VLOOKUP($A52,EnrollData2324,'2324 Jun 24 Enroll'!J$1,FALSE)='District Calculations'!$D$16+'District Calculations'!$D$25-'District Calculations'!$D$17,VLOOKUP($A52,EnrollData2324,'2324 Jun 24 Enroll'!I$1,FALSE)+VLOOKUP($A52,EnrollData2324,'2324 Jun 24 Enroll'!M$1,FALSE)-VLOOKUP($A52,EnrollData2324,'2324 Jun 24 Enroll'!J$1,FALSE),'District Calculations'!$D$16+'District Calculations'!$D$25-'District Calculations'!$D$17)*Apport_218A2324s,3)</f>
        <v>20.224</v>
      </c>
      <c r="Z52">
        <f>ROUND(SUM(T52:Y52)/IF(VLOOKUP($A52,EnrollData2324,'2324 Jun 24 Enroll'!M$1,FALSE)+VLOOKUP($A52,EnrollData2324,'2324 Jun 24 Enroll'!D$1,FALSE)='District Calculations'!$D$25+'District Calculations'!$D$11,VLOOKUP($A52,EnrollData2324,'2324 Jun 24 Enroll'!M$1,FALSE)+VLOOKUP($A52,EnrollData2324,'2324 Jun 24 Enroll'!D$1,FALSE),'District Calculations'!$D$25+'District Calculations'!$D$11),5)</f>
        <v>1.7749999999999998E-2</v>
      </c>
      <c r="AA52" s="6" cm="1">
        <f t="array" ref="AA52">ROUND($J52*CIS_Base_Salary2324s*VLOOKUP($A52,EnrollData2324,'2324 Jun 24 Enroll'!S$1,FALSE),2)</f>
        <v>4038.59</v>
      </c>
      <c r="AB52" s="6" cm="1">
        <f t="array" ref="AB52">ROUND($J52*CIS_Inc_Salary2324s*(VLOOKUP($A52,EnrollData2324,'2324 Jun 24 Enroll'!T$1,FALSE)+VLOOKUP($A52,EnrollData2324,'2324 Jun 24 Enroll'!U$1,FALSE)),2)-AA52</f>
        <v>316.94999999999982</v>
      </c>
      <c r="AC52" s="6" cm="1">
        <f t="array" ref="AC52">ROUND($R52*CAS_Base_Salary2324s*VLOOKUP($A52,EnrollData2324,'2324 Jun 24 Enroll'!S$1,FALSE),2)</f>
        <v>443.7</v>
      </c>
      <c r="AD52" s="6" cm="1">
        <f t="array" ref="AD52">ROUND($R52*CAS_Inc_Salary2324s*VLOOKUP($A52,EnrollData2324,'2324 Jun 24 Enroll'!T$1,FALSE),2)-AC52</f>
        <v>16.410000000000025</v>
      </c>
      <c r="AE52" s="6" cm="1">
        <f t="array" ref="AE52">ROUND($Z52*CLS_Base_Salary2324s*VLOOKUP($A52,EnrollData2324,'2324 Jun 24 Enroll'!S$1,FALSE),2)</f>
        <v>926.07</v>
      </c>
      <c r="AF52" s="6" cm="1">
        <f t="array" ref="AF52">ROUND($Z52*CLS_Inc_Salary2324s*VLOOKUP($A52,EnrollData2324,'2324 Jun 24 Enroll'!T$1,FALSE),2)-AE52</f>
        <v>34.259999999999991</v>
      </c>
      <c r="AG52" cm="1">
        <f t="array" ref="AG52">ROUND(($J52+$R52)*Apport_124X2324s,2)</f>
        <v>734.29</v>
      </c>
      <c r="AH52" s="69">
        <f t="shared" si="8"/>
        <v>68.700000000000045</v>
      </c>
      <c r="AI52" cm="1">
        <f t="array" ref="AI52">ROUND($Z52*Apport_124X2324s,2)</f>
        <v>218.54</v>
      </c>
      <c r="AJ52" cm="1">
        <f t="array" ref="AJ52">ROUND($Z52*Apport_621X2324s*Apport_125X2324s,2)-AI52</f>
        <v>116.51000000000002</v>
      </c>
      <c r="AK52" cm="1">
        <f t="array" ref="AK52">ROUND((AA52+AC52)*Apport_126X2324s,2)</f>
        <v>805.47</v>
      </c>
      <c r="AL52" cm="1">
        <f t="array" ref="AL52">ROUND((AB52+AD52)*Apport_127X2324s,2)</f>
        <v>57.77</v>
      </c>
      <c r="AM52" cm="1">
        <f t="array" ref="AM52">ROUND(AE52*Apport_128X2324s,2)</f>
        <v>204.29</v>
      </c>
      <c r="AN52" cm="1">
        <f t="array" ref="AN52">ROUND(AF52*Apport_129X2324s,2)</f>
        <v>6.36</v>
      </c>
      <c r="AO52" cm="1">
        <f t="array" ref="AO52">ROUND(($J52*CIS_Inc_Salary2324s*(VLOOKUP($A52,EnrollData2324,'2324 Jun 24 Enroll'!T$1,FALSE)+VLOOKUP($A52,EnrollData2324,'2324 Jun 24 Enroll'!U$1,FALSE))/Apport_613Xpd)*Apport_614Xpd,2)</f>
        <v>72.59</v>
      </c>
      <c r="AP52" cm="1">
        <f t="array" ref="AP52">ROUND(AO52*Apport_127X2324s,2)</f>
        <v>12.58</v>
      </c>
      <c r="AQ52">
        <f t="shared" si="9"/>
        <v>30.93</v>
      </c>
      <c r="AR52" s="6" cm="1">
        <f t="array" ref="AR52">ROUND((VLOOKUP($A52,EnrollData2324,'2324 Jun 24 Enroll'!D$1,FALSE)*Apport_M802324s+VLOOKUP($A52,EnrollData2324,'2324 Jun 24 Enroll'!M$1,FALSE)*Apport_M802324s+(VLOOKUP($A52,EnrollData2324,'2324 Jun 24 Enroll'!P$1,FALSE)+VLOOKUP($A52,EnrollData2324,'2324 Jun 24 Enroll'!Q$1,FALSE)+VLOOKUP($A52,EnrollData2324,'2324 Jun 24 Enroll'!R$1,FALSE)+VLOOKUP($A52,EnrollData2324,'2324 Jun 24 Enroll'!I$1,FALSE)+VLOOKUP($A52,EnrollData2324,'2324 Jun 24 Enroll'!N$1,FALSE)+VLOOKUP($A52,EnrollData2324,'2324 Jun 24 Enroll'!O$1,FALSE)+VLOOKUP($A52,EnrollData2324,'2324 Jun 24 Enroll'!K$1,FALSE)+VLOOKUP($A52,EnrollData2324,'2324 Jun 24 Enroll'!L$1,FALSE))*Apport_M812324s)/(VLOOKUP($A52,EnrollData2324,'2324 Jun 24 Enroll'!M$1,FALSE)+VLOOKUP($A52,EnrollData2324,'2324 Jun 24 Enroll'!D$1,FALSE)),2)</f>
        <v>1569.54</v>
      </c>
      <c r="AS52" s="7">
        <f t="shared" si="11"/>
        <v>9673.5499999999993</v>
      </c>
    </row>
    <row r="53" spans="1:46">
      <c r="A53" s="40" t="s">
        <v>363</v>
      </c>
      <c r="B53" s="40" t="s">
        <v>364</v>
      </c>
      <c r="C53" s="11">
        <f>ROUND((IFERROR((1/IF(VLOOKUP($A53,EnrollData2324,28,FALSE)='District Calculations'!$D$10,VLOOKUP($A53,EnrollData2324,28,FALSE),'District Calculations'!$D$10))*(1+Apport_Z315),0))+Apport_201A2324s,6)</f>
        <v>7.3449E-2</v>
      </c>
      <c r="D53">
        <f>ROUND(IF(VLOOKUP($A53,EnrollData2324,'2324 Jun 24 Enroll'!D$1,FALSE)='District Calculations'!$D$11,VLOOKUP($A53,EnrollData2324,'2324 Jun 24 Enroll'!D$1,FALSE),'District Calculations'!$D$11)*C53,3)</f>
        <v>0</v>
      </c>
      <c r="E53">
        <f>ROUND(IF(VLOOKUP($A53,EnrollData2324,'2324 Jun 24 Enroll'!E$1,FALSE)='District Calculations'!$D$12,VLOOKUP($A53,EnrollData2324,'2324 Jun 24 Enroll'!E$1,FALSE),'District Calculations'!$D$12)*C53,3)</f>
        <v>59.53</v>
      </c>
      <c r="F53">
        <f>ROUND(IF(VLOOKUP($A53,EnrollData2324,'2324 Jun 24 Enroll'!F$1,FALSE)='District Calculations'!$D$13,VLOOKUP($A53,EnrollData2324,'2324 Jun 24 Enroll'!F$1,FALSE),'District Calculations'!$D$13)*Apport_222A2324s,3)</f>
        <v>10.101000000000001</v>
      </c>
      <c r="G53">
        <f>ROUND(IF(VLOOKUP($A53,EnrollData2324,'2324 Jun 24 Enroll'!G$1,FALSE)='District Calculations'!$D$14,VLOOKUP($A53,EnrollData2324,'2324 Jun 24 Enroll'!G$1,FALSE),'District Calculations'!$D$14)*Apport_210A2324s,3)</f>
        <v>22.395</v>
      </c>
      <c r="H53">
        <f>ROUND(IF(VLOOKUP($A53,EnrollData2324,'2324 Jun 24 Enroll'!H$1,FALSE)='District Calculations'!$D$15,VLOOKUP($A53,EnrollData2324,'2324 Jun 24 Enroll'!H$1,FALSE),'District Calculations'!$D$15)*Apport_213A2324s,3)</f>
        <v>23.091999999999999</v>
      </c>
      <c r="I53">
        <f>ROUND(IF(VLOOKUP($A53,EnrollData2324,'2324 Jun 24 Enroll'!I$1,FALSE)+VLOOKUP($A53,EnrollData2324,'2324 Jun 24 Enroll'!M$1,FALSE)-VLOOKUP($A53,EnrollData2324,'2324 Jun 24 Enroll'!J$1,FALSE)='District Calculations'!$D$16+'District Calculations'!$D$25-'District Calculations'!$D$17,VLOOKUP($A53,EnrollData2324,'2324 Jun 24 Enroll'!I$1,FALSE)+VLOOKUP($A53,EnrollData2324,'2324 Jun 24 Enroll'!M$1,FALSE)-VLOOKUP($A53,EnrollData2324,'2324 Jun 24 Enroll'!J$1,FALSE),'District Calculations'!$D$16+'District Calculations'!$D$25-'District Calculations'!$D$17)*Apport_216A2324s,3)</f>
        <v>58.183999999999997</v>
      </c>
      <c r="J53">
        <f>ROUND(SUM(D53:I53)/(IF(VLOOKUP($A53,EnrollData2324,'2324 Jun 24 Enroll'!M$1,FALSE)='District Calculations'!$D$25,VLOOKUP($A53,EnrollData2324,'2324 Jun 24 Enroll'!M$1,FALSE),'District Calculations'!$D$25)+IF(VLOOKUP($A53,EnrollData2324,'2324 Jun 24 Enroll'!D$1,FALSE)='District Calculations'!$D$11,VLOOKUP($A53,EnrollData2324,'2324 Jun 24 Enroll'!D$1,FALSE),'District Calculations'!$D$11)),5)</f>
        <v>5.5530000000000003E-2</v>
      </c>
      <c r="K53" s="11">
        <f t="shared" si="6"/>
        <v>4.3699999999999998E-3</v>
      </c>
      <c r="L53">
        <f>ROUND(IF(VLOOKUP($A53,EnrollData2324,'2324 Jun 24 Enroll'!D$1,FALSE)='District Calculations'!$D$11,VLOOKUP($A53,EnrollData2324,'2324 Jun 24 Enroll'!D$1,FALSE),'District Calculations'!$D$11)*K53,3)</f>
        <v>0</v>
      </c>
      <c r="M53">
        <f>ROUND(IF(VLOOKUP($A53,EnrollData2324,'2324 Jun 24 Enroll'!E$1,FALSE)='District Calculations'!$D$12,VLOOKUP($A53,EnrollData2324,'2324 Jun 24 Enroll'!E$1,FALSE),'District Calculations'!$D$12)*K53,3)</f>
        <v>3.5419999999999998</v>
      </c>
      <c r="N53">
        <f>ROUND(IF(VLOOKUP($A53,EnrollData2324,'2324 Jun 24 Enroll'!F$1,FALSE)='District Calculations'!$D$13,VLOOKUP($A53,EnrollData2324,'2324 Jun 24 Enroll'!F$1,FALSE),'District Calculations'!$D$13)*Apport_223A2324s,3)</f>
        <v>0.84299999999999997</v>
      </c>
      <c r="O53">
        <f>ROUND(IF(VLOOKUP($A53,EnrollData2324,'2324 Jun 24 Enroll'!G$1,FALSE)='District Calculations'!$D$14,VLOOKUP($A53,EnrollData2324,'2324 Jun 24 Enroll'!G$1,FALSE),'District Calculations'!$D$14)*Apport_211A2324s,3)</f>
        <v>1.87</v>
      </c>
      <c r="P53">
        <f>ROUND(IF(VLOOKUP($A53,EnrollData2324,'2324 Jun 24 Enroll'!H$1,FALSE)='District Calculations'!$D$14,VLOOKUP($A53,EnrollData2324,'2324 Jun 24 Enroll'!H$1,FALSE),'District Calculations'!$D$14)*Apport_214A2324s,3)</f>
        <v>1.8680000000000001</v>
      </c>
      <c r="Q53">
        <f>ROUND(IF(VLOOKUP($A53,EnrollData2324,'2324 Jun 24 Enroll'!I$1,FALSE)+VLOOKUP($A53,EnrollData2324,'2324 Jun 24 Enroll'!M$1,FALSE)-VLOOKUP($A53,EnrollData2324,'2324 Jun 24 Enroll'!J$1,FALSE)='District Calculations'!$D$16+'District Calculations'!$D$25-'District Calculations'!$D$17,VLOOKUP($A53,EnrollData2324,'2324 Jun 24 Enroll'!I$1,FALSE)+VLOOKUP($A53,EnrollData2324,'2324 Jun 24 Enroll'!M$1,FALSE)-VLOOKUP($A53,EnrollData2324,'2324 Jun 24 Enroll'!J$1,FALSE),'District Calculations'!$D$16+'District Calculations'!$D$25-'District Calculations'!$D$17)*Apport_217A2324s,3)</f>
        <v>4.702</v>
      </c>
      <c r="R53">
        <f>ROUND(SUM(L53:Q53)/IF(VLOOKUP($A53,EnrollData2324,'2324 Jun 24 Enroll'!M$1,FALSE)+VLOOKUP($A53,EnrollData2324,'2324 Jun 24 Enroll'!D$1,FALSE)='District Calculations'!$D$25+'District Calculations'!$D$11,VLOOKUP($A53,EnrollData2324,'2324 Jun 24 Enroll'!M$1,FALSE)+VLOOKUP($A53,EnrollData2324,'2324 Jun 24 Enroll'!D$1,FALSE),'District Calculations'!$D$25+'District Calculations'!$D$11),5)</f>
        <v>4.1099999999999999E-3</v>
      </c>
      <c r="S53" s="11">
        <f t="shared" si="7"/>
        <v>1.8689600000000001E-2</v>
      </c>
      <c r="T53">
        <f>ROUND(IF(VLOOKUP($A53,EnrollData2324,'2324 Jun 24 Enroll'!D$1,FALSE)='District Calculations'!$D$11,VLOOKUP($A53,EnrollData2324,'2324 Jun 24 Enroll'!D$1,FALSE),'District Calculations'!$D$11)*S53,3)</f>
        <v>0</v>
      </c>
      <c r="U53">
        <f>ROUND(IF(VLOOKUP($A53,EnrollData2324,'2324 Jun 24 Enroll'!E$1,FALSE)='District Calculations'!$D$12,VLOOKUP($A53,EnrollData2324,'2324 Jun 24 Enroll'!E$1,FALSE),'District Calculations'!$D$12)*S53,3)</f>
        <v>15.148</v>
      </c>
      <c r="V53">
        <f>ROUND(IF(VLOOKUP($A53,EnrollData2324,'2324 Jun 24 Enroll'!F$1,FALSE)='District Calculations'!$D$13,VLOOKUP($A53,EnrollData2324,'2324 Jun 24 Enroll'!F$1,FALSE),'District Calculations'!$D$13)*Apport_224A2324s,3)</f>
        <v>3.7029999999999998</v>
      </c>
      <c r="W53">
        <f>ROUND(IF(VLOOKUP($A53,EnrollData2324,'2324 Jun 24 Enroll'!G$1,FALSE)='District Calculations'!$D$14,VLOOKUP($A53,EnrollData2324,'2324 Jun 24 Enroll'!G$1,FALSE),'District Calculations'!$D$14)*Apport_212A2324s,3)</f>
        <v>8.2089999999999996</v>
      </c>
      <c r="X53">
        <f>ROUND(IF(VLOOKUP($A53,EnrollData2324,'2324 Jun 24 Enroll'!H$1,FALSE)='District Calculations'!$D$14,VLOOKUP($A53,EnrollData2324,'2324 Jun 24 Enroll'!H$1,FALSE),'District Calculations'!$D$14)*Apport_215A2324s,3)</f>
        <v>8.0969999999999995</v>
      </c>
      <c r="Y53">
        <f>ROUND(IF(VLOOKUP($A53,EnrollData2324,'2324 Jun 24 Enroll'!I$1,FALSE)+VLOOKUP($A53,EnrollData2324,'2324 Jun 24 Enroll'!M$1,FALSE)-VLOOKUP($A53,EnrollData2324,'2324 Jun 24 Enroll'!J$1,FALSE)='District Calculations'!$D$16+'District Calculations'!$D$25-'District Calculations'!$D$17,VLOOKUP($A53,EnrollData2324,'2324 Jun 24 Enroll'!I$1,FALSE)+VLOOKUP($A53,EnrollData2324,'2324 Jun 24 Enroll'!M$1,FALSE)-VLOOKUP($A53,EnrollData2324,'2324 Jun 24 Enroll'!J$1,FALSE),'District Calculations'!$D$16+'District Calculations'!$D$25-'District Calculations'!$D$17)*Apport_218A2324s,3)</f>
        <v>20.224</v>
      </c>
      <c r="Z53">
        <f>ROUND(SUM(T53:Y53)/IF(VLOOKUP($A53,EnrollData2324,'2324 Jun 24 Enroll'!M$1,FALSE)+VLOOKUP($A53,EnrollData2324,'2324 Jun 24 Enroll'!D$1,FALSE)='District Calculations'!$D$25+'District Calculations'!$D$11,VLOOKUP($A53,EnrollData2324,'2324 Jun 24 Enroll'!M$1,FALSE)+VLOOKUP($A53,EnrollData2324,'2324 Jun 24 Enroll'!D$1,FALSE),'District Calculations'!$D$25+'District Calculations'!$D$11),5)</f>
        <v>1.7749999999999998E-2</v>
      </c>
      <c r="AA53" s="6" cm="1">
        <f t="array" ref="AA53">ROUND($J53*CIS_Base_Salary2324s*VLOOKUP($A53,EnrollData2324,'2324 Jun 24 Enroll'!S$1,FALSE),2)</f>
        <v>4038.59</v>
      </c>
      <c r="AB53" s="6" cm="1">
        <f t="array" ref="AB53">ROUND($J53*CIS_Inc_Salary2324s*(VLOOKUP($A53,EnrollData2324,'2324 Jun 24 Enroll'!T$1,FALSE)+VLOOKUP($A53,EnrollData2324,'2324 Jun 24 Enroll'!U$1,FALSE)),2)-AA53</f>
        <v>149.43000000000029</v>
      </c>
      <c r="AC53" s="6" cm="1">
        <f t="array" ref="AC53">ROUND($R53*CAS_Base_Salary2324s*VLOOKUP($A53,EnrollData2324,'2324 Jun 24 Enroll'!S$1,FALSE),2)</f>
        <v>443.7</v>
      </c>
      <c r="AD53" s="6" cm="1">
        <f t="array" ref="AD53">ROUND($R53*CAS_Inc_Salary2324s*VLOOKUP($A53,EnrollData2324,'2324 Jun 24 Enroll'!T$1,FALSE),2)-AC53</f>
        <v>16.410000000000025</v>
      </c>
      <c r="AE53" s="6" cm="1">
        <f t="array" ref="AE53">ROUND($Z53*CLS_Base_Salary2324s*VLOOKUP($A53,EnrollData2324,'2324 Jun 24 Enroll'!S$1,FALSE),2)</f>
        <v>926.07</v>
      </c>
      <c r="AF53" s="6" cm="1">
        <f t="array" ref="AF53">ROUND($Z53*CLS_Inc_Salary2324s*VLOOKUP($A53,EnrollData2324,'2324 Jun 24 Enroll'!T$1,FALSE),2)-AE53</f>
        <v>34.259999999999991</v>
      </c>
      <c r="AG53" cm="1">
        <f t="array" ref="AG53">ROUND(($J53+$R53)*Apport_124X2324s,2)</f>
        <v>734.29</v>
      </c>
      <c r="AH53" s="69">
        <f t="shared" si="8"/>
        <v>68.700000000000045</v>
      </c>
      <c r="AI53" cm="1">
        <f t="array" ref="AI53">ROUND($Z53*Apport_124X2324s,2)</f>
        <v>218.54</v>
      </c>
      <c r="AJ53" cm="1">
        <f t="array" ref="AJ53">ROUND($Z53*Apport_621X2324s*Apport_125X2324s,2)-AI53</f>
        <v>116.51000000000002</v>
      </c>
      <c r="AK53" cm="1">
        <f t="array" ref="AK53">ROUND((AA53+AC53)*Apport_126X2324s,2)</f>
        <v>805.47</v>
      </c>
      <c r="AL53" cm="1">
        <f t="array" ref="AL53">ROUND((AB53+AD53)*Apport_127X2324s,2)</f>
        <v>28.74</v>
      </c>
      <c r="AM53" cm="1">
        <f t="array" ref="AM53">ROUND(AE53*Apport_128X2324s,2)</f>
        <v>204.29</v>
      </c>
      <c r="AN53" cm="1">
        <f t="array" ref="AN53">ROUND(AF53*Apport_129X2324s,2)</f>
        <v>6.36</v>
      </c>
      <c r="AO53" cm="1">
        <f t="array" ref="AO53">ROUND(($J53*CIS_Inc_Salary2324s*(VLOOKUP($A53,EnrollData2324,'2324 Jun 24 Enroll'!T$1,FALSE)+VLOOKUP($A53,EnrollData2324,'2324 Jun 24 Enroll'!U$1,FALSE))/Apport_613Xpd)*Apport_614Xpd,2)</f>
        <v>69.8</v>
      </c>
      <c r="AP53" cm="1">
        <f t="array" ref="AP53">ROUND(AO53*Apport_127X2324s,2)</f>
        <v>12.1</v>
      </c>
      <c r="AQ53">
        <f>ROUND((J53*Apport_581X)*(Apport_116X*Apport_132X),2)</f>
        <v>30.93</v>
      </c>
      <c r="AR53" s="6" cm="1">
        <f t="array" ref="AR53">ROUND((VLOOKUP($A53,EnrollData2324,'2324 Jun 24 Enroll'!D$1,FALSE)*Apport_M802324s+VLOOKUP($A53,EnrollData2324,'2324 Jun 24 Enroll'!M$1,FALSE)*Apport_M802324s+(VLOOKUP($A53,EnrollData2324,'2324 Jun 24 Enroll'!P$1,FALSE)+VLOOKUP($A53,EnrollData2324,'2324 Jun 24 Enroll'!Q$1,FALSE)+VLOOKUP($A53,EnrollData2324,'2324 Jun 24 Enroll'!R$1,FALSE)+VLOOKUP($A53,EnrollData2324,'2324 Jun 24 Enroll'!I$1,FALSE)+VLOOKUP($A53,EnrollData2324,'2324 Jun 24 Enroll'!N$1,FALSE)+VLOOKUP($A53,EnrollData2324,'2324 Jun 24 Enroll'!O$1,FALSE)+VLOOKUP($A53,EnrollData2324,'2324 Jun 24 Enroll'!K$1,FALSE)+VLOOKUP($A53,EnrollData2324,'2324 Jun 24 Enroll'!L$1,FALSE))*Apport_M812324s)/(VLOOKUP($A53,EnrollData2324,'2324 Jun 24 Enroll'!M$1,FALSE)+VLOOKUP($A53,EnrollData2324,'2324 Jun 24 Enroll'!D$1,FALSE)),2)</f>
        <v>1575.54</v>
      </c>
      <c r="AS53" s="7">
        <f>SUM(AA53:AR53)</f>
        <v>9479.73</v>
      </c>
      <c r="AT53" s="6"/>
    </row>
    <row r="54" spans="1:46">
      <c r="A54" s="40" t="s">
        <v>865</v>
      </c>
      <c r="B54" s="40" t="s">
        <v>866</v>
      </c>
      <c r="C54" s="11">
        <f>ROUND((IFERROR((1/IF(VLOOKUP($A54,EnrollData2324,28,FALSE)='District Calculations'!$D$10,VLOOKUP($A54,EnrollData2324,28,FALSE),'District Calculations'!$D$10))*(1+Apport_Z315),0))+Apport_201A2324s,6)</f>
        <v>7.3449E-2</v>
      </c>
      <c r="D54">
        <f>ROUND(IF(VLOOKUP($A54,EnrollData2324,'2324 Jun 24 Enroll'!D$1,FALSE)='District Calculations'!$D$11,VLOOKUP($A54,EnrollData2324,'2324 Jun 24 Enroll'!D$1,FALSE),'District Calculations'!$D$11)*C54,3)</f>
        <v>0</v>
      </c>
      <c r="E54">
        <f>ROUND(IF(VLOOKUP($A54,EnrollData2324,'2324 Jun 24 Enroll'!E$1,FALSE)='District Calculations'!$D$12,VLOOKUP($A54,EnrollData2324,'2324 Jun 24 Enroll'!E$1,FALSE),'District Calculations'!$D$12)*C54,3)</f>
        <v>59.53</v>
      </c>
      <c r="F54">
        <f>ROUND(IF(VLOOKUP($A54,EnrollData2324,'2324 Jun 24 Enroll'!F$1,FALSE)='District Calculations'!$D$13,VLOOKUP($A54,EnrollData2324,'2324 Jun 24 Enroll'!F$1,FALSE),'District Calculations'!$D$13)*Apport_222A2324s,3)</f>
        <v>10.101000000000001</v>
      </c>
      <c r="G54">
        <f>ROUND(IF(VLOOKUP($A54,EnrollData2324,'2324 Jun 24 Enroll'!G$1,FALSE)='District Calculations'!$D$14,VLOOKUP($A54,EnrollData2324,'2324 Jun 24 Enroll'!G$1,FALSE),'District Calculations'!$D$14)*Apport_210A2324s,3)</f>
        <v>22.395</v>
      </c>
      <c r="H54">
        <f>ROUND(IF(VLOOKUP($A54,EnrollData2324,'2324 Jun 24 Enroll'!H$1,FALSE)='District Calculations'!$D$15,VLOOKUP($A54,EnrollData2324,'2324 Jun 24 Enroll'!H$1,FALSE),'District Calculations'!$D$15)*Apport_213A2324s,3)</f>
        <v>23.091999999999999</v>
      </c>
      <c r="I54">
        <f>ROUND(IF(VLOOKUP($A54,EnrollData2324,'2324 Jun 24 Enroll'!I$1,FALSE)+VLOOKUP($A54,EnrollData2324,'2324 Jun 24 Enroll'!M$1,FALSE)-VLOOKUP($A54,EnrollData2324,'2324 Jun 24 Enroll'!J$1,FALSE)='District Calculations'!$D$16+'District Calculations'!$D$25-'District Calculations'!$D$17,VLOOKUP($A54,EnrollData2324,'2324 Jun 24 Enroll'!I$1,FALSE)+VLOOKUP($A54,EnrollData2324,'2324 Jun 24 Enroll'!M$1,FALSE)-VLOOKUP($A54,EnrollData2324,'2324 Jun 24 Enroll'!J$1,FALSE),'District Calculations'!$D$16+'District Calculations'!$D$25-'District Calculations'!$D$17)*Apport_216A2324s,3)</f>
        <v>58.183999999999997</v>
      </c>
      <c r="J54">
        <f>ROUND(SUM(D54:I54)/(IF(VLOOKUP($A54,EnrollData2324,'2324 Jun 24 Enroll'!M$1,FALSE)='District Calculations'!$D$25,VLOOKUP($A54,EnrollData2324,'2324 Jun 24 Enroll'!M$1,FALSE),'District Calculations'!$D$25)+IF(VLOOKUP($A54,EnrollData2324,'2324 Jun 24 Enroll'!D$1,FALSE)='District Calculations'!$D$11,VLOOKUP($A54,EnrollData2324,'2324 Jun 24 Enroll'!D$1,FALSE),'District Calculations'!$D$11)),5)</f>
        <v>5.5530000000000003E-2</v>
      </c>
      <c r="K54" s="11">
        <f t="shared" si="6"/>
        <v>4.3699999999999998E-3</v>
      </c>
      <c r="L54">
        <f>ROUND(IF(VLOOKUP($A54,EnrollData2324,'2324 Jun 24 Enroll'!D$1,FALSE)='District Calculations'!$D$11,VLOOKUP($A54,EnrollData2324,'2324 Jun 24 Enroll'!D$1,FALSE),'District Calculations'!$D$11)*K54,3)</f>
        <v>0</v>
      </c>
      <c r="M54">
        <f>ROUND(IF(VLOOKUP($A54,EnrollData2324,'2324 Jun 24 Enroll'!E$1,FALSE)='District Calculations'!$D$12,VLOOKUP($A54,EnrollData2324,'2324 Jun 24 Enroll'!E$1,FALSE),'District Calculations'!$D$12)*K54,3)</f>
        <v>3.5419999999999998</v>
      </c>
      <c r="N54">
        <f>ROUND(IF(VLOOKUP($A54,EnrollData2324,'2324 Jun 24 Enroll'!F$1,FALSE)='District Calculations'!$D$13,VLOOKUP($A54,EnrollData2324,'2324 Jun 24 Enroll'!F$1,FALSE),'District Calculations'!$D$13)*Apport_223A2324s,3)</f>
        <v>0.84299999999999997</v>
      </c>
      <c r="O54">
        <f>ROUND(IF(VLOOKUP($A54,EnrollData2324,'2324 Jun 24 Enroll'!G$1,FALSE)='District Calculations'!$D$14,VLOOKUP($A54,EnrollData2324,'2324 Jun 24 Enroll'!G$1,FALSE),'District Calculations'!$D$14)*Apport_211A2324s,3)</f>
        <v>1.87</v>
      </c>
      <c r="P54">
        <f>ROUND(IF(VLOOKUP($A54,EnrollData2324,'2324 Jun 24 Enroll'!H$1,FALSE)='District Calculations'!$D$14,VLOOKUP($A54,EnrollData2324,'2324 Jun 24 Enroll'!H$1,FALSE),'District Calculations'!$D$14)*Apport_214A2324s,3)</f>
        <v>1.8680000000000001</v>
      </c>
      <c r="Q54">
        <f>ROUND(IF(VLOOKUP($A54,EnrollData2324,'2324 Jun 24 Enroll'!I$1,FALSE)+VLOOKUP($A54,EnrollData2324,'2324 Jun 24 Enroll'!M$1,FALSE)-VLOOKUP($A54,EnrollData2324,'2324 Jun 24 Enroll'!J$1,FALSE)='District Calculations'!$D$16+'District Calculations'!$D$25-'District Calculations'!$D$17,VLOOKUP($A54,EnrollData2324,'2324 Jun 24 Enroll'!I$1,FALSE)+VLOOKUP($A54,EnrollData2324,'2324 Jun 24 Enroll'!M$1,FALSE)-VLOOKUP($A54,EnrollData2324,'2324 Jun 24 Enroll'!J$1,FALSE),'District Calculations'!$D$16+'District Calculations'!$D$25-'District Calculations'!$D$17)*Apport_217A2324s,3)</f>
        <v>4.702</v>
      </c>
      <c r="R54">
        <f>ROUND(SUM(L54:Q54)/IF(VLOOKUP($A54,EnrollData2324,'2324 Jun 24 Enroll'!M$1,FALSE)+VLOOKUP($A54,EnrollData2324,'2324 Jun 24 Enroll'!D$1,FALSE)='District Calculations'!$D$25+'District Calculations'!$D$11,VLOOKUP($A54,EnrollData2324,'2324 Jun 24 Enroll'!M$1,FALSE)+VLOOKUP($A54,EnrollData2324,'2324 Jun 24 Enroll'!D$1,FALSE),'District Calculations'!$D$25+'District Calculations'!$D$11),5)</f>
        <v>4.1099999999999999E-3</v>
      </c>
      <c r="S54" s="11">
        <f t="shared" si="7"/>
        <v>1.8689600000000001E-2</v>
      </c>
      <c r="T54">
        <f>ROUND(IF(VLOOKUP($A54,EnrollData2324,'2324 Jun 24 Enroll'!D$1,FALSE)='District Calculations'!$D$11,VLOOKUP($A54,EnrollData2324,'2324 Jun 24 Enroll'!D$1,FALSE),'District Calculations'!$D$11)*S54,3)</f>
        <v>0</v>
      </c>
      <c r="U54">
        <f>ROUND(IF(VLOOKUP($A54,EnrollData2324,'2324 Jun 24 Enroll'!E$1,FALSE)='District Calculations'!$D$12,VLOOKUP($A54,EnrollData2324,'2324 Jun 24 Enroll'!E$1,FALSE),'District Calculations'!$D$12)*S54,3)</f>
        <v>15.148</v>
      </c>
      <c r="V54">
        <f>ROUND(IF(VLOOKUP($A54,EnrollData2324,'2324 Jun 24 Enroll'!F$1,FALSE)='District Calculations'!$D$13,VLOOKUP($A54,EnrollData2324,'2324 Jun 24 Enroll'!F$1,FALSE),'District Calculations'!$D$13)*Apport_224A2324s,3)</f>
        <v>3.7029999999999998</v>
      </c>
      <c r="W54">
        <f>ROUND(IF(VLOOKUP($A54,EnrollData2324,'2324 Jun 24 Enroll'!G$1,FALSE)='District Calculations'!$D$14,VLOOKUP($A54,EnrollData2324,'2324 Jun 24 Enroll'!G$1,FALSE),'District Calculations'!$D$14)*Apport_212A2324s,3)</f>
        <v>8.2089999999999996</v>
      </c>
      <c r="X54">
        <f>ROUND(IF(VLOOKUP($A54,EnrollData2324,'2324 Jun 24 Enroll'!H$1,FALSE)='District Calculations'!$D$14,VLOOKUP($A54,EnrollData2324,'2324 Jun 24 Enroll'!H$1,FALSE),'District Calculations'!$D$14)*Apport_215A2324s,3)</f>
        <v>8.0969999999999995</v>
      </c>
      <c r="Y54">
        <f>ROUND(IF(VLOOKUP($A54,EnrollData2324,'2324 Jun 24 Enroll'!I$1,FALSE)+VLOOKUP($A54,EnrollData2324,'2324 Jun 24 Enroll'!M$1,FALSE)-VLOOKUP($A54,EnrollData2324,'2324 Jun 24 Enroll'!J$1,FALSE)='District Calculations'!$D$16+'District Calculations'!$D$25-'District Calculations'!$D$17,VLOOKUP($A54,EnrollData2324,'2324 Jun 24 Enroll'!I$1,FALSE)+VLOOKUP($A54,EnrollData2324,'2324 Jun 24 Enroll'!M$1,FALSE)-VLOOKUP($A54,EnrollData2324,'2324 Jun 24 Enroll'!J$1,FALSE),'District Calculations'!$D$16+'District Calculations'!$D$25-'District Calculations'!$D$17)*Apport_218A2324s,3)</f>
        <v>20.224</v>
      </c>
      <c r="Z54">
        <f>ROUND(SUM(T54:Y54)/IF(VLOOKUP($A54,EnrollData2324,'2324 Jun 24 Enroll'!M$1,FALSE)+VLOOKUP($A54,EnrollData2324,'2324 Jun 24 Enroll'!D$1,FALSE)='District Calculations'!$D$25+'District Calculations'!$D$11,VLOOKUP($A54,EnrollData2324,'2324 Jun 24 Enroll'!M$1,FALSE)+VLOOKUP($A54,EnrollData2324,'2324 Jun 24 Enroll'!D$1,FALSE),'District Calculations'!$D$25+'District Calculations'!$D$11),5)</f>
        <v>1.7749999999999998E-2</v>
      </c>
      <c r="AA54" s="6" cm="1">
        <f t="array" ref="AA54">ROUND($J54*CIS_Base_Salary2324s*VLOOKUP($A54,EnrollData2324,'2324 Jun 24 Enroll'!S$1,FALSE),2)</f>
        <v>4099.16</v>
      </c>
      <c r="AB54" s="6" cm="1">
        <f t="array" ref="AB54">ROUND($J54*CIS_Inc_Salary2324s*(VLOOKUP($A54,EnrollData2324,'2324 Jun 24 Enroll'!T$1,FALSE)+VLOOKUP($A54,EnrollData2324,'2324 Jun 24 Enroll'!U$1,FALSE)),2)-AA54</f>
        <v>151.68000000000029</v>
      </c>
      <c r="AC54" s="6" cm="1">
        <f t="array" ref="AC54">ROUND($R54*CAS_Base_Salary2324s*VLOOKUP($A54,EnrollData2324,'2324 Jun 24 Enroll'!S$1,FALSE),2)</f>
        <v>450.35</v>
      </c>
      <c r="AD54" s="6" cm="1">
        <f t="array" ref="AD54">ROUND($R54*CAS_Inc_Salary2324s*VLOOKUP($A54,EnrollData2324,'2324 Jun 24 Enroll'!T$1,FALSE),2)-AC54</f>
        <v>16.669999999999959</v>
      </c>
      <c r="AE54" s="6" cm="1">
        <f t="array" ref="AE54">ROUND($Z54*CLS_Base_Salary2324s*VLOOKUP($A54,EnrollData2324,'2324 Jun 24 Enroll'!S$1,FALSE),2)</f>
        <v>939.96</v>
      </c>
      <c r="AF54" s="6" cm="1">
        <f t="array" ref="AF54">ROUND($Z54*CLS_Inc_Salary2324s*VLOOKUP($A54,EnrollData2324,'2324 Jun 24 Enroll'!T$1,FALSE),2)-AE54</f>
        <v>34.769999999999982</v>
      </c>
      <c r="AG54" cm="1">
        <f t="array" ref="AG54">ROUND(($J54+$R54)*Apport_124X2324s,2)</f>
        <v>734.29</v>
      </c>
      <c r="AH54" s="69">
        <f t="shared" si="8"/>
        <v>68.700000000000045</v>
      </c>
      <c r="AI54" cm="1">
        <f t="array" ref="AI54">ROUND($Z54*Apport_124X2324s,2)</f>
        <v>218.54</v>
      </c>
      <c r="AJ54" cm="1">
        <f t="array" ref="AJ54">ROUND($Z54*Apport_621X2324s*Apport_125X2324s,2)-AI54</f>
        <v>116.51000000000002</v>
      </c>
      <c r="AK54" cm="1">
        <f t="array" ref="AK54">ROUND((AA54+AC54)*Apport_126X2324s,2)</f>
        <v>817.55</v>
      </c>
      <c r="AL54" cm="1">
        <f t="array" ref="AL54">ROUND((AB54+AD54)*Apport_127X2324s,2)</f>
        <v>29.18</v>
      </c>
      <c r="AM54" cm="1">
        <f t="array" ref="AM54">ROUND(AE54*Apport_128X2324s,2)</f>
        <v>207.36</v>
      </c>
      <c r="AN54" cm="1">
        <f t="array" ref="AN54">ROUND(AF54*Apport_129X2324s,2)</f>
        <v>6.45</v>
      </c>
      <c r="AO54" cm="1">
        <f t="array" ref="AO54">ROUND(($J54*CIS_Inc_Salary2324s*(VLOOKUP($A54,EnrollData2324,'2324 Jun 24 Enroll'!T$1,FALSE)+VLOOKUP($A54,EnrollData2324,'2324 Jun 24 Enroll'!U$1,FALSE))/Apport_613Xpd)*Apport_614Xpd,2)</f>
        <v>70.849999999999994</v>
      </c>
      <c r="AP54" cm="1">
        <f t="array" ref="AP54">ROUND(AO54*Apport_127X2324s,2)</f>
        <v>12.28</v>
      </c>
      <c r="AQ54">
        <f t="shared" si="9"/>
        <v>30.93</v>
      </c>
      <c r="AR54" s="6" cm="1">
        <f t="array" ref="AR54">ROUND((VLOOKUP($A54,EnrollData2324,'2324 Jun 24 Enroll'!D$1,FALSE)*Apport_M802324s+VLOOKUP($A54,EnrollData2324,'2324 Jun 24 Enroll'!M$1,FALSE)*Apport_M802324s+(VLOOKUP($A54,EnrollData2324,'2324 Jun 24 Enroll'!P$1,FALSE)+VLOOKUP($A54,EnrollData2324,'2324 Jun 24 Enroll'!Q$1,FALSE)+VLOOKUP($A54,EnrollData2324,'2324 Jun 24 Enroll'!R$1,FALSE)+VLOOKUP($A54,EnrollData2324,'2324 Jun 24 Enroll'!I$1,FALSE)+VLOOKUP($A54,EnrollData2324,'2324 Jun 24 Enroll'!N$1,FALSE)+VLOOKUP($A54,EnrollData2324,'2324 Jun 24 Enroll'!O$1,FALSE)+VLOOKUP($A54,EnrollData2324,'2324 Jun 24 Enroll'!K$1,FALSE)+VLOOKUP($A54,EnrollData2324,'2324 Jun 24 Enroll'!L$1,FALSE))*Apport_M812324s)/(VLOOKUP($A54,EnrollData2324,'2324 Jun 24 Enroll'!M$1,FALSE)+VLOOKUP($A54,EnrollData2324,'2324 Jun 24 Enroll'!D$1,FALSE)),2)</f>
        <v>1581.58</v>
      </c>
      <c r="AS54" s="7">
        <f t="shared" si="11"/>
        <v>9586.8100000000013</v>
      </c>
    </row>
    <row r="55" spans="1:46">
      <c r="A55" s="40" t="s">
        <v>1029</v>
      </c>
      <c r="B55" s="40" t="s">
        <v>1030</v>
      </c>
      <c r="C55" s="11">
        <f>ROUND((IFERROR((1/IF(VLOOKUP($A55,EnrollData2324,28,FALSE)='District Calculations'!$D$10,VLOOKUP($A55,EnrollData2324,28,FALSE),'District Calculations'!$D$10))*(1+Apport_Z315),0))+Apport_201A2324s,6)</f>
        <v>7.3449E-2</v>
      </c>
      <c r="D55">
        <f>ROUND(IF(VLOOKUP($A55,EnrollData2324,'2324 Jun 24 Enroll'!D$1,FALSE)='District Calculations'!$D$11,VLOOKUP($A55,EnrollData2324,'2324 Jun 24 Enroll'!D$1,FALSE),'District Calculations'!$D$11)*C55,3)</f>
        <v>0</v>
      </c>
      <c r="E55">
        <f>ROUND(IF(VLOOKUP($A55,EnrollData2324,'2324 Jun 24 Enroll'!E$1,FALSE)='District Calculations'!$D$12,VLOOKUP($A55,EnrollData2324,'2324 Jun 24 Enroll'!E$1,FALSE),'District Calculations'!$D$12)*C55,3)</f>
        <v>59.53</v>
      </c>
      <c r="F55">
        <f>ROUND(IF(VLOOKUP($A55,EnrollData2324,'2324 Jun 24 Enroll'!F$1,FALSE)='District Calculations'!$D$13,VLOOKUP($A55,EnrollData2324,'2324 Jun 24 Enroll'!F$1,FALSE),'District Calculations'!$D$13)*Apport_222A2324s,3)</f>
        <v>10.101000000000001</v>
      </c>
      <c r="G55">
        <f>ROUND(IF(VLOOKUP($A55,EnrollData2324,'2324 Jun 24 Enroll'!G$1,FALSE)='District Calculations'!$D$14,VLOOKUP($A55,EnrollData2324,'2324 Jun 24 Enroll'!G$1,FALSE),'District Calculations'!$D$14)*Apport_210A2324s,3)</f>
        <v>22.395</v>
      </c>
      <c r="H55">
        <f>ROUND(IF(VLOOKUP($A55,EnrollData2324,'2324 Jun 24 Enroll'!H$1,FALSE)='District Calculations'!$D$15,VLOOKUP($A55,EnrollData2324,'2324 Jun 24 Enroll'!H$1,FALSE),'District Calculations'!$D$15)*Apport_213A2324s,3)</f>
        <v>23.091999999999999</v>
      </c>
      <c r="I55">
        <f>ROUND(IF(VLOOKUP($A55,EnrollData2324,'2324 Jun 24 Enroll'!I$1,FALSE)+VLOOKUP($A55,EnrollData2324,'2324 Jun 24 Enroll'!M$1,FALSE)-VLOOKUP($A55,EnrollData2324,'2324 Jun 24 Enroll'!J$1,FALSE)='District Calculations'!$D$16+'District Calculations'!$D$25-'District Calculations'!$D$17,VLOOKUP($A55,EnrollData2324,'2324 Jun 24 Enroll'!I$1,FALSE)+VLOOKUP($A55,EnrollData2324,'2324 Jun 24 Enroll'!M$1,FALSE)-VLOOKUP($A55,EnrollData2324,'2324 Jun 24 Enroll'!J$1,FALSE),'District Calculations'!$D$16+'District Calculations'!$D$25-'District Calculations'!$D$17)*Apport_216A2324s,3)</f>
        <v>58.183999999999997</v>
      </c>
      <c r="J55">
        <f>ROUND(SUM(D55:I55)/(IF(VLOOKUP($A55,EnrollData2324,'2324 Jun 24 Enroll'!M$1,FALSE)='District Calculations'!$D$25,VLOOKUP($A55,EnrollData2324,'2324 Jun 24 Enroll'!M$1,FALSE),'District Calculations'!$D$25)+IF(VLOOKUP($A55,EnrollData2324,'2324 Jun 24 Enroll'!D$1,FALSE)='District Calculations'!$D$11,VLOOKUP($A55,EnrollData2324,'2324 Jun 24 Enroll'!D$1,FALSE),'District Calculations'!$D$11)),5)</f>
        <v>5.5530000000000003E-2</v>
      </c>
      <c r="K55" s="11">
        <f t="shared" si="6"/>
        <v>4.3699999999999998E-3</v>
      </c>
      <c r="L55">
        <f>ROUND(IF(VLOOKUP($A55,EnrollData2324,'2324 Jun 24 Enroll'!D$1,FALSE)='District Calculations'!$D$11,VLOOKUP($A55,EnrollData2324,'2324 Jun 24 Enroll'!D$1,FALSE),'District Calculations'!$D$11)*K55,3)</f>
        <v>0</v>
      </c>
      <c r="M55">
        <f>ROUND(IF(VLOOKUP($A55,EnrollData2324,'2324 Jun 24 Enroll'!E$1,FALSE)='District Calculations'!$D$12,VLOOKUP($A55,EnrollData2324,'2324 Jun 24 Enroll'!E$1,FALSE),'District Calculations'!$D$12)*K55,3)</f>
        <v>3.5419999999999998</v>
      </c>
      <c r="N55">
        <f>ROUND(IF(VLOOKUP($A55,EnrollData2324,'2324 Jun 24 Enroll'!F$1,FALSE)='District Calculations'!$D$13,VLOOKUP($A55,EnrollData2324,'2324 Jun 24 Enroll'!F$1,FALSE),'District Calculations'!$D$13)*Apport_223A2324s,3)</f>
        <v>0.84299999999999997</v>
      </c>
      <c r="O55">
        <f>ROUND(IF(VLOOKUP($A55,EnrollData2324,'2324 Jun 24 Enroll'!G$1,FALSE)='District Calculations'!$D$14,VLOOKUP($A55,EnrollData2324,'2324 Jun 24 Enroll'!G$1,FALSE),'District Calculations'!$D$14)*Apport_211A2324s,3)</f>
        <v>1.87</v>
      </c>
      <c r="P55">
        <f>ROUND(IF(VLOOKUP($A55,EnrollData2324,'2324 Jun 24 Enroll'!H$1,FALSE)='District Calculations'!$D$14,VLOOKUP($A55,EnrollData2324,'2324 Jun 24 Enroll'!H$1,FALSE),'District Calculations'!$D$14)*Apport_214A2324s,3)</f>
        <v>1.8680000000000001</v>
      </c>
      <c r="Q55">
        <f>ROUND(IF(VLOOKUP($A55,EnrollData2324,'2324 Jun 24 Enroll'!I$1,FALSE)+VLOOKUP($A55,EnrollData2324,'2324 Jun 24 Enroll'!M$1,FALSE)-VLOOKUP($A55,EnrollData2324,'2324 Jun 24 Enroll'!J$1,FALSE)='District Calculations'!$D$16+'District Calculations'!$D$25-'District Calculations'!$D$17,VLOOKUP($A55,EnrollData2324,'2324 Jun 24 Enroll'!I$1,FALSE)+VLOOKUP($A55,EnrollData2324,'2324 Jun 24 Enroll'!M$1,FALSE)-VLOOKUP($A55,EnrollData2324,'2324 Jun 24 Enroll'!J$1,FALSE),'District Calculations'!$D$16+'District Calculations'!$D$25-'District Calculations'!$D$17)*Apport_217A2324s,3)</f>
        <v>4.702</v>
      </c>
      <c r="R55">
        <f>ROUND(SUM(L55:Q55)/IF(VLOOKUP($A55,EnrollData2324,'2324 Jun 24 Enroll'!M$1,FALSE)+VLOOKUP($A55,EnrollData2324,'2324 Jun 24 Enroll'!D$1,FALSE)='District Calculations'!$D$25+'District Calculations'!$D$11,VLOOKUP($A55,EnrollData2324,'2324 Jun 24 Enroll'!M$1,FALSE)+VLOOKUP($A55,EnrollData2324,'2324 Jun 24 Enroll'!D$1,FALSE),'District Calculations'!$D$25+'District Calculations'!$D$11),5)</f>
        <v>4.1099999999999999E-3</v>
      </c>
      <c r="S55" s="11">
        <f t="shared" si="7"/>
        <v>1.8689600000000001E-2</v>
      </c>
      <c r="T55">
        <f>ROUND(IF(VLOOKUP($A55,EnrollData2324,'2324 Jun 24 Enroll'!D$1,FALSE)='District Calculations'!$D$11,VLOOKUP($A55,EnrollData2324,'2324 Jun 24 Enroll'!D$1,FALSE),'District Calculations'!$D$11)*S55,3)</f>
        <v>0</v>
      </c>
      <c r="U55">
        <f>ROUND(IF(VLOOKUP($A55,EnrollData2324,'2324 Jun 24 Enroll'!E$1,FALSE)='District Calculations'!$D$12,VLOOKUP($A55,EnrollData2324,'2324 Jun 24 Enroll'!E$1,FALSE),'District Calculations'!$D$12)*S55,3)</f>
        <v>15.148</v>
      </c>
      <c r="V55">
        <f>ROUND(IF(VLOOKUP($A55,EnrollData2324,'2324 Jun 24 Enroll'!F$1,FALSE)='District Calculations'!$D$13,VLOOKUP($A55,EnrollData2324,'2324 Jun 24 Enroll'!F$1,FALSE),'District Calculations'!$D$13)*Apport_224A2324s,3)</f>
        <v>3.7029999999999998</v>
      </c>
      <c r="W55">
        <f>ROUND(IF(VLOOKUP($A55,EnrollData2324,'2324 Jun 24 Enroll'!G$1,FALSE)='District Calculations'!$D$14,VLOOKUP($A55,EnrollData2324,'2324 Jun 24 Enroll'!G$1,FALSE),'District Calculations'!$D$14)*Apport_212A2324s,3)</f>
        <v>8.2089999999999996</v>
      </c>
      <c r="X55">
        <f>ROUND(IF(VLOOKUP($A55,EnrollData2324,'2324 Jun 24 Enroll'!H$1,FALSE)='District Calculations'!$D$14,VLOOKUP($A55,EnrollData2324,'2324 Jun 24 Enroll'!H$1,FALSE),'District Calculations'!$D$14)*Apport_215A2324s,3)</f>
        <v>8.0969999999999995</v>
      </c>
      <c r="Y55">
        <f>ROUND(IF(VLOOKUP($A55,EnrollData2324,'2324 Jun 24 Enroll'!I$1,FALSE)+VLOOKUP($A55,EnrollData2324,'2324 Jun 24 Enroll'!M$1,FALSE)-VLOOKUP($A55,EnrollData2324,'2324 Jun 24 Enroll'!J$1,FALSE)='District Calculations'!$D$16+'District Calculations'!$D$25-'District Calculations'!$D$17,VLOOKUP($A55,EnrollData2324,'2324 Jun 24 Enroll'!I$1,FALSE)+VLOOKUP($A55,EnrollData2324,'2324 Jun 24 Enroll'!M$1,FALSE)-VLOOKUP($A55,EnrollData2324,'2324 Jun 24 Enroll'!J$1,FALSE),'District Calculations'!$D$16+'District Calculations'!$D$25-'District Calculations'!$D$17)*Apport_218A2324s,3)</f>
        <v>20.224</v>
      </c>
      <c r="Z55">
        <f>ROUND(SUM(T55:Y55)/IF(VLOOKUP($A55,EnrollData2324,'2324 Jun 24 Enroll'!M$1,FALSE)+VLOOKUP($A55,EnrollData2324,'2324 Jun 24 Enroll'!D$1,FALSE)='District Calculations'!$D$25+'District Calculations'!$D$11,VLOOKUP($A55,EnrollData2324,'2324 Jun 24 Enroll'!M$1,FALSE)+VLOOKUP($A55,EnrollData2324,'2324 Jun 24 Enroll'!D$1,FALSE),'District Calculations'!$D$25+'District Calculations'!$D$11),5)</f>
        <v>1.7749999999999998E-2</v>
      </c>
      <c r="AA55" s="6" cm="1">
        <f t="array" ref="AA55">ROUND($J55*CIS_Base_Salary2324s*VLOOKUP($A55,EnrollData2324,'2324 Jun 24 Enroll'!S$1,FALSE),2)</f>
        <v>4099.16</v>
      </c>
      <c r="AB55" s="6" cm="1">
        <f t="array" ref="AB55">ROUND($J55*CIS_Inc_Salary2324s*(VLOOKUP($A55,EnrollData2324,'2324 Jun 24 Enroll'!T$1,FALSE)+VLOOKUP($A55,EnrollData2324,'2324 Jun 24 Enroll'!U$1,FALSE)),2)-AA55</f>
        <v>151.68000000000029</v>
      </c>
      <c r="AC55" s="6" cm="1">
        <f t="array" ref="AC55">ROUND($R55*CAS_Base_Salary2324s*VLOOKUP($A55,EnrollData2324,'2324 Jun 24 Enroll'!S$1,FALSE),2)</f>
        <v>450.35</v>
      </c>
      <c r="AD55" s="6" cm="1">
        <f t="array" ref="AD55">ROUND($R55*CAS_Inc_Salary2324s*VLOOKUP($A55,EnrollData2324,'2324 Jun 24 Enroll'!T$1,FALSE),2)-AC55</f>
        <v>16.669999999999959</v>
      </c>
      <c r="AE55" s="6" cm="1">
        <f t="array" ref="AE55">ROUND($Z55*CLS_Base_Salary2324s*VLOOKUP($A55,EnrollData2324,'2324 Jun 24 Enroll'!S$1,FALSE),2)</f>
        <v>939.96</v>
      </c>
      <c r="AF55" s="6" cm="1">
        <f t="array" ref="AF55">ROUND($Z55*CLS_Inc_Salary2324s*VLOOKUP($A55,EnrollData2324,'2324 Jun 24 Enroll'!T$1,FALSE),2)-AE55</f>
        <v>34.769999999999982</v>
      </c>
      <c r="AG55" cm="1">
        <f t="array" ref="AG55">ROUND(($J55+$R55)*Apport_124X2324s,2)</f>
        <v>734.29</v>
      </c>
      <c r="AH55" s="69">
        <f t="shared" si="8"/>
        <v>68.700000000000045</v>
      </c>
      <c r="AI55" cm="1">
        <f t="array" ref="AI55">ROUND($Z55*Apport_124X2324s,2)</f>
        <v>218.54</v>
      </c>
      <c r="AJ55" cm="1">
        <f t="array" ref="AJ55">ROUND($Z55*Apport_621X2324s*Apport_125X2324s,2)-AI55</f>
        <v>116.51000000000002</v>
      </c>
      <c r="AK55" cm="1">
        <f t="array" ref="AK55">ROUND((AA55+AC55)*Apport_126X2324s,2)</f>
        <v>817.55</v>
      </c>
      <c r="AL55" cm="1">
        <f t="array" ref="AL55">ROUND((AB55+AD55)*Apport_127X2324s,2)</f>
        <v>29.18</v>
      </c>
      <c r="AM55" cm="1">
        <f t="array" ref="AM55">ROUND(AE55*Apport_128X2324s,2)</f>
        <v>207.36</v>
      </c>
      <c r="AN55" cm="1">
        <f t="array" ref="AN55">ROUND(AF55*Apport_129X2324s,2)</f>
        <v>6.45</v>
      </c>
      <c r="AO55" cm="1">
        <f t="array" ref="AO55">ROUND(($J55*CIS_Inc_Salary2324s*(VLOOKUP($A55,EnrollData2324,'2324 Jun 24 Enroll'!T$1,FALSE)+VLOOKUP($A55,EnrollData2324,'2324 Jun 24 Enroll'!U$1,FALSE))/Apport_613Xpd)*Apport_614Xpd,2)</f>
        <v>70.849999999999994</v>
      </c>
      <c r="AP55" cm="1">
        <f t="array" ref="AP55">ROUND(AO55*Apport_127X2324s,2)</f>
        <v>12.28</v>
      </c>
      <c r="AQ55">
        <f t="shared" si="9"/>
        <v>30.93</v>
      </c>
      <c r="AR55" s="6" cm="1">
        <f t="array" ref="AR55">ROUND((VLOOKUP($A55,EnrollData2324,'2324 Jun 24 Enroll'!D$1,FALSE)*Apport_M802324s+VLOOKUP($A55,EnrollData2324,'2324 Jun 24 Enroll'!M$1,FALSE)*Apport_M802324s+(VLOOKUP($A55,EnrollData2324,'2324 Jun 24 Enroll'!P$1,FALSE)+VLOOKUP($A55,EnrollData2324,'2324 Jun 24 Enroll'!Q$1,FALSE)+VLOOKUP($A55,EnrollData2324,'2324 Jun 24 Enroll'!R$1,FALSE)+VLOOKUP($A55,EnrollData2324,'2324 Jun 24 Enroll'!I$1,FALSE)+VLOOKUP($A55,EnrollData2324,'2324 Jun 24 Enroll'!N$1,FALSE)+VLOOKUP($A55,EnrollData2324,'2324 Jun 24 Enroll'!O$1,FALSE)+VLOOKUP($A55,EnrollData2324,'2324 Jun 24 Enroll'!K$1,FALSE)+VLOOKUP($A55,EnrollData2324,'2324 Jun 24 Enroll'!L$1,FALSE))*Apport_M812324s)/(VLOOKUP($A55,EnrollData2324,'2324 Jun 24 Enroll'!M$1,FALSE)+VLOOKUP($A55,EnrollData2324,'2324 Jun 24 Enroll'!D$1,FALSE)),2)</f>
        <v>1544.53</v>
      </c>
      <c r="AS55" s="7">
        <f t="shared" si="11"/>
        <v>9549.76</v>
      </c>
    </row>
    <row r="56" spans="1:46">
      <c r="A56" s="40" t="s">
        <v>695</v>
      </c>
      <c r="B56" s="40" t="s">
        <v>696</v>
      </c>
      <c r="C56" s="11">
        <f>ROUND((IFERROR((1/IF(VLOOKUP($A56,EnrollData2324,28,FALSE)='District Calculations'!$D$10,VLOOKUP($A56,EnrollData2324,28,FALSE),'District Calculations'!$D$10))*(1+Apport_Z315),0))+Apport_201A2324s,6)</f>
        <v>7.3449E-2</v>
      </c>
      <c r="D56">
        <f>ROUND(IF(VLOOKUP($A56,EnrollData2324,'2324 Jun 24 Enroll'!D$1,FALSE)='District Calculations'!$D$11,VLOOKUP($A56,EnrollData2324,'2324 Jun 24 Enroll'!D$1,FALSE),'District Calculations'!$D$11)*C56,3)</f>
        <v>0</v>
      </c>
      <c r="E56">
        <f>ROUND(IF(VLOOKUP($A56,EnrollData2324,'2324 Jun 24 Enroll'!E$1,FALSE)='District Calculations'!$D$12,VLOOKUP($A56,EnrollData2324,'2324 Jun 24 Enroll'!E$1,FALSE),'District Calculations'!$D$12)*C56,3)</f>
        <v>59.53</v>
      </c>
      <c r="F56">
        <f>ROUND(IF(VLOOKUP($A56,EnrollData2324,'2324 Jun 24 Enroll'!F$1,FALSE)='District Calculations'!$D$13,VLOOKUP($A56,EnrollData2324,'2324 Jun 24 Enroll'!F$1,FALSE),'District Calculations'!$D$13)*Apport_222A2324s,3)</f>
        <v>10.101000000000001</v>
      </c>
      <c r="G56">
        <f>ROUND(IF(VLOOKUP($A56,EnrollData2324,'2324 Jun 24 Enroll'!G$1,FALSE)='District Calculations'!$D$14,VLOOKUP($A56,EnrollData2324,'2324 Jun 24 Enroll'!G$1,FALSE),'District Calculations'!$D$14)*Apport_210A2324s,3)</f>
        <v>22.395</v>
      </c>
      <c r="H56">
        <f>ROUND(IF(VLOOKUP($A56,EnrollData2324,'2324 Jun 24 Enroll'!H$1,FALSE)='District Calculations'!$D$15,VLOOKUP($A56,EnrollData2324,'2324 Jun 24 Enroll'!H$1,FALSE),'District Calculations'!$D$15)*Apport_213A2324s,3)</f>
        <v>23.091999999999999</v>
      </c>
      <c r="I56">
        <f>ROUND(IF(VLOOKUP($A56,EnrollData2324,'2324 Jun 24 Enroll'!I$1,FALSE)+VLOOKUP($A56,EnrollData2324,'2324 Jun 24 Enroll'!M$1,FALSE)-VLOOKUP($A56,EnrollData2324,'2324 Jun 24 Enroll'!J$1,FALSE)='District Calculations'!$D$16+'District Calculations'!$D$25-'District Calculations'!$D$17,VLOOKUP($A56,EnrollData2324,'2324 Jun 24 Enroll'!I$1,FALSE)+VLOOKUP($A56,EnrollData2324,'2324 Jun 24 Enroll'!M$1,FALSE)-VLOOKUP($A56,EnrollData2324,'2324 Jun 24 Enroll'!J$1,FALSE),'District Calculations'!$D$16+'District Calculations'!$D$25-'District Calculations'!$D$17)*Apport_216A2324s,3)</f>
        <v>58.183999999999997</v>
      </c>
      <c r="J56">
        <f>ROUND(SUM(D56:I56)/(IF(VLOOKUP($A56,EnrollData2324,'2324 Jun 24 Enroll'!M$1,FALSE)='District Calculations'!$D$25,VLOOKUP($A56,EnrollData2324,'2324 Jun 24 Enroll'!M$1,FALSE),'District Calculations'!$D$25)+IF(VLOOKUP($A56,EnrollData2324,'2324 Jun 24 Enroll'!D$1,FALSE)='District Calculations'!$D$11,VLOOKUP($A56,EnrollData2324,'2324 Jun 24 Enroll'!D$1,FALSE),'District Calculations'!$D$11)),5)</f>
        <v>5.5530000000000003E-2</v>
      </c>
      <c r="K56" s="11">
        <f t="shared" si="6"/>
        <v>4.3699999999999998E-3</v>
      </c>
      <c r="L56">
        <f>ROUND(IF(VLOOKUP($A56,EnrollData2324,'2324 Jun 24 Enroll'!D$1,FALSE)='District Calculations'!$D$11,VLOOKUP($A56,EnrollData2324,'2324 Jun 24 Enroll'!D$1,FALSE),'District Calculations'!$D$11)*K56,3)</f>
        <v>0</v>
      </c>
      <c r="M56">
        <f>ROUND(IF(VLOOKUP($A56,EnrollData2324,'2324 Jun 24 Enroll'!E$1,FALSE)='District Calculations'!$D$12,VLOOKUP($A56,EnrollData2324,'2324 Jun 24 Enroll'!E$1,FALSE),'District Calculations'!$D$12)*K56,3)</f>
        <v>3.5419999999999998</v>
      </c>
      <c r="N56">
        <f>ROUND(IF(VLOOKUP($A56,EnrollData2324,'2324 Jun 24 Enroll'!F$1,FALSE)='District Calculations'!$D$13,VLOOKUP($A56,EnrollData2324,'2324 Jun 24 Enroll'!F$1,FALSE),'District Calculations'!$D$13)*Apport_223A2324s,3)</f>
        <v>0.84299999999999997</v>
      </c>
      <c r="O56">
        <f>ROUND(IF(VLOOKUP($A56,EnrollData2324,'2324 Jun 24 Enroll'!G$1,FALSE)='District Calculations'!$D$14,VLOOKUP($A56,EnrollData2324,'2324 Jun 24 Enroll'!G$1,FALSE),'District Calculations'!$D$14)*Apport_211A2324s,3)</f>
        <v>1.87</v>
      </c>
      <c r="P56">
        <f>ROUND(IF(VLOOKUP($A56,EnrollData2324,'2324 Jun 24 Enroll'!H$1,FALSE)='District Calculations'!$D$14,VLOOKUP($A56,EnrollData2324,'2324 Jun 24 Enroll'!H$1,FALSE),'District Calculations'!$D$14)*Apport_214A2324s,3)</f>
        <v>1.8680000000000001</v>
      </c>
      <c r="Q56">
        <f>ROUND(IF(VLOOKUP($A56,EnrollData2324,'2324 Jun 24 Enroll'!I$1,FALSE)+VLOOKUP($A56,EnrollData2324,'2324 Jun 24 Enroll'!M$1,FALSE)-VLOOKUP($A56,EnrollData2324,'2324 Jun 24 Enroll'!J$1,FALSE)='District Calculations'!$D$16+'District Calculations'!$D$25-'District Calculations'!$D$17,VLOOKUP($A56,EnrollData2324,'2324 Jun 24 Enroll'!I$1,FALSE)+VLOOKUP($A56,EnrollData2324,'2324 Jun 24 Enroll'!M$1,FALSE)-VLOOKUP($A56,EnrollData2324,'2324 Jun 24 Enroll'!J$1,FALSE),'District Calculations'!$D$16+'District Calculations'!$D$25-'District Calculations'!$D$17)*Apport_217A2324s,3)</f>
        <v>4.702</v>
      </c>
      <c r="R56">
        <f>ROUND(SUM(L56:Q56)/IF(VLOOKUP($A56,EnrollData2324,'2324 Jun 24 Enroll'!M$1,FALSE)+VLOOKUP($A56,EnrollData2324,'2324 Jun 24 Enroll'!D$1,FALSE)='District Calculations'!$D$25+'District Calculations'!$D$11,VLOOKUP($A56,EnrollData2324,'2324 Jun 24 Enroll'!M$1,FALSE)+VLOOKUP($A56,EnrollData2324,'2324 Jun 24 Enroll'!D$1,FALSE),'District Calculations'!$D$25+'District Calculations'!$D$11),5)</f>
        <v>4.1099999999999999E-3</v>
      </c>
      <c r="S56" s="11">
        <f t="shared" si="7"/>
        <v>1.8689600000000001E-2</v>
      </c>
      <c r="T56">
        <f>ROUND(IF(VLOOKUP($A56,EnrollData2324,'2324 Jun 24 Enroll'!D$1,FALSE)='District Calculations'!$D$11,VLOOKUP($A56,EnrollData2324,'2324 Jun 24 Enroll'!D$1,FALSE),'District Calculations'!$D$11)*S56,3)</f>
        <v>0</v>
      </c>
      <c r="U56">
        <f>ROUND(IF(VLOOKUP($A56,EnrollData2324,'2324 Jun 24 Enroll'!E$1,FALSE)='District Calculations'!$D$12,VLOOKUP($A56,EnrollData2324,'2324 Jun 24 Enroll'!E$1,FALSE),'District Calculations'!$D$12)*S56,3)</f>
        <v>15.148</v>
      </c>
      <c r="V56">
        <f>ROUND(IF(VLOOKUP($A56,EnrollData2324,'2324 Jun 24 Enroll'!F$1,FALSE)='District Calculations'!$D$13,VLOOKUP($A56,EnrollData2324,'2324 Jun 24 Enroll'!F$1,FALSE),'District Calculations'!$D$13)*Apport_224A2324s,3)</f>
        <v>3.7029999999999998</v>
      </c>
      <c r="W56">
        <f>ROUND(IF(VLOOKUP($A56,EnrollData2324,'2324 Jun 24 Enroll'!G$1,FALSE)='District Calculations'!$D$14,VLOOKUP($A56,EnrollData2324,'2324 Jun 24 Enroll'!G$1,FALSE),'District Calculations'!$D$14)*Apport_212A2324s,3)</f>
        <v>8.2089999999999996</v>
      </c>
      <c r="X56">
        <f>ROUND(IF(VLOOKUP($A56,EnrollData2324,'2324 Jun 24 Enroll'!H$1,FALSE)='District Calculations'!$D$14,VLOOKUP($A56,EnrollData2324,'2324 Jun 24 Enroll'!H$1,FALSE),'District Calculations'!$D$14)*Apport_215A2324s,3)</f>
        <v>8.0969999999999995</v>
      </c>
      <c r="Y56">
        <f>ROUND(IF(VLOOKUP($A56,EnrollData2324,'2324 Jun 24 Enroll'!I$1,FALSE)+VLOOKUP($A56,EnrollData2324,'2324 Jun 24 Enroll'!M$1,FALSE)-VLOOKUP($A56,EnrollData2324,'2324 Jun 24 Enroll'!J$1,FALSE)='District Calculations'!$D$16+'District Calculations'!$D$25-'District Calculations'!$D$17,VLOOKUP($A56,EnrollData2324,'2324 Jun 24 Enroll'!I$1,FALSE)+VLOOKUP($A56,EnrollData2324,'2324 Jun 24 Enroll'!M$1,FALSE)-VLOOKUP($A56,EnrollData2324,'2324 Jun 24 Enroll'!J$1,FALSE),'District Calculations'!$D$16+'District Calculations'!$D$25-'District Calculations'!$D$17)*Apport_218A2324s,3)</f>
        <v>20.224</v>
      </c>
      <c r="Z56">
        <f>ROUND(SUM(T56:Y56)/IF(VLOOKUP($A56,EnrollData2324,'2324 Jun 24 Enroll'!M$1,FALSE)+VLOOKUP($A56,EnrollData2324,'2324 Jun 24 Enroll'!D$1,FALSE)='District Calculations'!$D$25+'District Calculations'!$D$11,VLOOKUP($A56,EnrollData2324,'2324 Jun 24 Enroll'!M$1,FALSE)+VLOOKUP($A56,EnrollData2324,'2324 Jun 24 Enroll'!D$1,FALSE),'District Calculations'!$D$25+'District Calculations'!$D$11),5)</f>
        <v>1.7749999999999998E-2</v>
      </c>
      <c r="AA56" s="6" cm="1">
        <f t="array" ref="AA56">ROUND($J56*CIS_Base_Salary2324s*VLOOKUP($A56,EnrollData2324,'2324 Jun 24 Enroll'!S$1,FALSE),2)</f>
        <v>4099.16</v>
      </c>
      <c r="AB56" s="6" cm="1">
        <f t="array" ref="AB56">ROUND($J56*CIS_Inc_Salary2324s*(VLOOKUP($A56,EnrollData2324,'2324 Jun 24 Enroll'!T$1,FALSE)+VLOOKUP($A56,EnrollData2324,'2324 Jun 24 Enroll'!U$1,FALSE)),2)-AA56</f>
        <v>256.38000000000011</v>
      </c>
      <c r="AC56" s="6" cm="1">
        <f t="array" ref="AC56">ROUND($R56*CAS_Base_Salary2324s*VLOOKUP($A56,EnrollData2324,'2324 Jun 24 Enroll'!S$1,FALSE),2)</f>
        <v>450.35</v>
      </c>
      <c r="AD56" s="6" cm="1">
        <f t="array" ref="AD56">ROUND($R56*CAS_Inc_Salary2324s*VLOOKUP($A56,EnrollData2324,'2324 Jun 24 Enroll'!T$1,FALSE),2)-AC56</f>
        <v>16.669999999999959</v>
      </c>
      <c r="AE56" s="6" cm="1">
        <f t="array" ref="AE56">ROUND($Z56*CLS_Base_Salary2324s*VLOOKUP($A56,EnrollData2324,'2324 Jun 24 Enroll'!S$1,FALSE),2)</f>
        <v>939.96</v>
      </c>
      <c r="AF56" s="6" cm="1">
        <f t="array" ref="AF56">ROUND($Z56*CLS_Inc_Salary2324s*VLOOKUP($A56,EnrollData2324,'2324 Jun 24 Enroll'!T$1,FALSE),2)-AE56</f>
        <v>34.769999999999982</v>
      </c>
      <c r="AG56" cm="1">
        <f t="array" ref="AG56">ROUND(($J56+$R56)*Apport_124X2324s,2)</f>
        <v>734.29</v>
      </c>
      <c r="AH56" s="69">
        <f t="shared" si="8"/>
        <v>68.700000000000045</v>
      </c>
      <c r="AI56" cm="1">
        <f t="array" ref="AI56">ROUND($Z56*Apport_124X2324s,2)</f>
        <v>218.54</v>
      </c>
      <c r="AJ56" cm="1">
        <f t="array" ref="AJ56">ROUND($Z56*Apport_621X2324s*Apport_125X2324s,2)-AI56</f>
        <v>116.51000000000002</v>
      </c>
      <c r="AK56" cm="1">
        <f t="array" ref="AK56">ROUND((AA56+AC56)*Apport_126X2324s,2)</f>
        <v>817.55</v>
      </c>
      <c r="AL56" cm="1">
        <f t="array" ref="AL56">ROUND((AB56+AD56)*Apport_127X2324s,2)</f>
        <v>47.32</v>
      </c>
      <c r="AM56" cm="1">
        <f t="array" ref="AM56">ROUND(AE56*Apport_128X2324s,2)</f>
        <v>207.36</v>
      </c>
      <c r="AN56" cm="1">
        <f t="array" ref="AN56">ROUND(AF56*Apport_129X2324s,2)</f>
        <v>6.45</v>
      </c>
      <c r="AO56" cm="1">
        <f t="array" ref="AO56">ROUND(($J56*CIS_Inc_Salary2324s*(VLOOKUP($A56,EnrollData2324,'2324 Jun 24 Enroll'!T$1,FALSE)+VLOOKUP($A56,EnrollData2324,'2324 Jun 24 Enroll'!U$1,FALSE))/Apport_613Xpd)*Apport_614Xpd,2)</f>
        <v>72.59</v>
      </c>
      <c r="AP56" cm="1">
        <f t="array" ref="AP56">ROUND(AO56*Apport_127X2324s,2)</f>
        <v>12.58</v>
      </c>
      <c r="AQ56">
        <f t="shared" si="9"/>
        <v>30.93</v>
      </c>
      <c r="AR56" s="6" cm="1">
        <f t="array" ref="AR56">ROUND((VLOOKUP($A56,EnrollData2324,'2324 Jun 24 Enroll'!D$1,FALSE)*Apport_M802324s+VLOOKUP($A56,EnrollData2324,'2324 Jun 24 Enroll'!M$1,FALSE)*Apport_M802324s+(VLOOKUP($A56,EnrollData2324,'2324 Jun 24 Enroll'!P$1,FALSE)+VLOOKUP($A56,EnrollData2324,'2324 Jun 24 Enroll'!Q$1,FALSE)+VLOOKUP($A56,EnrollData2324,'2324 Jun 24 Enroll'!R$1,FALSE)+VLOOKUP($A56,EnrollData2324,'2324 Jun 24 Enroll'!I$1,FALSE)+VLOOKUP($A56,EnrollData2324,'2324 Jun 24 Enroll'!N$1,FALSE)+VLOOKUP($A56,EnrollData2324,'2324 Jun 24 Enroll'!O$1,FALSE)+VLOOKUP($A56,EnrollData2324,'2324 Jun 24 Enroll'!K$1,FALSE)+VLOOKUP($A56,EnrollData2324,'2324 Jun 24 Enroll'!L$1,FALSE))*Apport_M812324s)/(VLOOKUP($A56,EnrollData2324,'2324 Jun 24 Enroll'!M$1,FALSE)+VLOOKUP($A56,EnrollData2324,'2324 Jun 24 Enroll'!D$1,FALSE)),2)</f>
        <v>1577.68</v>
      </c>
      <c r="AS56" s="7">
        <f t="shared" si="11"/>
        <v>9707.7900000000009</v>
      </c>
    </row>
    <row r="57" spans="1:46">
      <c r="A57" s="40" t="s">
        <v>412</v>
      </c>
      <c r="B57" s="40" t="s">
        <v>413</v>
      </c>
      <c r="C57" s="11">
        <f>ROUND((IFERROR((1/IF(VLOOKUP($A57,EnrollData2324,28,FALSE)='District Calculations'!$D$10,VLOOKUP($A57,EnrollData2324,28,FALSE),'District Calculations'!$D$10))*(1+Apport_Z315),0))+Apport_201A2324s,6)</f>
        <v>7.3449E-2</v>
      </c>
      <c r="D57">
        <f>ROUND(IF(VLOOKUP($A57,EnrollData2324,'2324 Jun 24 Enroll'!D$1,FALSE)='District Calculations'!$D$11,VLOOKUP($A57,EnrollData2324,'2324 Jun 24 Enroll'!D$1,FALSE),'District Calculations'!$D$11)*C57,3)</f>
        <v>0</v>
      </c>
      <c r="E57">
        <f>ROUND(IF(VLOOKUP($A57,EnrollData2324,'2324 Jun 24 Enroll'!E$1,FALSE)='District Calculations'!$D$12,VLOOKUP($A57,EnrollData2324,'2324 Jun 24 Enroll'!E$1,FALSE),'District Calculations'!$D$12)*C57,3)</f>
        <v>59.53</v>
      </c>
      <c r="F57">
        <f>ROUND(IF(VLOOKUP($A57,EnrollData2324,'2324 Jun 24 Enroll'!F$1,FALSE)='District Calculations'!$D$13,VLOOKUP($A57,EnrollData2324,'2324 Jun 24 Enroll'!F$1,FALSE),'District Calculations'!$D$13)*Apport_222A2324s,3)</f>
        <v>10.101000000000001</v>
      </c>
      <c r="G57">
        <f>ROUND(IF(VLOOKUP($A57,EnrollData2324,'2324 Jun 24 Enroll'!G$1,FALSE)='District Calculations'!$D$14,VLOOKUP($A57,EnrollData2324,'2324 Jun 24 Enroll'!G$1,FALSE),'District Calculations'!$D$14)*Apport_210A2324s,3)</f>
        <v>22.395</v>
      </c>
      <c r="H57">
        <f>ROUND(IF(VLOOKUP($A57,EnrollData2324,'2324 Jun 24 Enroll'!H$1,FALSE)='District Calculations'!$D$15,VLOOKUP($A57,EnrollData2324,'2324 Jun 24 Enroll'!H$1,FALSE),'District Calculations'!$D$15)*Apport_213A2324s,3)</f>
        <v>23.091999999999999</v>
      </c>
      <c r="I57">
        <f>ROUND(IF(VLOOKUP($A57,EnrollData2324,'2324 Jun 24 Enroll'!I$1,FALSE)+VLOOKUP($A57,EnrollData2324,'2324 Jun 24 Enroll'!M$1,FALSE)-VLOOKUP($A57,EnrollData2324,'2324 Jun 24 Enroll'!J$1,FALSE)='District Calculations'!$D$16+'District Calculations'!$D$25-'District Calculations'!$D$17,VLOOKUP($A57,EnrollData2324,'2324 Jun 24 Enroll'!I$1,FALSE)+VLOOKUP($A57,EnrollData2324,'2324 Jun 24 Enroll'!M$1,FALSE)-VLOOKUP($A57,EnrollData2324,'2324 Jun 24 Enroll'!J$1,FALSE),'District Calculations'!$D$16+'District Calculations'!$D$25-'District Calculations'!$D$17)*Apport_216A2324s,3)</f>
        <v>58.183999999999997</v>
      </c>
      <c r="J57">
        <f>ROUND(SUM(D57:I57)/(IF(VLOOKUP($A57,EnrollData2324,'2324 Jun 24 Enroll'!M$1,FALSE)='District Calculations'!$D$25,VLOOKUP($A57,EnrollData2324,'2324 Jun 24 Enroll'!M$1,FALSE),'District Calculations'!$D$25)+IF(VLOOKUP($A57,EnrollData2324,'2324 Jun 24 Enroll'!D$1,FALSE)='District Calculations'!$D$11,VLOOKUP($A57,EnrollData2324,'2324 Jun 24 Enroll'!D$1,FALSE),'District Calculations'!$D$11)),5)</f>
        <v>5.5530000000000003E-2</v>
      </c>
      <c r="K57" s="11">
        <f t="shared" si="6"/>
        <v>4.3699999999999998E-3</v>
      </c>
      <c r="L57">
        <f>ROUND(IF(VLOOKUP($A57,EnrollData2324,'2324 Jun 24 Enroll'!D$1,FALSE)='District Calculations'!$D$11,VLOOKUP($A57,EnrollData2324,'2324 Jun 24 Enroll'!D$1,FALSE),'District Calculations'!$D$11)*K57,3)</f>
        <v>0</v>
      </c>
      <c r="M57">
        <f>ROUND(IF(VLOOKUP($A57,EnrollData2324,'2324 Jun 24 Enroll'!E$1,FALSE)='District Calculations'!$D$12,VLOOKUP($A57,EnrollData2324,'2324 Jun 24 Enroll'!E$1,FALSE),'District Calculations'!$D$12)*K57,3)</f>
        <v>3.5419999999999998</v>
      </c>
      <c r="N57">
        <f>ROUND(IF(VLOOKUP($A57,EnrollData2324,'2324 Jun 24 Enroll'!F$1,FALSE)='District Calculations'!$D$13,VLOOKUP($A57,EnrollData2324,'2324 Jun 24 Enroll'!F$1,FALSE),'District Calculations'!$D$13)*Apport_223A2324s,3)</f>
        <v>0.84299999999999997</v>
      </c>
      <c r="O57">
        <f>ROUND(IF(VLOOKUP($A57,EnrollData2324,'2324 Jun 24 Enroll'!G$1,FALSE)='District Calculations'!$D$14,VLOOKUP($A57,EnrollData2324,'2324 Jun 24 Enroll'!G$1,FALSE),'District Calculations'!$D$14)*Apport_211A2324s,3)</f>
        <v>1.87</v>
      </c>
      <c r="P57">
        <f>ROUND(IF(VLOOKUP($A57,EnrollData2324,'2324 Jun 24 Enroll'!H$1,FALSE)='District Calculations'!$D$14,VLOOKUP($A57,EnrollData2324,'2324 Jun 24 Enroll'!H$1,FALSE),'District Calculations'!$D$14)*Apport_214A2324s,3)</f>
        <v>1.8680000000000001</v>
      </c>
      <c r="Q57">
        <f>ROUND(IF(VLOOKUP($A57,EnrollData2324,'2324 Jun 24 Enroll'!I$1,FALSE)+VLOOKUP($A57,EnrollData2324,'2324 Jun 24 Enroll'!M$1,FALSE)-VLOOKUP($A57,EnrollData2324,'2324 Jun 24 Enroll'!J$1,FALSE)='District Calculations'!$D$16+'District Calculations'!$D$25-'District Calculations'!$D$17,VLOOKUP($A57,EnrollData2324,'2324 Jun 24 Enroll'!I$1,FALSE)+VLOOKUP($A57,EnrollData2324,'2324 Jun 24 Enroll'!M$1,FALSE)-VLOOKUP($A57,EnrollData2324,'2324 Jun 24 Enroll'!J$1,FALSE),'District Calculations'!$D$16+'District Calculations'!$D$25-'District Calculations'!$D$17)*Apport_217A2324s,3)</f>
        <v>4.702</v>
      </c>
      <c r="R57">
        <f>ROUND(SUM(L57:Q57)/IF(VLOOKUP($A57,EnrollData2324,'2324 Jun 24 Enroll'!M$1,FALSE)+VLOOKUP($A57,EnrollData2324,'2324 Jun 24 Enroll'!D$1,FALSE)='District Calculations'!$D$25+'District Calculations'!$D$11,VLOOKUP($A57,EnrollData2324,'2324 Jun 24 Enroll'!M$1,FALSE)+VLOOKUP($A57,EnrollData2324,'2324 Jun 24 Enroll'!D$1,FALSE),'District Calculations'!$D$25+'District Calculations'!$D$11),5)</f>
        <v>4.1099999999999999E-3</v>
      </c>
      <c r="S57" s="11">
        <f t="shared" si="7"/>
        <v>1.8689600000000001E-2</v>
      </c>
      <c r="T57">
        <f>ROUND(IF(VLOOKUP($A57,EnrollData2324,'2324 Jun 24 Enroll'!D$1,FALSE)='District Calculations'!$D$11,VLOOKUP($A57,EnrollData2324,'2324 Jun 24 Enroll'!D$1,FALSE),'District Calculations'!$D$11)*S57,3)</f>
        <v>0</v>
      </c>
      <c r="U57">
        <f>ROUND(IF(VLOOKUP($A57,EnrollData2324,'2324 Jun 24 Enroll'!E$1,FALSE)='District Calculations'!$D$12,VLOOKUP($A57,EnrollData2324,'2324 Jun 24 Enroll'!E$1,FALSE),'District Calculations'!$D$12)*S57,3)</f>
        <v>15.148</v>
      </c>
      <c r="V57">
        <f>ROUND(IF(VLOOKUP($A57,EnrollData2324,'2324 Jun 24 Enroll'!F$1,FALSE)='District Calculations'!$D$13,VLOOKUP($A57,EnrollData2324,'2324 Jun 24 Enroll'!F$1,FALSE),'District Calculations'!$D$13)*Apport_224A2324s,3)</f>
        <v>3.7029999999999998</v>
      </c>
      <c r="W57">
        <f>ROUND(IF(VLOOKUP($A57,EnrollData2324,'2324 Jun 24 Enroll'!G$1,FALSE)='District Calculations'!$D$14,VLOOKUP($A57,EnrollData2324,'2324 Jun 24 Enroll'!G$1,FALSE),'District Calculations'!$D$14)*Apport_212A2324s,3)</f>
        <v>8.2089999999999996</v>
      </c>
      <c r="X57">
        <f>ROUND(IF(VLOOKUP($A57,EnrollData2324,'2324 Jun 24 Enroll'!H$1,FALSE)='District Calculations'!$D$14,VLOOKUP($A57,EnrollData2324,'2324 Jun 24 Enroll'!H$1,FALSE),'District Calculations'!$D$14)*Apport_215A2324s,3)</f>
        <v>8.0969999999999995</v>
      </c>
      <c r="Y57">
        <f>ROUND(IF(VLOOKUP($A57,EnrollData2324,'2324 Jun 24 Enroll'!I$1,FALSE)+VLOOKUP($A57,EnrollData2324,'2324 Jun 24 Enroll'!M$1,FALSE)-VLOOKUP($A57,EnrollData2324,'2324 Jun 24 Enroll'!J$1,FALSE)='District Calculations'!$D$16+'District Calculations'!$D$25-'District Calculations'!$D$17,VLOOKUP($A57,EnrollData2324,'2324 Jun 24 Enroll'!I$1,FALSE)+VLOOKUP($A57,EnrollData2324,'2324 Jun 24 Enroll'!M$1,FALSE)-VLOOKUP($A57,EnrollData2324,'2324 Jun 24 Enroll'!J$1,FALSE),'District Calculations'!$D$16+'District Calculations'!$D$25-'District Calculations'!$D$17)*Apport_218A2324s,3)</f>
        <v>20.224</v>
      </c>
      <c r="Z57">
        <f>ROUND(SUM(T57:Y57)/IF(VLOOKUP($A57,EnrollData2324,'2324 Jun 24 Enroll'!M$1,FALSE)+VLOOKUP($A57,EnrollData2324,'2324 Jun 24 Enroll'!D$1,FALSE)='District Calculations'!$D$25+'District Calculations'!$D$11,VLOOKUP($A57,EnrollData2324,'2324 Jun 24 Enroll'!M$1,FALSE)+VLOOKUP($A57,EnrollData2324,'2324 Jun 24 Enroll'!D$1,FALSE),'District Calculations'!$D$25+'District Calculations'!$D$11),5)</f>
        <v>1.7749999999999998E-2</v>
      </c>
      <c r="AA57" s="6" cm="1">
        <f t="array" ref="AA57">ROUND($J57*CIS_Base_Salary2324s*VLOOKUP($A57,EnrollData2324,'2324 Jun 24 Enroll'!S$1,FALSE),2)</f>
        <v>4038.59</v>
      </c>
      <c r="AB57" s="6" cm="1">
        <f t="array" ref="AB57">ROUND($J57*CIS_Inc_Salary2324s*(VLOOKUP($A57,EnrollData2324,'2324 Jun 24 Enroll'!T$1,FALSE)+VLOOKUP($A57,EnrollData2324,'2324 Jun 24 Enroll'!U$1,FALSE)),2)-AA57</f>
        <v>149.43000000000029</v>
      </c>
      <c r="AC57" s="6" cm="1">
        <f t="array" ref="AC57">ROUND($R57*CAS_Base_Salary2324s*VLOOKUP($A57,EnrollData2324,'2324 Jun 24 Enroll'!S$1,FALSE),2)</f>
        <v>443.7</v>
      </c>
      <c r="AD57" s="6" cm="1">
        <f t="array" ref="AD57">ROUND($R57*CAS_Inc_Salary2324s*VLOOKUP($A57,EnrollData2324,'2324 Jun 24 Enroll'!T$1,FALSE),2)-AC57</f>
        <v>16.410000000000025</v>
      </c>
      <c r="AE57" s="6" cm="1">
        <f t="array" ref="AE57">ROUND($Z57*CLS_Base_Salary2324s*VLOOKUP($A57,EnrollData2324,'2324 Jun 24 Enroll'!S$1,FALSE),2)</f>
        <v>926.07</v>
      </c>
      <c r="AF57" s="6" cm="1">
        <f t="array" ref="AF57">ROUND($Z57*CLS_Inc_Salary2324s*VLOOKUP($A57,EnrollData2324,'2324 Jun 24 Enroll'!T$1,FALSE),2)-AE57</f>
        <v>34.259999999999991</v>
      </c>
      <c r="AG57" cm="1">
        <f t="array" ref="AG57">ROUND(($J57+$R57)*Apport_124X2324s,2)</f>
        <v>734.29</v>
      </c>
      <c r="AH57" s="69">
        <f t="shared" si="8"/>
        <v>68.700000000000045</v>
      </c>
      <c r="AI57" cm="1">
        <f t="array" ref="AI57">ROUND($Z57*Apport_124X2324s,2)</f>
        <v>218.54</v>
      </c>
      <c r="AJ57" cm="1">
        <f t="array" ref="AJ57">ROUND($Z57*Apport_621X2324s*Apport_125X2324s,2)-AI57</f>
        <v>116.51000000000002</v>
      </c>
      <c r="AK57" cm="1">
        <f t="array" ref="AK57">ROUND((AA57+AC57)*Apport_126X2324s,2)</f>
        <v>805.47</v>
      </c>
      <c r="AL57" cm="1">
        <f t="array" ref="AL57">ROUND((AB57+AD57)*Apport_127X2324s,2)</f>
        <v>28.74</v>
      </c>
      <c r="AM57" cm="1">
        <f t="array" ref="AM57">ROUND(AE57*Apport_128X2324s,2)</f>
        <v>204.29</v>
      </c>
      <c r="AN57" cm="1">
        <f t="array" ref="AN57">ROUND(AF57*Apport_129X2324s,2)</f>
        <v>6.36</v>
      </c>
      <c r="AO57" cm="1">
        <f t="array" ref="AO57">ROUND(($J57*CIS_Inc_Salary2324s*(VLOOKUP($A57,EnrollData2324,'2324 Jun 24 Enroll'!T$1,FALSE)+VLOOKUP($A57,EnrollData2324,'2324 Jun 24 Enroll'!U$1,FALSE))/Apport_613Xpd)*Apport_614Xpd,2)</f>
        <v>69.8</v>
      </c>
      <c r="AP57" cm="1">
        <f t="array" ref="AP57">ROUND(AO57*Apport_127X2324s,2)</f>
        <v>12.1</v>
      </c>
      <c r="AQ57">
        <f t="shared" si="9"/>
        <v>30.93</v>
      </c>
      <c r="AR57" s="6" cm="1">
        <f t="array" ref="AR57">ROUND((VLOOKUP($A57,EnrollData2324,'2324 Jun 24 Enroll'!D$1,FALSE)*Apport_M802324s+VLOOKUP($A57,EnrollData2324,'2324 Jun 24 Enroll'!M$1,FALSE)*Apport_M802324s+(VLOOKUP($A57,EnrollData2324,'2324 Jun 24 Enroll'!P$1,FALSE)+VLOOKUP($A57,EnrollData2324,'2324 Jun 24 Enroll'!Q$1,FALSE)+VLOOKUP($A57,EnrollData2324,'2324 Jun 24 Enroll'!R$1,FALSE)+VLOOKUP($A57,EnrollData2324,'2324 Jun 24 Enroll'!I$1,FALSE)+VLOOKUP($A57,EnrollData2324,'2324 Jun 24 Enroll'!N$1,FALSE)+VLOOKUP($A57,EnrollData2324,'2324 Jun 24 Enroll'!O$1,FALSE)+VLOOKUP($A57,EnrollData2324,'2324 Jun 24 Enroll'!K$1,FALSE)+VLOOKUP($A57,EnrollData2324,'2324 Jun 24 Enroll'!L$1,FALSE))*Apport_M812324s)/(VLOOKUP($A57,EnrollData2324,'2324 Jun 24 Enroll'!M$1,FALSE)+VLOOKUP($A57,EnrollData2324,'2324 Jun 24 Enroll'!D$1,FALSE)),2)</f>
        <v>1624.25</v>
      </c>
      <c r="AS57" s="7">
        <f t="shared" si="11"/>
        <v>9528.44</v>
      </c>
    </row>
    <row r="58" spans="1:46">
      <c r="A58" s="40" t="s">
        <v>755</v>
      </c>
      <c r="B58" s="40" t="s">
        <v>756</v>
      </c>
      <c r="C58" s="11">
        <f>ROUND((IFERROR((1/IF(VLOOKUP($A58,EnrollData2324,28,FALSE)='District Calculations'!$D$10,VLOOKUP($A58,EnrollData2324,28,FALSE),'District Calculations'!$D$10))*(1+Apport_Z315),0))+Apport_201A2324s,6)</f>
        <v>7.3449E-2</v>
      </c>
      <c r="D58">
        <f>ROUND(IF(VLOOKUP($A58,EnrollData2324,'2324 Jun 24 Enroll'!D$1,FALSE)='District Calculations'!$D$11,VLOOKUP($A58,EnrollData2324,'2324 Jun 24 Enroll'!D$1,FALSE),'District Calculations'!$D$11)*C58,3)</f>
        <v>0</v>
      </c>
      <c r="E58">
        <f>ROUND(IF(VLOOKUP($A58,EnrollData2324,'2324 Jun 24 Enroll'!E$1,FALSE)='District Calculations'!$D$12,VLOOKUP($A58,EnrollData2324,'2324 Jun 24 Enroll'!E$1,FALSE),'District Calculations'!$D$12)*C58,3)</f>
        <v>59.53</v>
      </c>
      <c r="F58">
        <f>ROUND(IF(VLOOKUP($A58,EnrollData2324,'2324 Jun 24 Enroll'!F$1,FALSE)='District Calculations'!$D$13,VLOOKUP($A58,EnrollData2324,'2324 Jun 24 Enroll'!F$1,FALSE),'District Calculations'!$D$13)*Apport_222A2324s,3)</f>
        <v>10.101000000000001</v>
      </c>
      <c r="G58">
        <f>ROUND(IF(VLOOKUP($A58,EnrollData2324,'2324 Jun 24 Enroll'!G$1,FALSE)='District Calculations'!$D$14,VLOOKUP($A58,EnrollData2324,'2324 Jun 24 Enroll'!G$1,FALSE),'District Calculations'!$D$14)*Apport_210A2324s,3)</f>
        <v>22.395</v>
      </c>
      <c r="H58">
        <f>ROUND(IF(VLOOKUP($A58,EnrollData2324,'2324 Jun 24 Enroll'!H$1,FALSE)='District Calculations'!$D$15,VLOOKUP($A58,EnrollData2324,'2324 Jun 24 Enroll'!H$1,FALSE),'District Calculations'!$D$15)*Apport_213A2324s,3)</f>
        <v>23.091999999999999</v>
      </c>
      <c r="I58">
        <f>ROUND(IF(VLOOKUP($A58,EnrollData2324,'2324 Jun 24 Enroll'!I$1,FALSE)+VLOOKUP($A58,EnrollData2324,'2324 Jun 24 Enroll'!M$1,FALSE)-VLOOKUP($A58,EnrollData2324,'2324 Jun 24 Enroll'!J$1,FALSE)='District Calculations'!$D$16+'District Calculations'!$D$25-'District Calculations'!$D$17,VLOOKUP($A58,EnrollData2324,'2324 Jun 24 Enroll'!I$1,FALSE)+VLOOKUP($A58,EnrollData2324,'2324 Jun 24 Enroll'!M$1,FALSE)-VLOOKUP($A58,EnrollData2324,'2324 Jun 24 Enroll'!J$1,FALSE),'District Calculations'!$D$16+'District Calculations'!$D$25-'District Calculations'!$D$17)*Apport_216A2324s,3)</f>
        <v>58.183999999999997</v>
      </c>
      <c r="J58">
        <f>ROUND(SUM(D58:I58)/(IF(VLOOKUP($A58,EnrollData2324,'2324 Jun 24 Enroll'!M$1,FALSE)='District Calculations'!$D$25,VLOOKUP($A58,EnrollData2324,'2324 Jun 24 Enroll'!M$1,FALSE),'District Calculations'!$D$25)+IF(VLOOKUP($A58,EnrollData2324,'2324 Jun 24 Enroll'!D$1,FALSE)='District Calculations'!$D$11,VLOOKUP($A58,EnrollData2324,'2324 Jun 24 Enroll'!D$1,FALSE),'District Calculations'!$D$11)),5)</f>
        <v>5.5530000000000003E-2</v>
      </c>
      <c r="K58" s="11">
        <f t="shared" si="6"/>
        <v>4.3699999999999998E-3</v>
      </c>
      <c r="L58">
        <f>ROUND(IF(VLOOKUP($A58,EnrollData2324,'2324 Jun 24 Enroll'!D$1,FALSE)='District Calculations'!$D$11,VLOOKUP($A58,EnrollData2324,'2324 Jun 24 Enroll'!D$1,FALSE),'District Calculations'!$D$11)*K58,3)</f>
        <v>0</v>
      </c>
      <c r="M58">
        <f>ROUND(IF(VLOOKUP($A58,EnrollData2324,'2324 Jun 24 Enroll'!E$1,FALSE)='District Calculations'!$D$12,VLOOKUP($A58,EnrollData2324,'2324 Jun 24 Enroll'!E$1,FALSE),'District Calculations'!$D$12)*K58,3)</f>
        <v>3.5419999999999998</v>
      </c>
      <c r="N58">
        <f>ROUND(IF(VLOOKUP($A58,EnrollData2324,'2324 Jun 24 Enroll'!F$1,FALSE)='District Calculations'!$D$13,VLOOKUP($A58,EnrollData2324,'2324 Jun 24 Enroll'!F$1,FALSE),'District Calculations'!$D$13)*Apport_223A2324s,3)</f>
        <v>0.84299999999999997</v>
      </c>
      <c r="O58">
        <f>ROUND(IF(VLOOKUP($A58,EnrollData2324,'2324 Jun 24 Enroll'!G$1,FALSE)='District Calculations'!$D$14,VLOOKUP($A58,EnrollData2324,'2324 Jun 24 Enroll'!G$1,FALSE),'District Calculations'!$D$14)*Apport_211A2324s,3)</f>
        <v>1.87</v>
      </c>
      <c r="P58">
        <f>ROUND(IF(VLOOKUP($A58,EnrollData2324,'2324 Jun 24 Enroll'!H$1,FALSE)='District Calculations'!$D$14,VLOOKUP($A58,EnrollData2324,'2324 Jun 24 Enroll'!H$1,FALSE),'District Calculations'!$D$14)*Apport_214A2324s,3)</f>
        <v>1.8680000000000001</v>
      </c>
      <c r="Q58">
        <f>ROUND(IF(VLOOKUP($A58,EnrollData2324,'2324 Jun 24 Enroll'!I$1,FALSE)+VLOOKUP($A58,EnrollData2324,'2324 Jun 24 Enroll'!M$1,FALSE)-VLOOKUP($A58,EnrollData2324,'2324 Jun 24 Enroll'!J$1,FALSE)='District Calculations'!$D$16+'District Calculations'!$D$25-'District Calculations'!$D$17,VLOOKUP($A58,EnrollData2324,'2324 Jun 24 Enroll'!I$1,FALSE)+VLOOKUP($A58,EnrollData2324,'2324 Jun 24 Enroll'!M$1,FALSE)-VLOOKUP($A58,EnrollData2324,'2324 Jun 24 Enroll'!J$1,FALSE),'District Calculations'!$D$16+'District Calculations'!$D$25-'District Calculations'!$D$17)*Apport_217A2324s,3)</f>
        <v>4.702</v>
      </c>
      <c r="R58">
        <f>ROUND(SUM(L58:Q58)/IF(VLOOKUP($A58,EnrollData2324,'2324 Jun 24 Enroll'!M$1,FALSE)+VLOOKUP($A58,EnrollData2324,'2324 Jun 24 Enroll'!D$1,FALSE)='District Calculations'!$D$25+'District Calculations'!$D$11,VLOOKUP($A58,EnrollData2324,'2324 Jun 24 Enroll'!M$1,FALSE)+VLOOKUP($A58,EnrollData2324,'2324 Jun 24 Enroll'!D$1,FALSE),'District Calculations'!$D$25+'District Calculations'!$D$11),5)</f>
        <v>4.1099999999999999E-3</v>
      </c>
      <c r="S58" s="11">
        <f t="shared" si="7"/>
        <v>1.8689600000000001E-2</v>
      </c>
      <c r="T58">
        <f>ROUND(IF(VLOOKUP($A58,EnrollData2324,'2324 Jun 24 Enroll'!D$1,FALSE)='District Calculations'!$D$11,VLOOKUP($A58,EnrollData2324,'2324 Jun 24 Enroll'!D$1,FALSE),'District Calculations'!$D$11)*S58,3)</f>
        <v>0</v>
      </c>
      <c r="U58">
        <f>ROUND(IF(VLOOKUP($A58,EnrollData2324,'2324 Jun 24 Enroll'!E$1,FALSE)='District Calculations'!$D$12,VLOOKUP($A58,EnrollData2324,'2324 Jun 24 Enroll'!E$1,FALSE),'District Calculations'!$D$12)*S58,3)</f>
        <v>15.148</v>
      </c>
      <c r="V58">
        <f>ROUND(IF(VLOOKUP($A58,EnrollData2324,'2324 Jun 24 Enroll'!F$1,FALSE)='District Calculations'!$D$13,VLOOKUP($A58,EnrollData2324,'2324 Jun 24 Enroll'!F$1,FALSE),'District Calculations'!$D$13)*Apport_224A2324s,3)</f>
        <v>3.7029999999999998</v>
      </c>
      <c r="W58">
        <f>ROUND(IF(VLOOKUP($A58,EnrollData2324,'2324 Jun 24 Enroll'!G$1,FALSE)='District Calculations'!$D$14,VLOOKUP($A58,EnrollData2324,'2324 Jun 24 Enroll'!G$1,FALSE),'District Calculations'!$D$14)*Apport_212A2324s,3)</f>
        <v>8.2089999999999996</v>
      </c>
      <c r="X58">
        <f>ROUND(IF(VLOOKUP($A58,EnrollData2324,'2324 Jun 24 Enroll'!H$1,FALSE)='District Calculations'!$D$14,VLOOKUP($A58,EnrollData2324,'2324 Jun 24 Enroll'!H$1,FALSE),'District Calculations'!$D$14)*Apport_215A2324s,3)</f>
        <v>8.0969999999999995</v>
      </c>
      <c r="Y58">
        <f>ROUND(IF(VLOOKUP($A58,EnrollData2324,'2324 Jun 24 Enroll'!I$1,FALSE)+VLOOKUP($A58,EnrollData2324,'2324 Jun 24 Enroll'!M$1,FALSE)-VLOOKUP($A58,EnrollData2324,'2324 Jun 24 Enroll'!J$1,FALSE)='District Calculations'!$D$16+'District Calculations'!$D$25-'District Calculations'!$D$17,VLOOKUP($A58,EnrollData2324,'2324 Jun 24 Enroll'!I$1,FALSE)+VLOOKUP($A58,EnrollData2324,'2324 Jun 24 Enroll'!M$1,FALSE)-VLOOKUP($A58,EnrollData2324,'2324 Jun 24 Enroll'!J$1,FALSE),'District Calculations'!$D$16+'District Calculations'!$D$25-'District Calculations'!$D$17)*Apport_218A2324s,3)</f>
        <v>20.224</v>
      </c>
      <c r="Z58">
        <f>ROUND(SUM(T58:Y58)/IF(VLOOKUP($A58,EnrollData2324,'2324 Jun 24 Enroll'!M$1,FALSE)+VLOOKUP($A58,EnrollData2324,'2324 Jun 24 Enroll'!D$1,FALSE)='District Calculations'!$D$25+'District Calculations'!$D$11,VLOOKUP($A58,EnrollData2324,'2324 Jun 24 Enroll'!M$1,FALSE)+VLOOKUP($A58,EnrollData2324,'2324 Jun 24 Enroll'!D$1,FALSE),'District Calculations'!$D$25+'District Calculations'!$D$11),5)</f>
        <v>1.7749999999999998E-2</v>
      </c>
      <c r="AA58" s="6" cm="1">
        <f t="array" ref="AA58">ROUND($J58*CIS_Base_Salary2324s*VLOOKUP($A58,EnrollData2324,'2324 Jun 24 Enroll'!S$1,FALSE),2)</f>
        <v>4280.8999999999996</v>
      </c>
      <c r="AB58" s="6" cm="1">
        <f t="array" ref="AB58">ROUND($J58*CIS_Inc_Salary2324s*(VLOOKUP($A58,EnrollData2324,'2324 Jun 24 Enroll'!T$1,FALSE)+VLOOKUP($A58,EnrollData2324,'2324 Jun 24 Enroll'!U$1,FALSE)),2)-AA58</f>
        <v>158.40000000000055</v>
      </c>
      <c r="AC58" s="6" cm="1">
        <f t="array" ref="AC58">ROUND($R58*CAS_Base_Salary2324s*VLOOKUP($A58,EnrollData2324,'2324 Jun 24 Enroll'!S$1,FALSE),2)</f>
        <v>470.32</v>
      </c>
      <c r="AD58" s="6" cm="1">
        <f t="array" ref="AD58">ROUND($R58*CAS_Inc_Salary2324s*VLOOKUP($A58,EnrollData2324,'2324 Jun 24 Enroll'!T$1,FALSE),2)-AC58</f>
        <v>17.400000000000034</v>
      </c>
      <c r="AE58" s="6" cm="1">
        <f t="array" ref="AE58">ROUND($Z58*CLS_Base_Salary2324s*VLOOKUP($A58,EnrollData2324,'2324 Jun 24 Enroll'!S$1,FALSE),2)</f>
        <v>981.63</v>
      </c>
      <c r="AF58" s="6" cm="1">
        <f t="array" ref="AF58">ROUND($Z58*CLS_Inc_Salary2324s*VLOOKUP($A58,EnrollData2324,'2324 Jun 24 Enroll'!T$1,FALSE),2)-AE58</f>
        <v>36.32000000000005</v>
      </c>
      <c r="AG58" cm="1">
        <f t="array" ref="AG58">ROUND(($J58+$R58)*Apport_124X2324s,2)</f>
        <v>734.29</v>
      </c>
      <c r="AH58" s="69">
        <f t="shared" si="8"/>
        <v>68.700000000000045</v>
      </c>
      <c r="AI58" cm="1">
        <f t="array" ref="AI58">ROUND($Z58*Apport_124X2324s,2)</f>
        <v>218.54</v>
      </c>
      <c r="AJ58" cm="1">
        <f t="array" ref="AJ58">ROUND($Z58*Apport_621X2324s*Apport_125X2324s,2)-AI58</f>
        <v>116.51000000000002</v>
      </c>
      <c r="AK58" cm="1">
        <f t="array" ref="AK58">ROUND((AA58+AC58)*Apport_126X2324s,2)</f>
        <v>853.79</v>
      </c>
      <c r="AL58" cm="1">
        <f t="array" ref="AL58">ROUND((AB58+AD58)*Apport_127X2324s,2)</f>
        <v>30.47</v>
      </c>
      <c r="AM58" cm="1">
        <f t="array" ref="AM58">ROUND(AE58*Apport_128X2324s,2)</f>
        <v>216.55</v>
      </c>
      <c r="AN58" cm="1">
        <f t="array" ref="AN58">ROUND(AF58*Apport_129X2324s,2)</f>
        <v>6.74</v>
      </c>
      <c r="AO58" cm="1">
        <f t="array" ref="AO58">ROUND(($J58*CIS_Inc_Salary2324s*(VLOOKUP($A58,EnrollData2324,'2324 Jun 24 Enroll'!T$1,FALSE)+VLOOKUP($A58,EnrollData2324,'2324 Jun 24 Enroll'!U$1,FALSE))/Apport_613Xpd)*Apport_614Xpd,2)</f>
        <v>73.989999999999995</v>
      </c>
      <c r="AP58" cm="1">
        <f t="array" ref="AP58">ROUND(AO58*Apport_127X2324s,2)</f>
        <v>12.82</v>
      </c>
      <c r="AQ58">
        <f t="shared" si="9"/>
        <v>30.93</v>
      </c>
      <c r="AR58" s="6" cm="1">
        <f t="array" ref="AR58">ROUND((VLOOKUP($A58,EnrollData2324,'2324 Jun 24 Enroll'!D$1,FALSE)*Apport_M802324s+VLOOKUP($A58,EnrollData2324,'2324 Jun 24 Enroll'!M$1,FALSE)*Apport_M802324s+(VLOOKUP($A58,EnrollData2324,'2324 Jun 24 Enroll'!P$1,FALSE)+VLOOKUP($A58,EnrollData2324,'2324 Jun 24 Enroll'!Q$1,FALSE)+VLOOKUP($A58,EnrollData2324,'2324 Jun 24 Enroll'!R$1,FALSE)+VLOOKUP($A58,EnrollData2324,'2324 Jun 24 Enroll'!I$1,FALSE)+VLOOKUP($A58,EnrollData2324,'2324 Jun 24 Enroll'!N$1,FALSE)+VLOOKUP($A58,EnrollData2324,'2324 Jun 24 Enroll'!O$1,FALSE)+VLOOKUP($A58,EnrollData2324,'2324 Jun 24 Enroll'!K$1,FALSE)+VLOOKUP($A58,EnrollData2324,'2324 Jun 24 Enroll'!L$1,FALSE))*Apport_M812324s)/(VLOOKUP($A58,EnrollData2324,'2324 Jun 24 Enroll'!M$1,FALSE)+VLOOKUP($A58,EnrollData2324,'2324 Jun 24 Enroll'!D$1,FALSE)),2)</f>
        <v>1583.62</v>
      </c>
      <c r="AS58" s="7">
        <f t="shared" si="11"/>
        <v>9891.9199999999983</v>
      </c>
    </row>
    <row r="59" spans="1:46">
      <c r="A59" s="40" t="s">
        <v>359</v>
      </c>
      <c r="B59" s="40" t="s">
        <v>360</v>
      </c>
      <c r="C59" s="11">
        <f>ROUND((IFERROR((1/IF(VLOOKUP($A59,EnrollData2324,28,FALSE)='District Calculations'!$D$10,VLOOKUP($A59,EnrollData2324,28,FALSE),'District Calculations'!$D$10))*(1+Apport_Z315),0))+Apport_201A2324s,6)</f>
        <v>7.3449E-2</v>
      </c>
      <c r="D59">
        <f>ROUND(IF(VLOOKUP($A59,EnrollData2324,'2324 Jun 24 Enroll'!D$1,FALSE)='District Calculations'!$D$11,VLOOKUP($A59,EnrollData2324,'2324 Jun 24 Enroll'!D$1,FALSE),'District Calculations'!$D$11)*C59,3)</f>
        <v>0</v>
      </c>
      <c r="E59">
        <f>ROUND(IF(VLOOKUP($A59,EnrollData2324,'2324 Jun 24 Enroll'!E$1,FALSE)='District Calculations'!$D$12,VLOOKUP($A59,EnrollData2324,'2324 Jun 24 Enroll'!E$1,FALSE),'District Calculations'!$D$12)*C59,3)</f>
        <v>59.53</v>
      </c>
      <c r="F59">
        <f>ROUND(IF(VLOOKUP($A59,EnrollData2324,'2324 Jun 24 Enroll'!F$1,FALSE)='District Calculations'!$D$13,VLOOKUP($A59,EnrollData2324,'2324 Jun 24 Enroll'!F$1,FALSE),'District Calculations'!$D$13)*Apport_222A2324s,3)</f>
        <v>10.101000000000001</v>
      </c>
      <c r="G59">
        <f>ROUND(IF(VLOOKUP($A59,EnrollData2324,'2324 Jun 24 Enroll'!G$1,FALSE)='District Calculations'!$D$14,VLOOKUP($A59,EnrollData2324,'2324 Jun 24 Enroll'!G$1,FALSE),'District Calculations'!$D$14)*Apport_210A2324s,3)</f>
        <v>22.395</v>
      </c>
      <c r="H59">
        <f>ROUND(IF(VLOOKUP($A59,EnrollData2324,'2324 Jun 24 Enroll'!H$1,FALSE)='District Calculations'!$D$15,VLOOKUP($A59,EnrollData2324,'2324 Jun 24 Enroll'!H$1,FALSE),'District Calculations'!$D$15)*Apport_213A2324s,3)</f>
        <v>23.091999999999999</v>
      </c>
      <c r="I59">
        <f>ROUND(IF(VLOOKUP($A59,EnrollData2324,'2324 Jun 24 Enroll'!I$1,FALSE)+VLOOKUP($A59,EnrollData2324,'2324 Jun 24 Enroll'!M$1,FALSE)-VLOOKUP($A59,EnrollData2324,'2324 Jun 24 Enroll'!J$1,FALSE)='District Calculations'!$D$16+'District Calculations'!$D$25-'District Calculations'!$D$17,VLOOKUP($A59,EnrollData2324,'2324 Jun 24 Enroll'!I$1,FALSE)+VLOOKUP($A59,EnrollData2324,'2324 Jun 24 Enroll'!M$1,FALSE)-VLOOKUP($A59,EnrollData2324,'2324 Jun 24 Enroll'!J$1,FALSE),'District Calculations'!$D$16+'District Calculations'!$D$25-'District Calculations'!$D$17)*Apport_216A2324s,3)</f>
        <v>58.183999999999997</v>
      </c>
      <c r="J59">
        <f>ROUND(SUM(D59:I59)/(IF(VLOOKUP($A59,EnrollData2324,'2324 Jun 24 Enroll'!M$1,FALSE)='District Calculations'!$D$25,VLOOKUP($A59,EnrollData2324,'2324 Jun 24 Enroll'!M$1,FALSE),'District Calculations'!$D$25)+IF(VLOOKUP($A59,EnrollData2324,'2324 Jun 24 Enroll'!D$1,FALSE)='District Calculations'!$D$11,VLOOKUP($A59,EnrollData2324,'2324 Jun 24 Enroll'!D$1,FALSE),'District Calculations'!$D$11)),5)</f>
        <v>5.5530000000000003E-2</v>
      </c>
      <c r="K59" s="11">
        <f t="shared" si="6"/>
        <v>4.3699999999999998E-3</v>
      </c>
      <c r="L59">
        <f>ROUND(IF(VLOOKUP($A59,EnrollData2324,'2324 Jun 24 Enroll'!D$1,FALSE)='District Calculations'!$D$11,VLOOKUP($A59,EnrollData2324,'2324 Jun 24 Enroll'!D$1,FALSE),'District Calculations'!$D$11)*K59,3)</f>
        <v>0</v>
      </c>
      <c r="M59">
        <f>ROUND(IF(VLOOKUP($A59,EnrollData2324,'2324 Jun 24 Enroll'!E$1,FALSE)='District Calculations'!$D$12,VLOOKUP($A59,EnrollData2324,'2324 Jun 24 Enroll'!E$1,FALSE),'District Calculations'!$D$12)*K59,3)</f>
        <v>3.5419999999999998</v>
      </c>
      <c r="N59">
        <f>ROUND(IF(VLOOKUP($A59,EnrollData2324,'2324 Jun 24 Enroll'!F$1,FALSE)='District Calculations'!$D$13,VLOOKUP($A59,EnrollData2324,'2324 Jun 24 Enroll'!F$1,FALSE),'District Calculations'!$D$13)*Apport_223A2324s,3)</f>
        <v>0.84299999999999997</v>
      </c>
      <c r="O59">
        <f>ROUND(IF(VLOOKUP($A59,EnrollData2324,'2324 Jun 24 Enroll'!G$1,FALSE)='District Calculations'!$D$14,VLOOKUP($A59,EnrollData2324,'2324 Jun 24 Enroll'!G$1,FALSE),'District Calculations'!$D$14)*Apport_211A2324s,3)</f>
        <v>1.87</v>
      </c>
      <c r="P59">
        <f>ROUND(IF(VLOOKUP($A59,EnrollData2324,'2324 Jun 24 Enroll'!H$1,FALSE)='District Calculations'!$D$14,VLOOKUP($A59,EnrollData2324,'2324 Jun 24 Enroll'!H$1,FALSE),'District Calculations'!$D$14)*Apport_214A2324s,3)</f>
        <v>1.8680000000000001</v>
      </c>
      <c r="Q59">
        <f>ROUND(IF(VLOOKUP($A59,EnrollData2324,'2324 Jun 24 Enroll'!I$1,FALSE)+VLOOKUP($A59,EnrollData2324,'2324 Jun 24 Enroll'!M$1,FALSE)-VLOOKUP($A59,EnrollData2324,'2324 Jun 24 Enroll'!J$1,FALSE)='District Calculations'!$D$16+'District Calculations'!$D$25-'District Calculations'!$D$17,VLOOKUP($A59,EnrollData2324,'2324 Jun 24 Enroll'!I$1,FALSE)+VLOOKUP($A59,EnrollData2324,'2324 Jun 24 Enroll'!M$1,FALSE)-VLOOKUP($A59,EnrollData2324,'2324 Jun 24 Enroll'!J$1,FALSE),'District Calculations'!$D$16+'District Calculations'!$D$25-'District Calculations'!$D$17)*Apport_217A2324s,3)</f>
        <v>4.702</v>
      </c>
      <c r="R59">
        <f>ROUND(SUM(L59:Q59)/IF(VLOOKUP($A59,EnrollData2324,'2324 Jun 24 Enroll'!M$1,FALSE)+VLOOKUP($A59,EnrollData2324,'2324 Jun 24 Enroll'!D$1,FALSE)='District Calculations'!$D$25+'District Calculations'!$D$11,VLOOKUP($A59,EnrollData2324,'2324 Jun 24 Enroll'!M$1,FALSE)+VLOOKUP($A59,EnrollData2324,'2324 Jun 24 Enroll'!D$1,FALSE),'District Calculations'!$D$25+'District Calculations'!$D$11),5)</f>
        <v>4.1099999999999999E-3</v>
      </c>
      <c r="S59" s="11">
        <f t="shared" si="7"/>
        <v>1.8689600000000001E-2</v>
      </c>
      <c r="T59">
        <f>ROUND(IF(VLOOKUP($A59,EnrollData2324,'2324 Jun 24 Enroll'!D$1,FALSE)='District Calculations'!$D$11,VLOOKUP($A59,EnrollData2324,'2324 Jun 24 Enroll'!D$1,FALSE),'District Calculations'!$D$11)*S59,3)</f>
        <v>0</v>
      </c>
      <c r="U59">
        <f>ROUND(IF(VLOOKUP($A59,EnrollData2324,'2324 Jun 24 Enroll'!E$1,FALSE)='District Calculations'!$D$12,VLOOKUP($A59,EnrollData2324,'2324 Jun 24 Enroll'!E$1,FALSE),'District Calculations'!$D$12)*S59,3)</f>
        <v>15.148</v>
      </c>
      <c r="V59">
        <f>ROUND(IF(VLOOKUP($A59,EnrollData2324,'2324 Jun 24 Enroll'!F$1,FALSE)='District Calculations'!$D$13,VLOOKUP($A59,EnrollData2324,'2324 Jun 24 Enroll'!F$1,FALSE),'District Calculations'!$D$13)*Apport_224A2324s,3)</f>
        <v>3.7029999999999998</v>
      </c>
      <c r="W59">
        <f>ROUND(IF(VLOOKUP($A59,EnrollData2324,'2324 Jun 24 Enroll'!G$1,FALSE)='District Calculations'!$D$14,VLOOKUP($A59,EnrollData2324,'2324 Jun 24 Enroll'!G$1,FALSE),'District Calculations'!$D$14)*Apport_212A2324s,3)</f>
        <v>8.2089999999999996</v>
      </c>
      <c r="X59">
        <f>ROUND(IF(VLOOKUP($A59,EnrollData2324,'2324 Jun 24 Enroll'!H$1,FALSE)='District Calculations'!$D$14,VLOOKUP($A59,EnrollData2324,'2324 Jun 24 Enroll'!H$1,FALSE),'District Calculations'!$D$14)*Apport_215A2324s,3)</f>
        <v>8.0969999999999995</v>
      </c>
      <c r="Y59">
        <f>ROUND(IF(VLOOKUP($A59,EnrollData2324,'2324 Jun 24 Enroll'!I$1,FALSE)+VLOOKUP($A59,EnrollData2324,'2324 Jun 24 Enroll'!M$1,FALSE)-VLOOKUP($A59,EnrollData2324,'2324 Jun 24 Enroll'!J$1,FALSE)='District Calculations'!$D$16+'District Calculations'!$D$25-'District Calculations'!$D$17,VLOOKUP($A59,EnrollData2324,'2324 Jun 24 Enroll'!I$1,FALSE)+VLOOKUP($A59,EnrollData2324,'2324 Jun 24 Enroll'!M$1,FALSE)-VLOOKUP($A59,EnrollData2324,'2324 Jun 24 Enroll'!J$1,FALSE),'District Calculations'!$D$16+'District Calculations'!$D$25-'District Calculations'!$D$17)*Apport_218A2324s,3)</f>
        <v>20.224</v>
      </c>
      <c r="Z59">
        <f>ROUND(SUM(T59:Y59)/IF(VLOOKUP($A59,EnrollData2324,'2324 Jun 24 Enroll'!M$1,FALSE)+VLOOKUP($A59,EnrollData2324,'2324 Jun 24 Enroll'!D$1,FALSE)='District Calculations'!$D$25+'District Calculations'!$D$11,VLOOKUP($A59,EnrollData2324,'2324 Jun 24 Enroll'!M$1,FALSE)+VLOOKUP($A59,EnrollData2324,'2324 Jun 24 Enroll'!D$1,FALSE),'District Calculations'!$D$25+'District Calculations'!$D$11),5)</f>
        <v>1.7749999999999998E-2</v>
      </c>
      <c r="AA59" s="6" cm="1">
        <f t="array" ref="AA59">ROUND($J59*CIS_Base_Salary2324s*VLOOKUP($A59,EnrollData2324,'2324 Jun 24 Enroll'!S$1,FALSE),2)</f>
        <v>4038.59</v>
      </c>
      <c r="AB59" s="6" cm="1">
        <f t="array" ref="AB59">ROUND($J59*CIS_Inc_Salary2324s*(VLOOKUP($A59,EnrollData2324,'2324 Jun 24 Enroll'!T$1,FALSE)+VLOOKUP($A59,EnrollData2324,'2324 Jun 24 Enroll'!U$1,FALSE)),2)-AA59</f>
        <v>149.43000000000029</v>
      </c>
      <c r="AC59" s="6" cm="1">
        <f t="array" ref="AC59">ROUND($R59*CAS_Base_Salary2324s*VLOOKUP($A59,EnrollData2324,'2324 Jun 24 Enroll'!S$1,FALSE),2)</f>
        <v>443.7</v>
      </c>
      <c r="AD59" s="6" cm="1">
        <f t="array" ref="AD59">ROUND($R59*CAS_Inc_Salary2324s*VLOOKUP($A59,EnrollData2324,'2324 Jun 24 Enroll'!T$1,FALSE),2)-AC59</f>
        <v>16.410000000000025</v>
      </c>
      <c r="AE59" s="6" cm="1">
        <f t="array" ref="AE59">ROUND($Z59*CLS_Base_Salary2324s*VLOOKUP($A59,EnrollData2324,'2324 Jun 24 Enroll'!S$1,FALSE),2)</f>
        <v>926.07</v>
      </c>
      <c r="AF59" s="6" cm="1">
        <f t="array" ref="AF59">ROUND($Z59*CLS_Inc_Salary2324s*VLOOKUP($A59,EnrollData2324,'2324 Jun 24 Enroll'!T$1,FALSE),2)-AE59</f>
        <v>34.259999999999991</v>
      </c>
      <c r="AG59" cm="1">
        <f t="array" ref="AG59">ROUND(($J59+$R59)*Apport_124X2324s,2)</f>
        <v>734.29</v>
      </c>
      <c r="AH59" s="69">
        <f t="shared" si="8"/>
        <v>68.700000000000045</v>
      </c>
      <c r="AI59" cm="1">
        <f t="array" ref="AI59">ROUND($Z59*Apport_124X2324s,2)</f>
        <v>218.54</v>
      </c>
      <c r="AJ59" cm="1">
        <f t="array" ref="AJ59">ROUND($Z59*Apport_621X2324s*Apport_125X2324s,2)-AI59</f>
        <v>116.51000000000002</v>
      </c>
      <c r="AK59" cm="1">
        <f t="array" ref="AK59">ROUND((AA59+AC59)*Apport_126X2324s,2)</f>
        <v>805.47</v>
      </c>
      <c r="AL59" cm="1">
        <f t="array" ref="AL59">ROUND((AB59+AD59)*Apport_127X2324s,2)</f>
        <v>28.74</v>
      </c>
      <c r="AM59" cm="1">
        <f t="array" ref="AM59">ROUND(AE59*Apport_128X2324s,2)</f>
        <v>204.29</v>
      </c>
      <c r="AN59" cm="1">
        <f t="array" ref="AN59">ROUND(AF59*Apport_129X2324s,2)</f>
        <v>6.36</v>
      </c>
      <c r="AO59" cm="1">
        <f t="array" ref="AO59">ROUND(($J59*CIS_Inc_Salary2324s*(VLOOKUP($A59,EnrollData2324,'2324 Jun 24 Enroll'!T$1,FALSE)+VLOOKUP($A59,EnrollData2324,'2324 Jun 24 Enroll'!U$1,FALSE))/Apport_613Xpd)*Apport_614Xpd,2)</f>
        <v>69.8</v>
      </c>
      <c r="AP59" cm="1">
        <f t="array" ref="AP59">ROUND(AO59*Apport_127X2324s,2)</f>
        <v>12.1</v>
      </c>
      <c r="AQ59">
        <f t="shared" si="9"/>
        <v>30.93</v>
      </c>
      <c r="AR59" s="6" cm="1">
        <f t="array" ref="AR59">ROUND((VLOOKUP($A59,EnrollData2324,'2324 Jun 24 Enroll'!D$1,FALSE)*Apport_M802324s+VLOOKUP($A59,EnrollData2324,'2324 Jun 24 Enroll'!M$1,FALSE)*Apport_M802324s+(VLOOKUP($A59,EnrollData2324,'2324 Jun 24 Enroll'!P$1,FALSE)+VLOOKUP($A59,EnrollData2324,'2324 Jun 24 Enroll'!Q$1,FALSE)+VLOOKUP($A59,EnrollData2324,'2324 Jun 24 Enroll'!R$1,FALSE)+VLOOKUP($A59,EnrollData2324,'2324 Jun 24 Enroll'!I$1,FALSE)+VLOOKUP($A59,EnrollData2324,'2324 Jun 24 Enroll'!N$1,FALSE)+VLOOKUP($A59,EnrollData2324,'2324 Jun 24 Enroll'!O$1,FALSE)+VLOOKUP($A59,EnrollData2324,'2324 Jun 24 Enroll'!K$1,FALSE)+VLOOKUP($A59,EnrollData2324,'2324 Jun 24 Enroll'!L$1,FALSE))*Apport_M812324s)/(VLOOKUP($A59,EnrollData2324,'2324 Jun 24 Enroll'!M$1,FALSE)+VLOOKUP($A59,EnrollData2324,'2324 Jun 24 Enroll'!D$1,FALSE)),2)</f>
        <v>1559.83</v>
      </c>
      <c r="AS59" s="7">
        <f t="shared" si="11"/>
        <v>9464.02</v>
      </c>
    </row>
    <row r="60" spans="1:46">
      <c r="A60" s="40" t="s">
        <v>711</v>
      </c>
      <c r="B60" s="40" t="s">
        <v>712</v>
      </c>
      <c r="C60" s="11">
        <f>ROUND((IFERROR((1/IF(VLOOKUP($A60,EnrollData2324,28,FALSE)='District Calculations'!$D$10,VLOOKUP($A60,EnrollData2324,28,FALSE),'District Calculations'!$D$10))*(1+Apport_Z315),0))+Apport_201A2324s,6)</f>
        <v>7.3449E-2</v>
      </c>
      <c r="D60">
        <f>ROUND(IF(VLOOKUP($A60,EnrollData2324,'2324 Jun 24 Enroll'!D$1,FALSE)='District Calculations'!$D$11,VLOOKUP($A60,EnrollData2324,'2324 Jun 24 Enroll'!D$1,FALSE),'District Calculations'!$D$11)*C60,3)</f>
        <v>0</v>
      </c>
      <c r="E60">
        <f>ROUND(IF(VLOOKUP($A60,EnrollData2324,'2324 Jun 24 Enroll'!E$1,FALSE)='District Calculations'!$D$12,VLOOKUP($A60,EnrollData2324,'2324 Jun 24 Enroll'!E$1,FALSE),'District Calculations'!$D$12)*C60,3)</f>
        <v>59.53</v>
      </c>
      <c r="F60">
        <f>ROUND(IF(VLOOKUP($A60,EnrollData2324,'2324 Jun 24 Enroll'!F$1,FALSE)='District Calculations'!$D$13,VLOOKUP($A60,EnrollData2324,'2324 Jun 24 Enroll'!F$1,FALSE),'District Calculations'!$D$13)*Apport_222A2324s,3)</f>
        <v>10.101000000000001</v>
      </c>
      <c r="G60">
        <f>ROUND(IF(VLOOKUP($A60,EnrollData2324,'2324 Jun 24 Enroll'!G$1,FALSE)='District Calculations'!$D$14,VLOOKUP($A60,EnrollData2324,'2324 Jun 24 Enroll'!G$1,FALSE),'District Calculations'!$D$14)*Apport_210A2324s,3)</f>
        <v>22.395</v>
      </c>
      <c r="H60">
        <f>ROUND(IF(VLOOKUP($A60,EnrollData2324,'2324 Jun 24 Enroll'!H$1,FALSE)='District Calculations'!$D$15,VLOOKUP($A60,EnrollData2324,'2324 Jun 24 Enroll'!H$1,FALSE),'District Calculations'!$D$15)*Apport_213A2324s,3)</f>
        <v>23.091999999999999</v>
      </c>
      <c r="I60">
        <f>ROUND(IF(VLOOKUP($A60,EnrollData2324,'2324 Jun 24 Enroll'!I$1,FALSE)+VLOOKUP($A60,EnrollData2324,'2324 Jun 24 Enroll'!M$1,FALSE)-VLOOKUP($A60,EnrollData2324,'2324 Jun 24 Enroll'!J$1,FALSE)='District Calculations'!$D$16+'District Calculations'!$D$25-'District Calculations'!$D$17,VLOOKUP($A60,EnrollData2324,'2324 Jun 24 Enroll'!I$1,FALSE)+VLOOKUP($A60,EnrollData2324,'2324 Jun 24 Enroll'!M$1,FALSE)-VLOOKUP($A60,EnrollData2324,'2324 Jun 24 Enroll'!J$1,FALSE),'District Calculations'!$D$16+'District Calculations'!$D$25-'District Calculations'!$D$17)*Apport_216A2324s,3)</f>
        <v>58.183999999999997</v>
      </c>
      <c r="J60">
        <f>ROUND(SUM(D60:I60)/(IF(VLOOKUP($A60,EnrollData2324,'2324 Jun 24 Enroll'!M$1,FALSE)='District Calculations'!$D$25,VLOOKUP($A60,EnrollData2324,'2324 Jun 24 Enroll'!M$1,FALSE),'District Calculations'!$D$25)+IF(VLOOKUP($A60,EnrollData2324,'2324 Jun 24 Enroll'!D$1,FALSE)='District Calculations'!$D$11,VLOOKUP($A60,EnrollData2324,'2324 Jun 24 Enroll'!D$1,FALSE),'District Calculations'!$D$11)),5)</f>
        <v>5.5530000000000003E-2</v>
      </c>
      <c r="K60" s="11">
        <f t="shared" si="6"/>
        <v>4.3699999999999998E-3</v>
      </c>
      <c r="L60">
        <f>ROUND(IF(VLOOKUP($A60,EnrollData2324,'2324 Jun 24 Enroll'!D$1,FALSE)='District Calculations'!$D$11,VLOOKUP($A60,EnrollData2324,'2324 Jun 24 Enroll'!D$1,FALSE),'District Calculations'!$D$11)*K60,3)</f>
        <v>0</v>
      </c>
      <c r="M60">
        <f>ROUND(IF(VLOOKUP($A60,EnrollData2324,'2324 Jun 24 Enroll'!E$1,FALSE)='District Calculations'!$D$12,VLOOKUP($A60,EnrollData2324,'2324 Jun 24 Enroll'!E$1,FALSE),'District Calculations'!$D$12)*K60,3)</f>
        <v>3.5419999999999998</v>
      </c>
      <c r="N60">
        <f>ROUND(IF(VLOOKUP($A60,EnrollData2324,'2324 Jun 24 Enroll'!F$1,FALSE)='District Calculations'!$D$13,VLOOKUP($A60,EnrollData2324,'2324 Jun 24 Enroll'!F$1,FALSE),'District Calculations'!$D$13)*Apport_223A2324s,3)</f>
        <v>0.84299999999999997</v>
      </c>
      <c r="O60">
        <f>ROUND(IF(VLOOKUP($A60,EnrollData2324,'2324 Jun 24 Enroll'!G$1,FALSE)='District Calculations'!$D$14,VLOOKUP($A60,EnrollData2324,'2324 Jun 24 Enroll'!G$1,FALSE),'District Calculations'!$D$14)*Apport_211A2324s,3)</f>
        <v>1.87</v>
      </c>
      <c r="P60">
        <f>ROUND(IF(VLOOKUP($A60,EnrollData2324,'2324 Jun 24 Enroll'!H$1,FALSE)='District Calculations'!$D$14,VLOOKUP($A60,EnrollData2324,'2324 Jun 24 Enroll'!H$1,FALSE),'District Calculations'!$D$14)*Apport_214A2324s,3)</f>
        <v>1.8680000000000001</v>
      </c>
      <c r="Q60">
        <f>ROUND(IF(VLOOKUP($A60,EnrollData2324,'2324 Jun 24 Enroll'!I$1,FALSE)+VLOOKUP($A60,EnrollData2324,'2324 Jun 24 Enroll'!M$1,FALSE)-VLOOKUP($A60,EnrollData2324,'2324 Jun 24 Enroll'!J$1,FALSE)='District Calculations'!$D$16+'District Calculations'!$D$25-'District Calculations'!$D$17,VLOOKUP($A60,EnrollData2324,'2324 Jun 24 Enroll'!I$1,FALSE)+VLOOKUP($A60,EnrollData2324,'2324 Jun 24 Enroll'!M$1,FALSE)-VLOOKUP($A60,EnrollData2324,'2324 Jun 24 Enroll'!J$1,FALSE),'District Calculations'!$D$16+'District Calculations'!$D$25-'District Calculations'!$D$17)*Apport_217A2324s,3)</f>
        <v>4.702</v>
      </c>
      <c r="R60">
        <f>ROUND(SUM(L60:Q60)/IF(VLOOKUP($A60,EnrollData2324,'2324 Jun 24 Enroll'!M$1,FALSE)+VLOOKUP($A60,EnrollData2324,'2324 Jun 24 Enroll'!D$1,FALSE)='District Calculations'!$D$25+'District Calculations'!$D$11,VLOOKUP($A60,EnrollData2324,'2324 Jun 24 Enroll'!M$1,FALSE)+VLOOKUP($A60,EnrollData2324,'2324 Jun 24 Enroll'!D$1,FALSE),'District Calculations'!$D$25+'District Calculations'!$D$11),5)</f>
        <v>4.1099999999999999E-3</v>
      </c>
      <c r="S60" s="11">
        <f t="shared" si="7"/>
        <v>1.8689600000000001E-2</v>
      </c>
      <c r="T60">
        <f>ROUND(IF(VLOOKUP($A60,EnrollData2324,'2324 Jun 24 Enroll'!D$1,FALSE)='District Calculations'!$D$11,VLOOKUP($A60,EnrollData2324,'2324 Jun 24 Enroll'!D$1,FALSE),'District Calculations'!$D$11)*S60,3)</f>
        <v>0</v>
      </c>
      <c r="U60">
        <f>ROUND(IF(VLOOKUP($A60,EnrollData2324,'2324 Jun 24 Enroll'!E$1,FALSE)='District Calculations'!$D$12,VLOOKUP($A60,EnrollData2324,'2324 Jun 24 Enroll'!E$1,FALSE),'District Calculations'!$D$12)*S60,3)</f>
        <v>15.148</v>
      </c>
      <c r="V60">
        <f>ROUND(IF(VLOOKUP($A60,EnrollData2324,'2324 Jun 24 Enroll'!F$1,FALSE)='District Calculations'!$D$13,VLOOKUP($A60,EnrollData2324,'2324 Jun 24 Enroll'!F$1,FALSE),'District Calculations'!$D$13)*Apport_224A2324s,3)</f>
        <v>3.7029999999999998</v>
      </c>
      <c r="W60">
        <f>ROUND(IF(VLOOKUP($A60,EnrollData2324,'2324 Jun 24 Enroll'!G$1,FALSE)='District Calculations'!$D$14,VLOOKUP($A60,EnrollData2324,'2324 Jun 24 Enroll'!G$1,FALSE),'District Calculations'!$D$14)*Apport_212A2324s,3)</f>
        <v>8.2089999999999996</v>
      </c>
      <c r="X60">
        <f>ROUND(IF(VLOOKUP($A60,EnrollData2324,'2324 Jun 24 Enroll'!H$1,FALSE)='District Calculations'!$D$14,VLOOKUP($A60,EnrollData2324,'2324 Jun 24 Enroll'!H$1,FALSE),'District Calculations'!$D$14)*Apport_215A2324s,3)</f>
        <v>8.0969999999999995</v>
      </c>
      <c r="Y60">
        <f>ROUND(IF(VLOOKUP($A60,EnrollData2324,'2324 Jun 24 Enroll'!I$1,FALSE)+VLOOKUP($A60,EnrollData2324,'2324 Jun 24 Enroll'!M$1,FALSE)-VLOOKUP($A60,EnrollData2324,'2324 Jun 24 Enroll'!J$1,FALSE)='District Calculations'!$D$16+'District Calculations'!$D$25-'District Calculations'!$D$17,VLOOKUP($A60,EnrollData2324,'2324 Jun 24 Enroll'!I$1,FALSE)+VLOOKUP($A60,EnrollData2324,'2324 Jun 24 Enroll'!M$1,FALSE)-VLOOKUP($A60,EnrollData2324,'2324 Jun 24 Enroll'!J$1,FALSE),'District Calculations'!$D$16+'District Calculations'!$D$25-'District Calculations'!$D$17)*Apport_218A2324s,3)</f>
        <v>20.224</v>
      </c>
      <c r="Z60">
        <f>ROUND(SUM(T60:Y60)/IF(VLOOKUP($A60,EnrollData2324,'2324 Jun 24 Enroll'!M$1,FALSE)+VLOOKUP($A60,EnrollData2324,'2324 Jun 24 Enroll'!D$1,FALSE)='District Calculations'!$D$25+'District Calculations'!$D$11,VLOOKUP($A60,EnrollData2324,'2324 Jun 24 Enroll'!M$1,FALSE)+VLOOKUP($A60,EnrollData2324,'2324 Jun 24 Enroll'!D$1,FALSE),'District Calculations'!$D$25+'District Calculations'!$D$11),5)</f>
        <v>1.7749999999999998E-2</v>
      </c>
      <c r="AA60" s="6" cm="1">
        <f t="array" ref="AA60">ROUND($J60*CIS_Base_Salary2324s*VLOOKUP($A60,EnrollData2324,'2324 Jun 24 Enroll'!S$1,FALSE),2)</f>
        <v>4038.59</v>
      </c>
      <c r="AB60" s="6" cm="1">
        <f t="array" ref="AB60">ROUND($J60*CIS_Inc_Salary2324s*(VLOOKUP($A60,EnrollData2324,'2324 Jun 24 Enroll'!T$1,FALSE)+VLOOKUP($A60,EnrollData2324,'2324 Jun 24 Enroll'!U$1,FALSE)),2)-AA60</f>
        <v>149.43000000000029</v>
      </c>
      <c r="AC60" s="6" cm="1">
        <f t="array" ref="AC60">ROUND($R60*CAS_Base_Salary2324s*VLOOKUP($A60,EnrollData2324,'2324 Jun 24 Enroll'!S$1,FALSE),2)</f>
        <v>443.7</v>
      </c>
      <c r="AD60" s="6" cm="1">
        <f t="array" ref="AD60">ROUND($R60*CAS_Inc_Salary2324s*VLOOKUP($A60,EnrollData2324,'2324 Jun 24 Enroll'!T$1,FALSE),2)-AC60</f>
        <v>16.410000000000025</v>
      </c>
      <c r="AE60" s="6" cm="1">
        <f t="array" ref="AE60">ROUND($Z60*CLS_Base_Salary2324s*VLOOKUP($A60,EnrollData2324,'2324 Jun 24 Enroll'!S$1,FALSE),2)</f>
        <v>926.07</v>
      </c>
      <c r="AF60" s="6" cm="1">
        <f t="array" ref="AF60">ROUND($Z60*CLS_Inc_Salary2324s*VLOOKUP($A60,EnrollData2324,'2324 Jun 24 Enroll'!T$1,FALSE),2)-AE60</f>
        <v>34.259999999999991</v>
      </c>
      <c r="AG60" cm="1">
        <f t="array" ref="AG60">ROUND(($J60+$R60)*Apport_124X2324s,2)</f>
        <v>734.29</v>
      </c>
      <c r="AH60" s="69">
        <f t="shared" si="8"/>
        <v>68.700000000000045</v>
      </c>
      <c r="AI60" cm="1">
        <f t="array" ref="AI60">ROUND($Z60*Apport_124X2324s,2)</f>
        <v>218.54</v>
      </c>
      <c r="AJ60" cm="1">
        <f t="array" ref="AJ60">ROUND($Z60*Apport_621X2324s*Apport_125X2324s,2)-AI60</f>
        <v>116.51000000000002</v>
      </c>
      <c r="AK60" cm="1">
        <f t="array" ref="AK60">ROUND((AA60+AC60)*Apport_126X2324s,2)</f>
        <v>805.47</v>
      </c>
      <c r="AL60" cm="1">
        <f t="array" ref="AL60">ROUND((AB60+AD60)*Apport_127X2324s,2)</f>
        <v>28.74</v>
      </c>
      <c r="AM60" cm="1">
        <f t="array" ref="AM60">ROUND(AE60*Apport_128X2324s,2)</f>
        <v>204.29</v>
      </c>
      <c r="AN60" cm="1">
        <f t="array" ref="AN60">ROUND(AF60*Apport_129X2324s,2)</f>
        <v>6.36</v>
      </c>
      <c r="AO60" cm="1">
        <f t="array" ref="AO60">ROUND(($J60*CIS_Inc_Salary2324s*(VLOOKUP($A60,EnrollData2324,'2324 Jun 24 Enroll'!T$1,FALSE)+VLOOKUP($A60,EnrollData2324,'2324 Jun 24 Enroll'!U$1,FALSE))/Apport_613Xpd)*Apport_614Xpd,2)</f>
        <v>69.8</v>
      </c>
      <c r="AP60" cm="1">
        <f t="array" ref="AP60">ROUND(AO60*Apport_127X2324s,2)</f>
        <v>12.1</v>
      </c>
      <c r="AQ60">
        <f t="shared" si="9"/>
        <v>30.93</v>
      </c>
      <c r="AR60" s="6" cm="1">
        <f t="array" ref="AR60">ROUND((VLOOKUP($A60,EnrollData2324,'2324 Jun 24 Enroll'!D$1,FALSE)*Apport_M802324s+VLOOKUP($A60,EnrollData2324,'2324 Jun 24 Enroll'!M$1,FALSE)*Apport_M802324s+(VLOOKUP($A60,EnrollData2324,'2324 Jun 24 Enroll'!P$1,FALSE)+VLOOKUP($A60,EnrollData2324,'2324 Jun 24 Enroll'!Q$1,FALSE)+VLOOKUP($A60,EnrollData2324,'2324 Jun 24 Enroll'!R$1,FALSE)+VLOOKUP($A60,EnrollData2324,'2324 Jun 24 Enroll'!I$1,FALSE)+VLOOKUP($A60,EnrollData2324,'2324 Jun 24 Enroll'!N$1,FALSE)+VLOOKUP($A60,EnrollData2324,'2324 Jun 24 Enroll'!O$1,FALSE)+VLOOKUP($A60,EnrollData2324,'2324 Jun 24 Enroll'!K$1,FALSE)+VLOOKUP($A60,EnrollData2324,'2324 Jun 24 Enroll'!L$1,FALSE))*Apport_M812324s)/(VLOOKUP($A60,EnrollData2324,'2324 Jun 24 Enroll'!M$1,FALSE)+VLOOKUP($A60,EnrollData2324,'2324 Jun 24 Enroll'!D$1,FALSE)),2)</f>
        <v>1670.23</v>
      </c>
      <c r="AS60" s="7">
        <f t="shared" si="11"/>
        <v>9574.42</v>
      </c>
    </row>
    <row r="61" spans="1:46">
      <c r="A61" s="40" t="s">
        <v>920</v>
      </c>
      <c r="B61" s="40" t="s">
        <v>1008</v>
      </c>
      <c r="C61" s="11">
        <f>ROUND((IFERROR((1/IF(VLOOKUP($A61,EnrollData2324,28,FALSE)='District Calculations'!$D$10,VLOOKUP($A61,EnrollData2324,28,FALSE),'District Calculations'!$D$10))*(1+Apport_Z315),0))+Apport_201A2324s,6)</f>
        <v>7.3449E-2</v>
      </c>
      <c r="D61">
        <f>ROUND(IF(VLOOKUP($A61,EnrollData2324,'2324 Jun 24 Enroll'!D$1,FALSE)='District Calculations'!$D$11,VLOOKUP($A61,EnrollData2324,'2324 Jun 24 Enroll'!D$1,FALSE),'District Calculations'!$D$11)*C61,3)</f>
        <v>0</v>
      </c>
      <c r="E61">
        <f>ROUND(IF(VLOOKUP($A61,EnrollData2324,'2324 Jun 24 Enroll'!E$1,FALSE)='District Calculations'!$D$12,VLOOKUP($A61,EnrollData2324,'2324 Jun 24 Enroll'!E$1,FALSE),'District Calculations'!$D$12)*C61,3)</f>
        <v>59.53</v>
      </c>
      <c r="F61">
        <f>ROUND(IF(VLOOKUP($A61,EnrollData2324,'2324 Jun 24 Enroll'!F$1,FALSE)='District Calculations'!$D$13,VLOOKUP($A61,EnrollData2324,'2324 Jun 24 Enroll'!F$1,FALSE),'District Calculations'!$D$13)*Apport_222A2324s,3)</f>
        <v>10.101000000000001</v>
      </c>
      <c r="G61">
        <f>ROUND(IF(VLOOKUP($A61,EnrollData2324,'2324 Jun 24 Enroll'!G$1,FALSE)='District Calculations'!$D$14,VLOOKUP($A61,EnrollData2324,'2324 Jun 24 Enroll'!G$1,FALSE),'District Calculations'!$D$14)*Apport_210A2324s,3)</f>
        <v>22.395</v>
      </c>
      <c r="H61">
        <f>ROUND(IF(VLOOKUP($A61,EnrollData2324,'2324 Jun 24 Enroll'!H$1,FALSE)='District Calculations'!$D$15,VLOOKUP($A61,EnrollData2324,'2324 Jun 24 Enroll'!H$1,FALSE),'District Calculations'!$D$15)*Apport_213A2324s,3)</f>
        <v>23.091999999999999</v>
      </c>
      <c r="I61">
        <f>ROUND(IF(VLOOKUP($A61,EnrollData2324,'2324 Jun 24 Enroll'!I$1,FALSE)+VLOOKUP($A61,EnrollData2324,'2324 Jun 24 Enroll'!M$1,FALSE)-VLOOKUP($A61,EnrollData2324,'2324 Jun 24 Enroll'!J$1,FALSE)='District Calculations'!$D$16+'District Calculations'!$D$25-'District Calculations'!$D$17,VLOOKUP($A61,EnrollData2324,'2324 Jun 24 Enroll'!I$1,FALSE)+VLOOKUP($A61,EnrollData2324,'2324 Jun 24 Enroll'!M$1,FALSE)-VLOOKUP($A61,EnrollData2324,'2324 Jun 24 Enroll'!J$1,FALSE),'District Calculations'!$D$16+'District Calculations'!$D$25-'District Calculations'!$D$17)*Apport_216A2324s,3)</f>
        <v>58.183999999999997</v>
      </c>
      <c r="J61">
        <f>ROUND(SUM(D61:I61)/(IF(VLOOKUP($A61,EnrollData2324,'2324 Jun 24 Enroll'!M$1,FALSE)='District Calculations'!$D$25,VLOOKUP($A61,EnrollData2324,'2324 Jun 24 Enroll'!M$1,FALSE),'District Calculations'!$D$25)+IF(VLOOKUP($A61,EnrollData2324,'2324 Jun 24 Enroll'!D$1,FALSE)='District Calculations'!$D$11,VLOOKUP($A61,EnrollData2324,'2324 Jun 24 Enroll'!D$1,FALSE),'District Calculations'!$D$11)),5)</f>
        <v>5.5530000000000003E-2</v>
      </c>
      <c r="K61" s="11">
        <f t="shared" si="6"/>
        <v>4.3699999999999998E-3</v>
      </c>
      <c r="L61">
        <f>ROUND(IF(VLOOKUP($A61,EnrollData2324,'2324 Jun 24 Enroll'!D$1,FALSE)='District Calculations'!$D$11,VLOOKUP($A61,EnrollData2324,'2324 Jun 24 Enroll'!D$1,FALSE),'District Calculations'!$D$11)*K61,3)</f>
        <v>0</v>
      </c>
      <c r="M61">
        <f>ROUND(IF(VLOOKUP($A61,EnrollData2324,'2324 Jun 24 Enroll'!E$1,FALSE)='District Calculations'!$D$12,VLOOKUP($A61,EnrollData2324,'2324 Jun 24 Enroll'!E$1,FALSE),'District Calculations'!$D$12)*K61,3)</f>
        <v>3.5419999999999998</v>
      </c>
      <c r="N61">
        <f>ROUND(IF(VLOOKUP($A61,EnrollData2324,'2324 Jun 24 Enroll'!F$1,FALSE)='District Calculations'!$D$13,VLOOKUP($A61,EnrollData2324,'2324 Jun 24 Enroll'!F$1,FALSE),'District Calculations'!$D$13)*Apport_223A2324s,3)</f>
        <v>0.84299999999999997</v>
      </c>
      <c r="O61">
        <f>ROUND(IF(VLOOKUP($A61,EnrollData2324,'2324 Jun 24 Enroll'!G$1,FALSE)='District Calculations'!$D$14,VLOOKUP($A61,EnrollData2324,'2324 Jun 24 Enroll'!G$1,FALSE),'District Calculations'!$D$14)*Apport_211A2324s,3)</f>
        <v>1.87</v>
      </c>
      <c r="P61">
        <f>ROUND(IF(VLOOKUP($A61,EnrollData2324,'2324 Jun 24 Enroll'!H$1,FALSE)='District Calculations'!$D$14,VLOOKUP($A61,EnrollData2324,'2324 Jun 24 Enroll'!H$1,FALSE),'District Calculations'!$D$14)*Apport_214A2324s,3)</f>
        <v>1.8680000000000001</v>
      </c>
      <c r="Q61">
        <f>ROUND(IF(VLOOKUP($A61,EnrollData2324,'2324 Jun 24 Enroll'!I$1,FALSE)+VLOOKUP($A61,EnrollData2324,'2324 Jun 24 Enroll'!M$1,FALSE)-VLOOKUP($A61,EnrollData2324,'2324 Jun 24 Enroll'!J$1,FALSE)='District Calculations'!$D$16+'District Calculations'!$D$25-'District Calculations'!$D$17,VLOOKUP($A61,EnrollData2324,'2324 Jun 24 Enroll'!I$1,FALSE)+VLOOKUP($A61,EnrollData2324,'2324 Jun 24 Enroll'!M$1,FALSE)-VLOOKUP($A61,EnrollData2324,'2324 Jun 24 Enroll'!J$1,FALSE),'District Calculations'!$D$16+'District Calculations'!$D$25-'District Calculations'!$D$17)*Apport_217A2324s,3)</f>
        <v>4.702</v>
      </c>
      <c r="R61">
        <f>ROUND(SUM(L61:Q61)/IF(VLOOKUP($A61,EnrollData2324,'2324 Jun 24 Enroll'!M$1,FALSE)+VLOOKUP($A61,EnrollData2324,'2324 Jun 24 Enroll'!D$1,FALSE)='District Calculations'!$D$25+'District Calculations'!$D$11,VLOOKUP($A61,EnrollData2324,'2324 Jun 24 Enroll'!M$1,FALSE)+VLOOKUP($A61,EnrollData2324,'2324 Jun 24 Enroll'!D$1,FALSE),'District Calculations'!$D$25+'District Calculations'!$D$11),5)</f>
        <v>4.1099999999999999E-3</v>
      </c>
      <c r="S61" s="11">
        <f t="shared" si="7"/>
        <v>1.8689600000000001E-2</v>
      </c>
      <c r="T61">
        <f>ROUND(IF(VLOOKUP($A61,EnrollData2324,'2324 Jun 24 Enroll'!D$1,FALSE)='District Calculations'!$D$11,VLOOKUP($A61,EnrollData2324,'2324 Jun 24 Enroll'!D$1,FALSE),'District Calculations'!$D$11)*S61,3)</f>
        <v>0</v>
      </c>
      <c r="U61">
        <f>ROUND(IF(VLOOKUP($A61,EnrollData2324,'2324 Jun 24 Enroll'!E$1,FALSE)='District Calculations'!$D$12,VLOOKUP($A61,EnrollData2324,'2324 Jun 24 Enroll'!E$1,FALSE),'District Calculations'!$D$12)*S61,3)</f>
        <v>15.148</v>
      </c>
      <c r="V61">
        <f>ROUND(IF(VLOOKUP($A61,EnrollData2324,'2324 Jun 24 Enroll'!F$1,FALSE)='District Calculations'!$D$13,VLOOKUP($A61,EnrollData2324,'2324 Jun 24 Enroll'!F$1,FALSE),'District Calculations'!$D$13)*Apport_224A2324s,3)</f>
        <v>3.7029999999999998</v>
      </c>
      <c r="W61">
        <f>ROUND(IF(VLOOKUP($A61,EnrollData2324,'2324 Jun 24 Enroll'!G$1,FALSE)='District Calculations'!$D$14,VLOOKUP($A61,EnrollData2324,'2324 Jun 24 Enroll'!G$1,FALSE),'District Calculations'!$D$14)*Apport_212A2324s,3)</f>
        <v>8.2089999999999996</v>
      </c>
      <c r="X61">
        <f>ROUND(IF(VLOOKUP($A61,EnrollData2324,'2324 Jun 24 Enroll'!H$1,FALSE)='District Calculations'!$D$14,VLOOKUP($A61,EnrollData2324,'2324 Jun 24 Enroll'!H$1,FALSE),'District Calculations'!$D$14)*Apport_215A2324s,3)</f>
        <v>8.0969999999999995</v>
      </c>
      <c r="Y61">
        <f>ROUND(IF(VLOOKUP($A61,EnrollData2324,'2324 Jun 24 Enroll'!I$1,FALSE)+VLOOKUP($A61,EnrollData2324,'2324 Jun 24 Enroll'!M$1,FALSE)-VLOOKUP($A61,EnrollData2324,'2324 Jun 24 Enroll'!J$1,FALSE)='District Calculations'!$D$16+'District Calculations'!$D$25-'District Calculations'!$D$17,VLOOKUP($A61,EnrollData2324,'2324 Jun 24 Enroll'!I$1,FALSE)+VLOOKUP($A61,EnrollData2324,'2324 Jun 24 Enroll'!M$1,FALSE)-VLOOKUP($A61,EnrollData2324,'2324 Jun 24 Enroll'!J$1,FALSE),'District Calculations'!$D$16+'District Calculations'!$D$25-'District Calculations'!$D$17)*Apport_218A2324s,3)</f>
        <v>20.224</v>
      </c>
      <c r="Z61">
        <f>ROUND(SUM(T61:Y61)/IF(VLOOKUP($A61,EnrollData2324,'2324 Jun 24 Enroll'!M$1,FALSE)+VLOOKUP($A61,EnrollData2324,'2324 Jun 24 Enroll'!D$1,FALSE)='District Calculations'!$D$25+'District Calculations'!$D$11,VLOOKUP($A61,EnrollData2324,'2324 Jun 24 Enroll'!M$1,FALSE)+VLOOKUP($A61,EnrollData2324,'2324 Jun 24 Enroll'!D$1,FALSE),'District Calculations'!$D$25+'District Calculations'!$D$11),5)</f>
        <v>1.7749999999999998E-2</v>
      </c>
      <c r="AA61" s="6" cm="1">
        <f t="array" ref="AA61">ROUND($J61*CIS_Base_Salary2324s*VLOOKUP($A61,EnrollData2324,'2324 Jun 24 Enroll'!S$1,FALSE),2)</f>
        <v>4038.59</v>
      </c>
      <c r="AB61" s="6" cm="1">
        <f t="array" ref="AB61">ROUND($J61*CIS_Inc_Salary2324s*(VLOOKUP($A61,EnrollData2324,'2324 Jun 24 Enroll'!T$1,FALSE)+VLOOKUP($A61,EnrollData2324,'2324 Jun 24 Enroll'!U$1,FALSE)),2)-AA61</f>
        <v>149.43000000000029</v>
      </c>
      <c r="AC61" s="6" cm="1">
        <f t="array" ref="AC61">ROUND($R61*CAS_Base_Salary2324s*VLOOKUP($A61,EnrollData2324,'2324 Jun 24 Enroll'!S$1,FALSE),2)</f>
        <v>443.7</v>
      </c>
      <c r="AD61" s="6" cm="1">
        <f t="array" ref="AD61">ROUND($R61*CAS_Inc_Salary2324s*VLOOKUP($A61,EnrollData2324,'2324 Jun 24 Enroll'!T$1,FALSE),2)-AC61</f>
        <v>16.410000000000025</v>
      </c>
      <c r="AE61" s="6" cm="1">
        <f t="array" ref="AE61">ROUND($Z61*CLS_Base_Salary2324s*VLOOKUP($A61,EnrollData2324,'2324 Jun 24 Enroll'!S$1,FALSE),2)</f>
        <v>926.07</v>
      </c>
      <c r="AF61" s="6" cm="1">
        <f t="array" ref="AF61">ROUND($Z61*CLS_Inc_Salary2324s*VLOOKUP($A61,EnrollData2324,'2324 Jun 24 Enroll'!T$1,FALSE),2)-AE61</f>
        <v>34.259999999999991</v>
      </c>
      <c r="AG61" cm="1">
        <f t="array" ref="AG61">ROUND(($J61+$R61)*Apport_124X2324s,2)</f>
        <v>734.29</v>
      </c>
      <c r="AH61" s="69">
        <f t="shared" si="8"/>
        <v>68.700000000000045</v>
      </c>
      <c r="AI61" cm="1">
        <f t="array" ref="AI61">ROUND($Z61*Apport_124X2324s,2)</f>
        <v>218.54</v>
      </c>
      <c r="AJ61" cm="1">
        <f t="array" ref="AJ61">ROUND($Z61*Apport_621X2324s*Apport_125X2324s,2)-AI61</f>
        <v>116.51000000000002</v>
      </c>
      <c r="AK61" cm="1">
        <f t="array" ref="AK61">ROUND((AA61+AC61)*Apport_126X2324s,2)</f>
        <v>805.47</v>
      </c>
      <c r="AL61" cm="1">
        <f t="array" ref="AL61">ROUND((AB61+AD61)*Apport_127X2324s,2)</f>
        <v>28.74</v>
      </c>
      <c r="AM61" cm="1">
        <f t="array" ref="AM61">ROUND(AE61*Apport_128X2324s,2)</f>
        <v>204.29</v>
      </c>
      <c r="AN61" cm="1">
        <f t="array" ref="AN61">ROUND(AF61*Apport_129X2324s,2)</f>
        <v>6.36</v>
      </c>
      <c r="AO61" cm="1">
        <f t="array" ref="AO61">ROUND(($J61*CIS_Inc_Salary2324s*(VLOOKUP($A61,EnrollData2324,'2324 Jun 24 Enroll'!T$1,FALSE)+VLOOKUP($A61,EnrollData2324,'2324 Jun 24 Enroll'!U$1,FALSE))/Apport_613Xpd)*Apport_614Xpd,2)</f>
        <v>69.8</v>
      </c>
      <c r="AP61" cm="1">
        <f t="array" ref="AP61">ROUND(AO61*Apport_127X2324s,2)</f>
        <v>12.1</v>
      </c>
      <c r="AQ61">
        <f t="shared" si="9"/>
        <v>30.93</v>
      </c>
      <c r="AR61" s="6" cm="1">
        <f t="array" ref="AR61">ROUND((VLOOKUP($A61,EnrollData2324,'2324 Jun 24 Enroll'!D$1,FALSE)*Apport_M802324s+VLOOKUP($A61,EnrollData2324,'2324 Jun 24 Enroll'!M$1,FALSE)*Apport_M802324s+(VLOOKUP($A61,EnrollData2324,'2324 Jun 24 Enroll'!P$1,FALSE)+VLOOKUP($A61,EnrollData2324,'2324 Jun 24 Enroll'!Q$1,FALSE)+VLOOKUP($A61,EnrollData2324,'2324 Jun 24 Enroll'!R$1,FALSE)+VLOOKUP($A61,EnrollData2324,'2324 Jun 24 Enroll'!I$1,FALSE)+VLOOKUP($A61,EnrollData2324,'2324 Jun 24 Enroll'!N$1,FALSE)+VLOOKUP($A61,EnrollData2324,'2324 Jun 24 Enroll'!O$1,FALSE)+VLOOKUP($A61,EnrollData2324,'2324 Jun 24 Enroll'!K$1,FALSE)+VLOOKUP($A61,EnrollData2324,'2324 Jun 24 Enroll'!L$1,FALSE))*Apport_M812324s)/(VLOOKUP($A61,EnrollData2324,'2324 Jun 24 Enroll'!M$1,FALSE)+VLOOKUP($A61,EnrollData2324,'2324 Jun 24 Enroll'!D$1,FALSE)),2)</f>
        <v>1574.08</v>
      </c>
      <c r="AS61" s="7">
        <f t="shared" si="11"/>
        <v>9478.27</v>
      </c>
    </row>
    <row r="62" spans="1:46">
      <c r="A62" s="40" t="s">
        <v>841</v>
      </c>
      <c r="B62" s="40" t="s">
        <v>842</v>
      </c>
      <c r="C62" s="11">
        <f>ROUND((IFERROR((1/IF(VLOOKUP($A62,EnrollData2324,28,FALSE)='District Calculations'!$D$10,VLOOKUP($A62,EnrollData2324,28,FALSE),'District Calculations'!$D$10))*(1+Apport_Z315),0))+Apport_201A2324s,6)</f>
        <v>7.3449E-2</v>
      </c>
      <c r="D62">
        <f>ROUND(IF(VLOOKUP($A62,EnrollData2324,'2324 Jun 24 Enroll'!D$1,FALSE)='District Calculations'!$D$11,VLOOKUP($A62,EnrollData2324,'2324 Jun 24 Enroll'!D$1,FALSE),'District Calculations'!$D$11)*C62,3)</f>
        <v>0</v>
      </c>
      <c r="E62">
        <f>ROUND(IF(VLOOKUP($A62,EnrollData2324,'2324 Jun 24 Enroll'!E$1,FALSE)='District Calculations'!$D$12,VLOOKUP($A62,EnrollData2324,'2324 Jun 24 Enroll'!E$1,FALSE),'District Calculations'!$D$12)*C62,3)</f>
        <v>59.53</v>
      </c>
      <c r="F62">
        <f>ROUND(IF(VLOOKUP($A62,EnrollData2324,'2324 Jun 24 Enroll'!F$1,FALSE)='District Calculations'!$D$13,VLOOKUP($A62,EnrollData2324,'2324 Jun 24 Enroll'!F$1,FALSE),'District Calculations'!$D$13)*Apport_222A2324s,3)</f>
        <v>10.101000000000001</v>
      </c>
      <c r="G62">
        <f>ROUND(IF(VLOOKUP($A62,EnrollData2324,'2324 Jun 24 Enroll'!G$1,FALSE)='District Calculations'!$D$14,VLOOKUP($A62,EnrollData2324,'2324 Jun 24 Enroll'!G$1,FALSE),'District Calculations'!$D$14)*Apport_210A2324s,3)</f>
        <v>22.395</v>
      </c>
      <c r="H62">
        <f>ROUND(IF(VLOOKUP($A62,EnrollData2324,'2324 Jun 24 Enroll'!H$1,FALSE)='District Calculations'!$D$15,VLOOKUP($A62,EnrollData2324,'2324 Jun 24 Enroll'!H$1,FALSE),'District Calculations'!$D$15)*Apport_213A2324s,3)</f>
        <v>23.091999999999999</v>
      </c>
      <c r="I62">
        <f>ROUND(IF(VLOOKUP($A62,EnrollData2324,'2324 Jun 24 Enroll'!I$1,FALSE)+VLOOKUP($A62,EnrollData2324,'2324 Jun 24 Enroll'!M$1,FALSE)-VLOOKUP($A62,EnrollData2324,'2324 Jun 24 Enroll'!J$1,FALSE)='District Calculations'!$D$16+'District Calculations'!$D$25-'District Calculations'!$D$17,VLOOKUP($A62,EnrollData2324,'2324 Jun 24 Enroll'!I$1,FALSE)+VLOOKUP($A62,EnrollData2324,'2324 Jun 24 Enroll'!M$1,FALSE)-VLOOKUP($A62,EnrollData2324,'2324 Jun 24 Enroll'!J$1,FALSE),'District Calculations'!$D$16+'District Calculations'!$D$25-'District Calculations'!$D$17)*Apport_216A2324s,3)</f>
        <v>58.183999999999997</v>
      </c>
      <c r="J62">
        <f>ROUND(SUM(D62:I62)/(IF(VLOOKUP($A62,EnrollData2324,'2324 Jun 24 Enroll'!M$1,FALSE)='District Calculations'!$D$25,VLOOKUP($A62,EnrollData2324,'2324 Jun 24 Enroll'!M$1,FALSE),'District Calculations'!$D$25)+IF(VLOOKUP($A62,EnrollData2324,'2324 Jun 24 Enroll'!D$1,FALSE)='District Calculations'!$D$11,VLOOKUP($A62,EnrollData2324,'2324 Jun 24 Enroll'!D$1,FALSE),'District Calculations'!$D$11)),5)</f>
        <v>5.5530000000000003E-2</v>
      </c>
      <c r="K62" s="11">
        <f t="shared" si="6"/>
        <v>4.3699999999999998E-3</v>
      </c>
      <c r="L62">
        <f>ROUND(IF(VLOOKUP($A62,EnrollData2324,'2324 Jun 24 Enroll'!D$1,FALSE)='District Calculations'!$D$11,VLOOKUP($A62,EnrollData2324,'2324 Jun 24 Enroll'!D$1,FALSE),'District Calculations'!$D$11)*K62,3)</f>
        <v>0</v>
      </c>
      <c r="M62">
        <f>ROUND(IF(VLOOKUP($A62,EnrollData2324,'2324 Jun 24 Enroll'!E$1,FALSE)='District Calculations'!$D$12,VLOOKUP($A62,EnrollData2324,'2324 Jun 24 Enroll'!E$1,FALSE),'District Calculations'!$D$12)*K62,3)</f>
        <v>3.5419999999999998</v>
      </c>
      <c r="N62">
        <f>ROUND(IF(VLOOKUP($A62,EnrollData2324,'2324 Jun 24 Enroll'!F$1,FALSE)='District Calculations'!$D$13,VLOOKUP($A62,EnrollData2324,'2324 Jun 24 Enroll'!F$1,FALSE),'District Calculations'!$D$13)*Apport_223A2324s,3)</f>
        <v>0.84299999999999997</v>
      </c>
      <c r="O62">
        <f>ROUND(IF(VLOOKUP($A62,EnrollData2324,'2324 Jun 24 Enroll'!G$1,FALSE)='District Calculations'!$D$14,VLOOKUP($A62,EnrollData2324,'2324 Jun 24 Enroll'!G$1,FALSE),'District Calculations'!$D$14)*Apport_211A2324s,3)</f>
        <v>1.87</v>
      </c>
      <c r="P62">
        <f>ROUND(IF(VLOOKUP($A62,EnrollData2324,'2324 Jun 24 Enroll'!H$1,FALSE)='District Calculations'!$D$14,VLOOKUP($A62,EnrollData2324,'2324 Jun 24 Enroll'!H$1,FALSE),'District Calculations'!$D$14)*Apport_214A2324s,3)</f>
        <v>1.8680000000000001</v>
      </c>
      <c r="Q62">
        <f>ROUND(IF(VLOOKUP($A62,EnrollData2324,'2324 Jun 24 Enroll'!I$1,FALSE)+VLOOKUP($A62,EnrollData2324,'2324 Jun 24 Enroll'!M$1,FALSE)-VLOOKUP($A62,EnrollData2324,'2324 Jun 24 Enroll'!J$1,FALSE)='District Calculations'!$D$16+'District Calculations'!$D$25-'District Calculations'!$D$17,VLOOKUP($A62,EnrollData2324,'2324 Jun 24 Enroll'!I$1,FALSE)+VLOOKUP($A62,EnrollData2324,'2324 Jun 24 Enroll'!M$1,FALSE)-VLOOKUP($A62,EnrollData2324,'2324 Jun 24 Enroll'!J$1,FALSE),'District Calculations'!$D$16+'District Calculations'!$D$25-'District Calculations'!$D$17)*Apport_217A2324s,3)</f>
        <v>4.702</v>
      </c>
      <c r="R62">
        <f>ROUND(SUM(L62:Q62)/IF(VLOOKUP($A62,EnrollData2324,'2324 Jun 24 Enroll'!M$1,FALSE)+VLOOKUP($A62,EnrollData2324,'2324 Jun 24 Enroll'!D$1,FALSE)='District Calculations'!$D$25+'District Calculations'!$D$11,VLOOKUP($A62,EnrollData2324,'2324 Jun 24 Enroll'!M$1,FALSE)+VLOOKUP($A62,EnrollData2324,'2324 Jun 24 Enroll'!D$1,FALSE),'District Calculations'!$D$25+'District Calculations'!$D$11),5)</f>
        <v>4.1099999999999999E-3</v>
      </c>
      <c r="S62" s="11">
        <f t="shared" si="7"/>
        <v>1.8689600000000001E-2</v>
      </c>
      <c r="T62">
        <f>ROUND(IF(VLOOKUP($A62,EnrollData2324,'2324 Jun 24 Enroll'!D$1,FALSE)='District Calculations'!$D$11,VLOOKUP($A62,EnrollData2324,'2324 Jun 24 Enroll'!D$1,FALSE),'District Calculations'!$D$11)*S62,3)</f>
        <v>0</v>
      </c>
      <c r="U62">
        <f>ROUND(IF(VLOOKUP($A62,EnrollData2324,'2324 Jun 24 Enroll'!E$1,FALSE)='District Calculations'!$D$12,VLOOKUP($A62,EnrollData2324,'2324 Jun 24 Enroll'!E$1,FALSE),'District Calculations'!$D$12)*S62,3)</f>
        <v>15.148</v>
      </c>
      <c r="V62">
        <f>ROUND(IF(VLOOKUP($A62,EnrollData2324,'2324 Jun 24 Enroll'!F$1,FALSE)='District Calculations'!$D$13,VLOOKUP($A62,EnrollData2324,'2324 Jun 24 Enroll'!F$1,FALSE),'District Calculations'!$D$13)*Apport_224A2324s,3)</f>
        <v>3.7029999999999998</v>
      </c>
      <c r="W62">
        <f>ROUND(IF(VLOOKUP($A62,EnrollData2324,'2324 Jun 24 Enroll'!G$1,FALSE)='District Calculations'!$D$14,VLOOKUP($A62,EnrollData2324,'2324 Jun 24 Enroll'!G$1,FALSE),'District Calculations'!$D$14)*Apport_212A2324s,3)</f>
        <v>8.2089999999999996</v>
      </c>
      <c r="X62">
        <f>ROUND(IF(VLOOKUP($A62,EnrollData2324,'2324 Jun 24 Enroll'!H$1,FALSE)='District Calculations'!$D$14,VLOOKUP($A62,EnrollData2324,'2324 Jun 24 Enroll'!H$1,FALSE),'District Calculations'!$D$14)*Apport_215A2324s,3)</f>
        <v>8.0969999999999995</v>
      </c>
      <c r="Y62">
        <f>ROUND(IF(VLOOKUP($A62,EnrollData2324,'2324 Jun 24 Enroll'!I$1,FALSE)+VLOOKUP($A62,EnrollData2324,'2324 Jun 24 Enroll'!M$1,FALSE)-VLOOKUP($A62,EnrollData2324,'2324 Jun 24 Enroll'!J$1,FALSE)='District Calculations'!$D$16+'District Calculations'!$D$25-'District Calculations'!$D$17,VLOOKUP($A62,EnrollData2324,'2324 Jun 24 Enroll'!I$1,FALSE)+VLOOKUP($A62,EnrollData2324,'2324 Jun 24 Enroll'!M$1,FALSE)-VLOOKUP($A62,EnrollData2324,'2324 Jun 24 Enroll'!J$1,FALSE),'District Calculations'!$D$16+'District Calculations'!$D$25-'District Calculations'!$D$17)*Apport_218A2324s,3)</f>
        <v>20.224</v>
      </c>
      <c r="Z62">
        <f>ROUND(SUM(T62:Y62)/IF(VLOOKUP($A62,EnrollData2324,'2324 Jun 24 Enroll'!M$1,FALSE)+VLOOKUP($A62,EnrollData2324,'2324 Jun 24 Enroll'!D$1,FALSE)='District Calculations'!$D$25+'District Calculations'!$D$11,VLOOKUP($A62,EnrollData2324,'2324 Jun 24 Enroll'!M$1,FALSE)+VLOOKUP($A62,EnrollData2324,'2324 Jun 24 Enroll'!D$1,FALSE),'District Calculations'!$D$25+'District Calculations'!$D$11),5)</f>
        <v>1.7749999999999998E-2</v>
      </c>
      <c r="AA62" s="6" cm="1">
        <f t="array" ref="AA62">ROUND($J62*CIS_Base_Salary2324s*VLOOKUP($A62,EnrollData2324,'2324 Jun 24 Enroll'!S$1,FALSE),2)</f>
        <v>4280.8999999999996</v>
      </c>
      <c r="AB62" s="6" cm="1">
        <f t="array" ref="AB62">ROUND($J62*CIS_Inc_Salary2324s*(VLOOKUP($A62,EnrollData2324,'2324 Jun 24 Enroll'!T$1,FALSE)+VLOOKUP($A62,EnrollData2324,'2324 Jun 24 Enroll'!U$1,FALSE)),2)-AA62</f>
        <v>158.40000000000055</v>
      </c>
      <c r="AC62" s="6" cm="1">
        <f t="array" ref="AC62">ROUND($R62*CAS_Base_Salary2324s*VLOOKUP($A62,EnrollData2324,'2324 Jun 24 Enroll'!S$1,FALSE),2)</f>
        <v>470.32</v>
      </c>
      <c r="AD62" s="6" cm="1">
        <f t="array" ref="AD62">ROUND($R62*CAS_Inc_Salary2324s*VLOOKUP($A62,EnrollData2324,'2324 Jun 24 Enroll'!T$1,FALSE),2)-AC62</f>
        <v>17.400000000000034</v>
      </c>
      <c r="AE62" s="6" cm="1">
        <f t="array" ref="AE62">ROUND($Z62*CLS_Base_Salary2324s*VLOOKUP($A62,EnrollData2324,'2324 Jun 24 Enroll'!S$1,FALSE),2)</f>
        <v>981.63</v>
      </c>
      <c r="AF62" s="6" cm="1">
        <f t="array" ref="AF62">ROUND($Z62*CLS_Inc_Salary2324s*VLOOKUP($A62,EnrollData2324,'2324 Jun 24 Enroll'!T$1,FALSE),2)-AE62</f>
        <v>36.32000000000005</v>
      </c>
      <c r="AG62" cm="1">
        <f t="array" ref="AG62">ROUND(($J62+$R62)*Apport_124X2324s,2)</f>
        <v>734.29</v>
      </c>
      <c r="AH62" s="69">
        <f t="shared" si="8"/>
        <v>68.700000000000045</v>
      </c>
      <c r="AI62" cm="1">
        <f t="array" ref="AI62">ROUND($Z62*Apport_124X2324s,2)</f>
        <v>218.54</v>
      </c>
      <c r="AJ62" cm="1">
        <f t="array" ref="AJ62">ROUND($Z62*Apport_621X2324s*Apport_125X2324s,2)-AI62</f>
        <v>116.51000000000002</v>
      </c>
      <c r="AK62" cm="1">
        <f t="array" ref="AK62">ROUND((AA62+AC62)*Apport_126X2324s,2)</f>
        <v>853.79</v>
      </c>
      <c r="AL62" cm="1">
        <f t="array" ref="AL62">ROUND((AB62+AD62)*Apport_127X2324s,2)</f>
        <v>30.47</v>
      </c>
      <c r="AM62" cm="1">
        <f t="array" ref="AM62">ROUND(AE62*Apport_128X2324s,2)</f>
        <v>216.55</v>
      </c>
      <c r="AN62" cm="1">
        <f t="array" ref="AN62">ROUND(AF62*Apport_129X2324s,2)</f>
        <v>6.74</v>
      </c>
      <c r="AO62" cm="1">
        <f t="array" ref="AO62">ROUND(($J62*CIS_Inc_Salary2324s*(VLOOKUP($A62,EnrollData2324,'2324 Jun 24 Enroll'!T$1,FALSE)+VLOOKUP($A62,EnrollData2324,'2324 Jun 24 Enroll'!U$1,FALSE))/Apport_613Xpd)*Apport_614Xpd,2)</f>
        <v>73.989999999999995</v>
      </c>
      <c r="AP62" cm="1">
        <f t="array" ref="AP62">ROUND(AO62*Apport_127X2324s,2)</f>
        <v>12.82</v>
      </c>
      <c r="AQ62">
        <f t="shared" si="9"/>
        <v>30.93</v>
      </c>
      <c r="AR62" s="6" cm="1">
        <f t="array" ref="AR62">ROUND((VLOOKUP($A62,EnrollData2324,'2324 Jun 24 Enroll'!D$1,FALSE)*Apport_M802324s+VLOOKUP($A62,EnrollData2324,'2324 Jun 24 Enroll'!M$1,FALSE)*Apport_M802324s+(VLOOKUP($A62,EnrollData2324,'2324 Jun 24 Enroll'!P$1,FALSE)+VLOOKUP($A62,EnrollData2324,'2324 Jun 24 Enroll'!Q$1,FALSE)+VLOOKUP($A62,EnrollData2324,'2324 Jun 24 Enroll'!R$1,FALSE)+VLOOKUP($A62,EnrollData2324,'2324 Jun 24 Enroll'!I$1,FALSE)+VLOOKUP($A62,EnrollData2324,'2324 Jun 24 Enroll'!N$1,FALSE)+VLOOKUP($A62,EnrollData2324,'2324 Jun 24 Enroll'!O$1,FALSE)+VLOOKUP($A62,EnrollData2324,'2324 Jun 24 Enroll'!K$1,FALSE)+VLOOKUP($A62,EnrollData2324,'2324 Jun 24 Enroll'!L$1,FALSE))*Apport_M812324s)/(VLOOKUP($A62,EnrollData2324,'2324 Jun 24 Enroll'!M$1,FALSE)+VLOOKUP($A62,EnrollData2324,'2324 Jun 24 Enroll'!D$1,FALSE)),2)</f>
        <v>1572.64</v>
      </c>
      <c r="AS62" s="7">
        <f t="shared" si="11"/>
        <v>9880.9399999999987</v>
      </c>
    </row>
    <row r="63" spans="1:46">
      <c r="A63" s="40" t="s">
        <v>504</v>
      </c>
      <c r="B63" s="40" t="s">
        <v>505</v>
      </c>
      <c r="C63" s="11">
        <f>ROUND((IFERROR((1/IF(VLOOKUP($A63,EnrollData2324,28,FALSE)='District Calculations'!$D$10,VLOOKUP($A63,EnrollData2324,28,FALSE),'District Calculations'!$D$10))*(1+Apport_Z315),0))+Apport_201A2324s,6)</f>
        <v>7.3449E-2</v>
      </c>
      <c r="D63">
        <f>ROUND(IF(VLOOKUP($A63,EnrollData2324,'2324 Jun 24 Enroll'!D$1,FALSE)='District Calculations'!$D$11,VLOOKUP($A63,EnrollData2324,'2324 Jun 24 Enroll'!D$1,FALSE),'District Calculations'!$D$11)*C63,3)</f>
        <v>0</v>
      </c>
      <c r="E63">
        <f>ROUND(IF(VLOOKUP($A63,EnrollData2324,'2324 Jun 24 Enroll'!E$1,FALSE)='District Calculations'!$D$12,VLOOKUP($A63,EnrollData2324,'2324 Jun 24 Enroll'!E$1,FALSE),'District Calculations'!$D$12)*C63,3)</f>
        <v>59.53</v>
      </c>
      <c r="F63">
        <f>ROUND(IF(VLOOKUP($A63,EnrollData2324,'2324 Jun 24 Enroll'!F$1,FALSE)='District Calculations'!$D$13,VLOOKUP($A63,EnrollData2324,'2324 Jun 24 Enroll'!F$1,FALSE),'District Calculations'!$D$13)*Apport_222A2324s,3)</f>
        <v>10.101000000000001</v>
      </c>
      <c r="G63">
        <f>ROUND(IF(VLOOKUP($A63,EnrollData2324,'2324 Jun 24 Enroll'!G$1,FALSE)='District Calculations'!$D$14,VLOOKUP($A63,EnrollData2324,'2324 Jun 24 Enroll'!G$1,FALSE),'District Calculations'!$D$14)*Apport_210A2324s,3)</f>
        <v>22.395</v>
      </c>
      <c r="H63">
        <f>ROUND(IF(VLOOKUP($A63,EnrollData2324,'2324 Jun 24 Enroll'!H$1,FALSE)='District Calculations'!$D$15,VLOOKUP($A63,EnrollData2324,'2324 Jun 24 Enroll'!H$1,FALSE),'District Calculations'!$D$15)*Apport_213A2324s,3)</f>
        <v>23.091999999999999</v>
      </c>
      <c r="I63">
        <f>ROUND(IF(VLOOKUP($A63,EnrollData2324,'2324 Jun 24 Enroll'!I$1,FALSE)+VLOOKUP($A63,EnrollData2324,'2324 Jun 24 Enroll'!M$1,FALSE)-VLOOKUP($A63,EnrollData2324,'2324 Jun 24 Enroll'!J$1,FALSE)='District Calculations'!$D$16+'District Calculations'!$D$25-'District Calculations'!$D$17,VLOOKUP($A63,EnrollData2324,'2324 Jun 24 Enroll'!I$1,FALSE)+VLOOKUP($A63,EnrollData2324,'2324 Jun 24 Enroll'!M$1,FALSE)-VLOOKUP($A63,EnrollData2324,'2324 Jun 24 Enroll'!J$1,FALSE),'District Calculations'!$D$16+'District Calculations'!$D$25-'District Calculations'!$D$17)*Apport_216A2324s,3)</f>
        <v>58.183999999999997</v>
      </c>
      <c r="J63">
        <f>ROUND(SUM(D63:I63)/(IF(VLOOKUP($A63,EnrollData2324,'2324 Jun 24 Enroll'!M$1,FALSE)='District Calculations'!$D$25,VLOOKUP($A63,EnrollData2324,'2324 Jun 24 Enroll'!M$1,FALSE),'District Calculations'!$D$25)+IF(VLOOKUP($A63,EnrollData2324,'2324 Jun 24 Enroll'!D$1,FALSE)='District Calculations'!$D$11,VLOOKUP($A63,EnrollData2324,'2324 Jun 24 Enroll'!D$1,FALSE),'District Calculations'!$D$11)),5)</f>
        <v>5.5530000000000003E-2</v>
      </c>
      <c r="K63" s="11">
        <f t="shared" si="6"/>
        <v>4.3699999999999998E-3</v>
      </c>
      <c r="L63">
        <f>ROUND(IF(VLOOKUP($A63,EnrollData2324,'2324 Jun 24 Enroll'!D$1,FALSE)='District Calculations'!$D$11,VLOOKUP($A63,EnrollData2324,'2324 Jun 24 Enroll'!D$1,FALSE),'District Calculations'!$D$11)*K63,3)</f>
        <v>0</v>
      </c>
      <c r="M63">
        <f>ROUND(IF(VLOOKUP($A63,EnrollData2324,'2324 Jun 24 Enroll'!E$1,FALSE)='District Calculations'!$D$12,VLOOKUP($A63,EnrollData2324,'2324 Jun 24 Enroll'!E$1,FALSE),'District Calculations'!$D$12)*K63,3)</f>
        <v>3.5419999999999998</v>
      </c>
      <c r="N63">
        <f>ROUND(IF(VLOOKUP($A63,EnrollData2324,'2324 Jun 24 Enroll'!F$1,FALSE)='District Calculations'!$D$13,VLOOKUP($A63,EnrollData2324,'2324 Jun 24 Enroll'!F$1,FALSE),'District Calculations'!$D$13)*Apport_223A2324s,3)</f>
        <v>0.84299999999999997</v>
      </c>
      <c r="O63">
        <f>ROUND(IF(VLOOKUP($A63,EnrollData2324,'2324 Jun 24 Enroll'!G$1,FALSE)='District Calculations'!$D$14,VLOOKUP($A63,EnrollData2324,'2324 Jun 24 Enroll'!G$1,FALSE),'District Calculations'!$D$14)*Apport_211A2324s,3)</f>
        <v>1.87</v>
      </c>
      <c r="P63">
        <f>ROUND(IF(VLOOKUP($A63,EnrollData2324,'2324 Jun 24 Enroll'!H$1,FALSE)='District Calculations'!$D$14,VLOOKUP($A63,EnrollData2324,'2324 Jun 24 Enroll'!H$1,FALSE),'District Calculations'!$D$14)*Apport_214A2324s,3)</f>
        <v>1.8680000000000001</v>
      </c>
      <c r="Q63">
        <f>ROUND(IF(VLOOKUP($A63,EnrollData2324,'2324 Jun 24 Enroll'!I$1,FALSE)+VLOOKUP($A63,EnrollData2324,'2324 Jun 24 Enroll'!M$1,FALSE)-VLOOKUP($A63,EnrollData2324,'2324 Jun 24 Enroll'!J$1,FALSE)='District Calculations'!$D$16+'District Calculations'!$D$25-'District Calculations'!$D$17,VLOOKUP($A63,EnrollData2324,'2324 Jun 24 Enroll'!I$1,FALSE)+VLOOKUP($A63,EnrollData2324,'2324 Jun 24 Enroll'!M$1,FALSE)-VLOOKUP($A63,EnrollData2324,'2324 Jun 24 Enroll'!J$1,FALSE),'District Calculations'!$D$16+'District Calculations'!$D$25-'District Calculations'!$D$17)*Apport_217A2324s,3)</f>
        <v>4.702</v>
      </c>
      <c r="R63">
        <f>ROUND(SUM(L63:Q63)/IF(VLOOKUP($A63,EnrollData2324,'2324 Jun 24 Enroll'!M$1,FALSE)+VLOOKUP($A63,EnrollData2324,'2324 Jun 24 Enroll'!D$1,FALSE)='District Calculations'!$D$25+'District Calculations'!$D$11,VLOOKUP($A63,EnrollData2324,'2324 Jun 24 Enroll'!M$1,FALSE)+VLOOKUP($A63,EnrollData2324,'2324 Jun 24 Enroll'!D$1,FALSE),'District Calculations'!$D$25+'District Calculations'!$D$11),5)</f>
        <v>4.1099999999999999E-3</v>
      </c>
      <c r="S63" s="11">
        <f t="shared" si="7"/>
        <v>1.8689600000000001E-2</v>
      </c>
      <c r="T63">
        <f>ROUND(IF(VLOOKUP($A63,EnrollData2324,'2324 Jun 24 Enroll'!D$1,FALSE)='District Calculations'!$D$11,VLOOKUP($A63,EnrollData2324,'2324 Jun 24 Enroll'!D$1,FALSE),'District Calculations'!$D$11)*S63,3)</f>
        <v>0</v>
      </c>
      <c r="U63">
        <f>ROUND(IF(VLOOKUP($A63,EnrollData2324,'2324 Jun 24 Enroll'!E$1,FALSE)='District Calculations'!$D$12,VLOOKUP($A63,EnrollData2324,'2324 Jun 24 Enroll'!E$1,FALSE),'District Calculations'!$D$12)*S63,3)</f>
        <v>15.148</v>
      </c>
      <c r="V63">
        <f>ROUND(IF(VLOOKUP($A63,EnrollData2324,'2324 Jun 24 Enroll'!F$1,FALSE)='District Calculations'!$D$13,VLOOKUP($A63,EnrollData2324,'2324 Jun 24 Enroll'!F$1,FALSE),'District Calculations'!$D$13)*Apport_224A2324s,3)</f>
        <v>3.7029999999999998</v>
      </c>
      <c r="W63">
        <f>ROUND(IF(VLOOKUP($A63,EnrollData2324,'2324 Jun 24 Enroll'!G$1,FALSE)='District Calculations'!$D$14,VLOOKUP($A63,EnrollData2324,'2324 Jun 24 Enroll'!G$1,FALSE),'District Calculations'!$D$14)*Apport_212A2324s,3)</f>
        <v>8.2089999999999996</v>
      </c>
      <c r="X63">
        <f>ROUND(IF(VLOOKUP($A63,EnrollData2324,'2324 Jun 24 Enroll'!H$1,FALSE)='District Calculations'!$D$14,VLOOKUP($A63,EnrollData2324,'2324 Jun 24 Enroll'!H$1,FALSE),'District Calculations'!$D$14)*Apport_215A2324s,3)</f>
        <v>8.0969999999999995</v>
      </c>
      <c r="Y63">
        <f>ROUND(IF(VLOOKUP($A63,EnrollData2324,'2324 Jun 24 Enroll'!I$1,FALSE)+VLOOKUP($A63,EnrollData2324,'2324 Jun 24 Enroll'!M$1,FALSE)-VLOOKUP($A63,EnrollData2324,'2324 Jun 24 Enroll'!J$1,FALSE)='District Calculations'!$D$16+'District Calculations'!$D$25-'District Calculations'!$D$17,VLOOKUP($A63,EnrollData2324,'2324 Jun 24 Enroll'!I$1,FALSE)+VLOOKUP($A63,EnrollData2324,'2324 Jun 24 Enroll'!M$1,FALSE)-VLOOKUP($A63,EnrollData2324,'2324 Jun 24 Enroll'!J$1,FALSE),'District Calculations'!$D$16+'District Calculations'!$D$25-'District Calculations'!$D$17)*Apport_218A2324s,3)</f>
        <v>20.224</v>
      </c>
      <c r="Z63">
        <f>ROUND(SUM(T63:Y63)/IF(VLOOKUP($A63,EnrollData2324,'2324 Jun 24 Enroll'!M$1,FALSE)+VLOOKUP($A63,EnrollData2324,'2324 Jun 24 Enroll'!D$1,FALSE)='District Calculations'!$D$25+'District Calculations'!$D$11,VLOOKUP($A63,EnrollData2324,'2324 Jun 24 Enroll'!M$1,FALSE)+VLOOKUP($A63,EnrollData2324,'2324 Jun 24 Enroll'!D$1,FALSE),'District Calculations'!$D$25+'District Calculations'!$D$11),5)</f>
        <v>1.7749999999999998E-2</v>
      </c>
      <c r="AA63" s="6" cm="1">
        <f t="array" ref="AA63">ROUND($J63*CIS_Base_Salary2324s*VLOOKUP($A63,EnrollData2324,'2324 Jun 24 Enroll'!S$1,FALSE),2)</f>
        <v>4280.8999999999996</v>
      </c>
      <c r="AB63" s="6" cm="1">
        <f t="array" ref="AB63">ROUND($J63*CIS_Inc_Salary2324s*(VLOOKUP($A63,EnrollData2324,'2324 Jun 24 Enroll'!T$1,FALSE)+VLOOKUP($A63,EnrollData2324,'2324 Jun 24 Enroll'!U$1,FALSE)),2)-AA63</f>
        <v>158.40000000000055</v>
      </c>
      <c r="AC63" s="6" cm="1">
        <f t="array" ref="AC63">ROUND($R63*CAS_Base_Salary2324s*VLOOKUP($A63,EnrollData2324,'2324 Jun 24 Enroll'!S$1,FALSE),2)</f>
        <v>470.32</v>
      </c>
      <c r="AD63" s="6" cm="1">
        <f t="array" ref="AD63">ROUND($R63*CAS_Inc_Salary2324s*VLOOKUP($A63,EnrollData2324,'2324 Jun 24 Enroll'!T$1,FALSE),2)-AC63</f>
        <v>17.400000000000034</v>
      </c>
      <c r="AE63" s="6" cm="1">
        <f t="array" ref="AE63">ROUND($Z63*CLS_Base_Salary2324s*VLOOKUP($A63,EnrollData2324,'2324 Jun 24 Enroll'!S$1,FALSE),2)</f>
        <v>981.63</v>
      </c>
      <c r="AF63" s="6" cm="1">
        <f t="array" ref="AF63">ROUND($Z63*CLS_Inc_Salary2324s*VLOOKUP($A63,EnrollData2324,'2324 Jun 24 Enroll'!T$1,FALSE),2)-AE63</f>
        <v>36.32000000000005</v>
      </c>
      <c r="AG63" cm="1">
        <f t="array" ref="AG63">ROUND(($J63+$R63)*Apport_124X2324s,2)</f>
        <v>734.29</v>
      </c>
      <c r="AH63" s="69">
        <f t="shared" si="8"/>
        <v>68.700000000000045</v>
      </c>
      <c r="AI63" cm="1">
        <f t="array" ref="AI63">ROUND($Z63*Apport_124X2324s,2)</f>
        <v>218.54</v>
      </c>
      <c r="AJ63" cm="1">
        <f t="array" ref="AJ63">ROUND($Z63*Apport_621X2324s*Apport_125X2324s,2)-AI63</f>
        <v>116.51000000000002</v>
      </c>
      <c r="AK63" cm="1">
        <f t="array" ref="AK63">ROUND((AA63+AC63)*Apport_126X2324s,2)</f>
        <v>853.79</v>
      </c>
      <c r="AL63" cm="1">
        <f t="array" ref="AL63">ROUND((AB63+AD63)*Apport_127X2324s,2)</f>
        <v>30.47</v>
      </c>
      <c r="AM63" cm="1">
        <f t="array" ref="AM63">ROUND(AE63*Apport_128X2324s,2)</f>
        <v>216.55</v>
      </c>
      <c r="AN63" cm="1">
        <f t="array" ref="AN63">ROUND(AF63*Apport_129X2324s,2)</f>
        <v>6.74</v>
      </c>
      <c r="AO63" cm="1">
        <f t="array" ref="AO63">ROUND(($J63*CIS_Inc_Salary2324s*(VLOOKUP($A63,EnrollData2324,'2324 Jun 24 Enroll'!T$1,FALSE)+VLOOKUP($A63,EnrollData2324,'2324 Jun 24 Enroll'!U$1,FALSE))/Apport_613Xpd)*Apport_614Xpd,2)</f>
        <v>73.989999999999995</v>
      </c>
      <c r="AP63" cm="1">
        <f t="array" ref="AP63">ROUND(AO63*Apport_127X2324s,2)</f>
        <v>12.82</v>
      </c>
      <c r="AQ63">
        <f t="shared" si="9"/>
        <v>30.93</v>
      </c>
      <c r="AR63" s="6" cm="1">
        <f t="array" ref="AR63">ROUND((VLOOKUP($A63,EnrollData2324,'2324 Jun 24 Enroll'!D$1,FALSE)*Apport_M802324s+VLOOKUP($A63,EnrollData2324,'2324 Jun 24 Enroll'!M$1,FALSE)*Apport_M802324s+(VLOOKUP($A63,EnrollData2324,'2324 Jun 24 Enroll'!P$1,FALSE)+VLOOKUP($A63,EnrollData2324,'2324 Jun 24 Enroll'!Q$1,FALSE)+VLOOKUP($A63,EnrollData2324,'2324 Jun 24 Enroll'!R$1,FALSE)+VLOOKUP($A63,EnrollData2324,'2324 Jun 24 Enroll'!I$1,FALSE)+VLOOKUP($A63,EnrollData2324,'2324 Jun 24 Enroll'!N$1,FALSE)+VLOOKUP($A63,EnrollData2324,'2324 Jun 24 Enroll'!O$1,FALSE)+VLOOKUP($A63,EnrollData2324,'2324 Jun 24 Enroll'!K$1,FALSE)+VLOOKUP($A63,EnrollData2324,'2324 Jun 24 Enroll'!L$1,FALSE))*Apport_M812324s)/(VLOOKUP($A63,EnrollData2324,'2324 Jun 24 Enroll'!M$1,FALSE)+VLOOKUP($A63,EnrollData2324,'2324 Jun 24 Enroll'!D$1,FALSE)),2)</f>
        <v>1570.41</v>
      </c>
      <c r="AS63" s="7">
        <f t="shared" si="11"/>
        <v>9878.7099999999991</v>
      </c>
    </row>
    <row r="64" spans="1:46">
      <c r="A64" s="40" t="s">
        <v>536</v>
      </c>
      <c r="B64" s="40" t="s">
        <v>537</v>
      </c>
      <c r="C64" s="11">
        <f>ROUND((IFERROR((1/IF(VLOOKUP($A64,EnrollData2324,28,FALSE)='District Calculations'!$D$10,VLOOKUP($A64,EnrollData2324,28,FALSE),'District Calculations'!$D$10))*(1+Apport_Z315),0))+Apport_201A2324s,6)</f>
        <v>7.3449E-2</v>
      </c>
      <c r="D64">
        <f>ROUND(IF(VLOOKUP($A64,EnrollData2324,'2324 Jun 24 Enroll'!D$1,FALSE)='District Calculations'!$D$11,VLOOKUP($A64,EnrollData2324,'2324 Jun 24 Enroll'!D$1,FALSE),'District Calculations'!$D$11)*C64,3)</f>
        <v>0</v>
      </c>
      <c r="E64">
        <f>ROUND(IF(VLOOKUP($A64,EnrollData2324,'2324 Jun 24 Enroll'!E$1,FALSE)='District Calculations'!$D$12,VLOOKUP($A64,EnrollData2324,'2324 Jun 24 Enroll'!E$1,FALSE),'District Calculations'!$D$12)*C64,3)</f>
        <v>59.53</v>
      </c>
      <c r="F64">
        <f>ROUND(IF(VLOOKUP($A64,EnrollData2324,'2324 Jun 24 Enroll'!F$1,FALSE)='District Calculations'!$D$13,VLOOKUP($A64,EnrollData2324,'2324 Jun 24 Enroll'!F$1,FALSE),'District Calculations'!$D$13)*Apport_222A2324s,3)</f>
        <v>10.101000000000001</v>
      </c>
      <c r="G64">
        <f>ROUND(IF(VLOOKUP($A64,EnrollData2324,'2324 Jun 24 Enroll'!G$1,FALSE)='District Calculations'!$D$14,VLOOKUP($A64,EnrollData2324,'2324 Jun 24 Enroll'!G$1,FALSE),'District Calculations'!$D$14)*Apport_210A2324s,3)</f>
        <v>22.395</v>
      </c>
      <c r="H64">
        <f>ROUND(IF(VLOOKUP($A64,EnrollData2324,'2324 Jun 24 Enroll'!H$1,FALSE)='District Calculations'!$D$15,VLOOKUP($A64,EnrollData2324,'2324 Jun 24 Enroll'!H$1,FALSE),'District Calculations'!$D$15)*Apport_213A2324s,3)</f>
        <v>23.091999999999999</v>
      </c>
      <c r="I64">
        <f>ROUND(IF(VLOOKUP($A64,EnrollData2324,'2324 Jun 24 Enroll'!I$1,FALSE)+VLOOKUP($A64,EnrollData2324,'2324 Jun 24 Enroll'!M$1,FALSE)-VLOOKUP($A64,EnrollData2324,'2324 Jun 24 Enroll'!J$1,FALSE)='District Calculations'!$D$16+'District Calculations'!$D$25-'District Calculations'!$D$17,VLOOKUP($A64,EnrollData2324,'2324 Jun 24 Enroll'!I$1,FALSE)+VLOOKUP($A64,EnrollData2324,'2324 Jun 24 Enroll'!M$1,FALSE)-VLOOKUP($A64,EnrollData2324,'2324 Jun 24 Enroll'!J$1,FALSE),'District Calculations'!$D$16+'District Calculations'!$D$25-'District Calculations'!$D$17)*Apport_216A2324s,3)</f>
        <v>58.183999999999997</v>
      </c>
      <c r="J64">
        <f>ROUND(SUM(D64:I64)/(IF(VLOOKUP($A64,EnrollData2324,'2324 Jun 24 Enroll'!M$1,FALSE)='District Calculations'!$D$25,VLOOKUP($A64,EnrollData2324,'2324 Jun 24 Enroll'!M$1,FALSE),'District Calculations'!$D$25)+IF(VLOOKUP($A64,EnrollData2324,'2324 Jun 24 Enroll'!D$1,FALSE)='District Calculations'!$D$11,VLOOKUP($A64,EnrollData2324,'2324 Jun 24 Enroll'!D$1,FALSE),'District Calculations'!$D$11)),5)</f>
        <v>5.5530000000000003E-2</v>
      </c>
      <c r="K64" s="11">
        <f t="shared" si="6"/>
        <v>4.3699999999999998E-3</v>
      </c>
      <c r="L64">
        <f>ROUND(IF(VLOOKUP($A64,EnrollData2324,'2324 Jun 24 Enroll'!D$1,FALSE)='District Calculations'!$D$11,VLOOKUP($A64,EnrollData2324,'2324 Jun 24 Enroll'!D$1,FALSE),'District Calculations'!$D$11)*K64,3)</f>
        <v>0</v>
      </c>
      <c r="M64">
        <f>ROUND(IF(VLOOKUP($A64,EnrollData2324,'2324 Jun 24 Enroll'!E$1,FALSE)='District Calculations'!$D$12,VLOOKUP($A64,EnrollData2324,'2324 Jun 24 Enroll'!E$1,FALSE),'District Calculations'!$D$12)*K64,3)</f>
        <v>3.5419999999999998</v>
      </c>
      <c r="N64">
        <f>ROUND(IF(VLOOKUP($A64,EnrollData2324,'2324 Jun 24 Enroll'!F$1,FALSE)='District Calculations'!$D$13,VLOOKUP($A64,EnrollData2324,'2324 Jun 24 Enroll'!F$1,FALSE),'District Calculations'!$D$13)*Apport_223A2324s,3)</f>
        <v>0.84299999999999997</v>
      </c>
      <c r="O64">
        <f>ROUND(IF(VLOOKUP($A64,EnrollData2324,'2324 Jun 24 Enroll'!G$1,FALSE)='District Calculations'!$D$14,VLOOKUP($A64,EnrollData2324,'2324 Jun 24 Enroll'!G$1,FALSE),'District Calculations'!$D$14)*Apport_211A2324s,3)</f>
        <v>1.87</v>
      </c>
      <c r="P64">
        <f>ROUND(IF(VLOOKUP($A64,EnrollData2324,'2324 Jun 24 Enroll'!H$1,FALSE)='District Calculations'!$D$14,VLOOKUP($A64,EnrollData2324,'2324 Jun 24 Enroll'!H$1,FALSE),'District Calculations'!$D$14)*Apport_214A2324s,3)</f>
        <v>1.8680000000000001</v>
      </c>
      <c r="Q64">
        <f>ROUND(IF(VLOOKUP($A64,EnrollData2324,'2324 Jun 24 Enroll'!I$1,FALSE)+VLOOKUP($A64,EnrollData2324,'2324 Jun 24 Enroll'!M$1,FALSE)-VLOOKUP($A64,EnrollData2324,'2324 Jun 24 Enroll'!J$1,FALSE)='District Calculations'!$D$16+'District Calculations'!$D$25-'District Calculations'!$D$17,VLOOKUP($A64,EnrollData2324,'2324 Jun 24 Enroll'!I$1,FALSE)+VLOOKUP($A64,EnrollData2324,'2324 Jun 24 Enroll'!M$1,FALSE)-VLOOKUP($A64,EnrollData2324,'2324 Jun 24 Enroll'!J$1,FALSE),'District Calculations'!$D$16+'District Calculations'!$D$25-'District Calculations'!$D$17)*Apport_217A2324s,3)</f>
        <v>4.702</v>
      </c>
      <c r="R64">
        <f>ROUND(SUM(L64:Q64)/IF(VLOOKUP($A64,EnrollData2324,'2324 Jun 24 Enroll'!M$1,FALSE)+VLOOKUP($A64,EnrollData2324,'2324 Jun 24 Enroll'!D$1,FALSE)='District Calculations'!$D$25+'District Calculations'!$D$11,VLOOKUP($A64,EnrollData2324,'2324 Jun 24 Enroll'!M$1,FALSE)+VLOOKUP($A64,EnrollData2324,'2324 Jun 24 Enroll'!D$1,FALSE),'District Calculations'!$D$25+'District Calculations'!$D$11),5)</f>
        <v>4.1099999999999999E-3</v>
      </c>
      <c r="S64" s="11">
        <f t="shared" si="7"/>
        <v>1.8689600000000001E-2</v>
      </c>
      <c r="T64">
        <f>ROUND(IF(VLOOKUP($A64,EnrollData2324,'2324 Jun 24 Enroll'!D$1,FALSE)='District Calculations'!$D$11,VLOOKUP($A64,EnrollData2324,'2324 Jun 24 Enroll'!D$1,FALSE),'District Calculations'!$D$11)*S64,3)</f>
        <v>0</v>
      </c>
      <c r="U64">
        <f>ROUND(IF(VLOOKUP($A64,EnrollData2324,'2324 Jun 24 Enroll'!E$1,FALSE)='District Calculations'!$D$12,VLOOKUP($A64,EnrollData2324,'2324 Jun 24 Enroll'!E$1,FALSE),'District Calculations'!$D$12)*S64,3)</f>
        <v>15.148</v>
      </c>
      <c r="V64">
        <f>ROUND(IF(VLOOKUP($A64,EnrollData2324,'2324 Jun 24 Enroll'!F$1,FALSE)='District Calculations'!$D$13,VLOOKUP($A64,EnrollData2324,'2324 Jun 24 Enroll'!F$1,FALSE),'District Calculations'!$D$13)*Apport_224A2324s,3)</f>
        <v>3.7029999999999998</v>
      </c>
      <c r="W64">
        <f>ROUND(IF(VLOOKUP($A64,EnrollData2324,'2324 Jun 24 Enroll'!G$1,FALSE)='District Calculations'!$D$14,VLOOKUP($A64,EnrollData2324,'2324 Jun 24 Enroll'!G$1,FALSE),'District Calculations'!$D$14)*Apport_212A2324s,3)</f>
        <v>8.2089999999999996</v>
      </c>
      <c r="X64">
        <f>ROUND(IF(VLOOKUP($A64,EnrollData2324,'2324 Jun 24 Enroll'!H$1,FALSE)='District Calculations'!$D$14,VLOOKUP($A64,EnrollData2324,'2324 Jun 24 Enroll'!H$1,FALSE),'District Calculations'!$D$14)*Apport_215A2324s,3)</f>
        <v>8.0969999999999995</v>
      </c>
      <c r="Y64">
        <f>ROUND(IF(VLOOKUP($A64,EnrollData2324,'2324 Jun 24 Enroll'!I$1,FALSE)+VLOOKUP($A64,EnrollData2324,'2324 Jun 24 Enroll'!M$1,FALSE)-VLOOKUP($A64,EnrollData2324,'2324 Jun 24 Enroll'!J$1,FALSE)='District Calculations'!$D$16+'District Calculations'!$D$25-'District Calculations'!$D$17,VLOOKUP($A64,EnrollData2324,'2324 Jun 24 Enroll'!I$1,FALSE)+VLOOKUP($A64,EnrollData2324,'2324 Jun 24 Enroll'!M$1,FALSE)-VLOOKUP($A64,EnrollData2324,'2324 Jun 24 Enroll'!J$1,FALSE),'District Calculations'!$D$16+'District Calculations'!$D$25-'District Calculations'!$D$17)*Apport_218A2324s,3)</f>
        <v>20.224</v>
      </c>
      <c r="Z64">
        <f>ROUND(SUM(T64:Y64)/IF(VLOOKUP($A64,EnrollData2324,'2324 Jun 24 Enroll'!M$1,FALSE)+VLOOKUP($A64,EnrollData2324,'2324 Jun 24 Enroll'!D$1,FALSE)='District Calculations'!$D$25+'District Calculations'!$D$11,VLOOKUP($A64,EnrollData2324,'2324 Jun 24 Enroll'!M$1,FALSE)+VLOOKUP($A64,EnrollData2324,'2324 Jun 24 Enroll'!D$1,FALSE),'District Calculations'!$D$25+'District Calculations'!$D$11),5)</f>
        <v>1.7749999999999998E-2</v>
      </c>
      <c r="AA64" s="6" cm="1">
        <f t="array" ref="AA64">ROUND($J64*CIS_Base_Salary2324s*VLOOKUP($A64,EnrollData2324,'2324 Jun 24 Enroll'!S$1,FALSE),2)</f>
        <v>4280.8999999999996</v>
      </c>
      <c r="AB64" s="6" cm="1">
        <f t="array" ref="AB64">ROUND($J64*CIS_Inc_Salary2324s*(VLOOKUP($A64,EnrollData2324,'2324 Jun 24 Enroll'!T$1,FALSE)+VLOOKUP($A64,EnrollData2324,'2324 Jun 24 Enroll'!U$1,FALSE)),2)-AA64</f>
        <v>325.92000000000007</v>
      </c>
      <c r="AC64" s="6" cm="1">
        <f t="array" ref="AC64">ROUND($R64*CAS_Base_Salary2324s*VLOOKUP($A64,EnrollData2324,'2324 Jun 24 Enroll'!S$1,FALSE),2)</f>
        <v>470.32</v>
      </c>
      <c r="AD64" s="6" cm="1">
        <f t="array" ref="AD64">ROUND($R64*CAS_Inc_Salary2324s*VLOOKUP($A64,EnrollData2324,'2324 Jun 24 Enroll'!T$1,FALSE),2)-AC64</f>
        <v>17.400000000000034</v>
      </c>
      <c r="AE64" s="6" cm="1">
        <f t="array" ref="AE64">ROUND($Z64*CLS_Base_Salary2324s*VLOOKUP($A64,EnrollData2324,'2324 Jun 24 Enroll'!S$1,FALSE),2)</f>
        <v>981.63</v>
      </c>
      <c r="AF64" s="6" cm="1">
        <f t="array" ref="AF64">ROUND($Z64*CLS_Inc_Salary2324s*VLOOKUP($A64,EnrollData2324,'2324 Jun 24 Enroll'!T$1,FALSE),2)-AE64</f>
        <v>36.32000000000005</v>
      </c>
      <c r="AG64" cm="1">
        <f t="array" ref="AG64">ROUND(($J64+$R64)*Apport_124X2324s,2)</f>
        <v>734.29</v>
      </c>
      <c r="AH64" s="69">
        <f t="shared" si="8"/>
        <v>68.700000000000045</v>
      </c>
      <c r="AI64" cm="1">
        <f t="array" ref="AI64">ROUND($Z64*Apport_124X2324s,2)</f>
        <v>218.54</v>
      </c>
      <c r="AJ64" cm="1">
        <f t="array" ref="AJ64">ROUND($Z64*Apport_621X2324s*Apport_125X2324s,2)-AI64</f>
        <v>116.51000000000002</v>
      </c>
      <c r="AK64" cm="1">
        <f t="array" ref="AK64">ROUND((AA64+AC64)*Apport_126X2324s,2)</f>
        <v>853.79</v>
      </c>
      <c r="AL64" cm="1">
        <f t="array" ref="AL64">ROUND((AB64+AD64)*Apport_127X2324s,2)</f>
        <v>59.5</v>
      </c>
      <c r="AM64" cm="1">
        <f t="array" ref="AM64">ROUND(AE64*Apport_128X2324s,2)</f>
        <v>216.55</v>
      </c>
      <c r="AN64" cm="1">
        <f t="array" ref="AN64">ROUND(AF64*Apport_129X2324s,2)</f>
        <v>6.74</v>
      </c>
      <c r="AO64" cm="1">
        <f t="array" ref="AO64">ROUND(($J64*CIS_Inc_Salary2324s*(VLOOKUP($A64,EnrollData2324,'2324 Jun 24 Enroll'!T$1,FALSE)+VLOOKUP($A64,EnrollData2324,'2324 Jun 24 Enroll'!U$1,FALSE))/Apport_613Xpd)*Apport_614Xpd,2)</f>
        <v>76.78</v>
      </c>
      <c r="AP64" cm="1">
        <f t="array" ref="AP64">ROUND(AO64*Apport_127X2324s,2)</f>
        <v>13.31</v>
      </c>
      <c r="AQ64">
        <f t="shared" si="9"/>
        <v>30.93</v>
      </c>
      <c r="AR64" s="6" cm="1">
        <f t="array" ref="AR64">ROUND((VLOOKUP($A64,EnrollData2324,'2324 Jun 24 Enroll'!D$1,FALSE)*Apport_M802324s+VLOOKUP($A64,EnrollData2324,'2324 Jun 24 Enroll'!M$1,FALSE)*Apport_M802324s+(VLOOKUP($A64,EnrollData2324,'2324 Jun 24 Enroll'!P$1,FALSE)+VLOOKUP($A64,EnrollData2324,'2324 Jun 24 Enroll'!Q$1,FALSE)+VLOOKUP($A64,EnrollData2324,'2324 Jun 24 Enroll'!R$1,FALSE)+VLOOKUP($A64,EnrollData2324,'2324 Jun 24 Enroll'!I$1,FALSE)+VLOOKUP($A64,EnrollData2324,'2324 Jun 24 Enroll'!N$1,FALSE)+VLOOKUP($A64,EnrollData2324,'2324 Jun 24 Enroll'!O$1,FALSE)+VLOOKUP($A64,EnrollData2324,'2324 Jun 24 Enroll'!K$1,FALSE)+VLOOKUP($A64,EnrollData2324,'2324 Jun 24 Enroll'!L$1,FALSE))*Apport_M812324s)/(VLOOKUP($A64,EnrollData2324,'2324 Jun 24 Enroll'!M$1,FALSE)+VLOOKUP($A64,EnrollData2324,'2324 Jun 24 Enroll'!D$1,FALSE)),2)</f>
        <v>1566.68</v>
      </c>
      <c r="AS64" s="7">
        <f t="shared" si="11"/>
        <v>10074.81</v>
      </c>
    </row>
    <row r="65" spans="1:45">
      <c r="A65" s="40" t="s">
        <v>857</v>
      </c>
      <c r="B65" s="40" t="s">
        <v>858</v>
      </c>
      <c r="C65" s="11">
        <f>ROUND((IFERROR((1/IF(VLOOKUP($A65,EnrollData2324,28,FALSE)='District Calculations'!$D$10,VLOOKUP($A65,EnrollData2324,28,FALSE),'District Calculations'!$D$10))*(1+Apport_Z315),0))+Apport_201A2324s,6)</f>
        <v>7.3449E-2</v>
      </c>
      <c r="D65">
        <f>ROUND(IF(VLOOKUP($A65,EnrollData2324,'2324 Jun 24 Enroll'!D$1,FALSE)='District Calculations'!$D$11,VLOOKUP($A65,EnrollData2324,'2324 Jun 24 Enroll'!D$1,FALSE),'District Calculations'!$D$11)*C65,3)</f>
        <v>0</v>
      </c>
      <c r="E65">
        <f>ROUND(IF(VLOOKUP($A65,EnrollData2324,'2324 Jun 24 Enroll'!E$1,FALSE)='District Calculations'!$D$12,VLOOKUP($A65,EnrollData2324,'2324 Jun 24 Enroll'!E$1,FALSE),'District Calculations'!$D$12)*C65,3)</f>
        <v>59.53</v>
      </c>
      <c r="F65">
        <f>ROUND(IF(VLOOKUP($A65,EnrollData2324,'2324 Jun 24 Enroll'!F$1,FALSE)='District Calculations'!$D$13,VLOOKUP($A65,EnrollData2324,'2324 Jun 24 Enroll'!F$1,FALSE),'District Calculations'!$D$13)*Apport_222A2324s,3)</f>
        <v>10.101000000000001</v>
      </c>
      <c r="G65">
        <f>ROUND(IF(VLOOKUP($A65,EnrollData2324,'2324 Jun 24 Enroll'!G$1,FALSE)='District Calculations'!$D$14,VLOOKUP($A65,EnrollData2324,'2324 Jun 24 Enroll'!G$1,FALSE),'District Calculations'!$D$14)*Apport_210A2324s,3)</f>
        <v>22.395</v>
      </c>
      <c r="H65">
        <f>ROUND(IF(VLOOKUP($A65,EnrollData2324,'2324 Jun 24 Enroll'!H$1,FALSE)='District Calculations'!$D$15,VLOOKUP($A65,EnrollData2324,'2324 Jun 24 Enroll'!H$1,FALSE),'District Calculations'!$D$15)*Apport_213A2324s,3)</f>
        <v>23.091999999999999</v>
      </c>
      <c r="I65">
        <f>ROUND(IF(VLOOKUP($A65,EnrollData2324,'2324 Jun 24 Enroll'!I$1,FALSE)+VLOOKUP($A65,EnrollData2324,'2324 Jun 24 Enroll'!M$1,FALSE)-VLOOKUP($A65,EnrollData2324,'2324 Jun 24 Enroll'!J$1,FALSE)='District Calculations'!$D$16+'District Calculations'!$D$25-'District Calculations'!$D$17,VLOOKUP($A65,EnrollData2324,'2324 Jun 24 Enroll'!I$1,FALSE)+VLOOKUP($A65,EnrollData2324,'2324 Jun 24 Enroll'!M$1,FALSE)-VLOOKUP($A65,EnrollData2324,'2324 Jun 24 Enroll'!J$1,FALSE),'District Calculations'!$D$16+'District Calculations'!$D$25-'District Calculations'!$D$17)*Apport_216A2324s,3)</f>
        <v>58.183999999999997</v>
      </c>
      <c r="J65">
        <f>ROUND(SUM(D65:I65)/(IF(VLOOKUP($A65,EnrollData2324,'2324 Jun 24 Enroll'!M$1,FALSE)='District Calculations'!$D$25,VLOOKUP($A65,EnrollData2324,'2324 Jun 24 Enroll'!M$1,FALSE),'District Calculations'!$D$25)+IF(VLOOKUP($A65,EnrollData2324,'2324 Jun 24 Enroll'!D$1,FALSE)='District Calculations'!$D$11,VLOOKUP($A65,EnrollData2324,'2324 Jun 24 Enroll'!D$1,FALSE),'District Calculations'!$D$11)),5)</f>
        <v>5.5530000000000003E-2</v>
      </c>
      <c r="K65" s="11">
        <f t="shared" si="6"/>
        <v>4.3699999999999998E-3</v>
      </c>
      <c r="L65">
        <f>ROUND(IF(VLOOKUP($A65,EnrollData2324,'2324 Jun 24 Enroll'!D$1,FALSE)='District Calculations'!$D$11,VLOOKUP($A65,EnrollData2324,'2324 Jun 24 Enroll'!D$1,FALSE),'District Calculations'!$D$11)*K65,3)</f>
        <v>0</v>
      </c>
      <c r="M65">
        <f>ROUND(IF(VLOOKUP($A65,EnrollData2324,'2324 Jun 24 Enroll'!E$1,FALSE)='District Calculations'!$D$12,VLOOKUP($A65,EnrollData2324,'2324 Jun 24 Enroll'!E$1,FALSE),'District Calculations'!$D$12)*K65,3)</f>
        <v>3.5419999999999998</v>
      </c>
      <c r="N65">
        <f>ROUND(IF(VLOOKUP($A65,EnrollData2324,'2324 Jun 24 Enroll'!F$1,FALSE)='District Calculations'!$D$13,VLOOKUP($A65,EnrollData2324,'2324 Jun 24 Enroll'!F$1,FALSE),'District Calculations'!$D$13)*Apport_223A2324s,3)</f>
        <v>0.84299999999999997</v>
      </c>
      <c r="O65">
        <f>ROUND(IF(VLOOKUP($A65,EnrollData2324,'2324 Jun 24 Enroll'!G$1,FALSE)='District Calculations'!$D$14,VLOOKUP($A65,EnrollData2324,'2324 Jun 24 Enroll'!G$1,FALSE),'District Calculations'!$D$14)*Apport_211A2324s,3)</f>
        <v>1.87</v>
      </c>
      <c r="P65">
        <f>ROUND(IF(VLOOKUP($A65,EnrollData2324,'2324 Jun 24 Enroll'!H$1,FALSE)='District Calculations'!$D$14,VLOOKUP($A65,EnrollData2324,'2324 Jun 24 Enroll'!H$1,FALSE),'District Calculations'!$D$14)*Apport_214A2324s,3)</f>
        <v>1.8680000000000001</v>
      </c>
      <c r="Q65">
        <f>ROUND(IF(VLOOKUP($A65,EnrollData2324,'2324 Jun 24 Enroll'!I$1,FALSE)+VLOOKUP($A65,EnrollData2324,'2324 Jun 24 Enroll'!M$1,FALSE)-VLOOKUP($A65,EnrollData2324,'2324 Jun 24 Enroll'!J$1,FALSE)='District Calculations'!$D$16+'District Calculations'!$D$25-'District Calculations'!$D$17,VLOOKUP($A65,EnrollData2324,'2324 Jun 24 Enroll'!I$1,FALSE)+VLOOKUP($A65,EnrollData2324,'2324 Jun 24 Enroll'!M$1,FALSE)-VLOOKUP($A65,EnrollData2324,'2324 Jun 24 Enroll'!J$1,FALSE),'District Calculations'!$D$16+'District Calculations'!$D$25-'District Calculations'!$D$17)*Apport_217A2324s,3)</f>
        <v>4.702</v>
      </c>
      <c r="R65">
        <f>ROUND(SUM(L65:Q65)/IF(VLOOKUP($A65,EnrollData2324,'2324 Jun 24 Enroll'!M$1,FALSE)+VLOOKUP($A65,EnrollData2324,'2324 Jun 24 Enroll'!D$1,FALSE)='District Calculations'!$D$25+'District Calculations'!$D$11,VLOOKUP($A65,EnrollData2324,'2324 Jun 24 Enroll'!M$1,FALSE)+VLOOKUP($A65,EnrollData2324,'2324 Jun 24 Enroll'!D$1,FALSE),'District Calculations'!$D$25+'District Calculations'!$D$11),5)</f>
        <v>4.1099999999999999E-3</v>
      </c>
      <c r="S65" s="11">
        <f t="shared" si="7"/>
        <v>1.8689600000000001E-2</v>
      </c>
      <c r="T65">
        <f>ROUND(IF(VLOOKUP($A65,EnrollData2324,'2324 Jun 24 Enroll'!D$1,FALSE)='District Calculations'!$D$11,VLOOKUP($A65,EnrollData2324,'2324 Jun 24 Enroll'!D$1,FALSE),'District Calculations'!$D$11)*S65,3)</f>
        <v>0</v>
      </c>
      <c r="U65">
        <f>ROUND(IF(VLOOKUP($A65,EnrollData2324,'2324 Jun 24 Enroll'!E$1,FALSE)='District Calculations'!$D$12,VLOOKUP($A65,EnrollData2324,'2324 Jun 24 Enroll'!E$1,FALSE),'District Calculations'!$D$12)*S65,3)</f>
        <v>15.148</v>
      </c>
      <c r="V65">
        <f>ROUND(IF(VLOOKUP($A65,EnrollData2324,'2324 Jun 24 Enroll'!F$1,FALSE)='District Calculations'!$D$13,VLOOKUP($A65,EnrollData2324,'2324 Jun 24 Enroll'!F$1,FALSE),'District Calculations'!$D$13)*Apport_224A2324s,3)</f>
        <v>3.7029999999999998</v>
      </c>
      <c r="W65">
        <f>ROUND(IF(VLOOKUP($A65,EnrollData2324,'2324 Jun 24 Enroll'!G$1,FALSE)='District Calculations'!$D$14,VLOOKUP($A65,EnrollData2324,'2324 Jun 24 Enroll'!G$1,FALSE),'District Calculations'!$D$14)*Apport_212A2324s,3)</f>
        <v>8.2089999999999996</v>
      </c>
      <c r="X65">
        <f>ROUND(IF(VLOOKUP($A65,EnrollData2324,'2324 Jun 24 Enroll'!H$1,FALSE)='District Calculations'!$D$14,VLOOKUP($A65,EnrollData2324,'2324 Jun 24 Enroll'!H$1,FALSE),'District Calculations'!$D$14)*Apport_215A2324s,3)</f>
        <v>8.0969999999999995</v>
      </c>
      <c r="Y65">
        <f>ROUND(IF(VLOOKUP($A65,EnrollData2324,'2324 Jun 24 Enroll'!I$1,FALSE)+VLOOKUP($A65,EnrollData2324,'2324 Jun 24 Enroll'!M$1,FALSE)-VLOOKUP($A65,EnrollData2324,'2324 Jun 24 Enroll'!J$1,FALSE)='District Calculations'!$D$16+'District Calculations'!$D$25-'District Calculations'!$D$17,VLOOKUP($A65,EnrollData2324,'2324 Jun 24 Enroll'!I$1,FALSE)+VLOOKUP($A65,EnrollData2324,'2324 Jun 24 Enroll'!M$1,FALSE)-VLOOKUP($A65,EnrollData2324,'2324 Jun 24 Enroll'!J$1,FALSE),'District Calculations'!$D$16+'District Calculations'!$D$25-'District Calculations'!$D$17)*Apport_218A2324s,3)</f>
        <v>20.224</v>
      </c>
      <c r="Z65">
        <f>ROUND(SUM(T65:Y65)/IF(VLOOKUP($A65,EnrollData2324,'2324 Jun 24 Enroll'!M$1,FALSE)+VLOOKUP($A65,EnrollData2324,'2324 Jun 24 Enroll'!D$1,FALSE)='District Calculations'!$D$25+'District Calculations'!$D$11,VLOOKUP($A65,EnrollData2324,'2324 Jun 24 Enroll'!M$1,FALSE)+VLOOKUP($A65,EnrollData2324,'2324 Jun 24 Enroll'!D$1,FALSE),'District Calculations'!$D$25+'District Calculations'!$D$11),5)</f>
        <v>1.7749999999999998E-2</v>
      </c>
      <c r="AA65" s="6" cm="1">
        <f t="array" ref="AA65">ROUND($J65*CIS_Base_Salary2324s*VLOOKUP($A65,EnrollData2324,'2324 Jun 24 Enroll'!S$1,FALSE),2)</f>
        <v>4280.8999999999996</v>
      </c>
      <c r="AB65" s="6" cm="1">
        <f t="array" ref="AB65">ROUND($J65*CIS_Inc_Salary2324s*(VLOOKUP($A65,EnrollData2324,'2324 Jun 24 Enroll'!T$1,FALSE)+VLOOKUP($A65,EnrollData2324,'2324 Jun 24 Enroll'!U$1,FALSE)),2)-AA65</f>
        <v>158.40000000000055</v>
      </c>
      <c r="AC65" s="6" cm="1">
        <f t="array" ref="AC65">ROUND($R65*CAS_Base_Salary2324s*VLOOKUP($A65,EnrollData2324,'2324 Jun 24 Enroll'!S$1,FALSE),2)</f>
        <v>470.32</v>
      </c>
      <c r="AD65" s="6" cm="1">
        <f t="array" ref="AD65">ROUND($R65*CAS_Inc_Salary2324s*VLOOKUP($A65,EnrollData2324,'2324 Jun 24 Enroll'!T$1,FALSE),2)-AC65</f>
        <v>17.400000000000034</v>
      </c>
      <c r="AE65" s="6" cm="1">
        <f t="array" ref="AE65">ROUND($Z65*CLS_Base_Salary2324s*VLOOKUP($A65,EnrollData2324,'2324 Jun 24 Enroll'!S$1,FALSE),2)</f>
        <v>981.63</v>
      </c>
      <c r="AF65" s="6" cm="1">
        <f t="array" ref="AF65">ROUND($Z65*CLS_Inc_Salary2324s*VLOOKUP($A65,EnrollData2324,'2324 Jun 24 Enroll'!T$1,FALSE),2)-AE65</f>
        <v>36.32000000000005</v>
      </c>
      <c r="AG65" cm="1">
        <f t="array" ref="AG65">ROUND(($J65+$R65)*Apport_124X2324s,2)</f>
        <v>734.29</v>
      </c>
      <c r="AH65" s="69">
        <f t="shared" si="8"/>
        <v>68.700000000000045</v>
      </c>
      <c r="AI65" cm="1">
        <f t="array" ref="AI65">ROUND($Z65*Apport_124X2324s,2)</f>
        <v>218.54</v>
      </c>
      <c r="AJ65" cm="1">
        <f t="array" ref="AJ65">ROUND($Z65*Apport_621X2324s*Apport_125X2324s,2)-AI65</f>
        <v>116.51000000000002</v>
      </c>
      <c r="AK65" cm="1">
        <f t="array" ref="AK65">ROUND((AA65+AC65)*Apport_126X2324s,2)</f>
        <v>853.79</v>
      </c>
      <c r="AL65" cm="1">
        <f t="array" ref="AL65">ROUND((AB65+AD65)*Apport_127X2324s,2)</f>
        <v>30.47</v>
      </c>
      <c r="AM65" cm="1">
        <f t="array" ref="AM65">ROUND(AE65*Apport_128X2324s,2)</f>
        <v>216.55</v>
      </c>
      <c r="AN65" cm="1">
        <f t="array" ref="AN65">ROUND(AF65*Apport_129X2324s,2)</f>
        <v>6.74</v>
      </c>
      <c r="AO65" cm="1">
        <f t="array" ref="AO65">ROUND(($J65*CIS_Inc_Salary2324s*(VLOOKUP($A65,EnrollData2324,'2324 Jun 24 Enroll'!T$1,FALSE)+VLOOKUP($A65,EnrollData2324,'2324 Jun 24 Enroll'!U$1,FALSE))/Apport_613Xpd)*Apport_614Xpd,2)</f>
        <v>73.989999999999995</v>
      </c>
      <c r="AP65" cm="1">
        <f t="array" ref="AP65">ROUND(AO65*Apport_127X2324s,2)</f>
        <v>12.82</v>
      </c>
      <c r="AQ65">
        <f t="shared" si="9"/>
        <v>30.93</v>
      </c>
      <c r="AR65" s="6" cm="1">
        <f t="array" ref="AR65">ROUND((VLOOKUP($A65,EnrollData2324,'2324 Jun 24 Enroll'!D$1,FALSE)*Apport_M802324s+VLOOKUP($A65,EnrollData2324,'2324 Jun 24 Enroll'!M$1,FALSE)*Apport_M802324s+(VLOOKUP($A65,EnrollData2324,'2324 Jun 24 Enroll'!P$1,FALSE)+VLOOKUP($A65,EnrollData2324,'2324 Jun 24 Enroll'!Q$1,FALSE)+VLOOKUP($A65,EnrollData2324,'2324 Jun 24 Enroll'!R$1,FALSE)+VLOOKUP($A65,EnrollData2324,'2324 Jun 24 Enroll'!I$1,FALSE)+VLOOKUP($A65,EnrollData2324,'2324 Jun 24 Enroll'!N$1,FALSE)+VLOOKUP($A65,EnrollData2324,'2324 Jun 24 Enroll'!O$1,FALSE)+VLOOKUP($A65,EnrollData2324,'2324 Jun 24 Enroll'!K$1,FALSE)+VLOOKUP($A65,EnrollData2324,'2324 Jun 24 Enroll'!L$1,FALSE))*Apport_M812324s)/(VLOOKUP($A65,EnrollData2324,'2324 Jun 24 Enroll'!M$1,FALSE)+VLOOKUP($A65,EnrollData2324,'2324 Jun 24 Enroll'!D$1,FALSE)),2)</f>
        <v>1576.48</v>
      </c>
      <c r="AS65" s="7">
        <f t="shared" si="11"/>
        <v>9884.7799999999988</v>
      </c>
    </row>
    <row r="66" spans="1:45">
      <c r="A66" s="40" t="s">
        <v>460</v>
      </c>
      <c r="B66" s="40" t="s">
        <v>461</v>
      </c>
      <c r="C66" s="11">
        <f>ROUND((IFERROR((1/IF(VLOOKUP($A66,EnrollData2324,28,FALSE)='District Calculations'!$D$10,VLOOKUP($A66,EnrollData2324,28,FALSE),'District Calculations'!$D$10))*(1+Apport_Z315),0))+Apport_201A2324s,6)</f>
        <v>7.3449E-2</v>
      </c>
      <c r="D66">
        <f>ROUND(IF(VLOOKUP($A66,EnrollData2324,'2324 Jun 24 Enroll'!D$1,FALSE)='District Calculations'!$D$11,VLOOKUP($A66,EnrollData2324,'2324 Jun 24 Enroll'!D$1,FALSE),'District Calculations'!$D$11)*C66,3)</f>
        <v>0</v>
      </c>
      <c r="E66">
        <f>ROUND(IF(VLOOKUP($A66,EnrollData2324,'2324 Jun 24 Enroll'!E$1,FALSE)='District Calculations'!$D$12,VLOOKUP($A66,EnrollData2324,'2324 Jun 24 Enroll'!E$1,FALSE),'District Calculations'!$D$12)*C66,3)</f>
        <v>59.53</v>
      </c>
      <c r="F66">
        <f>ROUND(IF(VLOOKUP($A66,EnrollData2324,'2324 Jun 24 Enroll'!F$1,FALSE)='District Calculations'!$D$13,VLOOKUP($A66,EnrollData2324,'2324 Jun 24 Enroll'!F$1,FALSE),'District Calculations'!$D$13)*Apport_222A2324s,3)</f>
        <v>10.101000000000001</v>
      </c>
      <c r="G66">
        <f>ROUND(IF(VLOOKUP($A66,EnrollData2324,'2324 Jun 24 Enroll'!G$1,FALSE)='District Calculations'!$D$14,VLOOKUP($A66,EnrollData2324,'2324 Jun 24 Enroll'!G$1,FALSE),'District Calculations'!$D$14)*Apport_210A2324s,3)</f>
        <v>22.395</v>
      </c>
      <c r="H66">
        <f>ROUND(IF(VLOOKUP($A66,EnrollData2324,'2324 Jun 24 Enroll'!H$1,FALSE)='District Calculations'!$D$15,VLOOKUP($A66,EnrollData2324,'2324 Jun 24 Enroll'!H$1,FALSE),'District Calculations'!$D$15)*Apport_213A2324s,3)</f>
        <v>23.091999999999999</v>
      </c>
      <c r="I66">
        <f>ROUND(IF(VLOOKUP($A66,EnrollData2324,'2324 Jun 24 Enroll'!I$1,FALSE)+VLOOKUP($A66,EnrollData2324,'2324 Jun 24 Enroll'!M$1,FALSE)-VLOOKUP($A66,EnrollData2324,'2324 Jun 24 Enroll'!J$1,FALSE)='District Calculations'!$D$16+'District Calculations'!$D$25-'District Calculations'!$D$17,VLOOKUP($A66,EnrollData2324,'2324 Jun 24 Enroll'!I$1,FALSE)+VLOOKUP($A66,EnrollData2324,'2324 Jun 24 Enroll'!M$1,FALSE)-VLOOKUP($A66,EnrollData2324,'2324 Jun 24 Enroll'!J$1,FALSE),'District Calculations'!$D$16+'District Calculations'!$D$25-'District Calculations'!$D$17)*Apport_216A2324s,3)</f>
        <v>58.183999999999997</v>
      </c>
      <c r="J66">
        <f>ROUND(SUM(D66:I66)/(IF(VLOOKUP($A66,EnrollData2324,'2324 Jun 24 Enroll'!M$1,FALSE)='District Calculations'!$D$25,VLOOKUP($A66,EnrollData2324,'2324 Jun 24 Enroll'!M$1,FALSE),'District Calculations'!$D$25)+IF(VLOOKUP($A66,EnrollData2324,'2324 Jun 24 Enroll'!D$1,FALSE)='District Calculations'!$D$11,VLOOKUP($A66,EnrollData2324,'2324 Jun 24 Enroll'!D$1,FALSE),'District Calculations'!$D$11)),5)</f>
        <v>5.5530000000000003E-2</v>
      </c>
      <c r="K66" s="11">
        <f t="shared" si="6"/>
        <v>4.3699999999999998E-3</v>
      </c>
      <c r="L66">
        <f>ROUND(IF(VLOOKUP($A66,EnrollData2324,'2324 Jun 24 Enroll'!D$1,FALSE)='District Calculations'!$D$11,VLOOKUP($A66,EnrollData2324,'2324 Jun 24 Enroll'!D$1,FALSE),'District Calculations'!$D$11)*K66,3)</f>
        <v>0</v>
      </c>
      <c r="M66">
        <f>ROUND(IF(VLOOKUP($A66,EnrollData2324,'2324 Jun 24 Enroll'!E$1,FALSE)='District Calculations'!$D$12,VLOOKUP($A66,EnrollData2324,'2324 Jun 24 Enroll'!E$1,FALSE),'District Calculations'!$D$12)*K66,3)</f>
        <v>3.5419999999999998</v>
      </c>
      <c r="N66">
        <f>ROUND(IF(VLOOKUP($A66,EnrollData2324,'2324 Jun 24 Enroll'!F$1,FALSE)='District Calculations'!$D$13,VLOOKUP($A66,EnrollData2324,'2324 Jun 24 Enroll'!F$1,FALSE),'District Calculations'!$D$13)*Apport_223A2324s,3)</f>
        <v>0.84299999999999997</v>
      </c>
      <c r="O66">
        <f>ROUND(IF(VLOOKUP($A66,EnrollData2324,'2324 Jun 24 Enroll'!G$1,FALSE)='District Calculations'!$D$14,VLOOKUP($A66,EnrollData2324,'2324 Jun 24 Enroll'!G$1,FALSE),'District Calculations'!$D$14)*Apport_211A2324s,3)</f>
        <v>1.87</v>
      </c>
      <c r="P66">
        <f>ROUND(IF(VLOOKUP($A66,EnrollData2324,'2324 Jun 24 Enroll'!H$1,FALSE)='District Calculations'!$D$14,VLOOKUP($A66,EnrollData2324,'2324 Jun 24 Enroll'!H$1,FALSE),'District Calculations'!$D$14)*Apport_214A2324s,3)</f>
        <v>1.8680000000000001</v>
      </c>
      <c r="Q66">
        <f>ROUND(IF(VLOOKUP($A66,EnrollData2324,'2324 Jun 24 Enroll'!I$1,FALSE)+VLOOKUP($A66,EnrollData2324,'2324 Jun 24 Enroll'!M$1,FALSE)-VLOOKUP($A66,EnrollData2324,'2324 Jun 24 Enroll'!J$1,FALSE)='District Calculations'!$D$16+'District Calculations'!$D$25-'District Calculations'!$D$17,VLOOKUP($A66,EnrollData2324,'2324 Jun 24 Enroll'!I$1,FALSE)+VLOOKUP($A66,EnrollData2324,'2324 Jun 24 Enroll'!M$1,FALSE)-VLOOKUP($A66,EnrollData2324,'2324 Jun 24 Enroll'!J$1,FALSE),'District Calculations'!$D$16+'District Calculations'!$D$25-'District Calculations'!$D$17)*Apport_217A2324s,3)</f>
        <v>4.702</v>
      </c>
      <c r="R66">
        <f>ROUND(SUM(L66:Q66)/IF(VLOOKUP($A66,EnrollData2324,'2324 Jun 24 Enroll'!M$1,FALSE)+VLOOKUP($A66,EnrollData2324,'2324 Jun 24 Enroll'!D$1,FALSE)='District Calculations'!$D$25+'District Calculations'!$D$11,VLOOKUP($A66,EnrollData2324,'2324 Jun 24 Enroll'!M$1,FALSE)+VLOOKUP($A66,EnrollData2324,'2324 Jun 24 Enroll'!D$1,FALSE),'District Calculations'!$D$25+'District Calculations'!$D$11),5)</f>
        <v>4.1099999999999999E-3</v>
      </c>
      <c r="S66" s="11">
        <f t="shared" si="7"/>
        <v>1.8689600000000001E-2</v>
      </c>
      <c r="T66">
        <f>ROUND(IF(VLOOKUP($A66,EnrollData2324,'2324 Jun 24 Enroll'!D$1,FALSE)='District Calculations'!$D$11,VLOOKUP($A66,EnrollData2324,'2324 Jun 24 Enroll'!D$1,FALSE),'District Calculations'!$D$11)*S66,3)</f>
        <v>0</v>
      </c>
      <c r="U66">
        <f>ROUND(IF(VLOOKUP($A66,EnrollData2324,'2324 Jun 24 Enroll'!E$1,FALSE)='District Calculations'!$D$12,VLOOKUP($A66,EnrollData2324,'2324 Jun 24 Enroll'!E$1,FALSE),'District Calculations'!$D$12)*S66,3)</f>
        <v>15.148</v>
      </c>
      <c r="V66">
        <f>ROUND(IF(VLOOKUP($A66,EnrollData2324,'2324 Jun 24 Enroll'!F$1,FALSE)='District Calculations'!$D$13,VLOOKUP($A66,EnrollData2324,'2324 Jun 24 Enroll'!F$1,FALSE),'District Calculations'!$D$13)*Apport_224A2324s,3)</f>
        <v>3.7029999999999998</v>
      </c>
      <c r="W66">
        <f>ROUND(IF(VLOOKUP($A66,EnrollData2324,'2324 Jun 24 Enroll'!G$1,FALSE)='District Calculations'!$D$14,VLOOKUP($A66,EnrollData2324,'2324 Jun 24 Enroll'!G$1,FALSE),'District Calculations'!$D$14)*Apport_212A2324s,3)</f>
        <v>8.2089999999999996</v>
      </c>
      <c r="X66">
        <f>ROUND(IF(VLOOKUP($A66,EnrollData2324,'2324 Jun 24 Enroll'!H$1,FALSE)='District Calculations'!$D$14,VLOOKUP($A66,EnrollData2324,'2324 Jun 24 Enroll'!H$1,FALSE),'District Calculations'!$D$14)*Apport_215A2324s,3)</f>
        <v>8.0969999999999995</v>
      </c>
      <c r="Y66">
        <f>ROUND(IF(VLOOKUP($A66,EnrollData2324,'2324 Jun 24 Enroll'!I$1,FALSE)+VLOOKUP($A66,EnrollData2324,'2324 Jun 24 Enroll'!M$1,FALSE)-VLOOKUP($A66,EnrollData2324,'2324 Jun 24 Enroll'!J$1,FALSE)='District Calculations'!$D$16+'District Calculations'!$D$25-'District Calculations'!$D$17,VLOOKUP($A66,EnrollData2324,'2324 Jun 24 Enroll'!I$1,FALSE)+VLOOKUP($A66,EnrollData2324,'2324 Jun 24 Enroll'!M$1,FALSE)-VLOOKUP($A66,EnrollData2324,'2324 Jun 24 Enroll'!J$1,FALSE),'District Calculations'!$D$16+'District Calculations'!$D$25-'District Calculations'!$D$17)*Apport_218A2324s,3)</f>
        <v>20.224</v>
      </c>
      <c r="Z66">
        <f>ROUND(SUM(T66:Y66)/IF(VLOOKUP($A66,EnrollData2324,'2324 Jun 24 Enroll'!M$1,FALSE)+VLOOKUP($A66,EnrollData2324,'2324 Jun 24 Enroll'!D$1,FALSE)='District Calculations'!$D$25+'District Calculations'!$D$11,VLOOKUP($A66,EnrollData2324,'2324 Jun 24 Enroll'!M$1,FALSE)+VLOOKUP($A66,EnrollData2324,'2324 Jun 24 Enroll'!D$1,FALSE),'District Calculations'!$D$25+'District Calculations'!$D$11),5)</f>
        <v>1.7749999999999998E-2</v>
      </c>
      <c r="AA66" s="6" cm="1">
        <f t="array" ref="AA66">ROUND($J66*CIS_Base_Salary2324s*VLOOKUP($A66,EnrollData2324,'2324 Jun 24 Enroll'!S$1,FALSE),2)</f>
        <v>4280.8999999999996</v>
      </c>
      <c r="AB66" s="6" cm="1">
        <f t="array" ref="AB66">ROUND($J66*CIS_Inc_Salary2324s*(VLOOKUP($A66,EnrollData2324,'2324 Jun 24 Enroll'!T$1,FALSE)+VLOOKUP($A66,EnrollData2324,'2324 Jun 24 Enroll'!U$1,FALSE)),2)-AA66</f>
        <v>325.92000000000007</v>
      </c>
      <c r="AC66" s="6" cm="1">
        <f t="array" ref="AC66">ROUND($R66*CAS_Base_Salary2324s*VLOOKUP($A66,EnrollData2324,'2324 Jun 24 Enroll'!S$1,FALSE),2)</f>
        <v>470.32</v>
      </c>
      <c r="AD66" s="6" cm="1">
        <f t="array" ref="AD66">ROUND($R66*CAS_Inc_Salary2324s*VLOOKUP($A66,EnrollData2324,'2324 Jun 24 Enroll'!T$1,FALSE),2)-AC66</f>
        <v>17.400000000000034</v>
      </c>
      <c r="AE66" s="6" cm="1">
        <f t="array" ref="AE66">ROUND($Z66*CLS_Base_Salary2324s*VLOOKUP($A66,EnrollData2324,'2324 Jun 24 Enroll'!S$1,FALSE),2)</f>
        <v>981.63</v>
      </c>
      <c r="AF66" s="6" cm="1">
        <f t="array" ref="AF66">ROUND($Z66*CLS_Inc_Salary2324s*VLOOKUP($A66,EnrollData2324,'2324 Jun 24 Enroll'!T$1,FALSE),2)-AE66</f>
        <v>36.32000000000005</v>
      </c>
      <c r="AG66" cm="1">
        <f t="array" ref="AG66">ROUND(($J66+$R66)*Apport_124X2324s,2)</f>
        <v>734.29</v>
      </c>
      <c r="AH66" s="69">
        <f t="shared" si="8"/>
        <v>68.700000000000045</v>
      </c>
      <c r="AI66" cm="1">
        <f t="array" ref="AI66">ROUND($Z66*Apport_124X2324s,2)</f>
        <v>218.54</v>
      </c>
      <c r="AJ66" cm="1">
        <f t="array" ref="AJ66">ROUND($Z66*Apport_621X2324s*Apport_125X2324s,2)-AI66</f>
        <v>116.51000000000002</v>
      </c>
      <c r="AK66" cm="1">
        <f t="array" ref="AK66">ROUND((AA66+AC66)*Apport_126X2324s,2)</f>
        <v>853.79</v>
      </c>
      <c r="AL66" cm="1">
        <f t="array" ref="AL66">ROUND((AB66+AD66)*Apport_127X2324s,2)</f>
        <v>59.5</v>
      </c>
      <c r="AM66" cm="1">
        <f t="array" ref="AM66">ROUND(AE66*Apport_128X2324s,2)</f>
        <v>216.55</v>
      </c>
      <c r="AN66" cm="1">
        <f t="array" ref="AN66">ROUND(AF66*Apport_129X2324s,2)</f>
        <v>6.74</v>
      </c>
      <c r="AO66" cm="1">
        <f t="array" ref="AO66">ROUND(($J66*CIS_Inc_Salary2324s*(VLOOKUP($A66,EnrollData2324,'2324 Jun 24 Enroll'!T$1,FALSE)+VLOOKUP($A66,EnrollData2324,'2324 Jun 24 Enroll'!U$1,FALSE))/Apport_613Xpd)*Apport_614Xpd,2)</f>
        <v>76.78</v>
      </c>
      <c r="AP66" cm="1">
        <f t="array" ref="AP66">ROUND(AO66*Apport_127X2324s,2)</f>
        <v>13.31</v>
      </c>
      <c r="AQ66">
        <f t="shared" si="9"/>
        <v>30.93</v>
      </c>
      <c r="AR66" s="6" cm="1">
        <f t="array" ref="AR66">ROUND((VLOOKUP($A66,EnrollData2324,'2324 Jun 24 Enroll'!D$1,FALSE)*Apport_M802324s+VLOOKUP($A66,EnrollData2324,'2324 Jun 24 Enroll'!M$1,FALSE)*Apport_M802324s+(VLOOKUP($A66,EnrollData2324,'2324 Jun 24 Enroll'!P$1,FALSE)+VLOOKUP($A66,EnrollData2324,'2324 Jun 24 Enroll'!Q$1,FALSE)+VLOOKUP($A66,EnrollData2324,'2324 Jun 24 Enroll'!R$1,FALSE)+VLOOKUP($A66,EnrollData2324,'2324 Jun 24 Enroll'!I$1,FALSE)+VLOOKUP($A66,EnrollData2324,'2324 Jun 24 Enroll'!N$1,FALSE)+VLOOKUP($A66,EnrollData2324,'2324 Jun 24 Enroll'!O$1,FALSE)+VLOOKUP($A66,EnrollData2324,'2324 Jun 24 Enroll'!K$1,FALSE)+VLOOKUP($A66,EnrollData2324,'2324 Jun 24 Enroll'!L$1,FALSE))*Apport_M812324s)/(VLOOKUP($A66,EnrollData2324,'2324 Jun 24 Enroll'!M$1,FALSE)+VLOOKUP($A66,EnrollData2324,'2324 Jun 24 Enroll'!D$1,FALSE)),2)</f>
        <v>1579.36</v>
      </c>
      <c r="AS66" s="7">
        <f t="shared" si="11"/>
        <v>10087.49</v>
      </c>
    </row>
    <row r="67" spans="1:45">
      <c r="A67" s="40" t="s">
        <v>357</v>
      </c>
      <c r="B67" s="40" t="s">
        <v>358</v>
      </c>
      <c r="C67" s="11">
        <f>ROUND((IFERROR((1/IF(VLOOKUP($A67,EnrollData2324,28,FALSE)='District Calculations'!$D$10,VLOOKUP($A67,EnrollData2324,28,FALSE),'District Calculations'!$D$10))*(1+Apport_Z315),0))+Apport_201A2324s,6)</f>
        <v>7.3449E-2</v>
      </c>
      <c r="D67">
        <f>ROUND(IF(VLOOKUP($A67,EnrollData2324,'2324 Jun 24 Enroll'!D$1,FALSE)='District Calculations'!$D$11,VLOOKUP($A67,EnrollData2324,'2324 Jun 24 Enroll'!D$1,FALSE),'District Calculations'!$D$11)*C67,3)</f>
        <v>0</v>
      </c>
      <c r="E67">
        <f>ROUND(IF(VLOOKUP($A67,EnrollData2324,'2324 Jun 24 Enroll'!E$1,FALSE)='District Calculations'!$D$12,VLOOKUP($A67,EnrollData2324,'2324 Jun 24 Enroll'!E$1,FALSE),'District Calculations'!$D$12)*C67,3)</f>
        <v>59.53</v>
      </c>
      <c r="F67">
        <f>ROUND(IF(VLOOKUP($A67,EnrollData2324,'2324 Jun 24 Enroll'!F$1,FALSE)='District Calculations'!$D$13,VLOOKUP($A67,EnrollData2324,'2324 Jun 24 Enroll'!F$1,FALSE),'District Calculations'!$D$13)*Apport_222A2324s,3)</f>
        <v>10.101000000000001</v>
      </c>
      <c r="G67">
        <f>ROUND(IF(VLOOKUP($A67,EnrollData2324,'2324 Jun 24 Enroll'!G$1,FALSE)='District Calculations'!$D$14,VLOOKUP($A67,EnrollData2324,'2324 Jun 24 Enroll'!G$1,FALSE),'District Calculations'!$D$14)*Apport_210A2324s,3)</f>
        <v>22.395</v>
      </c>
      <c r="H67">
        <f>ROUND(IF(VLOOKUP($A67,EnrollData2324,'2324 Jun 24 Enroll'!H$1,FALSE)='District Calculations'!$D$15,VLOOKUP($A67,EnrollData2324,'2324 Jun 24 Enroll'!H$1,FALSE),'District Calculations'!$D$15)*Apport_213A2324s,3)</f>
        <v>23.091999999999999</v>
      </c>
      <c r="I67">
        <f>ROUND(IF(VLOOKUP($A67,EnrollData2324,'2324 Jun 24 Enroll'!I$1,FALSE)+VLOOKUP($A67,EnrollData2324,'2324 Jun 24 Enroll'!M$1,FALSE)-VLOOKUP($A67,EnrollData2324,'2324 Jun 24 Enroll'!J$1,FALSE)='District Calculations'!$D$16+'District Calculations'!$D$25-'District Calculations'!$D$17,VLOOKUP($A67,EnrollData2324,'2324 Jun 24 Enroll'!I$1,FALSE)+VLOOKUP($A67,EnrollData2324,'2324 Jun 24 Enroll'!M$1,FALSE)-VLOOKUP($A67,EnrollData2324,'2324 Jun 24 Enroll'!J$1,FALSE),'District Calculations'!$D$16+'District Calculations'!$D$25-'District Calculations'!$D$17)*Apport_216A2324s,3)</f>
        <v>58.183999999999997</v>
      </c>
      <c r="J67">
        <f>ROUND(SUM(D67:I67)/(IF(VLOOKUP($A67,EnrollData2324,'2324 Jun 24 Enroll'!M$1,FALSE)='District Calculations'!$D$25,VLOOKUP($A67,EnrollData2324,'2324 Jun 24 Enroll'!M$1,FALSE),'District Calculations'!$D$25)+IF(VLOOKUP($A67,EnrollData2324,'2324 Jun 24 Enroll'!D$1,FALSE)='District Calculations'!$D$11,VLOOKUP($A67,EnrollData2324,'2324 Jun 24 Enroll'!D$1,FALSE),'District Calculations'!$D$11)),5)</f>
        <v>5.5530000000000003E-2</v>
      </c>
      <c r="K67" s="11">
        <f t="shared" si="6"/>
        <v>4.3699999999999998E-3</v>
      </c>
      <c r="L67">
        <f>ROUND(IF(VLOOKUP($A67,EnrollData2324,'2324 Jun 24 Enroll'!D$1,FALSE)='District Calculations'!$D$11,VLOOKUP($A67,EnrollData2324,'2324 Jun 24 Enroll'!D$1,FALSE),'District Calculations'!$D$11)*K67,3)</f>
        <v>0</v>
      </c>
      <c r="M67">
        <f>ROUND(IF(VLOOKUP($A67,EnrollData2324,'2324 Jun 24 Enroll'!E$1,FALSE)='District Calculations'!$D$12,VLOOKUP($A67,EnrollData2324,'2324 Jun 24 Enroll'!E$1,FALSE),'District Calculations'!$D$12)*K67,3)</f>
        <v>3.5419999999999998</v>
      </c>
      <c r="N67">
        <f>ROUND(IF(VLOOKUP($A67,EnrollData2324,'2324 Jun 24 Enroll'!F$1,FALSE)='District Calculations'!$D$13,VLOOKUP($A67,EnrollData2324,'2324 Jun 24 Enroll'!F$1,FALSE),'District Calculations'!$D$13)*Apport_223A2324s,3)</f>
        <v>0.84299999999999997</v>
      </c>
      <c r="O67">
        <f>ROUND(IF(VLOOKUP($A67,EnrollData2324,'2324 Jun 24 Enroll'!G$1,FALSE)='District Calculations'!$D$14,VLOOKUP($A67,EnrollData2324,'2324 Jun 24 Enroll'!G$1,FALSE),'District Calculations'!$D$14)*Apport_211A2324s,3)</f>
        <v>1.87</v>
      </c>
      <c r="P67">
        <f>ROUND(IF(VLOOKUP($A67,EnrollData2324,'2324 Jun 24 Enroll'!H$1,FALSE)='District Calculations'!$D$14,VLOOKUP($A67,EnrollData2324,'2324 Jun 24 Enroll'!H$1,FALSE),'District Calculations'!$D$14)*Apport_214A2324s,3)</f>
        <v>1.8680000000000001</v>
      </c>
      <c r="Q67">
        <f>ROUND(IF(VLOOKUP($A67,EnrollData2324,'2324 Jun 24 Enroll'!I$1,FALSE)+VLOOKUP($A67,EnrollData2324,'2324 Jun 24 Enroll'!M$1,FALSE)-VLOOKUP($A67,EnrollData2324,'2324 Jun 24 Enroll'!J$1,FALSE)='District Calculations'!$D$16+'District Calculations'!$D$25-'District Calculations'!$D$17,VLOOKUP($A67,EnrollData2324,'2324 Jun 24 Enroll'!I$1,FALSE)+VLOOKUP($A67,EnrollData2324,'2324 Jun 24 Enroll'!M$1,FALSE)-VLOOKUP($A67,EnrollData2324,'2324 Jun 24 Enroll'!J$1,FALSE),'District Calculations'!$D$16+'District Calculations'!$D$25-'District Calculations'!$D$17)*Apport_217A2324s,3)</f>
        <v>4.702</v>
      </c>
      <c r="R67">
        <f>ROUND(SUM(L67:Q67)/IF(VLOOKUP($A67,EnrollData2324,'2324 Jun 24 Enroll'!M$1,FALSE)+VLOOKUP($A67,EnrollData2324,'2324 Jun 24 Enroll'!D$1,FALSE)='District Calculations'!$D$25+'District Calculations'!$D$11,VLOOKUP($A67,EnrollData2324,'2324 Jun 24 Enroll'!M$1,FALSE)+VLOOKUP($A67,EnrollData2324,'2324 Jun 24 Enroll'!D$1,FALSE),'District Calculations'!$D$25+'District Calculations'!$D$11),5)</f>
        <v>4.1099999999999999E-3</v>
      </c>
      <c r="S67" s="11">
        <f t="shared" si="7"/>
        <v>1.8689600000000001E-2</v>
      </c>
      <c r="T67">
        <f>ROUND(IF(VLOOKUP($A67,EnrollData2324,'2324 Jun 24 Enroll'!D$1,FALSE)='District Calculations'!$D$11,VLOOKUP($A67,EnrollData2324,'2324 Jun 24 Enroll'!D$1,FALSE),'District Calculations'!$D$11)*S67,3)</f>
        <v>0</v>
      </c>
      <c r="U67">
        <f>ROUND(IF(VLOOKUP($A67,EnrollData2324,'2324 Jun 24 Enroll'!E$1,FALSE)='District Calculations'!$D$12,VLOOKUP($A67,EnrollData2324,'2324 Jun 24 Enroll'!E$1,FALSE),'District Calculations'!$D$12)*S67,3)</f>
        <v>15.148</v>
      </c>
      <c r="V67">
        <f>ROUND(IF(VLOOKUP($A67,EnrollData2324,'2324 Jun 24 Enroll'!F$1,FALSE)='District Calculations'!$D$13,VLOOKUP($A67,EnrollData2324,'2324 Jun 24 Enroll'!F$1,FALSE),'District Calculations'!$D$13)*Apport_224A2324s,3)</f>
        <v>3.7029999999999998</v>
      </c>
      <c r="W67">
        <f>ROUND(IF(VLOOKUP($A67,EnrollData2324,'2324 Jun 24 Enroll'!G$1,FALSE)='District Calculations'!$D$14,VLOOKUP($A67,EnrollData2324,'2324 Jun 24 Enroll'!G$1,FALSE),'District Calculations'!$D$14)*Apport_212A2324s,3)</f>
        <v>8.2089999999999996</v>
      </c>
      <c r="X67">
        <f>ROUND(IF(VLOOKUP($A67,EnrollData2324,'2324 Jun 24 Enroll'!H$1,FALSE)='District Calculations'!$D$14,VLOOKUP($A67,EnrollData2324,'2324 Jun 24 Enroll'!H$1,FALSE),'District Calculations'!$D$14)*Apport_215A2324s,3)</f>
        <v>8.0969999999999995</v>
      </c>
      <c r="Y67">
        <f>ROUND(IF(VLOOKUP($A67,EnrollData2324,'2324 Jun 24 Enroll'!I$1,FALSE)+VLOOKUP($A67,EnrollData2324,'2324 Jun 24 Enroll'!M$1,FALSE)-VLOOKUP($A67,EnrollData2324,'2324 Jun 24 Enroll'!J$1,FALSE)='District Calculations'!$D$16+'District Calculations'!$D$25-'District Calculations'!$D$17,VLOOKUP($A67,EnrollData2324,'2324 Jun 24 Enroll'!I$1,FALSE)+VLOOKUP($A67,EnrollData2324,'2324 Jun 24 Enroll'!M$1,FALSE)-VLOOKUP($A67,EnrollData2324,'2324 Jun 24 Enroll'!J$1,FALSE),'District Calculations'!$D$16+'District Calculations'!$D$25-'District Calculations'!$D$17)*Apport_218A2324s,3)</f>
        <v>20.224</v>
      </c>
      <c r="Z67">
        <f>ROUND(SUM(T67:Y67)/IF(VLOOKUP($A67,EnrollData2324,'2324 Jun 24 Enroll'!M$1,FALSE)+VLOOKUP($A67,EnrollData2324,'2324 Jun 24 Enroll'!D$1,FALSE)='District Calculations'!$D$25+'District Calculations'!$D$11,VLOOKUP($A67,EnrollData2324,'2324 Jun 24 Enroll'!M$1,FALSE)+VLOOKUP($A67,EnrollData2324,'2324 Jun 24 Enroll'!D$1,FALSE),'District Calculations'!$D$25+'District Calculations'!$D$11),5)</f>
        <v>1.7749999999999998E-2</v>
      </c>
      <c r="AA67" s="6" cm="1">
        <f t="array" ref="AA67">ROUND($J67*CIS_Base_Salary2324s*VLOOKUP($A67,EnrollData2324,'2324 Jun 24 Enroll'!S$1,FALSE),2)</f>
        <v>4341.4799999999996</v>
      </c>
      <c r="AB67" s="6" cm="1">
        <f t="array" ref="AB67">ROUND($J67*CIS_Inc_Salary2324s*(VLOOKUP($A67,EnrollData2324,'2324 Jun 24 Enroll'!T$1,FALSE)+VLOOKUP($A67,EnrollData2324,'2324 Jun 24 Enroll'!U$1,FALSE)),2)-AA67</f>
        <v>265.34000000000015</v>
      </c>
      <c r="AC67" s="6" cm="1">
        <f t="array" ref="AC67">ROUND($R67*CAS_Base_Salary2324s*VLOOKUP($A67,EnrollData2324,'2324 Jun 24 Enroll'!S$1,FALSE),2)</f>
        <v>476.97</v>
      </c>
      <c r="AD67" s="6" cm="1">
        <f t="array" ref="AD67">ROUND($R67*CAS_Inc_Salary2324s*VLOOKUP($A67,EnrollData2324,'2324 Jun 24 Enroll'!T$1,FALSE),2)-AC67</f>
        <v>17.649999999999977</v>
      </c>
      <c r="AE67" s="6" cm="1">
        <f t="array" ref="AE67">ROUND($Z67*CLS_Base_Salary2324s*VLOOKUP($A67,EnrollData2324,'2324 Jun 24 Enroll'!S$1,FALSE),2)</f>
        <v>995.53</v>
      </c>
      <c r="AF67" s="6" cm="1">
        <f t="array" ref="AF67">ROUND($Z67*CLS_Inc_Salary2324s*VLOOKUP($A67,EnrollData2324,'2324 Jun 24 Enroll'!T$1,FALSE),2)-AE67</f>
        <v>36.819999999999936</v>
      </c>
      <c r="AG67" cm="1">
        <f t="array" ref="AG67">ROUND(($J67+$R67)*Apport_124X2324s,2)</f>
        <v>734.29</v>
      </c>
      <c r="AH67" s="69">
        <f t="shared" si="8"/>
        <v>68.700000000000045</v>
      </c>
      <c r="AI67" cm="1">
        <f t="array" ref="AI67">ROUND($Z67*Apport_124X2324s,2)</f>
        <v>218.54</v>
      </c>
      <c r="AJ67" cm="1">
        <f t="array" ref="AJ67">ROUND($Z67*Apport_621X2324s*Apport_125X2324s,2)-AI67</f>
        <v>116.51000000000002</v>
      </c>
      <c r="AK67" cm="1">
        <f t="array" ref="AK67">ROUND((AA67+AC67)*Apport_126X2324s,2)</f>
        <v>865.88</v>
      </c>
      <c r="AL67" cm="1">
        <f t="array" ref="AL67">ROUND((AB67+AD67)*Apport_127X2324s,2)</f>
        <v>49.04</v>
      </c>
      <c r="AM67" cm="1">
        <f t="array" ref="AM67">ROUND(AE67*Apport_128X2324s,2)</f>
        <v>219.61</v>
      </c>
      <c r="AN67" cm="1">
        <f t="array" ref="AN67">ROUND(AF67*Apport_129X2324s,2)</f>
        <v>6.83</v>
      </c>
      <c r="AO67" cm="1">
        <f t="array" ref="AO67">ROUND(($J67*CIS_Inc_Salary2324s*(VLOOKUP($A67,EnrollData2324,'2324 Jun 24 Enroll'!T$1,FALSE)+VLOOKUP($A67,EnrollData2324,'2324 Jun 24 Enroll'!U$1,FALSE))/Apport_613Xpd)*Apport_614Xpd,2)</f>
        <v>76.78</v>
      </c>
      <c r="AP67" cm="1">
        <f t="array" ref="AP67">ROUND(AO67*Apport_127X2324s,2)</f>
        <v>13.31</v>
      </c>
      <c r="AQ67">
        <f t="shared" si="9"/>
        <v>30.93</v>
      </c>
      <c r="AR67" s="6" cm="1">
        <f t="array" ref="AR67">ROUND((VLOOKUP($A67,EnrollData2324,'2324 Jun 24 Enroll'!D$1,FALSE)*Apport_M802324s+VLOOKUP($A67,EnrollData2324,'2324 Jun 24 Enroll'!M$1,FALSE)*Apport_M802324s+(VLOOKUP($A67,EnrollData2324,'2324 Jun 24 Enroll'!P$1,FALSE)+VLOOKUP($A67,EnrollData2324,'2324 Jun 24 Enroll'!Q$1,FALSE)+VLOOKUP($A67,EnrollData2324,'2324 Jun 24 Enroll'!R$1,FALSE)+VLOOKUP($A67,EnrollData2324,'2324 Jun 24 Enroll'!I$1,FALSE)+VLOOKUP($A67,EnrollData2324,'2324 Jun 24 Enroll'!N$1,FALSE)+VLOOKUP($A67,EnrollData2324,'2324 Jun 24 Enroll'!O$1,FALSE)+VLOOKUP($A67,EnrollData2324,'2324 Jun 24 Enroll'!K$1,FALSE)+VLOOKUP($A67,EnrollData2324,'2324 Jun 24 Enroll'!L$1,FALSE))*Apport_M812324s)/(VLOOKUP($A67,EnrollData2324,'2324 Jun 24 Enroll'!M$1,FALSE)+VLOOKUP($A67,EnrollData2324,'2324 Jun 24 Enroll'!D$1,FALSE)),2)</f>
        <v>1576.48</v>
      </c>
      <c r="AS67" s="7">
        <f t="shared" si="11"/>
        <v>10110.689999999999</v>
      </c>
    </row>
    <row r="68" spans="1:45">
      <c r="A68" s="40" t="s">
        <v>331</v>
      </c>
      <c r="B68" s="40" t="s">
        <v>332</v>
      </c>
      <c r="C68" s="11">
        <f>ROUND((IFERROR((1/IF(VLOOKUP($A68,EnrollData2324,28,FALSE)='District Calculations'!$D$10,VLOOKUP($A68,EnrollData2324,28,FALSE),'District Calculations'!$D$10))*(1+Apport_Z315),0))+Apport_201A2324s,6)</f>
        <v>7.3449E-2</v>
      </c>
      <c r="D68">
        <f>ROUND(IF(VLOOKUP($A68,EnrollData2324,'2324 Jun 24 Enroll'!D$1,FALSE)='District Calculations'!$D$11,VLOOKUP($A68,EnrollData2324,'2324 Jun 24 Enroll'!D$1,FALSE),'District Calculations'!$D$11)*C68,3)</f>
        <v>0</v>
      </c>
      <c r="E68">
        <f>ROUND(IF(VLOOKUP($A68,EnrollData2324,'2324 Jun 24 Enroll'!E$1,FALSE)='District Calculations'!$D$12,VLOOKUP($A68,EnrollData2324,'2324 Jun 24 Enroll'!E$1,FALSE),'District Calculations'!$D$12)*C68,3)</f>
        <v>59.53</v>
      </c>
      <c r="F68">
        <f>ROUND(IF(VLOOKUP($A68,EnrollData2324,'2324 Jun 24 Enroll'!F$1,FALSE)='District Calculations'!$D$13,VLOOKUP($A68,EnrollData2324,'2324 Jun 24 Enroll'!F$1,FALSE),'District Calculations'!$D$13)*Apport_222A2324s,3)</f>
        <v>10.101000000000001</v>
      </c>
      <c r="G68">
        <f>ROUND(IF(VLOOKUP($A68,EnrollData2324,'2324 Jun 24 Enroll'!G$1,FALSE)='District Calculations'!$D$14,VLOOKUP($A68,EnrollData2324,'2324 Jun 24 Enroll'!G$1,FALSE),'District Calculations'!$D$14)*Apport_210A2324s,3)</f>
        <v>22.395</v>
      </c>
      <c r="H68">
        <f>ROUND(IF(VLOOKUP($A68,EnrollData2324,'2324 Jun 24 Enroll'!H$1,FALSE)='District Calculations'!$D$15,VLOOKUP($A68,EnrollData2324,'2324 Jun 24 Enroll'!H$1,FALSE),'District Calculations'!$D$15)*Apport_213A2324s,3)</f>
        <v>23.091999999999999</v>
      </c>
      <c r="I68">
        <f>ROUND(IF(VLOOKUP($A68,EnrollData2324,'2324 Jun 24 Enroll'!I$1,FALSE)+VLOOKUP($A68,EnrollData2324,'2324 Jun 24 Enroll'!M$1,FALSE)-VLOOKUP($A68,EnrollData2324,'2324 Jun 24 Enroll'!J$1,FALSE)='District Calculations'!$D$16+'District Calculations'!$D$25-'District Calculations'!$D$17,VLOOKUP($A68,EnrollData2324,'2324 Jun 24 Enroll'!I$1,FALSE)+VLOOKUP($A68,EnrollData2324,'2324 Jun 24 Enroll'!M$1,FALSE)-VLOOKUP($A68,EnrollData2324,'2324 Jun 24 Enroll'!J$1,FALSE),'District Calculations'!$D$16+'District Calculations'!$D$25-'District Calculations'!$D$17)*Apport_216A2324s,3)</f>
        <v>58.183999999999997</v>
      </c>
      <c r="J68">
        <f>ROUND(SUM(D68:I68)/(IF(VLOOKUP($A68,EnrollData2324,'2324 Jun 24 Enroll'!M$1,FALSE)='District Calculations'!$D$25,VLOOKUP($A68,EnrollData2324,'2324 Jun 24 Enroll'!M$1,FALSE),'District Calculations'!$D$25)+IF(VLOOKUP($A68,EnrollData2324,'2324 Jun 24 Enroll'!D$1,FALSE)='District Calculations'!$D$11,VLOOKUP($A68,EnrollData2324,'2324 Jun 24 Enroll'!D$1,FALSE),'District Calculations'!$D$11)),5)</f>
        <v>5.5530000000000003E-2</v>
      </c>
      <c r="K68" s="11">
        <f t="shared" si="6"/>
        <v>4.3699999999999998E-3</v>
      </c>
      <c r="L68">
        <f>ROUND(IF(VLOOKUP($A68,EnrollData2324,'2324 Jun 24 Enroll'!D$1,FALSE)='District Calculations'!$D$11,VLOOKUP($A68,EnrollData2324,'2324 Jun 24 Enroll'!D$1,FALSE),'District Calculations'!$D$11)*K68,3)</f>
        <v>0</v>
      </c>
      <c r="M68">
        <f>ROUND(IF(VLOOKUP($A68,EnrollData2324,'2324 Jun 24 Enroll'!E$1,FALSE)='District Calculations'!$D$12,VLOOKUP($A68,EnrollData2324,'2324 Jun 24 Enroll'!E$1,FALSE),'District Calculations'!$D$12)*K68,3)</f>
        <v>3.5419999999999998</v>
      </c>
      <c r="N68">
        <f>ROUND(IF(VLOOKUP($A68,EnrollData2324,'2324 Jun 24 Enroll'!F$1,FALSE)='District Calculations'!$D$13,VLOOKUP($A68,EnrollData2324,'2324 Jun 24 Enroll'!F$1,FALSE),'District Calculations'!$D$13)*Apport_223A2324s,3)</f>
        <v>0.84299999999999997</v>
      </c>
      <c r="O68">
        <f>ROUND(IF(VLOOKUP($A68,EnrollData2324,'2324 Jun 24 Enroll'!G$1,FALSE)='District Calculations'!$D$14,VLOOKUP($A68,EnrollData2324,'2324 Jun 24 Enroll'!G$1,FALSE),'District Calculations'!$D$14)*Apport_211A2324s,3)</f>
        <v>1.87</v>
      </c>
      <c r="P68">
        <f>ROUND(IF(VLOOKUP($A68,EnrollData2324,'2324 Jun 24 Enroll'!H$1,FALSE)='District Calculations'!$D$14,VLOOKUP($A68,EnrollData2324,'2324 Jun 24 Enroll'!H$1,FALSE),'District Calculations'!$D$14)*Apport_214A2324s,3)</f>
        <v>1.8680000000000001</v>
      </c>
      <c r="Q68">
        <f>ROUND(IF(VLOOKUP($A68,EnrollData2324,'2324 Jun 24 Enroll'!I$1,FALSE)+VLOOKUP($A68,EnrollData2324,'2324 Jun 24 Enroll'!M$1,FALSE)-VLOOKUP($A68,EnrollData2324,'2324 Jun 24 Enroll'!J$1,FALSE)='District Calculations'!$D$16+'District Calculations'!$D$25-'District Calculations'!$D$17,VLOOKUP($A68,EnrollData2324,'2324 Jun 24 Enroll'!I$1,FALSE)+VLOOKUP($A68,EnrollData2324,'2324 Jun 24 Enroll'!M$1,FALSE)-VLOOKUP($A68,EnrollData2324,'2324 Jun 24 Enroll'!J$1,FALSE),'District Calculations'!$D$16+'District Calculations'!$D$25-'District Calculations'!$D$17)*Apport_217A2324s,3)</f>
        <v>4.702</v>
      </c>
      <c r="R68">
        <f>ROUND(SUM(L68:Q68)/IF(VLOOKUP($A68,EnrollData2324,'2324 Jun 24 Enroll'!M$1,FALSE)+VLOOKUP($A68,EnrollData2324,'2324 Jun 24 Enroll'!D$1,FALSE)='District Calculations'!$D$25+'District Calculations'!$D$11,VLOOKUP($A68,EnrollData2324,'2324 Jun 24 Enroll'!M$1,FALSE)+VLOOKUP($A68,EnrollData2324,'2324 Jun 24 Enroll'!D$1,FALSE),'District Calculations'!$D$25+'District Calculations'!$D$11),5)</f>
        <v>4.1099999999999999E-3</v>
      </c>
      <c r="S68" s="11">
        <f t="shared" si="7"/>
        <v>1.8689600000000001E-2</v>
      </c>
      <c r="T68">
        <f>ROUND(IF(VLOOKUP($A68,EnrollData2324,'2324 Jun 24 Enroll'!D$1,FALSE)='District Calculations'!$D$11,VLOOKUP($A68,EnrollData2324,'2324 Jun 24 Enroll'!D$1,FALSE),'District Calculations'!$D$11)*S68,3)</f>
        <v>0</v>
      </c>
      <c r="U68">
        <f>ROUND(IF(VLOOKUP($A68,EnrollData2324,'2324 Jun 24 Enroll'!E$1,FALSE)='District Calculations'!$D$12,VLOOKUP($A68,EnrollData2324,'2324 Jun 24 Enroll'!E$1,FALSE),'District Calculations'!$D$12)*S68,3)</f>
        <v>15.148</v>
      </c>
      <c r="V68">
        <f>ROUND(IF(VLOOKUP($A68,EnrollData2324,'2324 Jun 24 Enroll'!F$1,FALSE)='District Calculations'!$D$13,VLOOKUP($A68,EnrollData2324,'2324 Jun 24 Enroll'!F$1,FALSE),'District Calculations'!$D$13)*Apport_224A2324s,3)</f>
        <v>3.7029999999999998</v>
      </c>
      <c r="W68">
        <f>ROUND(IF(VLOOKUP($A68,EnrollData2324,'2324 Jun 24 Enroll'!G$1,FALSE)='District Calculations'!$D$14,VLOOKUP($A68,EnrollData2324,'2324 Jun 24 Enroll'!G$1,FALSE),'District Calculations'!$D$14)*Apport_212A2324s,3)</f>
        <v>8.2089999999999996</v>
      </c>
      <c r="X68">
        <f>ROUND(IF(VLOOKUP($A68,EnrollData2324,'2324 Jun 24 Enroll'!H$1,FALSE)='District Calculations'!$D$14,VLOOKUP($A68,EnrollData2324,'2324 Jun 24 Enroll'!H$1,FALSE),'District Calculations'!$D$14)*Apport_215A2324s,3)</f>
        <v>8.0969999999999995</v>
      </c>
      <c r="Y68">
        <f>ROUND(IF(VLOOKUP($A68,EnrollData2324,'2324 Jun 24 Enroll'!I$1,FALSE)+VLOOKUP($A68,EnrollData2324,'2324 Jun 24 Enroll'!M$1,FALSE)-VLOOKUP($A68,EnrollData2324,'2324 Jun 24 Enroll'!J$1,FALSE)='District Calculations'!$D$16+'District Calculations'!$D$25-'District Calculations'!$D$17,VLOOKUP($A68,EnrollData2324,'2324 Jun 24 Enroll'!I$1,FALSE)+VLOOKUP($A68,EnrollData2324,'2324 Jun 24 Enroll'!M$1,FALSE)-VLOOKUP($A68,EnrollData2324,'2324 Jun 24 Enroll'!J$1,FALSE),'District Calculations'!$D$16+'District Calculations'!$D$25-'District Calculations'!$D$17)*Apport_218A2324s,3)</f>
        <v>20.224</v>
      </c>
      <c r="Z68">
        <f>ROUND(SUM(T68:Y68)/IF(VLOOKUP($A68,EnrollData2324,'2324 Jun 24 Enroll'!M$1,FALSE)+VLOOKUP($A68,EnrollData2324,'2324 Jun 24 Enroll'!D$1,FALSE)='District Calculations'!$D$25+'District Calculations'!$D$11,VLOOKUP($A68,EnrollData2324,'2324 Jun 24 Enroll'!M$1,FALSE)+VLOOKUP($A68,EnrollData2324,'2324 Jun 24 Enroll'!D$1,FALSE),'District Calculations'!$D$25+'District Calculations'!$D$11),5)</f>
        <v>1.7749999999999998E-2</v>
      </c>
      <c r="AA68" s="6" cm="1">
        <f t="array" ref="AA68">ROUND($J68*CIS_Base_Salary2324s*VLOOKUP($A68,EnrollData2324,'2324 Jun 24 Enroll'!S$1,FALSE),2)</f>
        <v>4280.8999999999996</v>
      </c>
      <c r="AB68" s="6" cm="1">
        <f t="array" ref="AB68">ROUND($J68*CIS_Inc_Salary2324s*(VLOOKUP($A68,EnrollData2324,'2324 Jun 24 Enroll'!T$1,FALSE)+VLOOKUP($A68,EnrollData2324,'2324 Jun 24 Enroll'!U$1,FALSE)),2)-AA68</f>
        <v>325.92000000000007</v>
      </c>
      <c r="AC68" s="6" cm="1">
        <f t="array" ref="AC68">ROUND($R68*CAS_Base_Salary2324s*VLOOKUP($A68,EnrollData2324,'2324 Jun 24 Enroll'!S$1,FALSE),2)</f>
        <v>470.32</v>
      </c>
      <c r="AD68" s="6" cm="1">
        <f t="array" ref="AD68">ROUND($R68*CAS_Inc_Salary2324s*VLOOKUP($A68,EnrollData2324,'2324 Jun 24 Enroll'!T$1,FALSE),2)-AC68</f>
        <v>17.400000000000034</v>
      </c>
      <c r="AE68" s="6" cm="1">
        <f t="array" ref="AE68">ROUND($Z68*CLS_Base_Salary2324s*VLOOKUP($A68,EnrollData2324,'2324 Jun 24 Enroll'!S$1,FALSE),2)</f>
        <v>981.63</v>
      </c>
      <c r="AF68" s="6" cm="1">
        <f t="array" ref="AF68">ROUND($Z68*CLS_Inc_Salary2324s*VLOOKUP($A68,EnrollData2324,'2324 Jun 24 Enroll'!T$1,FALSE),2)-AE68</f>
        <v>36.32000000000005</v>
      </c>
      <c r="AG68" cm="1">
        <f t="array" ref="AG68">ROUND(($J68+$R68)*Apport_124X2324s,2)</f>
        <v>734.29</v>
      </c>
      <c r="AH68" s="69">
        <f t="shared" si="8"/>
        <v>68.700000000000045</v>
      </c>
      <c r="AI68" cm="1">
        <f t="array" ref="AI68">ROUND($Z68*Apport_124X2324s,2)</f>
        <v>218.54</v>
      </c>
      <c r="AJ68" cm="1">
        <f t="array" ref="AJ68">ROUND($Z68*Apport_621X2324s*Apport_125X2324s,2)-AI68</f>
        <v>116.51000000000002</v>
      </c>
      <c r="AK68" cm="1">
        <f t="array" ref="AK68">ROUND((AA68+AC68)*Apport_126X2324s,2)</f>
        <v>853.79</v>
      </c>
      <c r="AL68" cm="1">
        <f t="array" ref="AL68">ROUND((AB68+AD68)*Apport_127X2324s,2)</f>
        <v>59.5</v>
      </c>
      <c r="AM68" cm="1">
        <f t="array" ref="AM68">ROUND(AE68*Apport_128X2324s,2)</f>
        <v>216.55</v>
      </c>
      <c r="AN68" cm="1">
        <f t="array" ref="AN68">ROUND(AF68*Apport_129X2324s,2)</f>
        <v>6.74</v>
      </c>
      <c r="AO68" cm="1">
        <f t="array" ref="AO68">ROUND(($J68*CIS_Inc_Salary2324s*(VLOOKUP($A68,EnrollData2324,'2324 Jun 24 Enroll'!T$1,FALSE)+VLOOKUP($A68,EnrollData2324,'2324 Jun 24 Enroll'!U$1,FALSE))/Apport_613Xpd)*Apport_614Xpd,2)</f>
        <v>76.78</v>
      </c>
      <c r="AP68" cm="1">
        <f t="array" ref="AP68">ROUND(AO68*Apport_127X2324s,2)</f>
        <v>13.31</v>
      </c>
      <c r="AQ68">
        <f t="shared" si="9"/>
        <v>30.93</v>
      </c>
      <c r="AR68" s="6" cm="1">
        <f t="array" ref="AR68">ROUND((VLOOKUP($A68,EnrollData2324,'2324 Jun 24 Enroll'!D$1,FALSE)*Apport_M802324s+VLOOKUP($A68,EnrollData2324,'2324 Jun 24 Enroll'!M$1,FALSE)*Apport_M802324s+(VLOOKUP($A68,EnrollData2324,'2324 Jun 24 Enroll'!P$1,FALSE)+VLOOKUP($A68,EnrollData2324,'2324 Jun 24 Enroll'!Q$1,FALSE)+VLOOKUP($A68,EnrollData2324,'2324 Jun 24 Enroll'!R$1,FALSE)+VLOOKUP($A68,EnrollData2324,'2324 Jun 24 Enroll'!I$1,FALSE)+VLOOKUP($A68,EnrollData2324,'2324 Jun 24 Enroll'!N$1,FALSE)+VLOOKUP($A68,EnrollData2324,'2324 Jun 24 Enroll'!O$1,FALSE)+VLOOKUP($A68,EnrollData2324,'2324 Jun 24 Enroll'!K$1,FALSE)+VLOOKUP($A68,EnrollData2324,'2324 Jun 24 Enroll'!L$1,FALSE))*Apport_M812324s)/(VLOOKUP($A68,EnrollData2324,'2324 Jun 24 Enroll'!M$1,FALSE)+VLOOKUP($A68,EnrollData2324,'2324 Jun 24 Enroll'!D$1,FALSE)),2)</f>
        <v>1588.74</v>
      </c>
      <c r="AS68" s="7">
        <f t="shared" si="11"/>
        <v>10096.869999999999</v>
      </c>
    </row>
    <row r="69" spans="1:45">
      <c r="A69" s="40" t="s">
        <v>727</v>
      </c>
      <c r="B69" s="40" t="s">
        <v>728</v>
      </c>
      <c r="C69" s="11">
        <f>ROUND((IFERROR((1/IF(VLOOKUP($A69,EnrollData2324,28,FALSE)='District Calculations'!$D$10,VLOOKUP($A69,EnrollData2324,28,FALSE),'District Calculations'!$D$10))*(1+Apport_Z315),0))+Apport_201A2324s,6)</f>
        <v>7.3449E-2</v>
      </c>
      <c r="D69">
        <f>ROUND(IF(VLOOKUP($A69,EnrollData2324,'2324 Jun 24 Enroll'!D$1,FALSE)='District Calculations'!$D$11,VLOOKUP($A69,EnrollData2324,'2324 Jun 24 Enroll'!D$1,FALSE),'District Calculations'!$D$11)*C69,3)</f>
        <v>0</v>
      </c>
      <c r="E69">
        <f>ROUND(IF(VLOOKUP($A69,EnrollData2324,'2324 Jun 24 Enroll'!E$1,FALSE)='District Calculations'!$D$12,VLOOKUP($A69,EnrollData2324,'2324 Jun 24 Enroll'!E$1,FALSE),'District Calculations'!$D$12)*C69,3)</f>
        <v>59.53</v>
      </c>
      <c r="F69">
        <f>ROUND(IF(VLOOKUP($A69,EnrollData2324,'2324 Jun 24 Enroll'!F$1,FALSE)='District Calculations'!$D$13,VLOOKUP($A69,EnrollData2324,'2324 Jun 24 Enroll'!F$1,FALSE),'District Calculations'!$D$13)*Apport_222A2324s,3)</f>
        <v>10.101000000000001</v>
      </c>
      <c r="G69">
        <f>ROUND(IF(VLOOKUP($A69,EnrollData2324,'2324 Jun 24 Enroll'!G$1,FALSE)='District Calculations'!$D$14,VLOOKUP($A69,EnrollData2324,'2324 Jun 24 Enroll'!G$1,FALSE),'District Calculations'!$D$14)*Apport_210A2324s,3)</f>
        <v>22.395</v>
      </c>
      <c r="H69">
        <f>ROUND(IF(VLOOKUP($A69,EnrollData2324,'2324 Jun 24 Enroll'!H$1,FALSE)='District Calculations'!$D$15,VLOOKUP($A69,EnrollData2324,'2324 Jun 24 Enroll'!H$1,FALSE),'District Calculations'!$D$15)*Apport_213A2324s,3)</f>
        <v>23.091999999999999</v>
      </c>
      <c r="I69">
        <f>ROUND(IF(VLOOKUP($A69,EnrollData2324,'2324 Jun 24 Enroll'!I$1,FALSE)+VLOOKUP($A69,EnrollData2324,'2324 Jun 24 Enroll'!M$1,FALSE)-VLOOKUP($A69,EnrollData2324,'2324 Jun 24 Enroll'!J$1,FALSE)='District Calculations'!$D$16+'District Calculations'!$D$25-'District Calculations'!$D$17,VLOOKUP($A69,EnrollData2324,'2324 Jun 24 Enroll'!I$1,FALSE)+VLOOKUP($A69,EnrollData2324,'2324 Jun 24 Enroll'!M$1,FALSE)-VLOOKUP($A69,EnrollData2324,'2324 Jun 24 Enroll'!J$1,FALSE),'District Calculations'!$D$16+'District Calculations'!$D$25-'District Calculations'!$D$17)*Apport_216A2324s,3)</f>
        <v>58.183999999999997</v>
      </c>
      <c r="J69">
        <f>ROUND(SUM(D69:I69)/(IF(VLOOKUP($A69,EnrollData2324,'2324 Jun 24 Enroll'!M$1,FALSE)='District Calculations'!$D$25,VLOOKUP($A69,EnrollData2324,'2324 Jun 24 Enroll'!M$1,FALSE),'District Calculations'!$D$25)+IF(VLOOKUP($A69,EnrollData2324,'2324 Jun 24 Enroll'!D$1,FALSE)='District Calculations'!$D$11,VLOOKUP($A69,EnrollData2324,'2324 Jun 24 Enroll'!D$1,FALSE),'District Calculations'!$D$11)),5)</f>
        <v>5.5530000000000003E-2</v>
      </c>
      <c r="K69" s="11">
        <f t="shared" si="6"/>
        <v>4.3699999999999998E-3</v>
      </c>
      <c r="L69">
        <f>ROUND(IF(VLOOKUP($A69,EnrollData2324,'2324 Jun 24 Enroll'!D$1,FALSE)='District Calculations'!$D$11,VLOOKUP($A69,EnrollData2324,'2324 Jun 24 Enroll'!D$1,FALSE),'District Calculations'!$D$11)*K69,3)</f>
        <v>0</v>
      </c>
      <c r="M69">
        <f>ROUND(IF(VLOOKUP($A69,EnrollData2324,'2324 Jun 24 Enroll'!E$1,FALSE)='District Calculations'!$D$12,VLOOKUP($A69,EnrollData2324,'2324 Jun 24 Enroll'!E$1,FALSE),'District Calculations'!$D$12)*K69,3)</f>
        <v>3.5419999999999998</v>
      </c>
      <c r="N69">
        <f>ROUND(IF(VLOOKUP($A69,EnrollData2324,'2324 Jun 24 Enroll'!F$1,FALSE)='District Calculations'!$D$13,VLOOKUP($A69,EnrollData2324,'2324 Jun 24 Enroll'!F$1,FALSE),'District Calculations'!$D$13)*Apport_223A2324s,3)</f>
        <v>0.84299999999999997</v>
      </c>
      <c r="O69">
        <f>ROUND(IF(VLOOKUP($A69,EnrollData2324,'2324 Jun 24 Enroll'!G$1,FALSE)='District Calculations'!$D$14,VLOOKUP($A69,EnrollData2324,'2324 Jun 24 Enroll'!G$1,FALSE),'District Calculations'!$D$14)*Apport_211A2324s,3)</f>
        <v>1.87</v>
      </c>
      <c r="P69">
        <f>ROUND(IF(VLOOKUP($A69,EnrollData2324,'2324 Jun 24 Enroll'!H$1,FALSE)='District Calculations'!$D$14,VLOOKUP($A69,EnrollData2324,'2324 Jun 24 Enroll'!H$1,FALSE),'District Calculations'!$D$14)*Apport_214A2324s,3)</f>
        <v>1.8680000000000001</v>
      </c>
      <c r="Q69">
        <f>ROUND(IF(VLOOKUP($A69,EnrollData2324,'2324 Jun 24 Enroll'!I$1,FALSE)+VLOOKUP($A69,EnrollData2324,'2324 Jun 24 Enroll'!M$1,FALSE)-VLOOKUP($A69,EnrollData2324,'2324 Jun 24 Enroll'!J$1,FALSE)='District Calculations'!$D$16+'District Calculations'!$D$25-'District Calculations'!$D$17,VLOOKUP($A69,EnrollData2324,'2324 Jun 24 Enroll'!I$1,FALSE)+VLOOKUP($A69,EnrollData2324,'2324 Jun 24 Enroll'!M$1,FALSE)-VLOOKUP($A69,EnrollData2324,'2324 Jun 24 Enroll'!J$1,FALSE),'District Calculations'!$D$16+'District Calculations'!$D$25-'District Calculations'!$D$17)*Apport_217A2324s,3)</f>
        <v>4.702</v>
      </c>
      <c r="R69">
        <f>ROUND(SUM(L69:Q69)/IF(VLOOKUP($A69,EnrollData2324,'2324 Jun 24 Enroll'!M$1,FALSE)+VLOOKUP($A69,EnrollData2324,'2324 Jun 24 Enroll'!D$1,FALSE)='District Calculations'!$D$25+'District Calculations'!$D$11,VLOOKUP($A69,EnrollData2324,'2324 Jun 24 Enroll'!M$1,FALSE)+VLOOKUP($A69,EnrollData2324,'2324 Jun 24 Enroll'!D$1,FALSE),'District Calculations'!$D$25+'District Calculations'!$D$11),5)</f>
        <v>4.1099999999999999E-3</v>
      </c>
      <c r="S69" s="11">
        <f t="shared" si="7"/>
        <v>1.8689600000000001E-2</v>
      </c>
      <c r="T69">
        <f>ROUND(IF(VLOOKUP($A69,EnrollData2324,'2324 Jun 24 Enroll'!D$1,FALSE)='District Calculations'!$D$11,VLOOKUP($A69,EnrollData2324,'2324 Jun 24 Enroll'!D$1,FALSE),'District Calculations'!$D$11)*S69,3)</f>
        <v>0</v>
      </c>
      <c r="U69">
        <f>ROUND(IF(VLOOKUP($A69,EnrollData2324,'2324 Jun 24 Enroll'!E$1,FALSE)='District Calculations'!$D$12,VLOOKUP($A69,EnrollData2324,'2324 Jun 24 Enroll'!E$1,FALSE),'District Calculations'!$D$12)*S69,3)</f>
        <v>15.148</v>
      </c>
      <c r="V69">
        <f>ROUND(IF(VLOOKUP($A69,EnrollData2324,'2324 Jun 24 Enroll'!F$1,FALSE)='District Calculations'!$D$13,VLOOKUP($A69,EnrollData2324,'2324 Jun 24 Enroll'!F$1,FALSE),'District Calculations'!$D$13)*Apport_224A2324s,3)</f>
        <v>3.7029999999999998</v>
      </c>
      <c r="W69">
        <f>ROUND(IF(VLOOKUP($A69,EnrollData2324,'2324 Jun 24 Enroll'!G$1,FALSE)='District Calculations'!$D$14,VLOOKUP($A69,EnrollData2324,'2324 Jun 24 Enroll'!G$1,FALSE),'District Calculations'!$D$14)*Apport_212A2324s,3)</f>
        <v>8.2089999999999996</v>
      </c>
      <c r="X69">
        <f>ROUND(IF(VLOOKUP($A69,EnrollData2324,'2324 Jun 24 Enroll'!H$1,FALSE)='District Calculations'!$D$14,VLOOKUP($A69,EnrollData2324,'2324 Jun 24 Enroll'!H$1,FALSE),'District Calculations'!$D$14)*Apport_215A2324s,3)</f>
        <v>8.0969999999999995</v>
      </c>
      <c r="Y69">
        <f>ROUND(IF(VLOOKUP($A69,EnrollData2324,'2324 Jun 24 Enroll'!I$1,FALSE)+VLOOKUP($A69,EnrollData2324,'2324 Jun 24 Enroll'!M$1,FALSE)-VLOOKUP($A69,EnrollData2324,'2324 Jun 24 Enroll'!J$1,FALSE)='District Calculations'!$D$16+'District Calculations'!$D$25-'District Calculations'!$D$17,VLOOKUP($A69,EnrollData2324,'2324 Jun 24 Enroll'!I$1,FALSE)+VLOOKUP($A69,EnrollData2324,'2324 Jun 24 Enroll'!M$1,FALSE)-VLOOKUP($A69,EnrollData2324,'2324 Jun 24 Enroll'!J$1,FALSE),'District Calculations'!$D$16+'District Calculations'!$D$25-'District Calculations'!$D$17)*Apport_218A2324s,3)</f>
        <v>20.224</v>
      </c>
      <c r="Z69">
        <f>ROUND(SUM(T69:Y69)/IF(VLOOKUP($A69,EnrollData2324,'2324 Jun 24 Enroll'!M$1,FALSE)+VLOOKUP($A69,EnrollData2324,'2324 Jun 24 Enroll'!D$1,FALSE)='District Calculations'!$D$25+'District Calculations'!$D$11,VLOOKUP($A69,EnrollData2324,'2324 Jun 24 Enroll'!M$1,FALSE)+VLOOKUP($A69,EnrollData2324,'2324 Jun 24 Enroll'!D$1,FALSE),'District Calculations'!$D$25+'District Calculations'!$D$11),5)</f>
        <v>1.7749999999999998E-2</v>
      </c>
      <c r="AA69" s="6" cm="1">
        <f t="array" ref="AA69">ROUND($J69*CIS_Base_Salary2324s*VLOOKUP($A69,EnrollData2324,'2324 Jun 24 Enroll'!S$1,FALSE),2)</f>
        <v>4280.8999999999996</v>
      </c>
      <c r="AB69" s="6" cm="1">
        <f t="array" ref="AB69">ROUND($J69*CIS_Inc_Salary2324s*(VLOOKUP($A69,EnrollData2324,'2324 Jun 24 Enroll'!T$1,FALSE)+VLOOKUP($A69,EnrollData2324,'2324 Jun 24 Enroll'!U$1,FALSE)),2)-AA69</f>
        <v>158.40000000000055</v>
      </c>
      <c r="AC69" s="6" cm="1">
        <f t="array" ref="AC69">ROUND($R69*CAS_Base_Salary2324s*VLOOKUP($A69,EnrollData2324,'2324 Jun 24 Enroll'!S$1,FALSE),2)</f>
        <v>470.32</v>
      </c>
      <c r="AD69" s="6" cm="1">
        <f t="array" ref="AD69">ROUND($R69*CAS_Inc_Salary2324s*VLOOKUP($A69,EnrollData2324,'2324 Jun 24 Enroll'!T$1,FALSE),2)-AC69</f>
        <v>17.400000000000034</v>
      </c>
      <c r="AE69" s="6" cm="1">
        <f t="array" ref="AE69">ROUND($Z69*CLS_Base_Salary2324s*VLOOKUP($A69,EnrollData2324,'2324 Jun 24 Enroll'!S$1,FALSE),2)</f>
        <v>981.63</v>
      </c>
      <c r="AF69" s="6" cm="1">
        <f t="array" ref="AF69">ROUND($Z69*CLS_Inc_Salary2324s*VLOOKUP($A69,EnrollData2324,'2324 Jun 24 Enroll'!T$1,FALSE),2)-AE69</f>
        <v>36.32000000000005</v>
      </c>
      <c r="AG69" cm="1">
        <f t="array" ref="AG69">ROUND(($J69+$R69)*Apport_124X2324s,2)</f>
        <v>734.29</v>
      </c>
      <c r="AH69" s="69">
        <f t="shared" si="8"/>
        <v>68.700000000000045</v>
      </c>
      <c r="AI69" cm="1">
        <f t="array" ref="AI69">ROUND($Z69*Apport_124X2324s,2)</f>
        <v>218.54</v>
      </c>
      <c r="AJ69" cm="1">
        <f t="array" ref="AJ69">ROUND($Z69*Apport_621X2324s*Apport_125X2324s,2)-AI69</f>
        <v>116.51000000000002</v>
      </c>
      <c r="AK69" cm="1">
        <f t="array" ref="AK69">ROUND((AA69+AC69)*Apport_126X2324s,2)</f>
        <v>853.79</v>
      </c>
      <c r="AL69" cm="1">
        <f t="array" ref="AL69">ROUND((AB69+AD69)*Apport_127X2324s,2)</f>
        <v>30.47</v>
      </c>
      <c r="AM69" cm="1">
        <f t="array" ref="AM69">ROUND(AE69*Apport_128X2324s,2)</f>
        <v>216.55</v>
      </c>
      <c r="AN69" cm="1">
        <f t="array" ref="AN69">ROUND(AF69*Apport_129X2324s,2)</f>
        <v>6.74</v>
      </c>
      <c r="AO69" cm="1">
        <f t="array" ref="AO69">ROUND(($J69*CIS_Inc_Salary2324s*(VLOOKUP($A69,EnrollData2324,'2324 Jun 24 Enroll'!T$1,FALSE)+VLOOKUP($A69,EnrollData2324,'2324 Jun 24 Enroll'!U$1,FALSE))/Apport_613Xpd)*Apport_614Xpd,2)</f>
        <v>73.989999999999995</v>
      </c>
      <c r="AP69" cm="1">
        <f t="array" ref="AP69">ROUND(AO69*Apport_127X2324s,2)</f>
        <v>12.82</v>
      </c>
      <c r="AQ69">
        <f t="shared" si="9"/>
        <v>30.93</v>
      </c>
      <c r="AR69" s="6" cm="1">
        <f t="array" ref="AR69">ROUND((VLOOKUP($A69,EnrollData2324,'2324 Jun 24 Enroll'!D$1,FALSE)*Apport_M802324s+VLOOKUP($A69,EnrollData2324,'2324 Jun 24 Enroll'!M$1,FALSE)*Apport_M802324s+(VLOOKUP($A69,EnrollData2324,'2324 Jun 24 Enroll'!P$1,FALSE)+VLOOKUP($A69,EnrollData2324,'2324 Jun 24 Enroll'!Q$1,FALSE)+VLOOKUP($A69,EnrollData2324,'2324 Jun 24 Enroll'!R$1,FALSE)+VLOOKUP($A69,EnrollData2324,'2324 Jun 24 Enroll'!I$1,FALSE)+VLOOKUP($A69,EnrollData2324,'2324 Jun 24 Enroll'!N$1,FALSE)+VLOOKUP($A69,EnrollData2324,'2324 Jun 24 Enroll'!O$1,FALSE)+VLOOKUP($A69,EnrollData2324,'2324 Jun 24 Enroll'!K$1,FALSE)+VLOOKUP($A69,EnrollData2324,'2324 Jun 24 Enroll'!L$1,FALSE))*Apport_M812324s)/(VLOOKUP($A69,EnrollData2324,'2324 Jun 24 Enroll'!M$1,FALSE)+VLOOKUP($A69,EnrollData2324,'2324 Jun 24 Enroll'!D$1,FALSE)),2)</f>
        <v>1569.78</v>
      </c>
      <c r="AS69" s="7">
        <f t="shared" si="11"/>
        <v>9878.08</v>
      </c>
    </row>
    <row r="70" spans="1:45">
      <c r="A70" t="s">
        <v>1089</v>
      </c>
      <c r="B70" t="s">
        <v>1090</v>
      </c>
      <c r="C70" s="11">
        <f>ROUND((IFERROR((1/IF(VLOOKUP($A70,EnrollData2324,28,FALSE)='District Calculations'!$D$10,VLOOKUP($A70,EnrollData2324,28,FALSE),'District Calculations'!$D$10))*(1+Apport_Z315),0))+Apport_201A2324s,6)</f>
        <v>7.3449E-2</v>
      </c>
      <c r="D70">
        <f>ROUND(IF(VLOOKUP($A70,EnrollData2324,'2324 Jun 24 Enroll'!D$1,FALSE)='District Calculations'!$D$11,VLOOKUP($A70,EnrollData2324,'2324 Jun 24 Enroll'!D$1,FALSE),'District Calculations'!$D$11)*C70,3)</f>
        <v>0</v>
      </c>
      <c r="E70">
        <f>ROUND(IF(VLOOKUP($A70,EnrollData2324,'2324 Jun 24 Enroll'!E$1,FALSE)='District Calculations'!$D$12,VLOOKUP($A70,EnrollData2324,'2324 Jun 24 Enroll'!E$1,FALSE),'District Calculations'!$D$12)*C70,3)</f>
        <v>59.53</v>
      </c>
      <c r="F70">
        <f>ROUND(IF(VLOOKUP($A70,EnrollData2324,'2324 Jun 24 Enroll'!F$1,FALSE)='District Calculations'!$D$13,VLOOKUP($A70,EnrollData2324,'2324 Jun 24 Enroll'!F$1,FALSE),'District Calculations'!$D$13)*Apport_222A2324s,3)</f>
        <v>10.101000000000001</v>
      </c>
      <c r="G70">
        <f>ROUND(IF(VLOOKUP($A70,EnrollData2324,'2324 Jun 24 Enroll'!G$1,FALSE)='District Calculations'!$D$14,VLOOKUP($A70,EnrollData2324,'2324 Jun 24 Enroll'!G$1,FALSE),'District Calculations'!$D$14)*Apport_210A2324s,3)</f>
        <v>22.395</v>
      </c>
      <c r="H70">
        <f>ROUND(IF(VLOOKUP($A70,EnrollData2324,'2324 Jun 24 Enroll'!H$1,FALSE)='District Calculations'!$D$15,VLOOKUP($A70,EnrollData2324,'2324 Jun 24 Enroll'!H$1,FALSE),'District Calculations'!$D$15)*Apport_213A2324s,3)</f>
        <v>23.091999999999999</v>
      </c>
      <c r="I70">
        <f>ROUND(IF(VLOOKUP($A70,EnrollData2324,'2324 Jun 24 Enroll'!I$1,FALSE)+VLOOKUP($A70,EnrollData2324,'2324 Jun 24 Enroll'!M$1,FALSE)-VLOOKUP($A70,EnrollData2324,'2324 Jun 24 Enroll'!J$1,FALSE)='District Calculations'!$D$16+'District Calculations'!$D$25-'District Calculations'!$D$17,VLOOKUP($A70,EnrollData2324,'2324 Jun 24 Enroll'!I$1,FALSE)+VLOOKUP($A70,EnrollData2324,'2324 Jun 24 Enroll'!M$1,FALSE)-VLOOKUP($A70,EnrollData2324,'2324 Jun 24 Enroll'!J$1,FALSE),'District Calculations'!$D$16+'District Calculations'!$D$25-'District Calculations'!$D$17)*Apport_216A2324s,3)</f>
        <v>58.183999999999997</v>
      </c>
      <c r="J70">
        <f>ROUND(SUM(D70:I70)/(IF(VLOOKUP($A70,EnrollData2324,'2324 Jun 24 Enroll'!M$1,FALSE)='District Calculations'!$D$25,VLOOKUP($A70,EnrollData2324,'2324 Jun 24 Enroll'!M$1,FALSE),'District Calculations'!$D$25)+IF(VLOOKUP($A70,EnrollData2324,'2324 Jun 24 Enroll'!D$1,FALSE)='District Calculations'!$D$11,VLOOKUP($A70,EnrollData2324,'2324 Jun 24 Enroll'!D$1,FALSE),'District Calculations'!$D$11)),5)</f>
        <v>5.5530000000000003E-2</v>
      </c>
      <c r="K70" s="11">
        <f t="shared" si="6"/>
        <v>4.3699999999999998E-3</v>
      </c>
      <c r="L70">
        <f>ROUND(IF(VLOOKUP($A70,EnrollData2324,'2324 Jun 24 Enroll'!D$1,FALSE)='District Calculations'!$D$11,VLOOKUP($A70,EnrollData2324,'2324 Jun 24 Enroll'!D$1,FALSE),'District Calculations'!$D$11)*K70,3)</f>
        <v>0</v>
      </c>
      <c r="M70">
        <f>ROUND(IF(VLOOKUP($A70,EnrollData2324,'2324 Jun 24 Enroll'!E$1,FALSE)='District Calculations'!$D$12,VLOOKUP($A70,EnrollData2324,'2324 Jun 24 Enroll'!E$1,FALSE),'District Calculations'!$D$12)*K70,3)</f>
        <v>3.5419999999999998</v>
      </c>
      <c r="N70">
        <f>ROUND(IF(VLOOKUP($A70,EnrollData2324,'2324 Jun 24 Enroll'!F$1,FALSE)='District Calculations'!$D$13,VLOOKUP($A70,EnrollData2324,'2324 Jun 24 Enroll'!F$1,FALSE),'District Calculations'!$D$13)*Apport_223A2324s,3)</f>
        <v>0.84299999999999997</v>
      </c>
      <c r="O70">
        <f>ROUND(IF(VLOOKUP($A70,EnrollData2324,'2324 Jun 24 Enroll'!G$1,FALSE)='District Calculations'!$D$14,VLOOKUP($A70,EnrollData2324,'2324 Jun 24 Enroll'!G$1,FALSE),'District Calculations'!$D$14)*Apport_211A2324s,3)</f>
        <v>1.87</v>
      </c>
      <c r="P70">
        <f>ROUND(IF(VLOOKUP($A70,EnrollData2324,'2324 Jun 24 Enroll'!H$1,FALSE)='District Calculations'!$D$14,VLOOKUP($A70,EnrollData2324,'2324 Jun 24 Enroll'!H$1,FALSE),'District Calculations'!$D$14)*Apport_214A2324s,3)</f>
        <v>1.8680000000000001</v>
      </c>
      <c r="Q70">
        <f>ROUND(IF(VLOOKUP($A70,EnrollData2324,'2324 Jun 24 Enroll'!I$1,FALSE)+VLOOKUP($A70,EnrollData2324,'2324 Jun 24 Enroll'!M$1,FALSE)-VLOOKUP($A70,EnrollData2324,'2324 Jun 24 Enroll'!J$1,FALSE)='District Calculations'!$D$16+'District Calculations'!$D$25-'District Calculations'!$D$17,VLOOKUP($A70,EnrollData2324,'2324 Jun 24 Enroll'!I$1,FALSE)+VLOOKUP($A70,EnrollData2324,'2324 Jun 24 Enroll'!M$1,FALSE)-VLOOKUP($A70,EnrollData2324,'2324 Jun 24 Enroll'!J$1,FALSE),'District Calculations'!$D$16+'District Calculations'!$D$25-'District Calculations'!$D$17)*Apport_217A2324s,3)</f>
        <v>4.702</v>
      </c>
      <c r="R70">
        <f>ROUND(SUM(L70:Q70)/IF(VLOOKUP($A70,EnrollData2324,'2324 Jun 24 Enroll'!M$1,FALSE)+VLOOKUP($A70,EnrollData2324,'2324 Jun 24 Enroll'!D$1,FALSE)='District Calculations'!$D$25+'District Calculations'!$D$11,VLOOKUP($A70,EnrollData2324,'2324 Jun 24 Enroll'!M$1,FALSE)+VLOOKUP($A70,EnrollData2324,'2324 Jun 24 Enroll'!D$1,FALSE),'District Calculations'!$D$25+'District Calculations'!$D$11),5)</f>
        <v>4.1099999999999999E-3</v>
      </c>
      <c r="S70" s="11">
        <f t="shared" si="7"/>
        <v>1.8689600000000001E-2</v>
      </c>
      <c r="T70">
        <f>ROUND(IF(VLOOKUP($A70,EnrollData2324,'2324 Jun 24 Enroll'!D$1,FALSE)='District Calculations'!$D$11,VLOOKUP($A70,EnrollData2324,'2324 Jun 24 Enroll'!D$1,FALSE),'District Calculations'!$D$11)*S70,3)</f>
        <v>0</v>
      </c>
      <c r="U70">
        <f>ROUND(IF(VLOOKUP($A70,EnrollData2324,'2324 Jun 24 Enroll'!E$1,FALSE)='District Calculations'!$D$12,VLOOKUP($A70,EnrollData2324,'2324 Jun 24 Enroll'!E$1,FALSE),'District Calculations'!$D$12)*S70,3)</f>
        <v>15.148</v>
      </c>
      <c r="V70">
        <f>ROUND(IF(VLOOKUP($A70,EnrollData2324,'2324 Jun 24 Enroll'!F$1,FALSE)='District Calculations'!$D$13,VLOOKUP($A70,EnrollData2324,'2324 Jun 24 Enroll'!F$1,FALSE),'District Calculations'!$D$13)*Apport_224A2324s,3)</f>
        <v>3.7029999999999998</v>
      </c>
      <c r="W70">
        <f>ROUND(IF(VLOOKUP($A70,EnrollData2324,'2324 Jun 24 Enroll'!G$1,FALSE)='District Calculations'!$D$14,VLOOKUP($A70,EnrollData2324,'2324 Jun 24 Enroll'!G$1,FALSE),'District Calculations'!$D$14)*Apport_212A2324s,3)</f>
        <v>8.2089999999999996</v>
      </c>
      <c r="X70">
        <f>ROUND(IF(VLOOKUP($A70,EnrollData2324,'2324 Jun 24 Enroll'!H$1,FALSE)='District Calculations'!$D$14,VLOOKUP($A70,EnrollData2324,'2324 Jun 24 Enroll'!H$1,FALSE),'District Calculations'!$D$14)*Apport_215A2324s,3)</f>
        <v>8.0969999999999995</v>
      </c>
      <c r="Y70">
        <f>ROUND(IF(VLOOKUP($A70,EnrollData2324,'2324 Jun 24 Enroll'!I$1,FALSE)+VLOOKUP($A70,EnrollData2324,'2324 Jun 24 Enroll'!M$1,FALSE)-VLOOKUP($A70,EnrollData2324,'2324 Jun 24 Enroll'!J$1,FALSE)='District Calculations'!$D$16+'District Calculations'!$D$25-'District Calculations'!$D$17,VLOOKUP($A70,EnrollData2324,'2324 Jun 24 Enroll'!I$1,FALSE)+VLOOKUP($A70,EnrollData2324,'2324 Jun 24 Enroll'!M$1,FALSE)-VLOOKUP($A70,EnrollData2324,'2324 Jun 24 Enroll'!J$1,FALSE),'District Calculations'!$D$16+'District Calculations'!$D$25-'District Calculations'!$D$17)*Apport_218A2324s,3)</f>
        <v>20.224</v>
      </c>
      <c r="Z70">
        <f>ROUND(SUM(T70:Y70)/IF(VLOOKUP($A70,EnrollData2324,'2324 Jun 24 Enroll'!M$1,FALSE)+VLOOKUP($A70,EnrollData2324,'2324 Jun 24 Enroll'!D$1,FALSE)='District Calculations'!$D$25+'District Calculations'!$D$11,VLOOKUP($A70,EnrollData2324,'2324 Jun 24 Enroll'!M$1,FALSE)+VLOOKUP($A70,EnrollData2324,'2324 Jun 24 Enroll'!D$1,FALSE),'District Calculations'!$D$25+'District Calculations'!$D$11),5)</f>
        <v>1.7749999999999998E-2</v>
      </c>
      <c r="AA70" s="6" cm="1">
        <f t="array" ref="AA70">ROUND($J70*CIS_Base_Salary2324s*VLOOKUP($A70,EnrollData2324,'2324 Jun 24 Enroll'!S$1,FALSE),2)</f>
        <v>4280.8999999999996</v>
      </c>
      <c r="AB70" s="6" cm="1">
        <f t="array" ref="AB70">ROUND($J70*CIS_Inc_Salary2324s*(VLOOKUP($A70,EnrollData2324,'2324 Jun 24 Enroll'!T$1,FALSE)+VLOOKUP($A70,EnrollData2324,'2324 Jun 24 Enroll'!U$1,FALSE)),2)-AA70</f>
        <v>158.40000000000055</v>
      </c>
      <c r="AC70" s="6" cm="1">
        <f t="array" ref="AC70">ROUND($R70*CAS_Base_Salary2324s*VLOOKUP($A70,EnrollData2324,'2324 Jun 24 Enroll'!S$1,FALSE),2)</f>
        <v>470.32</v>
      </c>
      <c r="AD70" s="6" cm="1">
        <f t="array" ref="AD70">ROUND($R70*CAS_Inc_Salary2324s*VLOOKUP($A70,EnrollData2324,'2324 Jun 24 Enroll'!T$1,FALSE),2)-AC70</f>
        <v>17.400000000000034</v>
      </c>
      <c r="AE70" s="6" cm="1">
        <f t="array" ref="AE70">ROUND($Z70*CLS_Base_Salary2324s*VLOOKUP($A70,EnrollData2324,'2324 Jun 24 Enroll'!S$1,FALSE),2)</f>
        <v>981.63</v>
      </c>
      <c r="AF70" s="6" cm="1">
        <f t="array" ref="AF70">ROUND($Z70*CLS_Inc_Salary2324s*VLOOKUP($A70,EnrollData2324,'2324 Jun 24 Enroll'!T$1,FALSE),2)-AE70</f>
        <v>36.32000000000005</v>
      </c>
      <c r="AG70" cm="1">
        <f t="array" ref="AG70">ROUND(($J70+$R70)*Apport_124X2324s,2)</f>
        <v>734.29</v>
      </c>
      <c r="AH70" s="69">
        <f t="shared" si="8"/>
        <v>68.700000000000045</v>
      </c>
      <c r="AI70" cm="1">
        <f t="array" ref="AI70">ROUND($Z70*Apport_124X2324s,2)</f>
        <v>218.54</v>
      </c>
      <c r="AJ70" cm="1">
        <f t="array" ref="AJ70">ROUND($Z70*Apport_621X2324s*Apport_125X2324s,2)-AI70</f>
        <v>116.51000000000002</v>
      </c>
      <c r="AK70" cm="1">
        <f t="array" ref="AK70">ROUND((AA70+AC70)*Apport_126X2324s,2)</f>
        <v>853.79</v>
      </c>
      <c r="AL70" cm="1">
        <f t="array" ref="AL70">ROUND((AB70+AD70)*Apport_127X2324s,2)</f>
        <v>30.47</v>
      </c>
      <c r="AM70" cm="1">
        <f t="array" ref="AM70">ROUND(AE70*Apport_128X2324s,2)</f>
        <v>216.55</v>
      </c>
      <c r="AN70" cm="1">
        <f t="array" ref="AN70">ROUND(AF70*Apport_129X2324s,2)</f>
        <v>6.74</v>
      </c>
      <c r="AO70" cm="1">
        <f t="array" ref="AO70">ROUND(($J70*CIS_Inc_Salary2324s*(VLOOKUP($A70,EnrollData2324,'2324 Jun 24 Enroll'!T$1,FALSE)+VLOOKUP($A70,EnrollData2324,'2324 Jun 24 Enroll'!U$1,FALSE))/Apport_613Xpd)*Apport_614Xpd,2)</f>
        <v>73.989999999999995</v>
      </c>
      <c r="AP70" cm="1">
        <f t="array" ref="AP70">ROUND(AO70*Apport_127X2324s,2)</f>
        <v>12.82</v>
      </c>
      <c r="AQ70">
        <f t="shared" si="9"/>
        <v>30.93</v>
      </c>
      <c r="AR70" s="6" cm="1">
        <f t="array" ref="AR70">ROUND((VLOOKUP($A70,EnrollData2324,'2324 Jun 24 Enroll'!D$1,FALSE)*Apport_M802324s+VLOOKUP($A70,EnrollData2324,'2324 Jun 24 Enroll'!M$1,FALSE)*Apport_M802324s+(VLOOKUP($A70,EnrollData2324,'2324 Jun 24 Enroll'!P$1,FALSE)+VLOOKUP($A70,EnrollData2324,'2324 Jun 24 Enroll'!Q$1,FALSE)+VLOOKUP($A70,EnrollData2324,'2324 Jun 24 Enroll'!R$1,FALSE)+VLOOKUP($A70,EnrollData2324,'2324 Jun 24 Enroll'!I$1,FALSE)+VLOOKUP($A70,EnrollData2324,'2324 Jun 24 Enroll'!N$1,FALSE)+VLOOKUP($A70,EnrollData2324,'2324 Jun 24 Enroll'!O$1,FALSE)+VLOOKUP($A70,EnrollData2324,'2324 Jun 24 Enroll'!K$1,FALSE)+VLOOKUP($A70,EnrollData2324,'2324 Jun 24 Enroll'!L$1,FALSE))*Apport_M812324s)/(VLOOKUP($A70,EnrollData2324,'2324 Jun 24 Enroll'!M$1,FALSE)+VLOOKUP($A70,EnrollData2324,'2324 Jun 24 Enroll'!D$1,FALSE)),2)</f>
        <v>1704.67</v>
      </c>
      <c r="AS70" s="7">
        <f t="shared" si="11"/>
        <v>10012.969999999999</v>
      </c>
    </row>
    <row r="71" spans="1:45">
      <c r="A71" s="40" t="s">
        <v>791</v>
      </c>
      <c r="B71" s="40" t="s">
        <v>792</v>
      </c>
      <c r="C71" s="11">
        <f>ROUND((IFERROR((1/IF(VLOOKUP($A71,EnrollData2324,28,FALSE)='District Calculations'!$D$10,VLOOKUP($A71,EnrollData2324,28,FALSE),'District Calculations'!$D$10))*(1+Apport_Z315),0))+Apport_201A2324s,6)</f>
        <v>7.3449E-2</v>
      </c>
      <c r="D71">
        <f>ROUND(IF(VLOOKUP($A71,EnrollData2324,'2324 Jun 24 Enroll'!D$1,FALSE)='District Calculations'!$D$11,VLOOKUP($A71,EnrollData2324,'2324 Jun 24 Enroll'!D$1,FALSE),'District Calculations'!$D$11)*C71,3)</f>
        <v>0</v>
      </c>
      <c r="E71">
        <f>ROUND(IF(VLOOKUP($A71,EnrollData2324,'2324 Jun 24 Enroll'!E$1,FALSE)='District Calculations'!$D$12,VLOOKUP($A71,EnrollData2324,'2324 Jun 24 Enroll'!E$1,FALSE),'District Calculations'!$D$12)*C71,3)</f>
        <v>59.53</v>
      </c>
      <c r="F71">
        <f>ROUND(IF(VLOOKUP($A71,EnrollData2324,'2324 Jun 24 Enroll'!F$1,FALSE)='District Calculations'!$D$13,VLOOKUP($A71,EnrollData2324,'2324 Jun 24 Enroll'!F$1,FALSE),'District Calculations'!$D$13)*Apport_222A2324s,3)</f>
        <v>10.101000000000001</v>
      </c>
      <c r="G71">
        <f>ROUND(IF(VLOOKUP($A71,EnrollData2324,'2324 Jun 24 Enroll'!G$1,FALSE)='District Calculations'!$D$14,VLOOKUP($A71,EnrollData2324,'2324 Jun 24 Enroll'!G$1,FALSE),'District Calculations'!$D$14)*Apport_210A2324s,3)</f>
        <v>22.395</v>
      </c>
      <c r="H71">
        <f>ROUND(IF(VLOOKUP($A71,EnrollData2324,'2324 Jun 24 Enroll'!H$1,FALSE)='District Calculations'!$D$15,VLOOKUP($A71,EnrollData2324,'2324 Jun 24 Enroll'!H$1,FALSE),'District Calculations'!$D$15)*Apport_213A2324s,3)</f>
        <v>23.091999999999999</v>
      </c>
      <c r="I71">
        <f>ROUND(IF(VLOOKUP($A71,EnrollData2324,'2324 Jun 24 Enroll'!I$1,FALSE)+VLOOKUP($A71,EnrollData2324,'2324 Jun 24 Enroll'!M$1,FALSE)-VLOOKUP($A71,EnrollData2324,'2324 Jun 24 Enroll'!J$1,FALSE)='District Calculations'!$D$16+'District Calculations'!$D$25-'District Calculations'!$D$17,VLOOKUP($A71,EnrollData2324,'2324 Jun 24 Enroll'!I$1,FALSE)+VLOOKUP($A71,EnrollData2324,'2324 Jun 24 Enroll'!M$1,FALSE)-VLOOKUP($A71,EnrollData2324,'2324 Jun 24 Enroll'!J$1,FALSE),'District Calculations'!$D$16+'District Calculations'!$D$25-'District Calculations'!$D$17)*Apport_216A2324s,3)</f>
        <v>58.183999999999997</v>
      </c>
      <c r="J71">
        <f>ROUND(SUM(D71:I71)/(IF(VLOOKUP($A71,EnrollData2324,'2324 Jun 24 Enroll'!M$1,FALSE)='District Calculations'!$D$25,VLOOKUP($A71,EnrollData2324,'2324 Jun 24 Enroll'!M$1,FALSE),'District Calculations'!$D$25)+IF(VLOOKUP($A71,EnrollData2324,'2324 Jun 24 Enroll'!D$1,FALSE)='District Calculations'!$D$11,VLOOKUP($A71,EnrollData2324,'2324 Jun 24 Enroll'!D$1,FALSE),'District Calculations'!$D$11)),5)</f>
        <v>5.5530000000000003E-2</v>
      </c>
      <c r="K71" s="11">
        <f t="shared" si="6"/>
        <v>4.3699999999999998E-3</v>
      </c>
      <c r="L71">
        <f>ROUND(IF(VLOOKUP($A71,EnrollData2324,'2324 Jun 24 Enroll'!D$1,FALSE)='District Calculations'!$D$11,VLOOKUP($A71,EnrollData2324,'2324 Jun 24 Enroll'!D$1,FALSE),'District Calculations'!$D$11)*K71,3)</f>
        <v>0</v>
      </c>
      <c r="M71">
        <f>ROUND(IF(VLOOKUP($A71,EnrollData2324,'2324 Jun 24 Enroll'!E$1,FALSE)='District Calculations'!$D$12,VLOOKUP($A71,EnrollData2324,'2324 Jun 24 Enroll'!E$1,FALSE),'District Calculations'!$D$12)*K71,3)</f>
        <v>3.5419999999999998</v>
      </c>
      <c r="N71">
        <f>ROUND(IF(VLOOKUP($A71,EnrollData2324,'2324 Jun 24 Enroll'!F$1,FALSE)='District Calculations'!$D$13,VLOOKUP($A71,EnrollData2324,'2324 Jun 24 Enroll'!F$1,FALSE),'District Calculations'!$D$13)*Apport_223A2324s,3)</f>
        <v>0.84299999999999997</v>
      </c>
      <c r="O71">
        <f>ROUND(IF(VLOOKUP($A71,EnrollData2324,'2324 Jun 24 Enroll'!G$1,FALSE)='District Calculations'!$D$14,VLOOKUP($A71,EnrollData2324,'2324 Jun 24 Enroll'!G$1,FALSE),'District Calculations'!$D$14)*Apport_211A2324s,3)</f>
        <v>1.87</v>
      </c>
      <c r="P71">
        <f>ROUND(IF(VLOOKUP($A71,EnrollData2324,'2324 Jun 24 Enroll'!H$1,FALSE)='District Calculations'!$D$14,VLOOKUP($A71,EnrollData2324,'2324 Jun 24 Enroll'!H$1,FALSE),'District Calculations'!$D$14)*Apport_214A2324s,3)</f>
        <v>1.8680000000000001</v>
      </c>
      <c r="Q71">
        <f>ROUND(IF(VLOOKUP($A71,EnrollData2324,'2324 Jun 24 Enroll'!I$1,FALSE)+VLOOKUP($A71,EnrollData2324,'2324 Jun 24 Enroll'!M$1,FALSE)-VLOOKUP($A71,EnrollData2324,'2324 Jun 24 Enroll'!J$1,FALSE)='District Calculations'!$D$16+'District Calculations'!$D$25-'District Calculations'!$D$17,VLOOKUP($A71,EnrollData2324,'2324 Jun 24 Enroll'!I$1,FALSE)+VLOOKUP($A71,EnrollData2324,'2324 Jun 24 Enroll'!M$1,FALSE)-VLOOKUP($A71,EnrollData2324,'2324 Jun 24 Enroll'!J$1,FALSE),'District Calculations'!$D$16+'District Calculations'!$D$25-'District Calculations'!$D$17)*Apport_217A2324s,3)</f>
        <v>4.702</v>
      </c>
      <c r="R71">
        <f>ROUND(SUM(L71:Q71)/IF(VLOOKUP($A71,EnrollData2324,'2324 Jun 24 Enroll'!M$1,FALSE)+VLOOKUP($A71,EnrollData2324,'2324 Jun 24 Enroll'!D$1,FALSE)='District Calculations'!$D$25+'District Calculations'!$D$11,VLOOKUP($A71,EnrollData2324,'2324 Jun 24 Enroll'!M$1,FALSE)+VLOOKUP($A71,EnrollData2324,'2324 Jun 24 Enroll'!D$1,FALSE),'District Calculations'!$D$25+'District Calculations'!$D$11),5)</f>
        <v>4.1099999999999999E-3</v>
      </c>
      <c r="S71" s="11">
        <f t="shared" si="7"/>
        <v>1.8689600000000001E-2</v>
      </c>
      <c r="T71">
        <f>ROUND(IF(VLOOKUP($A71,EnrollData2324,'2324 Jun 24 Enroll'!D$1,FALSE)='District Calculations'!$D$11,VLOOKUP($A71,EnrollData2324,'2324 Jun 24 Enroll'!D$1,FALSE),'District Calculations'!$D$11)*S71,3)</f>
        <v>0</v>
      </c>
      <c r="U71">
        <f>ROUND(IF(VLOOKUP($A71,EnrollData2324,'2324 Jun 24 Enroll'!E$1,FALSE)='District Calculations'!$D$12,VLOOKUP($A71,EnrollData2324,'2324 Jun 24 Enroll'!E$1,FALSE),'District Calculations'!$D$12)*S71,3)</f>
        <v>15.148</v>
      </c>
      <c r="V71">
        <f>ROUND(IF(VLOOKUP($A71,EnrollData2324,'2324 Jun 24 Enroll'!F$1,FALSE)='District Calculations'!$D$13,VLOOKUP($A71,EnrollData2324,'2324 Jun 24 Enroll'!F$1,FALSE),'District Calculations'!$D$13)*Apport_224A2324s,3)</f>
        <v>3.7029999999999998</v>
      </c>
      <c r="W71">
        <f>ROUND(IF(VLOOKUP($A71,EnrollData2324,'2324 Jun 24 Enroll'!G$1,FALSE)='District Calculations'!$D$14,VLOOKUP($A71,EnrollData2324,'2324 Jun 24 Enroll'!G$1,FALSE),'District Calculations'!$D$14)*Apport_212A2324s,3)</f>
        <v>8.2089999999999996</v>
      </c>
      <c r="X71">
        <f>ROUND(IF(VLOOKUP($A71,EnrollData2324,'2324 Jun 24 Enroll'!H$1,FALSE)='District Calculations'!$D$14,VLOOKUP($A71,EnrollData2324,'2324 Jun 24 Enroll'!H$1,FALSE),'District Calculations'!$D$14)*Apport_215A2324s,3)</f>
        <v>8.0969999999999995</v>
      </c>
      <c r="Y71">
        <f>ROUND(IF(VLOOKUP($A71,EnrollData2324,'2324 Jun 24 Enroll'!I$1,FALSE)+VLOOKUP($A71,EnrollData2324,'2324 Jun 24 Enroll'!M$1,FALSE)-VLOOKUP($A71,EnrollData2324,'2324 Jun 24 Enroll'!J$1,FALSE)='District Calculations'!$D$16+'District Calculations'!$D$25-'District Calculations'!$D$17,VLOOKUP($A71,EnrollData2324,'2324 Jun 24 Enroll'!I$1,FALSE)+VLOOKUP($A71,EnrollData2324,'2324 Jun 24 Enroll'!M$1,FALSE)-VLOOKUP($A71,EnrollData2324,'2324 Jun 24 Enroll'!J$1,FALSE),'District Calculations'!$D$16+'District Calculations'!$D$25-'District Calculations'!$D$17)*Apport_218A2324s,3)</f>
        <v>20.224</v>
      </c>
      <c r="Z71">
        <f>ROUND(SUM(T71:Y71)/IF(VLOOKUP($A71,EnrollData2324,'2324 Jun 24 Enroll'!M$1,FALSE)+VLOOKUP($A71,EnrollData2324,'2324 Jun 24 Enroll'!D$1,FALSE)='District Calculations'!$D$25+'District Calculations'!$D$11,VLOOKUP($A71,EnrollData2324,'2324 Jun 24 Enroll'!M$1,FALSE)+VLOOKUP($A71,EnrollData2324,'2324 Jun 24 Enroll'!D$1,FALSE),'District Calculations'!$D$25+'District Calculations'!$D$11),5)</f>
        <v>1.7749999999999998E-2</v>
      </c>
      <c r="AA71" s="6" cm="1">
        <f t="array" ref="AA71">ROUND($J71*CIS_Base_Salary2324s*VLOOKUP($A71,EnrollData2324,'2324 Jun 24 Enroll'!S$1,FALSE),2)</f>
        <v>4038.59</v>
      </c>
      <c r="AB71" s="6" cm="1">
        <f t="array" ref="AB71">ROUND($J71*CIS_Inc_Salary2324s*(VLOOKUP($A71,EnrollData2324,'2324 Jun 24 Enroll'!T$1,FALSE)+VLOOKUP($A71,EnrollData2324,'2324 Jun 24 Enroll'!U$1,FALSE)),2)-AA71</f>
        <v>149.43000000000029</v>
      </c>
      <c r="AC71" s="6" cm="1">
        <f t="array" ref="AC71">ROUND($R71*CAS_Base_Salary2324s*VLOOKUP($A71,EnrollData2324,'2324 Jun 24 Enroll'!S$1,FALSE),2)</f>
        <v>443.7</v>
      </c>
      <c r="AD71" s="6" cm="1">
        <f t="array" ref="AD71">ROUND($R71*CAS_Inc_Salary2324s*VLOOKUP($A71,EnrollData2324,'2324 Jun 24 Enroll'!T$1,FALSE),2)-AC71</f>
        <v>16.410000000000025</v>
      </c>
      <c r="AE71" s="6" cm="1">
        <f t="array" ref="AE71">ROUND($Z71*CLS_Base_Salary2324s*VLOOKUP($A71,EnrollData2324,'2324 Jun 24 Enroll'!S$1,FALSE),2)</f>
        <v>926.07</v>
      </c>
      <c r="AF71" s="6" cm="1">
        <f t="array" ref="AF71">ROUND($Z71*CLS_Inc_Salary2324s*VLOOKUP($A71,EnrollData2324,'2324 Jun 24 Enroll'!T$1,FALSE),2)-AE71</f>
        <v>34.259999999999991</v>
      </c>
      <c r="AG71" cm="1">
        <f t="array" ref="AG71">ROUND(($J71+$R71)*Apport_124X2324s,2)</f>
        <v>734.29</v>
      </c>
      <c r="AH71" s="69">
        <f t="shared" si="8"/>
        <v>68.700000000000045</v>
      </c>
      <c r="AI71" cm="1">
        <f t="array" ref="AI71">ROUND($Z71*Apport_124X2324s,2)</f>
        <v>218.54</v>
      </c>
      <c r="AJ71" cm="1">
        <f t="array" ref="AJ71">ROUND($Z71*Apport_621X2324s*Apport_125X2324s,2)-AI71</f>
        <v>116.51000000000002</v>
      </c>
      <c r="AK71" cm="1">
        <f t="array" ref="AK71">ROUND((AA71+AC71)*Apport_126X2324s,2)</f>
        <v>805.47</v>
      </c>
      <c r="AL71" cm="1">
        <f t="array" ref="AL71">ROUND((AB71+AD71)*Apport_127X2324s,2)</f>
        <v>28.74</v>
      </c>
      <c r="AM71" cm="1">
        <f t="array" ref="AM71">ROUND(AE71*Apport_128X2324s,2)</f>
        <v>204.29</v>
      </c>
      <c r="AN71" cm="1">
        <f t="array" ref="AN71">ROUND(AF71*Apport_129X2324s,2)</f>
        <v>6.36</v>
      </c>
      <c r="AO71" cm="1">
        <f t="array" ref="AO71">ROUND(($J71*CIS_Inc_Salary2324s*(VLOOKUP($A71,EnrollData2324,'2324 Jun 24 Enroll'!T$1,FALSE)+VLOOKUP($A71,EnrollData2324,'2324 Jun 24 Enroll'!U$1,FALSE))/Apport_613Xpd)*Apport_614Xpd,2)</f>
        <v>69.8</v>
      </c>
      <c r="AP71" cm="1">
        <f t="array" ref="AP71">ROUND(AO71*Apport_127X2324s,2)</f>
        <v>12.1</v>
      </c>
      <c r="AQ71">
        <f t="shared" si="9"/>
        <v>30.93</v>
      </c>
      <c r="AR71" s="6" cm="1">
        <f t="array" ref="AR71">ROUND((VLOOKUP($A71,EnrollData2324,'2324 Jun 24 Enroll'!D$1,FALSE)*Apport_M802324s+VLOOKUP($A71,EnrollData2324,'2324 Jun 24 Enroll'!M$1,FALSE)*Apport_M802324s+(VLOOKUP($A71,EnrollData2324,'2324 Jun 24 Enroll'!P$1,FALSE)+VLOOKUP($A71,EnrollData2324,'2324 Jun 24 Enroll'!Q$1,FALSE)+VLOOKUP($A71,EnrollData2324,'2324 Jun 24 Enroll'!R$1,FALSE)+VLOOKUP($A71,EnrollData2324,'2324 Jun 24 Enroll'!I$1,FALSE)+VLOOKUP($A71,EnrollData2324,'2324 Jun 24 Enroll'!N$1,FALSE)+VLOOKUP($A71,EnrollData2324,'2324 Jun 24 Enroll'!O$1,FALSE)+VLOOKUP($A71,EnrollData2324,'2324 Jun 24 Enroll'!K$1,FALSE)+VLOOKUP($A71,EnrollData2324,'2324 Jun 24 Enroll'!L$1,FALSE))*Apport_M812324s)/(VLOOKUP($A71,EnrollData2324,'2324 Jun 24 Enroll'!M$1,FALSE)+VLOOKUP($A71,EnrollData2324,'2324 Jun 24 Enroll'!D$1,FALSE)),2)</f>
        <v>1698.14</v>
      </c>
      <c r="AS71" s="7">
        <f t="shared" si="11"/>
        <v>9602.33</v>
      </c>
    </row>
    <row r="72" spans="1:45">
      <c r="A72" s="40" t="s">
        <v>558</v>
      </c>
      <c r="B72" s="40" t="s">
        <v>559</v>
      </c>
      <c r="C72" s="11">
        <f>ROUND((IFERROR((1/IF(VLOOKUP($A72,EnrollData2324,28,FALSE)='District Calculations'!$D$10,VLOOKUP($A72,EnrollData2324,28,FALSE),'District Calculations'!$D$10))*(1+Apport_Z315),0))+Apport_201A2324s,6)</f>
        <v>7.3449E-2</v>
      </c>
      <c r="D72">
        <f>ROUND(IF(VLOOKUP($A72,EnrollData2324,'2324 Jun 24 Enroll'!D$1,FALSE)='District Calculations'!$D$11,VLOOKUP($A72,EnrollData2324,'2324 Jun 24 Enroll'!D$1,FALSE),'District Calculations'!$D$11)*C72,3)</f>
        <v>0</v>
      </c>
      <c r="E72">
        <f>ROUND(IF(VLOOKUP($A72,EnrollData2324,'2324 Jun 24 Enroll'!E$1,FALSE)='District Calculations'!$D$12,VLOOKUP($A72,EnrollData2324,'2324 Jun 24 Enroll'!E$1,FALSE),'District Calculations'!$D$12)*C72,3)</f>
        <v>59.53</v>
      </c>
      <c r="F72">
        <f>ROUND(IF(VLOOKUP($A72,EnrollData2324,'2324 Jun 24 Enroll'!F$1,FALSE)='District Calculations'!$D$13,VLOOKUP($A72,EnrollData2324,'2324 Jun 24 Enroll'!F$1,FALSE),'District Calculations'!$D$13)*Apport_222A2324s,3)</f>
        <v>10.101000000000001</v>
      </c>
      <c r="G72">
        <f>ROUND(IF(VLOOKUP($A72,EnrollData2324,'2324 Jun 24 Enroll'!G$1,FALSE)='District Calculations'!$D$14,VLOOKUP($A72,EnrollData2324,'2324 Jun 24 Enroll'!G$1,FALSE),'District Calculations'!$D$14)*Apport_210A2324s,3)</f>
        <v>22.395</v>
      </c>
      <c r="H72">
        <f>ROUND(IF(VLOOKUP($A72,EnrollData2324,'2324 Jun 24 Enroll'!H$1,FALSE)='District Calculations'!$D$15,VLOOKUP($A72,EnrollData2324,'2324 Jun 24 Enroll'!H$1,FALSE),'District Calculations'!$D$15)*Apport_213A2324s,3)</f>
        <v>23.091999999999999</v>
      </c>
      <c r="I72">
        <f>ROUND(IF(VLOOKUP($A72,EnrollData2324,'2324 Jun 24 Enroll'!I$1,FALSE)+VLOOKUP($A72,EnrollData2324,'2324 Jun 24 Enroll'!M$1,FALSE)-VLOOKUP($A72,EnrollData2324,'2324 Jun 24 Enroll'!J$1,FALSE)='District Calculations'!$D$16+'District Calculations'!$D$25-'District Calculations'!$D$17,VLOOKUP($A72,EnrollData2324,'2324 Jun 24 Enroll'!I$1,FALSE)+VLOOKUP($A72,EnrollData2324,'2324 Jun 24 Enroll'!M$1,FALSE)-VLOOKUP($A72,EnrollData2324,'2324 Jun 24 Enroll'!J$1,FALSE),'District Calculations'!$D$16+'District Calculations'!$D$25-'District Calculations'!$D$17)*Apport_216A2324s,3)</f>
        <v>58.183999999999997</v>
      </c>
      <c r="J72">
        <f>ROUND(SUM(D72:I72)/(IF(VLOOKUP($A72,EnrollData2324,'2324 Jun 24 Enroll'!M$1,FALSE)='District Calculations'!$D$25,VLOOKUP($A72,EnrollData2324,'2324 Jun 24 Enroll'!M$1,FALSE),'District Calculations'!$D$25)+IF(VLOOKUP($A72,EnrollData2324,'2324 Jun 24 Enroll'!D$1,FALSE)='District Calculations'!$D$11,VLOOKUP($A72,EnrollData2324,'2324 Jun 24 Enroll'!D$1,FALSE),'District Calculations'!$D$11)),5)</f>
        <v>5.5530000000000003E-2</v>
      </c>
      <c r="K72" s="11">
        <f t="shared" si="6"/>
        <v>4.3699999999999998E-3</v>
      </c>
      <c r="L72">
        <f>ROUND(IF(VLOOKUP($A72,EnrollData2324,'2324 Jun 24 Enroll'!D$1,FALSE)='District Calculations'!$D$11,VLOOKUP($A72,EnrollData2324,'2324 Jun 24 Enroll'!D$1,FALSE),'District Calculations'!$D$11)*K72,3)</f>
        <v>0</v>
      </c>
      <c r="M72">
        <f>ROUND(IF(VLOOKUP($A72,EnrollData2324,'2324 Jun 24 Enroll'!E$1,FALSE)='District Calculations'!$D$12,VLOOKUP($A72,EnrollData2324,'2324 Jun 24 Enroll'!E$1,FALSE),'District Calculations'!$D$12)*K72,3)</f>
        <v>3.5419999999999998</v>
      </c>
      <c r="N72">
        <f>ROUND(IF(VLOOKUP($A72,EnrollData2324,'2324 Jun 24 Enroll'!F$1,FALSE)='District Calculations'!$D$13,VLOOKUP($A72,EnrollData2324,'2324 Jun 24 Enroll'!F$1,FALSE),'District Calculations'!$D$13)*Apport_223A2324s,3)</f>
        <v>0.84299999999999997</v>
      </c>
      <c r="O72">
        <f>ROUND(IF(VLOOKUP($A72,EnrollData2324,'2324 Jun 24 Enroll'!G$1,FALSE)='District Calculations'!$D$14,VLOOKUP($A72,EnrollData2324,'2324 Jun 24 Enroll'!G$1,FALSE),'District Calculations'!$D$14)*Apport_211A2324s,3)</f>
        <v>1.87</v>
      </c>
      <c r="P72">
        <f>ROUND(IF(VLOOKUP($A72,EnrollData2324,'2324 Jun 24 Enroll'!H$1,FALSE)='District Calculations'!$D$14,VLOOKUP($A72,EnrollData2324,'2324 Jun 24 Enroll'!H$1,FALSE),'District Calculations'!$D$14)*Apport_214A2324s,3)</f>
        <v>1.8680000000000001</v>
      </c>
      <c r="Q72">
        <f>ROUND(IF(VLOOKUP($A72,EnrollData2324,'2324 Jun 24 Enroll'!I$1,FALSE)+VLOOKUP($A72,EnrollData2324,'2324 Jun 24 Enroll'!M$1,FALSE)-VLOOKUP($A72,EnrollData2324,'2324 Jun 24 Enroll'!J$1,FALSE)='District Calculations'!$D$16+'District Calculations'!$D$25-'District Calculations'!$D$17,VLOOKUP($A72,EnrollData2324,'2324 Jun 24 Enroll'!I$1,FALSE)+VLOOKUP($A72,EnrollData2324,'2324 Jun 24 Enroll'!M$1,FALSE)-VLOOKUP($A72,EnrollData2324,'2324 Jun 24 Enroll'!J$1,FALSE),'District Calculations'!$D$16+'District Calculations'!$D$25-'District Calculations'!$D$17)*Apport_217A2324s,3)</f>
        <v>4.702</v>
      </c>
      <c r="R72">
        <f>ROUND(SUM(L72:Q72)/IF(VLOOKUP($A72,EnrollData2324,'2324 Jun 24 Enroll'!M$1,FALSE)+VLOOKUP($A72,EnrollData2324,'2324 Jun 24 Enroll'!D$1,FALSE)='District Calculations'!$D$25+'District Calculations'!$D$11,VLOOKUP($A72,EnrollData2324,'2324 Jun 24 Enroll'!M$1,FALSE)+VLOOKUP($A72,EnrollData2324,'2324 Jun 24 Enroll'!D$1,FALSE),'District Calculations'!$D$25+'District Calculations'!$D$11),5)</f>
        <v>4.1099999999999999E-3</v>
      </c>
      <c r="S72" s="11">
        <f t="shared" si="7"/>
        <v>1.8689600000000001E-2</v>
      </c>
      <c r="T72">
        <f>ROUND(IF(VLOOKUP($A72,EnrollData2324,'2324 Jun 24 Enroll'!D$1,FALSE)='District Calculations'!$D$11,VLOOKUP($A72,EnrollData2324,'2324 Jun 24 Enroll'!D$1,FALSE),'District Calculations'!$D$11)*S72,3)</f>
        <v>0</v>
      </c>
      <c r="U72">
        <f>ROUND(IF(VLOOKUP($A72,EnrollData2324,'2324 Jun 24 Enroll'!E$1,FALSE)='District Calculations'!$D$12,VLOOKUP($A72,EnrollData2324,'2324 Jun 24 Enroll'!E$1,FALSE),'District Calculations'!$D$12)*S72,3)</f>
        <v>15.148</v>
      </c>
      <c r="V72">
        <f>ROUND(IF(VLOOKUP($A72,EnrollData2324,'2324 Jun 24 Enroll'!F$1,FALSE)='District Calculations'!$D$13,VLOOKUP($A72,EnrollData2324,'2324 Jun 24 Enroll'!F$1,FALSE),'District Calculations'!$D$13)*Apport_224A2324s,3)</f>
        <v>3.7029999999999998</v>
      </c>
      <c r="W72">
        <f>ROUND(IF(VLOOKUP($A72,EnrollData2324,'2324 Jun 24 Enroll'!G$1,FALSE)='District Calculations'!$D$14,VLOOKUP($A72,EnrollData2324,'2324 Jun 24 Enroll'!G$1,FALSE),'District Calculations'!$D$14)*Apport_212A2324s,3)</f>
        <v>8.2089999999999996</v>
      </c>
      <c r="X72">
        <f>ROUND(IF(VLOOKUP($A72,EnrollData2324,'2324 Jun 24 Enroll'!H$1,FALSE)='District Calculations'!$D$14,VLOOKUP($A72,EnrollData2324,'2324 Jun 24 Enroll'!H$1,FALSE),'District Calculations'!$D$14)*Apport_215A2324s,3)</f>
        <v>8.0969999999999995</v>
      </c>
      <c r="Y72">
        <f>ROUND(IF(VLOOKUP($A72,EnrollData2324,'2324 Jun 24 Enroll'!I$1,FALSE)+VLOOKUP($A72,EnrollData2324,'2324 Jun 24 Enroll'!M$1,FALSE)-VLOOKUP($A72,EnrollData2324,'2324 Jun 24 Enroll'!J$1,FALSE)='District Calculations'!$D$16+'District Calculations'!$D$25-'District Calculations'!$D$17,VLOOKUP($A72,EnrollData2324,'2324 Jun 24 Enroll'!I$1,FALSE)+VLOOKUP($A72,EnrollData2324,'2324 Jun 24 Enroll'!M$1,FALSE)-VLOOKUP($A72,EnrollData2324,'2324 Jun 24 Enroll'!J$1,FALSE),'District Calculations'!$D$16+'District Calculations'!$D$25-'District Calculations'!$D$17)*Apport_218A2324s,3)</f>
        <v>20.224</v>
      </c>
      <c r="Z72">
        <f>ROUND(SUM(T72:Y72)/IF(VLOOKUP($A72,EnrollData2324,'2324 Jun 24 Enroll'!M$1,FALSE)+VLOOKUP($A72,EnrollData2324,'2324 Jun 24 Enroll'!D$1,FALSE)='District Calculations'!$D$25+'District Calculations'!$D$11,VLOOKUP($A72,EnrollData2324,'2324 Jun 24 Enroll'!M$1,FALSE)+VLOOKUP($A72,EnrollData2324,'2324 Jun 24 Enroll'!D$1,FALSE),'District Calculations'!$D$25+'District Calculations'!$D$11),5)</f>
        <v>1.7749999999999998E-2</v>
      </c>
      <c r="AA72" s="6" cm="1">
        <f t="array" ref="AA72">ROUND($J72*CIS_Base_Salary2324s*VLOOKUP($A72,EnrollData2324,'2324 Jun 24 Enroll'!S$1,FALSE),2)</f>
        <v>4038.59</v>
      </c>
      <c r="AB72" s="6" cm="1">
        <f t="array" ref="AB72">ROUND($J72*CIS_Inc_Salary2324s*(VLOOKUP($A72,EnrollData2324,'2324 Jun 24 Enroll'!T$1,FALSE)+VLOOKUP($A72,EnrollData2324,'2324 Jun 24 Enroll'!U$1,FALSE)),2)-AA72</f>
        <v>149.43000000000029</v>
      </c>
      <c r="AC72" s="6" cm="1">
        <f t="array" ref="AC72">ROUND($R72*CAS_Base_Salary2324s*VLOOKUP($A72,EnrollData2324,'2324 Jun 24 Enroll'!S$1,FALSE),2)</f>
        <v>443.7</v>
      </c>
      <c r="AD72" s="6" cm="1">
        <f t="array" ref="AD72">ROUND($R72*CAS_Inc_Salary2324s*VLOOKUP($A72,EnrollData2324,'2324 Jun 24 Enroll'!T$1,FALSE),2)-AC72</f>
        <v>16.410000000000025</v>
      </c>
      <c r="AE72" s="6" cm="1">
        <f t="array" ref="AE72">ROUND($Z72*CLS_Base_Salary2324s*VLOOKUP($A72,EnrollData2324,'2324 Jun 24 Enroll'!S$1,FALSE),2)</f>
        <v>926.07</v>
      </c>
      <c r="AF72" s="6" cm="1">
        <f t="array" ref="AF72">ROUND($Z72*CLS_Inc_Salary2324s*VLOOKUP($A72,EnrollData2324,'2324 Jun 24 Enroll'!T$1,FALSE),2)-AE72</f>
        <v>34.259999999999991</v>
      </c>
      <c r="AG72" cm="1">
        <f t="array" ref="AG72">ROUND(($J72+$R72)*Apport_124X2324s,2)</f>
        <v>734.29</v>
      </c>
      <c r="AH72" s="69">
        <f t="shared" si="8"/>
        <v>68.700000000000045</v>
      </c>
      <c r="AI72" cm="1">
        <f t="array" ref="AI72">ROUND($Z72*Apport_124X2324s,2)</f>
        <v>218.54</v>
      </c>
      <c r="AJ72" cm="1">
        <f t="array" ref="AJ72">ROUND($Z72*Apport_621X2324s*Apport_125X2324s,2)-AI72</f>
        <v>116.51000000000002</v>
      </c>
      <c r="AK72" cm="1">
        <f t="array" ref="AK72">ROUND((AA72+AC72)*Apport_126X2324s,2)</f>
        <v>805.47</v>
      </c>
      <c r="AL72" cm="1">
        <f t="array" ref="AL72">ROUND((AB72+AD72)*Apport_127X2324s,2)</f>
        <v>28.74</v>
      </c>
      <c r="AM72" cm="1">
        <f t="array" ref="AM72">ROUND(AE72*Apport_128X2324s,2)</f>
        <v>204.29</v>
      </c>
      <c r="AN72" cm="1">
        <f t="array" ref="AN72">ROUND(AF72*Apport_129X2324s,2)</f>
        <v>6.36</v>
      </c>
      <c r="AO72" cm="1">
        <f t="array" ref="AO72">ROUND(($J72*CIS_Inc_Salary2324s*(VLOOKUP($A72,EnrollData2324,'2324 Jun 24 Enroll'!T$1,FALSE)+VLOOKUP($A72,EnrollData2324,'2324 Jun 24 Enroll'!U$1,FALSE))/Apport_613Xpd)*Apport_614Xpd,2)</f>
        <v>69.8</v>
      </c>
      <c r="AP72" cm="1">
        <f t="array" ref="AP72">ROUND(AO72*Apport_127X2324s,2)</f>
        <v>12.1</v>
      </c>
      <c r="AQ72">
        <f t="shared" si="9"/>
        <v>30.93</v>
      </c>
      <c r="AR72" s="6" cm="1">
        <f t="array" ref="AR72">ROUND((VLOOKUP($A72,EnrollData2324,'2324 Jun 24 Enroll'!D$1,FALSE)*Apport_M802324s+VLOOKUP($A72,EnrollData2324,'2324 Jun 24 Enroll'!M$1,FALSE)*Apport_M802324s+(VLOOKUP($A72,EnrollData2324,'2324 Jun 24 Enroll'!P$1,FALSE)+VLOOKUP($A72,EnrollData2324,'2324 Jun 24 Enroll'!Q$1,FALSE)+VLOOKUP($A72,EnrollData2324,'2324 Jun 24 Enroll'!R$1,FALSE)+VLOOKUP($A72,EnrollData2324,'2324 Jun 24 Enroll'!I$1,FALSE)+VLOOKUP($A72,EnrollData2324,'2324 Jun 24 Enroll'!N$1,FALSE)+VLOOKUP($A72,EnrollData2324,'2324 Jun 24 Enroll'!O$1,FALSE)+VLOOKUP($A72,EnrollData2324,'2324 Jun 24 Enroll'!K$1,FALSE)+VLOOKUP($A72,EnrollData2324,'2324 Jun 24 Enroll'!L$1,FALSE))*Apport_M812324s)/(VLOOKUP($A72,EnrollData2324,'2324 Jun 24 Enroll'!M$1,FALSE)+VLOOKUP($A72,EnrollData2324,'2324 Jun 24 Enroll'!D$1,FALSE)),2)</f>
        <v>1569.13</v>
      </c>
      <c r="AS72" s="7">
        <f t="shared" si="11"/>
        <v>9473.32</v>
      </c>
    </row>
    <row r="73" spans="1:45">
      <c r="A73" s="40" t="s">
        <v>366</v>
      </c>
      <c r="B73" s="40" t="s">
        <v>367</v>
      </c>
      <c r="C73" s="11">
        <f>ROUND((IFERROR((1/IF(VLOOKUP($A73,EnrollData2324,28,FALSE)='District Calculations'!$D$10,VLOOKUP($A73,EnrollData2324,28,FALSE),'District Calculations'!$D$10))*(1+Apport_Z315),0))+Apport_201A2324s,6)</f>
        <v>7.3449E-2</v>
      </c>
      <c r="D73">
        <f>ROUND(IF(VLOOKUP($A73,EnrollData2324,'2324 Jun 24 Enroll'!D$1,FALSE)='District Calculations'!$D$11,VLOOKUP($A73,EnrollData2324,'2324 Jun 24 Enroll'!D$1,FALSE),'District Calculations'!$D$11)*C73,3)</f>
        <v>0</v>
      </c>
      <c r="E73">
        <f>ROUND(IF(VLOOKUP($A73,EnrollData2324,'2324 Jun 24 Enroll'!E$1,FALSE)='District Calculations'!$D$12,VLOOKUP($A73,EnrollData2324,'2324 Jun 24 Enroll'!E$1,FALSE),'District Calculations'!$D$12)*C73,3)</f>
        <v>59.53</v>
      </c>
      <c r="F73">
        <f>ROUND(IF(VLOOKUP($A73,EnrollData2324,'2324 Jun 24 Enroll'!F$1,FALSE)='District Calculations'!$D$13,VLOOKUP($A73,EnrollData2324,'2324 Jun 24 Enroll'!F$1,FALSE),'District Calculations'!$D$13)*Apport_222A2324s,3)</f>
        <v>10.101000000000001</v>
      </c>
      <c r="G73">
        <f>ROUND(IF(VLOOKUP($A73,EnrollData2324,'2324 Jun 24 Enroll'!G$1,FALSE)='District Calculations'!$D$14,VLOOKUP($A73,EnrollData2324,'2324 Jun 24 Enroll'!G$1,FALSE),'District Calculations'!$D$14)*Apport_210A2324s,3)</f>
        <v>22.395</v>
      </c>
      <c r="H73">
        <f>ROUND(IF(VLOOKUP($A73,EnrollData2324,'2324 Jun 24 Enroll'!H$1,FALSE)='District Calculations'!$D$15,VLOOKUP($A73,EnrollData2324,'2324 Jun 24 Enroll'!H$1,FALSE),'District Calculations'!$D$15)*Apport_213A2324s,3)</f>
        <v>23.091999999999999</v>
      </c>
      <c r="I73">
        <f>ROUND(IF(VLOOKUP($A73,EnrollData2324,'2324 Jun 24 Enroll'!I$1,FALSE)+VLOOKUP($A73,EnrollData2324,'2324 Jun 24 Enroll'!M$1,FALSE)-VLOOKUP($A73,EnrollData2324,'2324 Jun 24 Enroll'!J$1,FALSE)='District Calculations'!$D$16+'District Calculations'!$D$25-'District Calculations'!$D$17,VLOOKUP($A73,EnrollData2324,'2324 Jun 24 Enroll'!I$1,FALSE)+VLOOKUP($A73,EnrollData2324,'2324 Jun 24 Enroll'!M$1,FALSE)-VLOOKUP($A73,EnrollData2324,'2324 Jun 24 Enroll'!J$1,FALSE),'District Calculations'!$D$16+'District Calculations'!$D$25-'District Calculations'!$D$17)*Apport_216A2324s,3)</f>
        <v>58.183999999999997</v>
      </c>
      <c r="J73">
        <f>ROUND(SUM(D73:I73)/(IF(VLOOKUP($A73,EnrollData2324,'2324 Jun 24 Enroll'!M$1,FALSE)='District Calculations'!$D$25,VLOOKUP($A73,EnrollData2324,'2324 Jun 24 Enroll'!M$1,FALSE),'District Calculations'!$D$25)+IF(VLOOKUP($A73,EnrollData2324,'2324 Jun 24 Enroll'!D$1,FALSE)='District Calculations'!$D$11,VLOOKUP($A73,EnrollData2324,'2324 Jun 24 Enroll'!D$1,FALSE),'District Calculations'!$D$11)),5)</f>
        <v>5.5530000000000003E-2</v>
      </c>
      <c r="K73" s="11">
        <f t="shared" si="6"/>
        <v>4.3699999999999998E-3</v>
      </c>
      <c r="L73">
        <f>ROUND(IF(VLOOKUP($A73,EnrollData2324,'2324 Jun 24 Enroll'!D$1,FALSE)='District Calculations'!$D$11,VLOOKUP($A73,EnrollData2324,'2324 Jun 24 Enroll'!D$1,FALSE),'District Calculations'!$D$11)*K73,3)</f>
        <v>0</v>
      </c>
      <c r="M73">
        <f>ROUND(IF(VLOOKUP($A73,EnrollData2324,'2324 Jun 24 Enroll'!E$1,FALSE)='District Calculations'!$D$12,VLOOKUP($A73,EnrollData2324,'2324 Jun 24 Enroll'!E$1,FALSE),'District Calculations'!$D$12)*K73,3)</f>
        <v>3.5419999999999998</v>
      </c>
      <c r="N73">
        <f>ROUND(IF(VLOOKUP($A73,EnrollData2324,'2324 Jun 24 Enroll'!F$1,FALSE)='District Calculations'!$D$13,VLOOKUP($A73,EnrollData2324,'2324 Jun 24 Enroll'!F$1,FALSE),'District Calculations'!$D$13)*Apport_223A2324s,3)</f>
        <v>0.84299999999999997</v>
      </c>
      <c r="O73">
        <f>ROUND(IF(VLOOKUP($A73,EnrollData2324,'2324 Jun 24 Enroll'!G$1,FALSE)='District Calculations'!$D$14,VLOOKUP($A73,EnrollData2324,'2324 Jun 24 Enroll'!G$1,FALSE),'District Calculations'!$D$14)*Apport_211A2324s,3)</f>
        <v>1.87</v>
      </c>
      <c r="P73">
        <f>ROUND(IF(VLOOKUP($A73,EnrollData2324,'2324 Jun 24 Enroll'!H$1,FALSE)='District Calculations'!$D$14,VLOOKUP($A73,EnrollData2324,'2324 Jun 24 Enroll'!H$1,FALSE),'District Calculations'!$D$14)*Apport_214A2324s,3)</f>
        <v>1.8680000000000001</v>
      </c>
      <c r="Q73">
        <f>ROUND(IF(VLOOKUP($A73,EnrollData2324,'2324 Jun 24 Enroll'!I$1,FALSE)+VLOOKUP($A73,EnrollData2324,'2324 Jun 24 Enroll'!M$1,FALSE)-VLOOKUP($A73,EnrollData2324,'2324 Jun 24 Enroll'!J$1,FALSE)='District Calculations'!$D$16+'District Calculations'!$D$25-'District Calculations'!$D$17,VLOOKUP($A73,EnrollData2324,'2324 Jun 24 Enroll'!I$1,FALSE)+VLOOKUP($A73,EnrollData2324,'2324 Jun 24 Enroll'!M$1,FALSE)-VLOOKUP($A73,EnrollData2324,'2324 Jun 24 Enroll'!J$1,FALSE),'District Calculations'!$D$16+'District Calculations'!$D$25-'District Calculations'!$D$17)*Apport_217A2324s,3)</f>
        <v>4.702</v>
      </c>
      <c r="R73">
        <f>ROUND(SUM(L73:Q73)/IF(VLOOKUP($A73,EnrollData2324,'2324 Jun 24 Enroll'!M$1,FALSE)+VLOOKUP($A73,EnrollData2324,'2324 Jun 24 Enroll'!D$1,FALSE)='District Calculations'!$D$25+'District Calculations'!$D$11,VLOOKUP($A73,EnrollData2324,'2324 Jun 24 Enroll'!M$1,FALSE)+VLOOKUP($A73,EnrollData2324,'2324 Jun 24 Enroll'!D$1,FALSE),'District Calculations'!$D$25+'District Calculations'!$D$11),5)</f>
        <v>4.1099999999999999E-3</v>
      </c>
      <c r="S73" s="11">
        <f t="shared" si="7"/>
        <v>1.8689600000000001E-2</v>
      </c>
      <c r="T73">
        <f>ROUND(IF(VLOOKUP($A73,EnrollData2324,'2324 Jun 24 Enroll'!D$1,FALSE)='District Calculations'!$D$11,VLOOKUP($A73,EnrollData2324,'2324 Jun 24 Enroll'!D$1,FALSE),'District Calculations'!$D$11)*S73,3)</f>
        <v>0</v>
      </c>
      <c r="U73">
        <f>ROUND(IF(VLOOKUP($A73,EnrollData2324,'2324 Jun 24 Enroll'!E$1,FALSE)='District Calculations'!$D$12,VLOOKUP($A73,EnrollData2324,'2324 Jun 24 Enroll'!E$1,FALSE),'District Calculations'!$D$12)*S73,3)</f>
        <v>15.148</v>
      </c>
      <c r="V73">
        <f>ROUND(IF(VLOOKUP($A73,EnrollData2324,'2324 Jun 24 Enroll'!F$1,FALSE)='District Calculations'!$D$13,VLOOKUP($A73,EnrollData2324,'2324 Jun 24 Enroll'!F$1,FALSE),'District Calculations'!$D$13)*Apport_224A2324s,3)</f>
        <v>3.7029999999999998</v>
      </c>
      <c r="W73">
        <f>ROUND(IF(VLOOKUP($A73,EnrollData2324,'2324 Jun 24 Enroll'!G$1,FALSE)='District Calculations'!$D$14,VLOOKUP($A73,EnrollData2324,'2324 Jun 24 Enroll'!G$1,FALSE),'District Calculations'!$D$14)*Apport_212A2324s,3)</f>
        <v>8.2089999999999996</v>
      </c>
      <c r="X73">
        <f>ROUND(IF(VLOOKUP($A73,EnrollData2324,'2324 Jun 24 Enroll'!H$1,FALSE)='District Calculations'!$D$14,VLOOKUP($A73,EnrollData2324,'2324 Jun 24 Enroll'!H$1,FALSE),'District Calculations'!$D$14)*Apport_215A2324s,3)</f>
        <v>8.0969999999999995</v>
      </c>
      <c r="Y73">
        <f>ROUND(IF(VLOOKUP($A73,EnrollData2324,'2324 Jun 24 Enroll'!I$1,FALSE)+VLOOKUP($A73,EnrollData2324,'2324 Jun 24 Enroll'!M$1,FALSE)-VLOOKUP($A73,EnrollData2324,'2324 Jun 24 Enroll'!J$1,FALSE)='District Calculations'!$D$16+'District Calculations'!$D$25-'District Calculations'!$D$17,VLOOKUP($A73,EnrollData2324,'2324 Jun 24 Enroll'!I$1,FALSE)+VLOOKUP($A73,EnrollData2324,'2324 Jun 24 Enroll'!M$1,FALSE)-VLOOKUP($A73,EnrollData2324,'2324 Jun 24 Enroll'!J$1,FALSE),'District Calculations'!$D$16+'District Calculations'!$D$25-'District Calculations'!$D$17)*Apport_218A2324s,3)</f>
        <v>20.224</v>
      </c>
      <c r="Z73">
        <f>ROUND(SUM(T73:Y73)/IF(VLOOKUP($A73,EnrollData2324,'2324 Jun 24 Enroll'!M$1,FALSE)+VLOOKUP($A73,EnrollData2324,'2324 Jun 24 Enroll'!D$1,FALSE)='District Calculations'!$D$25+'District Calculations'!$D$11,VLOOKUP($A73,EnrollData2324,'2324 Jun 24 Enroll'!M$1,FALSE)+VLOOKUP($A73,EnrollData2324,'2324 Jun 24 Enroll'!D$1,FALSE),'District Calculations'!$D$25+'District Calculations'!$D$11),5)</f>
        <v>1.7749999999999998E-2</v>
      </c>
      <c r="AA73" s="6" cm="1">
        <f t="array" ref="AA73">ROUND($J73*CIS_Base_Salary2324s*VLOOKUP($A73,EnrollData2324,'2324 Jun 24 Enroll'!S$1,FALSE),2)</f>
        <v>4038.59</v>
      </c>
      <c r="AB73" s="6" cm="1">
        <f t="array" ref="AB73">ROUND($J73*CIS_Inc_Salary2324s*(VLOOKUP($A73,EnrollData2324,'2324 Jun 24 Enroll'!T$1,FALSE)+VLOOKUP($A73,EnrollData2324,'2324 Jun 24 Enroll'!U$1,FALSE)),2)-AA73</f>
        <v>149.43000000000029</v>
      </c>
      <c r="AC73" s="6" cm="1">
        <f t="array" ref="AC73">ROUND($R73*CAS_Base_Salary2324s*VLOOKUP($A73,EnrollData2324,'2324 Jun 24 Enroll'!S$1,FALSE),2)</f>
        <v>443.7</v>
      </c>
      <c r="AD73" s="6" cm="1">
        <f t="array" ref="AD73">ROUND($R73*CAS_Inc_Salary2324s*VLOOKUP($A73,EnrollData2324,'2324 Jun 24 Enroll'!T$1,FALSE),2)-AC73</f>
        <v>16.410000000000025</v>
      </c>
      <c r="AE73" s="6" cm="1">
        <f t="array" ref="AE73">ROUND($Z73*CLS_Base_Salary2324s*VLOOKUP($A73,EnrollData2324,'2324 Jun 24 Enroll'!S$1,FALSE),2)</f>
        <v>926.07</v>
      </c>
      <c r="AF73" s="6" cm="1">
        <f t="array" ref="AF73">ROUND($Z73*CLS_Inc_Salary2324s*VLOOKUP($A73,EnrollData2324,'2324 Jun 24 Enroll'!T$1,FALSE),2)-AE73</f>
        <v>34.259999999999991</v>
      </c>
      <c r="AG73" cm="1">
        <f t="array" ref="AG73">ROUND(($J73+$R73)*Apport_124X2324s,2)</f>
        <v>734.29</v>
      </c>
      <c r="AH73" s="69">
        <f t="shared" si="8"/>
        <v>68.700000000000045</v>
      </c>
      <c r="AI73" cm="1">
        <f t="array" ref="AI73">ROUND($Z73*Apport_124X2324s,2)</f>
        <v>218.54</v>
      </c>
      <c r="AJ73" cm="1">
        <f t="array" ref="AJ73">ROUND($Z73*Apport_621X2324s*Apport_125X2324s,2)-AI73</f>
        <v>116.51000000000002</v>
      </c>
      <c r="AK73" cm="1">
        <f t="array" ref="AK73">ROUND((AA73+AC73)*Apport_126X2324s,2)</f>
        <v>805.47</v>
      </c>
      <c r="AL73" cm="1">
        <f t="array" ref="AL73">ROUND((AB73+AD73)*Apport_127X2324s,2)</f>
        <v>28.74</v>
      </c>
      <c r="AM73" cm="1">
        <f t="array" ref="AM73">ROUND(AE73*Apport_128X2324s,2)</f>
        <v>204.29</v>
      </c>
      <c r="AN73" cm="1">
        <f t="array" ref="AN73">ROUND(AF73*Apport_129X2324s,2)</f>
        <v>6.36</v>
      </c>
      <c r="AO73" cm="1">
        <f t="array" ref="AO73">ROUND(($J73*CIS_Inc_Salary2324s*(VLOOKUP($A73,EnrollData2324,'2324 Jun 24 Enroll'!T$1,FALSE)+VLOOKUP($A73,EnrollData2324,'2324 Jun 24 Enroll'!U$1,FALSE))/Apport_613Xpd)*Apport_614Xpd,2)</f>
        <v>69.8</v>
      </c>
      <c r="AP73" cm="1">
        <f t="array" ref="AP73">ROUND(AO73*Apport_127X2324s,2)</f>
        <v>12.1</v>
      </c>
      <c r="AQ73">
        <f t="shared" si="9"/>
        <v>30.93</v>
      </c>
      <c r="AR73" s="6" cm="1">
        <f t="array" ref="AR73">ROUND((VLOOKUP($A73,EnrollData2324,'2324 Jun 24 Enroll'!D$1,FALSE)*Apport_M802324s+VLOOKUP($A73,EnrollData2324,'2324 Jun 24 Enroll'!M$1,FALSE)*Apport_M802324s+(VLOOKUP($A73,EnrollData2324,'2324 Jun 24 Enroll'!P$1,FALSE)+VLOOKUP($A73,EnrollData2324,'2324 Jun 24 Enroll'!Q$1,FALSE)+VLOOKUP($A73,EnrollData2324,'2324 Jun 24 Enroll'!R$1,FALSE)+VLOOKUP($A73,EnrollData2324,'2324 Jun 24 Enroll'!I$1,FALSE)+VLOOKUP($A73,EnrollData2324,'2324 Jun 24 Enroll'!N$1,FALSE)+VLOOKUP($A73,EnrollData2324,'2324 Jun 24 Enroll'!O$1,FALSE)+VLOOKUP($A73,EnrollData2324,'2324 Jun 24 Enroll'!K$1,FALSE)+VLOOKUP($A73,EnrollData2324,'2324 Jun 24 Enroll'!L$1,FALSE))*Apport_M812324s)/(VLOOKUP($A73,EnrollData2324,'2324 Jun 24 Enroll'!M$1,FALSE)+VLOOKUP($A73,EnrollData2324,'2324 Jun 24 Enroll'!D$1,FALSE)),2)</f>
        <v>1566.13</v>
      </c>
      <c r="AS73" s="7">
        <f t="shared" si="11"/>
        <v>9470.32</v>
      </c>
    </row>
    <row r="74" spans="1:45">
      <c r="A74" s="40" t="s">
        <v>889</v>
      </c>
      <c r="B74" s="40" t="s">
        <v>890</v>
      </c>
      <c r="C74" s="11">
        <f>ROUND((IFERROR((1/IF(VLOOKUP($A74,EnrollData2324,28,FALSE)='District Calculations'!$D$10,VLOOKUP($A74,EnrollData2324,28,FALSE),'District Calculations'!$D$10))*(1+Apport_Z315),0))+Apport_201A2324s,6)</f>
        <v>7.3449E-2</v>
      </c>
      <c r="D74">
        <f>ROUND(IF(VLOOKUP($A74,EnrollData2324,'2324 Jun 24 Enroll'!D$1,FALSE)='District Calculations'!$D$11,VLOOKUP($A74,EnrollData2324,'2324 Jun 24 Enroll'!D$1,FALSE),'District Calculations'!$D$11)*C74,3)</f>
        <v>0</v>
      </c>
      <c r="E74">
        <f>ROUND(IF(VLOOKUP($A74,EnrollData2324,'2324 Jun 24 Enroll'!E$1,FALSE)='District Calculations'!$D$12,VLOOKUP($A74,EnrollData2324,'2324 Jun 24 Enroll'!E$1,FALSE),'District Calculations'!$D$12)*C74,3)</f>
        <v>59.53</v>
      </c>
      <c r="F74">
        <f>ROUND(IF(VLOOKUP($A74,EnrollData2324,'2324 Jun 24 Enroll'!F$1,FALSE)='District Calculations'!$D$13,VLOOKUP($A74,EnrollData2324,'2324 Jun 24 Enroll'!F$1,FALSE),'District Calculations'!$D$13)*Apport_222A2324s,3)</f>
        <v>10.101000000000001</v>
      </c>
      <c r="G74">
        <f>ROUND(IF(VLOOKUP($A74,EnrollData2324,'2324 Jun 24 Enroll'!G$1,FALSE)='District Calculations'!$D$14,VLOOKUP($A74,EnrollData2324,'2324 Jun 24 Enroll'!G$1,FALSE),'District Calculations'!$D$14)*Apport_210A2324s,3)</f>
        <v>22.395</v>
      </c>
      <c r="H74">
        <f>ROUND(IF(VLOOKUP($A74,EnrollData2324,'2324 Jun 24 Enroll'!H$1,FALSE)='District Calculations'!$D$15,VLOOKUP($A74,EnrollData2324,'2324 Jun 24 Enroll'!H$1,FALSE),'District Calculations'!$D$15)*Apport_213A2324s,3)</f>
        <v>23.091999999999999</v>
      </c>
      <c r="I74">
        <f>ROUND(IF(VLOOKUP($A74,EnrollData2324,'2324 Jun 24 Enroll'!I$1,FALSE)+VLOOKUP($A74,EnrollData2324,'2324 Jun 24 Enroll'!M$1,FALSE)-VLOOKUP($A74,EnrollData2324,'2324 Jun 24 Enroll'!J$1,FALSE)='District Calculations'!$D$16+'District Calculations'!$D$25-'District Calculations'!$D$17,VLOOKUP($A74,EnrollData2324,'2324 Jun 24 Enroll'!I$1,FALSE)+VLOOKUP($A74,EnrollData2324,'2324 Jun 24 Enroll'!M$1,FALSE)-VLOOKUP($A74,EnrollData2324,'2324 Jun 24 Enroll'!J$1,FALSE),'District Calculations'!$D$16+'District Calculations'!$D$25-'District Calculations'!$D$17)*Apport_216A2324s,3)</f>
        <v>58.183999999999997</v>
      </c>
      <c r="J74">
        <f>ROUND(SUM(D74:I74)/(IF(VLOOKUP($A74,EnrollData2324,'2324 Jun 24 Enroll'!M$1,FALSE)='District Calculations'!$D$25,VLOOKUP($A74,EnrollData2324,'2324 Jun 24 Enroll'!M$1,FALSE),'District Calculations'!$D$25)+IF(VLOOKUP($A74,EnrollData2324,'2324 Jun 24 Enroll'!D$1,FALSE)='District Calculations'!$D$11,VLOOKUP($A74,EnrollData2324,'2324 Jun 24 Enroll'!D$1,FALSE),'District Calculations'!$D$11)),5)</f>
        <v>5.5530000000000003E-2</v>
      </c>
      <c r="K74" s="11">
        <f t="shared" si="6"/>
        <v>4.3699999999999998E-3</v>
      </c>
      <c r="L74">
        <f>ROUND(IF(VLOOKUP($A74,EnrollData2324,'2324 Jun 24 Enroll'!D$1,FALSE)='District Calculations'!$D$11,VLOOKUP($A74,EnrollData2324,'2324 Jun 24 Enroll'!D$1,FALSE),'District Calculations'!$D$11)*K74,3)</f>
        <v>0</v>
      </c>
      <c r="M74">
        <f>ROUND(IF(VLOOKUP($A74,EnrollData2324,'2324 Jun 24 Enroll'!E$1,FALSE)='District Calculations'!$D$12,VLOOKUP($A74,EnrollData2324,'2324 Jun 24 Enroll'!E$1,FALSE),'District Calculations'!$D$12)*K74,3)</f>
        <v>3.5419999999999998</v>
      </c>
      <c r="N74">
        <f>ROUND(IF(VLOOKUP($A74,EnrollData2324,'2324 Jun 24 Enroll'!F$1,FALSE)='District Calculations'!$D$13,VLOOKUP($A74,EnrollData2324,'2324 Jun 24 Enroll'!F$1,FALSE),'District Calculations'!$D$13)*Apport_223A2324s,3)</f>
        <v>0.84299999999999997</v>
      </c>
      <c r="O74">
        <f>ROUND(IF(VLOOKUP($A74,EnrollData2324,'2324 Jun 24 Enroll'!G$1,FALSE)='District Calculations'!$D$14,VLOOKUP($A74,EnrollData2324,'2324 Jun 24 Enroll'!G$1,FALSE),'District Calculations'!$D$14)*Apport_211A2324s,3)</f>
        <v>1.87</v>
      </c>
      <c r="P74">
        <f>ROUND(IF(VLOOKUP($A74,EnrollData2324,'2324 Jun 24 Enroll'!H$1,FALSE)='District Calculations'!$D$14,VLOOKUP($A74,EnrollData2324,'2324 Jun 24 Enroll'!H$1,FALSE),'District Calculations'!$D$14)*Apport_214A2324s,3)</f>
        <v>1.8680000000000001</v>
      </c>
      <c r="Q74">
        <f>ROUND(IF(VLOOKUP($A74,EnrollData2324,'2324 Jun 24 Enroll'!I$1,FALSE)+VLOOKUP($A74,EnrollData2324,'2324 Jun 24 Enroll'!M$1,FALSE)-VLOOKUP($A74,EnrollData2324,'2324 Jun 24 Enroll'!J$1,FALSE)='District Calculations'!$D$16+'District Calculations'!$D$25-'District Calculations'!$D$17,VLOOKUP($A74,EnrollData2324,'2324 Jun 24 Enroll'!I$1,FALSE)+VLOOKUP($A74,EnrollData2324,'2324 Jun 24 Enroll'!M$1,FALSE)-VLOOKUP($A74,EnrollData2324,'2324 Jun 24 Enroll'!J$1,FALSE),'District Calculations'!$D$16+'District Calculations'!$D$25-'District Calculations'!$D$17)*Apport_217A2324s,3)</f>
        <v>4.702</v>
      </c>
      <c r="R74">
        <f>ROUND(SUM(L74:Q74)/IF(VLOOKUP($A74,EnrollData2324,'2324 Jun 24 Enroll'!M$1,FALSE)+VLOOKUP($A74,EnrollData2324,'2324 Jun 24 Enroll'!D$1,FALSE)='District Calculations'!$D$25+'District Calculations'!$D$11,VLOOKUP($A74,EnrollData2324,'2324 Jun 24 Enroll'!M$1,FALSE)+VLOOKUP($A74,EnrollData2324,'2324 Jun 24 Enroll'!D$1,FALSE),'District Calculations'!$D$25+'District Calculations'!$D$11),5)</f>
        <v>4.1099999999999999E-3</v>
      </c>
      <c r="S74" s="11">
        <f t="shared" si="7"/>
        <v>1.8689600000000001E-2</v>
      </c>
      <c r="T74">
        <f>ROUND(IF(VLOOKUP($A74,EnrollData2324,'2324 Jun 24 Enroll'!D$1,FALSE)='District Calculations'!$D$11,VLOOKUP($A74,EnrollData2324,'2324 Jun 24 Enroll'!D$1,FALSE),'District Calculations'!$D$11)*S74,3)</f>
        <v>0</v>
      </c>
      <c r="U74">
        <f>ROUND(IF(VLOOKUP($A74,EnrollData2324,'2324 Jun 24 Enroll'!E$1,FALSE)='District Calculations'!$D$12,VLOOKUP($A74,EnrollData2324,'2324 Jun 24 Enroll'!E$1,FALSE),'District Calculations'!$D$12)*S74,3)</f>
        <v>15.148</v>
      </c>
      <c r="V74">
        <f>ROUND(IF(VLOOKUP($A74,EnrollData2324,'2324 Jun 24 Enroll'!F$1,FALSE)='District Calculations'!$D$13,VLOOKUP($A74,EnrollData2324,'2324 Jun 24 Enroll'!F$1,FALSE),'District Calculations'!$D$13)*Apport_224A2324s,3)</f>
        <v>3.7029999999999998</v>
      </c>
      <c r="W74">
        <f>ROUND(IF(VLOOKUP($A74,EnrollData2324,'2324 Jun 24 Enroll'!G$1,FALSE)='District Calculations'!$D$14,VLOOKUP($A74,EnrollData2324,'2324 Jun 24 Enroll'!G$1,FALSE),'District Calculations'!$D$14)*Apport_212A2324s,3)</f>
        <v>8.2089999999999996</v>
      </c>
      <c r="X74">
        <f>ROUND(IF(VLOOKUP($A74,EnrollData2324,'2324 Jun 24 Enroll'!H$1,FALSE)='District Calculations'!$D$14,VLOOKUP($A74,EnrollData2324,'2324 Jun 24 Enroll'!H$1,FALSE),'District Calculations'!$D$14)*Apport_215A2324s,3)</f>
        <v>8.0969999999999995</v>
      </c>
      <c r="Y74">
        <f>ROUND(IF(VLOOKUP($A74,EnrollData2324,'2324 Jun 24 Enroll'!I$1,FALSE)+VLOOKUP($A74,EnrollData2324,'2324 Jun 24 Enroll'!M$1,FALSE)-VLOOKUP($A74,EnrollData2324,'2324 Jun 24 Enroll'!J$1,FALSE)='District Calculations'!$D$16+'District Calculations'!$D$25-'District Calculations'!$D$17,VLOOKUP($A74,EnrollData2324,'2324 Jun 24 Enroll'!I$1,FALSE)+VLOOKUP($A74,EnrollData2324,'2324 Jun 24 Enroll'!M$1,FALSE)-VLOOKUP($A74,EnrollData2324,'2324 Jun 24 Enroll'!J$1,FALSE),'District Calculations'!$D$16+'District Calculations'!$D$25-'District Calculations'!$D$17)*Apport_218A2324s,3)</f>
        <v>20.224</v>
      </c>
      <c r="Z74">
        <f>ROUND(SUM(T74:Y74)/IF(VLOOKUP($A74,EnrollData2324,'2324 Jun 24 Enroll'!M$1,FALSE)+VLOOKUP($A74,EnrollData2324,'2324 Jun 24 Enroll'!D$1,FALSE)='District Calculations'!$D$25+'District Calculations'!$D$11,VLOOKUP($A74,EnrollData2324,'2324 Jun 24 Enroll'!M$1,FALSE)+VLOOKUP($A74,EnrollData2324,'2324 Jun 24 Enroll'!D$1,FALSE),'District Calculations'!$D$25+'District Calculations'!$D$11),5)</f>
        <v>1.7749999999999998E-2</v>
      </c>
      <c r="AA74" s="6" cm="1">
        <f t="array" ref="AA74">ROUND($J74*CIS_Base_Salary2324s*VLOOKUP($A74,EnrollData2324,'2324 Jun 24 Enroll'!S$1,FALSE),2)</f>
        <v>4038.59</v>
      </c>
      <c r="AB74" s="6" cm="1">
        <f t="array" ref="AB74">ROUND($J74*CIS_Inc_Salary2324s*(VLOOKUP($A74,EnrollData2324,'2324 Jun 24 Enroll'!T$1,FALSE)+VLOOKUP($A74,EnrollData2324,'2324 Jun 24 Enroll'!U$1,FALSE)),2)-AA74</f>
        <v>149.43000000000029</v>
      </c>
      <c r="AC74" s="6" cm="1">
        <f t="array" ref="AC74">ROUND($R74*CAS_Base_Salary2324s*VLOOKUP($A74,EnrollData2324,'2324 Jun 24 Enroll'!S$1,FALSE),2)</f>
        <v>443.7</v>
      </c>
      <c r="AD74" s="6" cm="1">
        <f t="array" ref="AD74">ROUND($R74*CAS_Inc_Salary2324s*VLOOKUP($A74,EnrollData2324,'2324 Jun 24 Enroll'!T$1,FALSE),2)-AC74</f>
        <v>16.410000000000025</v>
      </c>
      <c r="AE74" s="6" cm="1">
        <f t="array" ref="AE74">ROUND($Z74*CLS_Base_Salary2324s*VLOOKUP($A74,EnrollData2324,'2324 Jun 24 Enroll'!S$1,FALSE),2)</f>
        <v>926.07</v>
      </c>
      <c r="AF74" s="6" cm="1">
        <f t="array" ref="AF74">ROUND($Z74*CLS_Inc_Salary2324s*VLOOKUP($A74,EnrollData2324,'2324 Jun 24 Enroll'!T$1,FALSE),2)-AE74</f>
        <v>34.259999999999991</v>
      </c>
      <c r="AG74" cm="1">
        <f t="array" ref="AG74">ROUND(($J74+$R74)*Apport_124X2324s,2)</f>
        <v>734.29</v>
      </c>
      <c r="AH74" s="69">
        <f t="shared" si="8"/>
        <v>68.700000000000045</v>
      </c>
      <c r="AI74" cm="1">
        <f t="array" ref="AI74">ROUND($Z74*Apport_124X2324s,2)</f>
        <v>218.54</v>
      </c>
      <c r="AJ74" cm="1">
        <f t="array" ref="AJ74">ROUND($Z74*Apport_621X2324s*Apport_125X2324s,2)-AI74</f>
        <v>116.51000000000002</v>
      </c>
      <c r="AK74" cm="1">
        <f t="array" ref="AK74">ROUND((AA74+AC74)*Apport_126X2324s,2)</f>
        <v>805.47</v>
      </c>
      <c r="AL74" cm="1">
        <f t="array" ref="AL74">ROUND((AB74+AD74)*Apport_127X2324s,2)</f>
        <v>28.74</v>
      </c>
      <c r="AM74" cm="1">
        <f t="array" ref="AM74">ROUND(AE74*Apport_128X2324s,2)</f>
        <v>204.29</v>
      </c>
      <c r="AN74" cm="1">
        <f t="array" ref="AN74">ROUND(AF74*Apport_129X2324s,2)</f>
        <v>6.36</v>
      </c>
      <c r="AO74" cm="1">
        <f t="array" ref="AO74">ROUND(($J74*CIS_Inc_Salary2324s*(VLOOKUP($A74,EnrollData2324,'2324 Jun 24 Enroll'!T$1,FALSE)+VLOOKUP($A74,EnrollData2324,'2324 Jun 24 Enroll'!U$1,FALSE))/Apport_613Xpd)*Apport_614Xpd,2)</f>
        <v>69.8</v>
      </c>
      <c r="AP74" cm="1">
        <f t="array" ref="AP74">ROUND(AO74*Apport_127X2324s,2)</f>
        <v>12.1</v>
      </c>
      <c r="AQ74">
        <f t="shared" si="9"/>
        <v>30.93</v>
      </c>
      <c r="AR74" s="6" cm="1">
        <f t="array" ref="AR74">ROUND((VLOOKUP($A74,EnrollData2324,'2324 Jun 24 Enroll'!D$1,FALSE)*Apport_M802324s+VLOOKUP($A74,EnrollData2324,'2324 Jun 24 Enroll'!M$1,FALSE)*Apport_M802324s+(VLOOKUP($A74,EnrollData2324,'2324 Jun 24 Enroll'!P$1,FALSE)+VLOOKUP($A74,EnrollData2324,'2324 Jun 24 Enroll'!Q$1,FALSE)+VLOOKUP($A74,EnrollData2324,'2324 Jun 24 Enroll'!R$1,FALSE)+VLOOKUP($A74,EnrollData2324,'2324 Jun 24 Enroll'!I$1,FALSE)+VLOOKUP($A74,EnrollData2324,'2324 Jun 24 Enroll'!N$1,FALSE)+VLOOKUP($A74,EnrollData2324,'2324 Jun 24 Enroll'!O$1,FALSE)+VLOOKUP($A74,EnrollData2324,'2324 Jun 24 Enroll'!K$1,FALSE)+VLOOKUP($A74,EnrollData2324,'2324 Jun 24 Enroll'!L$1,FALSE))*Apport_M812324s)/(VLOOKUP($A74,EnrollData2324,'2324 Jun 24 Enroll'!M$1,FALSE)+VLOOKUP($A74,EnrollData2324,'2324 Jun 24 Enroll'!D$1,FALSE)),2)</f>
        <v>1570.66</v>
      </c>
      <c r="AS74" s="7">
        <f t="shared" si="11"/>
        <v>9474.85</v>
      </c>
    </row>
    <row r="75" spans="1:45">
      <c r="A75" s="40" t="s">
        <v>522</v>
      </c>
      <c r="B75" s="40" t="s">
        <v>523</v>
      </c>
      <c r="C75" s="11">
        <f>ROUND((IFERROR((1/IF(VLOOKUP($A75,EnrollData2324,28,FALSE)='District Calculations'!$D$10,VLOOKUP($A75,EnrollData2324,28,FALSE),'District Calculations'!$D$10))*(1+Apport_Z315),0))+Apport_201A2324s,6)</f>
        <v>7.3449E-2</v>
      </c>
      <c r="D75">
        <f>ROUND(IF(VLOOKUP($A75,EnrollData2324,'2324 Jun 24 Enroll'!D$1,FALSE)='District Calculations'!$D$11,VLOOKUP($A75,EnrollData2324,'2324 Jun 24 Enroll'!D$1,FALSE),'District Calculations'!$D$11)*C75,3)</f>
        <v>0</v>
      </c>
      <c r="E75">
        <f>ROUND(IF(VLOOKUP($A75,EnrollData2324,'2324 Jun 24 Enroll'!E$1,FALSE)='District Calculations'!$D$12,VLOOKUP($A75,EnrollData2324,'2324 Jun 24 Enroll'!E$1,FALSE),'District Calculations'!$D$12)*C75,3)</f>
        <v>59.53</v>
      </c>
      <c r="F75">
        <f>ROUND(IF(VLOOKUP($A75,EnrollData2324,'2324 Jun 24 Enroll'!F$1,FALSE)='District Calculations'!$D$13,VLOOKUP($A75,EnrollData2324,'2324 Jun 24 Enroll'!F$1,FALSE),'District Calculations'!$D$13)*Apport_222A2324s,3)</f>
        <v>10.101000000000001</v>
      </c>
      <c r="G75">
        <f>ROUND(IF(VLOOKUP($A75,EnrollData2324,'2324 Jun 24 Enroll'!G$1,FALSE)='District Calculations'!$D$14,VLOOKUP($A75,EnrollData2324,'2324 Jun 24 Enroll'!G$1,FALSE),'District Calculations'!$D$14)*Apport_210A2324s,3)</f>
        <v>22.395</v>
      </c>
      <c r="H75">
        <f>ROUND(IF(VLOOKUP($A75,EnrollData2324,'2324 Jun 24 Enroll'!H$1,FALSE)='District Calculations'!$D$15,VLOOKUP($A75,EnrollData2324,'2324 Jun 24 Enroll'!H$1,FALSE),'District Calculations'!$D$15)*Apport_213A2324s,3)</f>
        <v>23.091999999999999</v>
      </c>
      <c r="I75">
        <f>ROUND(IF(VLOOKUP($A75,EnrollData2324,'2324 Jun 24 Enroll'!I$1,FALSE)+VLOOKUP($A75,EnrollData2324,'2324 Jun 24 Enroll'!M$1,FALSE)-VLOOKUP($A75,EnrollData2324,'2324 Jun 24 Enroll'!J$1,FALSE)='District Calculations'!$D$16+'District Calculations'!$D$25-'District Calculations'!$D$17,VLOOKUP($A75,EnrollData2324,'2324 Jun 24 Enroll'!I$1,FALSE)+VLOOKUP($A75,EnrollData2324,'2324 Jun 24 Enroll'!M$1,FALSE)-VLOOKUP($A75,EnrollData2324,'2324 Jun 24 Enroll'!J$1,FALSE),'District Calculations'!$D$16+'District Calculations'!$D$25-'District Calculations'!$D$17)*Apport_216A2324s,3)</f>
        <v>58.183999999999997</v>
      </c>
      <c r="J75">
        <f>ROUND(SUM(D75:I75)/(IF(VLOOKUP($A75,EnrollData2324,'2324 Jun 24 Enroll'!M$1,FALSE)='District Calculations'!$D$25,VLOOKUP($A75,EnrollData2324,'2324 Jun 24 Enroll'!M$1,FALSE),'District Calculations'!$D$25)+IF(VLOOKUP($A75,EnrollData2324,'2324 Jun 24 Enroll'!D$1,FALSE)='District Calculations'!$D$11,VLOOKUP($A75,EnrollData2324,'2324 Jun 24 Enroll'!D$1,FALSE),'District Calculations'!$D$11)),5)</f>
        <v>5.5530000000000003E-2</v>
      </c>
      <c r="K75" s="11">
        <f t="shared" si="6"/>
        <v>4.3699999999999998E-3</v>
      </c>
      <c r="L75">
        <f>ROUND(IF(VLOOKUP($A75,EnrollData2324,'2324 Jun 24 Enroll'!D$1,FALSE)='District Calculations'!$D$11,VLOOKUP($A75,EnrollData2324,'2324 Jun 24 Enroll'!D$1,FALSE),'District Calculations'!$D$11)*K75,3)</f>
        <v>0</v>
      </c>
      <c r="M75">
        <f>ROUND(IF(VLOOKUP($A75,EnrollData2324,'2324 Jun 24 Enroll'!E$1,FALSE)='District Calculations'!$D$12,VLOOKUP($A75,EnrollData2324,'2324 Jun 24 Enroll'!E$1,FALSE),'District Calculations'!$D$12)*K75,3)</f>
        <v>3.5419999999999998</v>
      </c>
      <c r="N75">
        <f>ROUND(IF(VLOOKUP($A75,EnrollData2324,'2324 Jun 24 Enroll'!F$1,FALSE)='District Calculations'!$D$13,VLOOKUP($A75,EnrollData2324,'2324 Jun 24 Enroll'!F$1,FALSE),'District Calculations'!$D$13)*Apport_223A2324s,3)</f>
        <v>0.84299999999999997</v>
      </c>
      <c r="O75">
        <f>ROUND(IF(VLOOKUP($A75,EnrollData2324,'2324 Jun 24 Enroll'!G$1,FALSE)='District Calculations'!$D$14,VLOOKUP($A75,EnrollData2324,'2324 Jun 24 Enroll'!G$1,FALSE),'District Calculations'!$D$14)*Apport_211A2324s,3)</f>
        <v>1.87</v>
      </c>
      <c r="P75">
        <f>ROUND(IF(VLOOKUP($A75,EnrollData2324,'2324 Jun 24 Enroll'!H$1,FALSE)='District Calculations'!$D$14,VLOOKUP($A75,EnrollData2324,'2324 Jun 24 Enroll'!H$1,FALSE),'District Calculations'!$D$14)*Apport_214A2324s,3)</f>
        <v>1.8680000000000001</v>
      </c>
      <c r="Q75">
        <f>ROUND(IF(VLOOKUP($A75,EnrollData2324,'2324 Jun 24 Enroll'!I$1,FALSE)+VLOOKUP($A75,EnrollData2324,'2324 Jun 24 Enroll'!M$1,FALSE)-VLOOKUP($A75,EnrollData2324,'2324 Jun 24 Enroll'!J$1,FALSE)='District Calculations'!$D$16+'District Calculations'!$D$25-'District Calculations'!$D$17,VLOOKUP($A75,EnrollData2324,'2324 Jun 24 Enroll'!I$1,FALSE)+VLOOKUP($A75,EnrollData2324,'2324 Jun 24 Enroll'!M$1,FALSE)-VLOOKUP($A75,EnrollData2324,'2324 Jun 24 Enroll'!J$1,FALSE),'District Calculations'!$D$16+'District Calculations'!$D$25-'District Calculations'!$D$17)*Apport_217A2324s,3)</f>
        <v>4.702</v>
      </c>
      <c r="R75">
        <f>ROUND(SUM(L75:Q75)/IF(VLOOKUP($A75,EnrollData2324,'2324 Jun 24 Enroll'!M$1,FALSE)+VLOOKUP($A75,EnrollData2324,'2324 Jun 24 Enroll'!D$1,FALSE)='District Calculations'!$D$25+'District Calculations'!$D$11,VLOOKUP($A75,EnrollData2324,'2324 Jun 24 Enroll'!M$1,FALSE)+VLOOKUP($A75,EnrollData2324,'2324 Jun 24 Enroll'!D$1,FALSE),'District Calculations'!$D$25+'District Calculations'!$D$11),5)</f>
        <v>4.1099999999999999E-3</v>
      </c>
      <c r="S75" s="11">
        <f t="shared" si="7"/>
        <v>1.8689600000000001E-2</v>
      </c>
      <c r="T75">
        <f>ROUND(IF(VLOOKUP($A75,EnrollData2324,'2324 Jun 24 Enroll'!D$1,FALSE)='District Calculations'!$D$11,VLOOKUP($A75,EnrollData2324,'2324 Jun 24 Enroll'!D$1,FALSE),'District Calculations'!$D$11)*S75,3)</f>
        <v>0</v>
      </c>
      <c r="U75">
        <f>ROUND(IF(VLOOKUP($A75,EnrollData2324,'2324 Jun 24 Enroll'!E$1,FALSE)='District Calculations'!$D$12,VLOOKUP($A75,EnrollData2324,'2324 Jun 24 Enroll'!E$1,FALSE),'District Calculations'!$D$12)*S75,3)</f>
        <v>15.148</v>
      </c>
      <c r="V75">
        <f>ROUND(IF(VLOOKUP($A75,EnrollData2324,'2324 Jun 24 Enroll'!F$1,FALSE)='District Calculations'!$D$13,VLOOKUP($A75,EnrollData2324,'2324 Jun 24 Enroll'!F$1,FALSE),'District Calculations'!$D$13)*Apport_224A2324s,3)</f>
        <v>3.7029999999999998</v>
      </c>
      <c r="W75">
        <f>ROUND(IF(VLOOKUP($A75,EnrollData2324,'2324 Jun 24 Enroll'!G$1,FALSE)='District Calculations'!$D$14,VLOOKUP($A75,EnrollData2324,'2324 Jun 24 Enroll'!G$1,FALSE),'District Calculations'!$D$14)*Apport_212A2324s,3)</f>
        <v>8.2089999999999996</v>
      </c>
      <c r="X75">
        <f>ROUND(IF(VLOOKUP($A75,EnrollData2324,'2324 Jun 24 Enroll'!H$1,FALSE)='District Calculations'!$D$14,VLOOKUP($A75,EnrollData2324,'2324 Jun 24 Enroll'!H$1,FALSE),'District Calculations'!$D$14)*Apport_215A2324s,3)</f>
        <v>8.0969999999999995</v>
      </c>
      <c r="Y75">
        <f>ROUND(IF(VLOOKUP($A75,EnrollData2324,'2324 Jun 24 Enroll'!I$1,FALSE)+VLOOKUP($A75,EnrollData2324,'2324 Jun 24 Enroll'!M$1,FALSE)-VLOOKUP($A75,EnrollData2324,'2324 Jun 24 Enroll'!J$1,FALSE)='District Calculations'!$D$16+'District Calculations'!$D$25-'District Calculations'!$D$17,VLOOKUP($A75,EnrollData2324,'2324 Jun 24 Enroll'!I$1,FALSE)+VLOOKUP($A75,EnrollData2324,'2324 Jun 24 Enroll'!M$1,FALSE)-VLOOKUP($A75,EnrollData2324,'2324 Jun 24 Enroll'!J$1,FALSE),'District Calculations'!$D$16+'District Calculations'!$D$25-'District Calculations'!$D$17)*Apport_218A2324s,3)</f>
        <v>20.224</v>
      </c>
      <c r="Z75">
        <f>ROUND(SUM(T75:Y75)/IF(VLOOKUP($A75,EnrollData2324,'2324 Jun 24 Enroll'!M$1,FALSE)+VLOOKUP($A75,EnrollData2324,'2324 Jun 24 Enroll'!D$1,FALSE)='District Calculations'!$D$25+'District Calculations'!$D$11,VLOOKUP($A75,EnrollData2324,'2324 Jun 24 Enroll'!M$1,FALSE)+VLOOKUP($A75,EnrollData2324,'2324 Jun 24 Enroll'!D$1,FALSE),'District Calculations'!$D$25+'District Calculations'!$D$11),5)</f>
        <v>1.7749999999999998E-2</v>
      </c>
      <c r="AA75" s="6" cm="1">
        <f t="array" ref="AA75">ROUND($J75*CIS_Base_Salary2324s*VLOOKUP($A75,EnrollData2324,'2324 Jun 24 Enroll'!S$1,FALSE),2)</f>
        <v>4038.59</v>
      </c>
      <c r="AB75" s="6" cm="1">
        <f t="array" ref="AB75">ROUND($J75*CIS_Inc_Salary2324s*(VLOOKUP($A75,EnrollData2324,'2324 Jun 24 Enroll'!T$1,FALSE)+VLOOKUP($A75,EnrollData2324,'2324 Jun 24 Enroll'!U$1,FALSE)),2)-AA75</f>
        <v>149.43000000000029</v>
      </c>
      <c r="AC75" s="6" cm="1">
        <f t="array" ref="AC75">ROUND($R75*CAS_Base_Salary2324s*VLOOKUP($A75,EnrollData2324,'2324 Jun 24 Enroll'!S$1,FALSE),2)</f>
        <v>443.7</v>
      </c>
      <c r="AD75" s="6" cm="1">
        <f t="array" ref="AD75">ROUND($R75*CAS_Inc_Salary2324s*VLOOKUP($A75,EnrollData2324,'2324 Jun 24 Enroll'!T$1,FALSE),2)-AC75</f>
        <v>16.410000000000025</v>
      </c>
      <c r="AE75" s="6" cm="1">
        <f t="array" ref="AE75">ROUND($Z75*CLS_Base_Salary2324s*VLOOKUP($A75,EnrollData2324,'2324 Jun 24 Enroll'!S$1,FALSE),2)</f>
        <v>926.07</v>
      </c>
      <c r="AF75" s="6" cm="1">
        <f t="array" ref="AF75">ROUND($Z75*CLS_Inc_Salary2324s*VLOOKUP($A75,EnrollData2324,'2324 Jun 24 Enroll'!T$1,FALSE),2)-AE75</f>
        <v>34.259999999999991</v>
      </c>
      <c r="AG75" cm="1">
        <f t="array" ref="AG75">ROUND(($J75+$R75)*Apport_124X2324s,2)</f>
        <v>734.29</v>
      </c>
      <c r="AH75" s="69">
        <f t="shared" si="8"/>
        <v>68.700000000000045</v>
      </c>
      <c r="AI75" cm="1">
        <f t="array" ref="AI75">ROUND($Z75*Apport_124X2324s,2)</f>
        <v>218.54</v>
      </c>
      <c r="AJ75" cm="1">
        <f t="array" ref="AJ75">ROUND($Z75*Apport_621X2324s*Apport_125X2324s,2)-AI75</f>
        <v>116.51000000000002</v>
      </c>
      <c r="AK75" cm="1">
        <f t="array" ref="AK75">ROUND((AA75+AC75)*Apport_126X2324s,2)</f>
        <v>805.47</v>
      </c>
      <c r="AL75" cm="1">
        <f t="array" ref="AL75">ROUND((AB75+AD75)*Apport_127X2324s,2)</f>
        <v>28.74</v>
      </c>
      <c r="AM75" cm="1">
        <f t="array" ref="AM75">ROUND(AE75*Apport_128X2324s,2)</f>
        <v>204.29</v>
      </c>
      <c r="AN75" cm="1">
        <f t="array" ref="AN75">ROUND(AF75*Apport_129X2324s,2)</f>
        <v>6.36</v>
      </c>
      <c r="AO75" cm="1">
        <f t="array" ref="AO75">ROUND(($J75*CIS_Inc_Salary2324s*(VLOOKUP($A75,EnrollData2324,'2324 Jun 24 Enroll'!T$1,FALSE)+VLOOKUP($A75,EnrollData2324,'2324 Jun 24 Enroll'!U$1,FALSE))/Apport_613Xpd)*Apport_614Xpd,2)</f>
        <v>69.8</v>
      </c>
      <c r="AP75" cm="1">
        <f t="array" ref="AP75">ROUND(AO75*Apport_127X2324s,2)</f>
        <v>12.1</v>
      </c>
      <c r="AQ75">
        <f t="shared" si="9"/>
        <v>30.93</v>
      </c>
      <c r="AR75" s="6" cm="1">
        <f t="array" ref="AR75">ROUND((VLOOKUP($A75,EnrollData2324,'2324 Jun 24 Enroll'!D$1,FALSE)*Apport_M802324s+VLOOKUP($A75,EnrollData2324,'2324 Jun 24 Enroll'!M$1,FALSE)*Apport_M802324s+(VLOOKUP($A75,EnrollData2324,'2324 Jun 24 Enroll'!P$1,FALSE)+VLOOKUP($A75,EnrollData2324,'2324 Jun 24 Enroll'!Q$1,FALSE)+VLOOKUP($A75,EnrollData2324,'2324 Jun 24 Enroll'!R$1,FALSE)+VLOOKUP($A75,EnrollData2324,'2324 Jun 24 Enroll'!I$1,FALSE)+VLOOKUP($A75,EnrollData2324,'2324 Jun 24 Enroll'!N$1,FALSE)+VLOOKUP($A75,EnrollData2324,'2324 Jun 24 Enroll'!O$1,FALSE)+VLOOKUP($A75,EnrollData2324,'2324 Jun 24 Enroll'!K$1,FALSE)+VLOOKUP($A75,EnrollData2324,'2324 Jun 24 Enroll'!L$1,FALSE))*Apport_M812324s)/(VLOOKUP($A75,EnrollData2324,'2324 Jun 24 Enroll'!M$1,FALSE)+VLOOKUP($A75,EnrollData2324,'2324 Jun 24 Enroll'!D$1,FALSE)),2)</f>
        <v>1572.42</v>
      </c>
      <c r="AS75" s="7">
        <f t="shared" si="11"/>
        <v>9476.61</v>
      </c>
    </row>
    <row r="76" spans="1:45">
      <c r="A76" s="40" t="s">
        <v>351</v>
      </c>
      <c r="B76" s="40" t="s">
        <v>352</v>
      </c>
      <c r="C76" s="11">
        <f>ROUND((IFERROR((1/IF(VLOOKUP($A76,EnrollData2324,28,FALSE)='District Calculations'!$D$10,VLOOKUP($A76,EnrollData2324,28,FALSE),'District Calculations'!$D$10))*(1+Apport_Z315),0))+Apport_201A2324s,6)</f>
        <v>7.3449E-2</v>
      </c>
      <c r="D76">
        <f>ROUND(IF(VLOOKUP($A76,EnrollData2324,'2324 Jun 24 Enroll'!D$1,FALSE)='District Calculations'!$D$11,VLOOKUP($A76,EnrollData2324,'2324 Jun 24 Enroll'!D$1,FALSE),'District Calculations'!$D$11)*C76,3)</f>
        <v>0</v>
      </c>
      <c r="E76">
        <f>ROUND(IF(VLOOKUP($A76,EnrollData2324,'2324 Jun 24 Enroll'!E$1,FALSE)='District Calculations'!$D$12,VLOOKUP($A76,EnrollData2324,'2324 Jun 24 Enroll'!E$1,FALSE),'District Calculations'!$D$12)*C76,3)</f>
        <v>59.53</v>
      </c>
      <c r="F76">
        <f>ROUND(IF(VLOOKUP($A76,EnrollData2324,'2324 Jun 24 Enroll'!F$1,FALSE)='District Calculations'!$D$13,VLOOKUP($A76,EnrollData2324,'2324 Jun 24 Enroll'!F$1,FALSE),'District Calculations'!$D$13)*Apport_222A2324s,3)</f>
        <v>10.101000000000001</v>
      </c>
      <c r="G76">
        <f>ROUND(IF(VLOOKUP($A76,EnrollData2324,'2324 Jun 24 Enroll'!G$1,FALSE)='District Calculations'!$D$14,VLOOKUP($A76,EnrollData2324,'2324 Jun 24 Enroll'!G$1,FALSE),'District Calculations'!$D$14)*Apport_210A2324s,3)</f>
        <v>22.395</v>
      </c>
      <c r="H76">
        <f>ROUND(IF(VLOOKUP($A76,EnrollData2324,'2324 Jun 24 Enroll'!H$1,FALSE)='District Calculations'!$D$15,VLOOKUP($A76,EnrollData2324,'2324 Jun 24 Enroll'!H$1,FALSE),'District Calculations'!$D$15)*Apport_213A2324s,3)</f>
        <v>23.091999999999999</v>
      </c>
      <c r="I76">
        <f>ROUND(IF(VLOOKUP($A76,EnrollData2324,'2324 Jun 24 Enroll'!I$1,FALSE)+VLOOKUP($A76,EnrollData2324,'2324 Jun 24 Enroll'!M$1,FALSE)-VLOOKUP($A76,EnrollData2324,'2324 Jun 24 Enroll'!J$1,FALSE)='District Calculations'!$D$16+'District Calculations'!$D$25-'District Calculations'!$D$17,VLOOKUP($A76,EnrollData2324,'2324 Jun 24 Enroll'!I$1,FALSE)+VLOOKUP($A76,EnrollData2324,'2324 Jun 24 Enroll'!M$1,FALSE)-VLOOKUP($A76,EnrollData2324,'2324 Jun 24 Enroll'!J$1,FALSE),'District Calculations'!$D$16+'District Calculations'!$D$25-'District Calculations'!$D$17)*Apport_216A2324s,3)</f>
        <v>58.183999999999997</v>
      </c>
      <c r="J76">
        <f>ROUND(SUM(D76:I76)/(IF(VLOOKUP($A76,EnrollData2324,'2324 Jun 24 Enroll'!M$1,FALSE)='District Calculations'!$D$25,VLOOKUP($A76,EnrollData2324,'2324 Jun 24 Enroll'!M$1,FALSE),'District Calculations'!$D$25)+IF(VLOOKUP($A76,EnrollData2324,'2324 Jun 24 Enroll'!D$1,FALSE)='District Calculations'!$D$11,VLOOKUP($A76,EnrollData2324,'2324 Jun 24 Enroll'!D$1,FALSE),'District Calculations'!$D$11)),5)</f>
        <v>5.5530000000000003E-2</v>
      </c>
      <c r="K76" s="11">
        <f t="shared" si="6"/>
        <v>4.3699999999999998E-3</v>
      </c>
      <c r="L76">
        <f>ROUND(IF(VLOOKUP($A76,EnrollData2324,'2324 Jun 24 Enroll'!D$1,FALSE)='District Calculations'!$D$11,VLOOKUP($A76,EnrollData2324,'2324 Jun 24 Enroll'!D$1,FALSE),'District Calculations'!$D$11)*K76,3)</f>
        <v>0</v>
      </c>
      <c r="M76">
        <f>ROUND(IF(VLOOKUP($A76,EnrollData2324,'2324 Jun 24 Enroll'!E$1,FALSE)='District Calculations'!$D$12,VLOOKUP($A76,EnrollData2324,'2324 Jun 24 Enroll'!E$1,FALSE),'District Calculations'!$D$12)*K76,3)</f>
        <v>3.5419999999999998</v>
      </c>
      <c r="N76">
        <f>ROUND(IF(VLOOKUP($A76,EnrollData2324,'2324 Jun 24 Enroll'!F$1,FALSE)='District Calculations'!$D$13,VLOOKUP($A76,EnrollData2324,'2324 Jun 24 Enroll'!F$1,FALSE),'District Calculations'!$D$13)*Apport_223A2324s,3)</f>
        <v>0.84299999999999997</v>
      </c>
      <c r="O76">
        <f>ROUND(IF(VLOOKUP($A76,EnrollData2324,'2324 Jun 24 Enroll'!G$1,FALSE)='District Calculations'!$D$14,VLOOKUP($A76,EnrollData2324,'2324 Jun 24 Enroll'!G$1,FALSE),'District Calculations'!$D$14)*Apport_211A2324s,3)</f>
        <v>1.87</v>
      </c>
      <c r="P76">
        <f>ROUND(IF(VLOOKUP($A76,EnrollData2324,'2324 Jun 24 Enroll'!H$1,FALSE)='District Calculations'!$D$14,VLOOKUP($A76,EnrollData2324,'2324 Jun 24 Enroll'!H$1,FALSE),'District Calculations'!$D$14)*Apport_214A2324s,3)</f>
        <v>1.8680000000000001</v>
      </c>
      <c r="Q76">
        <f>ROUND(IF(VLOOKUP($A76,EnrollData2324,'2324 Jun 24 Enroll'!I$1,FALSE)+VLOOKUP($A76,EnrollData2324,'2324 Jun 24 Enroll'!M$1,FALSE)-VLOOKUP($A76,EnrollData2324,'2324 Jun 24 Enroll'!J$1,FALSE)='District Calculations'!$D$16+'District Calculations'!$D$25-'District Calculations'!$D$17,VLOOKUP($A76,EnrollData2324,'2324 Jun 24 Enroll'!I$1,FALSE)+VLOOKUP($A76,EnrollData2324,'2324 Jun 24 Enroll'!M$1,FALSE)-VLOOKUP($A76,EnrollData2324,'2324 Jun 24 Enroll'!J$1,FALSE),'District Calculations'!$D$16+'District Calculations'!$D$25-'District Calculations'!$D$17)*Apport_217A2324s,3)</f>
        <v>4.702</v>
      </c>
      <c r="R76">
        <f>ROUND(SUM(L76:Q76)/IF(VLOOKUP($A76,EnrollData2324,'2324 Jun 24 Enroll'!M$1,FALSE)+VLOOKUP($A76,EnrollData2324,'2324 Jun 24 Enroll'!D$1,FALSE)='District Calculations'!$D$25+'District Calculations'!$D$11,VLOOKUP($A76,EnrollData2324,'2324 Jun 24 Enroll'!M$1,FALSE)+VLOOKUP($A76,EnrollData2324,'2324 Jun 24 Enroll'!D$1,FALSE),'District Calculations'!$D$25+'District Calculations'!$D$11),5)</f>
        <v>4.1099999999999999E-3</v>
      </c>
      <c r="S76" s="11">
        <f t="shared" si="7"/>
        <v>1.8689600000000001E-2</v>
      </c>
      <c r="T76">
        <f>ROUND(IF(VLOOKUP($A76,EnrollData2324,'2324 Jun 24 Enroll'!D$1,FALSE)='District Calculations'!$D$11,VLOOKUP($A76,EnrollData2324,'2324 Jun 24 Enroll'!D$1,FALSE),'District Calculations'!$D$11)*S76,3)</f>
        <v>0</v>
      </c>
      <c r="U76">
        <f>ROUND(IF(VLOOKUP($A76,EnrollData2324,'2324 Jun 24 Enroll'!E$1,FALSE)='District Calculations'!$D$12,VLOOKUP($A76,EnrollData2324,'2324 Jun 24 Enroll'!E$1,FALSE),'District Calculations'!$D$12)*S76,3)</f>
        <v>15.148</v>
      </c>
      <c r="V76">
        <f>ROUND(IF(VLOOKUP($A76,EnrollData2324,'2324 Jun 24 Enroll'!F$1,FALSE)='District Calculations'!$D$13,VLOOKUP($A76,EnrollData2324,'2324 Jun 24 Enroll'!F$1,FALSE),'District Calculations'!$D$13)*Apport_224A2324s,3)</f>
        <v>3.7029999999999998</v>
      </c>
      <c r="W76">
        <f>ROUND(IF(VLOOKUP($A76,EnrollData2324,'2324 Jun 24 Enroll'!G$1,FALSE)='District Calculations'!$D$14,VLOOKUP($A76,EnrollData2324,'2324 Jun 24 Enroll'!G$1,FALSE),'District Calculations'!$D$14)*Apport_212A2324s,3)</f>
        <v>8.2089999999999996</v>
      </c>
      <c r="X76">
        <f>ROUND(IF(VLOOKUP($A76,EnrollData2324,'2324 Jun 24 Enroll'!H$1,FALSE)='District Calculations'!$D$14,VLOOKUP($A76,EnrollData2324,'2324 Jun 24 Enroll'!H$1,FALSE),'District Calculations'!$D$14)*Apport_215A2324s,3)</f>
        <v>8.0969999999999995</v>
      </c>
      <c r="Y76">
        <f>ROUND(IF(VLOOKUP($A76,EnrollData2324,'2324 Jun 24 Enroll'!I$1,FALSE)+VLOOKUP($A76,EnrollData2324,'2324 Jun 24 Enroll'!M$1,FALSE)-VLOOKUP($A76,EnrollData2324,'2324 Jun 24 Enroll'!J$1,FALSE)='District Calculations'!$D$16+'District Calculations'!$D$25-'District Calculations'!$D$17,VLOOKUP($A76,EnrollData2324,'2324 Jun 24 Enroll'!I$1,FALSE)+VLOOKUP($A76,EnrollData2324,'2324 Jun 24 Enroll'!M$1,FALSE)-VLOOKUP($A76,EnrollData2324,'2324 Jun 24 Enroll'!J$1,FALSE),'District Calculations'!$D$16+'District Calculations'!$D$25-'District Calculations'!$D$17)*Apport_218A2324s,3)</f>
        <v>20.224</v>
      </c>
      <c r="Z76">
        <f>ROUND(SUM(T76:Y76)/IF(VLOOKUP($A76,EnrollData2324,'2324 Jun 24 Enroll'!M$1,FALSE)+VLOOKUP($A76,EnrollData2324,'2324 Jun 24 Enroll'!D$1,FALSE)='District Calculations'!$D$25+'District Calculations'!$D$11,VLOOKUP($A76,EnrollData2324,'2324 Jun 24 Enroll'!M$1,FALSE)+VLOOKUP($A76,EnrollData2324,'2324 Jun 24 Enroll'!D$1,FALSE),'District Calculations'!$D$25+'District Calculations'!$D$11),5)</f>
        <v>1.7749999999999998E-2</v>
      </c>
      <c r="AA76" s="6" cm="1">
        <f t="array" ref="AA76">ROUND($J76*CIS_Base_Salary2324s*VLOOKUP($A76,EnrollData2324,'2324 Jun 24 Enroll'!S$1,FALSE),2)</f>
        <v>4038.59</v>
      </c>
      <c r="AB76" s="6" cm="1">
        <f t="array" ref="AB76">ROUND($J76*CIS_Inc_Salary2324s*(VLOOKUP($A76,EnrollData2324,'2324 Jun 24 Enroll'!T$1,FALSE)+VLOOKUP($A76,EnrollData2324,'2324 Jun 24 Enroll'!U$1,FALSE)),2)-AA76</f>
        <v>149.43000000000029</v>
      </c>
      <c r="AC76" s="6" cm="1">
        <f t="array" ref="AC76">ROUND($R76*CAS_Base_Salary2324s*VLOOKUP($A76,EnrollData2324,'2324 Jun 24 Enroll'!S$1,FALSE),2)</f>
        <v>443.7</v>
      </c>
      <c r="AD76" s="6" cm="1">
        <f t="array" ref="AD76">ROUND($R76*CAS_Inc_Salary2324s*VLOOKUP($A76,EnrollData2324,'2324 Jun 24 Enroll'!T$1,FALSE),2)-AC76</f>
        <v>16.410000000000025</v>
      </c>
      <c r="AE76" s="6" cm="1">
        <f t="array" ref="AE76">ROUND($Z76*CLS_Base_Salary2324s*VLOOKUP($A76,EnrollData2324,'2324 Jun 24 Enroll'!S$1,FALSE),2)</f>
        <v>926.07</v>
      </c>
      <c r="AF76" s="6" cm="1">
        <f t="array" ref="AF76">ROUND($Z76*CLS_Inc_Salary2324s*VLOOKUP($A76,EnrollData2324,'2324 Jun 24 Enroll'!T$1,FALSE),2)-AE76</f>
        <v>34.259999999999991</v>
      </c>
      <c r="AG76" cm="1">
        <f t="array" ref="AG76">ROUND(($J76+$R76)*Apport_124X2324s,2)</f>
        <v>734.29</v>
      </c>
      <c r="AH76" s="69">
        <f t="shared" si="8"/>
        <v>68.700000000000045</v>
      </c>
      <c r="AI76" cm="1">
        <f t="array" ref="AI76">ROUND($Z76*Apport_124X2324s,2)</f>
        <v>218.54</v>
      </c>
      <c r="AJ76" cm="1">
        <f t="array" ref="AJ76">ROUND($Z76*Apport_621X2324s*Apport_125X2324s,2)-AI76</f>
        <v>116.51000000000002</v>
      </c>
      <c r="AK76" cm="1">
        <f t="array" ref="AK76">ROUND((AA76+AC76)*Apport_126X2324s,2)</f>
        <v>805.47</v>
      </c>
      <c r="AL76" cm="1">
        <f t="array" ref="AL76">ROUND((AB76+AD76)*Apport_127X2324s,2)</f>
        <v>28.74</v>
      </c>
      <c r="AM76" cm="1">
        <f t="array" ref="AM76">ROUND(AE76*Apport_128X2324s,2)</f>
        <v>204.29</v>
      </c>
      <c r="AN76" cm="1">
        <f t="array" ref="AN76">ROUND(AF76*Apport_129X2324s,2)</f>
        <v>6.36</v>
      </c>
      <c r="AO76" cm="1">
        <f t="array" ref="AO76">ROUND(($J76*CIS_Inc_Salary2324s*(VLOOKUP($A76,EnrollData2324,'2324 Jun 24 Enroll'!T$1,FALSE)+VLOOKUP($A76,EnrollData2324,'2324 Jun 24 Enroll'!U$1,FALSE))/Apport_613Xpd)*Apport_614Xpd,2)</f>
        <v>69.8</v>
      </c>
      <c r="AP76" cm="1">
        <f t="array" ref="AP76">ROUND(AO76*Apport_127X2324s,2)</f>
        <v>12.1</v>
      </c>
      <c r="AQ76">
        <f t="shared" si="9"/>
        <v>30.93</v>
      </c>
      <c r="AR76" s="6" cm="1">
        <f t="array" ref="AR76">ROUND((VLOOKUP($A76,EnrollData2324,'2324 Jun 24 Enroll'!D$1,FALSE)*Apport_M802324s+VLOOKUP($A76,EnrollData2324,'2324 Jun 24 Enroll'!M$1,FALSE)*Apport_M802324s+(VLOOKUP($A76,EnrollData2324,'2324 Jun 24 Enroll'!P$1,FALSE)+VLOOKUP($A76,EnrollData2324,'2324 Jun 24 Enroll'!Q$1,FALSE)+VLOOKUP($A76,EnrollData2324,'2324 Jun 24 Enroll'!R$1,FALSE)+VLOOKUP($A76,EnrollData2324,'2324 Jun 24 Enroll'!I$1,FALSE)+VLOOKUP($A76,EnrollData2324,'2324 Jun 24 Enroll'!N$1,FALSE)+VLOOKUP($A76,EnrollData2324,'2324 Jun 24 Enroll'!O$1,FALSE)+VLOOKUP($A76,EnrollData2324,'2324 Jun 24 Enroll'!K$1,FALSE)+VLOOKUP($A76,EnrollData2324,'2324 Jun 24 Enroll'!L$1,FALSE))*Apport_M812324s)/(VLOOKUP($A76,EnrollData2324,'2324 Jun 24 Enroll'!M$1,FALSE)+VLOOKUP($A76,EnrollData2324,'2324 Jun 24 Enroll'!D$1,FALSE)),2)</f>
        <v>1572.28</v>
      </c>
      <c r="AS76" s="7">
        <f t="shared" si="11"/>
        <v>9476.4700000000012</v>
      </c>
    </row>
    <row r="77" spans="1:45">
      <c r="A77" s="40" t="s">
        <v>438</v>
      </c>
      <c r="B77" s="40" t="s">
        <v>439</v>
      </c>
      <c r="C77" s="11">
        <f>ROUND((IFERROR((1/IF(VLOOKUP($A77,EnrollData2324,28,FALSE)='District Calculations'!$D$10,VLOOKUP($A77,EnrollData2324,28,FALSE),'District Calculations'!$D$10))*(1+Apport_Z315),0))+Apport_201A2324s,6)</f>
        <v>7.3449E-2</v>
      </c>
      <c r="D77">
        <f>ROUND(IF(VLOOKUP($A77,EnrollData2324,'2324 Jun 24 Enroll'!D$1,FALSE)='District Calculations'!$D$11,VLOOKUP($A77,EnrollData2324,'2324 Jun 24 Enroll'!D$1,FALSE),'District Calculations'!$D$11)*C77,3)</f>
        <v>0</v>
      </c>
      <c r="E77">
        <f>ROUND(IF(VLOOKUP($A77,EnrollData2324,'2324 Jun 24 Enroll'!E$1,FALSE)='District Calculations'!$D$12,VLOOKUP($A77,EnrollData2324,'2324 Jun 24 Enroll'!E$1,FALSE),'District Calculations'!$D$12)*C77,3)</f>
        <v>59.53</v>
      </c>
      <c r="F77">
        <f>ROUND(IF(VLOOKUP($A77,EnrollData2324,'2324 Jun 24 Enroll'!F$1,FALSE)='District Calculations'!$D$13,VLOOKUP($A77,EnrollData2324,'2324 Jun 24 Enroll'!F$1,FALSE),'District Calculations'!$D$13)*Apport_222A2324s,3)</f>
        <v>10.101000000000001</v>
      </c>
      <c r="G77">
        <f>ROUND(IF(VLOOKUP($A77,EnrollData2324,'2324 Jun 24 Enroll'!G$1,FALSE)='District Calculations'!$D$14,VLOOKUP($A77,EnrollData2324,'2324 Jun 24 Enroll'!G$1,FALSE),'District Calculations'!$D$14)*Apport_210A2324s,3)</f>
        <v>22.395</v>
      </c>
      <c r="H77">
        <f>ROUND(IF(VLOOKUP($A77,EnrollData2324,'2324 Jun 24 Enroll'!H$1,FALSE)='District Calculations'!$D$15,VLOOKUP($A77,EnrollData2324,'2324 Jun 24 Enroll'!H$1,FALSE),'District Calculations'!$D$15)*Apport_213A2324s,3)</f>
        <v>23.091999999999999</v>
      </c>
      <c r="I77">
        <f>ROUND(IF(VLOOKUP($A77,EnrollData2324,'2324 Jun 24 Enroll'!I$1,FALSE)+VLOOKUP($A77,EnrollData2324,'2324 Jun 24 Enroll'!M$1,FALSE)-VLOOKUP($A77,EnrollData2324,'2324 Jun 24 Enroll'!J$1,FALSE)='District Calculations'!$D$16+'District Calculations'!$D$25-'District Calculations'!$D$17,VLOOKUP($A77,EnrollData2324,'2324 Jun 24 Enroll'!I$1,FALSE)+VLOOKUP($A77,EnrollData2324,'2324 Jun 24 Enroll'!M$1,FALSE)-VLOOKUP($A77,EnrollData2324,'2324 Jun 24 Enroll'!J$1,FALSE),'District Calculations'!$D$16+'District Calculations'!$D$25-'District Calculations'!$D$17)*Apport_216A2324s,3)</f>
        <v>58.183999999999997</v>
      </c>
      <c r="J77">
        <f>ROUND(SUM(D77:I77)/(IF(VLOOKUP($A77,EnrollData2324,'2324 Jun 24 Enroll'!M$1,FALSE)='District Calculations'!$D$25,VLOOKUP($A77,EnrollData2324,'2324 Jun 24 Enroll'!M$1,FALSE),'District Calculations'!$D$25)+IF(VLOOKUP($A77,EnrollData2324,'2324 Jun 24 Enroll'!D$1,FALSE)='District Calculations'!$D$11,VLOOKUP($A77,EnrollData2324,'2324 Jun 24 Enroll'!D$1,FALSE),'District Calculations'!$D$11)),5)</f>
        <v>5.5530000000000003E-2</v>
      </c>
      <c r="K77" s="11">
        <f t="shared" si="6"/>
        <v>4.3699999999999998E-3</v>
      </c>
      <c r="L77">
        <f>ROUND(IF(VLOOKUP($A77,EnrollData2324,'2324 Jun 24 Enroll'!D$1,FALSE)='District Calculations'!$D$11,VLOOKUP($A77,EnrollData2324,'2324 Jun 24 Enroll'!D$1,FALSE),'District Calculations'!$D$11)*K77,3)</f>
        <v>0</v>
      </c>
      <c r="M77">
        <f>ROUND(IF(VLOOKUP($A77,EnrollData2324,'2324 Jun 24 Enroll'!E$1,FALSE)='District Calculations'!$D$12,VLOOKUP($A77,EnrollData2324,'2324 Jun 24 Enroll'!E$1,FALSE),'District Calculations'!$D$12)*K77,3)</f>
        <v>3.5419999999999998</v>
      </c>
      <c r="N77">
        <f>ROUND(IF(VLOOKUP($A77,EnrollData2324,'2324 Jun 24 Enroll'!F$1,FALSE)='District Calculations'!$D$13,VLOOKUP($A77,EnrollData2324,'2324 Jun 24 Enroll'!F$1,FALSE),'District Calculations'!$D$13)*Apport_223A2324s,3)</f>
        <v>0.84299999999999997</v>
      </c>
      <c r="O77">
        <f>ROUND(IF(VLOOKUP($A77,EnrollData2324,'2324 Jun 24 Enroll'!G$1,FALSE)='District Calculations'!$D$14,VLOOKUP($A77,EnrollData2324,'2324 Jun 24 Enroll'!G$1,FALSE),'District Calculations'!$D$14)*Apport_211A2324s,3)</f>
        <v>1.87</v>
      </c>
      <c r="P77">
        <f>ROUND(IF(VLOOKUP($A77,EnrollData2324,'2324 Jun 24 Enroll'!H$1,FALSE)='District Calculations'!$D$14,VLOOKUP($A77,EnrollData2324,'2324 Jun 24 Enroll'!H$1,FALSE),'District Calculations'!$D$14)*Apport_214A2324s,3)</f>
        <v>1.8680000000000001</v>
      </c>
      <c r="Q77">
        <f>ROUND(IF(VLOOKUP($A77,EnrollData2324,'2324 Jun 24 Enroll'!I$1,FALSE)+VLOOKUP($A77,EnrollData2324,'2324 Jun 24 Enroll'!M$1,FALSE)-VLOOKUP($A77,EnrollData2324,'2324 Jun 24 Enroll'!J$1,FALSE)='District Calculations'!$D$16+'District Calculations'!$D$25-'District Calculations'!$D$17,VLOOKUP($A77,EnrollData2324,'2324 Jun 24 Enroll'!I$1,FALSE)+VLOOKUP($A77,EnrollData2324,'2324 Jun 24 Enroll'!M$1,FALSE)-VLOOKUP($A77,EnrollData2324,'2324 Jun 24 Enroll'!J$1,FALSE),'District Calculations'!$D$16+'District Calculations'!$D$25-'District Calculations'!$D$17)*Apport_217A2324s,3)</f>
        <v>4.702</v>
      </c>
      <c r="R77">
        <f>ROUND(SUM(L77:Q77)/IF(VLOOKUP($A77,EnrollData2324,'2324 Jun 24 Enroll'!M$1,FALSE)+VLOOKUP($A77,EnrollData2324,'2324 Jun 24 Enroll'!D$1,FALSE)='District Calculations'!$D$25+'District Calculations'!$D$11,VLOOKUP($A77,EnrollData2324,'2324 Jun 24 Enroll'!M$1,FALSE)+VLOOKUP($A77,EnrollData2324,'2324 Jun 24 Enroll'!D$1,FALSE),'District Calculations'!$D$25+'District Calculations'!$D$11),5)</f>
        <v>4.1099999999999999E-3</v>
      </c>
      <c r="S77" s="11">
        <f t="shared" si="7"/>
        <v>1.8689600000000001E-2</v>
      </c>
      <c r="T77">
        <f>ROUND(IF(VLOOKUP($A77,EnrollData2324,'2324 Jun 24 Enroll'!D$1,FALSE)='District Calculations'!$D$11,VLOOKUP($A77,EnrollData2324,'2324 Jun 24 Enroll'!D$1,FALSE),'District Calculations'!$D$11)*S77,3)</f>
        <v>0</v>
      </c>
      <c r="U77">
        <f>ROUND(IF(VLOOKUP($A77,EnrollData2324,'2324 Jun 24 Enroll'!E$1,FALSE)='District Calculations'!$D$12,VLOOKUP($A77,EnrollData2324,'2324 Jun 24 Enroll'!E$1,FALSE),'District Calculations'!$D$12)*S77,3)</f>
        <v>15.148</v>
      </c>
      <c r="V77">
        <f>ROUND(IF(VLOOKUP($A77,EnrollData2324,'2324 Jun 24 Enroll'!F$1,FALSE)='District Calculations'!$D$13,VLOOKUP($A77,EnrollData2324,'2324 Jun 24 Enroll'!F$1,FALSE),'District Calculations'!$D$13)*Apport_224A2324s,3)</f>
        <v>3.7029999999999998</v>
      </c>
      <c r="W77">
        <f>ROUND(IF(VLOOKUP($A77,EnrollData2324,'2324 Jun 24 Enroll'!G$1,FALSE)='District Calculations'!$D$14,VLOOKUP($A77,EnrollData2324,'2324 Jun 24 Enroll'!G$1,FALSE),'District Calculations'!$D$14)*Apport_212A2324s,3)</f>
        <v>8.2089999999999996</v>
      </c>
      <c r="X77">
        <f>ROUND(IF(VLOOKUP($A77,EnrollData2324,'2324 Jun 24 Enroll'!H$1,FALSE)='District Calculations'!$D$14,VLOOKUP($A77,EnrollData2324,'2324 Jun 24 Enroll'!H$1,FALSE),'District Calculations'!$D$14)*Apport_215A2324s,3)</f>
        <v>8.0969999999999995</v>
      </c>
      <c r="Y77">
        <f>ROUND(IF(VLOOKUP($A77,EnrollData2324,'2324 Jun 24 Enroll'!I$1,FALSE)+VLOOKUP($A77,EnrollData2324,'2324 Jun 24 Enroll'!M$1,FALSE)-VLOOKUP($A77,EnrollData2324,'2324 Jun 24 Enroll'!J$1,FALSE)='District Calculations'!$D$16+'District Calculations'!$D$25-'District Calculations'!$D$17,VLOOKUP($A77,EnrollData2324,'2324 Jun 24 Enroll'!I$1,FALSE)+VLOOKUP($A77,EnrollData2324,'2324 Jun 24 Enroll'!M$1,FALSE)-VLOOKUP($A77,EnrollData2324,'2324 Jun 24 Enroll'!J$1,FALSE),'District Calculations'!$D$16+'District Calculations'!$D$25-'District Calculations'!$D$17)*Apport_218A2324s,3)</f>
        <v>20.224</v>
      </c>
      <c r="Z77">
        <f>ROUND(SUM(T77:Y77)/IF(VLOOKUP($A77,EnrollData2324,'2324 Jun 24 Enroll'!M$1,FALSE)+VLOOKUP($A77,EnrollData2324,'2324 Jun 24 Enroll'!D$1,FALSE)='District Calculations'!$D$25+'District Calculations'!$D$11,VLOOKUP($A77,EnrollData2324,'2324 Jun 24 Enroll'!M$1,FALSE)+VLOOKUP($A77,EnrollData2324,'2324 Jun 24 Enroll'!D$1,FALSE),'District Calculations'!$D$25+'District Calculations'!$D$11),5)</f>
        <v>1.7749999999999998E-2</v>
      </c>
      <c r="AA77" s="6" cm="1">
        <f t="array" ref="AA77">ROUND($J77*CIS_Base_Salary2324s*VLOOKUP($A77,EnrollData2324,'2324 Jun 24 Enroll'!S$1,FALSE),2)</f>
        <v>4038.59</v>
      </c>
      <c r="AB77" s="6" cm="1">
        <f t="array" ref="AB77">ROUND($J77*CIS_Inc_Salary2324s*(VLOOKUP($A77,EnrollData2324,'2324 Jun 24 Enroll'!T$1,FALSE)+VLOOKUP($A77,EnrollData2324,'2324 Jun 24 Enroll'!U$1,FALSE)),2)-AA77</f>
        <v>149.43000000000029</v>
      </c>
      <c r="AC77" s="6" cm="1">
        <f t="array" ref="AC77">ROUND($R77*CAS_Base_Salary2324s*VLOOKUP($A77,EnrollData2324,'2324 Jun 24 Enroll'!S$1,FALSE),2)</f>
        <v>443.7</v>
      </c>
      <c r="AD77" s="6" cm="1">
        <f t="array" ref="AD77">ROUND($R77*CAS_Inc_Salary2324s*VLOOKUP($A77,EnrollData2324,'2324 Jun 24 Enroll'!T$1,FALSE),2)-AC77</f>
        <v>16.410000000000025</v>
      </c>
      <c r="AE77" s="6" cm="1">
        <f t="array" ref="AE77">ROUND($Z77*CLS_Base_Salary2324s*VLOOKUP($A77,EnrollData2324,'2324 Jun 24 Enroll'!S$1,FALSE),2)</f>
        <v>926.07</v>
      </c>
      <c r="AF77" s="6" cm="1">
        <f t="array" ref="AF77">ROUND($Z77*CLS_Inc_Salary2324s*VLOOKUP($A77,EnrollData2324,'2324 Jun 24 Enroll'!T$1,FALSE),2)-AE77</f>
        <v>34.259999999999991</v>
      </c>
      <c r="AG77" cm="1">
        <f t="array" ref="AG77">ROUND(($J77+$R77)*Apport_124X2324s,2)</f>
        <v>734.29</v>
      </c>
      <c r="AH77" s="69">
        <f t="shared" si="8"/>
        <v>68.700000000000045</v>
      </c>
      <c r="AI77" cm="1">
        <f t="array" ref="AI77">ROUND($Z77*Apport_124X2324s,2)</f>
        <v>218.54</v>
      </c>
      <c r="AJ77" cm="1">
        <f t="array" ref="AJ77">ROUND($Z77*Apport_621X2324s*Apport_125X2324s,2)-AI77</f>
        <v>116.51000000000002</v>
      </c>
      <c r="AK77" cm="1">
        <f t="array" ref="AK77">ROUND((AA77+AC77)*Apport_126X2324s,2)</f>
        <v>805.47</v>
      </c>
      <c r="AL77" cm="1">
        <f t="array" ref="AL77">ROUND((AB77+AD77)*Apport_127X2324s,2)</f>
        <v>28.74</v>
      </c>
      <c r="AM77" cm="1">
        <f t="array" ref="AM77">ROUND(AE77*Apport_128X2324s,2)</f>
        <v>204.29</v>
      </c>
      <c r="AN77" cm="1">
        <f t="array" ref="AN77">ROUND(AF77*Apport_129X2324s,2)</f>
        <v>6.36</v>
      </c>
      <c r="AO77" cm="1">
        <f t="array" ref="AO77">ROUND(($J77*CIS_Inc_Salary2324s*(VLOOKUP($A77,EnrollData2324,'2324 Jun 24 Enroll'!T$1,FALSE)+VLOOKUP($A77,EnrollData2324,'2324 Jun 24 Enroll'!U$1,FALSE))/Apport_613Xpd)*Apport_614Xpd,2)</f>
        <v>69.8</v>
      </c>
      <c r="AP77" cm="1">
        <f t="array" ref="AP77">ROUND(AO77*Apport_127X2324s,2)</f>
        <v>12.1</v>
      </c>
      <c r="AQ77">
        <f t="shared" si="9"/>
        <v>30.93</v>
      </c>
      <c r="AR77" s="6" cm="1">
        <f t="array" ref="AR77">ROUND((VLOOKUP($A77,EnrollData2324,'2324 Jun 24 Enroll'!D$1,FALSE)*Apport_M802324s+VLOOKUP($A77,EnrollData2324,'2324 Jun 24 Enroll'!M$1,FALSE)*Apport_M802324s+(VLOOKUP($A77,EnrollData2324,'2324 Jun 24 Enroll'!P$1,FALSE)+VLOOKUP($A77,EnrollData2324,'2324 Jun 24 Enroll'!Q$1,FALSE)+VLOOKUP($A77,EnrollData2324,'2324 Jun 24 Enroll'!R$1,FALSE)+VLOOKUP($A77,EnrollData2324,'2324 Jun 24 Enroll'!I$1,FALSE)+VLOOKUP($A77,EnrollData2324,'2324 Jun 24 Enroll'!N$1,FALSE)+VLOOKUP($A77,EnrollData2324,'2324 Jun 24 Enroll'!O$1,FALSE)+VLOOKUP($A77,EnrollData2324,'2324 Jun 24 Enroll'!K$1,FALSE)+VLOOKUP($A77,EnrollData2324,'2324 Jun 24 Enroll'!L$1,FALSE))*Apport_M812324s)/(VLOOKUP($A77,EnrollData2324,'2324 Jun 24 Enroll'!M$1,FALSE)+VLOOKUP($A77,EnrollData2324,'2324 Jun 24 Enroll'!D$1,FALSE)),2)</f>
        <v>1571.58</v>
      </c>
      <c r="AS77" s="7">
        <f t="shared" si="11"/>
        <v>9475.77</v>
      </c>
    </row>
    <row r="78" spans="1:45">
      <c r="A78" s="40" t="s">
        <v>520</v>
      </c>
      <c r="B78" s="40" t="s">
        <v>521</v>
      </c>
      <c r="C78" s="11">
        <f>ROUND((IFERROR((1/IF(VLOOKUP($A78,EnrollData2324,28,FALSE)='District Calculations'!$D$10,VLOOKUP($A78,EnrollData2324,28,FALSE),'District Calculations'!$D$10))*(1+Apport_Z315),0))+Apport_201A2324s,6)</f>
        <v>7.3449E-2</v>
      </c>
      <c r="D78">
        <f>ROUND(IF(VLOOKUP($A78,EnrollData2324,'2324 Jun 24 Enroll'!D$1,FALSE)='District Calculations'!$D$11,VLOOKUP($A78,EnrollData2324,'2324 Jun 24 Enroll'!D$1,FALSE),'District Calculations'!$D$11)*C78,3)</f>
        <v>0</v>
      </c>
      <c r="E78">
        <f>ROUND(IF(VLOOKUP($A78,EnrollData2324,'2324 Jun 24 Enroll'!E$1,FALSE)='District Calculations'!$D$12,VLOOKUP($A78,EnrollData2324,'2324 Jun 24 Enroll'!E$1,FALSE),'District Calculations'!$D$12)*C78,3)</f>
        <v>59.53</v>
      </c>
      <c r="F78">
        <f>ROUND(IF(VLOOKUP($A78,EnrollData2324,'2324 Jun 24 Enroll'!F$1,FALSE)='District Calculations'!$D$13,VLOOKUP($A78,EnrollData2324,'2324 Jun 24 Enroll'!F$1,FALSE),'District Calculations'!$D$13)*Apport_222A2324s,3)</f>
        <v>10.101000000000001</v>
      </c>
      <c r="G78">
        <f>ROUND(IF(VLOOKUP($A78,EnrollData2324,'2324 Jun 24 Enroll'!G$1,FALSE)='District Calculations'!$D$14,VLOOKUP($A78,EnrollData2324,'2324 Jun 24 Enroll'!G$1,FALSE),'District Calculations'!$D$14)*Apport_210A2324s,3)</f>
        <v>22.395</v>
      </c>
      <c r="H78">
        <f>ROUND(IF(VLOOKUP($A78,EnrollData2324,'2324 Jun 24 Enroll'!H$1,FALSE)='District Calculations'!$D$15,VLOOKUP($A78,EnrollData2324,'2324 Jun 24 Enroll'!H$1,FALSE),'District Calculations'!$D$15)*Apport_213A2324s,3)</f>
        <v>23.091999999999999</v>
      </c>
      <c r="I78">
        <f>ROUND(IF(VLOOKUP($A78,EnrollData2324,'2324 Jun 24 Enroll'!I$1,FALSE)+VLOOKUP($A78,EnrollData2324,'2324 Jun 24 Enroll'!M$1,FALSE)-VLOOKUP($A78,EnrollData2324,'2324 Jun 24 Enroll'!J$1,FALSE)='District Calculations'!$D$16+'District Calculations'!$D$25-'District Calculations'!$D$17,VLOOKUP($A78,EnrollData2324,'2324 Jun 24 Enroll'!I$1,FALSE)+VLOOKUP($A78,EnrollData2324,'2324 Jun 24 Enroll'!M$1,FALSE)-VLOOKUP($A78,EnrollData2324,'2324 Jun 24 Enroll'!J$1,FALSE),'District Calculations'!$D$16+'District Calculations'!$D$25-'District Calculations'!$D$17)*Apport_216A2324s,3)</f>
        <v>58.183999999999997</v>
      </c>
      <c r="J78">
        <f>ROUND(SUM(D78:I78)/(IF(VLOOKUP($A78,EnrollData2324,'2324 Jun 24 Enroll'!M$1,FALSE)='District Calculations'!$D$25,VLOOKUP($A78,EnrollData2324,'2324 Jun 24 Enroll'!M$1,FALSE),'District Calculations'!$D$25)+IF(VLOOKUP($A78,EnrollData2324,'2324 Jun 24 Enroll'!D$1,FALSE)='District Calculations'!$D$11,VLOOKUP($A78,EnrollData2324,'2324 Jun 24 Enroll'!D$1,FALSE),'District Calculations'!$D$11)),5)</f>
        <v>5.5530000000000003E-2</v>
      </c>
      <c r="K78" s="11">
        <f t="shared" si="6"/>
        <v>4.3699999999999998E-3</v>
      </c>
      <c r="L78">
        <f>ROUND(IF(VLOOKUP($A78,EnrollData2324,'2324 Jun 24 Enroll'!D$1,FALSE)='District Calculations'!$D$11,VLOOKUP($A78,EnrollData2324,'2324 Jun 24 Enroll'!D$1,FALSE),'District Calculations'!$D$11)*K78,3)</f>
        <v>0</v>
      </c>
      <c r="M78">
        <f>ROUND(IF(VLOOKUP($A78,EnrollData2324,'2324 Jun 24 Enroll'!E$1,FALSE)='District Calculations'!$D$12,VLOOKUP($A78,EnrollData2324,'2324 Jun 24 Enroll'!E$1,FALSE),'District Calculations'!$D$12)*K78,3)</f>
        <v>3.5419999999999998</v>
      </c>
      <c r="N78">
        <f>ROUND(IF(VLOOKUP($A78,EnrollData2324,'2324 Jun 24 Enroll'!F$1,FALSE)='District Calculations'!$D$13,VLOOKUP($A78,EnrollData2324,'2324 Jun 24 Enroll'!F$1,FALSE),'District Calculations'!$D$13)*Apport_223A2324s,3)</f>
        <v>0.84299999999999997</v>
      </c>
      <c r="O78">
        <f>ROUND(IF(VLOOKUP($A78,EnrollData2324,'2324 Jun 24 Enroll'!G$1,FALSE)='District Calculations'!$D$14,VLOOKUP($A78,EnrollData2324,'2324 Jun 24 Enroll'!G$1,FALSE),'District Calculations'!$D$14)*Apport_211A2324s,3)</f>
        <v>1.87</v>
      </c>
      <c r="P78">
        <f>ROUND(IF(VLOOKUP($A78,EnrollData2324,'2324 Jun 24 Enroll'!H$1,FALSE)='District Calculations'!$D$14,VLOOKUP($A78,EnrollData2324,'2324 Jun 24 Enroll'!H$1,FALSE),'District Calculations'!$D$14)*Apport_214A2324s,3)</f>
        <v>1.8680000000000001</v>
      </c>
      <c r="Q78">
        <f>ROUND(IF(VLOOKUP($A78,EnrollData2324,'2324 Jun 24 Enroll'!I$1,FALSE)+VLOOKUP($A78,EnrollData2324,'2324 Jun 24 Enroll'!M$1,FALSE)-VLOOKUP($A78,EnrollData2324,'2324 Jun 24 Enroll'!J$1,FALSE)='District Calculations'!$D$16+'District Calculations'!$D$25-'District Calculations'!$D$17,VLOOKUP($A78,EnrollData2324,'2324 Jun 24 Enroll'!I$1,FALSE)+VLOOKUP($A78,EnrollData2324,'2324 Jun 24 Enroll'!M$1,FALSE)-VLOOKUP($A78,EnrollData2324,'2324 Jun 24 Enroll'!J$1,FALSE),'District Calculations'!$D$16+'District Calculations'!$D$25-'District Calculations'!$D$17)*Apport_217A2324s,3)</f>
        <v>4.702</v>
      </c>
      <c r="R78">
        <f>ROUND(SUM(L78:Q78)/IF(VLOOKUP($A78,EnrollData2324,'2324 Jun 24 Enroll'!M$1,FALSE)+VLOOKUP($A78,EnrollData2324,'2324 Jun 24 Enroll'!D$1,FALSE)='District Calculations'!$D$25+'District Calculations'!$D$11,VLOOKUP($A78,EnrollData2324,'2324 Jun 24 Enroll'!M$1,FALSE)+VLOOKUP($A78,EnrollData2324,'2324 Jun 24 Enroll'!D$1,FALSE),'District Calculations'!$D$25+'District Calculations'!$D$11),5)</f>
        <v>4.1099999999999999E-3</v>
      </c>
      <c r="S78" s="11">
        <f t="shared" si="7"/>
        <v>1.8689600000000001E-2</v>
      </c>
      <c r="T78">
        <f>ROUND(IF(VLOOKUP($A78,EnrollData2324,'2324 Jun 24 Enroll'!D$1,FALSE)='District Calculations'!$D$11,VLOOKUP($A78,EnrollData2324,'2324 Jun 24 Enroll'!D$1,FALSE),'District Calculations'!$D$11)*S78,3)</f>
        <v>0</v>
      </c>
      <c r="U78">
        <f>ROUND(IF(VLOOKUP($A78,EnrollData2324,'2324 Jun 24 Enroll'!E$1,FALSE)='District Calculations'!$D$12,VLOOKUP($A78,EnrollData2324,'2324 Jun 24 Enroll'!E$1,FALSE),'District Calculations'!$D$12)*S78,3)</f>
        <v>15.148</v>
      </c>
      <c r="V78">
        <f>ROUND(IF(VLOOKUP($A78,EnrollData2324,'2324 Jun 24 Enroll'!F$1,FALSE)='District Calculations'!$D$13,VLOOKUP($A78,EnrollData2324,'2324 Jun 24 Enroll'!F$1,FALSE),'District Calculations'!$D$13)*Apport_224A2324s,3)</f>
        <v>3.7029999999999998</v>
      </c>
      <c r="W78">
        <f>ROUND(IF(VLOOKUP($A78,EnrollData2324,'2324 Jun 24 Enroll'!G$1,FALSE)='District Calculations'!$D$14,VLOOKUP($A78,EnrollData2324,'2324 Jun 24 Enroll'!G$1,FALSE),'District Calculations'!$D$14)*Apport_212A2324s,3)</f>
        <v>8.2089999999999996</v>
      </c>
      <c r="X78">
        <f>ROUND(IF(VLOOKUP($A78,EnrollData2324,'2324 Jun 24 Enroll'!H$1,FALSE)='District Calculations'!$D$14,VLOOKUP($A78,EnrollData2324,'2324 Jun 24 Enroll'!H$1,FALSE),'District Calculations'!$D$14)*Apport_215A2324s,3)</f>
        <v>8.0969999999999995</v>
      </c>
      <c r="Y78">
        <f>ROUND(IF(VLOOKUP($A78,EnrollData2324,'2324 Jun 24 Enroll'!I$1,FALSE)+VLOOKUP($A78,EnrollData2324,'2324 Jun 24 Enroll'!M$1,FALSE)-VLOOKUP($A78,EnrollData2324,'2324 Jun 24 Enroll'!J$1,FALSE)='District Calculations'!$D$16+'District Calculations'!$D$25-'District Calculations'!$D$17,VLOOKUP($A78,EnrollData2324,'2324 Jun 24 Enroll'!I$1,FALSE)+VLOOKUP($A78,EnrollData2324,'2324 Jun 24 Enroll'!M$1,FALSE)-VLOOKUP($A78,EnrollData2324,'2324 Jun 24 Enroll'!J$1,FALSE),'District Calculations'!$D$16+'District Calculations'!$D$25-'District Calculations'!$D$17)*Apport_218A2324s,3)</f>
        <v>20.224</v>
      </c>
      <c r="Z78">
        <f>ROUND(SUM(T78:Y78)/IF(VLOOKUP($A78,EnrollData2324,'2324 Jun 24 Enroll'!M$1,FALSE)+VLOOKUP($A78,EnrollData2324,'2324 Jun 24 Enroll'!D$1,FALSE)='District Calculations'!$D$25+'District Calculations'!$D$11,VLOOKUP($A78,EnrollData2324,'2324 Jun 24 Enroll'!M$1,FALSE)+VLOOKUP($A78,EnrollData2324,'2324 Jun 24 Enroll'!D$1,FALSE),'District Calculations'!$D$25+'District Calculations'!$D$11),5)</f>
        <v>1.7749999999999998E-2</v>
      </c>
      <c r="AA78" s="6" cm="1">
        <f t="array" ref="AA78">ROUND($J78*CIS_Base_Salary2324s*VLOOKUP($A78,EnrollData2324,'2324 Jun 24 Enroll'!S$1,FALSE),2)</f>
        <v>4038.59</v>
      </c>
      <c r="AB78" s="6" cm="1">
        <f t="array" ref="AB78">ROUND($J78*CIS_Inc_Salary2324s*(VLOOKUP($A78,EnrollData2324,'2324 Jun 24 Enroll'!T$1,FALSE)+VLOOKUP($A78,EnrollData2324,'2324 Jun 24 Enroll'!U$1,FALSE)),2)-AA78</f>
        <v>149.43000000000029</v>
      </c>
      <c r="AC78" s="6" cm="1">
        <f t="array" ref="AC78">ROUND($R78*CAS_Base_Salary2324s*VLOOKUP($A78,EnrollData2324,'2324 Jun 24 Enroll'!S$1,FALSE),2)</f>
        <v>443.7</v>
      </c>
      <c r="AD78" s="6" cm="1">
        <f t="array" ref="AD78">ROUND($R78*CAS_Inc_Salary2324s*VLOOKUP($A78,EnrollData2324,'2324 Jun 24 Enroll'!T$1,FALSE),2)-AC78</f>
        <v>16.410000000000025</v>
      </c>
      <c r="AE78" s="6" cm="1">
        <f t="array" ref="AE78">ROUND($Z78*CLS_Base_Salary2324s*VLOOKUP($A78,EnrollData2324,'2324 Jun 24 Enroll'!S$1,FALSE),2)</f>
        <v>926.07</v>
      </c>
      <c r="AF78" s="6" cm="1">
        <f t="array" ref="AF78">ROUND($Z78*CLS_Inc_Salary2324s*VLOOKUP($A78,EnrollData2324,'2324 Jun 24 Enroll'!T$1,FALSE),2)-AE78</f>
        <v>34.259999999999991</v>
      </c>
      <c r="AG78" cm="1">
        <f t="array" ref="AG78">ROUND(($J78+$R78)*Apport_124X2324s,2)</f>
        <v>734.29</v>
      </c>
      <c r="AH78" s="69">
        <f t="shared" si="8"/>
        <v>68.700000000000045</v>
      </c>
      <c r="AI78" cm="1">
        <f t="array" ref="AI78">ROUND($Z78*Apport_124X2324s,2)</f>
        <v>218.54</v>
      </c>
      <c r="AJ78" cm="1">
        <f t="array" ref="AJ78">ROUND($Z78*Apport_621X2324s*Apport_125X2324s,2)-AI78</f>
        <v>116.51000000000002</v>
      </c>
      <c r="AK78" cm="1">
        <f t="array" ref="AK78">ROUND((AA78+AC78)*Apport_126X2324s,2)</f>
        <v>805.47</v>
      </c>
      <c r="AL78" cm="1">
        <f t="array" ref="AL78">ROUND((AB78+AD78)*Apport_127X2324s,2)</f>
        <v>28.74</v>
      </c>
      <c r="AM78" cm="1">
        <f t="array" ref="AM78">ROUND(AE78*Apport_128X2324s,2)</f>
        <v>204.29</v>
      </c>
      <c r="AN78" cm="1">
        <f t="array" ref="AN78">ROUND(AF78*Apport_129X2324s,2)</f>
        <v>6.36</v>
      </c>
      <c r="AO78" cm="1">
        <f t="array" ref="AO78">ROUND(($J78*CIS_Inc_Salary2324s*(VLOOKUP($A78,EnrollData2324,'2324 Jun 24 Enroll'!T$1,FALSE)+VLOOKUP($A78,EnrollData2324,'2324 Jun 24 Enroll'!U$1,FALSE))/Apport_613Xpd)*Apport_614Xpd,2)</f>
        <v>69.8</v>
      </c>
      <c r="AP78" cm="1">
        <f t="array" ref="AP78">ROUND(AO78*Apport_127X2324s,2)</f>
        <v>12.1</v>
      </c>
      <c r="AQ78">
        <f t="shared" si="9"/>
        <v>30.93</v>
      </c>
      <c r="AR78" s="6" cm="1">
        <f t="array" ref="AR78">ROUND((VLOOKUP($A78,EnrollData2324,'2324 Jun 24 Enroll'!D$1,FALSE)*Apport_M802324s+VLOOKUP($A78,EnrollData2324,'2324 Jun 24 Enroll'!M$1,FALSE)*Apport_M802324s+(VLOOKUP($A78,EnrollData2324,'2324 Jun 24 Enroll'!P$1,FALSE)+VLOOKUP($A78,EnrollData2324,'2324 Jun 24 Enroll'!Q$1,FALSE)+VLOOKUP($A78,EnrollData2324,'2324 Jun 24 Enroll'!R$1,FALSE)+VLOOKUP($A78,EnrollData2324,'2324 Jun 24 Enroll'!I$1,FALSE)+VLOOKUP($A78,EnrollData2324,'2324 Jun 24 Enroll'!N$1,FALSE)+VLOOKUP($A78,EnrollData2324,'2324 Jun 24 Enroll'!O$1,FALSE)+VLOOKUP($A78,EnrollData2324,'2324 Jun 24 Enroll'!K$1,FALSE)+VLOOKUP($A78,EnrollData2324,'2324 Jun 24 Enroll'!L$1,FALSE))*Apport_M812324s)/(VLOOKUP($A78,EnrollData2324,'2324 Jun 24 Enroll'!M$1,FALSE)+VLOOKUP($A78,EnrollData2324,'2324 Jun 24 Enroll'!D$1,FALSE)),2)</f>
        <v>1504.44</v>
      </c>
      <c r="AS78" s="7">
        <f t="shared" si="11"/>
        <v>9408.630000000001</v>
      </c>
    </row>
    <row r="79" spans="1:45">
      <c r="A79" s="40" t="s">
        <v>416</v>
      </c>
      <c r="B79" s="40" t="s">
        <v>417</v>
      </c>
      <c r="C79" s="11">
        <f>ROUND((IFERROR((1/IF(VLOOKUP($A79,EnrollData2324,28,FALSE)='District Calculations'!$D$10,VLOOKUP($A79,EnrollData2324,28,FALSE),'District Calculations'!$D$10))*(1+Apport_Z315),0))+Apport_201A2324s,6)</f>
        <v>7.3449E-2</v>
      </c>
      <c r="D79">
        <f>ROUND(IF(VLOOKUP($A79,EnrollData2324,'2324 Jun 24 Enroll'!D$1,FALSE)='District Calculations'!$D$11,VLOOKUP($A79,EnrollData2324,'2324 Jun 24 Enroll'!D$1,FALSE),'District Calculations'!$D$11)*C79,3)</f>
        <v>0</v>
      </c>
      <c r="E79">
        <f>ROUND(IF(VLOOKUP($A79,EnrollData2324,'2324 Jun 24 Enroll'!E$1,FALSE)='District Calculations'!$D$12,VLOOKUP($A79,EnrollData2324,'2324 Jun 24 Enroll'!E$1,FALSE),'District Calculations'!$D$12)*C79,3)</f>
        <v>59.53</v>
      </c>
      <c r="F79">
        <f>ROUND(IF(VLOOKUP($A79,EnrollData2324,'2324 Jun 24 Enroll'!F$1,FALSE)='District Calculations'!$D$13,VLOOKUP($A79,EnrollData2324,'2324 Jun 24 Enroll'!F$1,FALSE),'District Calculations'!$D$13)*Apport_222A2324s,3)</f>
        <v>10.101000000000001</v>
      </c>
      <c r="G79">
        <f>ROUND(IF(VLOOKUP($A79,EnrollData2324,'2324 Jun 24 Enroll'!G$1,FALSE)='District Calculations'!$D$14,VLOOKUP($A79,EnrollData2324,'2324 Jun 24 Enroll'!G$1,FALSE),'District Calculations'!$D$14)*Apport_210A2324s,3)</f>
        <v>22.395</v>
      </c>
      <c r="H79">
        <f>ROUND(IF(VLOOKUP($A79,EnrollData2324,'2324 Jun 24 Enroll'!H$1,FALSE)='District Calculations'!$D$15,VLOOKUP($A79,EnrollData2324,'2324 Jun 24 Enroll'!H$1,FALSE),'District Calculations'!$D$15)*Apport_213A2324s,3)</f>
        <v>23.091999999999999</v>
      </c>
      <c r="I79">
        <f>ROUND(IF(VLOOKUP($A79,EnrollData2324,'2324 Jun 24 Enroll'!I$1,FALSE)+VLOOKUP($A79,EnrollData2324,'2324 Jun 24 Enroll'!M$1,FALSE)-VLOOKUP($A79,EnrollData2324,'2324 Jun 24 Enroll'!J$1,FALSE)='District Calculations'!$D$16+'District Calculations'!$D$25-'District Calculations'!$D$17,VLOOKUP($A79,EnrollData2324,'2324 Jun 24 Enroll'!I$1,FALSE)+VLOOKUP($A79,EnrollData2324,'2324 Jun 24 Enroll'!M$1,FALSE)-VLOOKUP($A79,EnrollData2324,'2324 Jun 24 Enroll'!J$1,FALSE),'District Calculations'!$D$16+'District Calculations'!$D$25-'District Calculations'!$D$17)*Apport_216A2324s,3)</f>
        <v>58.183999999999997</v>
      </c>
      <c r="J79">
        <f>ROUND(SUM(D79:I79)/(IF(VLOOKUP($A79,EnrollData2324,'2324 Jun 24 Enroll'!M$1,FALSE)='District Calculations'!$D$25,VLOOKUP($A79,EnrollData2324,'2324 Jun 24 Enroll'!M$1,FALSE),'District Calculations'!$D$25)+IF(VLOOKUP($A79,EnrollData2324,'2324 Jun 24 Enroll'!D$1,FALSE)='District Calculations'!$D$11,VLOOKUP($A79,EnrollData2324,'2324 Jun 24 Enroll'!D$1,FALSE),'District Calculations'!$D$11)),5)</f>
        <v>5.5530000000000003E-2</v>
      </c>
      <c r="K79" s="11">
        <f t="shared" si="6"/>
        <v>4.3699999999999998E-3</v>
      </c>
      <c r="L79">
        <f>ROUND(IF(VLOOKUP($A79,EnrollData2324,'2324 Jun 24 Enroll'!D$1,FALSE)='District Calculations'!$D$11,VLOOKUP($A79,EnrollData2324,'2324 Jun 24 Enroll'!D$1,FALSE),'District Calculations'!$D$11)*K79,3)</f>
        <v>0</v>
      </c>
      <c r="M79">
        <f>ROUND(IF(VLOOKUP($A79,EnrollData2324,'2324 Jun 24 Enroll'!E$1,FALSE)='District Calculations'!$D$12,VLOOKUP($A79,EnrollData2324,'2324 Jun 24 Enroll'!E$1,FALSE),'District Calculations'!$D$12)*K79,3)</f>
        <v>3.5419999999999998</v>
      </c>
      <c r="N79">
        <f>ROUND(IF(VLOOKUP($A79,EnrollData2324,'2324 Jun 24 Enroll'!F$1,FALSE)='District Calculations'!$D$13,VLOOKUP($A79,EnrollData2324,'2324 Jun 24 Enroll'!F$1,FALSE),'District Calculations'!$D$13)*Apport_223A2324s,3)</f>
        <v>0.84299999999999997</v>
      </c>
      <c r="O79">
        <f>ROUND(IF(VLOOKUP($A79,EnrollData2324,'2324 Jun 24 Enroll'!G$1,FALSE)='District Calculations'!$D$14,VLOOKUP($A79,EnrollData2324,'2324 Jun 24 Enroll'!G$1,FALSE),'District Calculations'!$D$14)*Apport_211A2324s,3)</f>
        <v>1.87</v>
      </c>
      <c r="P79">
        <f>ROUND(IF(VLOOKUP($A79,EnrollData2324,'2324 Jun 24 Enroll'!H$1,FALSE)='District Calculations'!$D$14,VLOOKUP($A79,EnrollData2324,'2324 Jun 24 Enroll'!H$1,FALSE),'District Calculations'!$D$14)*Apport_214A2324s,3)</f>
        <v>1.8680000000000001</v>
      </c>
      <c r="Q79">
        <f>ROUND(IF(VLOOKUP($A79,EnrollData2324,'2324 Jun 24 Enroll'!I$1,FALSE)+VLOOKUP($A79,EnrollData2324,'2324 Jun 24 Enroll'!M$1,FALSE)-VLOOKUP($A79,EnrollData2324,'2324 Jun 24 Enroll'!J$1,FALSE)='District Calculations'!$D$16+'District Calculations'!$D$25-'District Calculations'!$D$17,VLOOKUP($A79,EnrollData2324,'2324 Jun 24 Enroll'!I$1,FALSE)+VLOOKUP($A79,EnrollData2324,'2324 Jun 24 Enroll'!M$1,FALSE)-VLOOKUP($A79,EnrollData2324,'2324 Jun 24 Enroll'!J$1,FALSE),'District Calculations'!$D$16+'District Calculations'!$D$25-'District Calculations'!$D$17)*Apport_217A2324s,3)</f>
        <v>4.702</v>
      </c>
      <c r="R79">
        <f>ROUND(SUM(L79:Q79)/IF(VLOOKUP($A79,EnrollData2324,'2324 Jun 24 Enroll'!M$1,FALSE)+VLOOKUP($A79,EnrollData2324,'2324 Jun 24 Enroll'!D$1,FALSE)='District Calculations'!$D$25+'District Calculations'!$D$11,VLOOKUP($A79,EnrollData2324,'2324 Jun 24 Enroll'!M$1,FALSE)+VLOOKUP($A79,EnrollData2324,'2324 Jun 24 Enroll'!D$1,FALSE),'District Calculations'!$D$25+'District Calculations'!$D$11),5)</f>
        <v>4.1099999999999999E-3</v>
      </c>
      <c r="S79" s="11">
        <f t="shared" si="7"/>
        <v>1.8689600000000001E-2</v>
      </c>
      <c r="T79">
        <f>ROUND(IF(VLOOKUP($A79,EnrollData2324,'2324 Jun 24 Enroll'!D$1,FALSE)='District Calculations'!$D$11,VLOOKUP($A79,EnrollData2324,'2324 Jun 24 Enroll'!D$1,FALSE),'District Calculations'!$D$11)*S79,3)</f>
        <v>0</v>
      </c>
      <c r="U79">
        <f>ROUND(IF(VLOOKUP($A79,EnrollData2324,'2324 Jun 24 Enroll'!E$1,FALSE)='District Calculations'!$D$12,VLOOKUP($A79,EnrollData2324,'2324 Jun 24 Enroll'!E$1,FALSE),'District Calculations'!$D$12)*S79,3)</f>
        <v>15.148</v>
      </c>
      <c r="V79">
        <f>ROUND(IF(VLOOKUP($A79,EnrollData2324,'2324 Jun 24 Enroll'!F$1,FALSE)='District Calculations'!$D$13,VLOOKUP($A79,EnrollData2324,'2324 Jun 24 Enroll'!F$1,FALSE),'District Calculations'!$D$13)*Apport_224A2324s,3)</f>
        <v>3.7029999999999998</v>
      </c>
      <c r="W79">
        <f>ROUND(IF(VLOOKUP($A79,EnrollData2324,'2324 Jun 24 Enroll'!G$1,FALSE)='District Calculations'!$D$14,VLOOKUP($A79,EnrollData2324,'2324 Jun 24 Enroll'!G$1,FALSE),'District Calculations'!$D$14)*Apport_212A2324s,3)</f>
        <v>8.2089999999999996</v>
      </c>
      <c r="X79">
        <f>ROUND(IF(VLOOKUP($A79,EnrollData2324,'2324 Jun 24 Enroll'!H$1,FALSE)='District Calculations'!$D$14,VLOOKUP($A79,EnrollData2324,'2324 Jun 24 Enroll'!H$1,FALSE),'District Calculations'!$D$14)*Apport_215A2324s,3)</f>
        <v>8.0969999999999995</v>
      </c>
      <c r="Y79">
        <f>ROUND(IF(VLOOKUP($A79,EnrollData2324,'2324 Jun 24 Enroll'!I$1,FALSE)+VLOOKUP($A79,EnrollData2324,'2324 Jun 24 Enroll'!M$1,FALSE)-VLOOKUP($A79,EnrollData2324,'2324 Jun 24 Enroll'!J$1,FALSE)='District Calculations'!$D$16+'District Calculations'!$D$25-'District Calculations'!$D$17,VLOOKUP($A79,EnrollData2324,'2324 Jun 24 Enroll'!I$1,FALSE)+VLOOKUP($A79,EnrollData2324,'2324 Jun 24 Enroll'!M$1,FALSE)-VLOOKUP($A79,EnrollData2324,'2324 Jun 24 Enroll'!J$1,FALSE),'District Calculations'!$D$16+'District Calculations'!$D$25-'District Calculations'!$D$17)*Apport_218A2324s,3)</f>
        <v>20.224</v>
      </c>
      <c r="Z79">
        <f>ROUND(SUM(T79:Y79)/IF(VLOOKUP($A79,EnrollData2324,'2324 Jun 24 Enroll'!M$1,FALSE)+VLOOKUP($A79,EnrollData2324,'2324 Jun 24 Enroll'!D$1,FALSE)='District Calculations'!$D$25+'District Calculations'!$D$11,VLOOKUP($A79,EnrollData2324,'2324 Jun 24 Enroll'!M$1,FALSE)+VLOOKUP($A79,EnrollData2324,'2324 Jun 24 Enroll'!D$1,FALSE),'District Calculations'!$D$25+'District Calculations'!$D$11),5)</f>
        <v>1.7749999999999998E-2</v>
      </c>
      <c r="AA79" s="6" cm="1">
        <f t="array" ref="AA79">ROUND($J79*CIS_Base_Salary2324s*VLOOKUP($A79,EnrollData2324,'2324 Jun 24 Enroll'!S$1,FALSE),2)</f>
        <v>4038.59</v>
      </c>
      <c r="AB79" s="6" cm="1">
        <f t="array" ref="AB79">ROUND($J79*CIS_Inc_Salary2324s*(VLOOKUP($A79,EnrollData2324,'2324 Jun 24 Enroll'!T$1,FALSE)+VLOOKUP($A79,EnrollData2324,'2324 Jun 24 Enroll'!U$1,FALSE)),2)-AA79</f>
        <v>233.1899999999996</v>
      </c>
      <c r="AC79" s="6" cm="1">
        <f t="array" ref="AC79">ROUND($R79*CAS_Base_Salary2324s*VLOOKUP($A79,EnrollData2324,'2324 Jun 24 Enroll'!S$1,FALSE),2)</f>
        <v>443.7</v>
      </c>
      <c r="AD79" s="6" cm="1">
        <f t="array" ref="AD79">ROUND($R79*CAS_Inc_Salary2324s*VLOOKUP($A79,EnrollData2324,'2324 Jun 24 Enroll'!T$1,FALSE),2)-AC79</f>
        <v>16.410000000000025</v>
      </c>
      <c r="AE79" s="6" cm="1">
        <f t="array" ref="AE79">ROUND($Z79*CLS_Base_Salary2324s*VLOOKUP($A79,EnrollData2324,'2324 Jun 24 Enroll'!S$1,FALSE),2)</f>
        <v>926.07</v>
      </c>
      <c r="AF79" s="6" cm="1">
        <f t="array" ref="AF79">ROUND($Z79*CLS_Inc_Salary2324s*VLOOKUP($A79,EnrollData2324,'2324 Jun 24 Enroll'!T$1,FALSE),2)-AE79</f>
        <v>34.259999999999991</v>
      </c>
      <c r="AG79" cm="1">
        <f t="array" ref="AG79">ROUND(($J79+$R79)*Apport_124X2324s,2)</f>
        <v>734.29</v>
      </c>
      <c r="AH79" s="69">
        <f t="shared" si="8"/>
        <v>68.700000000000045</v>
      </c>
      <c r="AI79" cm="1">
        <f t="array" ref="AI79">ROUND($Z79*Apport_124X2324s,2)</f>
        <v>218.54</v>
      </c>
      <c r="AJ79" cm="1">
        <f t="array" ref="AJ79">ROUND($Z79*Apport_621X2324s*Apport_125X2324s,2)-AI79</f>
        <v>116.51000000000002</v>
      </c>
      <c r="AK79" cm="1">
        <f t="array" ref="AK79">ROUND((AA79+AC79)*Apport_126X2324s,2)</f>
        <v>805.47</v>
      </c>
      <c r="AL79" cm="1">
        <f t="array" ref="AL79">ROUND((AB79+AD79)*Apport_127X2324s,2)</f>
        <v>43.26</v>
      </c>
      <c r="AM79" cm="1">
        <f t="array" ref="AM79">ROUND(AE79*Apport_128X2324s,2)</f>
        <v>204.29</v>
      </c>
      <c r="AN79" cm="1">
        <f t="array" ref="AN79">ROUND(AF79*Apport_129X2324s,2)</f>
        <v>6.36</v>
      </c>
      <c r="AO79" cm="1">
        <f t="array" ref="AO79">ROUND(($J79*CIS_Inc_Salary2324s*(VLOOKUP($A79,EnrollData2324,'2324 Jun 24 Enroll'!T$1,FALSE)+VLOOKUP($A79,EnrollData2324,'2324 Jun 24 Enroll'!U$1,FALSE))/Apport_613Xpd)*Apport_614Xpd,2)</f>
        <v>71.2</v>
      </c>
      <c r="AP79" cm="1">
        <f t="array" ref="AP79">ROUND(AO79*Apport_127X2324s,2)</f>
        <v>12.34</v>
      </c>
      <c r="AQ79">
        <f t="shared" si="9"/>
        <v>30.93</v>
      </c>
      <c r="AR79" s="6" cm="1">
        <f t="array" ref="AR79">ROUND((VLOOKUP($A79,EnrollData2324,'2324 Jun 24 Enroll'!D$1,FALSE)*Apport_M802324s+VLOOKUP($A79,EnrollData2324,'2324 Jun 24 Enroll'!M$1,FALSE)*Apport_M802324s+(VLOOKUP($A79,EnrollData2324,'2324 Jun 24 Enroll'!P$1,FALSE)+VLOOKUP($A79,EnrollData2324,'2324 Jun 24 Enroll'!Q$1,FALSE)+VLOOKUP($A79,EnrollData2324,'2324 Jun 24 Enroll'!R$1,FALSE)+VLOOKUP($A79,EnrollData2324,'2324 Jun 24 Enroll'!I$1,FALSE)+VLOOKUP($A79,EnrollData2324,'2324 Jun 24 Enroll'!N$1,FALSE)+VLOOKUP($A79,EnrollData2324,'2324 Jun 24 Enroll'!O$1,FALSE)+VLOOKUP($A79,EnrollData2324,'2324 Jun 24 Enroll'!K$1,FALSE)+VLOOKUP($A79,EnrollData2324,'2324 Jun 24 Enroll'!L$1,FALSE))*Apport_M812324s)/(VLOOKUP($A79,EnrollData2324,'2324 Jun 24 Enroll'!M$1,FALSE)+VLOOKUP($A79,EnrollData2324,'2324 Jun 24 Enroll'!D$1,FALSE)),2)</f>
        <v>1618.72</v>
      </c>
      <c r="AS79" s="7">
        <f t="shared" si="11"/>
        <v>9622.83</v>
      </c>
    </row>
    <row r="80" spans="1:45">
      <c r="A80" s="40" t="s">
        <v>667</v>
      </c>
      <c r="B80" s="40" t="s">
        <v>668</v>
      </c>
      <c r="C80" s="11">
        <f>ROUND((IFERROR((1/IF(VLOOKUP($A80,EnrollData2324,28,FALSE)='District Calculations'!$D$10,VLOOKUP($A80,EnrollData2324,28,FALSE),'District Calculations'!$D$10))*(1+Apport_Z315),0))+Apport_201A2324s,6)</f>
        <v>7.3449E-2</v>
      </c>
      <c r="D80">
        <f>ROUND(IF(VLOOKUP($A80,EnrollData2324,'2324 Jun 24 Enroll'!D$1,FALSE)='District Calculations'!$D$11,VLOOKUP($A80,EnrollData2324,'2324 Jun 24 Enroll'!D$1,FALSE),'District Calculations'!$D$11)*C80,3)</f>
        <v>0</v>
      </c>
      <c r="E80">
        <f>ROUND(IF(VLOOKUP($A80,EnrollData2324,'2324 Jun 24 Enroll'!E$1,FALSE)='District Calculations'!$D$12,VLOOKUP($A80,EnrollData2324,'2324 Jun 24 Enroll'!E$1,FALSE),'District Calculations'!$D$12)*C80,3)</f>
        <v>59.53</v>
      </c>
      <c r="F80">
        <f>ROUND(IF(VLOOKUP($A80,EnrollData2324,'2324 Jun 24 Enroll'!F$1,FALSE)='District Calculations'!$D$13,VLOOKUP($A80,EnrollData2324,'2324 Jun 24 Enroll'!F$1,FALSE),'District Calculations'!$D$13)*Apport_222A2324s,3)</f>
        <v>10.101000000000001</v>
      </c>
      <c r="G80">
        <f>ROUND(IF(VLOOKUP($A80,EnrollData2324,'2324 Jun 24 Enroll'!G$1,FALSE)='District Calculations'!$D$14,VLOOKUP($A80,EnrollData2324,'2324 Jun 24 Enroll'!G$1,FALSE),'District Calculations'!$D$14)*Apport_210A2324s,3)</f>
        <v>22.395</v>
      </c>
      <c r="H80">
        <f>ROUND(IF(VLOOKUP($A80,EnrollData2324,'2324 Jun 24 Enroll'!H$1,FALSE)='District Calculations'!$D$15,VLOOKUP($A80,EnrollData2324,'2324 Jun 24 Enroll'!H$1,FALSE),'District Calculations'!$D$15)*Apport_213A2324s,3)</f>
        <v>23.091999999999999</v>
      </c>
      <c r="I80">
        <f>ROUND(IF(VLOOKUP($A80,EnrollData2324,'2324 Jun 24 Enroll'!I$1,FALSE)+VLOOKUP($A80,EnrollData2324,'2324 Jun 24 Enroll'!M$1,FALSE)-VLOOKUP($A80,EnrollData2324,'2324 Jun 24 Enroll'!J$1,FALSE)='District Calculations'!$D$16+'District Calculations'!$D$25-'District Calculations'!$D$17,VLOOKUP($A80,EnrollData2324,'2324 Jun 24 Enroll'!I$1,FALSE)+VLOOKUP($A80,EnrollData2324,'2324 Jun 24 Enroll'!M$1,FALSE)-VLOOKUP($A80,EnrollData2324,'2324 Jun 24 Enroll'!J$1,FALSE),'District Calculations'!$D$16+'District Calculations'!$D$25-'District Calculations'!$D$17)*Apport_216A2324s,3)</f>
        <v>58.183999999999997</v>
      </c>
      <c r="J80">
        <f>ROUND(SUM(D80:I80)/(IF(VLOOKUP($A80,EnrollData2324,'2324 Jun 24 Enroll'!M$1,FALSE)='District Calculations'!$D$25,VLOOKUP($A80,EnrollData2324,'2324 Jun 24 Enroll'!M$1,FALSE),'District Calculations'!$D$25)+IF(VLOOKUP($A80,EnrollData2324,'2324 Jun 24 Enroll'!D$1,FALSE)='District Calculations'!$D$11,VLOOKUP($A80,EnrollData2324,'2324 Jun 24 Enroll'!D$1,FALSE),'District Calculations'!$D$11)),5)</f>
        <v>5.5530000000000003E-2</v>
      </c>
      <c r="K80" s="11">
        <f t="shared" si="6"/>
        <v>4.3699999999999998E-3</v>
      </c>
      <c r="L80">
        <f>ROUND(IF(VLOOKUP($A80,EnrollData2324,'2324 Jun 24 Enroll'!D$1,FALSE)='District Calculations'!$D$11,VLOOKUP($A80,EnrollData2324,'2324 Jun 24 Enroll'!D$1,FALSE),'District Calculations'!$D$11)*K80,3)</f>
        <v>0</v>
      </c>
      <c r="M80">
        <f>ROUND(IF(VLOOKUP($A80,EnrollData2324,'2324 Jun 24 Enroll'!E$1,FALSE)='District Calculations'!$D$12,VLOOKUP($A80,EnrollData2324,'2324 Jun 24 Enroll'!E$1,FALSE),'District Calculations'!$D$12)*K80,3)</f>
        <v>3.5419999999999998</v>
      </c>
      <c r="N80">
        <f>ROUND(IF(VLOOKUP($A80,EnrollData2324,'2324 Jun 24 Enroll'!F$1,FALSE)='District Calculations'!$D$13,VLOOKUP($A80,EnrollData2324,'2324 Jun 24 Enroll'!F$1,FALSE),'District Calculations'!$D$13)*Apport_223A2324s,3)</f>
        <v>0.84299999999999997</v>
      </c>
      <c r="O80">
        <f>ROUND(IF(VLOOKUP($A80,EnrollData2324,'2324 Jun 24 Enroll'!G$1,FALSE)='District Calculations'!$D$14,VLOOKUP($A80,EnrollData2324,'2324 Jun 24 Enroll'!G$1,FALSE),'District Calculations'!$D$14)*Apport_211A2324s,3)</f>
        <v>1.87</v>
      </c>
      <c r="P80">
        <f>ROUND(IF(VLOOKUP($A80,EnrollData2324,'2324 Jun 24 Enroll'!H$1,FALSE)='District Calculations'!$D$14,VLOOKUP($A80,EnrollData2324,'2324 Jun 24 Enroll'!H$1,FALSE),'District Calculations'!$D$14)*Apport_214A2324s,3)</f>
        <v>1.8680000000000001</v>
      </c>
      <c r="Q80">
        <f>ROUND(IF(VLOOKUP($A80,EnrollData2324,'2324 Jun 24 Enroll'!I$1,FALSE)+VLOOKUP($A80,EnrollData2324,'2324 Jun 24 Enroll'!M$1,FALSE)-VLOOKUP($A80,EnrollData2324,'2324 Jun 24 Enroll'!J$1,FALSE)='District Calculations'!$D$16+'District Calculations'!$D$25-'District Calculations'!$D$17,VLOOKUP($A80,EnrollData2324,'2324 Jun 24 Enroll'!I$1,FALSE)+VLOOKUP($A80,EnrollData2324,'2324 Jun 24 Enroll'!M$1,FALSE)-VLOOKUP($A80,EnrollData2324,'2324 Jun 24 Enroll'!J$1,FALSE),'District Calculations'!$D$16+'District Calculations'!$D$25-'District Calculations'!$D$17)*Apport_217A2324s,3)</f>
        <v>4.702</v>
      </c>
      <c r="R80">
        <f>ROUND(SUM(L80:Q80)/IF(VLOOKUP($A80,EnrollData2324,'2324 Jun 24 Enroll'!M$1,FALSE)+VLOOKUP($A80,EnrollData2324,'2324 Jun 24 Enroll'!D$1,FALSE)='District Calculations'!$D$25+'District Calculations'!$D$11,VLOOKUP($A80,EnrollData2324,'2324 Jun 24 Enroll'!M$1,FALSE)+VLOOKUP($A80,EnrollData2324,'2324 Jun 24 Enroll'!D$1,FALSE),'District Calculations'!$D$25+'District Calculations'!$D$11),5)</f>
        <v>4.1099999999999999E-3</v>
      </c>
      <c r="S80" s="11">
        <f t="shared" si="7"/>
        <v>1.8689600000000001E-2</v>
      </c>
      <c r="T80">
        <f>ROUND(IF(VLOOKUP($A80,EnrollData2324,'2324 Jun 24 Enroll'!D$1,FALSE)='District Calculations'!$D$11,VLOOKUP($A80,EnrollData2324,'2324 Jun 24 Enroll'!D$1,FALSE),'District Calculations'!$D$11)*S80,3)</f>
        <v>0</v>
      </c>
      <c r="U80">
        <f>ROUND(IF(VLOOKUP($A80,EnrollData2324,'2324 Jun 24 Enroll'!E$1,FALSE)='District Calculations'!$D$12,VLOOKUP($A80,EnrollData2324,'2324 Jun 24 Enroll'!E$1,FALSE),'District Calculations'!$D$12)*S80,3)</f>
        <v>15.148</v>
      </c>
      <c r="V80">
        <f>ROUND(IF(VLOOKUP($A80,EnrollData2324,'2324 Jun 24 Enroll'!F$1,FALSE)='District Calculations'!$D$13,VLOOKUP($A80,EnrollData2324,'2324 Jun 24 Enroll'!F$1,FALSE),'District Calculations'!$D$13)*Apport_224A2324s,3)</f>
        <v>3.7029999999999998</v>
      </c>
      <c r="W80">
        <f>ROUND(IF(VLOOKUP($A80,EnrollData2324,'2324 Jun 24 Enroll'!G$1,FALSE)='District Calculations'!$D$14,VLOOKUP($A80,EnrollData2324,'2324 Jun 24 Enroll'!G$1,FALSE),'District Calculations'!$D$14)*Apport_212A2324s,3)</f>
        <v>8.2089999999999996</v>
      </c>
      <c r="X80">
        <f>ROUND(IF(VLOOKUP($A80,EnrollData2324,'2324 Jun 24 Enroll'!H$1,FALSE)='District Calculations'!$D$14,VLOOKUP($A80,EnrollData2324,'2324 Jun 24 Enroll'!H$1,FALSE),'District Calculations'!$D$14)*Apport_215A2324s,3)</f>
        <v>8.0969999999999995</v>
      </c>
      <c r="Y80">
        <f>ROUND(IF(VLOOKUP($A80,EnrollData2324,'2324 Jun 24 Enroll'!I$1,FALSE)+VLOOKUP($A80,EnrollData2324,'2324 Jun 24 Enroll'!M$1,FALSE)-VLOOKUP($A80,EnrollData2324,'2324 Jun 24 Enroll'!J$1,FALSE)='District Calculations'!$D$16+'District Calculations'!$D$25-'District Calculations'!$D$17,VLOOKUP($A80,EnrollData2324,'2324 Jun 24 Enroll'!I$1,FALSE)+VLOOKUP($A80,EnrollData2324,'2324 Jun 24 Enroll'!M$1,FALSE)-VLOOKUP($A80,EnrollData2324,'2324 Jun 24 Enroll'!J$1,FALSE),'District Calculations'!$D$16+'District Calculations'!$D$25-'District Calculations'!$D$17)*Apport_218A2324s,3)</f>
        <v>20.224</v>
      </c>
      <c r="Z80">
        <f>ROUND(SUM(T80:Y80)/IF(VLOOKUP($A80,EnrollData2324,'2324 Jun 24 Enroll'!M$1,FALSE)+VLOOKUP($A80,EnrollData2324,'2324 Jun 24 Enroll'!D$1,FALSE)='District Calculations'!$D$25+'District Calculations'!$D$11,VLOOKUP($A80,EnrollData2324,'2324 Jun 24 Enroll'!M$1,FALSE)+VLOOKUP($A80,EnrollData2324,'2324 Jun 24 Enroll'!D$1,FALSE),'District Calculations'!$D$25+'District Calculations'!$D$11),5)</f>
        <v>1.7749999999999998E-2</v>
      </c>
      <c r="AA80" s="6" cm="1">
        <f t="array" ref="AA80">ROUND($J80*CIS_Base_Salary2324s*VLOOKUP($A80,EnrollData2324,'2324 Jun 24 Enroll'!S$1,FALSE),2)</f>
        <v>4038.59</v>
      </c>
      <c r="AB80" s="6" cm="1">
        <f t="array" ref="AB80">ROUND($J80*CIS_Inc_Salary2324s*(VLOOKUP($A80,EnrollData2324,'2324 Jun 24 Enroll'!T$1,FALSE)+VLOOKUP($A80,EnrollData2324,'2324 Jun 24 Enroll'!U$1,FALSE)),2)-AA80</f>
        <v>233.1899999999996</v>
      </c>
      <c r="AC80" s="6" cm="1">
        <f t="array" ref="AC80">ROUND($R80*CAS_Base_Salary2324s*VLOOKUP($A80,EnrollData2324,'2324 Jun 24 Enroll'!S$1,FALSE),2)</f>
        <v>443.7</v>
      </c>
      <c r="AD80" s="6" cm="1">
        <f t="array" ref="AD80">ROUND($R80*CAS_Inc_Salary2324s*VLOOKUP($A80,EnrollData2324,'2324 Jun 24 Enroll'!T$1,FALSE),2)-AC80</f>
        <v>16.410000000000025</v>
      </c>
      <c r="AE80" s="6" cm="1">
        <f t="array" ref="AE80">ROUND($Z80*CLS_Base_Salary2324s*VLOOKUP($A80,EnrollData2324,'2324 Jun 24 Enroll'!S$1,FALSE),2)</f>
        <v>926.07</v>
      </c>
      <c r="AF80" s="6" cm="1">
        <f t="array" ref="AF80">ROUND($Z80*CLS_Inc_Salary2324s*VLOOKUP($A80,EnrollData2324,'2324 Jun 24 Enroll'!T$1,FALSE),2)-AE80</f>
        <v>34.259999999999991</v>
      </c>
      <c r="AG80" cm="1">
        <f t="array" ref="AG80">ROUND(($J80+$R80)*Apport_124X2324s,2)</f>
        <v>734.29</v>
      </c>
      <c r="AH80" s="69">
        <f t="shared" si="8"/>
        <v>68.700000000000045</v>
      </c>
      <c r="AI80" cm="1">
        <f t="array" ref="AI80">ROUND($Z80*Apport_124X2324s,2)</f>
        <v>218.54</v>
      </c>
      <c r="AJ80" cm="1">
        <f t="array" ref="AJ80">ROUND($Z80*Apport_621X2324s*Apport_125X2324s,2)-AI80</f>
        <v>116.51000000000002</v>
      </c>
      <c r="AK80" cm="1">
        <f t="array" ref="AK80">ROUND((AA80+AC80)*Apport_126X2324s,2)</f>
        <v>805.47</v>
      </c>
      <c r="AL80" cm="1">
        <f t="array" ref="AL80">ROUND((AB80+AD80)*Apport_127X2324s,2)</f>
        <v>43.26</v>
      </c>
      <c r="AM80" cm="1">
        <f t="array" ref="AM80">ROUND(AE80*Apport_128X2324s,2)</f>
        <v>204.29</v>
      </c>
      <c r="AN80" cm="1">
        <f t="array" ref="AN80">ROUND(AF80*Apport_129X2324s,2)</f>
        <v>6.36</v>
      </c>
      <c r="AO80" cm="1">
        <f t="array" ref="AO80">ROUND(($J80*CIS_Inc_Salary2324s*(VLOOKUP($A80,EnrollData2324,'2324 Jun 24 Enroll'!T$1,FALSE)+VLOOKUP($A80,EnrollData2324,'2324 Jun 24 Enroll'!U$1,FALSE))/Apport_613Xpd)*Apport_614Xpd,2)</f>
        <v>71.2</v>
      </c>
      <c r="AP80" cm="1">
        <f t="array" ref="AP80">ROUND(AO80*Apport_127X2324s,2)</f>
        <v>12.34</v>
      </c>
      <c r="AQ80">
        <f t="shared" si="9"/>
        <v>30.93</v>
      </c>
      <c r="AR80" s="6" cm="1">
        <f t="array" ref="AR80">ROUND((VLOOKUP($A80,EnrollData2324,'2324 Jun 24 Enroll'!D$1,FALSE)*Apport_M802324s+VLOOKUP($A80,EnrollData2324,'2324 Jun 24 Enroll'!M$1,FALSE)*Apport_M802324s+(VLOOKUP($A80,EnrollData2324,'2324 Jun 24 Enroll'!P$1,FALSE)+VLOOKUP($A80,EnrollData2324,'2324 Jun 24 Enroll'!Q$1,FALSE)+VLOOKUP($A80,EnrollData2324,'2324 Jun 24 Enroll'!R$1,FALSE)+VLOOKUP($A80,EnrollData2324,'2324 Jun 24 Enroll'!I$1,FALSE)+VLOOKUP($A80,EnrollData2324,'2324 Jun 24 Enroll'!N$1,FALSE)+VLOOKUP($A80,EnrollData2324,'2324 Jun 24 Enroll'!O$1,FALSE)+VLOOKUP($A80,EnrollData2324,'2324 Jun 24 Enroll'!K$1,FALSE)+VLOOKUP($A80,EnrollData2324,'2324 Jun 24 Enroll'!L$1,FALSE))*Apport_M812324s)/(VLOOKUP($A80,EnrollData2324,'2324 Jun 24 Enroll'!M$1,FALSE)+VLOOKUP($A80,EnrollData2324,'2324 Jun 24 Enroll'!D$1,FALSE)),2)</f>
        <v>1504.44</v>
      </c>
      <c r="AS80" s="7">
        <f t="shared" si="11"/>
        <v>9508.5499999999993</v>
      </c>
    </row>
    <row r="81" spans="1:45">
      <c r="A81" s="40" t="s">
        <v>510</v>
      </c>
      <c r="B81" s="40" t="s">
        <v>511</v>
      </c>
      <c r="C81" s="11">
        <f>ROUND((IFERROR((1/IF(VLOOKUP($A81,EnrollData2324,28,FALSE)='District Calculations'!$D$10,VLOOKUP($A81,EnrollData2324,28,FALSE),'District Calculations'!$D$10))*(1+Apport_Z315),0))+Apport_201A2324s,6)</f>
        <v>7.3449E-2</v>
      </c>
      <c r="D81">
        <f>ROUND(IF(VLOOKUP($A81,EnrollData2324,'2324 Jun 24 Enroll'!D$1,FALSE)='District Calculations'!$D$11,VLOOKUP($A81,EnrollData2324,'2324 Jun 24 Enroll'!D$1,FALSE),'District Calculations'!$D$11)*C81,3)</f>
        <v>0</v>
      </c>
      <c r="E81">
        <f>ROUND(IF(VLOOKUP($A81,EnrollData2324,'2324 Jun 24 Enroll'!E$1,FALSE)='District Calculations'!$D$12,VLOOKUP($A81,EnrollData2324,'2324 Jun 24 Enroll'!E$1,FALSE),'District Calculations'!$D$12)*C81,3)</f>
        <v>59.53</v>
      </c>
      <c r="F81">
        <f>ROUND(IF(VLOOKUP($A81,EnrollData2324,'2324 Jun 24 Enroll'!F$1,FALSE)='District Calculations'!$D$13,VLOOKUP($A81,EnrollData2324,'2324 Jun 24 Enroll'!F$1,FALSE),'District Calculations'!$D$13)*Apport_222A2324s,3)</f>
        <v>10.101000000000001</v>
      </c>
      <c r="G81">
        <f>ROUND(IF(VLOOKUP($A81,EnrollData2324,'2324 Jun 24 Enroll'!G$1,FALSE)='District Calculations'!$D$14,VLOOKUP($A81,EnrollData2324,'2324 Jun 24 Enroll'!G$1,FALSE),'District Calculations'!$D$14)*Apport_210A2324s,3)</f>
        <v>22.395</v>
      </c>
      <c r="H81">
        <f>ROUND(IF(VLOOKUP($A81,EnrollData2324,'2324 Jun 24 Enroll'!H$1,FALSE)='District Calculations'!$D$15,VLOOKUP($A81,EnrollData2324,'2324 Jun 24 Enroll'!H$1,FALSE),'District Calculations'!$D$15)*Apport_213A2324s,3)</f>
        <v>23.091999999999999</v>
      </c>
      <c r="I81">
        <f>ROUND(IF(VLOOKUP($A81,EnrollData2324,'2324 Jun 24 Enroll'!I$1,FALSE)+VLOOKUP($A81,EnrollData2324,'2324 Jun 24 Enroll'!M$1,FALSE)-VLOOKUP($A81,EnrollData2324,'2324 Jun 24 Enroll'!J$1,FALSE)='District Calculations'!$D$16+'District Calculations'!$D$25-'District Calculations'!$D$17,VLOOKUP($A81,EnrollData2324,'2324 Jun 24 Enroll'!I$1,FALSE)+VLOOKUP($A81,EnrollData2324,'2324 Jun 24 Enroll'!M$1,FALSE)-VLOOKUP($A81,EnrollData2324,'2324 Jun 24 Enroll'!J$1,FALSE),'District Calculations'!$D$16+'District Calculations'!$D$25-'District Calculations'!$D$17)*Apport_216A2324s,3)</f>
        <v>58.183999999999997</v>
      </c>
      <c r="J81">
        <f>ROUND(SUM(D81:I81)/(IF(VLOOKUP($A81,EnrollData2324,'2324 Jun 24 Enroll'!M$1,FALSE)='District Calculations'!$D$25,VLOOKUP($A81,EnrollData2324,'2324 Jun 24 Enroll'!M$1,FALSE),'District Calculations'!$D$25)+IF(VLOOKUP($A81,EnrollData2324,'2324 Jun 24 Enroll'!D$1,FALSE)='District Calculations'!$D$11,VLOOKUP($A81,EnrollData2324,'2324 Jun 24 Enroll'!D$1,FALSE),'District Calculations'!$D$11)),5)</f>
        <v>5.5530000000000003E-2</v>
      </c>
      <c r="K81" s="11">
        <f t="shared" si="6"/>
        <v>4.3699999999999998E-3</v>
      </c>
      <c r="L81">
        <f>ROUND(IF(VLOOKUP($A81,EnrollData2324,'2324 Jun 24 Enroll'!D$1,FALSE)='District Calculations'!$D$11,VLOOKUP($A81,EnrollData2324,'2324 Jun 24 Enroll'!D$1,FALSE),'District Calculations'!$D$11)*K81,3)</f>
        <v>0</v>
      </c>
      <c r="M81">
        <f>ROUND(IF(VLOOKUP($A81,EnrollData2324,'2324 Jun 24 Enroll'!E$1,FALSE)='District Calculations'!$D$12,VLOOKUP($A81,EnrollData2324,'2324 Jun 24 Enroll'!E$1,FALSE),'District Calculations'!$D$12)*K81,3)</f>
        <v>3.5419999999999998</v>
      </c>
      <c r="N81">
        <f>ROUND(IF(VLOOKUP($A81,EnrollData2324,'2324 Jun 24 Enroll'!F$1,FALSE)='District Calculations'!$D$13,VLOOKUP($A81,EnrollData2324,'2324 Jun 24 Enroll'!F$1,FALSE),'District Calculations'!$D$13)*Apport_223A2324s,3)</f>
        <v>0.84299999999999997</v>
      </c>
      <c r="O81">
        <f>ROUND(IF(VLOOKUP($A81,EnrollData2324,'2324 Jun 24 Enroll'!G$1,FALSE)='District Calculations'!$D$14,VLOOKUP($A81,EnrollData2324,'2324 Jun 24 Enroll'!G$1,FALSE),'District Calculations'!$D$14)*Apport_211A2324s,3)</f>
        <v>1.87</v>
      </c>
      <c r="P81">
        <f>ROUND(IF(VLOOKUP($A81,EnrollData2324,'2324 Jun 24 Enroll'!H$1,FALSE)='District Calculations'!$D$14,VLOOKUP($A81,EnrollData2324,'2324 Jun 24 Enroll'!H$1,FALSE),'District Calculations'!$D$14)*Apport_214A2324s,3)</f>
        <v>1.8680000000000001</v>
      </c>
      <c r="Q81">
        <f>ROUND(IF(VLOOKUP($A81,EnrollData2324,'2324 Jun 24 Enroll'!I$1,FALSE)+VLOOKUP($A81,EnrollData2324,'2324 Jun 24 Enroll'!M$1,FALSE)-VLOOKUP($A81,EnrollData2324,'2324 Jun 24 Enroll'!J$1,FALSE)='District Calculations'!$D$16+'District Calculations'!$D$25-'District Calculations'!$D$17,VLOOKUP($A81,EnrollData2324,'2324 Jun 24 Enroll'!I$1,FALSE)+VLOOKUP($A81,EnrollData2324,'2324 Jun 24 Enroll'!M$1,FALSE)-VLOOKUP($A81,EnrollData2324,'2324 Jun 24 Enroll'!J$1,FALSE),'District Calculations'!$D$16+'District Calculations'!$D$25-'District Calculations'!$D$17)*Apport_217A2324s,3)</f>
        <v>4.702</v>
      </c>
      <c r="R81">
        <f>ROUND(SUM(L81:Q81)/IF(VLOOKUP($A81,EnrollData2324,'2324 Jun 24 Enroll'!M$1,FALSE)+VLOOKUP($A81,EnrollData2324,'2324 Jun 24 Enroll'!D$1,FALSE)='District Calculations'!$D$25+'District Calculations'!$D$11,VLOOKUP($A81,EnrollData2324,'2324 Jun 24 Enroll'!M$1,FALSE)+VLOOKUP($A81,EnrollData2324,'2324 Jun 24 Enroll'!D$1,FALSE),'District Calculations'!$D$25+'District Calculations'!$D$11),5)</f>
        <v>4.1099999999999999E-3</v>
      </c>
      <c r="S81" s="11">
        <f t="shared" si="7"/>
        <v>1.8689600000000001E-2</v>
      </c>
      <c r="T81">
        <f>ROUND(IF(VLOOKUP($A81,EnrollData2324,'2324 Jun 24 Enroll'!D$1,FALSE)='District Calculations'!$D$11,VLOOKUP($A81,EnrollData2324,'2324 Jun 24 Enroll'!D$1,FALSE),'District Calculations'!$D$11)*S81,3)</f>
        <v>0</v>
      </c>
      <c r="U81">
        <f>ROUND(IF(VLOOKUP($A81,EnrollData2324,'2324 Jun 24 Enroll'!E$1,FALSE)='District Calculations'!$D$12,VLOOKUP($A81,EnrollData2324,'2324 Jun 24 Enroll'!E$1,FALSE),'District Calculations'!$D$12)*S81,3)</f>
        <v>15.148</v>
      </c>
      <c r="V81">
        <f>ROUND(IF(VLOOKUP($A81,EnrollData2324,'2324 Jun 24 Enroll'!F$1,FALSE)='District Calculations'!$D$13,VLOOKUP($A81,EnrollData2324,'2324 Jun 24 Enroll'!F$1,FALSE),'District Calculations'!$D$13)*Apport_224A2324s,3)</f>
        <v>3.7029999999999998</v>
      </c>
      <c r="W81">
        <f>ROUND(IF(VLOOKUP($A81,EnrollData2324,'2324 Jun 24 Enroll'!G$1,FALSE)='District Calculations'!$D$14,VLOOKUP($A81,EnrollData2324,'2324 Jun 24 Enroll'!G$1,FALSE),'District Calculations'!$D$14)*Apport_212A2324s,3)</f>
        <v>8.2089999999999996</v>
      </c>
      <c r="X81">
        <f>ROUND(IF(VLOOKUP($A81,EnrollData2324,'2324 Jun 24 Enroll'!H$1,FALSE)='District Calculations'!$D$14,VLOOKUP($A81,EnrollData2324,'2324 Jun 24 Enroll'!H$1,FALSE),'District Calculations'!$D$14)*Apport_215A2324s,3)</f>
        <v>8.0969999999999995</v>
      </c>
      <c r="Y81">
        <f>ROUND(IF(VLOOKUP($A81,EnrollData2324,'2324 Jun 24 Enroll'!I$1,FALSE)+VLOOKUP($A81,EnrollData2324,'2324 Jun 24 Enroll'!M$1,FALSE)-VLOOKUP($A81,EnrollData2324,'2324 Jun 24 Enroll'!J$1,FALSE)='District Calculations'!$D$16+'District Calculations'!$D$25-'District Calculations'!$D$17,VLOOKUP($A81,EnrollData2324,'2324 Jun 24 Enroll'!I$1,FALSE)+VLOOKUP($A81,EnrollData2324,'2324 Jun 24 Enroll'!M$1,FALSE)-VLOOKUP($A81,EnrollData2324,'2324 Jun 24 Enroll'!J$1,FALSE),'District Calculations'!$D$16+'District Calculations'!$D$25-'District Calculations'!$D$17)*Apport_218A2324s,3)</f>
        <v>20.224</v>
      </c>
      <c r="Z81">
        <f>ROUND(SUM(T81:Y81)/IF(VLOOKUP($A81,EnrollData2324,'2324 Jun 24 Enroll'!M$1,FALSE)+VLOOKUP($A81,EnrollData2324,'2324 Jun 24 Enroll'!D$1,FALSE)='District Calculations'!$D$25+'District Calculations'!$D$11,VLOOKUP($A81,EnrollData2324,'2324 Jun 24 Enroll'!M$1,FALSE)+VLOOKUP($A81,EnrollData2324,'2324 Jun 24 Enroll'!D$1,FALSE),'District Calculations'!$D$25+'District Calculations'!$D$11),5)</f>
        <v>1.7749999999999998E-2</v>
      </c>
      <c r="AA81" s="6" cm="1">
        <f t="array" ref="AA81">ROUND($J81*CIS_Base_Salary2324s*VLOOKUP($A81,EnrollData2324,'2324 Jun 24 Enroll'!S$1,FALSE),2)</f>
        <v>4038.59</v>
      </c>
      <c r="AB81" s="6" cm="1">
        <f t="array" ref="AB81">ROUND($J81*CIS_Inc_Salary2324s*(VLOOKUP($A81,EnrollData2324,'2324 Jun 24 Enroll'!T$1,FALSE)+VLOOKUP($A81,EnrollData2324,'2324 Jun 24 Enroll'!U$1,FALSE)),2)-AA81</f>
        <v>149.43000000000029</v>
      </c>
      <c r="AC81" s="6" cm="1">
        <f t="array" ref="AC81">ROUND($R81*CAS_Base_Salary2324s*VLOOKUP($A81,EnrollData2324,'2324 Jun 24 Enroll'!S$1,FALSE),2)</f>
        <v>443.7</v>
      </c>
      <c r="AD81" s="6" cm="1">
        <f t="array" ref="AD81">ROUND($R81*CAS_Inc_Salary2324s*VLOOKUP($A81,EnrollData2324,'2324 Jun 24 Enroll'!T$1,FALSE),2)-AC81</f>
        <v>16.410000000000025</v>
      </c>
      <c r="AE81" s="6" cm="1">
        <f t="array" ref="AE81">ROUND($Z81*CLS_Base_Salary2324s*VLOOKUP($A81,EnrollData2324,'2324 Jun 24 Enroll'!S$1,FALSE),2)</f>
        <v>926.07</v>
      </c>
      <c r="AF81" s="6" cm="1">
        <f t="array" ref="AF81">ROUND($Z81*CLS_Inc_Salary2324s*VLOOKUP($A81,EnrollData2324,'2324 Jun 24 Enroll'!T$1,FALSE),2)-AE81</f>
        <v>34.259999999999991</v>
      </c>
      <c r="AG81" cm="1">
        <f t="array" ref="AG81">ROUND(($J81+$R81)*Apport_124X2324s,2)</f>
        <v>734.29</v>
      </c>
      <c r="AH81" s="69">
        <f t="shared" si="8"/>
        <v>68.700000000000045</v>
      </c>
      <c r="AI81" cm="1">
        <f t="array" ref="AI81">ROUND($Z81*Apport_124X2324s,2)</f>
        <v>218.54</v>
      </c>
      <c r="AJ81" cm="1">
        <f t="array" ref="AJ81">ROUND($Z81*Apport_621X2324s*Apport_125X2324s,2)-AI81</f>
        <v>116.51000000000002</v>
      </c>
      <c r="AK81" cm="1">
        <f t="array" ref="AK81">ROUND((AA81+AC81)*Apport_126X2324s,2)</f>
        <v>805.47</v>
      </c>
      <c r="AL81" cm="1">
        <f t="array" ref="AL81">ROUND((AB81+AD81)*Apport_127X2324s,2)</f>
        <v>28.74</v>
      </c>
      <c r="AM81" cm="1">
        <f t="array" ref="AM81">ROUND(AE81*Apport_128X2324s,2)</f>
        <v>204.29</v>
      </c>
      <c r="AN81" cm="1">
        <f t="array" ref="AN81">ROUND(AF81*Apport_129X2324s,2)</f>
        <v>6.36</v>
      </c>
      <c r="AO81" cm="1">
        <f t="array" ref="AO81">ROUND(($J81*CIS_Inc_Salary2324s*(VLOOKUP($A81,EnrollData2324,'2324 Jun 24 Enroll'!T$1,FALSE)+VLOOKUP($A81,EnrollData2324,'2324 Jun 24 Enroll'!U$1,FALSE))/Apport_613Xpd)*Apport_614Xpd,2)</f>
        <v>69.8</v>
      </c>
      <c r="AP81" cm="1">
        <f t="array" ref="AP81">ROUND(AO81*Apport_127X2324s,2)</f>
        <v>12.1</v>
      </c>
      <c r="AQ81">
        <f t="shared" si="9"/>
        <v>30.93</v>
      </c>
      <c r="AR81" s="6" cm="1">
        <f t="array" ref="AR81">ROUND((VLOOKUP($A81,EnrollData2324,'2324 Jun 24 Enroll'!D$1,FALSE)*Apport_M802324s+VLOOKUP($A81,EnrollData2324,'2324 Jun 24 Enroll'!M$1,FALSE)*Apport_M802324s+(VLOOKUP($A81,EnrollData2324,'2324 Jun 24 Enroll'!P$1,FALSE)+VLOOKUP($A81,EnrollData2324,'2324 Jun 24 Enroll'!Q$1,FALSE)+VLOOKUP($A81,EnrollData2324,'2324 Jun 24 Enroll'!R$1,FALSE)+VLOOKUP($A81,EnrollData2324,'2324 Jun 24 Enroll'!I$1,FALSE)+VLOOKUP($A81,EnrollData2324,'2324 Jun 24 Enroll'!N$1,FALSE)+VLOOKUP($A81,EnrollData2324,'2324 Jun 24 Enroll'!O$1,FALSE)+VLOOKUP($A81,EnrollData2324,'2324 Jun 24 Enroll'!K$1,FALSE)+VLOOKUP($A81,EnrollData2324,'2324 Jun 24 Enroll'!L$1,FALSE))*Apport_M812324s)/(VLOOKUP($A81,EnrollData2324,'2324 Jun 24 Enroll'!M$1,FALSE)+VLOOKUP($A81,EnrollData2324,'2324 Jun 24 Enroll'!D$1,FALSE)),2)</f>
        <v>1565.99</v>
      </c>
      <c r="AS81" s="7">
        <f t="shared" si="11"/>
        <v>9470.18</v>
      </c>
    </row>
    <row r="82" spans="1:45">
      <c r="A82" s="40" t="s">
        <v>723</v>
      </c>
      <c r="B82" s="40" t="s">
        <v>724</v>
      </c>
      <c r="C82" s="11">
        <f>ROUND((IFERROR((1/IF(VLOOKUP($A82,EnrollData2324,28,FALSE)='District Calculations'!$D$10,VLOOKUP($A82,EnrollData2324,28,FALSE),'District Calculations'!$D$10))*(1+Apport_Z315),0))+Apport_201A2324s,6)</f>
        <v>7.3449E-2</v>
      </c>
      <c r="D82">
        <f>ROUND(IF(VLOOKUP($A82,EnrollData2324,'2324 Jun 24 Enroll'!D$1,FALSE)='District Calculations'!$D$11,VLOOKUP($A82,EnrollData2324,'2324 Jun 24 Enroll'!D$1,FALSE),'District Calculations'!$D$11)*C82,3)</f>
        <v>0</v>
      </c>
      <c r="E82">
        <f>ROUND(IF(VLOOKUP($A82,EnrollData2324,'2324 Jun 24 Enroll'!E$1,FALSE)='District Calculations'!$D$12,VLOOKUP($A82,EnrollData2324,'2324 Jun 24 Enroll'!E$1,FALSE),'District Calculations'!$D$12)*C82,3)</f>
        <v>59.53</v>
      </c>
      <c r="F82">
        <f>ROUND(IF(VLOOKUP($A82,EnrollData2324,'2324 Jun 24 Enroll'!F$1,FALSE)='District Calculations'!$D$13,VLOOKUP($A82,EnrollData2324,'2324 Jun 24 Enroll'!F$1,FALSE),'District Calculations'!$D$13)*Apport_222A2324s,3)</f>
        <v>10.101000000000001</v>
      </c>
      <c r="G82">
        <f>ROUND(IF(VLOOKUP($A82,EnrollData2324,'2324 Jun 24 Enroll'!G$1,FALSE)='District Calculations'!$D$14,VLOOKUP($A82,EnrollData2324,'2324 Jun 24 Enroll'!G$1,FALSE),'District Calculations'!$D$14)*Apport_210A2324s,3)</f>
        <v>22.395</v>
      </c>
      <c r="H82">
        <f>ROUND(IF(VLOOKUP($A82,EnrollData2324,'2324 Jun 24 Enroll'!H$1,FALSE)='District Calculations'!$D$15,VLOOKUP($A82,EnrollData2324,'2324 Jun 24 Enroll'!H$1,FALSE),'District Calculations'!$D$15)*Apport_213A2324s,3)</f>
        <v>23.091999999999999</v>
      </c>
      <c r="I82">
        <f>ROUND(IF(VLOOKUP($A82,EnrollData2324,'2324 Jun 24 Enroll'!I$1,FALSE)+VLOOKUP($A82,EnrollData2324,'2324 Jun 24 Enroll'!M$1,FALSE)-VLOOKUP($A82,EnrollData2324,'2324 Jun 24 Enroll'!J$1,FALSE)='District Calculations'!$D$16+'District Calculations'!$D$25-'District Calculations'!$D$17,VLOOKUP($A82,EnrollData2324,'2324 Jun 24 Enroll'!I$1,FALSE)+VLOOKUP($A82,EnrollData2324,'2324 Jun 24 Enroll'!M$1,FALSE)-VLOOKUP($A82,EnrollData2324,'2324 Jun 24 Enroll'!J$1,FALSE),'District Calculations'!$D$16+'District Calculations'!$D$25-'District Calculations'!$D$17)*Apport_216A2324s,3)</f>
        <v>58.183999999999997</v>
      </c>
      <c r="J82">
        <f>ROUND(SUM(D82:I82)/(IF(VLOOKUP($A82,EnrollData2324,'2324 Jun 24 Enroll'!M$1,FALSE)='District Calculations'!$D$25,VLOOKUP($A82,EnrollData2324,'2324 Jun 24 Enroll'!M$1,FALSE),'District Calculations'!$D$25)+IF(VLOOKUP($A82,EnrollData2324,'2324 Jun 24 Enroll'!D$1,FALSE)='District Calculations'!$D$11,VLOOKUP($A82,EnrollData2324,'2324 Jun 24 Enroll'!D$1,FALSE),'District Calculations'!$D$11)),5)</f>
        <v>5.5530000000000003E-2</v>
      </c>
      <c r="K82" s="11">
        <f t="shared" si="6"/>
        <v>4.3699999999999998E-3</v>
      </c>
      <c r="L82">
        <f>ROUND(IF(VLOOKUP($A82,EnrollData2324,'2324 Jun 24 Enroll'!D$1,FALSE)='District Calculations'!$D$11,VLOOKUP($A82,EnrollData2324,'2324 Jun 24 Enroll'!D$1,FALSE),'District Calculations'!$D$11)*K82,3)</f>
        <v>0</v>
      </c>
      <c r="M82">
        <f>ROUND(IF(VLOOKUP($A82,EnrollData2324,'2324 Jun 24 Enroll'!E$1,FALSE)='District Calculations'!$D$12,VLOOKUP($A82,EnrollData2324,'2324 Jun 24 Enroll'!E$1,FALSE),'District Calculations'!$D$12)*K82,3)</f>
        <v>3.5419999999999998</v>
      </c>
      <c r="N82">
        <f>ROUND(IF(VLOOKUP($A82,EnrollData2324,'2324 Jun 24 Enroll'!F$1,FALSE)='District Calculations'!$D$13,VLOOKUP($A82,EnrollData2324,'2324 Jun 24 Enroll'!F$1,FALSE),'District Calculations'!$D$13)*Apport_223A2324s,3)</f>
        <v>0.84299999999999997</v>
      </c>
      <c r="O82">
        <f>ROUND(IF(VLOOKUP($A82,EnrollData2324,'2324 Jun 24 Enroll'!G$1,FALSE)='District Calculations'!$D$14,VLOOKUP($A82,EnrollData2324,'2324 Jun 24 Enroll'!G$1,FALSE),'District Calculations'!$D$14)*Apport_211A2324s,3)</f>
        <v>1.87</v>
      </c>
      <c r="P82">
        <f>ROUND(IF(VLOOKUP($A82,EnrollData2324,'2324 Jun 24 Enroll'!H$1,FALSE)='District Calculations'!$D$14,VLOOKUP($A82,EnrollData2324,'2324 Jun 24 Enroll'!H$1,FALSE),'District Calculations'!$D$14)*Apport_214A2324s,3)</f>
        <v>1.8680000000000001</v>
      </c>
      <c r="Q82">
        <f>ROUND(IF(VLOOKUP($A82,EnrollData2324,'2324 Jun 24 Enroll'!I$1,FALSE)+VLOOKUP($A82,EnrollData2324,'2324 Jun 24 Enroll'!M$1,FALSE)-VLOOKUP($A82,EnrollData2324,'2324 Jun 24 Enroll'!J$1,FALSE)='District Calculations'!$D$16+'District Calculations'!$D$25-'District Calculations'!$D$17,VLOOKUP($A82,EnrollData2324,'2324 Jun 24 Enroll'!I$1,FALSE)+VLOOKUP($A82,EnrollData2324,'2324 Jun 24 Enroll'!M$1,FALSE)-VLOOKUP($A82,EnrollData2324,'2324 Jun 24 Enroll'!J$1,FALSE),'District Calculations'!$D$16+'District Calculations'!$D$25-'District Calculations'!$D$17)*Apport_217A2324s,3)</f>
        <v>4.702</v>
      </c>
      <c r="R82">
        <f>ROUND(SUM(L82:Q82)/IF(VLOOKUP($A82,EnrollData2324,'2324 Jun 24 Enroll'!M$1,FALSE)+VLOOKUP($A82,EnrollData2324,'2324 Jun 24 Enroll'!D$1,FALSE)='District Calculations'!$D$25+'District Calculations'!$D$11,VLOOKUP($A82,EnrollData2324,'2324 Jun 24 Enroll'!M$1,FALSE)+VLOOKUP($A82,EnrollData2324,'2324 Jun 24 Enroll'!D$1,FALSE),'District Calculations'!$D$25+'District Calculations'!$D$11),5)</f>
        <v>4.1099999999999999E-3</v>
      </c>
      <c r="S82" s="11">
        <f t="shared" si="7"/>
        <v>1.8689600000000001E-2</v>
      </c>
      <c r="T82">
        <f>ROUND(IF(VLOOKUP($A82,EnrollData2324,'2324 Jun 24 Enroll'!D$1,FALSE)='District Calculations'!$D$11,VLOOKUP($A82,EnrollData2324,'2324 Jun 24 Enroll'!D$1,FALSE),'District Calculations'!$D$11)*S82,3)</f>
        <v>0</v>
      </c>
      <c r="U82">
        <f>ROUND(IF(VLOOKUP($A82,EnrollData2324,'2324 Jun 24 Enroll'!E$1,FALSE)='District Calculations'!$D$12,VLOOKUP($A82,EnrollData2324,'2324 Jun 24 Enroll'!E$1,FALSE),'District Calculations'!$D$12)*S82,3)</f>
        <v>15.148</v>
      </c>
      <c r="V82">
        <f>ROUND(IF(VLOOKUP($A82,EnrollData2324,'2324 Jun 24 Enroll'!F$1,FALSE)='District Calculations'!$D$13,VLOOKUP($A82,EnrollData2324,'2324 Jun 24 Enroll'!F$1,FALSE),'District Calculations'!$D$13)*Apport_224A2324s,3)</f>
        <v>3.7029999999999998</v>
      </c>
      <c r="W82">
        <f>ROUND(IF(VLOOKUP($A82,EnrollData2324,'2324 Jun 24 Enroll'!G$1,FALSE)='District Calculations'!$D$14,VLOOKUP($A82,EnrollData2324,'2324 Jun 24 Enroll'!G$1,FALSE),'District Calculations'!$D$14)*Apport_212A2324s,3)</f>
        <v>8.2089999999999996</v>
      </c>
      <c r="X82">
        <f>ROUND(IF(VLOOKUP($A82,EnrollData2324,'2324 Jun 24 Enroll'!H$1,FALSE)='District Calculations'!$D$14,VLOOKUP($A82,EnrollData2324,'2324 Jun 24 Enroll'!H$1,FALSE),'District Calculations'!$D$14)*Apport_215A2324s,3)</f>
        <v>8.0969999999999995</v>
      </c>
      <c r="Y82">
        <f>ROUND(IF(VLOOKUP($A82,EnrollData2324,'2324 Jun 24 Enroll'!I$1,FALSE)+VLOOKUP($A82,EnrollData2324,'2324 Jun 24 Enroll'!M$1,FALSE)-VLOOKUP($A82,EnrollData2324,'2324 Jun 24 Enroll'!J$1,FALSE)='District Calculations'!$D$16+'District Calculations'!$D$25-'District Calculations'!$D$17,VLOOKUP($A82,EnrollData2324,'2324 Jun 24 Enroll'!I$1,FALSE)+VLOOKUP($A82,EnrollData2324,'2324 Jun 24 Enroll'!M$1,FALSE)-VLOOKUP($A82,EnrollData2324,'2324 Jun 24 Enroll'!J$1,FALSE),'District Calculations'!$D$16+'District Calculations'!$D$25-'District Calculations'!$D$17)*Apport_218A2324s,3)</f>
        <v>20.224</v>
      </c>
      <c r="Z82">
        <f>ROUND(SUM(T82:Y82)/IF(VLOOKUP($A82,EnrollData2324,'2324 Jun 24 Enroll'!M$1,FALSE)+VLOOKUP($A82,EnrollData2324,'2324 Jun 24 Enroll'!D$1,FALSE)='District Calculations'!$D$25+'District Calculations'!$D$11,VLOOKUP($A82,EnrollData2324,'2324 Jun 24 Enroll'!M$1,FALSE)+VLOOKUP($A82,EnrollData2324,'2324 Jun 24 Enroll'!D$1,FALSE),'District Calculations'!$D$25+'District Calculations'!$D$11),5)</f>
        <v>1.7749999999999998E-2</v>
      </c>
      <c r="AA82" s="6" cm="1">
        <f t="array" ref="AA82">ROUND($J82*CIS_Base_Salary2324s*VLOOKUP($A82,EnrollData2324,'2324 Jun 24 Enroll'!S$1,FALSE),2)</f>
        <v>4038.59</v>
      </c>
      <c r="AB82" s="6" cm="1">
        <f t="array" ref="AB82">ROUND($J82*CIS_Inc_Salary2324s*(VLOOKUP($A82,EnrollData2324,'2324 Jun 24 Enroll'!T$1,FALSE)+VLOOKUP($A82,EnrollData2324,'2324 Jun 24 Enroll'!U$1,FALSE)),2)-AA82</f>
        <v>233.1899999999996</v>
      </c>
      <c r="AC82" s="6" cm="1">
        <f t="array" ref="AC82">ROUND($R82*CAS_Base_Salary2324s*VLOOKUP($A82,EnrollData2324,'2324 Jun 24 Enroll'!S$1,FALSE),2)</f>
        <v>443.7</v>
      </c>
      <c r="AD82" s="6" cm="1">
        <f t="array" ref="AD82">ROUND($R82*CAS_Inc_Salary2324s*VLOOKUP($A82,EnrollData2324,'2324 Jun 24 Enroll'!T$1,FALSE),2)-AC82</f>
        <v>16.410000000000025</v>
      </c>
      <c r="AE82" s="6" cm="1">
        <f t="array" ref="AE82">ROUND($Z82*CLS_Base_Salary2324s*VLOOKUP($A82,EnrollData2324,'2324 Jun 24 Enroll'!S$1,FALSE),2)</f>
        <v>926.07</v>
      </c>
      <c r="AF82" s="6" cm="1">
        <f t="array" ref="AF82">ROUND($Z82*CLS_Inc_Salary2324s*VLOOKUP($A82,EnrollData2324,'2324 Jun 24 Enroll'!T$1,FALSE),2)-AE82</f>
        <v>34.259999999999991</v>
      </c>
      <c r="AG82" cm="1">
        <f t="array" ref="AG82">ROUND(($J82+$R82)*Apport_124X2324s,2)</f>
        <v>734.29</v>
      </c>
      <c r="AH82" s="69">
        <f t="shared" si="8"/>
        <v>68.700000000000045</v>
      </c>
      <c r="AI82" cm="1">
        <f t="array" ref="AI82">ROUND($Z82*Apport_124X2324s,2)</f>
        <v>218.54</v>
      </c>
      <c r="AJ82" cm="1">
        <f t="array" ref="AJ82">ROUND($Z82*Apport_621X2324s*Apport_125X2324s,2)-AI82</f>
        <v>116.51000000000002</v>
      </c>
      <c r="AK82" cm="1">
        <f t="array" ref="AK82">ROUND((AA82+AC82)*Apport_126X2324s,2)</f>
        <v>805.47</v>
      </c>
      <c r="AL82" cm="1">
        <f t="array" ref="AL82">ROUND((AB82+AD82)*Apport_127X2324s,2)</f>
        <v>43.26</v>
      </c>
      <c r="AM82" cm="1">
        <f t="array" ref="AM82">ROUND(AE82*Apport_128X2324s,2)</f>
        <v>204.29</v>
      </c>
      <c r="AN82" cm="1">
        <f t="array" ref="AN82">ROUND(AF82*Apport_129X2324s,2)</f>
        <v>6.36</v>
      </c>
      <c r="AO82" cm="1">
        <f t="array" ref="AO82">ROUND(($J82*CIS_Inc_Salary2324s*(VLOOKUP($A82,EnrollData2324,'2324 Jun 24 Enroll'!T$1,FALSE)+VLOOKUP($A82,EnrollData2324,'2324 Jun 24 Enroll'!U$1,FALSE))/Apport_613Xpd)*Apport_614Xpd,2)</f>
        <v>71.2</v>
      </c>
      <c r="AP82" cm="1">
        <f t="array" ref="AP82">ROUND(AO82*Apport_127X2324s,2)</f>
        <v>12.34</v>
      </c>
      <c r="AQ82">
        <f t="shared" si="9"/>
        <v>30.93</v>
      </c>
      <c r="AR82" s="6" cm="1">
        <f t="array" ref="AR82">ROUND((VLOOKUP($A82,EnrollData2324,'2324 Jun 24 Enroll'!D$1,FALSE)*Apport_M802324s+VLOOKUP($A82,EnrollData2324,'2324 Jun 24 Enroll'!M$1,FALSE)*Apport_M802324s+(VLOOKUP($A82,EnrollData2324,'2324 Jun 24 Enroll'!P$1,FALSE)+VLOOKUP($A82,EnrollData2324,'2324 Jun 24 Enroll'!Q$1,FALSE)+VLOOKUP($A82,EnrollData2324,'2324 Jun 24 Enroll'!R$1,FALSE)+VLOOKUP($A82,EnrollData2324,'2324 Jun 24 Enroll'!I$1,FALSE)+VLOOKUP($A82,EnrollData2324,'2324 Jun 24 Enroll'!N$1,FALSE)+VLOOKUP($A82,EnrollData2324,'2324 Jun 24 Enroll'!O$1,FALSE)+VLOOKUP($A82,EnrollData2324,'2324 Jun 24 Enroll'!K$1,FALSE)+VLOOKUP($A82,EnrollData2324,'2324 Jun 24 Enroll'!L$1,FALSE))*Apport_M812324s)/(VLOOKUP($A82,EnrollData2324,'2324 Jun 24 Enroll'!M$1,FALSE)+VLOOKUP($A82,EnrollData2324,'2324 Jun 24 Enroll'!D$1,FALSE)),2)</f>
        <v>1592.43</v>
      </c>
      <c r="AS82" s="7">
        <f t="shared" si="11"/>
        <v>9596.5399999999991</v>
      </c>
    </row>
    <row r="83" spans="1:45">
      <c r="A83" s="40" t="s">
        <v>681</v>
      </c>
      <c r="B83" s="40" t="s">
        <v>682</v>
      </c>
      <c r="C83" s="11">
        <f>ROUND((IFERROR((1/IF(VLOOKUP($A83,EnrollData2324,28,FALSE)='District Calculations'!$D$10,VLOOKUP($A83,EnrollData2324,28,FALSE),'District Calculations'!$D$10))*(1+Apport_Z315),0))+Apport_201A2324s,6)</f>
        <v>7.3449E-2</v>
      </c>
      <c r="D83">
        <f>ROUND(IF(VLOOKUP($A83,EnrollData2324,'2324 Jun 24 Enroll'!D$1,FALSE)='District Calculations'!$D$11,VLOOKUP($A83,EnrollData2324,'2324 Jun 24 Enroll'!D$1,FALSE),'District Calculations'!$D$11)*C83,3)</f>
        <v>0</v>
      </c>
      <c r="E83">
        <f>ROUND(IF(VLOOKUP($A83,EnrollData2324,'2324 Jun 24 Enroll'!E$1,FALSE)='District Calculations'!$D$12,VLOOKUP($A83,EnrollData2324,'2324 Jun 24 Enroll'!E$1,FALSE),'District Calculations'!$D$12)*C83,3)</f>
        <v>59.53</v>
      </c>
      <c r="F83">
        <f>ROUND(IF(VLOOKUP($A83,EnrollData2324,'2324 Jun 24 Enroll'!F$1,FALSE)='District Calculations'!$D$13,VLOOKUP($A83,EnrollData2324,'2324 Jun 24 Enroll'!F$1,FALSE),'District Calculations'!$D$13)*Apport_222A2324s,3)</f>
        <v>10.101000000000001</v>
      </c>
      <c r="G83">
        <f>ROUND(IF(VLOOKUP($A83,EnrollData2324,'2324 Jun 24 Enroll'!G$1,FALSE)='District Calculations'!$D$14,VLOOKUP($A83,EnrollData2324,'2324 Jun 24 Enroll'!G$1,FALSE),'District Calculations'!$D$14)*Apport_210A2324s,3)</f>
        <v>22.395</v>
      </c>
      <c r="H83">
        <f>ROUND(IF(VLOOKUP($A83,EnrollData2324,'2324 Jun 24 Enroll'!H$1,FALSE)='District Calculations'!$D$15,VLOOKUP($A83,EnrollData2324,'2324 Jun 24 Enroll'!H$1,FALSE),'District Calculations'!$D$15)*Apport_213A2324s,3)</f>
        <v>23.091999999999999</v>
      </c>
      <c r="I83">
        <f>ROUND(IF(VLOOKUP($A83,EnrollData2324,'2324 Jun 24 Enroll'!I$1,FALSE)+VLOOKUP($A83,EnrollData2324,'2324 Jun 24 Enroll'!M$1,FALSE)-VLOOKUP($A83,EnrollData2324,'2324 Jun 24 Enroll'!J$1,FALSE)='District Calculations'!$D$16+'District Calculations'!$D$25-'District Calculations'!$D$17,VLOOKUP($A83,EnrollData2324,'2324 Jun 24 Enroll'!I$1,FALSE)+VLOOKUP($A83,EnrollData2324,'2324 Jun 24 Enroll'!M$1,FALSE)-VLOOKUP($A83,EnrollData2324,'2324 Jun 24 Enroll'!J$1,FALSE),'District Calculations'!$D$16+'District Calculations'!$D$25-'District Calculations'!$D$17)*Apport_216A2324s,3)</f>
        <v>58.183999999999997</v>
      </c>
      <c r="J83">
        <f>ROUND(SUM(D83:I83)/(IF(VLOOKUP($A83,EnrollData2324,'2324 Jun 24 Enroll'!M$1,FALSE)='District Calculations'!$D$25,VLOOKUP($A83,EnrollData2324,'2324 Jun 24 Enroll'!M$1,FALSE),'District Calculations'!$D$25)+IF(VLOOKUP($A83,EnrollData2324,'2324 Jun 24 Enroll'!D$1,FALSE)='District Calculations'!$D$11,VLOOKUP($A83,EnrollData2324,'2324 Jun 24 Enroll'!D$1,FALSE),'District Calculations'!$D$11)),5)</f>
        <v>5.5530000000000003E-2</v>
      </c>
      <c r="K83" s="11">
        <f t="shared" si="6"/>
        <v>4.3699999999999998E-3</v>
      </c>
      <c r="L83">
        <f>ROUND(IF(VLOOKUP($A83,EnrollData2324,'2324 Jun 24 Enroll'!D$1,FALSE)='District Calculations'!$D$11,VLOOKUP($A83,EnrollData2324,'2324 Jun 24 Enroll'!D$1,FALSE),'District Calculations'!$D$11)*K83,3)</f>
        <v>0</v>
      </c>
      <c r="M83">
        <f>ROUND(IF(VLOOKUP($A83,EnrollData2324,'2324 Jun 24 Enroll'!E$1,FALSE)='District Calculations'!$D$12,VLOOKUP($A83,EnrollData2324,'2324 Jun 24 Enroll'!E$1,FALSE),'District Calculations'!$D$12)*K83,3)</f>
        <v>3.5419999999999998</v>
      </c>
      <c r="N83">
        <f>ROUND(IF(VLOOKUP($A83,EnrollData2324,'2324 Jun 24 Enroll'!F$1,FALSE)='District Calculations'!$D$13,VLOOKUP($A83,EnrollData2324,'2324 Jun 24 Enroll'!F$1,FALSE),'District Calculations'!$D$13)*Apport_223A2324s,3)</f>
        <v>0.84299999999999997</v>
      </c>
      <c r="O83">
        <f>ROUND(IF(VLOOKUP($A83,EnrollData2324,'2324 Jun 24 Enroll'!G$1,FALSE)='District Calculations'!$D$14,VLOOKUP($A83,EnrollData2324,'2324 Jun 24 Enroll'!G$1,FALSE),'District Calculations'!$D$14)*Apport_211A2324s,3)</f>
        <v>1.87</v>
      </c>
      <c r="P83">
        <f>ROUND(IF(VLOOKUP($A83,EnrollData2324,'2324 Jun 24 Enroll'!H$1,FALSE)='District Calculations'!$D$14,VLOOKUP($A83,EnrollData2324,'2324 Jun 24 Enroll'!H$1,FALSE),'District Calculations'!$D$14)*Apport_214A2324s,3)</f>
        <v>1.8680000000000001</v>
      </c>
      <c r="Q83">
        <f>ROUND(IF(VLOOKUP($A83,EnrollData2324,'2324 Jun 24 Enroll'!I$1,FALSE)+VLOOKUP($A83,EnrollData2324,'2324 Jun 24 Enroll'!M$1,FALSE)-VLOOKUP($A83,EnrollData2324,'2324 Jun 24 Enroll'!J$1,FALSE)='District Calculations'!$D$16+'District Calculations'!$D$25-'District Calculations'!$D$17,VLOOKUP($A83,EnrollData2324,'2324 Jun 24 Enroll'!I$1,FALSE)+VLOOKUP($A83,EnrollData2324,'2324 Jun 24 Enroll'!M$1,FALSE)-VLOOKUP($A83,EnrollData2324,'2324 Jun 24 Enroll'!J$1,FALSE),'District Calculations'!$D$16+'District Calculations'!$D$25-'District Calculations'!$D$17)*Apport_217A2324s,3)</f>
        <v>4.702</v>
      </c>
      <c r="R83">
        <f>ROUND(SUM(L83:Q83)/IF(VLOOKUP($A83,EnrollData2324,'2324 Jun 24 Enroll'!M$1,FALSE)+VLOOKUP($A83,EnrollData2324,'2324 Jun 24 Enroll'!D$1,FALSE)='District Calculations'!$D$25+'District Calculations'!$D$11,VLOOKUP($A83,EnrollData2324,'2324 Jun 24 Enroll'!M$1,FALSE)+VLOOKUP($A83,EnrollData2324,'2324 Jun 24 Enroll'!D$1,FALSE),'District Calculations'!$D$25+'District Calculations'!$D$11),5)</f>
        <v>4.1099999999999999E-3</v>
      </c>
      <c r="S83" s="11">
        <f t="shared" si="7"/>
        <v>1.8689600000000001E-2</v>
      </c>
      <c r="T83">
        <f>ROUND(IF(VLOOKUP($A83,EnrollData2324,'2324 Jun 24 Enroll'!D$1,FALSE)='District Calculations'!$D$11,VLOOKUP($A83,EnrollData2324,'2324 Jun 24 Enroll'!D$1,FALSE),'District Calculations'!$D$11)*S83,3)</f>
        <v>0</v>
      </c>
      <c r="U83">
        <f>ROUND(IF(VLOOKUP($A83,EnrollData2324,'2324 Jun 24 Enroll'!E$1,FALSE)='District Calculations'!$D$12,VLOOKUP($A83,EnrollData2324,'2324 Jun 24 Enroll'!E$1,FALSE),'District Calculations'!$D$12)*S83,3)</f>
        <v>15.148</v>
      </c>
      <c r="V83">
        <f>ROUND(IF(VLOOKUP($A83,EnrollData2324,'2324 Jun 24 Enroll'!F$1,FALSE)='District Calculations'!$D$13,VLOOKUP($A83,EnrollData2324,'2324 Jun 24 Enroll'!F$1,FALSE),'District Calculations'!$D$13)*Apport_224A2324s,3)</f>
        <v>3.7029999999999998</v>
      </c>
      <c r="W83">
        <f>ROUND(IF(VLOOKUP($A83,EnrollData2324,'2324 Jun 24 Enroll'!G$1,FALSE)='District Calculations'!$D$14,VLOOKUP($A83,EnrollData2324,'2324 Jun 24 Enroll'!G$1,FALSE),'District Calculations'!$D$14)*Apport_212A2324s,3)</f>
        <v>8.2089999999999996</v>
      </c>
      <c r="X83">
        <f>ROUND(IF(VLOOKUP($A83,EnrollData2324,'2324 Jun 24 Enroll'!H$1,FALSE)='District Calculations'!$D$14,VLOOKUP($A83,EnrollData2324,'2324 Jun 24 Enroll'!H$1,FALSE),'District Calculations'!$D$14)*Apport_215A2324s,3)</f>
        <v>8.0969999999999995</v>
      </c>
      <c r="Y83">
        <f>ROUND(IF(VLOOKUP($A83,EnrollData2324,'2324 Jun 24 Enroll'!I$1,FALSE)+VLOOKUP($A83,EnrollData2324,'2324 Jun 24 Enroll'!M$1,FALSE)-VLOOKUP($A83,EnrollData2324,'2324 Jun 24 Enroll'!J$1,FALSE)='District Calculations'!$D$16+'District Calculations'!$D$25-'District Calculations'!$D$17,VLOOKUP($A83,EnrollData2324,'2324 Jun 24 Enroll'!I$1,FALSE)+VLOOKUP($A83,EnrollData2324,'2324 Jun 24 Enroll'!M$1,FALSE)-VLOOKUP($A83,EnrollData2324,'2324 Jun 24 Enroll'!J$1,FALSE),'District Calculations'!$D$16+'District Calculations'!$D$25-'District Calculations'!$D$17)*Apport_218A2324s,3)</f>
        <v>20.224</v>
      </c>
      <c r="Z83">
        <f>ROUND(SUM(T83:Y83)/IF(VLOOKUP($A83,EnrollData2324,'2324 Jun 24 Enroll'!M$1,FALSE)+VLOOKUP($A83,EnrollData2324,'2324 Jun 24 Enroll'!D$1,FALSE)='District Calculations'!$D$25+'District Calculations'!$D$11,VLOOKUP($A83,EnrollData2324,'2324 Jun 24 Enroll'!M$1,FALSE)+VLOOKUP($A83,EnrollData2324,'2324 Jun 24 Enroll'!D$1,FALSE),'District Calculations'!$D$25+'District Calculations'!$D$11),5)</f>
        <v>1.7749999999999998E-2</v>
      </c>
      <c r="AA83" s="6" cm="1">
        <f t="array" ref="AA83">ROUND($J83*CIS_Base_Salary2324s*VLOOKUP($A83,EnrollData2324,'2324 Jun 24 Enroll'!S$1,FALSE),2)</f>
        <v>4038.59</v>
      </c>
      <c r="AB83" s="6" cm="1">
        <f t="array" ref="AB83">ROUND($J83*CIS_Inc_Salary2324s*(VLOOKUP($A83,EnrollData2324,'2324 Jun 24 Enroll'!T$1,FALSE)+VLOOKUP($A83,EnrollData2324,'2324 Jun 24 Enroll'!U$1,FALSE)),2)-AA83</f>
        <v>149.43000000000029</v>
      </c>
      <c r="AC83" s="6" cm="1">
        <f t="array" ref="AC83">ROUND($R83*CAS_Base_Salary2324s*VLOOKUP($A83,EnrollData2324,'2324 Jun 24 Enroll'!S$1,FALSE),2)</f>
        <v>443.7</v>
      </c>
      <c r="AD83" s="6" cm="1">
        <f t="array" ref="AD83">ROUND($R83*CAS_Inc_Salary2324s*VLOOKUP($A83,EnrollData2324,'2324 Jun 24 Enroll'!T$1,FALSE),2)-AC83</f>
        <v>16.410000000000025</v>
      </c>
      <c r="AE83" s="6" cm="1">
        <f t="array" ref="AE83">ROUND($Z83*CLS_Base_Salary2324s*VLOOKUP($A83,EnrollData2324,'2324 Jun 24 Enroll'!S$1,FALSE),2)</f>
        <v>926.07</v>
      </c>
      <c r="AF83" s="6" cm="1">
        <f t="array" ref="AF83">ROUND($Z83*CLS_Inc_Salary2324s*VLOOKUP($A83,EnrollData2324,'2324 Jun 24 Enroll'!T$1,FALSE),2)-AE83</f>
        <v>34.259999999999991</v>
      </c>
      <c r="AG83" cm="1">
        <f t="array" ref="AG83">ROUND(($J83+$R83)*Apport_124X2324s,2)</f>
        <v>734.29</v>
      </c>
      <c r="AH83" s="69">
        <f t="shared" si="8"/>
        <v>68.700000000000045</v>
      </c>
      <c r="AI83" cm="1">
        <f t="array" ref="AI83">ROUND($Z83*Apport_124X2324s,2)</f>
        <v>218.54</v>
      </c>
      <c r="AJ83" cm="1">
        <f t="array" ref="AJ83">ROUND($Z83*Apport_621X2324s*Apport_125X2324s,2)-AI83</f>
        <v>116.51000000000002</v>
      </c>
      <c r="AK83" cm="1">
        <f t="array" ref="AK83">ROUND((AA83+AC83)*Apport_126X2324s,2)</f>
        <v>805.47</v>
      </c>
      <c r="AL83" cm="1">
        <f t="array" ref="AL83">ROUND((AB83+AD83)*Apport_127X2324s,2)</f>
        <v>28.74</v>
      </c>
      <c r="AM83" cm="1">
        <f t="array" ref="AM83">ROUND(AE83*Apport_128X2324s,2)</f>
        <v>204.29</v>
      </c>
      <c r="AN83" cm="1">
        <f t="array" ref="AN83">ROUND(AF83*Apport_129X2324s,2)</f>
        <v>6.36</v>
      </c>
      <c r="AO83" cm="1">
        <f t="array" ref="AO83">ROUND(($J83*CIS_Inc_Salary2324s*(VLOOKUP($A83,EnrollData2324,'2324 Jun 24 Enroll'!T$1,FALSE)+VLOOKUP($A83,EnrollData2324,'2324 Jun 24 Enroll'!U$1,FALSE))/Apport_613Xpd)*Apport_614Xpd,2)</f>
        <v>69.8</v>
      </c>
      <c r="AP83" cm="1">
        <f t="array" ref="AP83">ROUND(AO83*Apport_127X2324s,2)</f>
        <v>12.1</v>
      </c>
      <c r="AQ83">
        <f t="shared" si="9"/>
        <v>30.93</v>
      </c>
      <c r="AR83" s="6" cm="1">
        <f t="array" ref="AR83">ROUND((VLOOKUP($A83,EnrollData2324,'2324 Jun 24 Enroll'!D$1,FALSE)*Apport_M802324s+VLOOKUP($A83,EnrollData2324,'2324 Jun 24 Enroll'!M$1,FALSE)*Apport_M802324s+(VLOOKUP($A83,EnrollData2324,'2324 Jun 24 Enroll'!P$1,FALSE)+VLOOKUP($A83,EnrollData2324,'2324 Jun 24 Enroll'!Q$1,FALSE)+VLOOKUP($A83,EnrollData2324,'2324 Jun 24 Enroll'!R$1,FALSE)+VLOOKUP($A83,EnrollData2324,'2324 Jun 24 Enroll'!I$1,FALSE)+VLOOKUP($A83,EnrollData2324,'2324 Jun 24 Enroll'!N$1,FALSE)+VLOOKUP($A83,EnrollData2324,'2324 Jun 24 Enroll'!O$1,FALSE)+VLOOKUP($A83,EnrollData2324,'2324 Jun 24 Enroll'!K$1,FALSE)+VLOOKUP($A83,EnrollData2324,'2324 Jun 24 Enroll'!L$1,FALSE))*Apport_M812324s)/(VLOOKUP($A83,EnrollData2324,'2324 Jun 24 Enroll'!M$1,FALSE)+VLOOKUP($A83,EnrollData2324,'2324 Jun 24 Enroll'!D$1,FALSE)),2)</f>
        <v>1568.14</v>
      </c>
      <c r="AS83" s="7">
        <f t="shared" si="11"/>
        <v>9472.33</v>
      </c>
    </row>
    <row r="84" spans="1:45">
      <c r="A84" s="40" t="s">
        <v>629</v>
      </c>
      <c r="B84" s="40" t="s">
        <v>630</v>
      </c>
      <c r="C84" s="11">
        <f>ROUND((IFERROR((1/IF(VLOOKUP($A84,EnrollData2324,28,FALSE)='District Calculations'!$D$10,VLOOKUP($A84,EnrollData2324,28,FALSE),'District Calculations'!$D$10))*(1+Apport_Z315),0))+Apport_201A2324s,6)</f>
        <v>7.3449E-2</v>
      </c>
      <c r="D84">
        <f>ROUND(IF(VLOOKUP($A84,EnrollData2324,'2324 Jun 24 Enroll'!D$1,FALSE)='District Calculations'!$D$11,VLOOKUP($A84,EnrollData2324,'2324 Jun 24 Enroll'!D$1,FALSE),'District Calculations'!$D$11)*C84,3)</f>
        <v>0</v>
      </c>
      <c r="E84">
        <f>ROUND(IF(VLOOKUP($A84,EnrollData2324,'2324 Jun 24 Enroll'!E$1,FALSE)='District Calculations'!$D$12,VLOOKUP($A84,EnrollData2324,'2324 Jun 24 Enroll'!E$1,FALSE),'District Calculations'!$D$12)*C84,3)</f>
        <v>59.53</v>
      </c>
      <c r="F84">
        <f>ROUND(IF(VLOOKUP($A84,EnrollData2324,'2324 Jun 24 Enroll'!F$1,FALSE)='District Calculations'!$D$13,VLOOKUP($A84,EnrollData2324,'2324 Jun 24 Enroll'!F$1,FALSE),'District Calculations'!$D$13)*Apport_222A2324s,3)</f>
        <v>10.101000000000001</v>
      </c>
      <c r="G84">
        <f>ROUND(IF(VLOOKUP($A84,EnrollData2324,'2324 Jun 24 Enroll'!G$1,FALSE)='District Calculations'!$D$14,VLOOKUP($A84,EnrollData2324,'2324 Jun 24 Enroll'!G$1,FALSE),'District Calculations'!$D$14)*Apport_210A2324s,3)</f>
        <v>22.395</v>
      </c>
      <c r="H84">
        <f>ROUND(IF(VLOOKUP($A84,EnrollData2324,'2324 Jun 24 Enroll'!H$1,FALSE)='District Calculations'!$D$15,VLOOKUP($A84,EnrollData2324,'2324 Jun 24 Enroll'!H$1,FALSE),'District Calculations'!$D$15)*Apport_213A2324s,3)</f>
        <v>23.091999999999999</v>
      </c>
      <c r="I84">
        <f>ROUND(IF(VLOOKUP($A84,EnrollData2324,'2324 Jun 24 Enroll'!I$1,FALSE)+VLOOKUP($A84,EnrollData2324,'2324 Jun 24 Enroll'!M$1,FALSE)-VLOOKUP($A84,EnrollData2324,'2324 Jun 24 Enroll'!J$1,FALSE)='District Calculations'!$D$16+'District Calculations'!$D$25-'District Calculations'!$D$17,VLOOKUP($A84,EnrollData2324,'2324 Jun 24 Enroll'!I$1,FALSE)+VLOOKUP($A84,EnrollData2324,'2324 Jun 24 Enroll'!M$1,FALSE)-VLOOKUP($A84,EnrollData2324,'2324 Jun 24 Enroll'!J$1,FALSE),'District Calculations'!$D$16+'District Calculations'!$D$25-'District Calculations'!$D$17)*Apport_216A2324s,3)</f>
        <v>58.183999999999997</v>
      </c>
      <c r="J84">
        <f>ROUND(SUM(D84:I84)/(IF(VLOOKUP($A84,EnrollData2324,'2324 Jun 24 Enroll'!M$1,FALSE)='District Calculations'!$D$25,VLOOKUP($A84,EnrollData2324,'2324 Jun 24 Enroll'!M$1,FALSE),'District Calculations'!$D$25)+IF(VLOOKUP($A84,EnrollData2324,'2324 Jun 24 Enroll'!D$1,FALSE)='District Calculations'!$D$11,VLOOKUP($A84,EnrollData2324,'2324 Jun 24 Enroll'!D$1,FALSE),'District Calculations'!$D$11)),5)</f>
        <v>5.5530000000000003E-2</v>
      </c>
      <c r="K84" s="11">
        <f t="shared" si="6"/>
        <v>4.3699999999999998E-3</v>
      </c>
      <c r="L84">
        <f>ROUND(IF(VLOOKUP($A84,EnrollData2324,'2324 Jun 24 Enroll'!D$1,FALSE)='District Calculations'!$D$11,VLOOKUP($A84,EnrollData2324,'2324 Jun 24 Enroll'!D$1,FALSE),'District Calculations'!$D$11)*K84,3)</f>
        <v>0</v>
      </c>
      <c r="M84">
        <f>ROUND(IF(VLOOKUP($A84,EnrollData2324,'2324 Jun 24 Enroll'!E$1,FALSE)='District Calculations'!$D$12,VLOOKUP($A84,EnrollData2324,'2324 Jun 24 Enroll'!E$1,FALSE),'District Calculations'!$D$12)*K84,3)</f>
        <v>3.5419999999999998</v>
      </c>
      <c r="N84">
        <f>ROUND(IF(VLOOKUP($A84,EnrollData2324,'2324 Jun 24 Enroll'!F$1,FALSE)='District Calculations'!$D$13,VLOOKUP($A84,EnrollData2324,'2324 Jun 24 Enroll'!F$1,FALSE),'District Calculations'!$D$13)*Apport_223A2324s,3)</f>
        <v>0.84299999999999997</v>
      </c>
      <c r="O84">
        <f>ROUND(IF(VLOOKUP($A84,EnrollData2324,'2324 Jun 24 Enroll'!G$1,FALSE)='District Calculations'!$D$14,VLOOKUP($A84,EnrollData2324,'2324 Jun 24 Enroll'!G$1,FALSE),'District Calculations'!$D$14)*Apport_211A2324s,3)</f>
        <v>1.87</v>
      </c>
      <c r="P84">
        <f>ROUND(IF(VLOOKUP($A84,EnrollData2324,'2324 Jun 24 Enroll'!H$1,FALSE)='District Calculations'!$D$14,VLOOKUP($A84,EnrollData2324,'2324 Jun 24 Enroll'!H$1,FALSE),'District Calculations'!$D$14)*Apport_214A2324s,3)</f>
        <v>1.8680000000000001</v>
      </c>
      <c r="Q84">
        <f>ROUND(IF(VLOOKUP($A84,EnrollData2324,'2324 Jun 24 Enroll'!I$1,FALSE)+VLOOKUP($A84,EnrollData2324,'2324 Jun 24 Enroll'!M$1,FALSE)-VLOOKUP($A84,EnrollData2324,'2324 Jun 24 Enroll'!J$1,FALSE)='District Calculations'!$D$16+'District Calculations'!$D$25-'District Calculations'!$D$17,VLOOKUP($A84,EnrollData2324,'2324 Jun 24 Enroll'!I$1,FALSE)+VLOOKUP($A84,EnrollData2324,'2324 Jun 24 Enroll'!M$1,FALSE)-VLOOKUP($A84,EnrollData2324,'2324 Jun 24 Enroll'!J$1,FALSE),'District Calculations'!$D$16+'District Calculations'!$D$25-'District Calculations'!$D$17)*Apport_217A2324s,3)</f>
        <v>4.702</v>
      </c>
      <c r="R84">
        <f>ROUND(SUM(L84:Q84)/IF(VLOOKUP($A84,EnrollData2324,'2324 Jun 24 Enroll'!M$1,FALSE)+VLOOKUP($A84,EnrollData2324,'2324 Jun 24 Enroll'!D$1,FALSE)='District Calculations'!$D$25+'District Calculations'!$D$11,VLOOKUP($A84,EnrollData2324,'2324 Jun 24 Enroll'!M$1,FALSE)+VLOOKUP($A84,EnrollData2324,'2324 Jun 24 Enroll'!D$1,FALSE),'District Calculations'!$D$25+'District Calculations'!$D$11),5)</f>
        <v>4.1099999999999999E-3</v>
      </c>
      <c r="S84" s="11">
        <f t="shared" si="7"/>
        <v>1.8689600000000001E-2</v>
      </c>
      <c r="T84">
        <f>ROUND(IF(VLOOKUP($A84,EnrollData2324,'2324 Jun 24 Enroll'!D$1,FALSE)='District Calculations'!$D$11,VLOOKUP($A84,EnrollData2324,'2324 Jun 24 Enroll'!D$1,FALSE),'District Calculations'!$D$11)*S84,3)</f>
        <v>0</v>
      </c>
      <c r="U84">
        <f>ROUND(IF(VLOOKUP($A84,EnrollData2324,'2324 Jun 24 Enroll'!E$1,FALSE)='District Calculations'!$D$12,VLOOKUP($A84,EnrollData2324,'2324 Jun 24 Enroll'!E$1,FALSE),'District Calculations'!$D$12)*S84,3)</f>
        <v>15.148</v>
      </c>
      <c r="V84">
        <f>ROUND(IF(VLOOKUP($A84,EnrollData2324,'2324 Jun 24 Enroll'!F$1,FALSE)='District Calculations'!$D$13,VLOOKUP($A84,EnrollData2324,'2324 Jun 24 Enroll'!F$1,FALSE),'District Calculations'!$D$13)*Apport_224A2324s,3)</f>
        <v>3.7029999999999998</v>
      </c>
      <c r="W84">
        <f>ROUND(IF(VLOOKUP($A84,EnrollData2324,'2324 Jun 24 Enroll'!G$1,FALSE)='District Calculations'!$D$14,VLOOKUP($A84,EnrollData2324,'2324 Jun 24 Enroll'!G$1,FALSE),'District Calculations'!$D$14)*Apport_212A2324s,3)</f>
        <v>8.2089999999999996</v>
      </c>
      <c r="X84">
        <f>ROUND(IF(VLOOKUP($A84,EnrollData2324,'2324 Jun 24 Enroll'!H$1,FALSE)='District Calculations'!$D$14,VLOOKUP($A84,EnrollData2324,'2324 Jun 24 Enroll'!H$1,FALSE),'District Calculations'!$D$14)*Apport_215A2324s,3)</f>
        <v>8.0969999999999995</v>
      </c>
      <c r="Y84">
        <f>ROUND(IF(VLOOKUP($A84,EnrollData2324,'2324 Jun 24 Enroll'!I$1,FALSE)+VLOOKUP($A84,EnrollData2324,'2324 Jun 24 Enroll'!M$1,FALSE)-VLOOKUP($A84,EnrollData2324,'2324 Jun 24 Enroll'!J$1,FALSE)='District Calculations'!$D$16+'District Calculations'!$D$25-'District Calculations'!$D$17,VLOOKUP($A84,EnrollData2324,'2324 Jun 24 Enroll'!I$1,FALSE)+VLOOKUP($A84,EnrollData2324,'2324 Jun 24 Enroll'!M$1,FALSE)-VLOOKUP($A84,EnrollData2324,'2324 Jun 24 Enroll'!J$1,FALSE),'District Calculations'!$D$16+'District Calculations'!$D$25-'District Calculations'!$D$17)*Apport_218A2324s,3)</f>
        <v>20.224</v>
      </c>
      <c r="Z84">
        <f>ROUND(SUM(T84:Y84)/IF(VLOOKUP($A84,EnrollData2324,'2324 Jun 24 Enroll'!M$1,FALSE)+VLOOKUP($A84,EnrollData2324,'2324 Jun 24 Enroll'!D$1,FALSE)='District Calculations'!$D$25+'District Calculations'!$D$11,VLOOKUP($A84,EnrollData2324,'2324 Jun 24 Enroll'!M$1,FALSE)+VLOOKUP($A84,EnrollData2324,'2324 Jun 24 Enroll'!D$1,FALSE),'District Calculations'!$D$25+'District Calculations'!$D$11),5)</f>
        <v>1.7749999999999998E-2</v>
      </c>
      <c r="AA84" s="6" cm="1">
        <f t="array" ref="AA84">ROUND($J84*CIS_Base_Salary2324s*VLOOKUP($A84,EnrollData2324,'2324 Jun 24 Enroll'!S$1,FALSE),2)</f>
        <v>4038.59</v>
      </c>
      <c r="AB84" s="6" cm="1">
        <f t="array" ref="AB84">ROUND($J84*CIS_Inc_Salary2324s*(VLOOKUP($A84,EnrollData2324,'2324 Jun 24 Enroll'!T$1,FALSE)+VLOOKUP($A84,EnrollData2324,'2324 Jun 24 Enroll'!U$1,FALSE)),2)-AA84</f>
        <v>149.43000000000029</v>
      </c>
      <c r="AC84" s="6" cm="1">
        <f t="array" ref="AC84">ROUND($R84*CAS_Base_Salary2324s*VLOOKUP($A84,EnrollData2324,'2324 Jun 24 Enroll'!S$1,FALSE),2)</f>
        <v>443.7</v>
      </c>
      <c r="AD84" s="6" cm="1">
        <f t="array" ref="AD84">ROUND($R84*CAS_Inc_Salary2324s*VLOOKUP($A84,EnrollData2324,'2324 Jun 24 Enroll'!T$1,FALSE),2)-AC84</f>
        <v>16.410000000000025</v>
      </c>
      <c r="AE84" s="6" cm="1">
        <f t="array" ref="AE84">ROUND($Z84*CLS_Base_Salary2324s*VLOOKUP($A84,EnrollData2324,'2324 Jun 24 Enroll'!S$1,FALSE),2)</f>
        <v>926.07</v>
      </c>
      <c r="AF84" s="6" cm="1">
        <f t="array" ref="AF84">ROUND($Z84*CLS_Inc_Salary2324s*VLOOKUP($A84,EnrollData2324,'2324 Jun 24 Enroll'!T$1,FALSE),2)-AE84</f>
        <v>34.259999999999991</v>
      </c>
      <c r="AG84" cm="1">
        <f t="array" ref="AG84">ROUND(($J84+$R84)*Apport_124X2324s,2)</f>
        <v>734.29</v>
      </c>
      <c r="AH84" s="69">
        <f t="shared" si="8"/>
        <v>68.700000000000045</v>
      </c>
      <c r="AI84" cm="1">
        <f t="array" ref="AI84">ROUND($Z84*Apport_124X2324s,2)</f>
        <v>218.54</v>
      </c>
      <c r="AJ84" cm="1">
        <f t="array" ref="AJ84">ROUND($Z84*Apport_621X2324s*Apport_125X2324s,2)-AI84</f>
        <v>116.51000000000002</v>
      </c>
      <c r="AK84" cm="1">
        <f t="array" ref="AK84">ROUND((AA84+AC84)*Apport_126X2324s,2)</f>
        <v>805.47</v>
      </c>
      <c r="AL84" cm="1">
        <f t="array" ref="AL84">ROUND((AB84+AD84)*Apport_127X2324s,2)</f>
        <v>28.74</v>
      </c>
      <c r="AM84" cm="1">
        <f t="array" ref="AM84">ROUND(AE84*Apport_128X2324s,2)</f>
        <v>204.29</v>
      </c>
      <c r="AN84" cm="1">
        <f t="array" ref="AN84">ROUND(AF84*Apport_129X2324s,2)</f>
        <v>6.36</v>
      </c>
      <c r="AO84" cm="1">
        <f t="array" ref="AO84">ROUND(($J84*CIS_Inc_Salary2324s*(VLOOKUP($A84,EnrollData2324,'2324 Jun 24 Enroll'!T$1,FALSE)+VLOOKUP($A84,EnrollData2324,'2324 Jun 24 Enroll'!U$1,FALSE))/Apport_613Xpd)*Apport_614Xpd,2)</f>
        <v>69.8</v>
      </c>
      <c r="AP84" cm="1">
        <f t="array" ref="AP84">ROUND(AO84*Apport_127X2324s,2)</f>
        <v>12.1</v>
      </c>
      <c r="AQ84">
        <f t="shared" si="9"/>
        <v>30.93</v>
      </c>
      <c r="AR84" s="6" cm="1">
        <f t="array" ref="AR84">ROUND((VLOOKUP($A84,EnrollData2324,'2324 Jun 24 Enroll'!D$1,FALSE)*Apport_M802324s+VLOOKUP($A84,EnrollData2324,'2324 Jun 24 Enroll'!M$1,FALSE)*Apport_M802324s+(VLOOKUP($A84,EnrollData2324,'2324 Jun 24 Enroll'!P$1,FALSE)+VLOOKUP($A84,EnrollData2324,'2324 Jun 24 Enroll'!Q$1,FALSE)+VLOOKUP($A84,EnrollData2324,'2324 Jun 24 Enroll'!R$1,FALSE)+VLOOKUP($A84,EnrollData2324,'2324 Jun 24 Enroll'!I$1,FALSE)+VLOOKUP($A84,EnrollData2324,'2324 Jun 24 Enroll'!N$1,FALSE)+VLOOKUP($A84,EnrollData2324,'2324 Jun 24 Enroll'!O$1,FALSE)+VLOOKUP($A84,EnrollData2324,'2324 Jun 24 Enroll'!K$1,FALSE)+VLOOKUP($A84,EnrollData2324,'2324 Jun 24 Enroll'!L$1,FALSE))*Apport_M812324s)/(VLOOKUP($A84,EnrollData2324,'2324 Jun 24 Enroll'!M$1,FALSE)+VLOOKUP($A84,EnrollData2324,'2324 Jun 24 Enroll'!D$1,FALSE)),2)</f>
        <v>1570.38</v>
      </c>
      <c r="AS84" s="7">
        <f t="shared" si="11"/>
        <v>9474.57</v>
      </c>
    </row>
    <row r="85" spans="1:45">
      <c r="A85" s="40" t="s">
        <v>789</v>
      </c>
      <c r="B85" s="40" t="s">
        <v>790</v>
      </c>
      <c r="C85" s="11">
        <f>ROUND((IFERROR((1/IF(VLOOKUP($A85,EnrollData2324,28,FALSE)='District Calculations'!$D$10,VLOOKUP($A85,EnrollData2324,28,FALSE),'District Calculations'!$D$10))*(1+Apport_Z315),0))+Apport_201A2324s,6)</f>
        <v>7.3449E-2</v>
      </c>
      <c r="D85">
        <f>ROUND(IF(VLOOKUP($A85,EnrollData2324,'2324 Jun 24 Enroll'!D$1,FALSE)='District Calculations'!$D$11,VLOOKUP($A85,EnrollData2324,'2324 Jun 24 Enroll'!D$1,FALSE),'District Calculations'!$D$11)*C85,3)</f>
        <v>0</v>
      </c>
      <c r="E85">
        <f>ROUND(IF(VLOOKUP($A85,EnrollData2324,'2324 Jun 24 Enroll'!E$1,FALSE)='District Calculations'!$D$12,VLOOKUP($A85,EnrollData2324,'2324 Jun 24 Enroll'!E$1,FALSE),'District Calculations'!$D$12)*C85,3)</f>
        <v>59.53</v>
      </c>
      <c r="F85">
        <f>ROUND(IF(VLOOKUP($A85,EnrollData2324,'2324 Jun 24 Enroll'!F$1,FALSE)='District Calculations'!$D$13,VLOOKUP($A85,EnrollData2324,'2324 Jun 24 Enroll'!F$1,FALSE),'District Calculations'!$D$13)*Apport_222A2324s,3)</f>
        <v>10.101000000000001</v>
      </c>
      <c r="G85">
        <f>ROUND(IF(VLOOKUP($A85,EnrollData2324,'2324 Jun 24 Enroll'!G$1,FALSE)='District Calculations'!$D$14,VLOOKUP($A85,EnrollData2324,'2324 Jun 24 Enroll'!G$1,FALSE),'District Calculations'!$D$14)*Apport_210A2324s,3)</f>
        <v>22.395</v>
      </c>
      <c r="H85">
        <f>ROUND(IF(VLOOKUP($A85,EnrollData2324,'2324 Jun 24 Enroll'!H$1,FALSE)='District Calculations'!$D$15,VLOOKUP($A85,EnrollData2324,'2324 Jun 24 Enroll'!H$1,FALSE),'District Calculations'!$D$15)*Apport_213A2324s,3)</f>
        <v>23.091999999999999</v>
      </c>
      <c r="I85">
        <f>ROUND(IF(VLOOKUP($A85,EnrollData2324,'2324 Jun 24 Enroll'!I$1,FALSE)+VLOOKUP($A85,EnrollData2324,'2324 Jun 24 Enroll'!M$1,FALSE)-VLOOKUP($A85,EnrollData2324,'2324 Jun 24 Enroll'!J$1,FALSE)='District Calculations'!$D$16+'District Calculations'!$D$25-'District Calculations'!$D$17,VLOOKUP($A85,EnrollData2324,'2324 Jun 24 Enroll'!I$1,FALSE)+VLOOKUP($A85,EnrollData2324,'2324 Jun 24 Enroll'!M$1,FALSE)-VLOOKUP($A85,EnrollData2324,'2324 Jun 24 Enroll'!J$1,FALSE),'District Calculations'!$D$16+'District Calculations'!$D$25-'District Calculations'!$D$17)*Apport_216A2324s,3)</f>
        <v>58.183999999999997</v>
      </c>
      <c r="J85">
        <f>ROUND(SUM(D85:I85)/(IF(VLOOKUP($A85,EnrollData2324,'2324 Jun 24 Enroll'!M$1,FALSE)='District Calculations'!$D$25,VLOOKUP($A85,EnrollData2324,'2324 Jun 24 Enroll'!M$1,FALSE),'District Calculations'!$D$25)+IF(VLOOKUP($A85,EnrollData2324,'2324 Jun 24 Enroll'!D$1,FALSE)='District Calculations'!$D$11,VLOOKUP($A85,EnrollData2324,'2324 Jun 24 Enroll'!D$1,FALSE),'District Calculations'!$D$11)),5)</f>
        <v>5.5530000000000003E-2</v>
      </c>
      <c r="K85" s="11">
        <f t="shared" si="6"/>
        <v>4.3699999999999998E-3</v>
      </c>
      <c r="L85">
        <f>ROUND(IF(VLOOKUP($A85,EnrollData2324,'2324 Jun 24 Enroll'!D$1,FALSE)='District Calculations'!$D$11,VLOOKUP($A85,EnrollData2324,'2324 Jun 24 Enroll'!D$1,FALSE),'District Calculations'!$D$11)*K85,3)</f>
        <v>0</v>
      </c>
      <c r="M85">
        <f>ROUND(IF(VLOOKUP($A85,EnrollData2324,'2324 Jun 24 Enroll'!E$1,FALSE)='District Calculations'!$D$12,VLOOKUP($A85,EnrollData2324,'2324 Jun 24 Enroll'!E$1,FALSE),'District Calculations'!$D$12)*K85,3)</f>
        <v>3.5419999999999998</v>
      </c>
      <c r="N85">
        <f>ROUND(IF(VLOOKUP($A85,EnrollData2324,'2324 Jun 24 Enroll'!F$1,FALSE)='District Calculations'!$D$13,VLOOKUP($A85,EnrollData2324,'2324 Jun 24 Enroll'!F$1,FALSE),'District Calculations'!$D$13)*Apport_223A2324s,3)</f>
        <v>0.84299999999999997</v>
      </c>
      <c r="O85">
        <f>ROUND(IF(VLOOKUP($A85,EnrollData2324,'2324 Jun 24 Enroll'!G$1,FALSE)='District Calculations'!$D$14,VLOOKUP($A85,EnrollData2324,'2324 Jun 24 Enroll'!G$1,FALSE),'District Calculations'!$D$14)*Apport_211A2324s,3)</f>
        <v>1.87</v>
      </c>
      <c r="P85">
        <f>ROUND(IF(VLOOKUP($A85,EnrollData2324,'2324 Jun 24 Enroll'!H$1,FALSE)='District Calculations'!$D$14,VLOOKUP($A85,EnrollData2324,'2324 Jun 24 Enroll'!H$1,FALSE),'District Calculations'!$D$14)*Apport_214A2324s,3)</f>
        <v>1.8680000000000001</v>
      </c>
      <c r="Q85">
        <f>ROUND(IF(VLOOKUP($A85,EnrollData2324,'2324 Jun 24 Enroll'!I$1,FALSE)+VLOOKUP($A85,EnrollData2324,'2324 Jun 24 Enroll'!M$1,FALSE)-VLOOKUP($A85,EnrollData2324,'2324 Jun 24 Enroll'!J$1,FALSE)='District Calculations'!$D$16+'District Calculations'!$D$25-'District Calculations'!$D$17,VLOOKUP($A85,EnrollData2324,'2324 Jun 24 Enroll'!I$1,FALSE)+VLOOKUP($A85,EnrollData2324,'2324 Jun 24 Enroll'!M$1,FALSE)-VLOOKUP($A85,EnrollData2324,'2324 Jun 24 Enroll'!J$1,FALSE),'District Calculations'!$D$16+'District Calculations'!$D$25-'District Calculations'!$D$17)*Apport_217A2324s,3)</f>
        <v>4.702</v>
      </c>
      <c r="R85">
        <f>ROUND(SUM(L85:Q85)/IF(VLOOKUP($A85,EnrollData2324,'2324 Jun 24 Enroll'!M$1,FALSE)+VLOOKUP($A85,EnrollData2324,'2324 Jun 24 Enroll'!D$1,FALSE)='District Calculations'!$D$25+'District Calculations'!$D$11,VLOOKUP($A85,EnrollData2324,'2324 Jun 24 Enroll'!M$1,FALSE)+VLOOKUP($A85,EnrollData2324,'2324 Jun 24 Enroll'!D$1,FALSE),'District Calculations'!$D$25+'District Calculations'!$D$11),5)</f>
        <v>4.1099999999999999E-3</v>
      </c>
      <c r="S85" s="11">
        <f t="shared" si="7"/>
        <v>1.8689600000000001E-2</v>
      </c>
      <c r="T85">
        <f>ROUND(IF(VLOOKUP($A85,EnrollData2324,'2324 Jun 24 Enroll'!D$1,FALSE)='District Calculations'!$D$11,VLOOKUP($A85,EnrollData2324,'2324 Jun 24 Enroll'!D$1,FALSE),'District Calculations'!$D$11)*S85,3)</f>
        <v>0</v>
      </c>
      <c r="U85">
        <f>ROUND(IF(VLOOKUP($A85,EnrollData2324,'2324 Jun 24 Enroll'!E$1,FALSE)='District Calculations'!$D$12,VLOOKUP($A85,EnrollData2324,'2324 Jun 24 Enroll'!E$1,FALSE),'District Calculations'!$D$12)*S85,3)</f>
        <v>15.148</v>
      </c>
      <c r="V85">
        <f>ROUND(IF(VLOOKUP($A85,EnrollData2324,'2324 Jun 24 Enroll'!F$1,FALSE)='District Calculations'!$D$13,VLOOKUP($A85,EnrollData2324,'2324 Jun 24 Enroll'!F$1,FALSE),'District Calculations'!$D$13)*Apport_224A2324s,3)</f>
        <v>3.7029999999999998</v>
      </c>
      <c r="W85">
        <f>ROUND(IF(VLOOKUP($A85,EnrollData2324,'2324 Jun 24 Enroll'!G$1,FALSE)='District Calculations'!$D$14,VLOOKUP($A85,EnrollData2324,'2324 Jun 24 Enroll'!G$1,FALSE),'District Calculations'!$D$14)*Apport_212A2324s,3)</f>
        <v>8.2089999999999996</v>
      </c>
      <c r="X85">
        <f>ROUND(IF(VLOOKUP($A85,EnrollData2324,'2324 Jun 24 Enroll'!H$1,FALSE)='District Calculations'!$D$14,VLOOKUP($A85,EnrollData2324,'2324 Jun 24 Enroll'!H$1,FALSE),'District Calculations'!$D$14)*Apport_215A2324s,3)</f>
        <v>8.0969999999999995</v>
      </c>
      <c r="Y85">
        <f>ROUND(IF(VLOOKUP($A85,EnrollData2324,'2324 Jun 24 Enroll'!I$1,FALSE)+VLOOKUP($A85,EnrollData2324,'2324 Jun 24 Enroll'!M$1,FALSE)-VLOOKUP($A85,EnrollData2324,'2324 Jun 24 Enroll'!J$1,FALSE)='District Calculations'!$D$16+'District Calculations'!$D$25-'District Calculations'!$D$17,VLOOKUP($A85,EnrollData2324,'2324 Jun 24 Enroll'!I$1,FALSE)+VLOOKUP($A85,EnrollData2324,'2324 Jun 24 Enroll'!M$1,FALSE)-VLOOKUP($A85,EnrollData2324,'2324 Jun 24 Enroll'!J$1,FALSE),'District Calculations'!$D$16+'District Calculations'!$D$25-'District Calculations'!$D$17)*Apport_218A2324s,3)</f>
        <v>20.224</v>
      </c>
      <c r="Z85">
        <f>ROUND(SUM(T85:Y85)/IF(VLOOKUP($A85,EnrollData2324,'2324 Jun 24 Enroll'!M$1,FALSE)+VLOOKUP($A85,EnrollData2324,'2324 Jun 24 Enroll'!D$1,FALSE)='District Calculations'!$D$25+'District Calculations'!$D$11,VLOOKUP($A85,EnrollData2324,'2324 Jun 24 Enroll'!M$1,FALSE)+VLOOKUP($A85,EnrollData2324,'2324 Jun 24 Enroll'!D$1,FALSE),'District Calculations'!$D$25+'District Calculations'!$D$11),5)</f>
        <v>1.7749999999999998E-2</v>
      </c>
      <c r="AA85" s="6" cm="1">
        <f t="array" ref="AA85">ROUND($J85*CIS_Base_Salary2324s*VLOOKUP($A85,EnrollData2324,'2324 Jun 24 Enroll'!S$1,FALSE),2)</f>
        <v>4038.59</v>
      </c>
      <c r="AB85" s="6" cm="1">
        <f t="array" ref="AB85">ROUND($J85*CIS_Inc_Salary2324s*(VLOOKUP($A85,EnrollData2324,'2324 Jun 24 Enroll'!T$1,FALSE)+VLOOKUP($A85,EnrollData2324,'2324 Jun 24 Enroll'!U$1,FALSE)),2)-AA85</f>
        <v>149.43000000000029</v>
      </c>
      <c r="AC85" s="6" cm="1">
        <f t="array" ref="AC85">ROUND($R85*CAS_Base_Salary2324s*VLOOKUP($A85,EnrollData2324,'2324 Jun 24 Enroll'!S$1,FALSE),2)</f>
        <v>443.7</v>
      </c>
      <c r="AD85" s="6" cm="1">
        <f t="array" ref="AD85">ROUND($R85*CAS_Inc_Salary2324s*VLOOKUP($A85,EnrollData2324,'2324 Jun 24 Enroll'!T$1,FALSE),2)-AC85</f>
        <v>16.410000000000025</v>
      </c>
      <c r="AE85" s="6" cm="1">
        <f t="array" ref="AE85">ROUND($Z85*CLS_Base_Salary2324s*VLOOKUP($A85,EnrollData2324,'2324 Jun 24 Enroll'!S$1,FALSE),2)</f>
        <v>926.07</v>
      </c>
      <c r="AF85" s="6" cm="1">
        <f t="array" ref="AF85">ROUND($Z85*CLS_Inc_Salary2324s*VLOOKUP($A85,EnrollData2324,'2324 Jun 24 Enroll'!T$1,FALSE),2)-AE85</f>
        <v>34.259999999999991</v>
      </c>
      <c r="AG85" cm="1">
        <f t="array" ref="AG85">ROUND(($J85+$R85)*Apport_124X2324s,2)</f>
        <v>734.29</v>
      </c>
      <c r="AH85" s="69">
        <f t="shared" si="8"/>
        <v>68.700000000000045</v>
      </c>
      <c r="AI85" cm="1">
        <f t="array" ref="AI85">ROUND($Z85*Apport_124X2324s,2)</f>
        <v>218.54</v>
      </c>
      <c r="AJ85" cm="1">
        <f t="array" ref="AJ85">ROUND($Z85*Apport_621X2324s*Apport_125X2324s,2)-AI85</f>
        <v>116.51000000000002</v>
      </c>
      <c r="AK85" cm="1">
        <f t="array" ref="AK85">ROUND((AA85+AC85)*Apport_126X2324s,2)</f>
        <v>805.47</v>
      </c>
      <c r="AL85" cm="1">
        <f t="array" ref="AL85">ROUND((AB85+AD85)*Apport_127X2324s,2)</f>
        <v>28.74</v>
      </c>
      <c r="AM85" cm="1">
        <f t="array" ref="AM85">ROUND(AE85*Apport_128X2324s,2)</f>
        <v>204.29</v>
      </c>
      <c r="AN85" cm="1">
        <f t="array" ref="AN85">ROUND(AF85*Apport_129X2324s,2)</f>
        <v>6.36</v>
      </c>
      <c r="AO85" cm="1">
        <f t="array" ref="AO85">ROUND(($J85*CIS_Inc_Salary2324s*(VLOOKUP($A85,EnrollData2324,'2324 Jun 24 Enroll'!T$1,FALSE)+VLOOKUP($A85,EnrollData2324,'2324 Jun 24 Enroll'!U$1,FALSE))/Apport_613Xpd)*Apport_614Xpd,2)</f>
        <v>69.8</v>
      </c>
      <c r="AP85" cm="1">
        <f t="array" ref="AP85">ROUND(AO85*Apport_127X2324s,2)</f>
        <v>12.1</v>
      </c>
      <c r="AQ85">
        <f t="shared" si="9"/>
        <v>30.93</v>
      </c>
      <c r="AR85" s="6" cm="1">
        <f t="array" ref="AR85">ROUND((VLOOKUP($A85,EnrollData2324,'2324 Jun 24 Enroll'!D$1,FALSE)*Apport_M802324s+VLOOKUP($A85,EnrollData2324,'2324 Jun 24 Enroll'!M$1,FALSE)*Apport_M802324s+(VLOOKUP($A85,EnrollData2324,'2324 Jun 24 Enroll'!P$1,FALSE)+VLOOKUP($A85,EnrollData2324,'2324 Jun 24 Enroll'!Q$1,FALSE)+VLOOKUP($A85,EnrollData2324,'2324 Jun 24 Enroll'!R$1,FALSE)+VLOOKUP($A85,EnrollData2324,'2324 Jun 24 Enroll'!I$1,FALSE)+VLOOKUP($A85,EnrollData2324,'2324 Jun 24 Enroll'!N$1,FALSE)+VLOOKUP($A85,EnrollData2324,'2324 Jun 24 Enroll'!O$1,FALSE)+VLOOKUP($A85,EnrollData2324,'2324 Jun 24 Enroll'!K$1,FALSE)+VLOOKUP($A85,EnrollData2324,'2324 Jun 24 Enroll'!L$1,FALSE))*Apport_M812324s)/(VLOOKUP($A85,EnrollData2324,'2324 Jun 24 Enroll'!M$1,FALSE)+VLOOKUP($A85,EnrollData2324,'2324 Jun 24 Enroll'!D$1,FALSE)),2)</f>
        <v>1504.44</v>
      </c>
      <c r="AS85" s="7">
        <f t="shared" si="11"/>
        <v>9408.630000000001</v>
      </c>
    </row>
    <row r="86" spans="1:45">
      <c r="A86" s="40" t="s">
        <v>693</v>
      </c>
      <c r="B86" s="40" t="s">
        <v>694</v>
      </c>
      <c r="C86" s="11">
        <f>ROUND((IFERROR((1/IF(VLOOKUP($A86,EnrollData2324,28,FALSE)='District Calculations'!$D$10,VLOOKUP($A86,EnrollData2324,28,FALSE),'District Calculations'!$D$10))*(1+Apport_Z315),0))+Apport_201A2324s,6)</f>
        <v>7.3449E-2</v>
      </c>
      <c r="D86">
        <f>ROUND(IF(VLOOKUP($A86,EnrollData2324,'2324 Jun 24 Enroll'!D$1,FALSE)='District Calculations'!$D$11,VLOOKUP($A86,EnrollData2324,'2324 Jun 24 Enroll'!D$1,FALSE),'District Calculations'!$D$11)*C86,3)</f>
        <v>0</v>
      </c>
      <c r="E86">
        <f>ROUND(IF(VLOOKUP($A86,EnrollData2324,'2324 Jun 24 Enroll'!E$1,FALSE)='District Calculations'!$D$12,VLOOKUP($A86,EnrollData2324,'2324 Jun 24 Enroll'!E$1,FALSE),'District Calculations'!$D$12)*C86,3)</f>
        <v>59.53</v>
      </c>
      <c r="F86">
        <f>ROUND(IF(VLOOKUP($A86,EnrollData2324,'2324 Jun 24 Enroll'!F$1,FALSE)='District Calculations'!$D$13,VLOOKUP($A86,EnrollData2324,'2324 Jun 24 Enroll'!F$1,FALSE),'District Calculations'!$D$13)*Apport_222A2324s,3)</f>
        <v>10.101000000000001</v>
      </c>
      <c r="G86">
        <f>ROUND(IF(VLOOKUP($A86,EnrollData2324,'2324 Jun 24 Enroll'!G$1,FALSE)='District Calculations'!$D$14,VLOOKUP($A86,EnrollData2324,'2324 Jun 24 Enroll'!G$1,FALSE),'District Calculations'!$D$14)*Apport_210A2324s,3)</f>
        <v>22.395</v>
      </c>
      <c r="H86">
        <f>ROUND(IF(VLOOKUP($A86,EnrollData2324,'2324 Jun 24 Enroll'!H$1,FALSE)='District Calculations'!$D$15,VLOOKUP($A86,EnrollData2324,'2324 Jun 24 Enroll'!H$1,FALSE),'District Calculations'!$D$15)*Apport_213A2324s,3)</f>
        <v>23.091999999999999</v>
      </c>
      <c r="I86">
        <f>ROUND(IF(VLOOKUP($A86,EnrollData2324,'2324 Jun 24 Enroll'!I$1,FALSE)+VLOOKUP($A86,EnrollData2324,'2324 Jun 24 Enroll'!M$1,FALSE)-VLOOKUP($A86,EnrollData2324,'2324 Jun 24 Enroll'!J$1,FALSE)='District Calculations'!$D$16+'District Calculations'!$D$25-'District Calculations'!$D$17,VLOOKUP($A86,EnrollData2324,'2324 Jun 24 Enroll'!I$1,FALSE)+VLOOKUP($A86,EnrollData2324,'2324 Jun 24 Enroll'!M$1,FALSE)-VLOOKUP($A86,EnrollData2324,'2324 Jun 24 Enroll'!J$1,FALSE),'District Calculations'!$D$16+'District Calculations'!$D$25-'District Calculations'!$D$17)*Apport_216A2324s,3)</f>
        <v>58.183999999999997</v>
      </c>
      <c r="J86">
        <f>ROUND(SUM(D86:I86)/(IF(VLOOKUP($A86,EnrollData2324,'2324 Jun 24 Enroll'!M$1,FALSE)='District Calculations'!$D$25,VLOOKUP($A86,EnrollData2324,'2324 Jun 24 Enroll'!M$1,FALSE),'District Calculations'!$D$25)+IF(VLOOKUP($A86,EnrollData2324,'2324 Jun 24 Enroll'!D$1,FALSE)='District Calculations'!$D$11,VLOOKUP($A86,EnrollData2324,'2324 Jun 24 Enroll'!D$1,FALSE),'District Calculations'!$D$11)),5)</f>
        <v>5.5530000000000003E-2</v>
      </c>
      <c r="K86" s="11">
        <f t="shared" si="6"/>
        <v>4.3699999999999998E-3</v>
      </c>
      <c r="L86">
        <f>ROUND(IF(VLOOKUP($A86,EnrollData2324,'2324 Jun 24 Enroll'!D$1,FALSE)='District Calculations'!$D$11,VLOOKUP($A86,EnrollData2324,'2324 Jun 24 Enroll'!D$1,FALSE),'District Calculations'!$D$11)*K86,3)</f>
        <v>0</v>
      </c>
      <c r="M86">
        <f>ROUND(IF(VLOOKUP($A86,EnrollData2324,'2324 Jun 24 Enroll'!E$1,FALSE)='District Calculations'!$D$12,VLOOKUP($A86,EnrollData2324,'2324 Jun 24 Enroll'!E$1,FALSE),'District Calculations'!$D$12)*K86,3)</f>
        <v>3.5419999999999998</v>
      </c>
      <c r="N86">
        <f>ROUND(IF(VLOOKUP($A86,EnrollData2324,'2324 Jun 24 Enroll'!F$1,FALSE)='District Calculations'!$D$13,VLOOKUP($A86,EnrollData2324,'2324 Jun 24 Enroll'!F$1,FALSE),'District Calculations'!$D$13)*Apport_223A2324s,3)</f>
        <v>0.84299999999999997</v>
      </c>
      <c r="O86">
        <f>ROUND(IF(VLOOKUP($A86,EnrollData2324,'2324 Jun 24 Enroll'!G$1,FALSE)='District Calculations'!$D$14,VLOOKUP($A86,EnrollData2324,'2324 Jun 24 Enroll'!G$1,FALSE),'District Calculations'!$D$14)*Apport_211A2324s,3)</f>
        <v>1.87</v>
      </c>
      <c r="P86">
        <f>ROUND(IF(VLOOKUP($A86,EnrollData2324,'2324 Jun 24 Enroll'!H$1,FALSE)='District Calculations'!$D$14,VLOOKUP($A86,EnrollData2324,'2324 Jun 24 Enroll'!H$1,FALSE),'District Calculations'!$D$14)*Apport_214A2324s,3)</f>
        <v>1.8680000000000001</v>
      </c>
      <c r="Q86">
        <f>ROUND(IF(VLOOKUP($A86,EnrollData2324,'2324 Jun 24 Enroll'!I$1,FALSE)+VLOOKUP($A86,EnrollData2324,'2324 Jun 24 Enroll'!M$1,FALSE)-VLOOKUP($A86,EnrollData2324,'2324 Jun 24 Enroll'!J$1,FALSE)='District Calculations'!$D$16+'District Calculations'!$D$25-'District Calculations'!$D$17,VLOOKUP($A86,EnrollData2324,'2324 Jun 24 Enroll'!I$1,FALSE)+VLOOKUP($A86,EnrollData2324,'2324 Jun 24 Enroll'!M$1,FALSE)-VLOOKUP($A86,EnrollData2324,'2324 Jun 24 Enroll'!J$1,FALSE),'District Calculations'!$D$16+'District Calculations'!$D$25-'District Calculations'!$D$17)*Apport_217A2324s,3)</f>
        <v>4.702</v>
      </c>
      <c r="R86">
        <f>ROUND(SUM(L86:Q86)/IF(VLOOKUP($A86,EnrollData2324,'2324 Jun 24 Enroll'!M$1,FALSE)+VLOOKUP($A86,EnrollData2324,'2324 Jun 24 Enroll'!D$1,FALSE)='District Calculations'!$D$25+'District Calculations'!$D$11,VLOOKUP($A86,EnrollData2324,'2324 Jun 24 Enroll'!M$1,FALSE)+VLOOKUP($A86,EnrollData2324,'2324 Jun 24 Enroll'!D$1,FALSE),'District Calculations'!$D$25+'District Calculations'!$D$11),5)</f>
        <v>4.1099999999999999E-3</v>
      </c>
      <c r="S86" s="11">
        <f t="shared" si="7"/>
        <v>1.8689600000000001E-2</v>
      </c>
      <c r="T86">
        <f>ROUND(IF(VLOOKUP($A86,EnrollData2324,'2324 Jun 24 Enroll'!D$1,FALSE)='District Calculations'!$D$11,VLOOKUP($A86,EnrollData2324,'2324 Jun 24 Enroll'!D$1,FALSE),'District Calculations'!$D$11)*S86,3)</f>
        <v>0</v>
      </c>
      <c r="U86">
        <f>ROUND(IF(VLOOKUP($A86,EnrollData2324,'2324 Jun 24 Enroll'!E$1,FALSE)='District Calculations'!$D$12,VLOOKUP($A86,EnrollData2324,'2324 Jun 24 Enroll'!E$1,FALSE),'District Calculations'!$D$12)*S86,3)</f>
        <v>15.148</v>
      </c>
      <c r="V86">
        <f>ROUND(IF(VLOOKUP($A86,EnrollData2324,'2324 Jun 24 Enroll'!F$1,FALSE)='District Calculations'!$D$13,VLOOKUP($A86,EnrollData2324,'2324 Jun 24 Enroll'!F$1,FALSE),'District Calculations'!$D$13)*Apport_224A2324s,3)</f>
        <v>3.7029999999999998</v>
      </c>
      <c r="W86">
        <f>ROUND(IF(VLOOKUP($A86,EnrollData2324,'2324 Jun 24 Enroll'!G$1,FALSE)='District Calculations'!$D$14,VLOOKUP($A86,EnrollData2324,'2324 Jun 24 Enroll'!G$1,FALSE),'District Calculations'!$D$14)*Apport_212A2324s,3)</f>
        <v>8.2089999999999996</v>
      </c>
      <c r="X86">
        <f>ROUND(IF(VLOOKUP($A86,EnrollData2324,'2324 Jun 24 Enroll'!H$1,FALSE)='District Calculations'!$D$14,VLOOKUP($A86,EnrollData2324,'2324 Jun 24 Enroll'!H$1,FALSE),'District Calculations'!$D$14)*Apport_215A2324s,3)</f>
        <v>8.0969999999999995</v>
      </c>
      <c r="Y86">
        <f>ROUND(IF(VLOOKUP($A86,EnrollData2324,'2324 Jun 24 Enroll'!I$1,FALSE)+VLOOKUP($A86,EnrollData2324,'2324 Jun 24 Enroll'!M$1,FALSE)-VLOOKUP($A86,EnrollData2324,'2324 Jun 24 Enroll'!J$1,FALSE)='District Calculations'!$D$16+'District Calculations'!$D$25-'District Calculations'!$D$17,VLOOKUP($A86,EnrollData2324,'2324 Jun 24 Enroll'!I$1,FALSE)+VLOOKUP($A86,EnrollData2324,'2324 Jun 24 Enroll'!M$1,FALSE)-VLOOKUP($A86,EnrollData2324,'2324 Jun 24 Enroll'!J$1,FALSE),'District Calculations'!$D$16+'District Calculations'!$D$25-'District Calculations'!$D$17)*Apport_218A2324s,3)</f>
        <v>20.224</v>
      </c>
      <c r="Z86">
        <f>ROUND(SUM(T86:Y86)/IF(VLOOKUP($A86,EnrollData2324,'2324 Jun 24 Enroll'!M$1,FALSE)+VLOOKUP($A86,EnrollData2324,'2324 Jun 24 Enroll'!D$1,FALSE)='District Calculations'!$D$25+'District Calculations'!$D$11,VLOOKUP($A86,EnrollData2324,'2324 Jun 24 Enroll'!M$1,FALSE)+VLOOKUP($A86,EnrollData2324,'2324 Jun 24 Enroll'!D$1,FALSE),'District Calculations'!$D$25+'District Calculations'!$D$11),5)</f>
        <v>1.7749999999999998E-2</v>
      </c>
      <c r="AA86" s="6" cm="1">
        <f t="array" ref="AA86">ROUND($J86*CIS_Base_Salary2324s*VLOOKUP($A86,EnrollData2324,'2324 Jun 24 Enroll'!S$1,FALSE),2)</f>
        <v>4038.59</v>
      </c>
      <c r="AB86" s="6" cm="1">
        <f t="array" ref="AB86">ROUND($J86*CIS_Inc_Salary2324s*(VLOOKUP($A86,EnrollData2324,'2324 Jun 24 Enroll'!T$1,FALSE)+VLOOKUP($A86,EnrollData2324,'2324 Jun 24 Enroll'!U$1,FALSE)),2)-AA86</f>
        <v>233.1899999999996</v>
      </c>
      <c r="AC86" s="6" cm="1">
        <f t="array" ref="AC86">ROUND($R86*CAS_Base_Salary2324s*VLOOKUP($A86,EnrollData2324,'2324 Jun 24 Enroll'!S$1,FALSE),2)</f>
        <v>443.7</v>
      </c>
      <c r="AD86" s="6" cm="1">
        <f t="array" ref="AD86">ROUND($R86*CAS_Inc_Salary2324s*VLOOKUP($A86,EnrollData2324,'2324 Jun 24 Enroll'!T$1,FALSE),2)-AC86</f>
        <v>16.410000000000025</v>
      </c>
      <c r="AE86" s="6" cm="1">
        <f t="array" ref="AE86">ROUND($Z86*CLS_Base_Salary2324s*VLOOKUP($A86,EnrollData2324,'2324 Jun 24 Enroll'!S$1,FALSE),2)</f>
        <v>926.07</v>
      </c>
      <c r="AF86" s="6" cm="1">
        <f t="array" ref="AF86">ROUND($Z86*CLS_Inc_Salary2324s*VLOOKUP($A86,EnrollData2324,'2324 Jun 24 Enroll'!T$1,FALSE),2)-AE86</f>
        <v>34.259999999999991</v>
      </c>
      <c r="AG86" cm="1">
        <f t="array" ref="AG86">ROUND(($J86+$R86)*Apport_124X2324s,2)</f>
        <v>734.29</v>
      </c>
      <c r="AH86" s="69">
        <f t="shared" si="8"/>
        <v>68.700000000000045</v>
      </c>
      <c r="AI86" cm="1">
        <f t="array" ref="AI86">ROUND($Z86*Apport_124X2324s,2)</f>
        <v>218.54</v>
      </c>
      <c r="AJ86" cm="1">
        <f t="array" ref="AJ86">ROUND($Z86*Apport_621X2324s*Apport_125X2324s,2)-AI86</f>
        <v>116.51000000000002</v>
      </c>
      <c r="AK86" cm="1">
        <f t="array" ref="AK86">ROUND((AA86+AC86)*Apport_126X2324s,2)</f>
        <v>805.47</v>
      </c>
      <c r="AL86" cm="1">
        <f t="array" ref="AL86">ROUND((AB86+AD86)*Apport_127X2324s,2)</f>
        <v>43.26</v>
      </c>
      <c r="AM86" cm="1">
        <f t="array" ref="AM86">ROUND(AE86*Apport_128X2324s,2)</f>
        <v>204.29</v>
      </c>
      <c r="AN86" cm="1">
        <f t="array" ref="AN86">ROUND(AF86*Apport_129X2324s,2)</f>
        <v>6.36</v>
      </c>
      <c r="AO86" cm="1">
        <f t="array" ref="AO86">ROUND(($J86*CIS_Inc_Salary2324s*(VLOOKUP($A86,EnrollData2324,'2324 Jun 24 Enroll'!T$1,FALSE)+VLOOKUP($A86,EnrollData2324,'2324 Jun 24 Enroll'!U$1,FALSE))/Apport_613Xpd)*Apport_614Xpd,2)</f>
        <v>71.2</v>
      </c>
      <c r="AP86" cm="1">
        <f t="array" ref="AP86">ROUND(AO86*Apport_127X2324s,2)</f>
        <v>12.34</v>
      </c>
      <c r="AQ86">
        <f t="shared" si="9"/>
        <v>30.93</v>
      </c>
      <c r="AR86" s="6" cm="1">
        <f t="array" ref="AR86">ROUND((VLOOKUP($A86,EnrollData2324,'2324 Jun 24 Enroll'!D$1,FALSE)*Apport_M802324s+VLOOKUP($A86,EnrollData2324,'2324 Jun 24 Enroll'!M$1,FALSE)*Apport_M802324s+(VLOOKUP($A86,EnrollData2324,'2324 Jun 24 Enroll'!P$1,FALSE)+VLOOKUP($A86,EnrollData2324,'2324 Jun 24 Enroll'!Q$1,FALSE)+VLOOKUP($A86,EnrollData2324,'2324 Jun 24 Enroll'!R$1,FALSE)+VLOOKUP($A86,EnrollData2324,'2324 Jun 24 Enroll'!I$1,FALSE)+VLOOKUP($A86,EnrollData2324,'2324 Jun 24 Enroll'!N$1,FALSE)+VLOOKUP($A86,EnrollData2324,'2324 Jun 24 Enroll'!O$1,FALSE)+VLOOKUP($A86,EnrollData2324,'2324 Jun 24 Enroll'!K$1,FALSE)+VLOOKUP($A86,EnrollData2324,'2324 Jun 24 Enroll'!L$1,FALSE))*Apport_M812324s)/(VLOOKUP($A86,EnrollData2324,'2324 Jun 24 Enroll'!M$1,FALSE)+VLOOKUP($A86,EnrollData2324,'2324 Jun 24 Enroll'!D$1,FALSE)),2)</f>
        <v>1557.28</v>
      </c>
      <c r="AS86" s="7">
        <f t="shared" si="11"/>
        <v>9561.39</v>
      </c>
    </row>
    <row r="87" spans="1:45">
      <c r="A87" s="40" t="s">
        <v>847</v>
      </c>
      <c r="B87" s="40" t="s">
        <v>848</v>
      </c>
      <c r="C87" s="11">
        <f>ROUND((IFERROR((1/IF(VLOOKUP($A87,EnrollData2324,28,FALSE)='District Calculations'!$D$10,VLOOKUP($A87,EnrollData2324,28,FALSE),'District Calculations'!$D$10))*(1+Apport_Z315),0))+Apport_201A2324s,6)</f>
        <v>7.3449E-2</v>
      </c>
      <c r="D87">
        <f>ROUND(IF(VLOOKUP($A87,EnrollData2324,'2324 Jun 24 Enroll'!D$1,FALSE)='District Calculations'!$D$11,VLOOKUP($A87,EnrollData2324,'2324 Jun 24 Enroll'!D$1,FALSE),'District Calculations'!$D$11)*C87,3)</f>
        <v>0</v>
      </c>
      <c r="E87">
        <f>ROUND(IF(VLOOKUP($A87,EnrollData2324,'2324 Jun 24 Enroll'!E$1,FALSE)='District Calculations'!$D$12,VLOOKUP($A87,EnrollData2324,'2324 Jun 24 Enroll'!E$1,FALSE),'District Calculations'!$D$12)*C87,3)</f>
        <v>59.53</v>
      </c>
      <c r="F87">
        <f>ROUND(IF(VLOOKUP($A87,EnrollData2324,'2324 Jun 24 Enroll'!F$1,FALSE)='District Calculations'!$D$13,VLOOKUP($A87,EnrollData2324,'2324 Jun 24 Enroll'!F$1,FALSE),'District Calculations'!$D$13)*Apport_222A2324s,3)</f>
        <v>10.101000000000001</v>
      </c>
      <c r="G87">
        <f>ROUND(IF(VLOOKUP($A87,EnrollData2324,'2324 Jun 24 Enroll'!G$1,FALSE)='District Calculations'!$D$14,VLOOKUP($A87,EnrollData2324,'2324 Jun 24 Enroll'!G$1,FALSE),'District Calculations'!$D$14)*Apport_210A2324s,3)</f>
        <v>22.395</v>
      </c>
      <c r="H87">
        <f>ROUND(IF(VLOOKUP($A87,EnrollData2324,'2324 Jun 24 Enroll'!H$1,FALSE)='District Calculations'!$D$15,VLOOKUP($A87,EnrollData2324,'2324 Jun 24 Enroll'!H$1,FALSE),'District Calculations'!$D$15)*Apport_213A2324s,3)</f>
        <v>23.091999999999999</v>
      </c>
      <c r="I87">
        <f>ROUND(IF(VLOOKUP($A87,EnrollData2324,'2324 Jun 24 Enroll'!I$1,FALSE)+VLOOKUP($A87,EnrollData2324,'2324 Jun 24 Enroll'!M$1,FALSE)-VLOOKUP($A87,EnrollData2324,'2324 Jun 24 Enroll'!J$1,FALSE)='District Calculations'!$D$16+'District Calculations'!$D$25-'District Calculations'!$D$17,VLOOKUP($A87,EnrollData2324,'2324 Jun 24 Enroll'!I$1,FALSE)+VLOOKUP($A87,EnrollData2324,'2324 Jun 24 Enroll'!M$1,FALSE)-VLOOKUP($A87,EnrollData2324,'2324 Jun 24 Enroll'!J$1,FALSE),'District Calculations'!$D$16+'District Calculations'!$D$25-'District Calculations'!$D$17)*Apport_216A2324s,3)</f>
        <v>58.183999999999997</v>
      </c>
      <c r="J87">
        <f>ROUND(SUM(D87:I87)/(IF(VLOOKUP($A87,EnrollData2324,'2324 Jun 24 Enroll'!M$1,FALSE)='District Calculations'!$D$25,VLOOKUP($A87,EnrollData2324,'2324 Jun 24 Enroll'!M$1,FALSE),'District Calculations'!$D$25)+IF(VLOOKUP($A87,EnrollData2324,'2324 Jun 24 Enroll'!D$1,FALSE)='District Calculations'!$D$11,VLOOKUP($A87,EnrollData2324,'2324 Jun 24 Enroll'!D$1,FALSE),'District Calculations'!$D$11)),5)</f>
        <v>5.5530000000000003E-2</v>
      </c>
      <c r="K87" s="11">
        <f t="shared" si="6"/>
        <v>4.3699999999999998E-3</v>
      </c>
      <c r="L87">
        <f>ROUND(IF(VLOOKUP($A87,EnrollData2324,'2324 Jun 24 Enroll'!D$1,FALSE)='District Calculations'!$D$11,VLOOKUP($A87,EnrollData2324,'2324 Jun 24 Enroll'!D$1,FALSE),'District Calculations'!$D$11)*K87,3)</f>
        <v>0</v>
      </c>
      <c r="M87">
        <f>ROUND(IF(VLOOKUP($A87,EnrollData2324,'2324 Jun 24 Enroll'!E$1,FALSE)='District Calculations'!$D$12,VLOOKUP($A87,EnrollData2324,'2324 Jun 24 Enroll'!E$1,FALSE),'District Calculations'!$D$12)*K87,3)</f>
        <v>3.5419999999999998</v>
      </c>
      <c r="N87">
        <f>ROUND(IF(VLOOKUP($A87,EnrollData2324,'2324 Jun 24 Enroll'!F$1,FALSE)='District Calculations'!$D$13,VLOOKUP($A87,EnrollData2324,'2324 Jun 24 Enroll'!F$1,FALSE),'District Calculations'!$D$13)*Apport_223A2324s,3)</f>
        <v>0.84299999999999997</v>
      </c>
      <c r="O87">
        <f>ROUND(IF(VLOOKUP($A87,EnrollData2324,'2324 Jun 24 Enroll'!G$1,FALSE)='District Calculations'!$D$14,VLOOKUP($A87,EnrollData2324,'2324 Jun 24 Enroll'!G$1,FALSE),'District Calculations'!$D$14)*Apport_211A2324s,3)</f>
        <v>1.87</v>
      </c>
      <c r="P87">
        <f>ROUND(IF(VLOOKUP($A87,EnrollData2324,'2324 Jun 24 Enroll'!H$1,FALSE)='District Calculations'!$D$14,VLOOKUP($A87,EnrollData2324,'2324 Jun 24 Enroll'!H$1,FALSE),'District Calculations'!$D$14)*Apport_214A2324s,3)</f>
        <v>1.8680000000000001</v>
      </c>
      <c r="Q87">
        <f>ROUND(IF(VLOOKUP($A87,EnrollData2324,'2324 Jun 24 Enroll'!I$1,FALSE)+VLOOKUP($A87,EnrollData2324,'2324 Jun 24 Enroll'!M$1,FALSE)-VLOOKUP($A87,EnrollData2324,'2324 Jun 24 Enroll'!J$1,FALSE)='District Calculations'!$D$16+'District Calculations'!$D$25-'District Calculations'!$D$17,VLOOKUP($A87,EnrollData2324,'2324 Jun 24 Enroll'!I$1,FALSE)+VLOOKUP($A87,EnrollData2324,'2324 Jun 24 Enroll'!M$1,FALSE)-VLOOKUP($A87,EnrollData2324,'2324 Jun 24 Enroll'!J$1,FALSE),'District Calculations'!$D$16+'District Calculations'!$D$25-'District Calculations'!$D$17)*Apport_217A2324s,3)</f>
        <v>4.702</v>
      </c>
      <c r="R87">
        <f>ROUND(SUM(L87:Q87)/IF(VLOOKUP($A87,EnrollData2324,'2324 Jun 24 Enroll'!M$1,FALSE)+VLOOKUP($A87,EnrollData2324,'2324 Jun 24 Enroll'!D$1,FALSE)='District Calculations'!$D$25+'District Calculations'!$D$11,VLOOKUP($A87,EnrollData2324,'2324 Jun 24 Enroll'!M$1,FALSE)+VLOOKUP($A87,EnrollData2324,'2324 Jun 24 Enroll'!D$1,FALSE),'District Calculations'!$D$25+'District Calculations'!$D$11),5)</f>
        <v>4.1099999999999999E-3</v>
      </c>
      <c r="S87" s="11">
        <f t="shared" si="7"/>
        <v>1.8689600000000001E-2</v>
      </c>
      <c r="T87">
        <f>ROUND(IF(VLOOKUP($A87,EnrollData2324,'2324 Jun 24 Enroll'!D$1,FALSE)='District Calculations'!$D$11,VLOOKUP($A87,EnrollData2324,'2324 Jun 24 Enroll'!D$1,FALSE),'District Calculations'!$D$11)*S87,3)</f>
        <v>0</v>
      </c>
      <c r="U87">
        <f>ROUND(IF(VLOOKUP($A87,EnrollData2324,'2324 Jun 24 Enroll'!E$1,FALSE)='District Calculations'!$D$12,VLOOKUP($A87,EnrollData2324,'2324 Jun 24 Enroll'!E$1,FALSE),'District Calculations'!$D$12)*S87,3)</f>
        <v>15.148</v>
      </c>
      <c r="V87">
        <f>ROUND(IF(VLOOKUP($A87,EnrollData2324,'2324 Jun 24 Enroll'!F$1,FALSE)='District Calculations'!$D$13,VLOOKUP($A87,EnrollData2324,'2324 Jun 24 Enroll'!F$1,FALSE),'District Calculations'!$D$13)*Apport_224A2324s,3)</f>
        <v>3.7029999999999998</v>
      </c>
      <c r="W87">
        <f>ROUND(IF(VLOOKUP($A87,EnrollData2324,'2324 Jun 24 Enroll'!G$1,FALSE)='District Calculations'!$D$14,VLOOKUP($A87,EnrollData2324,'2324 Jun 24 Enroll'!G$1,FALSE),'District Calculations'!$D$14)*Apport_212A2324s,3)</f>
        <v>8.2089999999999996</v>
      </c>
      <c r="X87">
        <f>ROUND(IF(VLOOKUP($A87,EnrollData2324,'2324 Jun 24 Enroll'!H$1,FALSE)='District Calculations'!$D$14,VLOOKUP($A87,EnrollData2324,'2324 Jun 24 Enroll'!H$1,FALSE),'District Calculations'!$D$14)*Apport_215A2324s,3)</f>
        <v>8.0969999999999995</v>
      </c>
      <c r="Y87">
        <f>ROUND(IF(VLOOKUP($A87,EnrollData2324,'2324 Jun 24 Enroll'!I$1,FALSE)+VLOOKUP($A87,EnrollData2324,'2324 Jun 24 Enroll'!M$1,FALSE)-VLOOKUP($A87,EnrollData2324,'2324 Jun 24 Enroll'!J$1,FALSE)='District Calculations'!$D$16+'District Calculations'!$D$25-'District Calculations'!$D$17,VLOOKUP($A87,EnrollData2324,'2324 Jun 24 Enroll'!I$1,FALSE)+VLOOKUP($A87,EnrollData2324,'2324 Jun 24 Enroll'!M$1,FALSE)-VLOOKUP($A87,EnrollData2324,'2324 Jun 24 Enroll'!J$1,FALSE),'District Calculations'!$D$16+'District Calculations'!$D$25-'District Calculations'!$D$17)*Apport_218A2324s,3)</f>
        <v>20.224</v>
      </c>
      <c r="Z87">
        <f>ROUND(SUM(T87:Y87)/IF(VLOOKUP($A87,EnrollData2324,'2324 Jun 24 Enroll'!M$1,FALSE)+VLOOKUP($A87,EnrollData2324,'2324 Jun 24 Enroll'!D$1,FALSE)='District Calculations'!$D$25+'District Calculations'!$D$11,VLOOKUP($A87,EnrollData2324,'2324 Jun 24 Enroll'!M$1,FALSE)+VLOOKUP($A87,EnrollData2324,'2324 Jun 24 Enroll'!D$1,FALSE),'District Calculations'!$D$25+'District Calculations'!$D$11),5)</f>
        <v>1.7749999999999998E-2</v>
      </c>
      <c r="AA87" s="6" cm="1">
        <f t="array" ref="AA87">ROUND($J87*CIS_Base_Salary2324s*VLOOKUP($A87,EnrollData2324,'2324 Jun 24 Enroll'!S$1,FALSE),2)</f>
        <v>4038.59</v>
      </c>
      <c r="AB87" s="6" cm="1">
        <f t="array" ref="AB87">ROUND($J87*CIS_Inc_Salary2324s*(VLOOKUP($A87,EnrollData2324,'2324 Jun 24 Enroll'!T$1,FALSE)+VLOOKUP($A87,EnrollData2324,'2324 Jun 24 Enroll'!U$1,FALSE)),2)-AA87</f>
        <v>149.43000000000029</v>
      </c>
      <c r="AC87" s="6" cm="1">
        <f t="array" ref="AC87">ROUND($R87*CAS_Base_Salary2324s*VLOOKUP($A87,EnrollData2324,'2324 Jun 24 Enroll'!S$1,FALSE),2)</f>
        <v>443.7</v>
      </c>
      <c r="AD87" s="6" cm="1">
        <f t="array" ref="AD87">ROUND($R87*CAS_Inc_Salary2324s*VLOOKUP($A87,EnrollData2324,'2324 Jun 24 Enroll'!T$1,FALSE),2)-AC87</f>
        <v>16.410000000000025</v>
      </c>
      <c r="AE87" s="6" cm="1">
        <f t="array" ref="AE87">ROUND($Z87*CLS_Base_Salary2324s*VLOOKUP($A87,EnrollData2324,'2324 Jun 24 Enroll'!S$1,FALSE),2)</f>
        <v>926.07</v>
      </c>
      <c r="AF87" s="6" cm="1">
        <f t="array" ref="AF87">ROUND($Z87*CLS_Inc_Salary2324s*VLOOKUP($A87,EnrollData2324,'2324 Jun 24 Enroll'!T$1,FALSE),2)-AE87</f>
        <v>34.259999999999991</v>
      </c>
      <c r="AG87" cm="1">
        <f t="array" ref="AG87">ROUND(($J87+$R87)*Apport_124X2324s,2)</f>
        <v>734.29</v>
      </c>
      <c r="AH87" s="69">
        <f t="shared" si="8"/>
        <v>68.700000000000045</v>
      </c>
      <c r="AI87" cm="1">
        <f t="array" ref="AI87">ROUND($Z87*Apport_124X2324s,2)</f>
        <v>218.54</v>
      </c>
      <c r="AJ87" cm="1">
        <f t="array" ref="AJ87">ROUND($Z87*Apport_621X2324s*Apport_125X2324s,2)-AI87</f>
        <v>116.51000000000002</v>
      </c>
      <c r="AK87" cm="1">
        <f t="array" ref="AK87">ROUND((AA87+AC87)*Apport_126X2324s,2)</f>
        <v>805.47</v>
      </c>
      <c r="AL87" cm="1">
        <f t="array" ref="AL87">ROUND((AB87+AD87)*Apport_127X2324s,2)</f>
        <v>28.74</v>
      </c>
      <c r="AM87" cm="1">
        <f t="array" ref="AM87">ROUND(AE87*Apport_128X2324s,2)</f>
        <v>204.29</v>
      </c>
      <c r="AN87" cm="1">
        <f t="array" ref="AN87">ROUND(AF87*Apport_129X2324s,2)</f>
        <v>6.36</v>
      </c>
      <c r="AO87" cm="1">
        <f t="array" ref="AO87">ROUND(($J87*CIS_Inc_Salary2324s*(VLOOKUP($A87,EnrollData2324,'2324 Jun 24 Enroll'!T$1,FALSE)+VLOOKUP($A87,EnrollData2324,'2324 Jun 24 Enroll'!U$1,FALSE))/Apport_613Xpd)*Apport_614Xpd,2)</f>
        <v>69.8</v>
      </c>
      <c r="AP87" cm="1">
        <f t="array" ref="AP87">ROUND(AO87*Apport_127X2324s,2)</f>
        <v>12.1</v>
      </c>
      <c r="AQ87">
        <f t="shared" si="9"/>
        <v>30.93</v>
      </c>
      <c r="AR87" s="6" cm="1">
        <f t="array" ref="AR87">ROUND((VLOOKUP($A87,EnrollData2324,'2324 Jun 24 Enroll'!D$1,FALSE)*Apport_M802324s+VLOOKUP($A87,EnrollData2324,'2324 Jun 24 Enroll'!M$1,FALSE)*Apport_M802324s+(VLOOKUP($A87,EnrollData2324,'2324 Jun 24 Enroll'!P$1,FALSE)+VLOOKUP($A87,EnrollData2324,'2324 Jun 24 Enroll'!Q$1,FALSE)+VLOOKUP($A87,EnrollData2324,'2324 Jun 24 Enroll'!R$1,FALSE)+VLOOKUP($A87,EnrollData2324,'2324 Jun 24 Enroll'!I$1,FALSE)+VLOOKUP($A87,EnrollData2324,'2324 Jun 24 Enroll'!N$1,FALSE)+VLOOKUP($A87,EnrollData2324,'2324 Jun 24 Enroll'!O$1,FALSE)+VLOOKUP($A87,EnrollData2324,'2324 Jun 24 Enroll'!K$1,FALSE)+VLOOKUP($A87,EnrollData2324,'2324 Jun 24 Enroll'!L$1,FALSE))*Apport_M812324s)/(VLOOKUP($A87,EnrollData2324,'2324 Jun 24 Enroll'!M$1,FALSE)+VLOOKUP($A87,EnrollData2324,'2324 Jun 24 Enroll'!D$1,FALSE)),2)</f>
        <v>1572.13</v>
      </c>
      <c r="AS87" s="7">
        <f t="shared" si="11"/>
        <v>9476.32</v>
      </c>
    </row>
    <row r="88" spans="1:45">
      <c r="A88" s="40" t="s">
        <v>713</v>
      </c>
      <c r="B88" s="40" t="s">
        <v>714</v>
      </c>
      <c r="C88" s="11">
        <f>ROUND((IFERROR((1/IF(VLOOKUP($A88,EnrollData2324,28,FALSE)='District Calculations'!$D$10,VLOOKUP($A88,EnrollData2324,28,FALSE),'District Calculations'!$D$10))*(1+Apport_Z315),0))+Apport_201A2324s,6)</f>
        <v>7.3449E-2</v>
      </c>
      <c r="D88">
        <f>ROUND(IF(VLOOKUP($A88,EnrollData2324,'2324 Jun 24 Enroll'!D$1,FALSE)='District Calculations'!$D$11,VLOOKUP($A88,EnrollData2324,'2324 Jun 24 Enroll'!D$1,FALSE),'District Calculations'!$D$11)*C88,3)</f>
        <v>0</v>
      </c>
      <c r="E88">
        <f>ROUND(IF(VLOOKUP($A88,EnrollData2324,'2324 Jun 24 Enroll'!E$1,FALSE)='District Calculations'!$D$12,VLOOKUP($A88,EnrollData2324,'2324 Jun 24 Enroll'!E$1,FALSE),'District Calculations'!$D$12)*C88,3)</f>
        <v>59.53</v>
      </c>
      <c r="F88">
        <f>ROUND(IF(VLOOKUP($A88,EnrollData2324,'2324 Jun 24 Enroll'!F$1,FALSE)='District Calculations'!$D$13,VLOOKUP($A88,EnrollData2324,'2324 Jun 24 Enroll'!F$1,FALSE),'District Calculations'!$D$13)*Apport_222A2324s,3)</f>
        <v>10.101000000000001</v>
      </c>
      <c r="G88">
        <f>ROUND(IF(VLOOKUP($A88,EnrollData2324,'2324 Jun 24 Enroll'!G$1,FALSE)='District Calculations'!$D$14,VLOOKUP($A88,EnrollData2324,'2324 Jun 24 Enroll'!G$1,FALSE),'District Calculations'!$D$14)*Apport_210A2324s,3)</f>
        <v>22.395</v>
      </c>
      <c r="H88">
        <f>ROUND(IF(VLOOKUP($A88,EnrollData2324,'2324 Jun 24 Enroll'!H$1,FALSE)='District Calculations'!$D$15,VLOOKUP($A88,EnrollData2324,'2324 Jun 24 Enroll'!H$1,FALSE),'District Calculations'!$D$15)*Apport_213A2324s,3)</f>
        <v>23.091999999999999</v>
      </c>
      <c r="I88">
        <f>ROUND(IF(VLOOKUP($A88,EnrollData2324,'2324 Jun 24 Enroll'!I$1,FALSE)+VLOOKUP($A88,EnrollData2324,'2324 Jun 24 Enroll'!M$1,FALSE)-VLOOKUP($A88,EnrollData2324,'2324 Jun 24 Enroll'!J$1,FALSE)='District Calculations'!$D$16+'District Calculations'!$D$25-'District Calculations'!$D$17,VLOOKUP($A88,EnrollData2324,'2324 Jun 24 Enroll'!I$1,FALSE)+VLOOKUP($A88,EnrollData2324,'2324 Jun 24 Enroll'!M$1,FALSE)-VLOOKUP($A88,EnrollData2324,'2324 Jun 24 Enroll'!J$1,FALSE),'District Calculations'!$D$16+'District Calculations'!$D$25-'District Calculations'!$D$17)*Apport_216A2324s,3)</f>
        <v>58.183999999999997</v>
      </c>
      <c r="J88">
        <f>ROUND(SUM(D88:I88)/(IF(VLOOKUP($A88,EnrollData2324,'2324 Jun 24 Enroll'!M$1,FALSE)='District Calculations'!$D$25,VLOOKUP($A88,EnrollData2324,'2324 Jun 24 Enroll'!M$1,FALSE),'District Calculations'!$D$25)+IF(VLOOKUP($A88,EnrollData2324,'2324 Jun 24 Enroll'!D$1,FALSE)='District Calculations'!$D$11,VLOOKUP($A88,EnrollData2324,'2324 Jun 24 Enroll'!D$1,FALSE),'District Calculations'!$D$11)),5)</f>
        <v>5.5530000000000003E-2</v>
      </c>
      <c r="K88" s="11">
        <f t="shared" si="6"/>
        <v>4.3699999999999998E-3</v>
      </c>
      <c r="L88">
        <f>ROUND(IF(VLOOKUP($A88,EnrollData2324,'2324 Jun 24 Enroll'!D$1,FALSE)='District Calculations'!$D$11,VLOOKUP($A88,EnrollData2324,'2324 Jun 24 Enroll'!D$1,FALSE),'District Calculations'!$D$11)*K88,3)</f>
        <v>0</v>
      </c>
      <c r="M88">
        <f>ROUND(IF(VLOOKUP($A88,EnrollData2324,'2324 Jun 24 Enroll'!E$1,FALSE)='District Calculations'!$D$12,VLOOKUP($A88,EnrollData2324,'2324 Jun 24 Enroll'!E$1,FALSE),'District Calculations'!$D$12)*K88,3)</f>
        <v>3.5419999999999998</v>
      </c>
      <c r="N88">
        <f>ROUND(IF(VLOOKUP($A88,EnrollData2324,'2324 Jun 24 Enroll'!F$1,FALSE)='District Calculations'!$D$13,VLOOKUP($A88,EnrollData2324,'2324 Jun 24 Enroll'!F$1,FALSE),'District Calculations'!$D$13)*Apport_223A2324s,3)</f>
        <v>0.84299999999999997</v>
      </c>
      <c r="O88">
        <f>ROUND(IF(VLOOKUP($A88,EnrollData2324,'2324 Jun 24 Enroll'!G$1,FALSE)='District Calculations'!$D$14,VLOOKUP($A88,EnrollData2324,'2324 Jun 24 Enroll'!G$1,FALSE),'District Calculations'!$D$14)*Apport_211A2324s,3)</f>
        <v>1.87</v>
      </c>
      <c r="P88">
        <f>ROUND(IF(VLOOKUP($A88,EnrollData2324,'2324 Jun 24 Enroll'!H$1,FALSE)='District Calculations'!$D$14,VLOOKUP($A88,EnrollData2324,'2324 Jun 24 Enroll'!H$1,FALSE),'District Calculations'!$D$14)*Apport_214A2324s,3)</f>
        <v>1.8680000000000001</v>
      </c>
      <c r="Q88">
        <f>ROUND(IF(VLOOKUP($A88,EnrollData2324,'2324 Jun 24 Enroll'!I$1,FALSE)+VLOOKUP($A88,EnrollData2324,'2324 Jun 24 Enroll'!M$1,FALSE)-VLOOKUP($A88,EnrollData2324,'2324 Jun 24 Enroll'!J$1,FALSE)='District Calculations'!$D$16+'District Calculations'!$D$25-'District Calculations'!$D$17,VLOOKUP($A88,EnrollData2324,'2324 Jun 24 Enroll'!I$1,FALSE)+VLOOKUP($A88,EnrollData2324,'2324 Jun 24 Enroll'!M$1,FALSE)-VLOOKUP($A88,EnrollData2324,'2324 Jun 24 Enroll'!J$1,FALSE),'District Calculations'!$D$16+'District Calculations'!$D$25-'District Calculations'!$D$17)*Apport_217A2324s,3)</f>
        <v>4.702</v>
      </c>
      <c r="R88">
        <f>ROUND(SUM(L88:Q88)/IF(VLOOKUP($A88,EnrollData2324,'2324 Jun 24 Enroll'!M$1,FALSE)+VLOOKUP($A88,EnrollData2324,'2324 Jun 24 Enroll'!D$1,FALSE)='District Calculations'!$D$25+'District Calculations'!$D$11,VLOOKUP($A88,EnrollData2324,'2324 Jun 24 Enroll'!M$1,FALSE)+VLOOKUP($A88,EnrollData2324,'2324 Jun 24 Enroll'!D$1,FALSE),'District Calculations'!$D$25+'District Calculations'!$D$11),5)</f>
        <v>4.1099999999999999E-3</v>
      </c>
      <c r="S88" s="11">
        <f t="shared" si="7"/>
        <v>1.8689600000000001E-2</v>
      </c>
      <c r="T88">
        <f>ROUND(IF(VLOOKUP($A88,EnrollData2324,'2324 Jun 24 Enroll'!D$1,FALSE)='District Calculations'!$D$11,VLOOKUP($A88,EnrollData2324,'2324 Jun 24 Enroll'!D$1,FALSE),'District Calculations'!$D$11)*S88,3)</f>
        <v>0</v>
      </c>
      <c r="U88">
        <f>ROUND(IF(VLOOKUP($A88,EnrollData2324,'2324 Jun 24 Enroll'!E$1,FALSE)='District Calculations'!$D$12,VLOOKUP($A88,EnrollData2324,'2324 Jun 24 Enroll'!E$1,FALSE),'District Calculations'!$D$12)*S88,3)</f>
        <v>15.148</v>
      </c>
      <c r="V88">
        <f>ROUND(IF(VLOOKUP($A88,EnrollData2324,'2324 Jun 24 Enroll'!F$1,FALSE)='District Calculations'!$D$13,VLOOKUP($A88,EnrollData2324,'2324 Jun 24 Enroll'!F$1,FALSE),'District Calculations'!$D$13)*Apport_224A2324s,3)</f>
        <v>3.7029999999999998</v>
      </c>
      <c r="W88">
        <f>ROUND(IF(VLOOKUP($A88,EnrollData2324,'2324 Jun 24 Enroll'!G$1,FALSE)='District Calculations'!$D$14,VLOOKUP($A88,EnrollData2324,'2324 Jun 24 Enroll'!G$1,FALSE),'District Calculations'!$D$14)*Apport_212A2324s,3)</f>
        <v>8.2089999999999996</v>
      </c>
      <c r="X88">
        <f>ROUND(IF(VLOOKUP($A88,EnrollData2324,'2324 Jun 24 Enroll'!H$1,FALSE)='District Calculations'!$D$14,VLOOKUP($A88,EnrollData2324,'2324 Jun 24 Enroll'!H$1,FALSE),'District Calculations'!$D$14)*Apport_215A2324s,3)</f>
        <v>8.0969999999999995</v>
      </c>
      <c r="Y88">
        <f>ROUND(IF(VLOOKUP($A88,EnrollData2324,'2324 Jun 24 Enroll'!I$1,FALSE)+VLOOKUP($A88,EnrollData2324,'2324 Jun 24 Enroll'!M$1,FALSE)-VLOOKUP($A88,EnrollData2324,'2324 Jun 24 Enroll'!J$1,FALSE)='District Calculations'!$D$16+'District Calculations'!$D$25-'District Calculations'!$D$17,VLOOKUP($A88,EnrollData2324,'2324 Jun 24 Enroll'!I$1,FALSE)+VLOOKUP($A88,EnrollData2324,'2324 Jun 24 Enroll'!M$1,FALSE)-VLOOKUP($A88,EnrollData2324,'2324 Jun 24 Enroll'!J$1,FALSE),'District Calculations'!$D$16+'District Calculations'!$D$25-'District Calculations'!$D$17)*Apport_218A2324s,3)</f>
        <v>20.224</v>
      </c>
      <c r="Z88">
        <f>ROUND(SUM(T88:Y88)/IF(VLOOKUP($A88,EnrollData2324,'2324 Jun 24 Enroll'!M$1,FALSE)+VLOOKUP($A88,EnrollData2324,'2324 Jun 24 Enroll'!D$1,FALSE)='District Calculations'!$D$25+'District Calculations'!$D$11,VLOOKUP($A88,EnrollData2324,'2324 Jun 24 Enroll'!M$1,FALSE)+VLOOKUP($A88,EnrollData2324,'2324 Jun 24 Enroll'!D$1,FALSE),'District Calculations'!$D$25+'District Calculations'!$D$11),5)</f>
        <v>1.7749999999999998E-2</v>
      </c>
      <c r="AA88" s="6" cm="1">
        <f t="array" ref="AA88">ROUND($J88*CIS_Base_Salary2324s*VLOOKUP($A88,EnrollData2324,'2324 Jun 24 Enroll'!S$1,FALSE),2)</f>
        <v>4038.59</v>
      </c>
      <c r="AB88" s="6" cm="1">
        <f t="array" ref="AB88">ROUND($J88*CIS_Inc_Salary2324s*(VLOOKUP($A88,EnrollData2324,'2324 Jun 24 Enroll'!T$1,FALSE)+VLOOKUP($A88,EnrollData2324,'2324 Jun 24 Enroll'!U$1,FALSE)),2)-AA88</f>
        <v>149.43000000000029</v>
      </c>
      <c r="AC88" s="6" cm="1">
        <f t="array" ref="AC88">ROUND($R88*CAS_Base_Salary2324s*VLOOKUP($A88,EnrollData2324,'2324 Jun 24 Enroll'!S$1,FALSE),2)</f>
        <v>443.7</v>
      </c>
      <c r="AD88" s="6" cm="1">
        <f t="array" ref="AD88">ROUND($R88*CAS_Inc_Salary2324s*VLOOKUP($A88,EnrollData2324,'2324 Jun 24 Enroll'!T$1,FALSE),2)-AC88</f>
        <v>16.410000000000025</v>
      </c>
      <c r="AE88" s="6" cm="1">
        <f t="array" ref="AE88">ROUND($Z88*CLS_Base_Salary2324s*VLOOKUP($A88,EnrollData2324,'2324 Jun 24 Enroll'!S$1,FALSE),2)</f>
        <v>926.07</v>
      </c>
      <c r="AF88" s="6" cm="1">
        <f t="array" ref="AF88">ROUND($Z88*CLS_Inc_Salary2324s*VLOOKUP($A88,EnrollData2324,'2324 Jun 24 Enroll'!T$1,FALSE),2)-AE88</f>
        <v>34.259999999999991</v>
      </c>
      <c r="AG88" cm="1">
        <f t="array" ref="AG88">ROUND(($J88+$R88)*Apport_124X2324s,2)</f>
        <v>734.29</v>
      </c>
      <c r="AH88" s="69">
        <f t="shared" si="8"/>
        <v>68.700000000000045</v>
      </c>
      <c r="AI88" cm="1">
        <f t="array" ref="AI88">ROUND($Z88*Apport_124X2324s,2)</f>
        <v>218.54</v>
      </c>
      <c r="AJ88" cm="1">
        <f t="array" ref="AJ88">ROUND($Z88*Apport_621X2324s*Apport_125X2324s,2)-AI88</f>
        <v>116.51000000000002</v>
      </c>
      <c r="AK88" cm="1">
        <f t="array" ref="AK88">ROUND((AA88+AC88)*Apport_126X2324s,2)</f>
        <v>805.47</v>
      </c>
      <c r="AL88" cm="1">
        <f t="array" ref="AL88">ROUND((AB88+AD88)*Apport_127X2324s,2)</f>
        <v>28.74</v>
      </c>
      <c r="AM88" cm="1">
        <f t="array" ref="AM88">ROUND(AE88*Apport_128X2324s,2)</f>
        <v>204.29</v>
      </c>
      <c r="AN88" cm="1">
        <f t="array" ref="AN88">ROUND(AF88*Apport_129X2324s,2)</f>
        <v>6.36</v>
      </c>
      <c r="AO88" cm="1">
        <f t="array" ref="AO88">ROUND(($J88*CIS_Inc_Salary2324s*(VLOOKUP($A88,EnrollData2324,'2324 Jun 24 Enroll'!T$1,FALSE)+VLOOKUP($A88,EnrollData2324,'2324 Jun 24 Enroll'!U$1,FALSE))/Apport_613Xpd)*Apport_614Xpd,2)</f>
        <v>69.8</v>
      </c>
      <c r="AP88" cm="1">
        <f t="array" ref="AP88">ROUND(AO88*Apport_127X2324s,2)</f>
        <v>12.1</v>
      </c>
      <c r="AQ88">
        <f t="shared" si="9"/>
        <v>30.93</v>
      </c>
      <c r="AR88" s="6" cm="1">
        <f t="array" ref="AR88">ROUND((VLOOKUP($A88,EnrollData2324,'2324 Jun 24 Enroll'!D$1,FALSE)*Apport_M802324s+VLOOKUP($A88,EnrollData2324,'2324 Jun 24 Enroll'!M$1,FALSE)*Apport_M802324s+(VLOOKUP($A88,EnrollData2324,'2324 Jun 24 Enroll'!P$1,FALSE)+VLOOKUP($A88,EnrollData2324,'2324 Jun 24 Enroll'!Q$1,FALSE)+VLOOKUP($A88,EnrollData2324,'2324 Jun 24 Enroll'!R$1,FALSE)+VLOOKUP($A88,EnrollData2324,'2324 Jun 24 Enroll'!I$1,FALSE)+VLOOKUP($A88,EnrollData2324,'2324 Jun 24 Enroll'!N$1,FALSE)+VLOOKUP($A88,EnrollData2324,'2324 Jun 24 Enroll'!O$1,FALSE)+VLOOKUP($A88,EnrollData2324,'2324 Jun 24 Enroll'!K$1,FALSE)+VLOOKUP($A88,EnrollData2324,'2324 Jun 24 Enroll'!L$1,FALSE))*Apport_M812324s)/(VLOOKUP($A88,EnrollData2324,'2324 Jun 24 Enroll'!M$1,FALSE)+VLOOKUP($A88,EnrollData2324,'2324 Jun 24 Enroll'!D$1,FALSE)),2)</f>
        <v>1570.05</v>
      </c>
      <c r="AS88" s="7">
        <f t="shared" si="11"/>
        <v>9474.24</v>
      </c>
    </row>
    <row r="89" spans="1:45">
      <c r="A89" s="40" t="s">
        <v>855</v>
      </c>
      <c r="B89" s="40" t="s">
        <v>856</v>
      </c>
      <c r="C89" s="11">
        <f>ROUND((IFERROR((1/IF(VLOOKUP($A89,EnrollData2324,28,FALSE)='District Calculations'!$D$10,VLOOKUP($A89,EnrollData2324,28,FALSE),'District Calculations'!$D$10))*(1+Apport_Z315),0))+Apport_201A2324s,6)</f>
        <v>7.3449E-2</v>
      </c>
      <c r="D89">
        <f>ROUND(IF(VLOOKUP($A89,EnrollData2324,'2324 Jun 24 Enroll'!D$1,FALSE)='District Calculations'!$D$11,VLOOKUP($A89,EnrollData2324,'2324 Jun 24 Enroll'!D$1,FALSE),'District Calculations'!$D$11)*C89,3)</f>
        <v>0</v>
      </c>
      <c r="E89">
        <f>ROUND(IF(VLOOKUP($A89,EnrollData2324,'2324 Jun 24 Enroll'!E$1,FALSE)='District Calculations'!$D$12,VLOOKUP($A89,EnrollData2324,'2324 Jun 24 Enroll'!E$1,FALSE),'District Calculations'!$D$12)*C89,3)</f>
        <v>59.53</v>
      </c>
      <c r="F89">
        <f>ROUND(IF(VLOOKUP($A89,EnrollData2324,'2324 Jun 24 Enroll'!F$1,FALSE)='District Calculations'!$D$13,VLOOKUP($A89,EnrollData2324,'2324 Jun 24 Enroll'!F$1,FALSE),'District Calculations'!$D$13)*Apport_222A2324s,3)</f>
        <v>10.101000000000001</v>
      </c>
      <c r="G89">
        <f>ROUND(IF(VLOOKUP($A89,EnrollData2324,'2324 Jun 24 Enroll'!G$1,FALSE)='District Calculations'!$D$14,VLOOKUP($A89,EnrollData2324,'2324 Jun 24 Enroll'!G$1,FALSE),'District Calculations'!$D$14)*Apport_210A2324s,3)</f>
        <v>22.395</v>
      </c>
      <c r="H89">
        <f>ROUND(IF(VLOOKUP($A89,EnrollData2324,'2324 Jun 24 Enroll'!H$1,FALSE)='District Calculations'!$D$15,VLOOKUP($A89,EnrollData2324,'2324 Jun 24 Enroll'!H$1,FALSE),'District Calculations'!$D$15)*Apport_213A2324s,3)</f>
        <v>23.091999999999999</v>
      </c>
      <c r="I89">
        <f>ROUND(IF(VLOOKUP($A89,EnrollData2324,'2324 Jun 24 Enroll'!I$1,FALSE)+VLOOKUP($A89,EnrollData2324,'2324 Jun 24 Enroll'!M$1,FALSE)-VLOOKUP($A89,EnrollData2324,'2324 Jun 24 Enroll'!J$1,FALSE)='District Calculations'!$D$16+'District Calculations'!$D$25-'District Calculations'!$D$17,VLOOKUP($A89,EnrollData2324,'2324 Jun 24 Enroll'!I$1,FALSE)+VLOOKUP($A89,EnrollData2324,'2324 Jun 24 Enroll'!M$1,FALSE)-VLOOKUP($A89,EnrollData2324,'2324 Jun 24 Enroll'!J$1,FALSE),'District Calculations'!$D$16+'District Calculations'!$D$25-'District Calculations'!$D$17)*Apport_216A2324s,3)</f>
        <v>58.183999999999997</v>
      </c>
      <c r="J89">
        <f>ROUND(SUM(D89:I89)/(IF(VLOOKUP($A89,EnrollData2324,'2324 Jun 24 Enroll'!M$1,FALSE)='District Calculations'!$D$25,VLOOKUP($A89,EnrollData2324,'2324 Jun 24 Enroll'!M$1,FALSE),'District Calculations'!$D$25)+IF(VLOOKUP($A89,EnrollData2324,'2324 Jun 24 Enroll'!D$1,FALSE)='District Calculations'!$D$11,VLOOKUP($A89,EnrollData2324,'2324 Jun 24 Enroll'!D$1,FALSE),'District Calculations'!$D$11)),5)</f>
        <v>5.5530000000000003E-2</v>
      </c>
      <c r="K89" s="11">
        <f t="shared" si="6"/>
        <v>4.3699999999999998E-3</v>
      </c>
      <c r="L89">
        <f>ROUND(IF(VLOOKUP($A89,EnrollData2324,'2324 Jun 24 Enroll'!D$1,FALSE)='District Calculations'!$D$11,VLOOKUP($A89,EnrollData2324,'2324 Jun 24 Enroll'!D$1,FALSE),'District Calculations'!$D$11)*K89,3)</f>
        <v>0</v>
      </c>
      <c r="M89">
        <f>ROUND(IF(VLOOKUP($A89,EnrollData2324,'2324 Jun 24 Enroll'!E$1,FALSE)='District Calculations'!$D$12,VLOOKUP($A89,EnrollData2324,'2324 Jun 24 Enroll'!E$1,FALSE),'District Calculations'!$D$12)*K89,3)</f>
        <v>3.5419999999999998</v>
      </c>
      <c r="N89">
        <f>ROUND(IF(VLOOKUP($A89,EnrollData2324,'2324 Jun 24 Enroll'!F$1,FALSE)='District Calculations'!$D$13,VLOOKUP($A89,EnrollData2324,'2324 Jun 24 Enroll'!F$1,FALSE),'District Calculations'!$D$13)*Apport_223A2324s,3)</f>
        <v>0.84299999999999997</v>
      </c>
      <c r="O89">
        <f>ROUND(IF(VLOOKUP($A89,EnrollData2324,'2324 Jun 24 Enroll'!G$1,FALSE)='District Calculations'!$D$14,VLOOKUP($A89,EnrollData2324,'2324 Jun 24 Enroll'!G$1,FALSE),'District Calculations'!$D$14)*Apport_211A2324s,3)</f>
        <v>1.87</v>
      </c>
      <c r="P89">
        <f>ROUND(IF(VLOOKUP($A89,EnrollData2324,'2324 Jun 24 Enroll'!H$1,FALSE)='District Calculations'!$D$14,VLOOKUP($A89,EnrollData2324,'2324 Jun 24 Enroll'!H$1,FALSE),'District Calculations'!$D$14)*Apport_214A2324s,3)</f>
        <v>1.8680000000000001</v>
      </c>
      <c r="Q89">
        <f>ROUND(IF(VLOOKUP($A89,EnrollData2324,'2324 Jun 24 Enroll'!I$1,FALSE)+VLOOKUP($A89,EnrollData2324,'2324 Jun 24 Enroll'!M$1,FALSE)-VLOOKUP($A89,EnrollData2324,'2324 Jun 24 Enroll'!J$1,FALSE)='District Calculations'!$D$16+'District Calculations'!$D$25-'District Calculations'!$D$17,VLOOKUP($A89,EnrollData2324,'2324 Jun 24 Enroll'!I$1,FALSE)+VLOOKUP($A89,EnrollData2324,'2324 Jun 24 Enroll'!M$1,FALSE)-VLOOKUP($A89,EnrollData2324,'2324 Jun 24 Enroll'!J$1,FALSE),'District Calculations'!$D$16+'District Calculations'!$D$25-'District Calculations'!$D$17)*Apport_217A2324s,3)</f>
        <v>4.702</v>
      </c>
      <c r="R89">
        <f>ROUND(SUM(L89:Q89)/IF(VLOOKUP($A89,EnrollData2324,'2324 Jun 24 Enroll'!M$1,FALSE)+VLOOKUP($A89,EnrollData2324,'2324 Jun 24 Enroll'!D$1,FALSE)='District Calculations'!$D$25+'District Calculations'!$D$11,VLOOKUP($A89,EnrollData2324,'2324 Jun 24 Enroll'!M$1,FALSE)+VLOOKUP($A89,EnrollData2324,'2324 Jun 24 Enroll'!D$1,FALSE),'District Calculations'!$D$25+'District Calculations'!$D$11),5)</f>
        <v>4.1099999999999999E-3</v>
      </c>
      <c r="S89" s="11">
        <f t="shared" si="7"/>
        <v>1.8689600000000001E-2</v>
      </c>
      <c r="T89">
        <f>ROUND(IF(VLOOKUP($A89,EnrollData2324,'2324 Jun 24 Enroll'!D$1,FALSE)='District Calculations'!$D$11,VLOOKUP($A89,EnrollData2324,'2324 Jun 24 Enroll'!D$1,FALSE),'District Calculations'!$D$11)*S89,3)</f>
        <v>0</v>
      </c>
      <c r="U89">
        <f>ROUND(IF(VLOOKUP($A89,EnrollData2324,'2324 Jun 24 Enroll'!E$1,FALSE)='District Calculations'!$D$12,VLOOKUP($A89,EnrollData2324,'2324 Jun 24 Enroll'!E$1,FALSE),'District Calculations'!$D$12)*S89,3)</f>
        <v>15.148</v>
      </c>
      <c r="V89">
        <f>ROUND(IF(VLOOKUP($A89,EnrollData2324,'2324 Jun 24 Enroll'!F$1,FALSE)='District Calculations'!$D$13,VLOOKUP($A89,EnrollData2324,'2324 Jun 24 Enroll'!F$1,FALSE),'District Calculations'!$D$13)*Apport_224A2324s,3)</f>
        <v>3.7029999999999998</v>
      </c>
      <c r="W89">
        <f>ROUND(IF(VLOOKUP($A89,EnrollData2324,'2324 Jun 24 Enroll'!G$1,FALSE)='District Calculations'!$D$14,VLOOKUP($A89,EnrollData2324,'2324 Jun 24 Enroll'!G$1,FALSE),'District Calculations'!$D$14)*Apport_212A2324s,3)</f>
        <v>8.2089999999999996</v>
      </c>
      <c r="X89">
        <f>ROUND(IF(VLOOKUP($A89,EnrollData2324,'2324 Jun 24 Enroll'!H$1,FALSE)='District Calculations'!$D$14,VLOOKUP($A89,EnrollData2324,'2324 Jun 24 Enroll'!H$1,FALSE),'District Calculations'!$D$14)*Apport_215A2324s,3)</f>
        <v>8.0969999999999995</v>
      </c>
      <c r="Y89">
        <f>ROUND(IF(VLOOKUP($A89,EnrollData2324,'2324 Jun 24 Enroll'!I$1,FALSE)+VLOOKUP($A89,EnrollData2324,'2324 Jun 24 Enroll'!M$1,FALSE)-VLOOKUP($A89,EnrollData2324,'2324 Jun 24 Enroll'!J$1,FALSE)='District Calculations'!$D$16+'District Calculations'!$D$25-'District Calculations'!$D$17,VLOOKUP($A89,EnrollData2324,'2324 Jun 24 Enroll'!I$1,FALSE)+VLOOKUP($A89,EnrollData2324,'2324 Jun 24 Enroll'!M$1,FALSE)-VLOOKUP($A89,EnrollData2324,'2324 Jun 24 Enroll'!J$1,FALSE),'District Calculations'!$D$16+'District Calculations'!$D$25-'District Calculations'!$D$17)*Apport_218A2324s,3)</f>
        <v>20.224</v>
      </c>
      <c r="Z89">
        <f>ROUND(SUM(T89:Y89)/IF(VLOOKUP($A89,EnrollData2324,'2324 Jun 24 Enroll'!M$1,FALSE)+VLOOKUP($A89,EnrollData2324,'2324 Jun 24 Enroll'!D$1,FALSE)='District Calculations'!$D$25+'District Calculations'!$D$11,VLOOKUP($A89,EnrollData2324,'2324 Jun 24 Enroll'!M$1,FALSE)+VLOOKUP($A89,EnrollData2324,'2324 Jun 24 Enroll'!D$1,FALSE),'District Calculations'!$D$25+'District Calculations'!$D$11),5)</f>
        <v>1.7749999999999998E-2</v>
      </c>
      <c r="AA89" s="6" cm="1">
        <f t="array" ref="AA89">ROUND($J89*CIS_Base_Salary2324s*VLOOKUP($A89,EnrollData2324,'2324 Jun 24 Enroll'!S$1,FALSE),2)</f>
        <v>4038.59</v>
      </c>
      <c r="AB89" s="6" cm="1">
        <f t="array" ref="AB89">ROUND($J89*CIS_Inc_Salary2324s*(VLOOKUP($A89,EnrollData2324,'2324 Jun 24 Enroll'!T$1,FALSE)+VLOOKUP($A89,EnrollData2324,'2324 Jun 24 Enroll'!U$1,FALSE)),2)-AA89</f>
        <v>149.43000000000029</v>
      </c>
      <c r="AC89" s="6" cm="1">
        <f t="array" ref="AC89">ROUND($R89*CAS_Base_Salary2324s*VLOOKUP($A89,EnrollData2324,'2324 Jun 24 Enroll'!S$1,FALSE),2)</f>
        <v>443.7</v>
      </c>
      <c r="AD89" s="6" cm="1">
        <f t="array" ref="AD89">ROUND($R89*CAS_Inc_Salary2324s*VLOOKUP($A89,EnrollData2324,'2324 Jun 24 Enroll'!T$1,FALSE),2)-AC89</f>
        <v>16.410000000000025</v>
      </c>
      <c r="AE89" s="6" cm="1">
        <f t="array" ref="AE89">ROUND($Z89*CLS_Base_Salary2324s*VLOOKUP($A89,EnrollData2324,'2324 Jun 24 Enroll'!S$1,FALSE),2)</f>
        <v>926.07</v>
      </c>
      <c r="AF89" s="6" cm="1">
        <f t="array" ref="AF89">ROUND($Z89*CLS_Inc_Salary2324s*VLOOKUP($A89,EnrollData2324,'2324 Jun 24 Enroll'!T$1,FALSE),2)-AE89</f>
        <v>34.259999999999991</v>
      </c>
      <c r="AG89" cm="1">
        <f t="array" ref="AG89">ROUND(($J89+$R89)*Apport_124X2324s,2)</f>
        <v>734.29</v>
      </c>
      <c r="AH89" s="69">
        <f t="shared" si="8"/>
        <v>68.700000000000045</v>
      </c>
      <c r="AI89" cm="1">
        <f t="array" ref="AI89">ROUND($Z89*Apport_124X2324s,2)</f>
        <v>218.54</v>
      </c>
      <c r="AJ89" cm="1">
        <f t="array" ref="AJ89">ROUND($Z89*Apport_621X2324s*Apport_125X2324s,2)-AI89</f>
        <v>116.51000000000002</v>
      </c>
      <c r="AK89" cm="1">
        <f t="array" ref="AK89">ROUND((AA89+AC89)*Apport_126X2324s,2)</f>
        <v>805.47</v>
      </c>
      <c r="AL89" cm="1">
        <f t="array" ref="AL89">ROUND((AB89+AD89)*Apport_127X2324s,2)</f>
        <v>28.74</v>
      </c>
      <c r="AM89" cm="1">
        <f t="array" ref="AM89">ROUND(AE89*Apport_128X2324s,2)</f>
        <v>204.29</v>
      </c>
      <c r="AN89" cm="1">
        <f t="array" ref="AN89">ROUND(AF89*Apport_129X2324s,2)</f>
        <v>6.36</v>
      </c>
      <c r="AO89" cm="1">
        <f t="array" ref="AO89">ROUND(($J89*CIS_Inc_Salary2324s*(VLOOKUP($A89,EnrollData2324,'2324 Jun 24 Enroll'!T$1,FALSE)+VLOOKUP($A89,EnrollData2324,'2324 Jun 24 Enroll'!U$1,FALSE))/Apport_613Xpd)*Apport_614Xpd,2)</f>
        <v>69.8</v>
      </c>
      <c r="AP89" cm="1">
        <f t="array" ref="AP89">ROUND(AO89*Apport_127X2324s,2)</f>
        <v>12.1</v>
      </c>
      <c r="AQ89">
        <f t="shared" si="9"/>
        <v>30.93</v>
      </c>
      <c r="AR89" s="6" cm="1">
        <f t="array" ref="AR89">ROUND((VLOOKUP($A89,EnrollData2324,'2324 Jun 24 Enroll'!D$1,FALSE)*Apport_M802324s+VLOOKUP($A89,EnrollData2324,'2324 Jun 24 Enroll'!M$1,FALSE)*Apport_M802324s+(VLOOKUP($A89,EnrollData2324,'2324 Jun 24 Enroll'!P$1,FALSE)+VLOOKUP($A89,EnrollData2324,'2324 Jun 24 Enroll'!Q$1,FALSE)+VLOOKUP($A89,EnrollData2324,'2324 Jun 24 Enroll'!R$1,FALSE)+VLOOKUP($A89,EnrollData2324,'2324 Jun 24 Enroll'!I$1,FALSE)+VLOOKUP($A89,EnrollData2324,'2324 Jun 24 Enroll'!N$1,FALSE)+VLOOKUP($A89,EnrollData2324,'2324 Jun 24 Enroll'!O$1,FALSE)+VLOOKUP($A89,EnrollData2324,'2324 Jun 24 Enroll'!K$1,FALSE)+VLOOKUP($A89,EnrollData2324,'2324 Jun 24 Enroll'!L$1,FALSE))*Apport_M812324s)/(VLOOKUP($A89,EnrollData2324,'2324 Jun 24 Enroll'!M$1,FALSE)+VLOOKUP($A89,EnrollData2324,'2324 Jun 24 Enroll'!D$1,FALSE)),2)</f>
        <v>1570.16</v>
      </c>
      <c r="AS89" s="7">
        <f t="shared" si="11"/>
        <v>9474.35</v>
      </c>
    </row>
    <row r="90" spans="1:45">
      <c r="A90" s="40" t="s">
        <v>408</v>
      </c>
      <c r="B90" s="40" t="s">
        <v>409</v>
      </c>
      <c r="C90" s="11">
        <f>ROUND((IFERROR((1/IF(VLOOKUP($A90,EnrollData2324,28,FALSE)='District Calculations'!$D$10,VLOOKUP($A90,EnrollData2324,28,FALSE),'District Calculations'!$D$10))*(1+Apport_Z315),0))+Apport_201A2324s,6)</f>
        <v>7.3449E-2</v>
      </c>
      <c r="D90">
        <f>ROUND(IF(VLOOKUP($A90,EnrollData2324,'2324 Jun 24 Enroll'!D$1,FALSE)='District Calculations'!$D$11,VLOOKUP($A90,EnrollData2324,'2324 Jun 24 Enroll'!D$1,FALSE),'District Calculations'!$D$11)*C90,3)</f>
        <v>0</v>
      </c>
      <c r="E90">
        <f>ROUND(IF(VLOOKUP($A90,EnrollData2324,'2324 Jun 24 Enroll'!E$1,FALSE)='District Calculations'!$D$12,VLOOKUP($A90,EnrollData2324,'2324 Jun 24 Enroll'!E$1,FALSE),'District Calculations'!$D$12)*C90,3)</f>
        <v>59.53</v>
      </c>
      <c r="F90">
        <f>ROUND(IF(VLOOKUP($A90,EnrollData2324,'2324 Jun 24 Enroll'!F$1,FALSE)='District Calculations'!$D$13,VLOOKUP($A90,EnrollData2324,'2324 Jun 24 Enroll'!F$1,FALSE),'District Calculations'!$D$13)*Apport_222A2324s,3)</f>
        <v>10.101000000000001</v>
      </c>
      <c r="G90">
        <f>ROUND(IF(VLOOKUP($A90,EnrollData2324,'2324 Jun 24 Enroll'!G$1,FALSE)='District Calculations'!$D$14,VLOOKUP($A90,EnrollData2324,'2324 Jun 24 Enroll'!G$1,FALSE),'District Calculations'!$D$14)*Apport_210A2324s,3)</f>
        <v>22.395</v>
      </c>
      <c r="H90">
        <f>ROUND(IF(VLOOKUP($A90,EnrollData2324,'2324 Jun 24 Enroll'!H$1,FALSE)='District Calculations'!$D$15,VLOOKUP($A90,EnrollData2324,'2324 Jun 24 Enroll'!H$1,FALSE),'District Calculations'!$D$15)*Apport_213A2324s,3)</f>
        <v>23.091999999999999</v>
      </c>
      <c r="I90">
        <f>ROUND(IF(VLOOKUP($A90,EnrollData2324,'2324 Jun 24 Enroll'!I$1,FALSE)+VLOOKUP($A90,EnrollData2324,'2324 Jun 24 Enroll'!M$1,FALSE)-VLOOKUP($A90,EnrollData2324,'2324 Jun 24 Enroll'!J$1,FALSE)='District Calculations'!$D$16+'District Calculations'!$D$25-'District Calculations'!$D$17,VLOOKUP($A90,EnrollData2324,'2324 Jun 24 Enroll'!I$1,FALSE)+VLOOKUP($A90,EnrollData2324,'2324 Jun 24 Enroll'!M$1,FALSE)-VLOOKUP($A90,EnrollData2324,'2324 Jun 24 Enroll'!J$1,FALSE),'District Calculations'!$D$16+'District Calculations'!$D$25-'District Calculations'!$D$17)*Apport_216A2324s,3)</f>
        <v>58.183999999999997</v>
      </c>
      <c r="J90">
        <f>ROUND(SUM(D90:I90)/(IF(VLOOKUP($A90,EnrollData2324,'2324 Jun 24 Enroll'!M$1,FALSE)='District Calculations'!$D$25,VLOOKUP($A90,EnrollData2324,'2324 Jun 24 Enroll'!M$1,FALSE),'District Calculations'!$D$25)+IF(VLOOKUP($A90,EnrollData2324,'2324 Jun 24 Enroll'!D$1,FALSE)='District Calculations'!$D$11,VLOOKUP($A90,EnrollData2324,'2324 Jun 24 Enroll'!D$1,FALSE),'District Calculations'!$D$11)),5)</f>
        <v>5.5530000000000003E-2</v>
      </c>
      <c r="K90" s="11">
        <f t="shared" si="6"/>
        <v>4.3699999999999998E-3</v>
      </c>
      <c r="L90">
        <f>ROUND(IF(VLOOKUP($A90,EnrollData2324,'2324 Jun 24 Enroll'!D$1,FALSE)='District Calculations'!$D$11,VLOOKUP($A90,EnrollData2324,'2324 Jun 24 Enroll'!D$1,FALSE),'District Calculations'!$D$11)*K90,3)</f>
        <v>0</v>
      </c>
      <c r="M90">
        <f>ROUND(IF(VLOOKUP($A90,EnrollData2324,'2324 Jun 24 Enroll'!E$1,FALSE)='District Calculations'!$D$12,VLOOKUP($A90,EnrollData2324,'2324 Jun 24 Enroll'!E$1,FALSE),'District Calculations'!$D$12)*K90,3)</f>
        <v>3.5419999999999998</v>
      </c>
      <c r="N90">
        <f>ROUND(IF(VLOOKUP($A90,EnrollData2324,'2324 Jun 24 Enroll'!F$1,FALSE)='District Calculations'!$D$13,VLOOKUP($A90,EnrollData2324,'2324 Jun 24 Enroll'!F$1,FALSE),'District Calculations'!$D$13)*Apport_223A2324s,3)</f>
        <v>0.84299999999999997</v>
      </c>
      <c r="O90">
        <f>ROUND(IF(VLOOKUP($A90,EnrollData2324,'2324 Jun 24 Enroll'!G$1,FALSE)='District Calculations'!$D$14,VLOOKUP($A90,EnrollData2324,'2324 Jun 24 Enroll'!G$1,FALSE),'District Calculations'!$D$14)*Apport_211A2324s,3)</f>
        <v>1.87</v>
      </c>
      <c r="P90">
        <f>ROUND(IF(VLOOKUP($A90,EnrollData2324,'2324 Jun 24 Enroll'!H$1,FALSE)='District Calculations'!$D$14,VLOOKUP($A90,EnrollData2324,'2324 Jun 24 Enroll'!H$1,FALSE),'District Calculations'!$D$14)*Apport_214A2324s,3)</f>
        <v>1.8680000000000001</v>
      </c>
      <c r="Q90">
        <f>ROUND(IF(VLOOKUP($A90,EnrollData2324,'2324 Jun 24 Enroll'!I$1,FALSE)+VLOOKUP($A90,EnrollData2324,'2324 Jun 24 Enroll'!M$1,FALSE)-VLOOKUP($A90,EnrollData2324,'2324 Jun 24 Enroll'!J$1,FALSE)='District Calculations'!$D$16+'District Calculations'!$D$25-'District Calculations'!$D$17,VLOOKUP($A90,EnrollData2324,'2324 Jun 24 Enroll'!I$1,FALSE)+VLOOKUP($A90,EnrollData2324,'2324 Jun 24 Enroll'!M$1,FALSE)-VLOOKUP($A90,EnrollData2324,'2324 Jun 24 Enroll'!J$1,FALSE),'District Calculations'!$D$16+'District Calculations'!$D$25-'District Calculations'!$D$17)*Apport_217A2324s,3)</f>
        <v>4.702</v>
      </c>
      <c r="R90">
        <f>ROUND(SUM(L90:Q90)/IF(VLOOKUP($A90,EnrollData2324,'2324 Jun 24 Enroll'!M$1,FALSE)+VLOOKUP($A90,EnrollData2324,'2324 Jun 24 Enroll'!D$1,FALSE)='District Calculations'!$D$25+'District Calculations'!$D$11,VLOOKUP($A90,EnrollData2324,'2324 Jun 24 Enroll'!M$1,FALSE)+VLOOKUP($A90,EnrollData2324,'2324 Jun 24 Enroll'!D$1,FALSE),'District Calculations'!$D$25+'District Calculations'!$D$11),5)</f>
        <v>4.1099999999999999E-3</v>
      </c>
      <c r="S90" s="11">
        <f t="shared" si="7"/>
        <v>1.8689600000000001E-2</v>
      </c>
      <c r="T90">
        <f>ROUND(IF(VLOOKUP($A90,EnrollData2324,'2324 Jun 24 Enroll'!D$1,FALSE)='District Calculations'!$D$11,VLOOKUP($A90,EnrollData2324,'2324 Jun 24 Enroll'!D$1,FALSE),'District Calculations'!$D$11)*S90,3)</f>
        <v>0</v>
      </c>
      <c r="U90">
        <f>ROUND(IF(VLOOKUP($A90,EnrollData2324,'2324 Jun 24 Enroll'!E$1,FALSE)='District Calculations'!$D$12,VLOOKUP($A90,EnrollData2324,'2324 Jun 24 Enroll'!E$1,FALSE),'District Calculations'!$D$12)*S90,3)</f>
        <v>15.148</v>
      </c>
      <c r="V90">
        <f>ROUND(IF(VLOOKUP($A90,EnrollData2324,'2324 Jun 24 Enroll'!F$1,FALSE)='District Calculations'!$D$13,VLOOKUP($A90,EnrollData2324,'2324 Jun 24 Enroll'!F$1,FALSE),'District Calculations'!$D$13)*Apport_224A2324s,3)</f>
        <v>3.7029999999999998</v>
      </c>
      <c r="W90">
        <f>ROUND(IF(VLOOKUP($A90,EnrollData2324,'2324 Jun 24 Enroll'!G$1,FALSE)='District Calculations'!$D$14,VLOOKUP($A90,EnrollData2324,'2324 Jun 24 Enroll'!G$1,FALSE),'District Calculations'!$D$14)*Apport_212A2324s,3)</f>
        <v>8.2089999999999996</v>
      </c>
      <c r="X90">
        <f>ROUND(IF(VLOOKUP($A90,EnrollData2324,'2324 Jun 24 Enroll'!H$1,FALSE)='District Calculations'!$D$14,VLOOKUP($A90,EnrollData2324,'2324 Jun 24 Enroll'!H$1,FALSE),'District Calculations'!$D$14)*Apport_215A2324s,3)</f>
        <v>8.0969999999999995</v>
      </c>
      <c r="Y90">
        <f>ROUND(IF(VLOOKUP($A90,EnrollData2324,'2324 Jun 24 Enroll'!I$1,FALSE)+VLOOKUP($A90,EnrollData2324,'2324 Jun 24 Enroll'!M$1,FALSE)-VLOOKUP($A90,EnrollData2324,'2324 Jun 24 Enroll'!J$1,FALSE)='District Calculations'!$D$16+'District Calculations'!$D$25-'District Calculations'!$D$17,VLOOKUP($A90,EnrollData2324,'2324 Jun 24 Enroll'!I$1,FALSE)+VLOOKUP($A90,EnrollData2324,'2324 Jun 24 Enroll'!M$1,FALSE)-VLOOKUP($A90,EnrollData2324,'2324 Jun 24 Enroll'!J$1,FALSE),'District Calculations'!$D$16+'District Calculations'!$D$25-'District Calculations'!$D$17)*Apport_218A2324s,3)</f>
        <v>20.224</v>
      </c>
      <c r="Z90">
        <f>ROUND(SUM(T90:Y90)/IF(VLOOKUP($A90,EnrollData2324,'2324 Jun 24 Enroll'!M$1,FALSE)+VLOOKUP($A90,EnrollData2324,'2324 Jun 24 Enroll'!D$1,FALSE)='District Calculations'!$D$25+'District Calculations'!$D$11,VLOOKUP($A90,EnrollData2324,'2324 Jun 24 Enroll'!M$1,FALSE)+VLOOKUP($A90,EnrollData2324,'2324 Jun 24 Enroll'!D$1,FALSE),'District Calculations'!$D$25+'District Calculations'!$D$11),5)</f>
        <v>1.7749999999999998E-2</v>
      </c>
      <c r="AA90" s="6" cm="1">
        <f t="array" ref="AA90">ROUND($J90*CIS_Base_Salary2324s*VLOOKUP($A90,EnrollData2324,'2324 Jun 24 Enroll'!S$1,FALSE),2)</f>
        <v>4038.59</v>
      </c>
      <c r="AB90" s="6" cm="1">
        <f t="array" ref="AB90">ROUND($J90*CIS_Inc_Salary2324s*(VLOOKUP($A90,EnrollData2324,'2324 Jun 24 Enroll'!T$1,FALSE)+VLOOKUP($A90,EnrollData2324,'2324 Jun 24 Enroll'!U$1,FALSE)),2)-AA90</f>
        <v>149.43000000000029</v>
      </c>
      <c r="AC90" s="6" cm="1">
        <f t="array" ref="AC90">ROUND($R90*CAS_Base_Salary2324s*VLOOKUP($A90,EnrollData2324,'2324 Jun 24 Enroll'!S$1,FALSE),2)</f>
        <v>443.7</v>
      </c>
      <c r="AD90" s="6" cm="1">
        <f t="array" ref="AD90">ROUND($R90*CAS_Inc_Salary2324s*VLOOKUP($A90,EnrollData2324,'2324 Jun 24 Enroll'!T$1,FALSE),2)-AC90</f>
        <v>16.410000000000025</v>
      </c>
      <c r="AE90" s="6" cm="1">
        <f t="array" ref="AE90">ROUND($Z90*CLS_Base_Salary2324s*VLOOKUP($A90,EnrollData2324,'2324 Jun 24 Enroll'!S$1,FALSE),2)</f>
        <v>926.07</v>
      </c>
      <c r="AF90" s="6" cm="1">
        <f t="array" ref="AF90">ROUND($Z90*CLS_Inc_Salary2324s*VLOOKUP($A90,EnrollData2324,'2324 Jun 24 Enroll'!T$1,FALSE),2)-AE90</f>
        <v>34.259999999999991</v>
      </c>
      <c r="AG90" cm="1">
        <f t="array" ref="AG90">ROUND(($J90+$R90)*Apport_124X2324s,2)</f>
        <v>734.29</v>
      </c>
      <c r="AH90" s="69">
        <f t="shared" si="8"/>
        <v>68.700000000000045</v>
      </c>
      <c r="AI90" cm="1">
        <f t="array" ref="AI90">ROUND($Z90*Apport_124X2324s,2)</f>
        <v>218.54</v>
      </c>
      <c r="AJ90" cm="1">
        <f t="array" ref="AJ90">ROUND($Z90*Apport_621X2324s*Apport_125X2324s,2)-AI90</f>
        <v>116.51000000000002</v>
      </c>
      <c r="AK90" cm="1">
        <f t="array" ref="AK90">ROUND((AA90+AC90)*Apport_126X2324s,2)</f>
        <v>805.47</v>
      </c>
      <c r="AL90" cm="1">
        <f t="array" ref="AL90">ROUND((AB90+AD90)*Apport_127X2324s,2)</f>
        <v>28.74</v>
      </c>
      <c r="AM90" cm="1">
        <f t="array" ref="AM90">ROUND(AE90*Apport_128X2324s,2)</f>
        <v>204.29</v>
      </c>
      <c r="AN90" cm="1">
        <f t="array" ref="AN90">ROUND(AF90*Apport_129X2324s,2)</f>
        <v>6.36</v>
      </c>
      <c r="AO90" cm="1">
        <f t="array" ref="AO90">ROUND(($J90*CIS_Inc_Salary2324s*(VLOOKUP($A90,EnrollData2324,'2324 Jun 24 Enroll'!T$1,FALSE)+VLOOKUP($A90,EnrollData2324,'2324 Jun 24 Enroll'!U$1,FALSE))/Apport_613Xpd)*Apport_614Xpd,2)</f>
        <v>69.8</v>
      </c>
      <c r="AP90" cm="1">
        <f t="array" ref="AP90">ROUND(AO90*Apport_127X2324s,2)</f>
        <v>12.1</v>
      </c>
      <c r="AQ90">
        <f t="shared" si="9"/>
        <v>30.93</v>
      </c>
      <c r="AR90" s="6" cm="1">
        <f t="array" ref="AR90">ROUND((VLOOKUP($A90,EnrollData2324,'2324 Jun 24 Enroll'!D$1,FALSE)*Apport_M802324s+VLOOKUP($A90,EnrollData2324,'2324 Jun 24 Enroll'!M$1,FALSE)*Apport_M802324s+(VLOOKUP($A90,EnrollData2324,'2324 Jun 24 Enroll'!P$1,FALSE)+VLOOKUP($A90,EnrollData2324,'2324 Jun 24 Enroll'!Q$1,FALSE)+VLOOKUP($A90,EnrollData2324,'2324 Jun 24 Enroll'!R$1,FALSE)+VLOOKUP($A90,EnrollData2324,'2324 Jun 24 Enroll'!I$1,FALSE)+VLOOKUP($A90,EnrollData2324,'2324 Jun 24 Enroll'!N$1,FALSE)+VLOOKUP($A90,EnrollData2324,'2324 Jun 24 Enroll'!O$1,FALSE)+VLOOKUP($A90,EnrollData2324,'2324 Jun 24 Enroll'!K$1,FALSE)+VLOOKUP($A90,EnrollData2324,'2324 Jun 24 Enroll'!L$1,FALSE))*Apport_M812324s)/(VLOOKUP($A90,EnrollData2324,'2324 Jun 24 Enroll'!M$1,FALSE)+VLOOKUP($A90,EnrollData2324,'2324 Jun 24 Enroll'!D$1,FALSE)),2)</f>
        <v>1582.09</v>
      </c>
      <c r="AS90" s="7">
        <f t="shared" si="11"/>
        <v>9486.2800000000007</v>
      </c>
    </row>
    <row r="91" spans="1:45">
      <c r="A91" s="40" t="s">
        <v>771</v>
      </c>
      <c r="B91" s="40" t="s">
        <v>772</v>
      </c>
      <c r="C91" s="11">
        <f>ROUND((IFERROR((1/IF(VLOOKUP($A91,EnrollData2324,28,FALSE)='District Calculations'!$D$10,VLOOKUP($A91,EnrollData2324,28,FALSE),'District Calculations'!$D$10))*(1+Apport_Z315),0))+Apport_201A2324s,6)</f>
        <v>7.3449E-2</v>
      </c>
      <c r="D91">
        <f>ROUND(IF(VLOOKUP($A91,EnrollData2324,'2324 Jun 24 Enroll'!D$1,FALSE)='District Calculations'!$D$11,VLOOKUP($A91,EnrollData2324,'2324 Jun 24 Enroll'!D$1,FALSE),'District Calculations'!$D$11)*C91,3)</f>
        <v>0</v>
      </c>
      <c r="E91">
        <f>ROUND(IF(VLOOKUP($A91,EnrollData2324,'2324 Jun 24 Enroll'!E$1,FALSE)='District Calculations'!$D$12,VLOOKUP($A91,EnrollData2324,'2324 Jun 24 Enroll'!E$1,FALSE),'District Calculations'!$D$12)*C91,3)</f>
        <v>59.53</v>
      </c>
      <c r="F91">
        <f>ROUND(IF(VLOOKUP($A91,EnrollData2324,'2324 Jun 24 Enroll'!F$1,FALSE)='District Calculations'!$D$13,VLOOKUP($A91,EnrollData2324,'2324 Jun 24 Enroll'!F$1,FALSE),'District Calculations'!$D$13)*Apport_222A2324s,3)</f>
        <v>10.101000000000001</v>
      </c>
      <c r="G91">
        <f>ROUND(IF(VLOOKUP($A91,EnrollData2324,'2324 Jun 24 Enroll'!G$1,FALSE)='District Calculations'!$D$14,VLOOKUP($A91,EnrollData2324,'2324 Jun 24 Enroll'!G$1,FALSE),'District Calculations'!$D$14)*Apport_210A2324s,3)</f>
        <v>22.395</v>
      </c>
      <c r="H91">
        <f>ROUND(IF(VLOOKUP($A91,EnrollData2324,'2324 Jun 24 Enroll'!H$1,FALSE)='District Calculations'!$D$15,VLOOKUP($A91,EnrollData2324,'2324 Jun 24 Enroll'!H$1,FALSE),'District Calculations'!$D$15)*Apport_213A2324s,3)</f>
        <v>23.091999999999999</v>
      </c>
      <c r="I91">
        <f>ROUND(IF(VLOOKUP($A91,EnrollData2324,'2324 Jun 24 Enroll'!I$1,FALSE)+VLOOKUP($A91,EnrollData2324,'2324 Jun 24 Enroll'!M$1,FALSE)-VLOOKUP($A91,EnrollData2324,'2324 Jun 24 Enroll'!J$1,FALSE)='District Calculations'!$D$16+'District Calculations'!$D$25-'District Calculations'!$D$17,VLOOKUP($A91,EnrollData2324,'2324 Jun 24 Enroll'!I$1,FALSE)+VLOOKUP($A91,EnrollData2324,'2324 Jun 24 Enroll'!M$1,FALSE)-VLOOKUP($A91,EnrollData2324,'2324 Jun 24 Enroll'!J$1,FALSE),'District Calculations'!$D$16+'District Calculations'!$D$25-'District Calculations'!$D$17)*Apport_216A2324s,3)</f>
        <v>58.183999999999997</v>
      </c>
      <c r="J91">
        <f>ROUND(SUM(D91:I91)/(IF(VLOOKUP($A91,EnrollData2324,'2324 Jun 24 Enroll'!M$1,FALSE)='District Calculations'!$D$25,VLOOKUP($A91,EnrollData2324,'2324 Jun 24 Enroll'!M$1,FALSE),'District Calculations'!$D$25)+IF(VLOOKUP($A91,EnrollData2324,'2324 Jun 24 Enroll'!D$1,FALSE)='District Calculations'!$D$11,VLOOKUP($A91,EnrollData2324,'2324 Jun 24 Enroll'!D$1,FALSE),'District Calculations'!$D$11)),5)</f>
        <v>5.5530000000000003E-2</v>
      </c>
      <c r="K91" s="11">
        <f t="shared" si="6"/>
        <v>4.3699999999999998E-3</v>
      </c>
      <c r="L91">
        <f>ROUND(IF(VLOOKUP($A91,EnrollData2324,'2324 Jun 24 Enroll'!D$1,FALSE)='District Calculations'!$D$11,VLOOKUP($A91,EnrollData2324,'2324 Jun 24 Enroll'!D$1,FALSE),'District Calculations'!$D$11)*K91,3)</f>
        <v>0</v>
      </c>
      <c r="M91">
        <f>ROUND(IF(VLOOKUP($A91,EnrollData2324,'2324 Jun 24 Enroll'!E$1,FALSE)='District Calculations'!$D$12,VLOOKUP($A91,EnrollData2324,'2324 Jun 24 Enroll'!E$1,FALSE),'District Calculations'!$D$12)*K91,3)</f>
        <v>3.5419999999999998</v>
      </c>
      <c r="N91">
        <f>ROUND(IF(VLOOKUP($A91,EnrollData2324,'2324 Jun 24 Enroll'!F$1,FALSE)='District Calculations'!$D$13,VLOOKUP($A91,EnrollData2324,'2324 Jun 24 Enroll'!F$1,FALSE),'District Calculations'!$D$13)*Apport_223A2324s,3)</f>
        <v>0.84299999999999997</v>
      </c>
      <c r="O91">
        <f>ROUND(IF(VLOOKUP($A91,EnrollData2324,'2324 Jun 24 Enroll'!G$1,FALSE)='District Calculations'!$D$14,VLOOKUP($A91,EnrollData2324,'2324 Jun 24 Enroll'!G$1,FALSE),'District Calculations'!$D$14)*Apport_211A2324s,3)</f>
        <v>1.87</v>
      </c>
      <c r="P91">
        <f>ROUND(IF(VLOOKUP($A91,EnrollData2324,'2324 Jun 24 Enroll'!H$1,FALSE)='District Calculations'!$D$14,VLOOKUP($A91,EnrollData2324,'2324 Jun 24 Enroll'!H$1,FALSE),'District Calculations'!$D$14)*Apport_214A2324s,3)</f>
        <v>1.8680000000000001</v>
      </c>
      <c r="Q91">
        <f>ROUND(IF(VLOOKUP($A91,EnrollData2324,'2324 Jun 24 Enroll'!I$1,FALSE)+VLOOKUP($A91,EnrollData2324,'2324 Jun 24 Enroll'!M$1,FALSE)-VLOOKUP($A91,EnrollData2324,'2324 Jun 24 Enroll'!J$1,FALSE)='District Calculations'!$D$16+'District Calculations'!$D$25-'District Calculations'!$D$17,VLOOKUP($A91,EnrollData2324,'2324 Jun 24 Enroll'!I$1,FALSE)+VLOOKUP($A91,EnrollData2324,'2324 Jun 24 Enroll'!M$1,FALSE)-VLOOKUP($A91,EnrollData2324,'2324 Jun 24 Enroll'!J$1,FALSE),'District Calculations'!$D$16+'District Calculations'!$D$25-'District Calculations'!$D$17)*Apport_217A2324s,3)</f>
        <v>4.702</v>
      </c>
      <c r="R91">
        <f>ROUND(SUM(L91:Q91)/IF(VLOOKUP($A91,EnrollData2324,'2324 Jun 24 Enroll'!M$1,FALSE)+VLOOKUP($A91,EnrollData2324,'2324 Jun 24 Enroll'!D$1,FALSE)='District Calculations'!$D$25+'District Calculations'!$D$11,VLOOKUP($A91,EnrollData2324,'2324 Jun 24 Enroll'!M$1,FALSE)+VLOOKUP($A91,EnrollData2324,'2324 Jun 24 Enroll'!D$1,FALSE),'District Calculations'!$D$25+'District Calculations'!$D$11),5)</f>
        <v>4.1099999999999999E-3</v>
      </c>
      <c r="S91" s="11">
        <f t="shared" si="7"/>
        <v>1.8689600000000001E-2</v>
      </c>
      <c r="T91">
        <f>ROUND(IF(VLOOKUP($A91,EnrollData2324,'2324 Jun 24 Enroll'!D$1,FALSE)='District Calculations'!$D$11,VLOOKUP($A91,EnrollData2324,'2324 Jun 24 Enroll'!D$1,FALSE),'District Calculations'!$D$11)*S91,3)</f>
        <v>0</v>
      </c>
      <c r="U91">
        <f>ROUND(IF(VLOOKUP($A91,EnrollData2324,'2324 Jun 24 Enroll'!E$1,FALSE)='District Calculations'!$D$12,VLOOKUP($A91,EnrollData2324,'2324 Jun 24 Enroll'!E$1,FALSE),'District Calculations'!$D$12)*S91,3)</f>
        <v>15.148</v>
      </c>
      <c r="V91">
        <f>ROUND(IF(VLOOKUP($A91,EnrollData2324,'2324 Jun 24 Enroll'!F$1,FALSE)='District Calculations'!$D$13,VLOOKUP($A91,EnrollData2324,'2324 Jun 24 Enroll'!F$1,FALSE),'District Calculations'!$D$13)*Apport_224A2324s,3)</f>
        <v>3.7029999999999998</v>
      </c>
      <c r="W91">
        <f>ROUND(IF(VLOOKUP($A91,EnrollData2324,'2324 Jun 24 Enroll'!G$1,FALSE)='District Calculations'!$D$14,VLOOKUP($A91,EnrollData2324,'2324 Jun 24 Enroll'!G$1,FALSE),'District Calculations'!$D$14)*Apport_212A2324s,3)</f>
        <v>8.2089999999999996</v>
      </c>
      <c r="X91">
        <f>ROUND(IF(VLOOKUP($A91,EnrollData2324,'2324 Jun 24 Enroll'!H$1,FALSE)='District Calculations'!$D$14,VLOOKUP($A91,EnrollData2324,'2324 Jun 24 Enroll'!H$1,FALSE),'District Calculations'!$D$14)*Apport_215A2324s,3)</f>
        <v>8.0969999999999995</v>
      </c>
      <c r="Y91">
        <f>ROUND(IF(VLOOKUP($A91,EnrollData2324,'2324 Jun 24 Enroll'!I$1,FALSE)+VLOOKUP($A91,EnrollData2324,'2324 Jun 24 Enroll'!M$1,FALSE)-VLOOKUP($A91,EnrollData2324,'2324 Jun 24 Enroll'!J$1,FALSE)='District Calculations'!$D$16+'District Calculations'!$D$25-'District Calculations'!$D$17,VLOOKUP($A91,EnrollData2324,'2324 Jun 24 Enroll'!I$1,FALSE)+VLOOKUP($A91,EnrollData2324,'2324 Jun 24 Enroll'!M$1,FALSE)-VLOOKUP($A91,EnrollData2324,'2324 Jun 24 Enroll'!J$1,FALSE),'District Calculations'!$D$16+'District Calculations'!$D$25-'District Calculations'!$D$17)*Apport_218A2324s,3)</f>
        <v>20.224</v>
      </c>
      <c r="Z91">
        <f>ROUND(SUM(T91:Y91)/IF(VLOOKUP($A91,EnrollData2324,'2324 Jun 24 Enroll'!M$1,FALSE)+VLOOKUP($A91,EnrollData2324,'2324 Jun 24 Enroll'!D$1,FALSE)='District Calculations'!$D$25+'District Calculations'!$D$11,VLOOKUP($A91,EnrollData2324,'2324 Jun 24 Enroll'!M$1,FALSE)+VLOOKUP($A91,EnrollData2324,'2324 Jun 24 Enroll'!D$1,FALSE),'District Calculations'!$D$25+'District Calculations'!$D$11),5)</f>
        <v>1.7749999999999998E-2</v>
      </c>
      <c r="AA91" s="6" cm="1">
        <f t="array" ref="AA91">ROUND($J91*CIS_Base_Salary2324s*VLOOKUP($A91,EnrollData2324,'2324 Jun 24 Enroll'!S$1,FALSE),2)</f>
        <v>4038.59</v>
      </c>
      <c r="AB91" s="6" cm="1">
        <f t="array" ref="AB91">ROUND($J91*CIS_Inc_Salary2324s*(VLOOKUP($A91,EnrollData2324,'2324 Jun 24 Enroll'!T$1,FALSE)+VLOOKUP($A91,EnrollData2324,'2324 Jun 24 Enroll'!U$1,FALSE)),2)-AA91</f>
        <v>149.43000000000029</v>
      </c>
      <c r="AC91" s="6" cm="1">
        <f t="array" ref="AC91">ROUND($R91*CAS_Base_Salary2324s*VLOOKUP($A91,EnrollData2324,'2324 Jun 24 Enroll'!S$1,FALSE),2)</f>
        <v>443.7</v>
      </c>
      <c r="AD91" s="6" cm="1">
        <f t="array" ref="AD91">ROUND($R91*CAS_Inc_Salary2324s*VLOOKUP($A91,EnrollData2324,'2324 Jun 24 Enroll'!T$1,FALSE),2)-AC91</f>
        <v>16.410000000000025</v>
      </c>
      <c r="AE91" s="6" cm="1">
        <f t="array" ref="AE91">ROUND($Z91*CLS_Base_Salary2324s*VLOOKUP($A91,EnrollData2324,'2324 Jun 24 Enroll'!S$1,FALSE),2)</f>
        <v>926.07</v>
      </c>
      <c r="AF91" s="6" cm="1">
        <f t="array" ref="AF91">ROUND($Z91*CLS_Inc_Salary2324s*VLOOKUP($A91,EnrollData2324,'2324 Jun 24 Enroll'!T$1,FALSE),2)-AE91</f>
        <v>34.259999999999991</v>
      </c>
      <c r="AG91" cm="1">
        <f t="array" ref="AG91">ROUND(($J91+$R91)*Apport_124X2324s,2)</f>
        <v>734.29</v>
      </c>
      <c r="AH91" s="69">
        <f t="shared" si="8"/>
        <v>68.700000000000045</v>
      </c>
      <c r="AI91" cm="1">
        <f t="array" ref="AI91">ROUND($Z91*Apport_124X2324s,2)</f>
        <v>218.54</v>
      </c>
      <c r="AJ91" cm="1">
        <f t="array" ref="AJ91">ROUND($Z91*Apport_621X2324s*Apport_125X2324s,2)-AI91</f>
        <v>116.51000000000002</v>
      </c>
      <c r="AK91" cm="1">
        <f t="array" ref="AK91">ROUND((AA91+AC91)*Apport_126X2324s,2)</f>
        <v>805.47</v>
      </c>
      <c r="AL91" cm="1">
        <f t="array" ref="AL91">ROUND((AB91+AD91)*Apport_127X2324s,2)</f>
        <v>28.74</v>
      </c>
      <c r="AM91" cm="1">
        <f t="array" ref="AM91">ROUND(AE91*Apport_128X2324s,2)</f>
        <v>204.29</v>
      </c>
      <c r="AN91" cm="1">
        <f t="array" ref="AN91">ROUND(AF91*Apport_129X2324s,2)</f>
        <v>6.36</v>
      </c>
      <c r="AO91" cm="1">
        <f t="array" ref="AO91">ROUND(($J91*CIS_Inc_Salary2324s*(VLOOKUP($A91,EnrollData2324,'2324 Jun 24 Enroll'!T$1,FALSE)+VLOOKUP($A91,EnrollData2324,'2324 Jun 24 Enroll'!U$1,FALSE))/Apport_613Xpd)*Apport_614Xpd,2)</f>
        <v>69.8</v>
      </c>
      <c r="AP91" cm="1">
        <f t="array" ref="AP91">ROUND(AO91*Apport_127X2324s,2)</f>
        <v>12.1</v>
      </c>
      <c r="AQ91">
        <f t="shared" si="9"/>
        <v>30.93</v>
      </c>
      <c r="AR91" s="6" cm="1">
        <f t="array" ref="AR91">ROUND((VLOOKUP($A91,EnrollData2324,'2324 Jun 24 Enroll'!D$1,FALSE)*Apport_M802324s+VLOOKUP($A91,EnrollData2324,'2324 Jun 24 Enroll'!M$1,FALSE)*Apport_M802324s+(VLOOKUP($A91,EnrollData2324,'2324 Jun 24 Enroll'!P$1,FALSE)+VLOOKUP($A91,EnrollData2324,'2324 Jun 24 Enroll'!Q$1,FALSE)+VLOOKUP($A91,EnrollData2324,'2324 Jun 24 Enroll'!R$1,FALSE)+VLOOKUP($A91,EnrollData2324,'2324 Jun 24 Enroll'!I$1,FALSE)+VLOOKUP($A91,EnrollData2324,'2324 Jun 24 Enroll'!N$1,FALSE)+VLOOKUP($A91,EnrollData2324,'2324 Jun 24 Enroll'!O$1,FALSE)+VLOOKUP($A91,EnrollData2324,'2324 Jun 24 Enroll'!K$1,FALSE)+VLOOKUP($A91,EnrollData2324,'2324 Jun 24 Enroll'!L$1,FALSE))*Apport_M812324s)/(VLOOKUP($A91,EnrollData2324,'2324 Jun 24 Enroll'!M$1,FALSE)+VLOOKUP($A91,EnrollData2324,'2324 Jun 24 Enroll'!D$1,FALSE)),2)</f>
        <v>1557.21</v>
      </c>
      <c r="AS91" s="7">
        <f t="shared" si="11"/>
        <v>9461.4000000000015</v>
      </c>
    </row>
    <row r="92" spans="1:45">
      <c r="A92" s="40" t="s">
        <v>741</v>
      </c>
      <c r="B92" s="40" t="s">
        <v>742</v>
      </c>
      <c r="C92" s="11">
        <f>ROUND((IFERROR((1/IF(VLOOKUP($A92,EnrollData2324,28,FALSE)='District Calculations'!$D$10,VLOOKUP($A92,EnrollData2324,28,FALSE),'District Calculations'!$D$10))*(1+Apport_Z315),0))+Apport_201A2324s,6)</f>
        <v>7.3449E-2</v>
      </c>
      <c r="D92">
        <f>ROUND(IF(VLOOKUP($A92,EnrollData2324,'2324 Jun 24 Enroll'!D$1,FALSE)='District Calculations'!$D$11,VLOOKUP($A92,EnrollData2324,'2324 Jun 24 Enroll'!D$1,FALSE),'District Calculations'!$D$11)*C92,3)</f>
        <v>0</v>
      </c>
      <c r="E92">
        <f>ROUND(IF(VLOOKUP($A92,EnrollData2324,'2324 Jun 24 Enroll'!E$1,FALSE)='District Calculations'!$D$12,VLOOKUP($A92,EnrollData2324,'2324 Jun 24 Enroll'!E$1,FALSE),'District Calculations'!$D$12)*C92,3)</f>
        <v>59.53</v>
      </c>
      <c r="F92">
        <f>ROUND(IF(VLOOKUP($A92,EnrollData2324,'2324 Jun 24 Enroll'!F$1,FALSE)='District Calculations'!$D$13,VLOOKUP($A92,EnrollData2324,'2324 Jun 24 Enroll'!F$1,FALSE),'District Calculations'!$D$13)*Apport_222A2324s,3)</f>
        <v>10.101000000000001</v>
      </c>
      <c r="G92">
        <f>ROUND(IF(VLOOKUP($A92,EnrollData2324,'2324 Jun 24 Enroll'!G$1,FALSE)='District Calculations'!$D$14,VLOOKUP($A92,EnrollData2324,'2324 Jun 24 Enroll'!G$1,FALSE),'District Calculations'!$D$14)*Apport_210A2324s,3)</f>
        <v>22.395</v>
      </c>
      <c r="H92">
        <f>ROUND(IF(VLOOKUP($A92,EnrollData2324,'2324 Jun 24 Enroll'!H$1,FALSE)='District Calculations'!$D$15,VLOOKUP($A92,EnrollData2324,'2324 Jun 24 Enroll'!H$1,FALSE),'District Calculations'!$D$15)*Apport_213A2324s,3)</f>
        <v>23.091999999999999</v>
      </c>
      <c r="I92">
        <f>ROUND(IF(VLOOKUP($A92,EnrollData2324,'2324 Jun 24 Enroll'!I$1,FALSE)+VLOOKUP($A92,EnrollData2324,'2324 Jun 24 Enroll'!M$1,FALSE)-VLOOKUP($A92,EnrollData2324,'2324 Jun 24 Enroll'!J$1,FALSE)='District Calculations'!$D$16+'District Calculations'!$D$25-'District Calculations'!$D$17,VLOOKUP($A92,EnrollData2324,'2324 Jun 24 Enroll'!I$1,FALSE)+VLOOKUP($A92,EnrollData2324,'2324 Jun 24 Enroll'!M$1,FALSE)-VLOOKUP($A92,EnrollData2324,'2324 Jun 24 Enroll'!J$1,FALSE),'District Calculations'!$D$16+'District Calculations'!$D$25-'District Calculations'!$D$17)*Apport_216A2324s,3)</f>
        <v>58.183999999999997</v>
      </c>
      <c r="J92">
        <f>ROUND(SUM(D92:I92)/(IF(VLOOKUP($A92,EnrollData2324,'2324 Jun 24 Enroll'!M$1,FALSE)='District Calculations'!$D$25,VLOOKUP($A92,EnrollData2324,'2324 Jun 24 Enroll'!M$1,FALSE),'District Calculations'!$D$25)+IF(VLOOKUP($A92,EnrollData2324,'2324 Jun 24 Enroll'!D$1,FALSE)='District Calculations'!$D$11,VLOOKUP($A92,EnrollData2324,'2324 Jun 24 Enroll'!D$1,FALSE),'District Calculations'!$D$11)),5)</f>
        <v>5.5530000000000003E-2</v>
      </c>
      <c r="K92" s="11">
        <f t="shared" si="6"/>
        <v>4.3699999999999998E-3</v>
      </c>
      <c r="L92">
        <f>ROUND(IF(VLOOKUP($A92,EnrollData2324,'2324 Jun 24 Enroll'!D$1,FALSE)='District Calculations'!$D$11,VLOOKUP($A92,EnrollData2324,'2324 Jun 24 Enroll'!D$1,FALSE),'District Calculations'!$D$11)*K92,3)</f>
        <v>0</v>
      </c>
      <c r="M92">
        <f>ROUND(IF(VLOOKUP($A92,EnrollData2324,'2324 Jun 24 Enroll'!E$1,FALSE)='District Calculations'!$D$12,VLOOKUP($A92,EnrollData2324,'2324 Jun 24 Enroll'!E$1,FALSE),'District Calculations'!$D$12)*K92,3)</f>
        <v>3.5419999999999998</v>
      </c>
      <c r="N92">
        <f>ROUND(IF(VLOOKUP($A92,EnrollData2324,'2324 Jun 24 Enroll'!F$1,FALSE)='District Calculations'!$D$13,VLOOKUP($A92,EnrollData2324,'2324 Jun 24 Enroll'!F$1,FALSE),'District Calculations'!$D$13)*Apport_223A2324s,3)</f>
        <v>0.84299999999999997</v>
      </c>
      <c r="O92">
        <f>ROUND(IF(VLOOKUP($A92,EnrollData2324,'2324 Jun 24 Enroll'!G$1,FALSE)='District Calculations'!$D$14,VLOOKUP($A92,EnrollData2324,'2324 Jun 24 Enroll'!G$1,FALSE),'District Calculations'!$D$14)*Apport_211A2324s,3)</f>
        <v>1.87</v>
      </c>
      <c r="P92">
        <f>ROUND(IF(VLOOKUP($A92,EnrollData2324,'2324 Jun 24 Enroll'!H$1,FALSE)='District Calculations'!$D$14,VLOOKUP($A92,EnrollData2324,'2324 Jun 24 Enroll'!H$1,FALSE),'District Calculations'!$D$14)*Apport_214A2324s,3)</f>
        <v>1.8680000000000001</v>
      </c>
      <c r="Q92">
        <f>ROUND(IF(VLOOKUP($A92,EnrollData2324,'2324 Jun 24 Enroll'!I$1,FALSE)+VLOOKUP($A92,EnrollData2324,'2324 Jun 24 Enroll'!M$1,FALSE)-VLOOKUP($A92,EnrollData2324,'2324 Jun 24 Enroll'!J$1,FALSE)='District Calculations'!$D$16+'District Calculations'!$D$25-'District Calculations'!$D$17,VLOOKUP($A92,EnrollData2324,'2324 Jun 24 Enroll'!I$1,FALSE)+VLOOKUP($A92,EnrollData2324,'2324 Jun 24 Enroll'!M$1,FALSE)-VLOOKUP($A92,EnrollData2324,'2324 Jun 24 Enroll'!J$1,FALSE),'District Calculations'!$D$16+'District Calculations'!$D$25-'District Calculations'!$D$17)*Apport_217A2324s,3)</f>
        <v>4.702</v>
      </c>
      <c r="R92">
        <f>ROUND(SUM(L92:Q92)/IF(VLOOKUP($A92,EnrollData2324,'2324 Jun 24 Enroll'!M$1,FALSE)+VLOOKUP($A92,EnrollData2324,'2324 Jun 24 Enroll'!D$1,FALSE)='District Calculations'!$D$25+'District Calculations'!$D$11,VLOOKUP($A92,EnrollData2324,'2324 Jun 24 Enroll'!M$1,FALSE)+VLOOKUP($A92,EnrollData2324,'2324 Jun 24 Enroll'!D$1,FALSE),'District Calculations'!$D$25+'District Calculations'!$D$11),5)</f>
        <v>4.1099999999999999E-3</v>
      </c>
      <c r="S92" s="11">
        <f t="shared" si="7"/>
        <v>1.8689600000000001E-2</v>
      </c>
      <c r="T92">
        <f>ROUND(IF(VLOOKUP($A92,EnrollData2324,'2324 Jun 24 Enroll'!D$1,FALSE)='District Calculations'!$D$11,VLOOKUP($A92,EnrollData2324,'2324 Jun 24 Enroll'!D$1,FALSE),'District Calculations'!$D$11)*S92,3)</f>
        <v>0</v>
      </c>
      <c r="U92">
        <f>ROUND(IF(VLOOKUP($A92,EnrollData2324,'2324 Jun 24 Enroll'!E$1,FALSE)='District Calculations'!$D$12,VLOOKUP($A92,EnrollData2324,'2324 Jun 24 Enroll'!E$1,FALSE),'District Calculations'!$D$12)*S92,3)</f>
        <v>15.148</v>
      </c>
      <c r="V92">
        <f>ROUND(IF(VLOOKUP($A92,EnrollData2324,'2324 Jun 24 Enroll'!F$1,FALSE)='District Calculations'!$D$13,VLOOKUP($A92,EnrollData2324,'2324 Jun 24 Enroll'!F$1,FALSE),'District Calculations'!$D$13)*Apport_224A2324s,3)</f>
        <v>3.7029999999999998</v>
      </c>
      <c r="W92">
        <f>ROUND(IF(VLOOKUP($A92,EnrollData2324,'2324 Jun 24 Enroll'!G$1,FALSE)='District Calculations'!$D$14,VLOOKUP($A92,EnrollData2324,'2324 Jun 24 Enroll'!G$1,FALSE),'District Calculations'!$D$14)*Apport_212A2324s,3)</f>
        <v>8.2089999999999996</v>
      </c>
      <c r="X92">
        <f>ROUND(IF(VLOOKUP($A92,EnrollData2324,'2324 Jun 24 Enroll'!H$1,FALSE)='District Calculations'!$D$14,VLOOKUP($A92,EnrollData2324,'2324 Jun 24 Enroll'!H$1,FALSE),'District Calculations'!$D$14)*Apport_215A2324s,3)</f>
        <v>8.0969999999999995</v>
      </c>
      <c r="Y92">
        <f>ROUND(IF(VLOOKUP($A92,EnrollData2324,'2324 Jun 24 Enroll'!I$1,FALSE)+VLOOKUP($A92,EnrollData2324,'2324 Jun 24 Enroll'!M$1,FALSE)-VLOOKUP($A92,EnrollData2324,'2324 Jun 24 Enroll'!J$1,FALSE)='District Calculations'!$D$16+'District Calculations'!$D$25-'District Calculations'!$D$17,VLOOKUP($A92,EnrollData2324,'2324 Jun 24 Enroll'!I$1,FALSE)+VLOOKUP($A92,EnrollData2324,'2324 Jun 24 Enroll'!M$1,FALSE)-VLOOKUP($A92,EnrollData2324,'2324 Jun 24 Enroll'!J$1,FALSE),'District Calculations'!$D$16+'District Calculations'!$D$25-'District Calculations'!$D$17)*Apport_218A2324s,3)</f>
        <v>20.224</v>
      </c>
      <c r="Z92">
        <f>ROUND(SUM(T92:Y92)/IF(VLOOKUP($A92,EnrollData2324,'2324 Jun 24 Enroll'!M$1,FALSE)+VLOOKUP($A92,EnrollData2324,'2324 Jun 24 Enroll'!D$1,FALSE)='District Calculations'!$D$25+'District Calculations'!$D$11,VLOOKUP($A92,EnrollData2324,'2324 Jun 24 Enroll'!M$1,FALSE)+VLOOKUP($A92,EnrollData2324,'2324 Jun 24 Enroll'!D$1,FALSE),'District Calculations'!$D$25+'District Calculations'!$D$11),5)</f>
        <v>1.7749999999999998E-2</v>
      </c>
      <c r="AA92" s="6" cm="1">
        <f t="array" ref="AA92">ROUND($J92*CIS_Base_Salary2324s*VLOOKUP($A92,EnrollData2324,'2324 Jun 24 Enroll'!S$1,FALSE),2)</f>
        <v>4038.59</v>
      </c>
      <c r="AB92" s="6" cm="1">
        <f t="array" ref="AB92">ROUND($J92*CIS_Inc_Salary2324s*(VLOOKUP($A92,EnrollData2324,'2324 Jun 24 Enroll'!T$1,FALSE)+VLOOKUP($A92,EnrollData2324,'2324 Jun 24 Enroll'!U$1,FALSE)),2)-AA92</f>
        <v>149.43000000000029</v>
      </c>
      <c r="AC92" s="6" cm="1">
        <f t="array" ref="AC92">ROUND($R92*CAS_Base_Salary2324s*VLOOKUP($A92,EnrollData2324,'2324 Jun 24 Enroll'!S$1,FALSE),2)</f>
        <v>443.7</v>
      </c>
      <c r="AD92" s="6" cm="1">
        <f t="array" ref="AD92">ROUND($R92*CAS_Inc_Salary2324s*VLOOKUP($A92,EnrollData2324,'2324 Jun 24 Enroll'!T$1,FALSE),2)-AC92</f>
        <v>16.410000000000025</v>
      </c>
      <c r="AE92" s="6" cm="1">
        <f t="array" ref="AE92">ROUND($Z92*CLS_Base_Salary2324s*VLOOKUP($A92,EnrollData2324,'2324 Jun 24 Enroll'!S$1,FALSE),2)</f>
        <v>926.07</v>
      </c>
      <c r="AF92" s="6" cm="1">
        <f t="array" ref="AF92">ROUND($Z92*CLS_Inc_Salary2324s*VLOOKUP($A92,EnrollData2324,'2324 Jun 24 Enroll'!T$1,FALSE),2)-AE92</f>
        <v>34.259999999999991</v>
      </c>
      <c r="AG92" cm="1">
        <f t="array" ref="AG92">ROUND(($J92+$R92)*Apport_124X2324s,2)</f>
        <v>734.29</v>
      </c>
      <c r="AH92" s="69">
        <f t="shared" si="8"/>
        <v>68.700000000000045</v>
      </c>
      <c r="AI92" cm="1">
        <f t="array" ref="AI92">ROUND($Z92*Apport_124X2324s,2)</f>
        <v>218.54</v>
      </c>
      <c r="AJ92" cm="1">
        <f t="array" ref="AJ92">ROUND($Z92*Apport_621X2324s*Apport_125X2324s,2)-AI92</f>
        <v>116.51000000000002</v>
      </c>
      <c r="AK92" cm="1">
        <f t="array" ref="AK92">ROUND((AA92+AC92)*Apport_126X2324s,2)</f>
        <v>805.47</v>
      </c>
      <c r="AL92" cm="1">
        <f t="array" ref="AL92">ROUND((AB92+AD92)*Apport_127X2324s,2)</f>
        <v>28.74</v>
      </c>
      <c r="AM92" cm="1">
        <f t="array" ref="AM92">ROUND(AE92*Apport_128X2324s,2)</f>
        <v>204.29</v>
      </c>
      <c r="AN92" cm="1">
        <f t="array" ref="AN92">ROUND(AF92*Apport_129X2324s,2)</f>
        <v>6.36</v>
      </c>
      <c r="AO92" cm="1">
        <f t="array" ref="AO92">ROUND(($J92*CIS_Inc_Salary2324s*(VLOOKUP($A92,EnrollData2324,'2324 Jun 24 Enroll'!T$1,FALSE)+VLOOKUP($A92,EnrollData2324,'2324 Jun 24 Enroll'!U$1,FALSE))/Apport_613Xpd)*Apport_614Xpd,2)</f>
        <v>69.8</v>
      </c>
      <c r="AP92" cm="1">
        <f t="array" ref="AP92">ROUND(AO92*Apport_127X2324s,2)</f>
        <v>12.1</v>
      </c>
      <c r="AQ92">
        <f t="shared" si="9"/>
        <v>30.93</v>
      </c>
      <c r="AR92" s="6" cm="1">
        <f t="array" ref="AR92">ROUND((VLOOKUP($A92,EnrollData2324,'2324 Jun 24 Enroll'!D$1,FALSE)*Apport_M802324s+VLOOKUP($A92,EnrollData2324,'2324 Jun 24 Enroll'!M$1,FALSE)*Apport_M802324s+(VLOOKUP($A92,EnrollData2324,'2324 Jun 24 Enroll'!P$1,FALSE)+VLOOKUP($A92,EnrollData2324,'2324 Jun 24 Enroll'!Q$1,FALSE)+VLOOKUP($A92,EnrollData2324,'2324 Jun 24 Enroll'!R$1,FALSE)+VLOOKUP($A92,EnrollData2324,'2324 Jun 24 Enroll'!I$1,FALSE)+VLOOKUP($A92,EnrollData2324,'2324 Jun 24 Enroll'!N$1,FALSE)+VLOOKUP($A92,EnrollData2324,'2324 Jun 24 Enroll'!O$1,FALSE)+VLOOKUP($A92,EnrollData2324,'2324 Jun 24 Enroll'!K$1,FALSE)+VLOOKUP($A92,EnrollData2324,'2324 Jun 24 Enroll'!L$1,FALSE))*Apport_M812324s)/(VLOOKUP($A92,EnrollData2324,'2324 Jun 24 Enroll'!M$1,FALSE)+VLOOKUP($A92,EnrollData2324,'2324 Jun 24 Enroll'!D$1,FALSE)),2)</f>
        <v>1569.64</v>
      </c>
      <c r="AS92" s="7">
        <f t="shared" si="11"/>
        <v>9473.83</v>
      </c>
    </row>
    <row r="93" spans="1:45">
      <c r="A93" s="40" t="s">
        <v>600</v>
      </c>
      <c r="B93" s="40" t="s">
        <v>601</v>
      </c>
      <c r="C93" s="11">
        <f>ROUND((IFERROR((1/IF(VLOOKUP($A93,EnrollData2324,28,FALSE)='District Calculations'!$D$10,VLOOKUP($A93,EnrollData2324,28,FALSE),'District Calculations'!$D$10))*(1+Apport_Z315),0))+Apport_201A2324s,6)</f>
        <v>7.3449E-2</v>
      </c>
      <c r="D93">
        <f>ROUND(IF(VLOOKUP($A93,EnrollData2324,'2324 Jun 24 Enroll'!D$1,FALSE)='District Calculations'!$D$11,VLOOKUP($A93,EnrollData2324,'2324 Jun 24 Enroll'!D$1,FALSE),'District Calculations'!$D$11)*C93,3)</f>
        <v>0</v>
      </c>
      <c r="E93">
        <f>ROUND(IF(VLOOKUP($A93,EnrollData2324,'2324 Jun 24 Enroll'!E$1,FALSE)='District Calculations'!$D$12,VLOOKUP($A93,EnrollData2324,'2324 Jun 24 Enroll'!E$1,FALSE),'District Calculations'!$D$12)*C93,3)</f>
        <v>59.53</v>
      </c>
      <c r="F93">
        <f>ROUND(IF(VLOOKUP($A93,EnrollData2324,'2324 Jun 24 Enroll'!F$1,FALSE)='District Calculations'!$D$13,VLOOKUP($A93,EnrollData2324,'2324 Jun 24 Enroll'!F$1,FALSE),'District Calculations'!$D$13)*Apport_222A2324s,3)</f>
        <v>10.101000000000001</v>
      </c>
      <c r="G93">
        <f>ROUND(IF(VLOOKUP($A93,EnrollData2324,'2324 Jun 24 Enroll'!G$1,FALSE)='District Calculations'!$D$14,VLOOKUP($A93,EnrollData2324,'2324 Jun 24 Enroll'!G$1,FALSE),'District Calculations'!$D$14)*Apport_210A2324s,3)</f>
        <v>22.395</v>
      </c>
      <c r="H93">
        <f>ROUND(IF(VLOOKUP($A93,EnrollData2324,'2324 Jun 24 Enroll'!H$1,FALSE)='District Calculations'!$D$15,VLOOKUP($A93,EnrollData2324,'2324 Jun 24 Enroll'!H$1,FALSE),'District Calculations'!$D$15)*Apport_213A2324s,3)</f>
        <v>23.091999999999999</v>
      </c>
      <c r="I93">
        <f>ROUND(IF(VLOOKUP($A93,EnrollData2324,'2324 Jun 24 Enroll'!I$1,FALSE)+VLOOKUP($A93,EnrollData2324,'2324 Jun 24 Enroll'!M$1,FALSE)-VLOOKUP($A93,EnrollData2324,'2324 Jun 24 Enroll'!J$1,FALSE)='District Calculations'!$D$16+'District Calculations'!$D$25-'District Calculations'!$D$17,VLOOKUP($A93,EnrollData2324,'2324 Jun 24 Enroll'!I$1,FALSE)+VLOOKUP($A93,EnrollData2324,'2324 Jun 24 Enroll'!M$1,FALSE)-VLOOKUP($A93,EnrollData2324,'2324 Jun 24 Enroll'!J$1,FALSE),'District Calculations'!$D$16+'District Calculations'!$D$25-'District Calculations'!$D$17)*Apport_216A2324s,3)</f>
        <v>58.183999999999997</v>
      </c>
      <c r="J93">
        <f>ROUND(SUM(D93:I93)/(IF(VLOOKUP($A93,EnrollData2324,'2324 Jun 24 Enroll'!M$1,FALSE)='District Calculations'!$D$25,VLOOKUP($A93,EnrollData2324,'2324 Jun 24 Enroll'!M$1,FALSE),'District Calculations'!$D$25)+IF(VLOOKUP($A93,EnrollData2324,'2324 Jun 24 Enroll'!D$1,FALSE)='District Calculations'!$D$11,VLOOKUP($A93,EnrollData2324,'2324 Jun 24 Enroll'!D$1,FALSE),'District Calculations'!$D$11)),5)</f>
        <v>5.5530000000000003E-2</v>
      </c>
      <c r="K93" s="11">
        <f t="shared" si="6"/>
        <v>4.3699999999999998E-3</v>
      </c>
      <c r="L93">
        <f>ROUND(IF(VLOOKUP($A93,EnrollData2324,'2324 Jun 24 Enroll'!D$1,FALSE)='District Calculations'!$D$11,VLOOKUP($A93,EnrollData2324,'2324 Jun 24 Enroll'!D$1,FALSE),'District Calculations'!$D$11)*K93,3)</f>
        <v>0</v>
      </c>
      <c r="M93">
        <f>ROUND(IF(VLOOKUP($A93,EnrollData2324,'2324 Jun 24 Enroll'!E$1,FALSE)='District Calculations'!$D$12,VLOOKUP($A93,EnrollData2324,'2324 Jun 24 Enroll'!E$1,FALSE),'District Calculations'!$D$12)*K93,3)</f>
        <v>3.5419999999999998</v>
      </c>
      <c r="N93">
        <f>ROUND(IF(VLOOKUP($A93,EnrollData2324,'2324 Jun 24 Enroll'!F$1,FALSE)='District Calculations'!$D$13,VLOOKUP($A93,EnrollData2324,'2324 Jun 24 Enroll'!F$1,FALSE),'District Calculations'!$D$13)*Apport_223A2324s,3)</f>
        <v>0.84299999999999997</v>
      </c>
      <c r="O93">
        <f>ROUND(IF(VLOOKUP($A93,EnrollData2324,'2324 Jun 24 Enroll'!G$1,FALSE)='District Calculations'!$D$14,VLOOKUP($A93,EnrollData2324,'2324 Jun 24 Enroll'!G$1,FALSE),'District Calculations'!$D$14)*Apport_211A2324s,3)</f>
        <v>1.87</v>
      </c>
      <c r="P93">
        <f>ROUND(IF(VLOOKUP($A93,EnrollData2324,'2324 Jun 24 Enroll'!H$1,FALSE)='District Calculations'!$D$14,VLOOKUP($A93,EnrollData2324,'2324 Jun 24 Enroll'!H$1,FALSE),'District Calculations'!$D$14)*Apport_214A2324s,3)</f>
        <v>1.8680000000000001</v>
      </c>
      <c r="Q93">
        <f>ROUND(IF(VLOOKUP($A93,EnrollData2324,'2324 Jun 24 Enroll'!I$1,FALSE)+VLOOKUP($A93,EnrollData2324,'2324 Jun 24 Enroll'!M$1,FALSE)-VLOOKUP($A93,EnrollData2324,'2324 Jun 24 Enroll'!J$1,FALSE)='District Calculations'!$D$16+'District Calculations'!$D$25-'District Calculations'!$D$17,VLOOKUP($A93,EnrollData2324,'2324 Jun 24 Enroll'!I$1,FALSE)+VLOOKUP($A93,EnrollData2324,'2324 Jun 24 Enroll'!M$1,FALSE)-VLOOKUP($A93,EnrollData2324,'2324 Jun 24 Enroll'!J$1,FALSE),'District Calculations'!$D$16+'District Calculations'!$D$25-'District Calculations'!$D$17)*Apport_217A2324s,3)</f>
        <v>4.702</v>
      </c>
      <c r="R93">
        <f>ROUND(SUM(L93:Q93)/IF(VLOOKUP($A93,EnrollData2324,'2324 Jun 24 Enroll'!M$1,FALSE)+VLOOKUP($A93,EnrollData2324,'2324 Jun 24 Enroll'!D$1,FALSE)='District Calculations'!$D$25+'District Calculations'!$D$11,VLOOKUP($A93,EnrollData2324,'2324 Jun 24 Enroll'!M$1,FALSE)+VLOOKUP($A93,EnrollData2324,'2324 Jun 24 Enroll'!D$1,FALSE),'District Calculations'!$D$25+'District Calculations'!$D$11),5)</f>
        <v>4.1099999999999999E-3</v>
      </c>
      <c r="S93" s="11">
        <f t="shared" si="7"/>
        <v>1.8689600000000001E-2</v>
      </c>
      <c r="T93">
        <f>ROUND(IF(VLOOKUP($A93,EnrollData2324,'2324 Jun 24 Enroll'!D$1,FALSE)='District Calculations'!$D$11,VLOOKUP($A93,EnrollData2324,'2324 Jun 24 Enroll'!D$1,FALSE),'District Calculations'!$D$11)*S93,3)</f>
        <v>0</v>
      </c>
      <c r="U93">
        <f>ROUND(IF(VLOOKUP($A93,EnrollData2324,'2324 Jun 24 Enroll'!E$1,FALSE)='District Calculations'!$D$12,VLOOKUP($A93,EnrollData2324,'2324 Jun 24 Enroll'!E$1,FALSE),'District Calculations'!$D$12)*S93,3)</f>
        <v>15.148</v>
      </c>
      <c r="V93">
        <f>ROUND(IF(VLOOKUP($A93,EnrollData2324,'2324 Jun 24 Enroll'!F$1,FALSE)='District Calculations'!$D$13,VLOOKUP($A93,EnrollData2324,'2324 Jun 24 Enroll'!F$1,FALSE),'District Calculations'!$D$13)*Apport_224A2324s,3)</f>
        <v>3.7029999999999998</v>
      </c>
      <c r="W93">
        <f>ROUND(IF(VLOOKUP($A93,EnrollData2324,'2324 Jun 24 Enroll'!G$1,FALSE)='District Calculations'!$D$14,VLOOKUP($A93,EnrollData2324,'2324 Jun 24 Enroll'!G$1,FALSE),'District Calculations'!$D$14)*Apport_212A2324s,3)</f>
        <v>8.2089999999999996</v>
      </c>
      <c r="X93">
        <f>ROUND(IF(VLOOKUP($A93,EnrollData2324,'2324 Jun 24 Enroll'!H$1,FALSE)='District Calculations'!$D$14,VLOOKUP($A93,EnrollData2324,'2324 Jun 24 Enroll'!H$1,FALSE),'District Calculations'!$D$14)*Apport_215A2324s,3)</f>
        <v>8.0969999999999995</v>
      </c>
      <c r="Y93">
        <f>ROUND(IF(VLOOKUP($A93,EnrollData2324,'2324 Jun 24 Enroll'!I$1,FALSE)+VLOOKUP($A93,EnrollData2324,'2324 Jun 24 Enroll'!M$1,FALSE)-VLOOKUP($A93,EnrollData2324,'2324 Jun 24 Enroll'!J$1,FALSE)='District Calculations'!$D$16+'District Calculations'!$D$25-'District Calculations'!$D$17,VLOOKUP($A93,EnrollData2324,'2324 Jun 24 Enroll'!I$1,FALSE)+VLOOKUP($A93,EnrollData2324,'2324 Jun 24 Enroll'!M$1,FALSE)-VLOOKUP($A93,EnrollData2324,'2324 Jun 24 Enroll'!J$1,FALSE),'District Calculations'!$D$16+'District Calculations'!$D$25-'District Calculations'!$D$17)*Apport_218A2324s,3)</f>
        <v>20.224</v>
      </c>
      <c r="Z93">
        <f>ROUND(SUM(T93:Y93)/IF(VLOOKUP($A93,EnrollData2324,'2324 Jun 24 Enroll'!M$1,FALSE)+VLOOKUP($A93,EnrollData2324,'2324 Jun 24 Enroll'!D$1,FALSE)='District Calculations'!$D$25+'District Calculations'!$D$11,VLOOKUP($A93,EnrollData2324,'2324 Jun 24 Enroll'!M$1,FALSE)+VLOOKUP($A93,EnrollData2324,'2324 Jun 24 Enroll'!D$1,FALSE),'District Calculations'!$D$25+'District Calculations'!$D$11),5)</f>
        <v>1.7749999999999998E-2</v>
      </c>
      <c r="AA93" s="6" cm="1">
        <f t="array" ref="AA93">ROUND($J93*CIS_Base_Salary2324s*VLOOKUP($A93,EnrollData2324,'2324 Jun 24 Enroll'!S$1,FALSE),2)</f>
        <v>4099.16</v>
      </c>
      <c r="AB93" s="6" cm="1">
        <f t="array" ref="AB93">ROUND($J93*CIS_Inc_Salary2324s*(VLOOKUP($A93,EnrollData2324,'2324 Jun 24 Enroll'!T$1,FALSE)+VLOOKUP($A93,EnrollData2324,'2324 Jun 24 Enroll'!U$1,FALSE)),2)-AA93</f>
        <v>151.68000000000029</v>
      </c>
      <c r="AC93" s="6" cm="1">
        <f t="array" ref="AC93">ROUND($R93*CAS_Base_Salary2324s*VLOOKUP($A93,EnrollData2324,'2324 Jun 24 Enroll'!S$1,FALSE),2)</f>
        <v>450.35</v>
      </c>
      <c r="AD93" s="6" cm="1">
        <f t="array" ref="AD93">ROUND($R93*CAS_Inc_Salary2324s*VLOOKUP($A93,EnrollData2324,'2324 Jun 24 Enroll'!T$1,FALSE),2)-AC93</f>
        <v>16.669999999999959</v>
      </c>
      <c r="AE93" s="6" cm="1">
        <f t="array" ref="AE93">ROUND($Z93*CLS_Base_Salary2324s*VLOOKUP($A93,EnrollData2324,'2324 Jun 24 Enroll'!S$1,FALSE),2)</f>
        <v>939.96</v>
      </c>
      <c r="AF93" s="6" cm="1">
        <f t="array" ref="AF93">ROUND($Z93*CLS_Inc_Salary2324s*VLOOKUP($A93,EnrollData2324,'2324 Jun 24 Enroll'!T$1,FALSE),2)-AE93</f>
        <v>34.769999999999982</v>
      </c>
      <c r="AG93" cm="1">
        <f t="array" ref="AG93">ROUND(($J93+$R93)*Apport_124X2324s,2)</f>
        <v>734.29</v>
      </c>
      <c r="AH93" s="69">
        <f t="shared" si="8"/>
        <v>68.700000000000045</v>
      </c>
      <c r="AI93" cm="1">
        <f t="array" ref="AI93">ROUND($Z93*Apport_124X2324s,2)</f>
        <v>218.54</v>
      </c>
      <c r="AJ93" cm="1">
        <f t="array" ref="AJ93">ROUND($Z93*Apport_621X2324s*Apport_125X2324s,2)-AI93</f>
        <v>116.51000000000002</v>
      </c>
      <c r="AK93" cm="1">
        <f t="array" ref="AK93">ROUND((AA93+AC93)*Apport_126X2324s,2)</f>
        <v>817.55</v>
      </c>
      <c r="AL93" cm="1">
        <f t="array" ref="AL93">ROUND((AB93+AD93)*Apport_127X2324s,2)</f>
        <v>29.18</v>
      </c>
      <c r="AM93" cm="1">
        <f t="array" ref="AM93">ROUND(AE93*Apport_128X2324s,2)</f>
        <v>207.36</v>
      </c>
      <c r="AN93" cm="1">
        <f t="array" ref="AN93">ROUND(AF93*Apport_129X2324s,2)</f>
        <v>6.45</v>
      </c>
      <c r="AO93" cm="1">
        <f t="array" ref="AO93">ROUND(($J93*CIS_Inc_Salary2324s*(VLOOKUP($A93,EnrollData2324,'2324 Jun 24 Enroll'!T$1,FALSE)+VLOOKUP($A93,EnrollData2324,'2324 Jun 24 Enroll'!U$1,FALSE))/Apport_613Xpd)*Apport_614Xpd,2)</f>
        <v>70.849999999999994</v>
      </c>
      <c r="AP93" cm="1">
        <f t="array" ref="AP93">ROUND(AO93*Apport_127X2324s,2)</f>
        <v>12.28</v>
      </c>
      <c r="AQ93">
        <f t="shared" si="9"/>
        <v>30.93</v>
      </c>
      <c r="AR93" s="6" cm="1">
        <f t="array" ref="AR93">ROUND((VLOOKUP($A93,EnrollData2324,'2324 Jun 24 Enroll'!D$1,FALSE)*Apport_M802324s+VLOOKUP($A93,EnrollData2324,'2324 Jun 24 Enroll'!M$1,FALSE)*Apport_M802324s+(VLOOKUP($A93,EnrollData2324,'2324 Jun 24 Enroll'!P$1,FALSE)+VLOOKUP($A93,EnrollData2324,'2324 Jun 24 Enroll'!Q$1,FALSE)+VLOOKUP($A93,EnrollData2324,'2324 Jun 24 Enroll'!R$1,FALSE)+VLOOKUP($A93,EnrollData2324,'2324 Jun 24 Enroll'!I$1,FALSE)+VLOOKUP($A93,EnrollData2324,'2324 Jun 24 Enroll'!N$1,FALSE)+VLOOKUP($A93,EnrollData2324,'2324 Jun 24 Enroll'!O$1,FALSE)+VLOOKUP($A93,EnrollData2324,'2324 Jun 24 Enroll'!K$1,FALSE)+VLOOKUP($A93,EnrollData2324,'2324 Jun 24 Enroll'!L$1,FALSE))*Apport_M812324s)/(VLOOKUP($A93,EnrollData2324,'2324 Jun 24 Enroll'!M$1,FALSE)+VLOOKUP($A93,EnrollData2324,'2324 Jun 24 Enroll'!D$1,FALSE)),2)</f>
        <v>1571.37</v>
      </c>
      <c r="AS93" s="7">
        <f t="shared" si="11"/>
        <v>9576.6</v>
      </c>
    </row>
    <row r="94" spans="1:45">
      <c r="A94" s="40" t="s">
        <v>454</v>
      </c>
      <c r="B94" s="40" t="s">
        <v>455</v>
      </c>
      <c r="C94" s="11">
        <f>ROUND((IFERROR((1/IF(VLOOKUP($A94,EnrollData2324,28,FALSE)='District Calculations'!$D$10,VLOOKUP($A94,EnrollData2324,28,FALSE),'District Calculations'!$D$10))*(1+Apport_Z315),0))+Apport_201A2324s,6)</f>
        <v>7.3449E-2</v>
      </c>
      <c r="D94">
        <f>ROUND(IF(VLOOKUP($A94,EnrollData2324,'2324 Jun 24 Enroll'!D$1,FALSE)='District Calculations'!$D$11,VLOOKUP($A94,EnrollData2324,'2324 Jun 24 Enroll'!D$1,FALSE),'District Calculations'!$D$11)*C94,3)</f>
        <v>0</v>
      </c>
      <c r="E94">
        <f>ROUND(IF(VLOOKUP($A94,EnrollData2324,'2324 Jun 24 Enroll'!E$1,FALSE)='District Calculations'!$D$12,VLOOKUP($A94,EnrollData2324,'2324 Jun 24 Enroll'!E$1,FALSE),'District Calculations'!$D$12)*C94,3)</f>
        <v>59.53</v>
      </c>
      <c r="F94">
        <f>ROUND(IF(VLOOKUP($A94,EnrollData2324,'2324 Jun 24 Enroll'!F$1,FALSE)='District Calculations'!$D$13,VLOOKUP($A94,EnrollData2324,'2324 Jun 24 Enroll'!F$1,FALSE),'District Calculations'!$D$13)*Apport_222A2324s,3)</f>
        <v>10.101000000000001</v>
      </c>
      <c r="G94">
        <f>ROUND(IF(VLOOKUP($A94,EnrollData2324,'2324 Jun 24 Enroll'!G$1,FALSE)='District Calculations'!$D$14,VLOOKUP($A94,EnrollData2324,'2324 Jun 24 Enroll'!G$1,FALSE),'District Calculations'!$D$14)*Apport_210A2324s,3)</f>
        <v>22.395</v>
      </c>
      <c r="H94">
        <f>ROUND(IF(VLOOKUP($A94,EnrollData2324,'2324 Jun 24 Enroll'!H$1,FALSE)='District Calculations'!$D$15,VLOOKUP($A94,EnrollData2324,'2324 Jun 24 Enroll'!H$1,FALSE),'District Calculations'!$D$15)*Apport_213A2324s,3)</f>
        <v>23.091999999999999</v>
      </c>
      <c r="I94">
        <f>ROUND(IF(VLOOKUP($A94,EnrollData2324,'2324 Jun 24 Enroll'!I$1,FALSE)+VLOOKUP($A94,EnrollData2324,'2324 Jun 24 Enroll'!M$1,FALSE)-VLOOKUP($A94,EnrollData2324,'2324 Jun 24 Enroll'!J$1,FALSE)='District Calculations'!$D$16+'District Calculations'!$D$25-'District Calculations'!$D$17,VLOOKUP($A94,EnrollData2324,'2324 Jun 24 Enroll'!I$1,FALSE)+VLOOKUP($A94,EnrollData2324,'2324 Jun 24 Enroll'!M$1,FALSE)-VLOOKUP($A94,EnrollData2324,'2324 Jun 24 Enroll'!J$1,FALSE),'District Calculations'!$D$16+'District Calculations'!$D$25-'District Calculations'!$D$17)*Apport_216A2324s,3)</f>
        <v>58.183999999999997</v>
      </c>
      <c r="J94">
        <f>ROUND(SUM(D94:I94)/(IF(VLOOKUP($A94,EnrollData2324,'2324 Jun 24 Enroll'!M$1,FALSE)='District Calculations'!$D$25,VLOOKUP($A94,EnrollData2324,'2324 Jun 24 Enroll'!M$1,FALSE),'District Calculations'!$D$25)+IF(VLOOKUP($A94,EnrollData2324,'2324 Jun 24 Enroll'!D$1,FALSE)='District Calculations'!$D$11,VLOOKUP($A94,EnrollData2324,'2324 Jun 24 Enroll'!D$1,FALSE),'District Calculations'!$D$11)),5)</f>
        <v>5.5530000000000003E-2</v>
      </c>
      <c r="K94" s="11">
        <f t="shared" si="6"/>
        <v>4.3699999999999998E-3</v>
      </c>
      <c r="L94">
        <f>ROUND(IF(VLOOKUP($A94,EnrollData2324,'2324 Jun 24 Enroll'!D$1,FALSE)='District Calculations'!$D$11,VLOOKUP($A94,EnrollData2324,'2324 Jun 24 Enroll'!D$1,FALSE),'District Calculations'!$D$11)*K94,3)</f>
        <v>0</v>
      </c>
      <c r="M94">
        <f>ROUND(IF(VLOOKUP($A94,EnrollData2324,'2324 Jun 24 Enroll'!E$1,FALSE)='District Calculations'!$D$12,VLOOKUP($A94,EnrollData2324,'2324 Jun 24 Enroll'!E$1,FALSE),'District Calculations'!$D$12)*K94,3)</f>
        <v>3.5419999999999998</v>
      </c>
      <c r="N94">
        <f>ROUND(IF(VLOOKUP($A94,EnrollData2324,'2324 Jun 24 Enroll'!F$1,FALSE)='District Calculations'!$D$13,VLOOKUP($A94,EnrollData2324,'2324 Jun 24 Enroll'!F$1,FALSE),'District Calculations'!$D$13)*Apport_223A2324s,3)</f>
        <v>0.84299999999999997</v>
      </c>
      <c r="O94">
        <f>ROUND(IF(VLOOKUP($A94,EnrollData2324,'2324 Jun 24 Enroll'!G$1,FALSE)='District Calculations'!$D$14,VLOOKUP($A94,EnrollData2324,'2324 Jun 24 Enroll'!G$1,FALSE),'District Calculations'!$D$14)*Apport_211A2324s,3)</f>
        <v>1.87</v>
      </c>
      <c r="P94">
        <f>ROUND(IF(VLOOKUP($A94,EnrollData2324,'2324 Jun 24 Enroll'!H$1,FALSE)='District Calculations'!$D$14,VLOOKUP($A94,EnrollData2324,'2324 Jun 24 Enroll'!H$1,FALSE),'District Calculations'!$D$14)*Apport_214A2324s,3)</f>
        <v>1.8680000000000001</v>
      </c>
      <c r="Q94">
        <f>ROUND(IF(VLOOKUP($A94,EnrollData2324,'2324 Jun 24 Enroll'!I$1,FALSE)+VLOOKUP($A94,EnrollData2324,'2324 Jun 24 Enroll'!M$1,FALSE)-VLOOKUP($A94,EnrollData2324,'2324 Jun 24 Enroll'!J$1,FALSE)='District Calculations'!$D$16+'District Calculations'!$D$25-'District Calculations'!$D$17,VLOOKUP($A94,EnrollData2324,'2324 Jun 24 Enroll'!I$1,FALSE)+VLOOKUP($A94,EnrollData2324,'2324 Jun 24 Enroll'!M$1,FALSE)-VLOOKUP($A94,EnrollData2324,'2324 Jun 24 Enroll'!J$1,FALSE),'District Calculations'!$D$16+'District Calculations'!$D$25-'District Calculations'!$D$17)*Apport_217A2324s,3)</f>
        <v>4.702</v>
      </c>
      <c r="R94">
        <f>ROUND(SUM(L94:Q94)/IF(VLOOKUP($A94,EnrollData2324,'2324 Jun 24 Enroll'!M$1,FALSE)+VLOOKUP($A94,EnrollData2324,'2324 Jun 24 Enroll'!D$1,FALSE)='District Calculations'!$D$25+'District Calculations'!$D$11,VLOOKUP($A94,EnrollData2324,'2324 Jun 24 Enroll'!M$1,FALSE)+VLOOKUP($A94,EnrollData2324,'2324 Jun 24 Enroll'!D$1,FALSE),'District Calculations'!$D$25+'District Calculations'!$D$11),5)</f>
        <v>4.1099999999999999E-3</v>
      </c>
      <c r="S94" s="11">
        <f t="shared" si="7"/>
        <v>1.8689600000000001E-2</v>
      </c>
      <c r="T94">
        <f>ROUND(IF(VLOOKUP($A94,EnrollData2324,'2324 Jun 24 Enroll'!D$1,FALSE)='District Calculations'!$D$11,VLOOKUP($A94,EnrollData2324,'2324 Jun 24 Enroll'!D$1,FALSE),'District Calculations'!$D$11)*S94,3)</f>
        <v>0</v>
      </c>
      <c r="U94">
        <f>ROUND(IF(VLOOKUP($A94,EnrollData2324,'2324 Jun 24 Enroll'!E$1,FALSE)='District Calculations'!$D$12,VLOOKUP($A94,EnrollData2324,'2324 Jun 24 Enroll'!E$1,FALSE),'District Calculations'!$D$12)*S94,3)</f>
        <v>15.148</v>
      </c>
      <c r="V94">
        <f>ROUND(IF(VLOOKUP($A94,EnrollData2324,'2324 Jun 24 Enroll'!F$1,FALSE)='District Calculations'!$D$13,VLOOKUP($A94,EnrollData2324,'2324 Jun 24 Enroll'!F$1,FALSE),'District Calculations'!$D$13)*Apport_224A2324s,3)</f>
        <v>3.7029999999999998</v>
      </c>
      <c r="W94">
        <f>ROUND(IF(VLOOKUP($A94,EnrollData2324,'2324 Jun 24 Enroll'!G$1,FALSE)='District Calculations'!$D$14,VLOOKUP($A94,EnrollData2324,'2324 Jun 24 Enroll'!G$1,FALSE),'District Calculations'!$D$14)*Apport_212A2324s,3)</f>
        <v>8.2089999999999996</v>
      </c>
      <c r="X94">
        <f>ROUND(IF(VLOOKUP($A94,EnrollData2324,'2324 Jun 24 Enroll'!H$1,FALSE)='District Calculations'!$D$14,VLOOKUP($A94,EnrollData2324,'2324 Jun 24 Enroll'!H$1,FALSE),'District Calculations'!$D$14)*Apport_215A2324s,3)</f>
        <v>8.0969999999999995</v>
      </c>
      <c r="Y94">
        <f>ROUND(IF(VLOOKUP($A94,EnrollData2324,'2324 Jun 24 Enroll'!I$1,FALSE)+VLOOKUP($A94,EnrollData2324,'2324 Jun 24 Enroll'!M$1,FALSE)-VLOOKUP($A94,EnrollData2324,'2324 Jun 24 Enroll'!J$1,FALSE)='District Calculations'!$D$16+'District Calculations'!$D$25-'District Calculations'!$D$17,VLOOKUP($A94,EnrollData2324,'2324 Jun 24 Enroll'!I$1,FALSE)+VLOOKUP($A94,EnrollData2324,'2324 Jun 24 Enroll'!M$1,FALSE)-VLOOKUP($A94,EnrollData2324,'2324 Jun 24 Enroll'!J$1,FALSE),'District Calculations'!$D$16+'District Calculations'!$D$25-'District Calculations'!$D$17)*Apport_218A2324s,3)</f>
        <v>20.224</v>
      </c>
      <c r="Z94">
        <f>ROUND(SUM(T94:Y94)/IF(VLOOKUP($A94,EnrollData2324,'2324 Jun 24 Enroll'!M$1,FALSE)+VLOOKUP($A94,EnrollData2324,'2324 Jun 24 Enroll'!D$1,FALSE)='District Calculations'!$D$25+'District Calculations'!$D$11,VLOOKUP($A94,EnrollData2324,'2324 Jun 24 Enroll'!M$1,FALSE)+VLOOKUP($A94,EnrollData2324,'2324 Jun 24 Enroll'!D$1,FALSE),'District Calculations'!$D$25+'District Calculations'!$D$11),5)</f>
        <v>1.7749999999999998E-2</v>
      </c>
      <c r="AA94" s="6" cm="1">
        <f t="array" ref="AA94">ROUND($J94*CIS_Base_Salary2324s*VLOOKUP($A94,EnrollData2324,'2324 Jun 24 Enroll'!S$1,FALSE),2)</f>
        <v>4038.59</v>
      </c>
      <c r="AB94" s="6" cm="1">
        <f t="array" ref="AB94">ROUND($J94*CIS_Inc_Salary2324s*(VLOOKUP($A94,EnrollData2324,'2324 Jun 24 Enroll'!T$1,FALSE)+VLOOKUP($A94,EnrollData2324,'2324 Jun 24 Enroll'!U$1,FALSE)),2)-AA94</f>
        <v>316.94999999999982</v>
      </c>
      <c r="AC94" s="6" cm="1">
        <f t="array" ref="AC94">ROUND($R94*CAS_Base_Salary2324s*VLOOKUP($A94,EnrollData2324,'2324 Jun 24 Enroll'!S$1,FALSE),2)</f>
        <v>443.7</v>
      </c>
      <c r="AD94" s="6" cm="1">
        <f t="array" ref="AD94">ROUND($R94*CAS_Inc_Salary2324s*VLOOKUP($A94,EnrollData2324,'2324 Jun 24 Enroll'!T$1,FALSE),2)-AC94</f>
        <v>16.410000000000025</v>
      </c>
      <c r="AE94" s="6" cm="1">
        <f t="array" ref="AE94">ROUND($Z94*CLS_Base_Salary2324s*VLOOKUP($A94,EnrollData2324,'2324 Jun 24 Enroll'!S$1,FALSE),2)</f>
        <v>926.07</v>
      </c>
      <c r="AF94" s="6" cm="1">
        <f t="array" ref="AF94">ROUND($Z94*CLS_Inc_Salary2324s*VLOOKUP($A94,EnrollData2324,'2324 Jun 24 Enroll'!T$1,FALSE),2)-AE94</f>
        <v>34.259999999999991</v>
      </c>
      <c r="AG94" cm="1">
        <f t="array" ref="AG94">ROUND(($J94+$R94)*Apport_124X2324s,2)</f>
        <v>734.29</v>
      </c>
      <c r="AH94" s="69">
        <f t="shared" si="8"/>
        <v>68.700000000000045</v>
      </c>
      <c r="AI94" cm="1">
        <f t="array" ref="AI94">ROUND($Z94*Apport_124X2324s,2)</f>
        <v>218.54</v>
      </c>
      <c r="AJ94" cm="1">
        <f t="array" ref="AJ94">ROUND($Z94*Apport_621X2324s*Apport_125X2324s,2)-AI94</f>
        <v>116.51000000000002</v>
      </c>
      <c r="AK94" cm="1">
        <f t="array" ref="AK94">ROUND((AA94+AC94)*Apport_126X2324s,2)</f>
        <v>805.47</v>
      </c>
      <c r="AL94" cm="1">
        <f t="array" ref="AL94">ROUND((AB94+AD94)*Apport_127X2324s,2)</f>
        <v>57.77</v>
      </c>
      <c r="AM94" cm="1">
        <f t="array" ref="AM94">ROUND(AE94*Apport_128X2324s,2)</f>
        <v>204.29</v>
      </c>
      <c r="AN94" cm="1">
        <f t="array" ref="AN94">ROUND(AF94*Apport_129X2324s,2)</f>
        <v>6.36</v>
      </c>
      <c r="AO94" cm="1">
        <f t="array" ref="AO94">ROUND(($J94*CIS_Inc_Salary2324s*(VLOOKUP($A94,EnrollData2324,'2324 Jun 24 Enroll'!T$1,FALSE)+VLOOKUP($A94,EnrollData2324,'2324 Jun 24 Enroll'!U$1,FALSE))/Apport_613Xpd)*Apport_614Xpd,2)</f>
        <v>72.59</v>
      </c>
      <c r="AP94" cm="1">
        <f t="array" ref="AP94">ROUND(AO94*Apport_127X2324s,2)</f>
        <v>12.58</v>
      </c>
      <c r="AQ94">
        <f t="shared" si="9"/>
        <v>30.93</v>
      </c>
      <c r="AR94" s="6" cm="1">
        <f t="array" ref="AR94">ROUND((VLOOKUP($A94,EnrollData2324,'2324 Jun 24 Enroll'!D$1,FALSE)*Apport_M802324s+VLOOKUP($A94,EnrollData2324,'2324 Jun 24 Enroll'!M$1,FALSE)*Apport_M802324s+(VLOOKUP($A94,EnrollData2324,'2324 Jun 24 Enroll'!P$1,FALSE)+VLOOKUP($A94,EnrollData2324,'2324 Jun 24 Enroll'!Q$1,FALSE)+VLOOKUP($A94,EnrollData2324,'2324 Jun 24 Enroll'!R$1,FALSE)+VLOOKUP($A94,EnrollData2324,'2324 Jun 24 Enroll'!I$1,FALSE)+VLOOKUP($A94,EnrollData2324,'2324 Jun 24 Enroll'!N$1,FALSE)+VLOOKUP($A94,EnrollData2324,'2324 Jun 24 Enroll'!O$1,FALSE)+VLOOKUP($A94,EnrollData2324,'2324 Jun 24 Enroll'!K$1,FALSE)+VLOOKUP($A94,EnrollData2324,'2324 Jun 24 Enroll'!L$1,FALSE))*Apport_M812324s)/(VLOOKUP($A94,EnrollData2324,'2324 Jun 24 Enroll'!M$1,FALSE)+VLOOKUP($A94,EnrollData2324,'2324 Jun 24 Enroll'!D$1,FALSE)),2)</f>
        <v>1571.94</v>
      </c>
      <c r="AS94" s="7">
        <f t="shared" si="11"/>
        <v>9675.9500000000007</v>
      </c>
    </row>
    <row r="95" spans="1:45">
      <c r="A95" s="40" t="s">
        <v>881</v>
      </c>
      <c r="B95" s="40" t="s">
        <v>882</v>
      </c>
      <c r="C95" s="11">
        <f>ROUND((IFERROR((1/IF(VLOOKUP($A95,EnrollData2324,28,FALSE)='District Calculations'!$D$10,VLOOKUP($A95,EnrollData2324,28,FALSE),'District Calculations'!$D$10))*(1+Apport_Z315),0))+Apport_201A2324s,6)</f>
        <v>7.3449E-2</v>
      </c>
      <c r="D95">
        <f>ROUND(IF(VLOOKUP($A95,EnrollData2324,'2324 Jun 24 Enroll'!D$1,FALSE)='District Calculations'!$D$11,VLOOKUP($A95,EnrollData2324,'2324 Jun 24 Enroll'!D$1,FALSE),'District Calculations'!$D$11)*C95,3)</f>
        <v>0</v>
      </c>
      <c r="E95">
        <f>ROUND(IF(VLOOKUP($A95,EnrollData2324,'2324 Jun 24 Enroll'!E$1,FALSE)='District Calculations'!$D$12,VLOOKUP($A95,EnrollData2324,'2324 Jun 24 Enroll'!E$1,FALSE),'District Calculations'!$D$12)*C95,3)</f>
        <v>59.53</v>
      </c>
      <c r="F95">
        <f>ROUND(IF(VLOOKUP($A95,EnrollData2324,'2324 Jun 24 Enroll'!F$1,FALSE)='District Calculations'!$D$13,VLOOKUP($A95,EnrollData2324,'2324 Jun 24 Enroll'!F$1,FALSE),'District Calculations'!$D$13)*Apport_222A2324s,3)</f>
        <v>10.101000000000001</v>
      </c>
      <c r="G95">
        <f>ROUND(IF(VLOOKUP($A95,EnrollData2324,'2324 Jun 24 Enroll'!G$1,FALSE)='District Calculations'!$D$14,VLOOKUP($A95,EnrollData2324,'2324 Jun 24 Enroll'!G$1,FALSE),'District Calculations'!$D$14)*Apport_210A2324s,3)</f>
        <v>22.395</v>
      </c>
      <c r="H95">
        <f>ROUND(IF(VLOOKUP($A95,EnrollData2324,'2324 Jun 24 Enroll'!H$1,FALSE)='District Calculations'!$D$15,VLOOKUP($A95,EnrollData2324,'2324 Jun 24 Enroll'!H$1,FALSE),'District Calculations'!$D$15)*Apport_213A2324s,3)</f>
        <v>23.091999999999999</v>
      </c>
      <c r="I95">
        <f>ROUND(IF(VLOOKUP($A95,EnrollData2324,'2324 Jun 24 Enroll'!I$1,FALSE)+VLOOKUP($A95,EnrollData2324,'2324 Jun 24 Enroll'!M$1,FALSE)-VLOOKUP($A95,EnrollData2324,'2324 Jun 24 Enroll'!J$1,FALSE)='District Calculations'!$D$16+'District Calculations'!$D$25-'District Calculations'!$D$17,VLOOKUP($A95,EnrollData2324,'2324 Jun 24 Enroll'!I$1,FALSE)+VLOOKUP($A95,EnrollData2324,'2324 Jun 24 Enroll'!M$1,FALSE)-VLOOKUP($A95,EnrollData2324,'2324 Jun 24 Enroll'!J$1,FALSE),'District Calculations'!$D$16+'District Calculations'!$D$25-'District Calculations'!$D$17)*Apport_216A2324s,3)</f>
        <v>58.183999999999997</v>
      </c>
      <c r="J95">
        <f>ROUND(SUM(D95:I95)/(IF(VLOOKUP($A95,EnrollData2324,'2324 Jun 24 Enroll'!M$1,FALSE)='District Calculations'!$D$25,VLOOKUP($A95,EnrollData2324,'2324 Jun 24 Enroll'!M$1,FALSE),'District Calculations'!$D$25)+IF(VLOOKUP($A95,EnrollData2324,'2324 Jun 24 Enroll'!D$1,FALSE)='District Calculations'!$D$11,VLOOKUP($A95,EnrollData2324,'2324 Jun 24 Enroll'!D$1,FALSE),'District Calculations'!$D$11)),5)</f>
        <v>5.5530000000000003E-2</v>
      </c>
      <c r="K95" s="11">
        <f t="shared" si="6"/>
        <v>4.3699999999999998E-3</v>
      </c>
      <c r="L95">
        <f>ROUND(IF(VLOOKUP($A95,EnrollData2324,'2324 Jun 24 Enroll'!D$1,FALSE)='District Calculations'!$D$11,VLOOKUP($A95,EnrollData2324,'2324 Jun 24 Enroll'!D$1,FALSE),'District Calculations'!$D$11)*K95,3)</f>
        <v>0</v>
      </c>
      <c r="M95">
        <f>ROUND(IF(VLOOKUP($A95,EnrollData2324,'2324 Jun 24 Enroll'!E$1,FALSE)='District Calculations'!$D$12,VLOOKUP($A95,EnrollData2324,'2324 Jun 24 Enroll'!E$1,FALSE),'District Calculations'!$D$12)*K95,3)</f>
        <v>3.5419999999999998</v>
      </c>
      <c r="N95">
        <f>ROUND(IF(VLOOKUP($A95,EnrollData2324,'2324 Jun 24 Enroll'!F$1,FALSE)='District Calculations'!$D$13,VLOOKUP($A95,EnrollData2324,'2324 Jun 24 Enroll'!F$1,FALSE),'District Calculations'!$D$13)*Apport_223A2324s,3)</f>
        <v>0.84299999999999997</v>
      </c>
      <c r="O95">
        <f>ROUND(IF(VLOOKUP($A95,EnrollData2324,'2324 Jun 24 Enroll'!G$1,FALSE)='District Calculations'!$D$14,VLOOKUP($A95,EnrollData2324,'2324 Jun 24 Enroll'!G$1,FALSE),'District Calculations'!$D$14)*Apport_211A2324s,3)</f>
        <v>1.87</v>
      </c>
      <c r="P95">
        <f>ROUND(IF(VLOOKUP($A95,EnrollData2324,'2324 Jun 24 Enroll'!H$1,FALSE)='District Calculations'!$D$14,VLOOKUP($A95,EnrollData2324,'2324 Jun 24 Enroll'!H$1,FALSE),'District Calculations'!$D$14)*Apport_214A2324s,3)</f>
        <v>1.8680000000000001</v>
      </c>
      <c r="Q95">
        <f>ROUND(IF(VLOOKUP($A95,EnrollData2324,'2324 Jun 24 Enroll'!I$1,FALSE)+VLOOKUP($A95,EnrollData2324,'2324 Jun 24 Enroll'!M$1,FALSE)-VLOOKUP($A95,EnrollData2324,'2324 Jun 24 Enroll'!J$1,FALSE)='District Calculations'!$D$16+'District Calculations'!$D$25-'District Calculations'!$D$17,VLOOKUP($A95,EnrollData2324,'2324 Jun 24 Enroll'!I$1,FALSE)+VLOOKUP($A95,EnrollData2324,'2324 Jun 24 Enroll'!M$1,FALSE)-VLOOKUP($A95,EnrollData2324,'2324 Jun 24 Enroll'!J$1,FALSE),'District Calculations'!$D$16+'District Calculations'!$D$25-'District Calculations'!$D$17)*Apport_217A2324s,3)</f>
        <v>4.702</v>
      </c>
      <c r="R95">
        <f>ROUND(SUM(L95:Q95)/IF(VLOOKUP($A95,EnrollData2324,'2324 Jun 24 Enroll'!M$1,FALSE)+VLOOKUP($A95,EnrollData2324,'2324 Jun 24 Enroll'!D$1,FALSE)='District Calculations'!$D$25+'District Calculations'!$D$11,VLOOKUP($A95,EnrollData2324,'2324 Jun 24 Enroll'!M$1,FALSE)+VLOOKUP($A95,EnrollData2324,'2324 Jun 24 Enroll'!D$1,FALSE),'District Calculations'!$D$25+'District Calculations'!$D$11),5)</f>
        <v>4.1099999999999999E-3</v>
      </c>
      <c r="S95" s="11">
        <f t="shared" si="7"/>
        <v>1.8689600000000001E-2</v>
      </c>
      <c r="T95">
        <f>ROUND(IF(VLOOKUP($A95,EnrollData2324,'2324 Jun 24 Enroll'!D$1,FALSE)='District Calculations'!$D$11,VLOOKUP($A95,EnrollData2324,'2324 Jun 24 Enroll'!D$1,FALSE),'District Calculations'!$D$11)*S95,3)</f>
        <v>0</v>
      </c>
      <c r="U95">
        <f>ROUND(IF(VLOOKUP($A95,EnrollData2324,'2324 Jun 24 Enroll'!E$1,FALSE)='District Calculations'!$D$12,VLOOKUP($A95,EnrollData2324,'2324 Jun 24 Enroll'!E$1,FALSE),'District Calculations'!$D$12)*S95,3)</f>
        <v>15.148</v>
      </c>
      <c r="V95">
        <f>ROUND(IF(VLOOKUP($A95,EnrollData2324,'2324 Jun 24 Enroll'!F$1,FALSE)='District Calculations'!$D$13,VLOOKUP($A95,EnrollData2324,'2324 Jun 24 Enroll'!F$1,FALSE),'District Calculations'!$D$13)*Apport_224A2324s,3)</f>
        <v>3.7029999999999998</v>
      </c>
      <c r="W95">
        <f>ROUND(IF(VLOOKUP($A95,EnrollData2324,'2324 Jun 24 Enroll'!G$1,FALSE)='District Calculations'!$D$14,VLOOKUP($A95,EnrollData2324,'2324 Jun 24 Enroll'!G$1,FALSE),'District Calculations'!$D$14)*Apport_212A2324s,3)</f>
        <v>8.2089999999999996</v>
      </c>
      <c r="X95">
        <f>ROUND(IF(VLOOKUP($A95,EnrollData2324,'2324 Jun 24 Enroll'!H$1,FALSE)='District Calculations'!$D$14,VLOOKUP($A95,EnrollData2324,'2324 Jun 24 Enroll'!H$1,FALSE),'District Calculations'!$D$14)*Apport_215A2324s,3)</f>
        <v>8.0969999999999995</v>
      </c>
      <c r="Y95">
        <f>ROUND(IF(VLOOKUP($A95,EnrollData2324,'2324 Jun 24 Enroll'!I$1,FALSE)+VLOOKUP($A95,EnrollData2324,'2324 Jun 24 Enroll'!M$1,FALSE)-VLOOKUP($A95,EnrollData2324,'2324 Jun 24 Enroll'!J$1,FALSE)='District Calculations'!$D$16+'District Calculations'!$D$25-'District Calculations'!$D$17,VLOOKUP($A95,EnrollData2324,'2324 Jun 24 Enroll'!I$1,FALSE)+VLOOKUP($A95,EnrollData2324,'2324 Jun 24 Enroll'!M$1,FALSE)-VLOOKUP($A95,EnrollData2324,'2324 Jun 24 Enroll'!J$1,FALSE),'District Calculations'!$D$16+'District Calculations'!$D$25-'District Calculations'!$D$17)*Apport_218A2324s,3)</f>
        <v>20.224</v>
      </c>
      <c r="Z95">
        <f>ROUND(SUM(T95:Y95)/IF(VLOOKUP($A95,EnrollData2324,'2324 Jun 24 Enroll'!M$1,FALSE)+VLOOKUP($A95,EnrollData2324,'2324 Jun 24 Enroll'!D$1,FALSE)='District Calculations'!$D$25+'District Calculations'!$D$11,VLOOKUP($A95,EnrollData2324,'2324 Jun 24 Enroll'!M$1,FALSE)+VLOOKUP($A95,EnrollData2324,'2324 Jun 24 Enroll'!D$1,FALSE),'District Calculations'!$D$25+'District Calculations'!$D$11),5)</f>
        <v>1.7749999999999998E-2</v>
      </c>
      <c r="AA95" s="6" cm="1">
        <f t="array" ref="AA95">ROUND($J95*CIS_Base_Salary2324s*VLOOKUP($A95,EnrollData2324,'2324 Jun 24 Enroll'!S$1,FALSE),2)</f>
        <v>4038.59</v>
      </c>
      <c r="AB95" s="6" cm="1">
        <f t="array" ref="AB95">ROUND($J95*CIS_Inc_Salary2324s*(VLOOKUP($A95,EnrollData2324,'2324 Jun 24 Enroll'!T$1,FALSE)+VLOOKUP($A95,EnrollData2324,'2324 Jun 24 Enroll'!U$1,FALSE)),2)-AA95</f>
        <v>233.1899999999996</v>
      </c>
      <c r="AC95" s="6" cm="1">
        <f t="array" ref="AC95">ROUND($R95*CAS_Base_Salary2324s*VLOOKUP($A95,EnrollData2324,'2324 Jun 24 Enroll'!S$1,FALSE),2)</f>
        <v>443.7</v>
      </c>
      <c r="AD95" s="6" cm="1">
        <f t="array" ref="AD95">ROUND($R95*CAS_Inc_Salary2324s*VLOOKUP($A95,EnrollData2324,'2324 Jun 24 Enroll'!T$1,FALSE),2)-AC95</f>
        <v>16.410000000000025</v>
      </c>
      <c r="AE95" s="6" cm="1">
        <f t="array" ref="AE95">ROUND($Z95*CLS_Base_Salary2324s*VLOOKUP($A95,EnrollData2324,'2324 Jun 24 Enroll'!S$1,FALSE),2)</f>
        <v>926.07</v>
      </c>
      <c r="AF95" s="6" cm="1">
        <f t="array" ref="AF95">ROUND($Z95*CLS_Inc_Salary2324s*VLOOKUP($A95,EnrollData2324,'2324 Jun 24 Enroll'!T$1,FALSE),2)-AE95</f>
        <v>34.259999999999991</v>
      </c>
      <c r="AG95" cm="1">
        <f t="array" ref="AG95">ROUND(($J95+$R95)*Apport_124X2324s,2)</f>
        <v>734.29</v>
      </c>
      <c r="AH95" s="69">
        <f t="shared" si="8"/>
        <v>68.700000000000045</v>
      </c>
      <c r="AI95" cm="1">
        <f t="array" ref="AI95">ROUND($Z95*Apport_124X2324s,2)</f>
        <v>218.54</v>
      </c>
      <c r="AJ95" cm="1">
        <f t="array" ref="AJ95">ROUND($Z95*Apport_621X2324s*Apport_125X2324s,2)-AI95</f>
        <v>116.51000000000002</v>
      </c>
      <c r="AK95" cm="1">
        <f t="array" ref="AK95">ROUND((AA95+AC95)*Apport_126X2324s,2)</f>
        <v>805.47</v>
      </c>
      <c r="AL95" cm="1">
        <f t="array" ref="AL95">ROUND((AB95+AD95)*Apport_127X2324s,2)</f>
        <v>43.26</v>
      </c>
      <c r="AM95" cm="1">
        <f t="array" ref="AM95">ROUND(AE95*Apport_128X2324s,2)</f>
        <v>204.29</v>
      </c>
      <c r="AN95" cm="1">
        <f t="array" ref="AN95">ROUND(AF95*Apport_129X2324s,2)</f>
        <v>6.36</v>
      </c>
      <c r="AO95" cm="1">
        <f t="array" ref="AO95">ROUND(($J95*CIS_Inc_Salary2324s*(VLOOKUP($A95,EnrollData2324,'2324 Jun 24 Enroll'!T$1,FALSE)+VLOOKUP($A95,EnrollData2324,'2324 Jun 24 Enroll'!U$1,FALSE))/Apport_613Xpd)*Apport_614Xpd,2)</f>
        <v>71.2</v>
      </c>
      <c r="AP95" cm="1">
        <f t="array" ref="AP95">ROUND(AO95*Apport_127X2324s,2)</f>
        <v>12.34</v>
      </c>
      <c r="AQ95">
        <f t="shared" si="9"/>
        <v>30.93</v>
      </c>
      <c r="AR95" s="6" cm="1">
        <f t="array" ref="AR95">ROUND((VLOOKUP($A95,EnrollData2324,'2324 Jun 24 Enroll'!D$1,FALSE)*Apport_M802324s+VLOOKUP($A95,EnrollData2324,'2324 Jun 24 Enroll'!M$1,FALSE)*Apport_M802324s+(VLOOKUP($A95,EnrollData2324,'2324 Jun 24 Enroll'!P$1,FALSE)+VLOOKUP($A95,EnrollData2324,'2324 Jun 24 Enroll'!Q$1,FALSE)+VLOOKUP($A95,EnrollData2324,'2324 Jun 24 Enroll'!R$1,FALSE)+VLOOKUP($A95,EnrollData2324,'2324 Jun 24 Enroll'!I$1,FALSE)+VLOOKUP($A95,EnrollData2324,'2324 Jun 24 Enroll'!N$1,FALSE)+VLOOKUP($A95,EnrollData2324,'2324 Jun 24 Enroll'!O$1,FALSE)+VLOOKUP($A95,EnrollData2324,'2324 Jun 24 Enroll'!K$1,FALSE)+VLOOKUP($A95,EnrollData2324,'2324 Jun 24 Enroll'!L$1,FALSE))*Apport_M812324s)/(VLOOKUP($A95,EnrollData2324,'2324 Jun 24 Enroll'!M$1,FALSE)+VLOOKUP($A95,EnrollData2324,'2324 Jun 24 Enroll'!D$1,FALSE)),2)</f>
        <v>1576.44</v>
      </c>
      <c r="AS95" s="7">
        <f t="shared" si="11"/>
        <v>9580.5499999999993</v>
      </c>
    </row>
    <row r="96" spans="1:45">
      <c r="A96" s="40" t="s">
        <v>482</v>
      </c>
      <c r="B96" s="40" t="s">
        <v>483</v>
      </c>
      <c r="C96" s="11">
        <f>ROUND((IFERROR((1/IF(VLOOKUP($A96,EnrollData2324,28,FALSE)='District Calculations'!$D$10,VLOOKUP($A96,EnrollData2324,28,FALSE),'District Calculations'!$D$10))*(1+Apport_Z315),0))+Apport_201A2324s,6)</f>
        <v>7.3449E-2</v>
      </c>
      <c r="D96">
        <f>ROUND(IF(VLOOKUP($A96,EnrollData2324,'2324 Jun 24 Enroll'!D$1,FALSE)='District Calculations'!$D$11,VLOOKUP($A96,EnrollData2324,'2324 Jun 24 Enroll'!D$1,FALSE),'District Calculations'!$D$11)*C96,3)</f>
        <v>0</v>
      </c>
      <c r="E96">
        <f>ROUND(IF(VLOOKUP($A96,EnrollData2324,'2324 Jun 24 Enroll'!E$1,FALSE)='District Calculations'!$D$12,VLOOKUP($A96,EnrollData2324,'2324 Jun 24 Enroll'!E$1,FALSE),'District Calculations'!$D$12)*C96,3)</f>
        <v>59.53</v>
      </c>
      <c r="F96">
        <f>ROUND(IF(VLOOKUP($A96,EnrollData2324,'2324 Jun 24 Enroll'!F$1,FALSE)='District Calculations'!$D$13,VLOOKUP($A96,EnrollData2324,'2324 Jun 24 Enroll'!F$1,FALSE),'District Calculations'!$D$13)*Apport_222A2324s,3)</f>
        <v>10.101000000000001</v>
      </c>
      <c r="G96">
        <f>ROUND(IF(VLOOKUP($A96,EnrollData2324,'2324 Jun 24 Enroll'!G$1,FALSE)='District Calculations'!$D$14,VLOOKUP($A96,EnrollData2324,'2324 Jun 24 Enroll'!G$1,FALSE),'District Calculations'!$D$14)*Apport_210A2324s,3)</f>
        <v>22.395</v>
      </c>
      <c r="H96">
        <f>ROUND(IF(VLOOKUP($A96,EnrollData2324,'2324 Jun 24 Enroll'!H$1,FALSE)='District Calculations'!$D$15,VLOOKUP($A96,EnrollData2324,'2324 Jun 24 Enroll'!H$1,FALSE),'District Calculations'!$D$15)*Apport_213A2324s,3)</f>
        <v>23.091999999999999</v>
      </c>
      <c r="I96">
        <f>ROUND(IF(VLOOKUP($A96,EnrollData2324,'2324 Jun 24 Enroll'!I$1,FALSE)+VLOOKUP($A96,EnrollData2324,'2324 Jun 24 Enroll'!M$1,FALSE)-VLOOKUP($A96,EnrollData2324,'2324 Jun 24 Enroll'!J$1,FALSE)='District Calculations'!$D$16+'District Calculations'!$D$25-'District Calculations'!$D$17,VLOOKUP($A96,EnrollData2324,'2324 Jun 24 Enroll'!I$1,FALSE)+VLOOKUP($A96,EnrollData2324,'2324 Jun 24 Enroll'!M$1,FALSE)-VLOOKUP($A96,EnrollData2324,'2324 Jun 24 Enroll'!J$1,FALSE),'District Calculations'!$D$16+'District Calculations'!$D$25-'District Calculations'!$D$17)*Apport_216A2324s,3)</f>
        <v>58.183999999999997</v>
      </c>
      <c r="J96">
        <f>ROUND(SUM(D96:I96)/(IF(VLOOKUP($A96,EnrollData2324,'2324 Jun 24 Enroll'!M$1,FALSE)='District Calculations'!$D$25,VLOOKUP($A96,EnrollData2324,'2324 Jun 24 Enroll'!M$1,FALSE),'District Calculations'!$D$25)+IF(VLOOKUP($A96,EnrollData2324,'2324 Jun 24 Enroll'!D$1,FALSE)='District Calculations'!$D$11,VLOOKUP($A96,EnrollData2324,'2324 Jun 24 Enroll'!D$1,FALSE),'District Calculations'!$D$11)),5)</f>
        <v>5.5530000000000003E-2</v>
      </c>
      <c r="K96" s="11">
        <f t="shared" si="6"/>
        <v>4.3699999999999998E-3</v>
      </c>
      <c r="L96">
        <f>ROUND(IF(VLOOKUP($A96,EnrollData2324,'2324 Jun 24 Enroll'!D$1,FALSE)='District Calculations'!$D$11,VLOOKUP($A96,EnrollData2324,'2324 Jun 24 Enroll'!D$1,FALSE),'District Calculations'!$D$11)*K96,3)</f>
        <v>0</v>
      </c>
      <c r="M96">
        <f>ROUND(IF(VLOOKUP($A96,EnrollData2324,'2324 Jun 24 Enroll'!E$1,FALSE)='District Calculations'!$D$12,VLOOKUP($A96,EnrollData2324,'2324 Jun 24 Enroll'!E$1,FALSE),'District Calculations'!$D$12)*K96,3)</f>
        <v>3.5419999999999998</v>
      </c>
      <c r="N96">
        <f>ROUND(IF(VLOOKUP($A96,EnrollData2324,'2324 Jun 24 Enroll'!F$1,FALSE)='District Calculations'!$D$13,VLOOKUP($A96,EnrollData2324,'2324 Jun 24 Enroll'!F$1,FALSE),'District Calculations'!$D$13)*Apport_223A2324s,3)</f>
        <v>0.84299999999999997</v>
      </c>
      <c r="O96">
        <f>ROUND(IF(VLOOKUP($A96,EnrollData2324,'2324 Jun 24 Enroll'!G$1,FALSE)='District Calculations'!$D$14,VLOOKUP($A96,EnrollData2324,'2324 Jun 24 Enroll'!G$1,FALSE),'District Calculations'!$D$14)*Apport_211A2324s,3)</f>
        <v>1.87</v>
      </c>
      <c r="P96">
        <f>ROUND(IF(VLOOKUP($A96,EnrollData2324,'2324 Jun 24 Enroll'!H$1,FALSE)='District Calculations'!$D$14,VLOOKUP($A96,EnrollData2324,'2324 Jun 24 Enroll'!H$1,FALSE),'District Calculations'!$D$14)*Apport_214A2324s,3)</f>
        <v>1.8680000000000001</v>
      </c>
      <c r="Q96">
        <f>ROUND(IF(VLOOKUP($A96,EnrollData2324,'2324 Jun 24 Enroll'!I$1,FALSE)+VLOOKUP($A96,EnrollData2324,'2324 Jun 24 Enroll'!M$1,FALSE)-VLOOKUP($A96,EnrollData2324,'2324 Jun 24 Enroll'!J$1,FALSE)='District Calculations'!$D$16+'District Calculations'!$D$25-'District Calculations'!$D$17,VLOOKUP($A96,EnrollData2324,'2324 Jun 24 Enroll'!I$1,FALSE)+VLOOKUP($A96,EnrollData2324,'2324 Jun 24 Enroll'!M$1,FALSE)-VLOOKUP($A96,EnrollData2324,'2324 Jun 24 Enroll'!J$1,FALSE),'District Calculations'!$D$16+'District Calculations'!$D$25-'District Calculations'!$D$17)*Apport_217A2324s,3)</f>
        <v>4.702</v>
      </c>
      <c r="R96">
        <f>ROUND(SUM(L96:Q96)/IF(VLOOKUP($A96,EnrollData2324,'2324 Jun 24 Enroll'!M$1,FALSE)+VLOOKUP($A96,EnrollData2324,'2324 Jun 24 Enroll'!D$1,FALSE)='District Calculations'!$D$25+'District Calculations'!$D$11,VLOOKUP($A96,EnrollData2324,'2324 Jun 24 Enroll'!M$1,FALSE)+VLOOKUP($A96,EnrollData2324,'2324 Jun 24 Enroll'!D$1,FALSE),'District Calculations'!$D$25+'District Calculations'!$D$11),5)</f>
        <v>4.1099999999999999E-3</v>
      </c>
      <c r="S96" s="11">
        <f t="shared" si="7"/>
        <v>1.8689600000000001E-2</v>
      </c>
      <c r="T96">
        <f>ROUND(IF(VLOOKUP($A96,EnrollData2324,'2324 Jun 24 Enroll'!D$1,FALSE)='District Calculations'!$D$11,VLOOKUP($A96,EnrollData2324,'2324 Jun 24 Enroll'!D$1,FALSE),'District Calculations'!$D$11)*S96,3)</f>
        <v>0</v>
      </c>
      <c r="U96">
        <f>ROUND(IF(VLOOKUP($A96,EnrollData2324,'2324 Jun 24 Enroll'!E$1,FALSE)='District Calculations'!$D$12,VLOOKUP($A96,EnrollData2324,'2324 Jun 24 Enroll'!E$1,FALSE),'District Calculations'!$D$12)*S96,3)</f>
        <v>15.148</v>
      </c>
      <c r="V96">
        <f>ROUND(IF(VLOOKUP($A96,EnrollData2324,'2324 Jun 24 Enroll'!F$1,FALSE)='District Calculations'!$D$13,VLOOKUP($A96,EnrollData2324,'2324 Jun 24 Enroll'!F$1,FALSE),'District Calculations'!$D$13)*Apport_224A2324s,3)</f>
        <v>3.7029999999999998</v>
      </c>
      <c r="W96">
        <f>ROUND(IF(VLOOKUP($A96,EnrollData2324,'2324 Jun 24 Enroll'!G$1,FALSE)='District Calculations'!$D$14,VLOOKUP($A96,EnrollData2324,'2324 Jun 24 Enroll'!G$1,FALSE),'District Calculations'!$D$14)*Apport_212A2324s,3)</f>
        <v>8.2089999999999996</v>
      </c>
      <c r="X96">
        <f>ROUND(IF(VLOOKUP($A96,EnrollData2324,'2324 Jun 24 Enroll'!H$1,FALSE)='District Calculations'!$D$14,VLOOKUP($A96,EnrollData2324,'2324 Jun 24 Enroll'!H$1,FALSE),'District Calculations'!$D$14)*Apport_215A2324s,3)</f>
        <v>8.0969999999999995</v>
      </c>
      <c r="Y96">
        <f>ROUND(IF(VLOOKUP($A96,EnrollData2324,'2324 Jun 24 Enroll'!I$1,FALSE)+VLOOKUP($A96,EnrollData2324,'2324 Jun 24 Enroll'!M$1,FALSE)-VLOOKUP($A96,EnrollData2324,'2324 Jun 24 Enroll'!J$1,FALSE)='District Calculations'!$D$16+'District Calculations'!$D$25-'District Calculations'!$D$17,VLOOKUP($A96,EnrollData2324,'2324 Jun 24 Enroll'!I$1,FALSE)+VLOOKUP($A96,EnrollData2324,'2324 Jun 24 Enroll'!M$1,FALSE)-VLOOKUP($A96,EnrollData2324,'2324 Jun 24 Enroll'!J$1,FALSE),'District Calculations'!$D$16+'District Calculations'!$D$25-'District Calculations'!$D$17)*Apport_218A2324s,3)</f>
        <v>20.224</v>
      </c>
      <c r="Z96">
        <f>ROUND(SUM(T96:Y96)/IF(VLOOKUP($A96,EnrollData2324,'2324 Jun 24 Enroll'!M$1,FALSE)+VLOOKUP($A96,EnrollData2324,'2324 Jun 24 Enroll'!D$1,FALSE)='District Calculations'!$D$25+'District Calculations'!$D$11,VLOOKUP($A96,EnrollData2324,'2324 Jun 24 Enroll'!M$1,FALSE)+VLOOKUP($A96,EnrollData2324,'2324 Jun 24 Enroll'!D$1,FALSE),'District Calculations'!$D$25+'District Calculations'!$D$11),5)</f>
        <v>1.7749999999999998E-2</v>
      </c>
      <c r="AA96" s="6" cm="1">
        <f t="array" ref="AA96">ROUND($J96*CIS_Base_Salary2324s*VLOOKUP($A96,EnrollData2324,'2324 Jun 24 Enroll'!S$1,FALSE),2)</f>
        <v>4038.59</v>
      </c>
      <c r="AB96" s="6" cm="1">
        <f t="array" ref="AB96">ROUND($J96*CIS_Inc_Salary2324s*(VLOOKUP($A96,EnrollData2324,'2324 Jun 24 Enroll'!T$1,FALSE)+VLOOKUP($A96,EnrollData2324,'2324 Jun 24 Enroll'!U$1,FALSE)),2)-AA96</f>
        <v>149.43000000000029</v>
      </c>
      <c r="AC96" s="6" cm="1">
        <f t="array" ref="AC96">ROUND($R96*CAS_Base_Salary2324s*VLOOKUP($A96,EnrollData2324,'2324 Jun 24 Enroll'!S$1,FALSE),2)</f>
        <v>443.7</v>
      </c>
      <c r="AD96" s="6" cm="1">
        <f t="array" ref="AD96">ROUND($R96*CAS_Inc_Salary2324s*VLOOKUP($A96,EnrollData2324,'2324 Jun 24 Enroll'!T$1,FALSE),2)-AC96</f>
        <v>16.410000000000025</v>
      </c>
      <c r="AE96" s="6" cm="1">
        <f t="array" ref="AE96">ROUND($Z96*CLS_Base_Salary2324s*VLOOKUP($A96,EnrollData2324,'2324 Jun 24 Enroll'!S$1,FALSE),2)</f>
        <v>926.07</v>
      </c>
      <c r="AF96" s="6" cm="1">
        <f t="array" ref="AF96">ROUND($Z96*CLS_Inc_Salary2324s*VLOOKUP($A96,EnrollData2324,'2324 Jun 24 Enroll'!T$1,FALSE),2)-AE96</f>
        <v>34.259999999999991</v>
      </c>
      <c r="AG96" cm="1">
        <f t="array" ref="AG96">ROUND(($J96+$R96)*Apport_124X2324s,2)</f>
        <v>734.29</v>
      </c>
      <c r="AH96" s="69">
        <f t="shared" si="8"/>
        <v>68.700000000000045</v>
      </c>
      <c r="AI96" cm="1">
        <f t="array" ref="AI96">ROUND($Z96*Apport_124X2324s,2)</f>
        <v>218.54</v>
      </c>
      <c r="AJ96" cm="1">
        <f t="array" ref="AJ96">ROUND($Z96*Apport_621X2324s*Apport_125X2324s,2)-AI96</f>
        <v>116.51000000000002</v>
      </c>
      <c r="AK96" cm="1">
        <f t="array" ref="AK96">ROUND((AA96+AC96)*Apport_126X2324s,2)</f>
        <v>805.47</v>
      </c>
      <c r="AL96" cm="1">
        <f t="array" ref="AL96">ROUND((AB96+AD96)*Apport_127X2324s,2)</f>
        <v>28.74</v>
      </c>
      <c r="AM96" cm="1">
        <f t="array" ref="AM96">ROUND(AE96*Apport_128X2324s,2)</f>
        <v>204.29</v>
      </c>
      <c r="AN96" cm="1">
        <f t="array" ref="AN96">ROUND(AF96*Apport_129X2324s,2)</f>
        <v>6.36</v>
      </c>
      <c r="AO96" cm="1">
        <f t="array" ref="AO96">ROUND(($J96*CIS_Inc_Salary2324s*(VLOOKUP($A96,EnrollData2324,'2324 Jun 24 Enroll'!T$1,FALSE)+VLOOKUP($A96,EnrollData2324,'2324 Jun 24 Enroll'!U$1,FALSE))/Apport_613Xpd)*Apport_614Xpd,2)</f>
        <v>69.8</v>
      </c>
      <c r="AP96" cm="1">
        <f t="array" ref="AP96">ROUND(AO96*Apport_127X2324s,2)</f>
        <v>12.1</v>
      </c>
      <c r="AQ96">
        <f t="shared" si="9"/>
        <v>30.93</v>
      </c>
      <c r="AR96" s="6" cm="1">
        <f t="array" ref="AR96">ROUND((VLOOKUP($A96,EnrollData2324,'2324 Jun 24 Enroll'!D$1,FALSE)*Apport_M802324s+VLOOKUP($A96,EnrollData2324,'2324 Jun 24 Enroll'!M$1,FALSE)*Apport_M802324s+(VLOOKUP($A96,EnrollData2324,'2324 Jun 24 Enroll'!P$1,FALSE)+VLOOKUP($A96,EnrollData2324,'2324 Jun 24 Enroll'!Q$1,FALSE)+VLOOKUP($A96,EnrollData2324,'2324 Jun 24 Enroll'!R$1,FALSE)+VLOOKUP($A96,EnrollData2324,'2324 Jun 24 Enroll'!I$1,FALSE)+VLOOKUP($A96,EnrollData2324,'2324 Jun 24 Enroll'!N$1,FALSE)+VLOOKUP($A96,EnrollData2324,'2324 Jun 24 Enroll'!O$1,FALSE)+VLOOKUP($A96,EnrollData2324,'2324 Jun 24 Enroll'!K$1,FALSE)+VLOOKUP($A96,EnrollData2324,'2324 Jun 24 Enroll'!L$1,FALSE))*Apport_M812324s)/(VLOOKUP($A96,EnrollData2324,'2324 Jun 24 Enroll'!M$1,FALSE)+VLOOKUP($A96,EnrollData2324,'2324 Jun 24 Enroll'!D$1,FALSE)),2)</f>
        <v>1581.78</v>
      </c>
      <c r="AS96" s="7">
        <f t="shared" si="11"/>
        <v>9485.9700000000012</v>
      </c>
    </row>
    <row r="97" spans="1:45">
      <c r="A97" s="40" t="s">
        <v>315</v>
      </c>
      <c r="B97" s="40" t="s">
        <v>316</v>
      </c>
      <c r="C97" s="11">
        <f>ROUND((IFERROR((1/IF(VLOOKUP($A97,EnrollData2324,28,FALSE)='District Calculations'!$D$10,VLOOKUP($A97,EnrollData2324,28,FALSE),'District Calculations'!$D$10))*(1+Apport_Z315),0))+Apport_201A2324s,6)</f>
        <v>7.3449E-2</v>
      </c>
      <c r="D97">
        <f>ROUND(IF(VLOOKUP($A97,EnrollData2324,'2324 Jun 24 Enroll'!D$1,FALSE)='District Calculations'!$D$11,VLOOKUP($A97,EnrollData2324,'2324 Jun 24 Enroll'!D$1,FALSE),'District Calculations'!$D$11)*C97,3)</f>
        <v>0</v>
      </c>
      <c r="E97">
        <f>ROUND(IF(VLOOKUP($A97,EnrollData2324,'2324 Jun 24 Enroll'!E$1,FALSE)='District Calculations'!$D$12,VLOOKUP($A97,EnrollData2324,'2324 Jun 24 Enroll'!E$1,FALSE),'District Calculations'!$D$12)*C97,3)</f>
        <v>59.53</v>
      </c>
      <c r="F97">
        <f>ROUND(IF(VLOOKUP($A97,EnrollData2324,'2324 Jun 24 Enroll'!F$1,FALSE)='District Calculations'!$D$13,VLOOKUP($A97,EnrollData2324,'2324 Jun 24 Enroll'!F$1,FALSE),'District Calculations'!$D$13)*Apport_222A2324s,3)</f>
        <v>10.101000000000001</v>
      </c>
      <c r="G97">
        <f>ROUND(IF(VLOOKUP($A97,EnrollData2324,'2324 Jun 24 Enroll'!G$1,FALSE)='District Calculations'!$D$14,VLOOKUP($A97,EnrollData2324,'2324 Jun 24 Enroll'!G$1,FALSE),'District Calculations'!$D$14)*Apport_210A2324s,3)</f>
        <v>22.395</v>
      </c>
      <c r="H97">
        <f>ROUND(IF(VLOOKUP($A97,EnrollData2324,'2324 Jun 24 Enroll'!H$1,FALSE)='District Calculations'!$D$15,VLOOKUP($A97,EnrollData2324,'2324 Jun 24 Enroll'!H$1,FALSE),'District Calculations'!$D$15)*Apport_213A2324s,3)</f>
        <v>23.091999999999999</v>
      </c>
      <c r="I97">
        <f>ROUND(IF(VLOOKUP($A97,EnrollData2324,'2324 Jun 24 Enroll'!I$1,FALSE)+VLOOKUP($A97,EnrollData2324,'2324 Jun 24 Enroll'!M$1,FALSE)-VLOOKUP($A97,EnrollData2324,'2324 Jun 24 Enroll'!J$1,FALSE)='District Calculations'!$D$16+'District Calculations'!$D$25-'District Calculations'!$D$17,VLOOKUP($A97,EnrollData2324,'2324 Jun 24 Enroll'!I$1,FALSE)+VLOOKUP($A97,EnrollData2324,'2324 Jun 24 Enroll'!M$1,FALSE)-VLOOKUP($A97,EnrollData2324,'2324 Jun 24 Enroll'!J$1,FALSE),'District Calculations'!$D$16+'District Calculations'!$D$25-'District Calculations'!$D$17)*Apport_216A2324s,3)</f>
        <v>58.183999999999997</v>
      </c>
      <c r="J97">
        <f>ROUND(SUM(D97:I97)/(IF(VLOOKUP($A97,EnrollData2324,'2324 Jun 24 Enroll'!M$1,FALSE)='District Calculations'!$D$25,VLOOKUP($A97,EnrollData2324,'2324 Jun 24 Enroll'!M$1,FALSE),'District Calculations'!$D$25)+IF(VLOOKUP($A97,EnrollData2324,'2324 Jun 24 Enroll'!D$1,FALSE)='District Calculations'!$D$11,VLOOKUP($A97,EnrollData2324,'2324 Jun 24 Enroll'!D$1,FALSE),'District Calculations'!$D$11)),5)</f>
        <v>5.5530000000000003E-2</v>
      </c>
      <c r="K97" s="11">
        <f t="shared" si="6"/>
        <v>4.3699999999999998E-3</v>
      </c>
      <c r="L97">
        <f>ROUND(IF(VLOOKUP($A97,EnrollData2324,'2324 Jun 24 Enroll'!D$1,FALSE)='District Calculations'!$D$11,VLOOKUP($A97,EnrollData2324,'2324 Jun 24 Enroll'!D$1,FALSE),'District Calculations'!$D$11)*K97,3)</f>
        <v>0</v>
      </c>
      <c r="M97">
        <f>ROUND(IF(VLOOKUP($A97,EnrollData2324,'2324 Jun 24 Enroll'!E$1,FALSE)='District Calculations'!$D$12,VLOOKUP($A97,EnrollData2324,'2324 Jun 24 Enroll'!E$1,FALSE),'District Calculations'!$D$12)*K97,3)</f>
        <v>3.5419999999999998</v>
      </c>
      <c r="N97">
        <f>ROUND(IF(VLOOKUP($A97,EnrollData2324,'2324 Jun 24 Enroll'!F$1,FALSE)='District Calculations'!$D$13,VLOOKUP($A97,EnrollData2324,'2324 Jun 24 Enroll'!F$1,FALSE),'District Calculations'!$D$13)*Apport_223A2324s,3)</f>
        <v>0.84299999999999997</v>
      </c>
      <c r="O97">
        <f>ROUND(IF(VLOOKUP($A97,EnrollData2324,'2324 Jun 24 Enroll'!G$1,FALSE)='District Calculations'!$D$14,VLOOKUP($A97,EnrollData2324,'2324 Jun 24 Enroll'!G$1,FALSE),'District Calculations'!$D$14)*Apport_211A2324s,3)</f>
        <v>1.87</v>
      </c>
      <c r="P97">
        <f>ROUND(IF(VLOOKUP($A97,EnrollData2324,'2324 Jun 24 Enroll'!H$1,FALSE)='District Calculations'!$D$14,VLOOKUP($A97,EnrollData2324,'2324 Jun 24 Enroll'!H$1,FALSE),'District Calculations'!$D$14)*Apport_214A2324s,3)</f>
        <v>1.8680000000000001</v>
      </c>
      <c r="Q97">
        <f>ROUND(IF(VLOOKUP($A97,EnrollData2324,'2324 Jun 24 Enroll'!I$1,FALSE)+VLOOKUP($A97,EnrollData2324,'2324 Jun 24 Enroll'!M$1,FALSE)-VLOOKUP($A97,EnrollData2324,'2324 Jun 24 Enroll'!J$1,FALSE)='District Calculations'!$D$16+'District Calculations'!$D$25-'District Calculations'!$D$17,VLOOKUP($A97,EnrollData2324,'2324 Jun 24 Enroll'!I$1,FALSE)+VLOOKUP($A97,EnrollData2324,'2324 Jun 24 Enroll'!M$1,FALSE)-VLOOKUP($A97,EnrollData2324,'2324 Jun 24 Enroll'!J$1,FALSE),'District Calculations'!$D$16+'District Calculations'!$D$25-'District Calculations'!$D$17)*Apport_217A2324s,3)</f>
        <v>4.702</v>
      </c>
      <c r="R97">
        <f>ROUND(SUM(L97:Q97)/IF(VLOOKUP($A97,EnrollData2324,'2324 Jun 24 Enroll'!M$1,FALSE)+VLOOKUP($A97,EnrollData2324,'2324 Jun 24 Enroll'!D$1,FALSE)='District Calculations'!$D$25+'District Calculations'!$D$11,VLOOKUP($A97,EnrollData2324,'2324 Jun 24 Enroll'!M$1,FALSE)+VLOOKUP($A97,EnrollData2324,'2324 Jun 24 Enroll'!D$1,FALSE),'District Calculations'!$D$25+'District Calculations'!$D$11),5)</f>
        <v>4.1099999999999999E-3</v>
      </c>
      <c r="S97" s="11">
        <f t="shared" si="7"/>
        <v>1.8689600000000001E-2</v>
      </c>
      <c r="T97">
        <f>ROUND(IF(VLOOKUP($A97,EnrollData2324,'2324 Jun 24 Enroll'!D$1,FALSE)='District Calculations'!$D$11,VLOOKUP($A97,EnrollData2324,'2324 Jun 24 Enroll'!D$1,FALSE),'District Calculations'!$D$11)*S97,3)</f>
        <v>0</v>
      </c>
      <c r="U97">
        <f>ROUND(IF(VLOOKUP($A97,EnrollData2324,'2324 Jun 24 Enroll'!E$1,FALSE)='District Calculations'!$D$12,VLOOKUP($A97,EnrollData2324,'2324 Jun 24 Enroll'!E$1,FALSE),'District Calculations'!$D$12)*S97,3)</f>
        <v>15.148</v>
      </c>
      <c r="V97">
        <f>ROUND(IF(VLOOKUP($A97,EnrollData2324,'2324 Jun 24 Enroll'!F$1,FALSE)='District Calculations'!$D$13,VLOOKUP($A97,EnrollData2324,'2324 Jun 24 Enroll'!F$1,FALSE),'District Calculations'!$D$13)*Apport_224A2324s,3)</f>
        <v>3.7029999999999998</v>
      </c>
      <c r="W97">
        <f>ROUND(IF(VLOOKUP($A97,EnrollData2324,'2324 Jun 24 Enroll'!G$1,FALSE)='District Calculations'!$D$14,VLOOKUP($A97,EnrollData2324,'2324 Jun 24 Enroll'!G$1,FALSE),'District Calculations'!$D$14)*Apport_212A2324s,3)</f>
        <v>8.2089999999999996</v>
      </c>
      <c r="X97">
        <f>ROUND(IF(VLOOKUP($A97,EnrollData2324,'2324 Jun 24 Enroll'!H$1,FALSE)='District Calculations'!$D$14,VLOOKUP($A97,EnrollData2324,'2324 Jun 24 Enroll'!H$1,FALSE),'District Calculations'!$D$14)*Apport_215A2324s,3)</f>
        <v>8.0969999999999995</v>
      </c>
      <c r="Y97">
        <f>ROUND(IF(VLOOKUP($A97,EnrollData2324,'2324 Jun 24 Enroll'!I$1,FALSE)+VLOOKUP($A97,EnrollData2324,'2324 Jun 24 Enroll'!M$1,FALSE)-VLOOKUP($A97,EnrollData2324,'2324 Jun 24 Enroll'!J$1,FALSE)='District Calculations'!$D$16+'District Calculations'!$D$25-'District Calculations'!$D$17,VLOOKUP($A97,EnrollData2324,'2324 Jun 24 Enroll'!I$1,FALSE)+VLOOKUP($A97,EnrollData2324,'2324 Jun 24 Enroll'!M$1,FALSE)-VLOOKUP($A97,EnrollData2324,'2324 Jun 24 Enroll'!J$1,FALSE),'District Calculations'!$D$16+'District Calculations'!$D$25-'District Calculations'!$D$17)*Apport_218A2324s,3)</f>
        <v>20.224</v>
      </c>
      <c r="Z97">
        <f>ROUND(SUM(T97:Y97)/IF(VLOOKUP($A97,EnrollData2324,'2324 Jun 24 Enroll'!M$1,FALSE)+VLOOKUP($A97,EnrollData2324,'2324 Jun 24 Enroll'!D$1,FALSE)='District Calculations'!$D$25+'District Calculations'!$D$11,VLOOKUP($A97,EnrollData2324,'2324 Jun 24 Enroll'!M$1,FALSE)+VLOOKUP($A97,EnrollData2324,'2324 Jun 24 Enroll'!D$1,FALSE),'District Calculations'!$D$25+'District Calculations'!$D$11),5)</f>
        <v>1.7749999999999998E-2</v>
      </c>
      <c r="AA97" s="6" cm="1">
        <f t="array" ref="AA97">ROUND($J97*CIS_Base_Salary2324s*VLOOKUP($A97,EnrollData2324,'2324 Jun 24 Enroll'!S$1,FALSE),2)</f>
        <v>4038.59</v>
      </c>
      <c r="AB97" s="6" cm="1">
        <f t="array" ref="AB97">ROUND($J97*CIS_Inc_Salary2324s*(VLOOKUP($A97,EnrollData2324,'2324 Jun 24 Enroll'!T$1,FALSE)+VLOOKUP($A97,EnrollData2324,'2324 Jun 24 Enroll'!U$1,FALSE)),2)-AA97</f>
        <v>149.43000000000029</v>
      </c>
      <c r="AC97" s="6" cm="1">
        <f t="array" ref="AC97">ROUND($R97*CAS_Base_Salary2324s*VLOOKUP($A97,EnrollData2324,'2324 Jun 24 Enroll'!S$1,FALSE),2)</f>
        <v>443.7</v>
      </c>
      <c r="AD97" s="6" cm="1">
        <f t="array" ref="AD97">ROUND($R97*CAS_Inc_Salary2324s*VLOOKUP($A97,EnrollData2324,'2324 Jun 24 Enroll'!T$1,FALSE),2)-AC97</f>
        <v>16.410000000000025</v>
      </c>
      <c r="AE97" s="6" cm="1">
        <f t="array" ref="AE97">ROUND($Z97*CLS_Base_Salary2324s*VLOOKUP($A97,EnrollData2324,'2324 Jun 24 Enroll'!S$1,FALSE),2)</f>
        <v>926.07</v>
      </c>
      <c r="AF97" s="6" cm="1">
        <f t="array" ref="AF97">ROUND($Z97*CLS_Inc_Salary2324s*VLOOKUP($A97,EnrollData2324,'2324 Jun 24 Enroll'!T$1,FALSE),2)-AE97</f>
        <v>34.259999999999991</v>
      </c>
      <c r="AG97" cm="1">
        <f t="array" ref="AG97">ROUND(($J97+$R97)*Apport_124X2324s,2)</f>
        <v>734.29</v>
      </c>
      <c r="AH97" s="69">
        <f t="shared" si="8"/>
        <v>68.700000000000045</v>
      </c>
      <c r="AI97" cm="1">
        <f t="array" ref="AI97">ROUND($Z97*Apport_124X2324s,2)</f>
        <v>218.54</v>
      </c>
      <c r="AJ97" cm="1">
        <f t="array" ref="AJ97">ROUND($Z97*Apport_621X2324s*Apport_125X2324s,2)-AI97</f>
        <v>116.51000000000002</v>
      </c>
      <c r="AK97" cm="1">
        <f t="array" ref="AK97">ROUND((AA97+AC97)*Apport_126X2324s,2)</f>
        <v>805.47</v>
      </c>
      <c r="AL97" cm="1">
        <f t="array" ref="AL97">ROUND((AB97+AD97)*Apport_127X2324s,2)</f>
        <v>28.74</v>
      </c>
      <c r="AM97" cm="1">
        <f t="array" ref="AM97">ROUND(AE97*Apport_128X2324s,2)</f>
        <v>204.29</v>
      </c>
      <c r="AN97" cm="1">
        <f t="array" ref="AN97">ROUND(AF97*Apport_129X2324s,2)</f>
        <v>6.36</v>
      </c>
      <c r="AO97" cm="1">
        <f t="array" ref="AO97">ROUND(($J97*CIS_Inc_Salary2324s*(VLOOKUP($A97,EnrollData2324,'2324 Jun 24 Enroll'!T$1,FALSE)+VLOOKUP($A97,EnrollData2324,'2324 Jun 24 Enroll'!U$1,FALSE))/Apport_613Xpd)*Apport_614Xpd,2)</f>
        <v>69.8</v>
      </c>
      <c r="AP97" cm="1">
        <f t="array" ref="AP97">ROUND(AO97*Apport_127X2324s,2)</f>
        <v>12.1</v>
      </c>
      <c r="AQ97">
        <f t="shared" si="9"/>
        <v>30.93</v>
      </c>
      <c r="AR97" s="6" cm="1">
        <f t="array" ref="AR97">ROUND((VLOOKUP($A97,EnrollData2324,'2324 Jun 24 Enroll'!D$1,FALSE)*Apport_M802324s+VLOOKUP($A97,EnrollData2324,'2324 Jun 24 Enroll'!M$1,FALSE)*Apport_M802324s+(VLOOKUP($A97,EnrollData2324,'2324 Jun 24 Enroll'!P$1,FALSE)+VLOOKUP($A97,EnrollData2324,'2324 Jun 24 Enroll'!Q$1,FALSE)+VLOOKUP($A97,EnrollData2324,'2324 Jun 24 Enroll'!R$1,FALSE)+VLOOKUP($A97,EnrollData2324,'2324 Jun 24 Enroll'!I$1,FALSE)+VLOOKUP($A97,EnrollData2324,'2324 Jun 24 Enroll'!N$1,FALSE)+VLOOKUP($A97,EnrollData2324,'2324 Jun 24 Enroll'!O$1,FALSE)+VLOOKUP($A97,EnrollData2324,'2324 Jun 24 Enroll'!K$1,FALSE)+VLOOKUP($A97,EnrollData2324,'2324 Jun 24 Enroll'!L$1,FALSE))*Apport_M812324s)/(VLOOKUP($A97,EnrollData2324,'2324 Jun 24 Enroll'!M$1,FALSE)+VLOOKUP($A97,EnrollData2324,'2324 Jun 24 Enroll'!D$1,FALSE)),2)</f>
        <v>1578.91</v>
      </c>
      <c r="AS97" s="7">
        <f t="shared" si="11"/>
        <v>9483.1</v>
      </c>
    </row>
    <row r="98" spans="1:45">
      <c r="A98" s="40" t="s">
        <v>508</v>
      </c>
      <c r="B98" s="40" t="s">
        <v>509</v>
      </c>
      <c r="C98" s="11">
        <f>ROUND((IFERROR((1/IF(VLOOKUP($A98,EnrollData2324,28,FALSE)='District Calculations'!$D$10,VLOOKUP($A98,EnrollData2324,28,FALSE),'District Calculations'!$D$10))*(1+Apport_Z315),0))+Apport_201A2324s,6)</f>
        <v>7.3449E-2</v>
      </c>
      <c r="D98">
        <f>ROUND(IF(VLOOKUP($A98,EnrollData2324,'2324 Jun 24 Enroll'!D$1,FALSE)='District Calculations'!$D$11,VLOOKUP($A98,EnrollData2324,'2324 Jun 24 Enroll'!D$1,FALSE),'District Calculations'!$D$11)*C98,3)</f>
        <v>0</v>
      </c>
      <c r="E98">
        <f>ROUND(IF(VLOOKUP($A98,EnrollData2324,'2324 Jun 24 Enroll'!E$1,FALSE)='District Calculations'!$D$12,VLOOKUP($A98,EnrollData2324,'2324 Jun 24 Enroll'!E$1,FALSE),'District Calculations'!$D$12)*C98,3)</f>
        <v>59.53</v>
      </c>
      <c r="F98">
        <f>ROUND(IF(VLOOKUP($A98,EnrollData2324,'2324 Jun 24 Enroll'!F$1,FALSE)='District Calculations'!$D$13,VLOOKUP($A98,EnrollData2324,'2324 Jun 24 Enroll'!F$1,FALSE),'District Calculations'!$D$13)*Apport_222A2324s,3)</f>
        <v>10.101000000000001</v>
      </c>
      <c r="G98">
        <f>ROUND(IF(VLOOKUP($A98,EnrollData2324,'2324 Jun 24 Enroll'!G$1,FALSE)='District Calculations'!$D$14,VLOOKUP($A98,EnrollData2324,'2324 Jun 24 Enroll'!G$1,FALSE),'District Calculations'!$D$14)*Apport_210A2324s,3)</f>
        <v>22.395</v>
      </c>
      <c r="H98">
        <f>ROUND(IF(VLOOKUP($A98,EnrollData2324,'2324 Jun 24 Enroll'!H$1,FALSE)='District Calculations'!$D$15,VLOOKUP($A98,EnrollData2324,'2324 Jun 24 Enroll'!H$1,FALSE),'District Calculations'!$D$15)*Apport_213A2324s,3)</f>
        <v>23.091999999999999</v>
      </c>
      <c r="I98">
        <f>ROUND(IF(VLOOKUP($A98,EnrollData2324,'2324 Jun 24 Enroll'!I$1,FALSE)+VLOOKUP($A98,EnrollData2324,'2324 Jun 24 Enroll'!M$1,FALSE)-VLOOKUP($A98,EnrollData2324,'2324 Jun 24 Enroll'!J$1,FALSE)='District Calculations'!$D$16+'District Calculations'!$D$25-'District Calculations'!$D$17,VLOOKUP($A98,EnrollData2324,'2324 Jun 24 Enroll'!I$1,FALSE)+VLOOKUP($A98,EnrollData2324,'2324 Jun 24 Enroll'!M$1,FALSE)-VLOOKUP($A98,EnrollData2324,'2324 Jun 24 Enroll'!J$1,FALSE),'District Calculations'!$D$16+'District Calculations'!$D$25-'District Calculations'!$D$17)*Apport_216A2324s,3)</f>
        <v>58.183999999999997</v>
      </c>
      <c r="J98">
        <f>ROUND(SUM(D98:I98)/(IF(VLOOKUP($A98,EnrollData2324,'2324 Jun 24 Enroll'!M$1,FALSE)='District Calculations'!$D$25,VLOOKUP($A98,EnrollData2324,'2324 Jun 24 Enroll'!M$1,FALSE),'District Calculations'!$D$25)+IF(VLOOKUP($A98,EnrollData2324,'2324 Jun 24 Enroll'!D$1,FALSE)='District Calculations'!$D$11,VLOOKUP($A98,EnrollData2324,'2324 Jun 24 Enroll'!D$1,FALSE),'District Calculations'!$D$11)),5)</f>
        <v>5.5530000000000003E-2</v>
      </c>
      <c r="K98" s="11">
        <f t="shared" si="6"/>
        <v>4.3699999999999998E-3</v>
      </c>
      <c r="L98">
        <f>ROUND(IF(VLOOKUP($A98,EnrollData2324,'2324 Jun 24 Enroll'!D$1,FALSE)='District Calculations'!$D$11,VLOOKUP($A98,EnrollData2324,'2324 Jun 24 Enroll'!D$1,FALSE),'District Calculations'!$D$11)*K98,3)</f>
        <v>0</v>
      </c>
      <c r="M98">
        <f>ROUND(IF(VLOOKUP($A98,EnrollData2324,'2324 Jun 24 Enroll'!E$1,FALSE)='District Calculations'!$D$12,VLOOKUP($A98,EnrollData2324,'2324 Jun 24 Enroll'!E$1,FALSE),'District Calculations'!$D$12)*K98,3)</f>
        <v>3.5419999999999998</v>
      </c>
      <c r="N98">
        <f>ROUND(IF(VLOOKUP($A98,EnrollData2324,'2324 Jun 24 Enroll'!F$1,FALSE)='District Calculations'!$D$13,VLOOKUP($A98,EnrollData2324,'2324 Jun 24 Enroll'!F$1,FALSE),'District Calculations'!$D$13)*Apport_223A2324s,3)</f>
        <v>0.84299999999999997</v>
      </c>
      <c r="O98">
        <f>ROUND(IF(VLOOKUP($A98,EnrollData2324,'2324 Jun 24 Enroll'!G$1,FALSE)='District Calculations'!$D$14,VLOOKUP($A98,EnrollData2324,'2324 Jun 24 Enroll'!G$1,FALSE),'District Calculations'!$D$14)*Apport_211A2324s,3)</f>
        <v>1.87</v>
      </c>
      <c r="P98">
        <f>ROUND(IF(VLOOKUP($A98,EnrollData2324,'2324 Jun 24 Enroll'!H$1,FALSE)='District Calculations'!$D$14,VLOOKUP($A98,EnrollData2324,'2324 Jun 24 Enroll'!H$1,FALSE),'District Calculations'!$D$14)*Apport_214A2324s,3)</f>
        <v>1.8680000000000001</v>
      </c>
      <c r="Q98">
        <f>ROUND(IF(VLOOKUP($A98,EnrollData2324,'2324 Jun 24 Enroll'!I$1,FALSE)+VLOOKUP($A98,EnrollData2324,'2324 Jun 24 Enroll'!M$1,FALSE)-VLOOKUP($A98,EnrollData2324,'2324 Jun 24 Enroll'!J$1,FALSE)='District Calculations'!$D$16+'District Calculations'!$D$25-'District Calculations'!$D$17,VLOOKUP($A98,EnrollData2324,'2324 Jun 24 Enroll'!I$1,FALSE)+VLOOKUP($A98,EnrollData2324,'2324 Jun 24 Enroll'!M$1,FALSE)-VLOOKUP($A98,EnrollData2324,'2324 Jun 24 Enroll'!J$1,FALSE),'District Calculations'!$D$16+'District Calculations'!$D$25-'District Calculations'!$D$17)*Apport_217A2324s,3)</f>
        <v>4.702</v>
      </c>
      <c r="R98">
        <f>ROUND(SUM(L98:Q98)/IF(VLOOKUP($A98,EnrollData2324,'2324 Jun 24 Enroll'!M$1,FALSE)+VLOOKUP($A98,EnrollData2324,'2324 Jun 24 Enroll'!D$1,FALSE)='District Calculations'!$D$25+'District Calculations'!$D$11,VLOOKUP($A98,EnrollData2324,'2324 Jun 24 Enroll'!M$1,FALSE)+VLOOKUP($A98,EnrollData2324,'2324 Jun 24 Enroll'!D$1,FALSE),'District Calculations'!$D$25+'District Calculations'!$D$11),5)</f>
        <v>4.1099999999999999E-3</v>
      </c>
      <c r="S98" s="11">
        <f t="shared" si="7"/>
        <v>1.8689600000000001E-2</v>
      </c>
      <c r="T98">
        <f>ROUND(IF(VLOOKUP($A98,EnrollData2324,'2324 Jun 24 Enroll'!D$1,FALSE)='District Calculations'!$D$11,VLOOKUP($A98,EnrollData2324,'2324 Jun 24 Enroll'!D$1,FALSE),'District Calculations'!$D$11)*S98,3)</f>
        <v>0</v>
      </c>
      <c r="U98">
        <f>ROUND(IF(VLOOKUP($A98,EnrollData2324,'2324 Jun 24 Enroll'!E$1,FALSE)='District Calculations'!$D$12,VLOOKUP($A98,EnrollData2324,'2324 Jun 24 Enroll'!E$1,FALSE),'District Calculations'!$D$12)*S98,3)</f>
        <v>15.148</v>
      </c>
      <c r="V98">
        <f>ROUND(IF(VLOOKUP($A98,EnrollData2324,'2324 Jun 24 Enroll'!F$1,FALSE)='District Calculations'!$D$13,VLOOKUP($A98,EnrollData2324,'2324 Jun 24 Enroll'!F$1,FALSE),'District Calculations'!$D$13)*Apport_224A2324s,3)</f>
        <v>3.7029999999999998</v>
      </c>
      <c r="W98">
        <f>ROUND(IF(VLOOKUP($A98,EnrollData2324,'2324 Jun 24 Enroll'!G$1,FALSE)='District Calculations'!$D$14,VLOOKUP($A98,EnrollData2324,'2324 Jun 24 Enroll'!G$1,FALSE),'District Calculations'!$D$14)*Apport_212A2324s,3)</f>
        <v>8.2089999999999996</v>
      </c>
      <c r="X98">
        <f>ROUND(IF(VLOOKUP($A98,EnrollData2324,'2324 Jun 24 Enroll'!H$1,FALSE)='District Calculations'!$D$14,VLOOKUP($A98,EnrollData2324,'2324 Jun 24 Enroll'!H$1,FALSE),'District Calculations'!$D$14)*Apport_215A2324s,3)</f>
        <v>8.0969999999999995</v>
      </c>
      <c r="Y98">
        <f>ROUND(IF(VLOOKUP($A98,EnrollData2324,'2324 Jun 24 Enroll'!I$1,FALSE)+VLOOKUP($A98,EnrollData2324,'2324 Jun 24 Enroll'!M$1,FALSE)-VLOOKUP($A98,EnrollData2324,'2324 Jun 24 Enroll'!J$1,FALSE)='District Calculations'!$D$16+'District Calculations'!$D$25-'District Calculations'!$D$17,VLOOKUP($A98,EnrollData2324,'2324 Jun 24 Enroll'!I$1,FALSE)+VLOOKUP($A98,EnrollData2324,'2324 Jun 24 Enroll'!M$1,FALSE)-VLOOKUP($A98,EnrollData2324,'2324 Jun 24 Enroll'!J$1,FALSE),'District Calculations'!$D$16+'District Calculations'!$D$25-'District Calculations'!$D$17)*Apport_218A2324s,3)</f>
        <v>20.224</v>
      </c>
      <c r="Z98">
        <f>ROUND(SUM(T98:Y98)/IF(VLOOKUP($A98,EnrollData2324,'2324 Jun 24 Enroll'!M$1,FALSE)+VLOOKUP($A98,EnrollData2324,'2324 Jun 24 Enroll'!D$1,FALSE)='District Calculations'!$D$25+'District Calculations'!$D$11,VLOOKUP($A98,EnrollData2324,'2324 Jun 24 Enroll'!M$1,FALSE)+VLOOKUP($A98,EnrollData2324,'2324 Jun 24 Enroll'!D$1,FALSE),'District Calculations'!$D$25+'District Calculations'!$D$11),5)</f>
        <v>1.7749999999999998E-2</v>
      </c>
      <c r="AA98" s="6" cm="1">
        <f t="array" ref="AA98">ROUND($J98*CIS_Base_Salary2324s*VLOOKUP($A98,EnrollData2324,'2324 Jun 24 Enroll'!S$1,FALSE),2)</f>
        <v>4038.59</v>
      </c>
      <c r="AB98" s="6" cm="1">
        <f t="array" ref="AB98">ROUND($J98*CIS_Inc_Salary2324s*(VLOOKUP($A98,EnrollData2324,'2324 Jun 24 Enroll'!T$1,FALSE)+VLOOKUP($A98,EnrollData2324,'2324 Jun 24 Enroll'!U$1,FALSE)),2)-AA98</f>
        <v>149.43000000000029</v>
      </c>
      <c r="AC98" s="6" cm="1">
        <f t="array" ref="AC98">ROUND($R98*CAS_Base_Salary2324s*VLOOKUP($A98,EnrollData2324,'2324 Jun 24 Enroll'!S$1,FALSE),2)</f>
        <v>443.7</v>
      </c>
      <c r="AD98" s="6" cm="1">
        <f t="array" ref="AD98">ROUND($R98*CAS_Inc_Salary2324s*VLOOKUP($A98,EnrollData2324,'2324 Jun 24 Enroll'!T$1,FALSE),2)-AC98</f>
        <v>16.410000000000025</v>
      </c>
      <c r="AE98" s="6" cm="1">
        <f t="array" ref="AE98">ROUND($Z98*CLS_Base_Salary2324s*VLOOKUP($A98,EnrollData2324,'2324 Jun 24 Enroll'!S$1,FALSE),2)</f>
        <v>926.07</v>
      </c>
      <c r="AF98" s="6" cm="1">
        <f t="array" ref="AF98">ROUND($Z98*CLS_Inc_Salary2324s*VLOOKUP($A98,EnrollData2324,'2324 Jun 24 Enroll'!T$1,FALSE),2)-AE98</f>
        <v>34.259999999999991</v>
      </c>
      <c r="AG98" cm="1">
        <f t="array" ref="AG98">ROUND(($J98+$R98)*Apport_124X2324s,2)</f>
        <v>734.29</v>
      </c>
      <c r="AH98" s="69">
        <f t="shared" si="8"/>
        <v>68.700000000000045</v>
      </c>
      <c r="AI98" cm="1">
        <f t="array" ref="AI98">ROUND($Z98*Apport_124X2324s,2)</f>
        <v>218.54</v>
      </c>
      <c r="AJ98" cm="1">
        <f t="array" ref="AJ98">ROUND($Z98*Apport_621X2324s*Apport_125X2324s,2)-AI98</f>
        <v>116.51000000000002</v>
      </c>
      <c r="AK98" cm="1">
        <f t="array" ref="AK98">ROUND((AA98+AC98)*Apport_126X2324s,2)</f>
        <v>805.47</v>
      </c>
      <c r="AL98" cm="1">
        <f t="array" ref="AL98">ROUND((AB98+AD98)*Apport_127X2324s,2)</f>
        <v>28.74</v>
      </c>
      <c r="AM98" cm="1">
        <f t="array" ref="AM98">ROUND(AE98*Apport_128X2324s,2)</f>
        <v>204.29</v>
      </c>
      <c r="AN98" cm="1">
        <f t="array" ref="AN98">ROUND(AF98*Apport_129X2324s,2)</f>
        <v>6.36</v>
      </c>
      <c r="AO98" cm="1">
        <f t="array" ref="AO98">ROUND(($J98*CIS_Inc_Salary2324s*(VLOOKUP($A98,EnrollData2324,'2324 Jun 24 Enroll'!T$1,FALSE)+VLOOKUP($A98,EnrollData2324,'2324 Jun 24 Enroll'!U$1,FALSE))/Apport_613Xpd)*Apport_614Xpd,2)</f>
        <v>69.8</v>
      </c>
      <c r="AP98" cm="1">
        <f t="array" ref="AP98">ROUND(AO98*Apport_127X2324s,2)</f>
        <v>12.1</v>
      </c>
      <c r="AQ98">
        <f t="shared" si="9"/>
        <v>30.93</v>
      </c>
      <c r="AR98" s="6" cm="1">
        <f t="array" ref="AR98">ROUND((VLOOKUP($A98,EnrollData2324,'2324 Jun 24 Enroll'!D$1,FALSE)*Apport_M802324s+VLOOKUP($A98,EnrollData2324,'2324 Jun 24 Enroll'!M$1,FALSE)*Apport_M802324s+(VLOOKUP($A98,EnrollData2324,'2324 Jun 24 Enroll'!P$1,FALSE)+VLOOKUP($A98,EnrollData2324,'2324 Jun 24 Enroll'!Q$1,FALSE)+VLOOKUP($A98,EnrollData2324,'2324 Jun 24 Enroll'!R$1,FALSE)+VLOOKUP($A98,EnrollData2324,'2324 Jun 24 Enroll'!I$1,FALSE)+VLOOKUP($A98,EnrollData2324,'2324 Jun 24 Enroll'!N$1,FALSE)+VLOOKUP($A98,EnrollData2324,'2324 Jun 24 Enroll'!O$1,FALSE)+VLOOKUP($A98,EnrollData2324,'2324 Jun 24 Enroll'!K$1,FALSE)+VLOOKUP($A98,EnrollData2324,'2324 Jun 24 Enroll'!L$1,FALSE))*Apport_M812324s)/(VLOOKUP($A98,EnrollData2324,'2324 Jun 24 Enroll'!M$1,FALSE)+VLOOKUP($A98,EnrollData2324,'2324 Jun 24 Enroll'!D$1,FALSE)),2)</f>
        <v>1574.5</v>
      </c>
      <c r="AS98" s="7">
        <f t="shared" si="11"/>
        <v>9478.69</v>
      </c>
    </row>
    <row r="99" spans="1:45">
      <c r="A99" s="40" t="s">
        <v>627</v>
      </c>
      <c r="B99" s="40" t="s">
        <v>628</v>
      </c>
      <c r="C99" s="11">
        <f>ROUND((IFERROR((1/IF(VLOOKUP($A99,EnrollData2324,28,FALSE)='District Calculations'!$D$10,VLOOKUP($A99,EnrollData2324,28,FALSE),'District Calculations'!$D$10))*(1+Apport_Z315),0))+Apport_201A2324s,6)</f>
        <v>7.3449E-2</v>
      </c>
      <c r="D99">
        <f>ROUND(IF(VLOOKUP($A99,EnrollData2324,'2324 Jun 24 Enroll'!D$1,FALSE)='District Calculations'!$D$11,VLOOKUP($A99,EnrollData2324,'2324 Jun 24 Enroll'!D$1,FALSE),'District Calculations'!$D$11)*C99,3)</f>
        <v>0</v>
      </c>
      <c r="E99">
        <f>ROUND(IF(VLOOKUP($A99,EnrollData2324,'2324 Jun 24 Enroll'!E$1,FALSE)='District Calculations'!$D$12,VLOOKUP($A99,EnrollData2324,'2324 Jun 24 Enroll'!E$1,FALSE),'District Calculations'!$D$12)*C99,3)</f>
        <v>59.53</v>
      </c>
      <c r="F99">
        <f>ROUND(IF(VLOOKUP($A99,EnrollData2324,'2324 Jun 24 Enroll'!F$1,FALSE)='District Calculations'!$D$13,VLOOKUP($A99,EnrollData2324,'2324 Jun 24 Enroll'!F$1,FALSE),'District Calculations'!$D$13)*Apport_222A2324s,3)</f>
        <v>10.101000000000001</v>
      </c>
      <c r="G99">
        <f>ROUND(IF(VLOOKUP($A99,EnrollData2324,'2324 Jun 24 Enroll'!G$1,FALSE)='District Calculations'!$D$14,VLOOKUP($A99,EnrollData2324,'2324 Jun 24 Enroll'!G$1,FALSE),'District Calculations'!$D$14)*Apport_210A2324s,3)</f>
        <v>22.395</v>
      </c>
      <c r="H99">
        <f>ROUND(IF(VLOOKUP($A99,EnrollData2324,'2324 Jun 24 Enroll'!H$1,FALSE)='District Calculations'!$D$15,VLOOKUP($A99,EnrollData2324,'2324 Jun 24 Enroll'!H$1,FALSE),'District Calculations'!$D$15)*Apport_213A2324s,3)</f>
        <v>23.091999999999999</v>
      </c>
      <c r="I99">
        <f>ROUND(IF(VLOOKUP($A99,EnrollData2324,'2324 Jun 24 Enroll'!I$1,FALSE)+VLOOKUP($A99,EnrollData2324,'2324 Jun 24 Enroll'!M$1,FALSE)-VLOOKUP($A99,EnrollData2324,'2324 Jun 24 Enroll'!J$1,FALSE)='District Calculations'!$D$16+'District Calculations'!$D$25-'District Calculations'!$D$17,VLOOKUP($A99,EnrollData2324,'2324 Jun 24 Enroll'!I$1,FALSE)+VLOOKUP($A99,EnrollData2324,'2324 Jun 24 Enroll'!M$1,FALSE)-VLOOKUP($A99,EnrollData2324,'2324 Jun 24 Enroll'!J$1,FALSE),'District Calculations'!$D$16+'District Calculations'!$D$25-'District Calculations'!$D$17)*Apport_216A2324s,3)</f>
        <v>58.183999999999997</v>
      </c>
      <c r="J99">
        <f>ROUND(SUM(D99:I99)/(IF(VLOOKUP($A99,EnrollData2324,'2324 Jun 24 Enroll'!M$1,FALSE)='District Calculations'!$D$25,VLOOKUP($A99,EnrollData2324,'2324 Jun 24 Enroll'!M$1,FALSE),'District Calculations'!$D$25)+IF(VLOOKUP($A99,EnrollData2324,'2324 Jun 24 Enroll'!D$1,FALSE)='District Calculations'!$D$11,VLOOKUP($A99,EnrollData2324,'2324 Jun 24 Enroll'!D$1,FALSE),'District Calculations'!$D$11)),5)</f>
        <v>5.5530000000000003E-2</v>
      </c>
      <c r="K99" s="11">
        <f t="shared" ref="K99:K162" si="12">ROUND(((($C99+Apport_203A2324s+Apport_202A2324s)*Apport_557X)*Apport_558X)+Apport_202A2324s,6)</f>
        <v>4.3699999999999998E-3</v>
      </c>
      <c r="L99">
        <f>ROUND(IF(VLOOKUP($A99,EnrollData2324,'2324 Jun 24 Enroll'!D$1,FALSE)='District Calculations'!$D$11,VLOOKUP($A99,EnrollData2324,'2324 Jun 24 Enroll'!D$1,FALSE),'District Calculations'!$D$11)*K99,3)</f>
        <v>0</v>
      </c>
      <c r="M99">
        <f>ROUND(IF(VLOOKUP($A99,EnrollData2324,'2324 Jun 24 Enroll'!E$1,FALSE)='District Calculations'!$D$12,VLOOKUP($A99,EnrollData2324,'2324 Jun 24 Enroll'!E$1,FALSE),'District Calculations'!$D$12)*K99,3)</f>
        <v>3.5419999999999998</v>
      </c>
      <c r="N99">
        <f>ROUND(IF(VLOOKUP($A99,EnrollData2324,'2324 Jun 24 Enroll'!F$1,FALSE)='District Calculations'!$D$13,VLOOKUP($A99,EnrollData2324,'2324 Jun 24 Enroll'!F$1,FALSE),'District Calculations'!$D$13)*Apport_223A2324s,3)</f>
        <v>0.84299999999999997</v>
      </c>
      <c r="O99">
        <f>ROUND(IF(VLOOKUP($A99,EnrollData2324,'2324 Jun 24 Enroll'!G$1,FALSE)='District Calculations'!$D$14,VLOOKUP($A99,EnrollData2324,'2324 Jun 24 Enroll'!G$1,FALSE),'District Calculations'!$D$14)*Apport_211A2324s,3)</f>
        <v>1.87</v>
      </c>
      <c r="P99">
        <f>ROUND(IF(VLOOKUP($A99,EnrollData2324,'2324 Jun 24 Enroll'!H$1,FALSE)='District Calculations'!$D$14,VLOOKUP($A99,EnrollData2324,'2324 Jun 24 Enroll'!H$1,FALSE),'District Calculations'!$D$14)*Apport_214A2324s,3)</f>
        <v>1.8680000000000001</v>
      </c>
      <c r="Q99">
        <f>ROUND(IF(VLOOKUP($A99,EnrollData2324,'2324 Jun 24 Enroll'!I$1,FALSE)+VLOOKUP($A99,EnrollData2324,'2324 Jun 24 Enroll'!M$1,FALSE)-VLOOKUP($A99,EnrollData2324,'2324 Jun 24 Enroll'!J$1,FALSE)='District Calculations'!$D$16+'District Calculations'!$D$25-'District Calculations'!$D$17,VLOOKUP($A99,EnrollData2324,'2324 Jun 24 Enroll'!I$1,FALSE)+VLOOKUP($A99,EnrollData2324,'2324 Jun 24 Enroll'!M$1,FALSE)-VLOOKUP($A99,EnrollData2324,'2324 Jun 24 Enroll'!J$1,FALSE),'District Calculations'!$D$16+'District Calculations'!$D$25-'District Calculations'!$D$17)*Apport_217A2324s,3)</f>
        <v>4.702</v>
      </c>
      <c r="R99">
        <f>ROUND(SUM(L99:Q99)/IF(VLOOKUP($A99,EnrollData2324,'2324 Jun 24 Enroll'!M$1,FALSE)+VLOOKUP($A99,EnrollData2324,'2324 Jun 24 Enroll'!D$1,FALSE)='District Calculations'!$D$25+'District Calculations'!$D$11,VLOOKUP($A99,EnrollData2324,'2324 Jun 24 Enroll'!M$1,FALSE)+VLOOKUP($A99,EnrollData2324,'2324 Jun 24 Enroll'!D$1,FALSE),'District Calculations'!$D$25+'District Calculations'!$D$11),5)</f>
        <v>4.1099999999999999E-3</v>
      </c>
      <c r="S99" s="11">
        <f t="shared" ref="S99:S162" si="13">ROUND(((($C99+Apport_203A2324s+Apport_202A2324s)*Apport_557X)*Apport_559X)+Apport_203A2324s,7)</f>
        <v>1.8689600000000001E-2</v>
      </c>
      <c r="T99">
        <f>ROUND(IF(VLOOKUP($A99,EnrollData2324,'2324 Jun 24 Enroll'!D$1,FALSE)='District Calculations'!$D$11,VLOOKUP($A99,EnrollData2324,'2324 Jun 24 Enroll'!D$1,FALSE),'District Calculations'!$D$11)*S99,3)</f>
        <v>0</v>
      </c>
      <c r="U99">
        <f>ROUND(IF(VLOOKUP($A99,EnrollData2324,'2324 Jun 24 Enroll'!E$1,FALSE)='District Calculations'!$D$12,VLOOKUP($A99,EnrollData2324,'2324 Jun 24 Enroll'!E$1,FALSE),'District Calculations'!$D$12)*S99,3)</f>
        <v>15.148</v>
      </c>
      <c r="V99">
        <f>ROUND(IF(VLOOKUP($A99,EnrollData2324,'2324 Jun 24 Enroll'!F$1,FALSE)='District Calculations'!$D$13,VLOOKUP($A99,EnrollData2324,'2324 Jun 24 Enroll'!F$1,FALSE),'District Calculations'!$D$13)*Apport_224A2324s,3)</f>
        <v>3.7029999999999998</v>
      </c>
      <c r="W99">
        <f>ROUND(IF(VLOOKUP($A99,EnrollData2324,'2324 Jun 24 Enroll'!G$1,FALSE)='District Calculations'!$D$14,VLOOKUP($A99,EnrollData2324,'2324 Jun 24 Enroll'!G$1,FALSE),'District Calculations'!$D$14)*Apport_212A2324s,3)</f>
        <v>8.2089999999999996</v>
      </c>
      <c r="X99">
        <f>ROUND(IF(VLOOKUP($A99,EnrollData2324,'2324 Jun 24 Enroll'!H$1,FALSE)='District Calculations'!$D$14,VLOOKUP($A99,EnrollData2324,'2324 Jun 24 Enroll'!H$1,FALSE),'District Calculations'!$D$14)*Apport_215A2324s,3)</f>
        <v>8.0969999999999995</v>
      </c>
      <c r="Y99">
        <f>ROUND(IF(VLOOKUP($A99,EnrollData2324,'2324 Jun 24 Enroll'!I$1,FALSE)+VLOOKUP($A99,EnrollData2324,'2324 Jun 24 Enroll'!M$1,FALSE)-VLOOKUP($A99,EnrollData2324,'2324 Jun 24 Enroll'!J$1,FALSE)='District Calculations'!$D$16+'District Calculations'!$D$25-'District Calculations'!$D$17,VLOOKUP($A99,EnrollData2324,'2324 Jun 24 Enroll'!I$1,FALSE)+VLOOKUP($A99,EnrollData2324,'2324 Jun 24 Enroll'!M$1,FALSE)-VLOOKUP($A99,EnrollData2324,'2324 Jun 24 Enroll'!J$1,FALSE),'District Calculations'!$D$16+'District Calculations'!$D$25-'District Calculations'!$D$17)*Apport_218A2324s,3)</f>
        <v>20.224</v>
      </c>
      <c r="Z99">
        <f>ROUND(SUM(T99:Y99)/IF(VLOOKUP($A99,EnrollData2324,'2324 Jun 24 Enroll'!M$1,FALSE)+VLOOKUP($A99,EnrollData2324,'2324 Jun 24 Enroll'!D$1,FALSE)='District Calculations'!$D$25+'District Calculations'!$D$11,VLOOKUP($A99,EnrollData2324,'2324 Jun 24 Enroll'!M$1,FALSE)+VLOOKUP($A99,EnrollData2324,'2324 Jun 24 Enroll'!D$1,FALSE),'District Calculations'!$D$25+'District Calculations'!$D$11),5)</f>
        <v>1.7749999999999998E-2</v>
      </c>
      <c r="AA99" s="6" cm="1">
        <f t="array" ref="AA99">ROUND($J99*CIS_Base_Salary2324s*VLOOKUP($A99,EnrollData2324,'2324 Jun 24 Enroll'!S$1,FALSE),2)</f>
        <v>4038.59</v>
      </c>
      <c r="AB99" s="6" cm="1">
        <f t="array" ref="AB99">ROUND($J99*CIS_Inc_Salary2324s*(VLOOKUP($A99,EnrollData2324,'2324 Jun 24 Enroll'!T$1,FALSE)+VLOOKUP($A99,EnrollData2324,'2324 Jun 24 Enroll'!U$1,FALSE)),2)-AA99</f>
        <v>149.43000000000029</v>
      </c>
      <c r="AC99" s="6" cm="1">
        <f t="array" ref="AC99">ROUND($R99*CAS_Base_Salary2324s*VLOOKUP($A99,EnrollData2324,'2324 Jun 24 Enroll'!S$1,FALSE),2)</f>
        <v>443.7</v>
      </c>
      <c r="AD99" s="6" cm="1">
        <f t="array" ref="AD99">ROUND($R99*CAS_Inc_Salary2324s*VLOOKUP($A99,EnrollData2324,'2324 Jun 24 Enroll'!T$1,FALSE),2)-AC99</f>
        <v>16.410000000000025</v>
      </c>
      <c r="AE99" s="6" cm="1">
        <f t="array" ref="AE99">ROUND($Z99*CLS_Base_Salary2324s*VLOOKUP($A99,EnrollData2324,'2324 Jun 24 Enroll'!S$1,FALSE),2)</f>
        <v>926.07</v>
      </c>
      <c r="AF99" s="6" cm="1">
        <f t="array" ref="AF99">ROUND($Z99*CLS_Inc_Salary2324s*VLOOKUP($A99,EnrollData2324,'2324 Jun 24 Enroll'!T$1,FALSE),2)-AE99</f>
        <v>34.259999999999991</v>
      </c>
      <c r="AG99" cm="1">
        <f t="array" ref="AG99">ROUND(($J99+$R99)*Apport_124X2324s,2)</f>
        <v>734.29</v>
      </c>
      <c r="AH99" s="69">
        <f t="shared" ref="AH99:AH162" si="14">ROUND(($J99+$R99)*Apport_621X2324s*Apport_125XC2324s,2)-AG99</f>
        <v>68.700000000000045</v>
      </c>
      <c r="AI99" cm="1">
        <f t="array" ref="AI99">ROUND($Z99*Apport_124X2324s,2)</f>
        <v>218.54</v>
      </c>
      <c r="AJ99" cm="1">
        <f t="array" ref="AJ99">ROUND($Z99*Apport_621X2324s*Apport_125X2324s,2)-AI99</f>
        <v>116.51000000000002</v>
      </c>
      <c r="AK99" cm="1">
        <f t="array" ref="AK99">ROUND((AA99+AC99)*Apport_126X2324s,2)</f>
        <v>805.47</v>
      </c>
      <c r="AL99" cm="1">
        <f t="array" ref="AL99">ROUND((AB99+AD99)*Apport_127X2324s,2)</f>
        <v>28.74</v>
      </c>
      <c r="AM99" cm="1">
        <f t="array" ref="AM99">ROUND(AE99*Apport_128X2324s,2)</f>
        <v>204.29</v>
      </c>
      <c r="AN99" cm="1">
        <f t="array" ref="AN99">ROUND(AF99*Apport_129X2324s,2)</f>
        <v>6.36</v>
      </c>
      <c r="AO99" cm="1">
        <f t="array" ref="AO99">ROUND(($J99*CIS_Inc_Salary2324s*(VLOOKUP($A99,EnrollData2324,'2324 Jun 24 Enroll'!T$1,FALSE)+VLOOKUP($A99,EnrollData2324,'2324 Jun 24 Enroll'!U$1,FALSE))/Apport_613Xpd)*Apport_614Xpd,2)</f>
        <v>69.8</v>
      </c>
      <c r="AP99" cm="1">
        <f t="array" ref="AP99">ROUND(AO99*Apport_127X2324s,2)</f>
        <v>12.1</v>
      </c>
      <c r="AQ99">
        <f t="shared" ref="AQ99:AQ162" si="15">ROUND((J99*Apport_581X)*(Apport_116X*Apport_132X),2)</f>
        <v>30.93</v>
      </c>
      <c r="AR99" s="6" cm="1">
        <f t="array" ref="AR99">ROUND((VLOOKUP($A99,EnrollData2324,'2324 Jun 24 Enroll'!D$1,FALSE)*Apport_M802324s+VLOOKUP($A99,EnrollData2324,'2324 Jun 24 Enroll'!M$1,FALSE)*Apport_M802324s+(VLOOKUP($A99,EnrollData2324,'2324 Jun 24 Enroll'!P$1,FALSE)+VLOOKUP($A99,EnrollData2324,'2324 Jun 24 Enroll'!Q$1,FALSE)+VLOOKUP($A99,EnrollData2324,'2324 Jun 24 Enroll'!R$1,FALSE)+VLOOKUP($A99,EnrollData2324,'2324 Jun 24 Enroll'!I$1,FALSE)+VLOOKUP($A99,EnrollData2324,'2324 Jun 24 Enroll'!N$1,FALSE)+VLOOKUP($A99,EnrollData2324,'2324 Jun 24 Enroll'!O$1,FALSE)+VLOOKUP($A99,EnrollData2324,'2324 Jun 24 Enroll'!K$1,FALSE)+VLOOKUP($A99,EnrollData2324,'2324 Jun 24 Enroll'!L$1,FALSE))*Apport_M812324s)/(VLOOKUP($A99,EnrollData2324,'2324 Jun 24 Enroll'!M$1,FALSE)+VLOOKUP($A99,EnrollData2324,'2324 Jun 24 Enroll'!D$1,FALSE)),2)</f>
        <v>1566.33</v>
      </c>
      <c r="AS99" s="7">
        <f t="shared" si="11"/>
        <v>9470.52</v>
      </c>
    </row>
    <row r="100" spans="1:45">
      <c r="A100" s="40" t="s">
        <v>580</v>
      </c>
      <c r="B100" s="40" t="s">
        <v>581</v>
      </c>
      <c r="C100" s="11">
        <f>ROUND((IFERROR((1/IF(VLOOKUP($A100,EnrollData2324,28,FALSE)='District Calculations'!$D$10,VLOOKUP($A100,EnrollData2324,28,FALSE),'District Calculations'!$D$10))*(1+Apport_Z315),0))+Apport_201A2324s,6)</f>
        <v>7.3449E-2</v>
      </c>
      <c r="D100">
        <f>ROUND(IF(VLOOKUP($A100,EnrollData2324,'2324 Jun 24 Enroll'!D$1,FALSE)='District Calculations'!$D$11,VLOOKUP($A100,EnrollData2324,'2324 Jun 24 Enroll'!D$1,FALSE),'District Calculations'!$D$11)*C100,3)</f>
        <v>0</v>
      </c>
      <c r="E100">
        <f>ROUND(IF(VLOOKUP($A100,EnrollData2324,'2324 Jun 24 Enroll'!E$1,FALSE)='District Calculations'!$D$12,VLOOKUP($A100,EnrollData2324,'2324 Jun 24 Enroll'!E$1,FALSE),'District Calculations'!$D$12)*C100,3)</f>
        <v>59.53</v>
      </c>
      <c r="F100">
        <f>ROUND(IF(VLOOKUP($A100,EnrollData2324,'2324 Jun 24 Enroll'!F$1,FALSE)='District Calculations'!$D$13,VLOOKUP($A100,EnrollData2324,'2324 Jun 24 Enroll'!F$1,FALSE),'District Calculations'!$D$13)*Apport_222A2324s,3)</f>
        <v>10.101000000000001</v>
      </c>
      <c r="G100">
        <f>ROUND(IF(VLOOKUP($A100,EnrollData2324,'2324 Jun 24 Enroll'!G$1,FALSE)='District Calculations'!$D$14,VLOOKUP($A100,EnrollData2324,'2324 Jun 24 Enroll'!G$1,FALSE),'District Calculations'!$D$14)*Apport_210A2324s,3)</f>
        <v>22.395</v>
      </c>
      <c r="H100">
        <f>ROUND(IF(VLOOKUP($A100,EnrollData2324,'2324 Jun 24 Enroll'!H$1,FALSE)='District Calculations'!$D$15,VLOOKUP($A100,EnrollData2324,'2324 Jun 24 Enroll'!H$1,FALSE),'District Calculations'!$D$15)*Apport_213A2324s,3)</f>
        <v>23.091999999999999</v>
      </c>
      <c r="I100">
        <f>ROUND(IF(VLOOKUP($A100,EnrollData2324,'2324 Jun 24 Enroll'!I$1,FALSE)+VLOOKUP($A100,EnrollData2324,'2324 Jun 24 Enroll'!M$1,FALSE)-VLOOKUP($A100,EnrollData2324,'2324 Jun 24 Enroll'!J$1,FALSE)='District Calculations'!$D$16+'District Calculations'!$D$25-'District Calculations'!$D$17,VLOOKUP($A100,EnrollData2324,'2324 Jun 24 Enroll'!I$1,FALSE)+VLOOKUP($A100,EnrollData2324,'2324 Jun 24 Enroll'!M$1,FALSE)-VLOOKUP($A100,EnrollData2324,'2324 Jun 24 Enroll'!J$1,FALSE),'District Calculations'!$D$16+'District Calculations'!$D$25-'District Calculations'!$D$17)*Apport_216A2324s,3)</f>
        <v>58.183999999999997</v>
      </c>
      <c r="J100">
        <f>ROUND(SUM(D100:I100)/(IF(VLOOKUP($A100,EnrollData2324,'2324 Jun 24 Enroll'!M$1,FALSE)='District Calculations'!$D$25,VLOOKUP($A100,EnrollData2324,'2324 Jun 24 Enroll'!M$1,FALSE),'District Calculations'!$D$25)+IF(VLOOKUP($A100,EnrollData2324,'2324 Jun 24 Enroll'!D$1,FALSE)='District Calculations'!$D$11,VLOOKUP($A100,EnrollData2324,'2324 Jun 24 Enroll'!D$1,FALSE),'District Calculations'!$D$11)),5)</f>
        <v>5.5530000000000003E-2</v>
      </c>
      <c r="K100" s="11">
        <f t="shared" si="12"/>
        <v>4.3699999999999998E-3</v>
      </c>
      <c r="L100">
        <f>ROUND(IF(VLOOKUP($A100,EnrollData2324,'2324 Jun 24 Enroll'!D$1,FALSE)='District Calculations'!$D$11,VLOOKUP($A100,EnrollData2324,'2324 Jun 24 Enroll'!D$1,FALSE),'District Calculations'!$D$11)*K100,3)</f>
        <v>0</v>
      </c>
      <c r="M100">
        <f>ROUND(IF(VLOOKUP($A100,EnrollData2324,'2324 Jun 24 Enroll'!E$1,FALSE)='District Calculations'!$D$12,VLOOKUP($A100,EnrollData2324,'2324 Jun 24 Enroll'!E$1,FALSE),'District Calculations'!$D$12)*K100,3)</f>
        <v>3.5419999999999998</v>
      </c>
      <c r="N100">
        <f>ROUND(IF(VLOOKUP($A100,EnrollData2324,'2324 Jun 24 Enroll'!F$1,FALSE)='District Calculations'!$D$13,VLOOKUP($A100,EnrollData2324,'2324 Jun 24 Enroll'!F$1,FALSE),'District Calculations'!$D$13)*Apport_223A2324s,3)</f>
        <v>0.84299999999999997</v>
      </c>
      <c r="O100">
        <f>ROUND(IF(VLOOKUP($A100,EnrollData2324,'2324 Jun 24 Enroll'!G$1,FALSE)='District Calculations'!$D$14,VLOOKUP($A100,EnrollData2324,'2324 Jun 24 Enroll'!G$1,FALSE),'District Calculations'!$D$14)*Apport_211A2324s,3)</f>
        <v>1.87</v>
      </c>
      <c r="P100">
        <f>ROUND(IF(VLOOKUP($A100,EnrollData2324,'2324 Jun 24 Enroll'!H$1,FALSE)='District Calculations'!$D$14,VLOOKUP($A100,EnrollData2324,'2324 Jun 24 Enroll'!H$1,FALSE),'District Calculations'!$D$14)*Apport_214A2324s,3)</f>
        <v>1.8680000000000001</v>
      </c>
      <c r="Q100">
        <f>ROUND(IF(VLOOKUP($A100,EnrollData2324,'2324 Jun 24 Enroll'!I$1,FALSE)+VLOOKUP($A100,EnrollData2324,'2324 Jun 24 Enroll'!M$1,FALSE)-VLOOKUP($A100,EnrollData2324,'2324 Jun 24 Enroll'!J$1,FALSE)='District Calculations'!$D$16+'District Calculations'!$D$25-'District Calculations'!$D$17,VLOOKUP($A100,EnrollData2324,'2324 Jun 24 Enroll'!I$1,FALSE)+VLOOKUP($A100,EnrollData2324,'2324 Jun 24 Enroll'!M$1,FALSE)-VLOOKUP($A100,EnrollData2324,'2324 Jun 24 Enroll'!J$1,FALSE),'District Calculations'!$D$16+'District Calculations'!$D$25-'District Calculations'!$D$17)*Apport_217A2324s,3)</f>
        <v>4.702</v>
      </c>
      <c r="R100">
        <f>ROUND(SUM(L100:Q100)/IF(VLOOKUP($A100,EnrollData2324,'2324 Jun 24 Enroll'!M$1,FALSE)+VLOOKUP($A100,EnrollData2324,'2324 Jun 24 Enroll'!D$1,FALSE)='District Calculations'!$D$25+'District Calculations'!$D$11,VLOOKUP($A100,EnrollData2324,'2324 Jun 24 Enroll'!M$1,FALSE)+VLOOKUP($A100,EnrollData2324,'2324 Jun 24 Enroll'!D$1,FALSE),'District Calculations'!$D$25+'District Calculations'!$D$11),5)</f>
        <v>4.1099999999999999E-3</v>
      </c>
      <c r="S100" s="11">
        <f t="shared" si="13"/>
        <v>1.8689600000000001E-2</v>
      </c>
      <c r="T100">
        <f>ROUND(IF(VLOOKUP($A100,EnrollData2324,'2324 Jun 24 Enroll'!D$1,FALSE)='District Calculations'!$D$11,VLOOKUP($A100,EnrollData2324,'2324 Jun 24 Enroll'!D$1,FALSE),'District Calculations'!$D$11)*S100,3)</f>
        <v>0</v>
      </c>
      <c r="U100">
        <f>ROUND(IF(VLOOKUP($A100,EnrollData2324,'2324 Jun 24 Enroll'!E$1,FALSE)='District Calculations'!$D$12,VLOOKUP($A100,EnrollData2324,'2324 Jun 24 Enroll'!E$1,FALSE),'District Calculations'!$D$12)*S100,3)</f>
        <v>15.148</v>
      </c>
      <c r="V100">
        <f>ROUND(IF(VLOOKUP($A100,EnrollData2324,'2324 Jun 24 Enroll'!F$1,FALSE)='District Calculations'!$D$13,VLOOKUP($A100,EnrollData2324,'2324 Jun 24 Enroll'!F$1,FALSE),'District Calculations'!$D$13)*Apport_224A2324s,3)</f>
        <v>3.7029999999999998</v>
      </c>
      <c r="W100">
        <f>ROUND(IF(VLOOKUP($A100,EnrollData2324,'2324 Jun 24 Enroll'!G$1,FALSE)='District Calculations'!$D$14,VLOOKUP($A100,EnrollData2324,'2324 Jun 24 Enroll'!G$1,FALSE),'District Calculations'!$D$14)*Apport_212A2324s,3)</f>
        <v>8.2089999999999996</v>
      </c>
      <c r="X100">
        <f>ROUND(IF(VLOOKUP($A100,EnrollData2324,'2324 Jun 24 Enroll'!H$1,FALSE)='District Calculations'!$D$14,VLOOKUP($A100,EnrollData2324,'2324 Jun 24 Enroll'!H$1,FALSE),'District Calculations'!$D$14)*Apport_215A2324s,3)</f>
        <v>8.0969999999999995</v>
      </c>
      <c r="Y100">
        <f>ROUND(IF(VLOOKUP($A100,EnrollData2324,'2324 Jun 24 Enroll'!I$1,FALSE)+VLOOKUP($A100,EnrollData2324,'2324 Jun 24 Enroll'!M$1,FALSE)-VLOOKUP($A100,EnrollData2324,'2324 Jun 24 Enroll'!J$1,FALSE)='District Calculations'!$D$16+'District Calculations'!$D$25-'District Calculations'!$D$17,VLOOKUP($A100,EnrollData2324,'2324 Jun 24 Enroll'!I$1,FALSE)+VLOOKUP($A100,EnrollData2324,'2324 Jun 24 Enroll'!M$1,FALSE)-VLOOKUP($A100,EnrollData2324,'2324 Jun 24 Enroll'!J$1,FALSE),'District Calculations'!$D$16+'District Calculations'!$D$25-'District Calculations'!$D$17)*Apport_218A2324s,3)</f>
        <v>20.224</v>
      </c>
      <c r="Z100">
        <f>ROUND(SUM(T100:Y100)/IF(VLOOKUP($A100,EnrollData2324,'2324 Jun 24 Enroll'!M$1,FALSE)+VLOOKUP($A100,EnrollData2324,'2324 Jun 24 Enroll'!D$1,FALSE)='District Calculations'!$D$25+'District Calculations'!$D$11,VLOOKUP($A100,EnrollData2324,'2324 Jun 24 Enroll'!M$1,FALSE)+VLOOKUP($A100,EnrollData2324,'2324 Jun 24 Enroll'!D$1,FALSE),'District Calculations'!$D$25+'District Calculations'!$D$11),5)</f>
        <v>1.7749999999999998E-2</v>
      </c>
      <c r="AA100" s="6" cm="1">
        <f t="array" ref="AA100">ROUND($J100*CIS_Base_Salary2324s*VLOOKUP($A100,EnrollData2324,'2324 Jun 24 Enroll'!S$1,FALSE),2)</f>
        <v>4038.59</v>
      </c>
      <c r="AB100" s="6" cm="1">
        <f t="array" ref="AB100">ROUND($J100*CIS_Inc_Salary2324s*(VLOOKUP($A100,EnrollData2324,'2324 Jun 24 Enroll'!T$1,FALSE)+VLOOKUP($A100,EnrollData2324,'2324 Jun 24 Enroll'!U$1,FALSE)),2)-AA100</f>
        <v>149.43000000000029</v>
      </c>
      <c r="AC100" s="6" cm="1">
        <f t="array" ref="AC100">ROUND($R100*CAS_Base_Salary2324s*VLOOKUP($A100,EnrollData2324,'2324 Jun 24 Enroll'!S$1,FALSE),2)</f>
        <v>443.7</v>
      </c>
      <c r="AD100" s="6" cm="1">
        <f t="array" ref="AD100">ROUND($R100*CAS_Inc_Salary2324s*VLOOKUP($A100,EnrollData2324,'2324 Jun 24 Enroll'!T$1,FALSE),2)-AC100</f>
        <v>16.410000000000025</v>
      </c>
      <c r="AE100" s="6" cm="1">
        <f t="array" ref="AE100">ROUND($Z100*CLS_Base_Salary2324s*VLOOKUP($A100,EnrollData2324,'2324 Jun 24 Enroll'!S$1,FALSE),2)</f>
        <v>926.07</v>
      </c>
      <c r="AF100" s="6" cm="1">
        <f t="array" ref="AF100">ROUND($Z100*CLS_Inc_Salary2324s*VLOOKUP($A100,EnrollData2324,'2324 Jun 24 Enroll'!T$1,FALSE),2)-AE100</f>
        <v>34.259999999999991</v>
      </c>
      <c r="AG100" cm="1">
        <f t="array" ref="AG100">ROUND(($J100+$R100)*Apport_124X2324s,2)</f>
        <v>734.29</v>
      </c>
      <c r="AH100" s="69">
        <f t="shared" si="14"/>
        <v>68.700000000000045</v>
      </c>
      <c r="AI100" cm="1">
        <f t="array" ref="AI100">ROUND($Z100*Apport_124X2324s,2)</f>
        <v>218.54</v>
      </c>
      <c r="AJ100" cm="1">
        <f t="array" ref="AJ100">ROUND($Z100*Apport_621X2324s*Apport_125X2324s,2)-AI100</f>
        <v>116.51000000000002</v>
      </c>
      <c r="AK100" cm="1">
        <f t="array" ref="AK100">ROUND((AA100+AC100)*Apport_126X2324s,2)</f>
        <v>805.47</v>
      </c>
      <c r="AL100" cm="1">
        <f t="array" ref="AL100">ROUND((AB100+AD100)*Apport_127X2324s,2)</f>
        <v>28.74</v>
      </c>
      <c r="AM100" cm="1">
        <f t="array" ref="AM100">ROUND(AE100*Apport_128X2324s,2)</f>
        <v>204.29</v>
      </c>
      <c r="AN100" cm="1">
        <f t="array" ref="AN100">ROUND(AF100*Apport_129X2324s,2)</f>
        <v>6.36</v>
      </c>
      <c r="AO100" cm="1">
        <f t="array" ref="AO100">ROUND(($J100*CIS_Inc_Salary2324s*(VLOOKUP($A100,EnrollData2324,'2324 Jun 24 Enroll'!T$1,FALSE)+VLOOKUP($A100,EnrollData2324,'2324 Jun 24 Enroll'!U$1,FALSE))/Apport_613Xpd)*Apport_614Xpd,2)</f>
        <v>69.8</v>
      </c>
      <c r="AP100" cm="1">
        <f t="array" ref="AP100">ROUND(AO100*Apport_127X2324s,2)</f>
        <v>12.1</v>
      </c>
      <c r="AQ100">
        <f t="shared" si="15"/>
        <v>30.93</v>
      </c>
      <c r="AR100" s="6" cm="1">
        <f t="array" ref="AR100">ROUND((VLOOKUP($A100,EnrollData2324,'2324 Jun 24 Enroll'!D$1,FALSE)*Apport_M802324s+VLOOKUP($A100,EnrollData2324,'2324 Jun 24 Enroll'!M$1,FALSE)*Apport_M802324s+(VLOOKUP($A100,EnrollData2324,'2324 Jun 24 Enroll'!P$1,FALSE)+VLOOKUP($A100,EnrollData2324,'2324 Jun 24 Enroll'!Q$1,FALSE)+VLOOKUP($A100,EnrollData2324,'2324 Jun 24 Enroll'!R$1,FALSE)+VLOOKUP($A100,EnrollData2324,'2324 Jun 24 Enroll'!I$1,FALSE)+VLOOKUP($A100,EnrollData2324,'2324 Jun 24 Enroll'!N$1,FALSE)+VLOOKUP($A100,EnrollData2324,'2324 Jun 24 Enroll'!O$1,FALSE)+VLOOKUP($A100,EnrollData2324,'2324 Jun 24 Enroll'!K$1,FALSE)+VLOOKUP($A100,EnrollData2324,'2324 Jun 24 Enroll'!L$1,FALSE))*Apport_M812324s)/(VLOOKUP($A100,EnrollData2324,'2324 Jun 24 Enroll'!M$1,FALSE)+VLOOKUP($A100,EnrollData2324,'2324 Jun 24 Enroll'!D$1,FALSE)),2)</f>
        <v>1504.44</v>
      </c>
      <c r="AS100" s="7">
        <f t="shared" si="11"/>
        <v>9408.630000000001</v>
      </c>
    </row>
    <row r="101" spans="1:45">
      <c r="A101" s="40" t="s">
        <v>596</v>
      </c>
      <c r="B101" s="40" t="s">
        <v>597</v>
      </c>
      <c r="C101" s="11">
        <f>ROUND((IFERROR((1/IF(VLOOKUP($A101,EnrollData2324,28,FALSE)='District Calculations'!$D$10,VLOOKUP($A101,EnrollData2324,28,FALSE),'District Calculations'!$D$10))*(1+Apport_Z315),0))+Apport_201A2324s,6)</f>
        <v>7.3449E-2</v>
      </c>
      <c r="D101">
        <f>ROUND(IF(VLOOKUP($A101,EnrollData2324,'2324 Jun 24 Enroll'!D$1,FALSE)='District Calculations'!$D$11,VLOOKUP($A101,EnrollData2324,'2324 Jun 24 Enroll'!D$1,FALSE),'District Calculations'!$D$11)*C101,3)</f>
        <v>0</v>
      </c>
      <c r="E101">
        <f>ROUND(IF(VLOOKUP($A101,EnrollData2324,'2324 Jun 24 Enroll'!E$1,FALSE)='District Calculations'!$D$12,VLOOKUP($A101,EnrollData2324,'2324 Jun 24 Enroll'!E$1,FALSE),'District Calculations'!$D$12)*C101,3)</f>
        <v>59.53</v>
      </c>
      <c r="F101">
        <f>ROUND(IF(VLOOKUP($A101,EnrollData2324,'2324 Jun 24 Enroll'!F$1,FALSE)='District Calculations'!$D$13,VLOOKUP($A101,EnrollData2324,'2324 Jun 24 Enroll'!F$1,FALSE),'District Calculations'!$D$13)*Apport_222A2324s,3)</f>
        <v>10.101000000000001</v>
      </c>
      <c r="G101">
        <f>ROUND(IF(VLOOKUP($A101,EnrollData2324,'2324 Jun 24 Enroll'!G$1,FALSE)='District Calculations'!$D$14,VLOOKUP($A101,EnrollData2324,'2324 Jun 24 Enroll'!G$1,FALSE),'District Calculations'!$D$14)*Apport_210A2324s,3)</f>
        <v>22.395</v>
      </c>
      <c r="H101">
        <f>ROUND(IF(VLOOKUP($A101,EnrollData2324,'2324 Jun 24 Enroll'!H$1,FALSE)='District Calculations'!$D$15,VLOOKUP($A101,EnrollData2324,'2324 Jun 24 Enroll'!H$1,FALSE),'District Calculations'!$D$15)*Apport_213A2324s,3)</f>
        <v>23.091999999999999</v>
      </c>
      <c r="I101">
        <f>ROUND(IF(VLOOKUP($A101,EnrollData2324,'2324 Jun 24 Enroll'!I$1,FALSE)+VLOOKUP($A101,EnrollData2324,'2324 Jun 24 Enroll'!M$1,FALSE)-VLOOKUP($A101,EnrollData2324,'2324 Jun 24 Enroll'!J$1,FALSE)='District Calculations'!$D$16+'District Calculations'!$D$25-'District Calculations'!$D$17,VLOOKUP($A101,EnrollData2324,'2324 Jun 24 Enroll'!I$1,FALSE)+VLOOKUP($A101,EnrollData2324,'2324 Jun 24 Enroll'!M$1,FALSE)-VLOOKUP($A101,EnrollData2324,'2324 Jun 24 Enroll'!J$1,FALSE),'District Calculations'!$D$16+'District Calculations'!$D$25-'District Calculations'!$D$17)*Apport_216A2324s,3)</f>
        <v>58.183999999999997</v>
      </c>
      <c r="J101">
        <f>ROUND(SUM(D101:I101)/(IF(VLOOKUP($A101,EnrollData2324,'2324 Jun 24 Enroll'!M$1,FALSE)='District Calculations'!$D$25,VLOOKUP($A101,EnrollData2324,'2324 Jun 24 Enroll'!M$1,FALSE),'District Calculations'!$D$25)+IF(VLOOKUP($A101,EnrollData2324,'2324 Jun 24 Enroll'!D$1,FALSE)='District Calculations'!$D$11,VLOOKUP($A101,EnrollData2324,'2324 Jun 24 Enroll'!D$1,FALSE),'District Calculations'!$D$11)),5)</f>
        <v>5.5530000000000003E-2</v>
      </c>
      <c r="K101" s="11">
        <f t="shared" si="12"/>
        <v>4.3699999999999998E-3</v>
      </c>
      <c r="L101">
        <f>ROUND(IF(VLOOKUP($A101,EnrollData2324,'2324 Jun 24 Enroll'!D$1,FALSE)='District Calculations'!$D$11,VLOOKUP($A101,EnrollData2324,'2324 Jun 24 Enroll'!D$1,FALSE),'District Calculations'!$D$11)*K101,3)</f>
        <v>0</v>
      </c>
      <c r="M101">
        <f>ROUND(IF(VLOOKUP($A101,EnrollData2324,'2324 Jun 24 Enroll'!E$1,FALSE)='District Calculations'!$D$12,VLOOKUP($A101,EnrollData2324,'2324 Jun 24 Enroll'!E$1,FALSE),'District Calculations'!$D$12)*K101,3)</f>
        <v>3.5419999999999998</v>
      </c>
      <c r="N101">
        <f>ROUND(IF(VLOOKUP($A101,EnrollData2324,'2324 Jun 24 Enroll'!F$1,FALSE)='District Calculations'!$D$13,VLOOKUP($A101,EnrollData2324,'2324 Jun 24 Enroll'!F$1,FALSE),'District Calculations'!$D$13)*Apport_223A2324s,3)</f>
        <v>0.84299999999999997</v>
      </c>
      <c r="O101">
        <f>ROUND(IF(VLOOKUP($A101,EnrollData2324,'2324 Jun 24 Enroll'!G$1,FALSE)='District Calculations'!$D$14,VLOOKUP($A101,EnrollData2324,'2324 Jun 24 Enroll'!G$1,FALSE),'District Calculations'!$D$14)*Apport_211A2324s,3)</f>
        <v>1.87</v>
      </c>
      <c r="P101">
        <f>ROUND(IF(VLOOKUP($A101,EnrollData2324,'2324 Jun 24 Enroll'!H$1,FALSE)='District Calculations'!$D$14,VLOOKUP($A101,EnrollData2324,'2324 Jun 24 Enroll'!H$1,FALSE),'District Calculations'!$D$14)*Apport_214A2324s,3)</f>
        <v>1.8680000000000001</v>
      </c>
      <c r="Q101">
        <f>ROUND(IF(VLOOKUP($A101,EnrollData2324,'2324 Jun 24 Enroll'!I$1,FALSE)+VLOOKUP($A101,EnrollData2324,'2324 Jun 24 Enroll'!M$1,FALSE)-VLOOKUP($A101,EnrollData2324,'2324 Jun 24 Enroll'!J$1,FALSE)='District Calculations'!$D$16+'District Calculations'!$D$25-'District Calculations'!$D$17,VLOOKUP($A101,EnrollData2324,'2324 Jun 24 Enroll'!I$1,FALSE)+VLOOKUP($A101,EnrollData2324,'2324 Jun 24 Enroll'!M$1,FALSE)-VLOOKUP($A101,EnrollData2324,'2324 Jun 24 Enroll'!J$1,FALSE),'District Calculations'!$D$16+'District Calculations'!$D$25-'District Calculations'!$D$17)*Apport_217A2324s,3)</f>
        <v>4.702</v>
      </c>
      <c r="R101">
        <f>ROUND(SUM(L101:Q101)/IF(VLOOKUP($A101,EnrollData2324,'2324 Jun 24 Enroll'!M$1,FALSE)+VLOOKUP($A101,EnrollData2324,'2324 Jun 24 Enroll'!D$1,FALSE)='District Calculations'!$D$25+'District Calculations'!$D$11,VLOOKUP($A101,EnrollData2324,'2324 Jun 24 Enroll'!M$1,FALSE)+VLOOKUP($A101,EnrollData2324,'2324 Jun 24 Enroll'!D$1,FALSE),'District Calculations'!$D$25+'District Calculations'!$D$11),5)</f>
        <v>4.1099999999999999E-3</v>
      </c>
      <c r="S101" s="11">
        <f t="shared" si="13"/>
        <v>1.8689600000000001E-2</v>
      </c>
      <c r="T101">
        <f>ROUND(IF(VLOOKUP($A101,EnrollData2324,'2324 Jun 24 Enroll'!D$1,FALSE)='District Calculations'!$D$11,VLOOKUP($A101,EnrollData2324,'2324 Jun 24 Enroll'!D$1,FALSE),'District Calculations'!$D$11)*S101,3)</f>
        <v>0</v>
      </c>
      <c r="U101">
        <f>ROUND(IF(VLOOKUP($A101,EnrollData2324,'2324 Jun 24 Enroll'!E$1,FALSE)='District Calculations'!$D$12,VLOOKUP($A101,EnrollData2324,'2324 Jun 24 Enroll'!E$1,FALSE),'District Calculations'!$D$12)*S101,3)</f>
        <v>15.148</v>
      </c>
      <c r="V101">
        <f>ROUND(IF(VLOOKUP($A101,EnrollData2324,'2324 Jun 24 Enroll'!F$1,FALSE)='District Calculations'!$D$13,VLOOKUP($A101,EnrollData2324,'2324 Jun 24 Enroll'!F$1,FALSE),'District Calculations'!$D$13)*Apport_224A2324s,3)</f>
        <v>3.7029999999999998</v>
      </c>
      <c r="W101">
        <f>ROUND(IF(VLOOKUP($A101,EnrollData2324,'2324 Jun 24 Enroll'!G$1,FALSE)='District Calculations'!$D$14,VLOOKUP($A101,EnrollData2324,'2324 Jun 24 Enroll'!G$1,FALSE),'District Calculations'!$D$14)*Apport_212A2324s,3)</f>
        <v>8.2089999999999996</v>
      </c>
      <c r="X101">
        <f>ROUND(IF(VLOOKUP($A101,EnrollData2324,'2324 Jun 24 Enroll'!H$1,FALSE)='District Calculations'!$D$14,VLOOKUP($A101,EnrollData2324,'2324 Jun 24 Enroll'!H$1,FALSE),'District Calculations'!$D$14)*Apport_215A2324s,3)</f>
        <v>8.0969999999999995</v>
      </c>
      <c r="Y101">
        <f>ROUND(IF(VLOOKUP($A101,EnrollData2324,'2324 Jun 24 Enroll'!I$1,FALSE)+VLOOKUP($A101,EnrollData2324,'2324 Jun 24 Enroll'!M$1,FALSE)-VLOOKUP($A101,EnrollData2324,'2324 Jun 24 Enroll'!J$1,FALSE)='District Calculations'!$D$16+'District Calculations'!$D$25-'District Calculations'!$D$17,VLOOKUP($A101,EnrollData2324,'2324 Jun 24 Enroll'!I$1,FALSE)+VLOOKUP($A101,EnrollData2324,'2324 Jun 24 Enroll'!M$1,FALSE)-VLOOKUP($A101,EnrollData2324,'2324 Jun 24 Enroll'!J$1,FALSE),'District Calculations'!$D$16+'District Calculations'!$D$25-'District Calculations'!$D$17)*Apport_218A2324s,3)</f>
        <v>20.224</v>
      </c>
      <c r="Z101">
        <f>ROUND(SUM(T101:Y101)/IF(VLOOKUP($A101,EnrollData2324,'2324 Jun 24 Enroll'!M$1,FALSE)+VLOOKUP($A101,EnrollData2324,'2324 Jun 24 Enroll'!D$1,FALSE)='District Calculations'!$D$25+'District Calculations'!$D$11,VLOOKUP($A101,EnrollData2324,'2324 Jun 24 Enroll'!M$1,FALSE)+VLOOKUP($A101,EnrollData2324,'2324 Jun 24 Enroll'!D$1,FALSE),'District Calculations'!$D$25+'District Calculations'!$D$11),5)</f>
        <v>1.7749999999999998E-2</v>
      </c>
      <c r="AA101" s="6" cm="1">
        <f t="array" ref="AA101">ROUND($J101*CIS_Base_Salary2324s*VLOOKUP($A101,EnrollData2324,'2324 Jun 24 Enroll'!S$1,FALSE),2)</f>
        <v>4038.59</v>
      </c>
      <c r="AB101" s="6" cm="1">
        <f t="array" ref="AB101">ROUND($J101*CIS_Inc_Salary2324s*(VLOOKUP($A101,EnrollData2324,'2324 Jun 24 Enroll'!T$1,FALSE)+VLOOKUP($A101,EnrollData2324,'2324 Jun 24 Enroll'!U$1,FALSE)),2)-AA101</f>
        <v>316.94999999999982</v>
      </c>
      <c r="AC101" s="6" cm="1">
        <f t="array" ref="AC101">ROUND($R101*CAS_Base_Salary2324s*VLOOKUP($A101,EnrollData2324,'2324 Jun 24 Enroll'!S$1,FALSE),2)</f>
        <v>443.7</v>
      </c>
      <c r="AD101" s="6" cm="1">
        <f t="array" ref="AD101">ROUND($R101*CAS_Inc_Salary2324s*VLOOKUP($A101,EnrollData2324,'2324 Jun 24 Enroll'!T$1,FALSE),2)-AC101</f>
        <v>16.410000000000025</v>
      </c>
      <c r="AE101" s="6" cm="1">
        <f t="array" ref="AE101">ROUND($Z101*CLS_Base_Salary2324s*VLOOKUP($A101,EnrollData2324,'2324 Jun 24 Enroll'!S$1,FALSE),2)</f>
        <v>926.07</v>
      </c>
      <c r="AF101" s="6" cm="1">
        <f t="array" ref="AF101">ROUND($Z101*CLS_Inc_Salary2324s*VLOOKUP($A101,EnrollData2324,'2324 Jun 24 Enroll'!T$1,FALSE),2)-AE101</f>
        <v>34.259999999999991</v>
      </c>
      <c r="AG101" cm="1">
        <f t="array" ref="AG101">ROUND(($J101+$R101)*Apport_124X2324s,2)</f>
        <v>734.29</v>
      </c>
      <c r="AH101" s="69">
        <f t="shared" si="14"/>
        <v>68.700000000000045</v>
      </c>
      <c r="AI101" cm="1">
        <f t="array" ref="AI101">ROUND($Z101*Apport_124X2324s,2)</f>
        <v>218.54</v>
      </c>
      <c r="AJ101" cm="1">
        <f t="array" ref="AJ101">ROUND($Z101*Apport_621X2324s*Apport_125X2324s,2)-AI101</f>
        <v>116.51000000000002</v>
      </c>
      <c r="AK101" cm="1">
        <f t="array" ref="AK101">ROUND((AA101+AC101)*Apport_126X2324s,2)</f>
        <v>805.47</v>
      </c>
      <c r="AL101" cm="1">
        <f t="array" ref="AL101">ROUND((AB101+AD101)*Apport_127X2324s,2)</f>
        <v>57.77</v>
      </c>
      <c r="AM101" cm="1">
        <f t="array" ref="AM101">ROUND(AE101*Apport_128X2324s,2)</f>
        <v>204.29</v>
      </c>
      <c r="AN101" cm="1">
        <f t="array" ref="AN101">ROUND(AF101*Apport_129X2324s,2)</f>
        <v>6.36</v>
      </c>
      <c r="AO101" cm="1">
        <f t="array" ref="AO101">ROUND(($J101*CIS_Inc_Salary2324s*(VLOOKUP($A101,EnrollData2324,'2324 Jun 24 Enroll'!T$1,FALSE)+VLOOKUP($A101,EnrollData2324,'2324 Jun 24 Enroll'!U$1,FALSE))/Apport_613Xpd)*Apport_614Xpd,2)</f>
        <v>72.59</v>
      </c>
      <c r="AP101" cm="1">
        <f t="array" ref="AP101">ROUND(AO101*Apport_127X2324s,2)</f>
        <v>12.58</v>
      </c>
      <c r="AQ101">
        <f t="shared" si="15"/>
        <v>30.93</v>
      </c>
      <c r="AR101" s="6" cm="1">
        <f t="array" ref="AR101">ROUND((VLOOKUP($A101,EnrollData2324,'2324 Jun 24 Enroll'!D$1,FALSE)*Apport_M802324s+VLOOKUP($A101,EnrollData2324,'2324 Jun 24 Enroll'!M$1,FALSE)*Apport_M802324s+(VLOOKUP($A101,EnrollData2324,'2324 Jun 24 Enroll'!P$1,FALSE)+VLOOKUP($A101,EnrollData2324,'2324 Jun 24 Enroll'!Q$1,FALSE)+VLOOKUP($A101,EnrollData2324,'2324 Jun 24 Enroll'!R$1,FALSE)+VLOOKUP($A101,EnrollData2324,'2324 Jun 24 Enroll'!I$1,FALSE)+VLOOKUP($A101,EnrollData2324,'2324 Jun 24 Enroll'!N$1,FALSE)+VLOOKUP($A101,EnrollData2324,'2324 Jun 24 Enroll'!O$1,FALSE)+VLOOKUP($A101,EnrollData2324,'2324 Jun 24 Enroll'!K$1,FALSE)+VLOOKUP($A101,EnrollData2324,'2324 Jun 24 Enroll'!L$1,FALSE))*Apport_M812324s)/(VLOOKUP($A101,EnrollData2324,'2324 Jun 24 Enroll'!M$1,FALSE)+VLOOKUP($A101,EnrollData2324,'2324 Jun 24 Enroll'!D$1,FALSE)),2)</f>
        <v>1569.65</v>
      </c>
      <c r="AS101" s="7">
        <f t="shared" ref="AS101:AS165" si="16">SUM(AA101:AR101)</f>
        <v>9673.66</v>
      </c>
    </row>
    <row r="102" spans="1:45">
      <c r="A102" s="40" t="s">
        <v>446</v>
      </c>
      <c r="B102" s="40" t="s">
        <v>447</v>
      </c>
      <c r="C102" s="11">
        <f>ROUND((IFERROR((1/IF(VLOOKUP($A102,EnrollData2324,28,FALSE)='District Calculations'!$D$10,VLOOKUP($A102,EnrollData2324,28,FALSE),'District Calculations'!$D$10))*(1+Apport_Z315),0))+Apport_201A2324s,6)</f>
        <v>7.3449E-2</v>
      </c>
      <c r="D102">
        <f>ROUND(IF(VLOOKUP($A102,EnrollData2324,'2324 Jun 24 Enroll'!D$1,FALSE)='District Calculations'!$D$11,VLOOKUP($A102,EnrollData2324,'2324 Jun 24 Enroll'!D$1,FALSE),'District Calculations'!$D$11)*C102,3)</f>
        <v>0</v>
      </c>
      <c r="E102">
        <f>ROUND(IF(VLOOKUP($A102,EnrollData2324,'2324 Jun 24 Enroll'!E$1,FALSE)='District Calculations'!$D$12,VLOOKUP($A102,EnrollData2324,'2324 Jun 24 Enroll'!E$1,FALSE),'District Calculations'!$D$12)*C102,3)</f>
        <v>59.53</v>
      </c>
      <c r="F102">
        <f>ROUND(IF(VLOOKUP($A102,EnrollData2324,'2324 Jun 24 Enroll'!F$1,FALSE)='District Calculations'!$D$13,VLOOKUP($A102,EnrollData2324,'2324 Jun 24 Enroll'!F$1,FALSE),'District Calculations'!$D$13)*Apport_222A2324s,3)</f>
        <v>10.101000000000001</v>
      </c>
      <c r="G102">
        <f>ROUND(IF(VLOOKUP($A102,EnrollData2324,'2324 Jun 24 Enroll'!G$1,FALSE)='District Calculations'!$D$14,VLOOKUP($A102,EnrollData2324,'2324 Jun 24 Enroll'!G$1,FALSE),'District Calculations'!$D$14)*Apport_210A2324s,3)</f>
        <v>22.395</v>
      </c>
      <c r="H102">
        <f>ROUND(IF(VLOOKUP($A102,EnrollData2324,'2324 Jun 24 Enroll'!H$1,FALSE)='District Calculations'!$D$15,VLOOKUP($A102,EnrollData2324,'2324 Jun 24 Enroll'!H$1,FALSE),'District Calculations'!$D$15)*Apport_213A2324s,3)</f>
        <v>23.091999999999999</v>
      </c>
      <c r="I102">
        <f>ROUND(IF(VLOOKUP($A102,EnrollData2324,'2324 Jun 24 Enroll'!I$1,FALSE)+VLOOKUP($A102,EnrollData2324,'2324 Jun 24 Enroll'!M$1,FALSE)-VLOOKUP($A102,EnrollData2324,'2324 Jun 24 Enroll'!J$1,FALSE)='District Calculations'!$D$16+'District Calculations'!$D$25-'District Calculations'!$D$17,VLOOKUP($A102,EnrollData2324,'2324 Jun 24 Enroll'!I$1,FALSE)+VLOOKUP($A102,EnrollData2324,'2324 Jun 24 Enroll'!M$1,FALSE)-VLOOKUP($A102,EnrollData2324,'2324 Jun 24 Enroll'!J$1,FALSE),'District Calculations'!$D$16+'District Calculations'!$D$25-'District Calculations'!$D$17)*Apport_216A2324s,3)</f>
        <v>58.183999999999997</v>
      </c>
      <c r="J102">
        <f>ROUND(SUM(D102:I102)/(IF(VLOOKUP($A102,EnrollData2324,'2324 Jun 24 Enroll'!M$1,FALSE)='District Calculations'!$D$25,VLOOKUP($A102,EnrollData2324,'2324 Jun 24 Enroll'!M$1,FALSE),'District Calculations'!$D$25)+IF(VLOOKUP($A102,EnrollData2324,'2324 Jun 24 Enroll'!D$1,FALSE)='District Calculations'!$D$11,VLOOKUP($A102,EnrollData2324,'2324 Jun 24 Enroll'!D$1,FALSE),'District Calculations'!$D$11)),5)</f>
        <v>5.5530000000000003E-2</v>
      </c>
      <c r="K102" s="11">
        <f t="shared" si="12"/>
        <v>4.3699999999999998E-3</v>
      </c>
      <c r="L102">
        <f>ROUND(IF(VLOOKUP($A102,EnrollData2324,'2324 Jun 24 Enroll'!D$1,FALSE)='District Calculations'!$D$11,VLOOKUP($A102,EnrollData2324,'2324 Jun 24 Enroll'!D$1,FALSE),'District Calculations'!$D$11)*K102,3)</f>
        <v>0</v>
      </c>
      <c r="M102">
        <f>ROUND(IF(VLOOKUP($A102,EnrollData2324,'2324 Jun 24 Enroll'!E$1,FALSE)='District Calculations'!$D$12,VLOOKUP($A102,EnrollData2324,'2324 Jun 24 Enroll'!E$1,FALSE),'District Calculations'!$D$12)*K102,3)</f>
        <v>3.5419999999999998</v>
      </c>
      <c r="N102">
        <f>ROUND(IF(VLOOKUP($A102,EnrollData2324,'2324 Jun 24 Enroll'!F$1,FALSE)='District Calculations'!$D$13,VLOOKUP($A102,EnrollData2324,'2324 Jun 24 Enroll'!F$1,FALSE),'District Calculations'!$D$13)*Apport_223A2324s,3)</f>
        <v>0.84299999999999997</v>
      </c>
      <c r="O102">
        <f>ROUND(IF(VLOOKUP($A102,EnrollData2324,'2324 Jun 24 Enroll'!G$1,FALSE)='District Calculations'!$D$14,VLOOKUP($A102,EnrollData2324,'2324 Jun 24 Enroll'!G$1,FALSE),'District Calculations'!$D$14)*Apport_211A2324s,3)</f>
        <v>1.87</v>
      </c>
      <c r="P102">
        <f>ROUND(IF(VLOOKUP($A102,EnrollData2324,'2324 Jun 24 Enroll'!H$1,FALSE)='District Calculations'!$D$14,VLOOKUP($A102,EnrollData2324,'2324 Jun 24 Enroll'!H$1,FALSE),'District Calculations'!$D$14)*Apport_214A2324s,3)</f>
        <v>1.8680000000000001</v>
      </c>
      <c r="Q102">
        <f>ROUND(IF(VLOOKUP($A102,EnrollData2324,'2324 Jun 24 Enroll'!I$1,FALSE)+VLOOKUP($A102,EnrollData2324,'2324 Jun 24 Enroll'!M$1,FALSE)-VLOOKUP($A102,EnrollData2324,'2324 Jun 24 Enroll'!J$1,FALSE)='District Calculations'!$D$16+'District Calculations'!$D$25-'District Calculations'!$D$17,VLOOKUP($A102,EnrollData2324,'2324 Jun 24 Enroll'!I$1,FALSE)+VLOOKUP($A102,EnrollData2324,'2324 Jun 24 Enroll'!M$1,FALSE)-VLOOKUP($A102,EnrollData2324,'2324 Jun 24 Enroll'!J$1,FALSE),'District Calculations'!$D$16+'District Calculations'!$D$25-'District Calculations'!$D$17)*Apport_217A2324s,3)</f>
        <v>4.702</v>
      </c>
      <c r="R102">
        <f>ROUND(SUM(L102:Q102)/IF(VLOOKUP($A102,EnrollData2324,'2324 Jun 24 Enroll'!M$1,FALSE)+VLOOKUP($A102,EnrollData2324,'2324 Jun 24 Enroll'!D$1,FALSE)='District Calculations'!$D$25+'District Calculations'!$D$11,VLOOKUP($A102,EnrollData2324,'2324 Jun 24 Enroll'!M$1,FALSE)+VLOOKUP($A102,EnrollData2324,'2324 Jun 24 Enroll'!D$1,FALSE),'District Calculations'!$D$25+'District Calculations'!$D$11),5)</f>
        <v>4.1099999999999999E-3</v>
      </c>
      <c r="S102" s="11">
        <f t="shared" si="13"/>
        <v>1.8689600000000001E-2</v>
      </c>
      <c r="T102">
        <f>ROUND(IF(VLOOKUP($A102,EnrollData2324,'2324 Jun 24 Enroll'!D$1,FALSE)='District Calculations'!$D$11,VLOOKUP($A102,EnrollData2324,'2324 Jun 24 Enroll'!D$1,FALSE),'District Calculations'!$D$11)*S102,3)</f>
        <v>0</v>
      </c>
      <c r="U102">
        <f>ROUND(IF(VLOOKUP($A102,EnrollData2324,'2324 Jun 24 Enroll'!E$1,FALSE)='District Calculations'!$D$12,VLOOKUP($A102,EnrollData2324,'2324 Jun 24 Enroll'!E$1,FALSE),'District Calculations'!$D$12)*S102,3)</f>
        <v>15.148</v>
      </c>
      <c r="V102">
        <f>ROUND(IF(VLOOKUP($A102,EnrollData2324,'2324 Jun 24 Enroll'!F$1,FALSE)='District Calculations'!$D$13,VLOOKUP($A102,EnrollData2324,'2324 Jun 24 Enroll'!F$1,FALSE),'District Calculations'!$D$13)*Apport_224A2324s,3)</f>
        <v>3.7029999999999998</v>
      </c>
      <c r="W102">
        <f>ROUND(IF(VLOOKUP($A102,EnrollData2324,'2324 Jun 24 Enroll'!G$1,FALSE)='District Calculations'!$D$14,VLOOKUP($A102,EnrollData2324,'2324 Jun 24 Enroll'!G$1,FALSE),'District Calculations'!$D$14)*Apport_212A2324s,3)</f>
        <v>8.2089999999999996</v>
      </c>
      <c r="X102">
        <f>ROUND(IF(VLOOKUP($A102,EnrollData2324,'2324 Jun 24 Enroll'!H$1,FALSE)='District Calculations'!$D$14,VLOOKUP($A102,EnrollData2324,'2324 Jun 24 Enroll'!H$1,FALSE),'District Calculations'!$D$14)*Apport_215A2324s,3)</f>
        <v>8.0969999999999995</v>
      </c>
      <c r="Y102">
        <f>ROUND(IF(VLOOKUP($A102,EnrollData2324,'2324 Jun 24 Enroll'!I$1,FALSE)+VLOOKUP($A102,EnrollData2324,'2324 Jun 24 Enroll'!M$1,FALSE)-VLOOKUP($A102,EnrollData2324,'2324 Jun 24 Enroll'!J$1,FALSE)='District Calculations'!$D$16+'District Calculations'!$D$25-'District Calculations'!$D$17,VLOOKUP($A102,EnrollData2324,'2324 Jun 24 Enroll'!I$1,FALSE)+VLOOKUP($A102,EnrollData2324,'2324 Jun 24 Enroll'!M$1,FALSE)-VLOOKUP($A102,EnrollData2324,'2324 Jun 24 Enroll'!J$1,FALSE),'District Calculations'!$D$16+'District Calculations'!$D$25-'District Calculations'!$D$17)*Apport_218A2324s,3)</f>
        <v>20.224</v>
      </c>
      <c r="Z102">
        <f>ROUND(SUM(T102:Y102)/IF(VLOOKUP($A102,EnrollData2324,'2324 Jun 24 Enroll'!M$1,FALSE)+VLOOKUP($A102,EnrollData2324,'2324 Jun 24 Enroll'!D$1,FALSE)='District Calculations'!$D$25+'District Calculations'!$D$11,VLOOKUP($A102,EnrollData2324,'2324 Jun 24 Enroll'!M$1,FALSE)+VLOOKUP($A102,EnrollData2324,'2324 Jun 24 Enroll'!D$1,FALSE),'District Calculations'!$D$25+'District Calculations'!$D$11),5)</f>
        <v>1.7749999999999998E-2</v>
      </c>
      <c r="AA102" s="6" cm="1">
        <f t="array" ref="AA102">ROUND($J102*CIS_Base_Salary2324s*VLOOKUP($A102,EnrollData2324,'2324 Jun 24 Enroll'!S$1,FALSE),2)</f>
        <v>4038.59</v>
      </c>
      <c r="AB102" s="6" cm="1">
        <f t="array" ref="AB102">ROUND($J102*CIS_Inc_Salary2324s*(VLOOKUP($A102,EnrollData2324,'2324 Jun 24 Enroll'!T$1,FALSE)+VLOOKUP($A102,EnrollData2324,'2324 Jun 24 Enroll'!U$1,FALSE)),2)-AA102</f>
        <v>233.1899999999996</v>
      </c>
      <c r="AC102" s="6" cm="1">
        <f t="array" ref="AC102">ROUND($R102*CAS_Base_Salary2324s*VLOOKUP($A102,EnrollData2324,'2324 Jun 24 Enroll'!S$1,FALSE),2)</f>
        <v>443.7</v>
      </c>
      <c r="AD102" s="6" cm="1">
        <f t="array" ref="AD102">ROUND($R102*CAS_Inc_Salary2324s*VLOOKUP($A102,EnrollData2324,'2324 Jun 24 Enroll'!T$1,FALSE),2)-AC102</f>
        <v>16.410000000000025</v>
      </c>
      <c r="AE102" s="6" cm="1">
        <f t="array" ref="AE102">ROUND($Z102*CLS_Base_Salary2324s*VLOOKUP($A102,EnrollData2324,'2324 Jun 24 Enroll'!S$1,FALSE),2)</f>
        <v>926.07</v>
      </c>
      <c r="AF102" s="6" cm="1">
        <f t="array" ref="AF102">ROUND($Z102*CLS_Inc_Salary2324s*VLOOKUP($A102,EnrollData2324,'2324 Jun 24 Enroll'!T$1,FALSE),2)-AE102</f>
        <v>34.259999999999991</v>
      </c>
      <c r="AG102" cm="1">
        <f t="array" ref="AG102">ROUND(($J102+$R102)*Apport_124X2324s,2)</f>
        <v>734.29</v>
      </c>
      <c r="AH102" s="69">
        <f t="shared" si="14"/>
        <v>68.700000000000045</v>
      </c>
      <c r="AI102" cm="1">
        <f t="array" ref="AI102">ROUND($Z102*Apport_124X2324s,2)</f>
        <v>218.54</v>
      </c>
      <c r="AJ102" cm="1">
        <f t="array" ref="AJ102">ROUND($Z102*Apport_621X2324s*Apport_125X2324s,2)-AI102</f>
        <v>116.51000000000002</v>
      </c>
      <c r="AK102" cm="1">
        <f t="array" ref="AK102">ROUND((AA102+AC102)*Apport_126X2324s,2)</f>
        <v>805.47</v>
      </c>
      <c r="AL102" cm="1">
        <f t="array" ref="AL102">ROUND((AB102+AD102)*Apport_127X2324s,2)</f>
        <v>43.26</v>
      </c>
      <c r="AM102" cm="1">
        <f t="array" ref="AM102">ROUND(AE102*Apport_128X2324s,2)</f>
        <v>204.29</v>
      </c>
      <c r="AN102" cm="1">
        <f t="array" ref="AN102">ROUND(AF102*Apport_129X2324s,2)</f>
        <v>6.36</v>
      </c>
      <c r="AO102" cm="1">
        <f t="array" ref="AO102">ROUND(($J102*CIS_Inc_Salary2324s*(VLOOKUP($A102,EnrollData2324,'2324 Jun 24 Enroll'!T$1,FALSE)+VLOOKUP($A102,EnrollData2324,'2324 Jun 24 Enroll'!U$1,FALSE))/Apport_613Xpd)*Apport_614Xpd,2)</f>
        <v>71.2</v>
      </c>
      <c r="AP102" cm="1">
        <f t="array" ref="AP102">ROUND(AO102*Apport_127X2324s,2)</f>
        <v>12.34</v>
      </c>
      <c r="AQ102">
        <f t="shared" si="15"/>
        <v>30.93</v>
      </c>
      <c r="AR102" s="6" cm="1">
        <f t="array" ref="AR102">ROUND((VLOOKUP($A102,EnrollData2324,'2324 Jun 24 Enroll'!D$1,FALSE)*Apport_M802324s+VLOOKUP($A102,EnrollData2324,'2324 Jun 24 Enroll'!M$1,FALSE)*Apport_M802324s+(VLOOKUP($A102,EnrollData2324,'2324 Jun 24 Enroll'!P$1,FALSE)+VLOOKUP($A102,EnrollData2324,'2324 Jun 24 Enroll'!Q$1,FALSE)+VLOOKUP($A102,EnrollData2324,'2324 Jun 24 Enroll'!R$1,FALSE)+VLOOKUP($A102,EnrollData2324,'2324 Jun 24 Enroll'!I$1,FALSE)+VLOOKUP($A102,EnrollData2324,'2324 Jun 24 Enroll'!N$1,FALSE)+VLOOKUP($A102,EnrollData2324,'2324 Jun 24 Enroll'!O$1,FALSE)+VLOOKUP($A102,EnrollData2324,'2324 Jun 24 Enroll'!K$1,FALSE)+VLOOKUP($A102,EnrollData2324,'2324 Jun 24 Enroll'!L$1,FALSE))*Apport_M812324s)/(VLOOKUP($A102,EnrollData2324,'2324 Jun 24 Enroll'!M$1,FALSE)+VLOOKUP($A102,EnrollData2324,'2324 Jun 24 Enroll'!D$1,FALSE)),2)</f>
        <v>1582.19</v>
      </c>
      <c r="AS102" s="7">
        <f t="shared" si="16"/>
        <v>9586.2999999999993</v>
      </c>
    </row>
    <row r="103" spans="1:45">
      <c r="A103" s="40" t="s">
        <v>811</v>
      </c>
      <c r="B103" s="40" t="s">
        <v>812</v>
      </c>
      <c r="C103" s="11">
        <f>ROUND((IFERROR((1/IF(VLOOKUP($A103,EnrollData2324,28,FALSE)='District Calculations'!$D$10,VLOOKUP($A103,EnrollData2324,28,FALSE),'District Calculations'!$D$10))*(1+Apport_Z315),0))+Apport_201A2324s,6)</f>
        <v>7.3449E-2</v>
      </c>
      <c r="D103">
        <f>ROUND(IF(VLOOKUP($A103,EnrollData2324,'2324 Jun 24 Enroll'!D$1,FALSE)='District Calculations'!$D$11,VLOOKUP($A103,EnrollData2324,'2324 Jun 24 Enroll'!D$1,FALSE),'District Calculations'!$D$11)*C103,3)</f>
        <v>0</v>
      </c>
      <c r="E103">
        <f>ROUND(IF(VLOOKUP($A103,EnrollData2324,'2324 Jun 24 Enroll'!E$1,FALSE)='District Calculations'!$D$12,VLOOKUP($A103,EnrollData2324,'2324 Jun 24 Enroll'!E$1,FALSE),'District Calculations'!$D$12)*C103,3)</f>
        <v>59.53</v>
      </c>
      <c r="F103">
        <f>ROUND(IF(VLOOKUP($A103,EnrollData2324,'2324 Jun 24 Enroll'!F$1,FALSE)='District Calculations'!$D$13,VLOOKUP($A103,EnrollData2324,'2324 Jun 24 Enroll'!F$1,FALSE),'District Calculations'!$D$13)*Apport_222A2324s,3)</f>
        <v>10.101000000000001</v>
      </c>
      <c r="G103">
        <f>ROUND(IF(VLOOKUP($A103,EnrollData2324,'2324 Jun 24 Enroll'!G$1,FALSE)='District Calculations'!$D$14,VLOOKUP($A103,EnrollData2324,'2324 Jun 24 Enroll'!G$1,FALSE),'District Calculations'!$D$14)*Apport_210A2324s,3)</f>
        <v>22.395</v>
      </c>
      <c r="H103">
        <f>ROUND(IF(VLOOKUP($A103,EnrollData2324,'2324 Jun 24 Enroll'!H$1,FALSE)='District Calculations'!$D$15,VLOOKUP($A103,EnrollData2324,'2324 Jun 24 Enroll'!H$1,FALSE),'District Calculations'!$D$15)*Apport_213A2324s,3)</f>
        <v>23.091999999999999</v>
      </c>
      <c r="I103">
        <f>ROUND(IF(VLOOKUP($A103,EnrollData2324,'2324 Jun 24 Enroll'!I$1,FALSE)+VLOOKUP($A103,EnrollData2324,'2324 Jun 24 Enroll'!M$1,FALSE)-VLOOKUP($A103,EnrollData2324,'2324 Jun 24 Enroll'!J$1,FALSE)='District Calculations'!$D$16+'District Calculations'!$D$25-'District Calculations'!$D$17,VLOOKUP($A103,EnrollData2324,'2324 Jun 24 Enroll'!I$1,FALSE)+VLOOKUP($A103,EnrollData2324,'2324 Jun 24 Enroll'!M$1,FALSE)-VLOOKUP($A103,EnrollData2324,'2324 Jun 24 Enroll'!J$1,FALSE),'District Calculations'!$D$16+'District Calculations'!$D$25-'District Calculations'!$D$17)*Apport_216A2324s,3)</f>
        <v>58.183999999999997</v>
      </c>
      <c r="J103">
        <f>ROUND(SUM(D103:I103)/(IF(VLOOKUP($A103,EnrollData2324,'2324 Jun 24 Enroll'!M$1,FALSE)='District Calculations'!$D$25,VLOOKUP($A103,EnrollData2324,'2324 Jun 24 Enroll'!M$1,FALSE),'District Calculations'!$D$25)+IF(VLOOKUP($A103,EnrollData2324,'2324 Jun 24 Enroll'!D$1,FALSE)='District Calculations'!$D$11,VLOOKUP($A103,EnrollData2324,'2324 Jun 24 Enroll'!D$1,FALSE),'District Calculations'!$D$11)),5)</f>
        <v>5.5530000000000003E-2</v>
      </c>
      <c r="K103" s="11">
        <f t="shared" si="12"/>
        <v>4.3699999999999998E-3</v>
      </c>
      <c r="L103">
        <f>ROUND(IF(VLOOKUP($A103,EnrollData2324,'2324 Jun 24 Enroll'!D$1,FALSE)='District Calculations'!$D$11,VLOOKUP($A103,EnrollData2324,'2324 Jun 24 Enroll'!D$1,FALSE),'District Calculations'!$D$11)*K103,3)</f>
        <v>0</v>
      </c>
      <c r="M103">
        <f>ROUND(IF(VLOOKUP($A103,EnrollData2324,'2324 Jun 24 Enroll'!E$1,FALSE)='District Calculations'!$D$12,VLOOKUP($A103,EnrollData2324,'2324 Jun 24 Enroll'!E$1,FALSE),'District Calculations'!$D$12)*K103,3)</f>
        <v>3.5419999999999998</v>
      </c>
      <c r="N103">
        <f>ROUND(IF(VLOOKUP($A103,EnrollData2324,'2324 Jun 24 Enroll'!F$1,FALSE)='District Calculations'!$D$13,VLOOKUP($A103,EnrollData2324,'2324 Jun 24 Enroll'!F$1,FALSE),'District Calculations'!$D$13)*Apport_223A2324s,3)</f>
        <v>0.84299999999999997</v>
      </c>
      <c r="O103">
        <f>ROUND(IF(VLOOKUP($A103,EnrollData2324,'2324 Jun 24 Enroll'!G$1,FALSE)='District Calculations'!$D$14,VLOOKUP($A103,EnrollData2324,'2324 Jun 24 Enroll'!G$1,FALSE),'District Calculations'!$D$14)*Apport_211A2324s,3)</f>
        <v>1.87</v>
      </c>
      <c r="P103">
        <f>ROUND(IF(VLOOKUP($A103,EnrollData2324,'2324 Jun 24 Enroll'!H$1,FALSE)='District Calculations'!$D$14,VLOOKUP($A103,EnrollData2324,'2324 Jun 24 Enroll'!H$1,FALSE),'District Calculations'!$D$14)*Apport_214A2324s,3)</f>
        <v>1.8680000000000001</v>
      </c>
      <c r="Q103">
        <f>ROUND(IF(VLOOKUP($A103,EnrollData2324,'2324 Jun 24 Enroll'!I$1,FALSE)+VLOOKUP($A103,EnrollData2324,'2324 Jun 24 Enroll'!M$1,FALSE)-VLOOKUP($A103,EnrollData2324,'2324 Jun 24 Enroll'!J$1,FALSE)='District Calculations'!$D$16+'District Calculations'!$D$25-'District Calculations'!$D$17,VLOOKUP($A103,EnrollData2324,'2324 Jun 24 Enroll'!I$1,FALSE)+VLOOKUP($A103,EnrollData2324,'2324 Jun 24 Enroll'!M$1,FALSE)-VLOOKUP($A103,EnrollData2324,'2324 Jun 24 Enroll'!J$1,FALSE),'District Calculations'!$D$16+'District Calculations'!$D$25-'District Calculations'!$D$17)*Apport_217A2324s,3)</f>
        <v>4.702</v>
      </c>
      <c r="R103">
        <f>ROUND(SUM(L103:Q103)/IF(VLOOKUP($A103,EnrollData2324,'2324 Jun 24 Enroll'!M$1,FALSE)+VLOOKUP($A103,EnrollData2324,'2324 Jun 24 Enroll'!D$1,FALSE)='District Calculations'!$D$25+'District Calculations'!$D$11,VLOOKUP($A103,EnrollData2324,'2324 Jun 24 Enroll'!M$1,FALSE)+VLOOKUP($A103,EnrollData2324,'2324 Jun 24 Enroll'!D$1,FALSE),'District Calculations'!$D$25+'District Calculations'!$D$11),5)</f>
        <v>4.1099999999999999E-3</v>
      </c>
      <c r="S103" s="11">
        <f t="shared" si="13"/>
        <v>1.8689600000000001E-2</v>
      </c>
      <c r="T103">
        <f>ROUND(IF(VLOOKUP($A103,EnrollData2324,'2324 Jun 24 Enroll'!D$1,FALSE)='District Calculations'!$D$11,VLOOKUP($A103,EnrollData2324,'2324 Jun 24 Enroll'!D$1,FALSE),'District Calculations'!$D$11)*S103,3)</f>
        <v>0</v>
      </c>
      <c r="U103">
        <f>ROUND(IF(VLOOKUP($A103,EnrollData2324,'2324 Jun 24 Enroll'!E$1,FALSE)='District Calculations'!$D$12,VLOOKUP($A103,EnrollData2324,'2324 Jun 24 Enroll'!E$1,FALSE),'District Calculations'!$D$12)*S103,3)</f>
        <v>15.148</v>
      </c>
      <c r="V103">
        <f>ROUND(IF(VLOOKUP($A103,EnrollData2324,'2324 Jun 24 Enroll'!F$1,FALSE)='District Calculations'!$D$13,VLOOKUP($A103,EnrollData2324,'2324 Jun 24 Enroll'!F$1,FALSE),'District Calculations'!$D$13)*Apport_224A2324s,3)</f>
        <v>3.7029999999999998</v>
      </c>
      <c r="W103">
        <f>ROUND(IF(VLOOKUP($A103,EnrollData2324,'2324 Jun 24 Enroll'!G$1,FALSE)='District Calculations'!$D$14,VLOOKUP($A103,EnrollData2324,'2324 Jun 24 Enroll'!G$1,FALSE),'District Calculations'!$D$14)*Apport_212A2324s,3)</f>
        <v>8.2089999999999996</v>
      </c>
      <c r="X103">
        <f>ROUND(IF(VLOOKUP($A103,EnrollData2324,'2324 Jun 24 Enroll'!H$1,FALSE)='District Calculations'!$D$14,VLOOKUP($A103,EnrollData2324,'2324 Jun 24 Enroll'!H$1,FALSE),'District Calculations'!$D$14)*Apport_215A2324s,3)</f>
        <v>8.0969999999999995</v>
      </c>
      <c r="Y103">
        <f>ROUND(IF(VLOOKUP($A103,EnrollData2324,'2324 Jun 24 Enroll'!I$1,FALSE)+VLOOKUP($A103,EnrollData2324,'2324 Jun 24 Enroll'!M$1,FALSE)-VLOOKUP($A103,EnrollData2324,'2324 Jun 24 Enroll'!J$1,FALSE)='District Calculations'!$D$16+'District Calculations'!$D$25-'District Calculations'!$D$17,VLOOKUP($A103,EnrollData2324,'2324 Jun 24 Enroll'!I$1,FALSE)+VLOOKUP($A103,EnrollData2324,'2324 Jun 24 Enroll'!M$1,FALSE)-VLOOKUP($A103,EnrollData2324,'2324 Jun 24 Enroll'!J$1,FALSE),'District Calculations'!$D$16+'District Calculations'!$D$25-'District Calculations'!$D$17)*Apport_218A2324s,3)</f>
        <v>20.224</v>
      </c>
      <c r="Z103">
        <f>ROUND(SUM(T103:Y103)/IF(VLOOKUP($A103,EnrollData2324,'2324 Jun 24 Enroll'!M$1,FALSE)+VLOOKUP($A103,EnrollData2324,'2324 Jun 24 Enroll'!D$1,FALSE)='District Calculations'!$D$25+'District Calculations'!$D$11,VLOOKUP($A103,EnrollData2324,'2324 Jun 24 Enroll'!M$1,FALSE)+VLOOKUP($A103,EnrollData2324,'2324 Jun 24 Enroll'!D$1,FALSE),'District Calculations'!$D$25+'District Calculations'!$D$11),5)</f>
        <v>1.7749999999999998E-2</v>
      </c>
      <c r="AA103" s="6" cm="1">
        <f t="array" ref="AA103">ROUND($J103*CIS_Base_Salary2324s*VLOOKUP($A103,EnrollData2324,'2324 Jun 24 Enroll'!S$1,FALSE),2)</f>
        <v>4038.59</v>
      </c>
      <c r="AB103" s="6" cm="1">
        <f t="array" ref="AB103">ROUND($J103*CIS_Inc_Salary2324s*(VLOOKUP($A103,EnrollData2324,'2324 Jun 24 Enroll'!T$1,FALSE)+VLOOKUP($A103,EnrollData2324,'2324 Jun 24 Enroll'!U$1,FALSE)),2)-AA103</f>
        <v>149.43000000000029</v>
      </c>
      <c r="AC103" s="6" cm="1">
        <f t="array" ref="AC103">ROUND($R103*CAS_Base_Salary2324s*VLOOKUP($A103,EnrollData2324,'2324 Jun 24 Enroll'!S$1,FALSE),2)</f>
        <v>443.7</v>
      </c>
      <c r="AD103" s="6" cm="1">
        <f t="array" ref="AD103">ROUND($R103*CAS_Inc_Salary2324s*VLOOKUP($A103,EnrollData2324,'2324 Jun 24 Enroll'!T$1,FALSE),2)-AC103</f>
        <v>16.410000000000025</v>
      </c>
      <c r="AE103" s="6" cm="1">
        <f t="array" ref="AE103">ROUND($Z103*CLS_Base_Salary2324s*VLOOKUP($A103,EnrollData2324,'2324 Jun 24 Enroll'!S$1,FALSE),2)</f>
        <v>926.07</v>
      </c>
      <c r="AF103" s="6" cm="1">
        <f t="array" ref="AF103">ROUND($Z103*CLS_Inc_Salary2324s*VLOOKUP($A103,EnrollData2324,'2324 Jun 24 Enroll'!T$1,FALSE),2)-AE103</f>
        <v>34.259999999999991</v>
      </c>
      <c r="AG103" cm="1">
        <f t="array" ref="AG103">ROUND(($J103+$R103)*Apport_124X2324s,2)</f>
        <v>734.29</v>
      </c>
      <c r="AH103" s="69">
        <f t="shared" si="14"/>
        <v>68.700000000000045</v>
      </c>
      <c r="AI103" cm="1">
        <f t="array" ref="AI103">ROUND($Z103*Apport_124X2324s,2)</f>
        <v>218.54</v>
      </c>
      <c r="AJ103" cm="1">
        <f t="array" ref="AJ103">ROUND($Z103*Apport_621X2324s*Apport_125X2324s,2)-AI103</f>
        <v>116.51000000000002</v>
      </c>
      <c r="AK103" cm="1">
        <f t="array" ref="AK103">ROUND((AA103+AC103)*Apport_126X2324s,2)</f>
        <v>805.47</v>
      </c>
      <c r="AL103" cm="1">
        <f t="array" ref="AL103">ROUND((AB103+AD103)*Apport_127X2324s,2)</f>
        <v>28.74</v>
      </c>
      <c r="AM103" cm="1">
        <f t="array" ref="AM103">ROUND(AE103*Apport_128X2324s,2)</f>
        <v>204.29</v>
      </c>
      <c r="AN103" cm="1">
        <f t="array" ref="AN103">ROUND(AF103*Apport_129X2324s,2)</f>
        <v>6.36</v>
      </c>
      <c r="AO103" cm="1">
        <f t="array" ref="AO103">ROUND(($J103*CIS_Inc_Salary2324s*(VLOOKUP($A103,EnrollData2324,'2324 Jun 24 Enroll'!T$1,FALSE)+VLOOKUP($A103,EnrollData2324,'2324 Jun 24 Enroll'!U$1,FALSE))/Apport_613Xpd)*Apport_614Xpd,2)</f>
        <v>69.8</v>
      </c>
      <c r="AP103" cm="1">
        <f t="array" ref="AP103">ROUND(AO103*Apport_127X2324s,2)</f>
        <v>12.1</v>
      </c>
      <c r="AQ103">
        <f t="shared" si="15"/>
        <v>30.93</v>
      </c>
      <c r="AR103" s="6" cm="1">
        <f t="array" ref="AR103">ROUND((VLOOKUP($A103,EnrollData2324,'2324 Jun 24 Enroll'!D$1,FALSE)*Apport_M802324s+VLOOKUP($A103,EnrollData2324,'2324 Jun 24 Enroll'!M$1,FALSE)*Apport_M802324s+(VLOOKUP($A103,EnrollData2324,'2324 Jun 24 Enroll'!P$1,FALSE)+VLOOKUP($A103,EnrollData2324,'2324 Jun 24 Enroll'!Q$1,FALSE)+VLOOKUP($A103,EnrollData2324,'2324 Jun 24 Enroll'!R$1,FALSE)+VLOOKUP($A103,EnrollData2324,'2324 Jun 24 Enroll'!I$1,FALSE)+VLOOKUP($A103,EnrollData2324,'2324 Jun 24 Enroll'!N$1,FALSE)+VLOOKUP($A103,EnrollData2324,'2324 Jun 24 Enroll'!O$1,FALSE)+VLOOKUP($A103,EnrollData2324,'2324 Jun 24 Enroll'!K$1,FALSE)+VLOOKUP($A103,EnrollData2324,'2324 Jun 24 Enroll'!L$1,FALSE))*Apport_M812324s)/(VLOOKUP($A103,EnrollData2324,'2324 Jun 24 Enroll'!M$1,FALSE)+VLOOKUP($A103,EnrollData2324,'2324 Jun 24 Enroll'!D$1,FALSE)),2)</f>
        <v>1574.97</v>
      </c>
      <c r="AS103" s="7">
        <f t="shared" si="16"/>
        <v>9479.16</v>
      </c>
    </row>
    <row r="104" spans="1:45">
      <c r="A104" s="40" t="s">
        <v>406</v>
      </c>
      <c r="B104" s="40" t="s">
        <v>407</v>
      </c>
      <c r="C104" s="11">
        <f>ROUND((IFERROR((1/IF(VLOOKUP($A104,EnrollData2324,28,FALSE)='District Calculations'!$D$10,VLOOKUP($A104,EnrollData2324,28,FALSE),'District Calculations'!$D$10))*(1+Apport_Z315),0))+Apport_201A2324s,6)</f>
        <v>7.3449E-2</v>
      </c>
      <c r="D104">
        <f>ROUND(IF(VLOOKUP($A104,EnrollData2324,'2324 Jun 24 Enroll'!D$1,FALSE)='District Calculations'!$D$11,VLOOKUP($A104,EnrollData2324,'2324 Jun 24 Enroll'!D$1,FALSE),'District Calculations'!$D$11)*C104,3)</f>
        <v>0</v>
      </c>
      <c r="E104">
        <f>ROUND(IF(VLOOKUP($A104,EnrollData2324,'2324 Jun 24 Enroll'!E$1,FALSE)='District Calculations'!$D$12,VLOOKUP($A104,EnrollData2324,'2324 Jun 24 Enroll'!E$1,FALSE),'District Calculations'!$D$12)*C104,3)</f>
        <v>59.53</v>
      </c>
      <c r="F104">
        <f>ROUND(IF(VLOOKUP($A104,EnrollData2324,'2324 Jun 24 Enroll'!F$1,FALSE)='District Calculations'!$D$13,VLOOKUP($A104,EnrollData2324,'2324 Jun 24 Enroll'!F$1,FALSE),'District Calculations'!$D$13)*Apport_222A2324s,3)</f>
        <v>10.101000000000001</v>
      </c>
      <c r="G104">
        <f>ROUND(IF(VLOOKUP($A104,EnrollData2324,'2324 Jun 24 Enroll'!G$1,FALSE)='District Calculations'!$D$14,VLOOKUP($A104,EnrollData2324,'2324 Jun 24 Enroll'!G$1,FALSE),'District Calculations'!$D$14)*Apport_210A2324s,3)</f>
        <v>22.395</v>
      </c>
      <c r="H104">
        <f>ROUND(IF(VLOOKUP($A104,EnrollData2324,'2324 Jun 24 Enroll'!H$1,FALSE)='District Calculations'!$D$15,VLOOKUP($A104,EnrollData2324,'2324 Jun 24 Enroll'!H$1,FALSE),'District Calculations'!$D$15)*Apport_213A2324s,3)</f>
        <v>23.091999999999999</v>
      </c>
      <c r="I104">
        <f>ROUND(IF(VLOOKUP($A104,EnrollData2324,'2324 Jun 24 Enroll'!I$1,FALSE)+VLOOKUP($A104,EnrollData2324,'2324 Jun 24 Enroll'!M$1,FALSE)-VLOOKUP($A104,EnrollData2324,'2324 Jun 24 Enroll'!J$1,FALSE)='District Calculations'!$D$16+'District Calculations'!$D$25-'District Calculations'!$D$17,VLOOKUP($A104,EnrollData2324,'2324 Jun 24 Enroll'!I$1,FALSE)+VLOOKUP($A104,EnrollData2324,'2324 Jun 24 Enroll'!M$1,FALSE)-VLOOKUP($A104,EnrollData2324,'2324 Jun 24 Enroll'!J$1,FALSE),'District Calculations'!$D$16+'District Calculations'!$D$25-'District Calculations'!$D$17)*Apport_216A2324s,3)</f>
        <v>58.183999999999997</v>
      </c>
      <c r="J104">
        <f>ROUND(SUM(D104:I104)/(IF(VLOOKUP($A104,EnrollData2324,'2324 Jun 24 Enroll'!M$1,FALSE)='District Calculations'!$D$25,VLOOKUP($A104,EnrollData2324,'2324 Jun 24 Enroll'!M$1,FALSE),'District Calculations'!$D$25)+IF(VLOOKUP($A104,EnrollData2324,'2324 Jun 24 Enroll'!D$1,FALSE)='District Calculations'!$D$11,VLOOKUP($A104,EnrollData2324,'2324 Jun 24 Enroll'!D$1,FALSE),'District Calculations'!$D$11)),5)</f>
        <v>5.5530000000000003E-2</v>
      </c>
      <c r="K104" s="11">
        <f t="shared" si="12"/>
        <v>4.3699999999999998E-3</v>
      </c>
      <c r="L104">
        <f>ROUND(IF(VLOOKUP($A104,EnrollData2324,'2324 Jun 24 Enroll'!D$1,FALSE)='District Calculations'!$D$11,VLOOKUP($A104,EnrollData2324,'2324 Jun 24 Enroll'!D$1,FALSE),'District Calculations'!$D$11)*K104,3)</f>
        <v>0</v>
      </c>
      <c r="M104">
        <f>ROUND(IF(VLOOKUP($A104,EnrollData2324,'2324 Jun 24 Enroll'!E$1,FALSE)='District Calculations'!$D$12,VLOOKUP($A104,EnrollData2324,'2324 Jun 24 Enroll'!E$1,FALSE),'District Calculations'!$D$12)*K104,3)</f>
        <v>3.5419999999999998</v>
      </c>
      <c r="N104">
        <f>ROUND(IF(VLOOKUP($A104,EnrollData2324,'2324 Jun 24 Enroll'!F$1,FALSE)='District Calculations'!$D$13,VLOOKUP($A104,EnrollData2324,'2324 Jun 24 Enroll'!F$1,FALSE),'District Calculations'!$D$13)*Apport_223A2324s,3)</f>
        <v>0.84299999999999997</v>
      </c>
      <c r="O104">
        <f>ROUND(IF(VLOOKUP($A104,EnrollData2324,'2324 Jun 24 Enroll'!G$1,FALSE)='District Calculations'!$D$14,VLOOKUP($A104,EnrollData2324,'2324 Jun 24 Enroll'!G$1,FALSE),'District Calculations'!$D$14)*Apport_211A2324s,3)</f>
        <v>1.87</v>
      </c>
      <c r="P104">
        <f>ROUND(IF(VLOOKUP($A104,EnrollData2324,'2324 Jun 24 Enroll'!H$1,FALSE)='District Calculations'!$D$14,VLOOKUP($A104,EnrollData2324,'2324 Jun 24 Enroll'!H$1,FALSE),'District Calculations'!$D$14)*Apport_214A2324s,3)</f>
        <v>1.8680000000000001</v>
      </c>
      <c r="Q104">
        <f>ROUND(IF(VLOOKUP($A104,EnrollData2324,'2324 Jun 24 Enroll'!I$1,FALSE)+VLOOKUP($A104,EnrollData2324,'2324 Jun 24 Enroll'!M$1,FALSE)-VLOOKUP($A104,EnrollData2324,'2324 Jun 24 Enroll'!J$1,FALSE)='District Calculations'!$D$16+'District Calculations'!$D$25-'District Calculations'!$D$17,VLOOKUP($A104,EnrollData2324,'2324 Jun 24 Enroll'!I$1,FALSE)+VLOOKUP($A104,EnrollData2324,'2324 Jun 24 Enroll'!M$1,FALSE)-VLOOKUP($A104,EnrollData2324,'2324 Jun 24 Enroll'!J$1,FALSE),'District Calculations'!$D$16+'District Calculations'!$D$25-'District Calculations'!$D$17)*Apport_217A2324s,3)</f>
        <v>4.702</v>
      </c>
      <c r="R104">
        <f>ROUND(SUM(L104:Q104)/IF(VLOOKUP($A104,EnrollData2324,'2324 Jun 24 Enroll'!M$1,FALSE)+VLOOKUP($A104,EnrollData2324,'2324 Jun 24 Enroll'!D$1,FALSE)='District Calculations'!$D$25+'District Calculations'!$D$11,VLOOKUP($A104,EnrollData2324,'2324 Jun 24 Enroll'!M$1,FALSE)+VLOOKUP($A104,EnrollData2324,'2324 Jun 24 Enroll'!D$1,FALSE),'District Calculations'!$D$25+'District Calculations'!$D$11),5)</f>
        <v>4.1099999999999999E-3</v>
      </c>
      <c r="S104" s="11">
        <f t="shared" si="13"/>
        <v>1.8689600000000001E-2</v>
      </c>
      <c r="T104">
        <f>ROUND(IF(VLOOKUP($A104,EnrollData2324,'2324 Jun 24 Enroll'!D$1,FALSE)='District Calculations'!$D$11,VLOOKUP($A104,EnrollData2324,'2324 Jun 24 Enroll'!D$1,FALSE),'District Calculations'!$D$11)*S104,3)</f>
        <v>0</v>
      </c>
      <c r="U104">
        <f>ROUND(IF(VLOOKUP($A104,EnrollData2324,'2324 Jun 24 Enroll'!E$1,FALSE)='District Calculations'!$D$12,VLOOKUP($A104,EnrollData2324,'2324 Jun 24 Enroll'!E$1,FALSE),'District Calculations'!$D$12)*S104,3)</f>
        <v>15.148</v>
      </c>
      <c r="V104">
        <f>ROUND(IF(VLOOKUP($A104,EnrollData2324,'2324 Jun 24 Enroll'!F$1,FALSE)='District Calculations'!$D$13,VLOOKUP($A104,EnrollData2324,'2324 Jun 24 Enroll'!F$1,FALSE),'District Calculations'!$D$13)*Apport_224A2324s,3)</f>
        <v>3.7029999999999998</v>
      </c>
      <c r="W104">
        <f>ROUND(IF(VLOOKUP($A104,EnrollData2324,'2324 Jun 24 Enroll'!G$1,FALSE)='District Calculations'!$D$14,VLOOKUP($A104,EnrollData2324,'2324 Jun 24 Enroll'!G$1,FALSE),'District Calculations'!$D$14)*Apport_212A2324s,3)</f>
        <v>8.2089999999999996</v>
      </c>
      <c r="X104">
        <f>ROUND(IF(VLOOKUP($A104,EnrollData2324,'2324 Jun 24 Enroll'!H$1,FALSE)='District Calculations'!$D$14,VLOOKUP($A104,EnrollData2324,'2324 Jun 24 Enroll'!H$1,FALSE),'District Calculations'!$D$14)*Apport_215A2324s,3)</f>
        <v>8.0969999999999995</v>
      </c>
      <c r="Y104">
        <f>ROUND(IF(VLOOKUP($A104,EnrollData2324,'2324 Jun 24 Enroll'!I$1,FALSE)+VLOOKUP($A104,EnrollData2324,'2324 Jun 24 Enroll'!M$1,FALSE)-VLOOKUP($A104,EnrollData2324,'2324 Jun 24 Enroll'!J$1,FALSE)='District Calculations'!$D$16+'District Calculations'!$D$25-'District Calculations'!$D$17,VLOOKUP($A104,EnrollData2324,'2324 Jun 24 Enroll'!I$1,FALSE)+VLOOKUP($A104,EnrollData2324,'2324 Jun 24 Enroll'!M$1,FALSE)-VLOOKUP($A104,EnrollData2324,'2324 Jun 24 Enroll'!J$1,FALSE),'District Calculations'!$D$16+'District Calculations'!$D$25-'District Calculations'!$D$17)*Apport_218A2324s,3)</f>
        <v>20.224</v>
      </c>
      <c r="Z104">
        <f>ROUND(SUM(T104:Y104)/IF(VLOOKUP($A104,EnrollData2324,'2324 Jun 24 Enroll'!M$1,FALSE)+VLOOKUP($A104,EnrollData2324,'2324 Jun 24 Enroll'!D$1,FALSE)='District Calculations'!$D$25+'District Calculations'!$D$11,VLOOKUP($A104,EnrollData2324,'2324 Jun 24 Enroll'!M$1,FALSE)+VLOOKUP($A104,EnrollData2324,'2324 Jun 24 Enroll'!D$1,FALSE),'District Calculations'!$D$25+'District Calculations'!$D$11),5)</f>
        <v>1.7749999999999998E-2</v>
      </c>
      <c r="AA104" s="6" cm="1">
        <f t="array" ref="AA104">ROUND($J104*CIS_Base_Salary2324s*VLOOKUP($A104,EnrollData2324,'2324 Jun 24 Enroll'!S$1,FALSE),2)</f>
        <v>4038.59</v>
      </c>
      <c r="AB104" s="6" cm="1">
        <f t="array" ref="AB104">ROUND($J104*CIS_Inc_Salary2324s*(VLOOKUP($A104,EnrollData2324,'2324 Jun 24 Enroll'!T$1,FALSE)+VLOOKUP($A104,EnrollData2324,'2324 Jun 24 Enroll'!U$1,FALSE)),2)-AA104</f>
        <v>149.43000000000029</v>
      </c>
      <c r="AC104" s="6" cm="1">
        <f t="array" ref="AC104">ROUND($R104*CAS_Base_Salary2324s*VLOOKUP($A104,EnrollData2324,'2324 Jun 24 Enroll'!S$1,FALSE),2)</f>
        <v>443.7</v>
      </c>
      <c r="AD104" s="6" cm="1">
        <f t="array" ref="AD104">ROUND($R104*CAS_Inc_Salary2324s*VLOOKUP($A104,EnrollData2324,'2324 Jun 24 Enroll'!T$1,FALSE),2)-AC104</f>
        <v>16.410000000000025</v>
      </c>
      <c r="AE104" s="6" cm="1">
        <f t="array" ref="AE104">ROUND($Z104*CLS_Base_Salary2324s*VLOOKUP($A104,EnrollData2324,'2324 Jun 24 Enroll'!S$1,FALSE),2)</f>
        <v>926.07</v>
      </c>
      <c r="AF104" s="6" cm="1">
        <f t="array" ref="AF104">ROUND($Z104*CLS_Inc_Salary2324s*VLOOKUP($A104,EnrollData2324,'2324 Jun 24 Enroll'!T$1,FALSE),2)-AE104</f>
        <v>34.259999999999991</v>
      </c>
      <c r="AG104" cm="1">
        <f t="array" ref="AG104">ROUND(($J104+$R104)*Apport_124X2324s,2)</f>
        <v>734.29</v>
      </c>
      <c r="AH104" s="69">
        <f t="shared" si="14"/>
        <v>68.700000000000045</v>
      </c>
      <c r="AI104" cm="1">
        <f t="array" ref="AI104">ROUND($Z104*Apport_124X2324s,2)</f>
        <v>218.54</v>
      </c>
      <c r="AJ104" cm="1">
        <f t="array" ref="AJ104">ROUND($Z104*Apport_621X2324s*Apport_125X2324s,2)-AI104</f>
        <v>116.51000000000002</v>
      </c>
      <c r="AK104" cm="1">
        <f t="array" ref="AK104">ROUND((AA104+AC104)*Apport_126X2324s,2)</f>
        <v>805.47</v>
      </c>
      <c r="AL104" cm="1">
        <f t="array" ref="AL104">ROUND((AB104+AD104)*Apport_127X2324s,2)</f>
        <v>28.74</v>
      </c>
      <c r="AM104" cm="1">
        <f t="array" ref="AM104">ROUND(AE104*Apport_128X2324s,2)</f>
        <v>204.29</v>
      </c>
      <c r="AN104" cm="1">
        <f t="array" ref="AN104">ROUND(AF104*Apport_129X2324s,2)</f>
        <v>6.36</v>
      </c>
      <c r="AO104" cm="1">
        <f t="array" ref="AO104">ROUND(($J104*CIS_Inc_Salary2324s*(VLOOKUP($A104,EnrollData2324,'2324 Jun 24 Enroll'!T$1,FALSE)+VLOOKUP($A104,EnrollData2324,'2324 Jun 24 Enroll'!U$1,FALSE))/Apport_613Xpd)*Apport_614Xpd,2)</f>
        <v>69.8</v>
      </c>
      <c r="AP104" cm="1">
        <f t="array" ref="AP104">ROUND(AO104*Apport_127X2324s,2)</f>
        <v>12.1</v>
      </c>
      <c r="AQ104">
        <f t="shared" si="15"/>
        <v>30.93</v>
      </c>
      <c r="AR104" s="6" cm="1">
        <f t="array" ref="AR104">ROUND((VLOOKUP($A104,EnrollData2324,'2324 Jun 24 Enroll'!D$1,FALSE)*Apport_M802324s+VLOOKUP($A104,EnrollData2324,'2324 Jun 24 Enroll'!M$1,FALSE)*Apport_M802324s+(VLOOKUP($A104,EnrollData2324,'2324 Jun 24 Enroll'!P$1,FALSE)+VLOOKUP($A104,EnrollData2324,'2324 Jun 24 Enroll'!Q$1,FALSE)+VLOOKUP($A104,EnrollData2324,'2324 Jun 24 Enroll'!R$1,FALSE)+VLOOKUP($A104,EnrollData2324,'2324 Jun 24 Enroll'!I$1,FALSE)+VLOOKUP($A104,EnrollData2324,'2324 Jun 24 Enroll'!N$1,FALSE)+VLOOKUP($A104,EnrollData2324,'2324 Jun 24 Enroll'!O$1,FALSE)+VLOOKUP($A104,EnrollData2324,'2324 Jun 24 Enroll'!K$1,FALSE)+VLOOKUP($A104,EnrollData2324,'2324 Jun 24 Enroll'!L$1,FALSE))*Apport_M812324s)/(VLOOKUP($A104,EnrollData2324,'2324 Jun 24 Enroll'!M$1,FALSE)+VLOOKUP($A104,EnrollData2324,'2324 Jun 24 Enroll'!D$1,FALSE)),2)</f>
        <v>1504.44</v>
      </c>
      <c r="AS104" s="7">
        <f t="shared" si="16"/>
        <v>9408.630000000001</v>
      </c>
    </row>
    <row r="105" spans="1:45">
      <c r="A105" s="40" t="s">
        <v>745</v>
      </c>
      <c r="B105" s="40" t="s">
        <v>746</v>
      </c>
      <c r="C105" s="11">
        <f>ROUND((IFERROR((1/IF(VLOOKUP($A105,EnrollData2324,28,FALSE)='District Calculations'!$D$10,VLOOKUP($A105,EnrollData2324,28,FALSE),'District Calculations'!$D$10))*(1+Apport_Z315),0))+Apport_201A2324s,6)</f>
        <v>7.3449E-2</v>
      </c>
      <c r="D105">
        <f>ROUND(IF(VLOOKUP($A105,EnrollData2324,'2324 Jun 24 Enroll'!D$1,FALSE)='District Calculations'!$D$11,VLOOKUP($A105,EnrollData2324,'2324 Jun 24 Enroll'!D$1,FALSE),'District Calculations'!$D$11)*C105,3)</f>
        <v>0</v>
      </c>
      <c r="E105">
        <f>ROUND(IF(VLOOKUP($A105,EnrollData2324,'2324 Jun 24 Enroll'!E$1,FALSE)='District Calculations'!$D$12,VLOOKUP($A105,EnrollData2324,'2324 Jun 24 Enroll'!E$1,FALSE),'District Calculations'!$D$12)*C105,3)</f>
        <v>59.53</v>
      </c>
      <c r="F105">
        <f>ROUND(IF(VLOOKUP($A105,EnrollData2324,'2324 Jun 24 Enroll'!F$1,FALSE)='District Calculations'!$D$13,VLOOKUP($A105,EnrollData2324,'2324 Jun 24 Enroll'!F$1,FALSE),'District Calculations'!$D$13)*Apport_222A2324s,3)</f>
        <v>10.101000000000001</v>
      </c>
      <c r="G105">
        <f>ROUND(IF(VLOOKUP($A105,EnrollData2324,'2324 Jun 24 Enroll'!G$1,FALSE)='District Calculations'!$D$14,VLOOKUP($A105,EnrollData2324,'2324 Jun 24 Enroll'!G$1,FALSE),'District Calculations'!$D$14)*Apport_210A2324s,3)</f>
        <v>22.395</v>
      </c>
      <c r="H105">
        <f>ROUND(IF(VLOOKUP($A105,EnrollData2324,'2324 Jun 24 Enroll'!H$1,FALSE)='District Calculations'!$D$15,VLOOKUP($A105,EnrollData2324,'2324 Jun 24 Enroll'!H$1,FALSE),'District Calculations'!$D$15)*Apport_213A2324s,3)</f>
        <v>23.091999999999999</v>
      </c>
      <c r="I105">
        <f>ROUND(IF(VLOOKUP($A105,EnrollData2324,'2324 Jun 24 Enroll'!I$1,FALSE)+VLOOKUP($A105,EnrollData2324,'2324 Jun 24 Enroll'!M$1,FALSE)-VLOOKUP($A105,EnrollData2324,'2324 Jun 24 Enroll'!J$1,FALSE)='District Calculations'!$D$16+'District Calculations'!$D$25-'District Calculations'!$D$17,VLOOKUP($A105,EnrollData2324,'2324 Jun 24 Enroll'!I$1,FALSE)+VLOOKUP($A105,EnrollData2324,'2324 Jun 24 Enroll'!M$1,FALSE)-VLOOKUP($A105,EnrollData2324,'2324 Jun 24 Enroll'!J$1,FALSE),'District Calculations'!$D$16+'District Calculations'!$D$25-'District Calculations'!$D$17)*Apport_216A2324s,3)</f>
        <v>58.183999999999997</v>
      </c>
      <c r="J105">
        <f>ROUND(SUM(D105:I105)/(IF(VLOOKUP($A105,EnrollData2324,'2324 Jun 24 Enroll'!M$1,FALSE)='District Calculations'!$D$25,VLOOKUP($A105,EnrollData2324,'2324 Jun 24 Enroll'!M$1,FALSE),'District Calculations'!$D$25)+IF(VLOOKUP($A105,EnrollData2324,'2324 Jun 24 Enroll'!D$1,FALSE)='District Calculations'!$D$11,VLOOKUP($A105,EnrollData2324,'2324 Jun 24 Enroll'!D$1,FALSE),'District Calculations'!$D$11)),5)</f>
        <v>5.5530000000000003E-2</v>
      </c>
      <c r="K105" s="11">
        <f t="shared" si="12"/>
        <v>4.3699999999999998E-3</v>
      </c>
      <c r="L105">
        <f>ROUND(IF(VLOOKUP($A105,EnrollData2324,'2324 Jun 24 Enroll'!D$1,FALSE)='District Calculations'!$D$11,VLOOKUP($A105,EnrollData2324,'2324 Jun 24 Enroll'!D$1,FALSE),'District Calculations'!$D$11)*K105,3)</f>
        <v>0</v>
      </c>
      <c r="M105">
        <f>ROUND(IF(VLOOKUP($A105,EnrollData2324,'2324 Jun 24 Enroll'!E$1,FALSE)='District Calculations'!$D$12,VLOOKUP($A105,EnrollData2324,'2324 Jun 24 Enroll'!E$1,FALSE),'District Calculations'!$D$12)*K105,3)</f>
        <v>3.5419999999999998</v>
      </c>
      <c r="N105">
        <f>ROUND(IF(VLOOKUP($A105,EnrollData2324,'2324 Jun 24 Enroll'!F$1,FALSE)='District Calculations'!$D$13,VLOOKUP($A105,EnrollData2324,'2324 Jun 24 Enroll'!F$1,FALSE),'District Calculations'!$D$13)*Apport_223A2324s,3)</f>
        <v>0.84299999999999997</v>
      </c>
      <c r="O105">
        <f>ROUND(IF(VLOOKUP($A105,EnrollData2324,'2324 Jun 24 Enroll'!G$1,FALSE)='District Calculations'!$D$14,VLOOKUP($A105,EnrollData2324,'2324 Jun 24 Enroll'!G$1,FALSE),'District Calculations'!$D$14)*Apport_211A2324s,3)</f>
        <v>1.87</v>
      </c>
      <c r="P105">
        <f>ROUND(IF(VLOOKUP($A105,EnrollData2324,'2324 Jun 24 Enroll'!H$1,FALSE)='District Calculations'!$D$14,VLOOKUP($A105,EnrollData2324,'2324 Jun 24 Enroll'!H$1,FALSE),'District Calculations'!$D$14)*Apport_214A2324s,3)</f>
        <v>1.8680000000000001</v>
      </c>
      <c r="Q105">
        <f>ROUND(IF(VLOOKUP($A105,EnrollData2324,'2324 Jun 24 Enroll'!I$1,FALSE)+VLOOKUP($A105,EnrollData2324,'2324 Jun 24 Enroll'!M$1,FALSE)-VLOOKUP($A105,EnrollData2324,'2324 Jun 24 Enroll'!J$1,FALSE)='District Calculations'!$D$16+'District Calculations'!$D$25-'District Calculations'!$D$17,VLOOKUP($A105,EnrollData2324,'2324 Jun 24 Enroll'!I$1,FALSE)+VLOOKUP($A105,EnrollData2324,'2324 Jun 24 Enroll'!M$1,FALSE)-VLOOKUP($A105,EnrollData2324,'2324 Jun 24 Enroll'!J$1,FALSE),'District Calculations'!$D$16+'District Calculations'!$D$25-'District Calculations'!$D$17)*Apport_217A2324s,3)</f>
        <v>4.702</v>
      </c>
      <c r="R105">
        <f>ROUND(SUM(L105:Q105)/IF(VLOOKUP($A105,EnrollData2324,'2324 Jun 24 Enroll'!M$1,FALSE)+VLOOKUP($A105,EnrollData2324,'2324 Jun 24 Enroll'!D$1,FALSE)='District Calculations'!$D$25+'District Calculations'!$D$11,VLOOKUP($A105,EnrollData2324,'2324 Jun 24 Enroll'!M$1,FALSE)+VLOOKUP($A105,EnrollData2324,'2324 Jun 24 Enroll'!D$1,FALSE),'District Calculations'!$D$25+'District Calculations'!$D$11),5)</f>
        <v>4.1099999999999999E-3</v>
      </c>
      <c r="S105" s="11">
        <f t="shared" si="13"/>
        <v>1.8689600000000001E-2</v>
      </c>
      <c r="T105">
        <f>ROUND(IF(VLOOKUP($A105,EnrollData2324,'2324 Jun 24 Enroll'!D$1,FALSE)='District Calculations'!$D$11,VLOOKUP($A105,EnrollData2324,'2324 Jun 24 Enroll'!D$1,FALSE),'District Calculations'!$D$11)*S105,3)</f>
        <v>0</v>
      </c>
      <c r="U105">
        <f>ROUND(IF(VLOOKUP($A105,EnrollData2324,'2324 Jun 24 Enroll'!E$1,FALSE)='District Calculations'!$D$12,VLOOKUP($A105,EnrollData2324,'2324 Jun 24 Enroll'!E$1,FALSE),'District Calculations'!$D$12)*S105,3)</f>
        <v>15.148</v>
      </c>
      <c r="V105">
        <f>ROUND(IF(VLOOKUP($A105,EnrollData2324,'2324 Jun 24 Enroll'!F$1,FALSE)='District Calculations'!$D$13,VLOOKUP($A105,EnrollData2324,'2324 Jun 24 Enroll'!F$1,FALSE),'District Calculations'!$D$13)*Apport_224A2324s,3)</f>
        <v>3.7029999999999998</v>
      </c>
      <c r="W105">
        <f>ROUND(IF(VLOOKUP($A105,EnrollData2324,'2324 Jun 24 Enroll'!G$1,FALSE)='District Calculations'!$D$14,VLOOKUP($A105,EnrollData2324,'2324 Jun 24 Enroll'!G$1,FALSE),'District Calculations'!$D$14)*Apport_212A2324s,3)</f>
        <v>8.2089999999999996</v>
      </c>
      <c r="X105">
        <f>ROUND(IF(VLOOKUP($A105,EnrollData2324,'2324 Jun 24 Enroll'!H$1,FALSE)='District Calculations'!$D$14,VLOOKUP($A105,EnrollData2324,'2324 Jun 24 Enroll'!H$1,FALSE),'District Calculations'!$D$14)*Apport_215A2324s,3)</f>
        <v>8.0969999999999995</v>
      </c>
      <c r="Y105">
        <f>ROUND(IF(VLOOKUP($A105,EnrollData2324,'2324 Jun 24 Enroll'!I$1,FALSE)+VLOOKUP($A105,EnrollData2324,'2324 Jun 24 Enroll'!M$1,FALSE)-VLOOKUP($A105,EnrollData2324,'2324 Jun 24 Enroll'!J$1,FALSE)='District Calculations'!$D$16+'District Calculations'!$D$25-'District Calculations'!$D$17,VLOOKUP($A105,EnrollData2324,'2324 Jun 24 Enroll'!I$1,FALSE)+VLOOKUP($A105,EnrollData2324,'2324 Jun 24 Enroll'!M$1,FALSE)-VLOOKUP($A105,EnrollData2324,'2324 Jun 24 Enroll'!J$1,FALSE),'District Calculations'!$D$16+'District Calculations'!$D$25-'District Calculations'!$D$17)*Apport_218A2324s,3)</f>
        <v>20.224</v>
      </c>
      <c r="Z105">
        <f>ROUND(SUM(T105:Y105)/IF(VLOOKUP($A105,EnrollData2324,'2324 Jun 24 Enroll'!M$1,FALSE)+VLOOKUP($A105,EnrollData2324,'2324 Jun 24 Enroll'!D$1,FALSE)='District Calculations'!$D$25+'District Calculations'!$D$11,VLOOKUP($A105,EnrollData2324,'2324 Jun 24 Enroll'!M$1,FALSE)+VLOOKUP($A105,EnrollData2324,'2324 Jun 24 Enroll'!D$1,FALSE),'District Calculations'!$D$25+'District Calculations'!$D$11),5)</f>
        <v>1.7749999999999998E-2</v>
      </c>
      <c r="AA105" s="6" cm="1">
        <f t="array" ref="AA105">ROUND($J105*CIS_Base_Salary2324s*VLOOKUP($A105,EnrollData2324,'2324 Jun 24 Enroll'!S$1,FALSE),2)</f>
        <v>4038.59</v>
      </c>
      <c r="AB105" s="6" cm="1">
        <f t="array" ref="AB105">ROUND($J105*CIS_Inc_Salary2324s*(VLOOKUP($A105,EnrollData2324,'2324 Jun 24 Enroll'!T$1,FALSE)+VLOOKUP($A105,EnrollData2324,'2324 Jun 24 Enroll'!U$1,FALSE)),2)-AA105</f>
        <v>149.43000000000029</v>
      </c>
      <c r="AC105" s="6" cm="1">
        <f t="array" ref="AC105">ROUND($R105*CAS_Base_Salary2324s*VLOOKUP($A105,EnrollData2324,'2324 Jun 24 Enroll'!S$1,FALSE),2)</f>
        <v>443.7</v>
      </c>
      <c r="AD105" s="6" cm="1">
        <f t="array" ref="AD105">ROUND($R105*CAS_Inc_Salary2324s*VLOOKUP($A105,EnrollData2324,'2324 Jun 24 Enroll'!T$1,FALSE),2)-AC105</f>
        <v>16.410000000000025</v>
      </c>
      <c r="AE105" s="6" cm="1">
        <f t="array" ref="AE105">ROUND($Z105*CLS_Base_Salary2324s*VLOOKUP($A105,EnrollData2324,'2324 Jun 24 Enroll'!S$1,FALSE),2)</f>
        <v>926.07</v>
      </c>
      <c r="AF105" s="6" cm="1">
        <f t="array" ref="AF105">ROUND($Z105*CLS_Inc_Salary2324s*VLOOKUP($A105,EnrollData2324,'2324 Jun 24 Enroll'!T$1,FALSE),2)-AE105</f>
        <v>34.259999999999991</v>
      </c>
      <c r="AG105" cm="1">
        <f t="array" ref="AG105">ROUND(($J105+$R105)*Apport_124X2324s,2)</f>
        <v>734.29</v>
      </c>
      <c r="AH105" s="69">
        <f t="shared" si="14"/>
        <v>68.700000000000045</v>
      </c>
      <c r="AI105" cm="1">
        <f t="array" ref="AI105">ROUND($Z105*Apport_124X2324s,2)</f>
        <v>218.54</v>
      </c>
      <c r="AJ105" cm="1">
        <f t="array" ref="AJ105">ROUND($Z105*Apport_621X2324s*Apport_125X2324s,2)-AI105</f>
        <v>116.51000000000002</v>
      </c>
      <c r="AK105" cm="1">
        <f t="array" ref="AK105">ROUND((AA105+AC105)*Apport_126X2324s,2)</f>
        <v>805.47</v>
      </c>
      <c r="AL105" cm="1">
        <f t="array" ref="AL105">ROUND((AB105+AD105)*Apport_127X2324s,2)</f>
        <v>28.74</v>
      </c>
      <c r="AM105" cm="1">
        <f t="array" ref="AM105">ROUND(AE105*Apport_128X2324s,2)</f>
        <v>204.29</v>
      </c>
      <c r="AN105" cm="1">
        <f t="array" ref="AN105">ROUND(AF105*Apport_129X2324s,2)</f>
        <v>6.36</v>
      </c>
      <c r="AO105" cm="1">
        <f t="array" ref="AO105">ROUND(($J105*CIS_Inc_Salary2324s*(VLOOKUP($A105,EnrollData2324,'2324 Jun 24 Enroll'!T$1,FALSE)+VLOOKUP($A105,EnrollData2324,'2324 Jun 24 Enroll'!U$1,FALSE))/Apport_613Xpd)*Apport_614Xpd,2)</f>
        <v>69.8</v>
      </c>
      <c r="AP105" cm="1">
        <f t="array" ref="AP105">ROUND(AO105*Apport_127X2324s,2)</f>
        <v>12.1</v>
      </c>
      <c r="AQ105">
        <f t="shared" si="15"/>
        <v>30.93</v>
      </c>
      <c r="AR105" s="6" cm="1">
        <f t="array" ref="AR105">ROUND((VLOOKUP($A105,EnrollData2324,'2324 Jun 24 Enroll'!D$1,FALSE)*Apport_M802324s+VLOOKUP($A105,EnrollData2324,'2324 Jun 24 Enroll'!M$1,FALSE)*Apport_M802324s+(VLOOKUP($A105,EnrollData2324,'2324 Jun 24 Enroll'!P$1,FALSE)+VLOOKUP($A105,EnrollData2324,'2324 Jun 24 Enroll'!Q$1,FALSE)+VLOOKUP($A105,EnrollData2324,'2324 Jun 24 Enroll'!R$1,FALSE)+VLOOKUP($A105,EnrollData2324,'2324 Jun 24 Enroll'!I$1,FALSE)+VLOOKUP($A105,EnrollData2324,'2324 Jun 24 Enroll'!N$1,FALSE)+VLOOKUP($A105,EnrollData2324,'2324 Jun 24 Enroll'!O$1,FALSE)+VLOOKUP($A105,EnrollData2324,'2324 Jun 24 Enroll'!K$1,FALSE)+VLOOKUP($A105,EnrollData2324,'2324 Jun 24 Enroll'!L$1,FALSE))*Apport_M812324s)/(VLOOKUP($A105,EnrollData2324,'2324 Jun 24 Enroll'!M$1,FALSE)+VLOOKUP($A105,EnrollData2324,'2324 Jun 24 Enroll'!D$1,FALSE)),2)</f>
        <v>1504.44</v>
      </c>
      <c r="AS105" s="7">
        <f t="shared" si="16"/>
        <v>9408.630000000001</v>
      </c>
    </row>
    <row r="106" spans="1:45">
      <c r="A106" s="40" t="s">
        <v>885</v>
      </c>
      <c r="B106" s="40" t="s">
        <v>886</v>
      </c>
      <c r="C106" s="11">
        <f>ROUND((IFERROR((1/IF(VLOOKUP($A106,EnrollData2324,28,FALSE)='District Calculations'!$D$10,VLOOKUP($A106,EnrollData2324,28,FALSE),'District Calculations'!$D$10))*(1+Apport_Z315),0))+Apport_201A2324s,6)</f>
        <v>7.3449E-2</v>
      </c>
      <c r="D106">
        <f>ROUND(IF(VLOOKUP($A106,EnrollData2324,'2324 Jun 24 Enroll'!D$1,FALSE)='District Calculations'!$D$11,VLOOKUP($A106,EnrollData2324,'2324 Jun 24 Enroll'!D$1,FALSE),'District Calculations'!$D$11)*C106,3)</f>
        <v>0</v>
      </c>
      <c r="E106">
        <f>ROUND(IF(VLOOKUP($A106,EnrollData2324,'2324 Jun 24 Enroll'!E$1,FALSE)='District Calculations'!$D$12,VLOOKUP($A106,EnrollData2324,'2324 Jun 24 Enroll'!E$1,FALSE),'District Calculations'!$D$12)*C106,3)</f>
        <v>59.53</v>
      </c>
      <c r="F106">
        <f>ROUND(IF(VLOOKUP($A106,EnrollData2324,'2324 Jun 24 Enroll'!F$1,FALSE)='District Calculations'!$D$13,VLOOKUP($A106,EnrollData2324,'2324 Jun 24 Enroll'!F$1,FALSE),'District Calculations'!$D$13)*Apport_222A2324s,3)</f>
        <v>10.101000000000001</v>
      </c>
      <c r="G106">
        <f>ROUND(IF(VLOOKUP($A106,EnrollData2324,'2324 Jun 24 Enroll'!G$1,FALSE)='District Calculations'!$D$14,VLOOKUP($A106,EnrollData2324,'2324 Jun 24 Enroll'!G$1,FALSE),'District Calculations'!$D$14)*Apport_210A2324s,3)</f>
        <v>22.395</v>
      </c>
      <c r="H106">
        <f>ROUND(IF(VLOOKUP($A106,EnrollData2324,'2324 Jun 24 Enroll'!H$1,FALSE)='District Calculations'!$D$15,VLOOKUP($A106,EnrollData2324,'2324 Jun 24 Enroll'!H$1,FALSE),'District Calculations'!$D$15)*Apport_213A2324s,3)</f>
        <v>23.091999999999999</v>
      </c>
      <c r="I106">
        <f>ROUND(IF(VLOOKUP($A106,EnrollData2324,'2324 Jun 24 Enroll'!I$1,FALSE)+VLOOKUP($A106,EnrollData2324,'2324 Jun 24 Enroll'!M$1,FALSE)-VLOOKUP($A106,EnrollData2324,'2324 Jun 24 Enroll'!J$1,FALSE)='District Calculations'!$D$16+'District Calculations'!$D$25-'District Calculations'!$D$17,VLOOKUP($A106,EnrollData2324,'2324 Jun 24 Enroll'!I$1,FALSE)+VLOOKUP($A106,EnrollData2324,'2324 Jun 24 Enroll'!M$1,FALSE)-VLOOKUP($A106,EnrollData2324,'2324 Jun 24 Enroll'!J$1,FALSE),'District Calculations'!$D$16+'District Calculations'!$D$25-'District Calculations'!$D$17)*Apport_216A2324s,3)</f>
        <v>58.183999999999997</v>
      </c>
      <c r="J106">
        <f>ROUND(SUM(D106:I106)/(IF(VLOOKUP($A106,EnrollData2324,'2324 Jun 24 Enroll'!M$1,FALSE)='District Calculations'!$D$25,VLOOKUP($A106,EnrollData2324,'2324 Jun 24 Enroll'!M$1,FALSE),'District Calculations'!$D$25)+IF(VLOOKUP($A106,EnrollData2324,'2324 Jun 24 Enroll'!D$1,FALSE)='District Calculations'!$D$11,VLOOKUP($A106,EnrollData2324,'2324 Jun 24 Enroll'!D$1,FALSE),'District Calculations'!$D$11)),5)</f>
        <v>5.5530000000000003E-2</v>
      </c>
      <c r="K106" s="11">
        <f t="shared" si="12"/>
        <v>4.3699999999999998E-3</v>
      </c>
      <c r="L106">
        <f>ROUND(IF(VLOOKUP($A106,EnrollData2324,'2324 Jun 24 Enroll'!D$1,FALSE)='District Calculations'!$D$11,VLOOKUP($A106,EnrollData2324,'2324 Jun 24 Enroll'!D$1,FALSE),'District Calculations'!$D$11)*K106,3)</f>
        <v>0</v>
      </c>
      <c r="M106">
        <f>ROUND(IF(VLOOKUP($A106,EnrollData2324,'2324 Jun 24 Enroll'!E$1,FALSE)='District Calculations'!$D$12,VLOOKUP($A106,EnrollData2324,'2324 Jun 24 Enroll'!E$1,FALSE),'District Calculations'!$D$12)*K106,3)</f>
        <v>3.5419999999999998</v>
      </c>
      <c r="N106">
        <f>ROUND(IF(VLOOKUP($A106,EnrollData2324,'2324 Jun 24 Enroll'!F$1,FALSE)='District Calculations'!$D$13,VLOOKUP($A106,EnrollData2324,'2324 Jun 24 Enroll'!F$1,FALSE),'District Calculations'!$D$13)*Apport_223A2324s,3)</f>
        <v>0.84299999999999997</v>
      </c>
      <c r="O106">
        <f>ROUND(IF(VLOOKUP($A106,EnrollData2324,'2324 Jun 24 Enroll'!G$1,FALSE)='District Calculations'!$D$14,VLOOKUP($A106,EnrollData2324,'2324 Jun 24 Enroll'!G$1,FALSE),'District Calculations'!$D$14)*Apport_211A2324s,3)</f>
        <v>1.87</v>
      </c>
      <c r="P106">
        <f>ROUND(IF(VLOOKUP($A106,EnrollData2324,'2324 Jun 24 Enroll'!H$1,FALSE)='District Calculations'!$D$14,VLOOKUP($A106,EnrollData2324,'2324 Jun 24 Enroll'!H$1,FALSE),'District Calculations'!$D$14)*Apport_214A2324s,3)</f>
        <v>1.8680000000000001</v>
      </c>
      <c r="Q106">
        <f>ROUND(IF(VLOOKUP($A106,EnrollData2324,'2324 Jun 24 Enroll'!I$1,FALSE)+VLOOKUP($A106,EnrollData2324,'2324 Jun 24 Enroll'!M$1,FALSE)-VLOOKUP($A106,EnrollData2324,'2324 Jun 24 Enroll'!J$1,FALSE)='District Calculations'!$D$16+'District Calculations'!$D$25-'District Calculations'!$D$17,VLOOKUP($A106,EnrollData2324,'2324 Jun 24 Enroll'!I$1,FALSE)+VLOOKUP($A106,EnrollData2324,'2324 Jun 24 Enroll'!M$1,FALSE)-VLOOKUP($A106,EnrollData2324,'2324 Jun 24 Enroll'!J$1,FALSE),'District Calculations'!$D$16+'District Calculations'!$D$25-'District Calculations'!$D$17)*Apport_217A2324s,3)</f>
        <v>4.702</v>
      </c>
      <c r="R106">
        <f>ROUND(SUM(L106:Q106)/IF(VLOOKUP($A106,EnrollData2324,'2324 Jun 24 Enroll'!M$1,FALSE)+VLOOKUP($A106,EnrollData2324,'2324 Jun 24 Enroll'!D$1,FALSE)='District Calculations'!$D$25+'District Calculations'!$D$11,VLOOKUP($A106,EnrollData2324,'2324 Jun 24 Enroll'!M$1,FALSE)+VLOOKUP($A106,EnrollData2324,'2324 Jun 24 Enroll'!D$1,FALSE),'District Calculations'!$D$25+'District Calculations'!$D$11),5)</f>
        <v>4.1099999999999999E-3</v>
      </c>
      <c r="S106" s="11">
        <f t="shared" si="13"/>
        <v>1.8689600000000001E-2</v>
      </c>
      <c r="T106">
        <f>ROUND(IF(VLOOKUP($A106,EnrollData2324,'2324 Jun 24 Enroll'!D$1,FALSE)='District Calculations'!$D$11,VLOOKUP($A106,EnrollData2324,'2324 Jun 24 Enroll'!D$1,FALSE),'District Calculations'!$D$11)*S106,3)</f>
        <v>0</v>
      </c>
      <c r="U106">
        <f>ROUND(IF(VLOOKUP($A106,EnrollData2324,'2324 Jun 24 Enroll'!E$1,FALSE)='District Calculations'!$D$12,VLOOKUP($A106,EnrollData2324,'2324 Jun 24 Enroll'!E$1,FALSE),'District Calculations'!$D$12)*S106,3)</f>
        <v>15.148</v>
      </c>
      <c r="V106">
        <f>ROUND(IF(VLOOKUP($A106,EnrollData2324,'2324 Jun 24 Enroll'!F$1,FALSE)='District Calculations'!$D$13,VLOOKUP($A106,EnrollData2324,'2324 Jun 24 Enroll'!F$1,FALSE),'District Calculations'!$D$13)*Apport_224A2324s,3)</f>
        <v>3.7029999999999998</v>
      </c>
      <c r="W106">
        <f>ROUND(IF(VLOOKUP($A106,EnrollData2324,'2324 Jun 24 Enroll'!G$1,FALSE)='District Calculations'!$D$14,VLOOKUP($A106,EnrollData2324,'2324 Jun 24 Enroll'!G$1,FALSE),'District Calculations'!$D$14)*Apport_212A2324s,3)</f>
        <v>8.2089999999999996</v>
      </c>
      <c r="X106">
        <f>ROUND(IF(VLOOKUP($A106,EnrollData2324,'2324 Jun 24 Enroll'!H$1,FALSE)='District Calculations'!$D$14,VLOOKUP($A106,EnrollData2324,'2324 Jun 24 Enroll'!H$1,FALSE),'District Calculations'!$D$14)*Apport_215A2324s,3)</f>
        <v>8.0969999999999995</v>
      </c>
      <c r="Y106">
        <f>ROUND(IF(VLOOKUP($A106,EnrollData2324,'2324 Jun 24 Enroll'!I$1,FALSE)+VLOOKUP($A106,EnrollData2324,'2324 Jun 24 Enroll'!M$1,FALSE)-VLOOKUP($A106,EnrollData2324,'2324 Jun 24 Enroll'!J$1,FALSE)='District Calculations'!$D$16+'District Calculations'!$D$25-'District Calculations'!$D$17,VLOOKUP($A106,EnrollData2324,'2324 Jun 24 Enroll'!I$1,FALSE)+VLOOKUP($A106,EnrollData2324,'2324 Jun 24 Enroll'!M$1,FALSE)-VLOOKUP($A106,EnrollData2324,'2324 Jun 24 Enroll'!J$1,FALSE),'District Calculations'!$D$16+'District Calculations'!$D$25-'District Calculations'!$D$17)*Apport_218A2324s,3)</f>
        <v>20.224</v>
      </c>
      <c r="Z106">
        <f>ROUND(SUM(T106:Y106)/IF(VLOOKUP($A106,EnrollData2324,'2324 Jun 24 Enroll'!M$1,FALSE)+VLOOKUP($A106,EnrollData2324,'2324 Jun 24 Enroll'!D$1,FALSE)='District Calculations'!$D$25+'District Calculations'!$D$11,VLOOKUP($A106,EnrollData2324,'2324 Jun 24 Enroll'!M$1,FALSE)+VLOOKUP($A106,EnrollData2324,'2324 Jun 24 Enroll'!D$1,FALSE),'District Calculations'!$D$25+'District Calculations'!$D$11),5)</f>
        <v>1.7749999999999998E-2</v>
      </c>
      <c r="AA106" s="6" cm="1">
        <f t="array" ref="AA106">ROUND($J106*CIS_Base_Salary2324s*VLOOKUP($A106,EnrollData2324,'2324 Jun 24 Enroll'!S$1,FALSE),2)</f>
        <v>4038.59</v>
      </c>
      <c r="AB106" s="6" cm="1">
        <f t="array" ref="AB106">ROUND($J106*CIS_Inc_Salary2324s*(VLOOKUP($A106,EnrollData2324,'2324 Jun 24 Enroll'!T$1,FALSE)+VLOOKUP($A106,EnrollData2324,'2324 Jun 24 Enroll'!U$1,FALSE)),2)-AA106</f>
        <v>149.43000000000029</v>
      </c>
      <c r="AC106" s="6" cm="1">
        <f t="array" ref="AC106">ROUND($R106*CAS_Base_Salary2324s*VLOOKUP($A106,EnrollData2324,'2324 Jun 24 Enroll'!S$1,FALSE),2)</f>
        <v>443.7</v>
      </c>
      <c r="AD106" s="6" cm="1">
        <f t="array" ref="AD106">ROUND($R106*CAS_Inc_Salary2324s*VLOOKUP($A106,EnrollData2324,'2324 Jun 24 Enroll'!T$1,FALSE),2)-AC106</f>
        <v>16.410000000000025</v>
      </c>
      <c r="AE106" s="6" cm="1">
        <f t="array" ref="AE106">ROUND($Z106*CLS_Base_Salary2324s*VLOOKUP($A106,EnrollData2324,'2324 Jun 24 Enroll'!S$1,FALSE),2)</f>
        <v>926.07</v>
      </c>
      <c r="AF106" s="6" cm="1">
        <f t="array" ref="AF106">ROUND($Z106*CLS_Inc_Salary2324s*VLOOKUP($A106,EnrollData2324,'2324 Jun 24 Enroll'!T$1,FALSE),2)-AE106</f>
        <v>34.259999999999991</v>
      </c>
      <c r="AG106" cm="1">
        <f t="array" ref="AG106">ROUND(($J106+$R106)*Apport_124X2324s,2)</f>
        <v>734.29</v>
      </c>
      <c r="AH106" s="69">
        <f t="shared" si="14"/>
        <v>68.700000000000045</v>
      </c>
      <c r="AI106" cm="1">
        <f t="array" ref="AI106">ROUND($Z106*Apport_124X2324s,2)</f>
        <v>218.54</v>
      </c>
      <c r="AJ106" cm="1">
        <f t="array" ref="AJ106">ROUND($Z106*Apport_621X2324s*Apport_125X2324s,2)-AI106</f>
        <v>116.51000000000002</v>
      </c>
      <c r="AK106" cm="1">
        <f t="array" ref="AK106">ROUND((AA106+AC106)*Apport_126X2324s,2)</f>
        <v>805.47</v>
      </c>
      <c r="AL106" cm="1">
        <f t="array" ref="AL106">ROUND((AB106+AD106)*Apport_127X2324s,2)</f>
        <v>28.74</v>
      </c>
      <c r="AM106" cm="1">
        <f t="array" ref="AM106">ROUND(AE106*Apport_128X2324s,2)</f>
        <v>204.29</v>
      </c>
      <c r="AN106" cm="1">
        <f t="array" ref="AN106">ROUND(AF106*Apport_129X2324s,2)</f>
        <v>6.36</v>
      </c>
      <c r="AO106" cm="1">
        <f t="array" ref="AO106">ROUND(($J106*CIS_Inc_Salary2324s*(VLOOKUP($A106,EnrollData2324,'2324 Jun 24 Enroll'!T$1,FALSE)+VLOOKUP($A106,EnrollData2324,'2324 Jun 24 Enroll'!U$1,FALSE))/Apport_613Xpd)*Apport_614Xpd,2)</f>
        <v>69.8</v>
      </c>
      <c r="AP106" cm="1">
        <f t="array" ref="AP106">ROUND(AO106*Apport_127X2324s,2)</f>
        <v>12.1</v>
      </c>
      <c r="AQ106">
        <f t="shared" si="15"/>
        <v>30.93</v>
      </c>
      <c r="AR106" s="6" cm="1">
        <f t="array" ref="AR106">ROUND((VLOOKUP($A106,EnrollData2324,'2324 Jun 24 Enroll'!D$1,FALSE)*Apport_M802324s+VLOOKUP($A106,EnrollData2324,'2324 Jun 24 Enroll'!M$1,FALSE)*Apport_M802324s+(VLOOKUP($A106,EnrollData2324,'2324 Jun 24 Enroll'!P$1,FALSE)+VLOOKUP($A106,EnrollData2324,'2324 Jun 24 Enroll'!Q$1,FALSE)+VLOOKUP($A106,EnrollData2324,'2324 Jun 24 Enroll'!R$1,FALSE)+VLOOKUP($A106,EnrollData2324,'2324 Jun 24 Enroll'!I$1,FALSE)+VLOOKUP($A106,EnrollData2324,'2324 Jun 24 Enroll'!N$1,FALSE)+VLOOKUP($A106,EnrollData2324,'2324 Jun 24 Enroll'!O$1,FALSE)+VLOOKUP($A106,EnrollData2324,'2324 Jun 24 Enroll'!K$1,FALSE)+VLOOKUP($A106,EnrollData2324,'2324 Jun 24 Enroll'!L$1,FALSE))*Apport_M812324s)/(VLOOKUP($A106,EnrollData2324,'2324 Jun 24 Enroll'!M$1,FALSE)+VLOOKUP($A106,EnrollData2324,'2324 Jun 24 Enroll'!D$1,FALSE)),2)</f>
        <v>1557.45</v>
      </c>
      <c r="AS106" s="7">
        <f t="shared" si="16"/>
        <v>9461.6400000000012</v>
      </c>
    </row>
    <row r="107" spans="1:45">
      <c r="A107" s="40" t="s">
        <v>651</v>
      </c>
      <c r="B107" s="40" t="s">
        <v>652</v>
      </c>
      <c r="C107" s="11">
        <f>ROUND((IFERROR((1/IF(VLOOKUP($A107,EnrollData2324,28,FALSE)='District Calculations'!$D$10,VLOOKUP($A107,EnrollData2324,28,FALSE),'District Calculations'!$D$10))*(1+Apport_Z315),0))+Apport_201A2324s,6)</f>
        <v>7.3449E-2</v>
      </c>
      <c r="D107">
        <f>ROUND(IF(VLOOKUP($A107,EnrollData2324,'2324 Jun 24 Enroll'!D$1,FALSE)='District Calculations'!$D$11,VLOOKUP($A107,EnrollData2324,'2324 Jun 24 Enroll'!D$1,FALSE),'District Calculations'!$D$11)*C107,3)</f>
        <v>0</v>
      </c>
      <c r="E107">
        <f>ROUND(IF(VLOOKUP($A107,EnrollData2324,'2324 Jun 24 Enroll'!E$1,FALSE)='District Calculations'!$D$12,VLOOKUP($A107,EnrollData2324,'2324 Jun 24 Enroll'!E$1,FALSE),'District Calculations'!$D$12)*C107,3)</f>
        <v>59.53</v>
      </c>
      <c r="F107">
        <f>ROUND(IF(VLOOKUP($A107,EnrollData2324,'2324 Jun 24 Enroll'!F$1,FALSE)='District Calculations'!$D$13,VLOOKUP($A107,EnrollData2324,'2324 Jun 24 Enroll'!F$1,FALSE),'District Calculations'!$D$13)*Apport_222A2324s,3)</f>
        <v>10.101000000000001</v>
      </c>
      <c r="G107">
        <f>ROUND(IF(VLOOKUP($A107,EnrollData2324,'2324 Jun 24 Enroll'!G$1,FALSE)='District Calculations'!$D$14,VLOOKUP($A107,EnrollData2324,'2324 Jun 24 Enroll'!G$1,FALSE),'District Calculations'!$D$14)*Apport_210A2324s,3)</f>
        <v>22.395</v>
      </c>
      <c r="H107">
        <f>ROUND(IF(VLOOKUP($A107,EnrollData2324,'2324 Jun 24 Enroll'!H$1,FALSE)='District Calculations'!$D$15,VLOOKUP($A107,EnrollData2324,'2324 Jun 24 Enroll'!H$1,FALSE),'District Calculations'!$D$15)*Apport_213A2324s,3)</f>
        <v>23.091999999999999</v>
      </c>
      <c r="I107">
        <f>ROUND(IF(VLOOKUP($A107,EnrollData2324,'2324 Jun 24 Enroll'!I$1,FALSE)+VLOOKUP($A107,EnrollData2324,'2324 Jun 24 Enroll'!M$1,FALSE)-VLOOKUP($A107,EnrollData2324,'2324 Jun 24 Enroll'!J$1,FALSE)='District Calculations'!$D$16+'District Calculations'!$D$25-'District Calculations'!$D$17,VLOOKUP($A107,EnrollData2324,'2324 Jun 24 Enroll'!I$1,FALSE)+VLOOKUP($A107,EnrollData2324,'2324 Jun 24 Enroll'!M$1,FALSE)-VLOOKUP($A107,EnrollData2324,'2324 Jun 24 Enroll'!J$1,FALSE),'District Calculations'!$D$16+'District Calculations'!$D$25-'District Calculations'!$D$17)*Apport_216A2324s,3)</f>
        <v>58.183999999999997</v>
      </c>
      <c r="J107">
        <f>ROUND(SUM(D107:I107)/(IF(VLOOKUP($A107,EnrollData2324,'2324 Jun 24 Enroll'!M$1,FALSE)='District Calculations'!$D$25,VLOOKUP($A107,EnrollData2324,'2324 Jun 24 Enroll'!M$1,FALSE),'District Calculations'!$D$25)+IF(VLOOKUP($A107,EnrollData2324,'2324 Jun 24 Enroll'!D$1,FALSE)='District Calculations'!$D$11,VLOOKUP($A107,EnrollData2324,'2324 Jun 24 Enroll'!D$1,FALSE),'District Calculations'!$D$11)),5)</f>
        <v>5.5530000000000003E-2</v>
      </c>
      <c r="K107" s="11">
        <f t="shared" si="12"/>
        <v>4.3699999999999998E-3</v>
      </c>
      <c r="L107">
        <f>ROUND(IF(VLOOKUP($A107,EnrollData2324,'2324 Jun 24 Enroll'!D$1,FALSE)='District Calculations'!$D$11,VLOOKUP($A107,EnrollData2324,'2324 Jun 24 Enroll'!D$1,FALSE),'District Calculations'!$D$11)*K107,3)</f>
        <v>0</v>
      </c>
      <c r="M107">
        <f>ROUND(IF(VLOOKUP($A107,EnrollData2324,'2324 Jun 24 Enroll'!E$1,FALSE)='District Calculations'!$D$12,VLOOKUP($A107,EnrollData2324,'2324 Jun 24 Enroll'!E$1,FALSE),'District Calculations'!$D$12)*K107,3)</f>
        <v>3.5419999999999998</v>
      </c>
      <c r="N107">
        <f>ROUND(IF(VLOOKUP($A107,EnrollData2324,'2324 Jun 24 Enroll'!F$1,FALSE)='District Calculations'!$D$13,VLOOKUP($A107,EnrollData2324,'2324 Jun 24 Enroll'!F$1,FALSE),'District Calculations'!$D$13)*Apport_223A2324s,3)</f>
        <v>0.84299999999999997</v>
      </c>
      <c r="O107">
        <f>ROUND(IF(VLOOKUP($A107,EnrollData2324,'2324 Jun 24 Enroll'!G$1,FALSE)='District Calculations'!$D$14,VLOOKUP($A107,EnrollData2324,'2324 Jun 24 Enroll'!G$1,FALSE),'District Calculations'!$D$14)*Apport_211A2324s,3)</f>
        <v>1.87</v>
      </c>
      <c r="P107">
        <f>ROUND(IF(VLOOKUP($A107,EnrollData2324,'2324 Jun 24 Enroll'!H$1,FALSE)='District Calculations'!$D$14,VLOOKUP($A107,EnrollData2324,'2324 Jun 24 Enroll'!H$1,FALSE),'District Calculations'!$D$14)*Apport_214A2324s,3)</f>
        <v>1.8680000000000001</v>
      </c>
      <c r="Q107">
        <f>ROUND(IF(VLOOKUP($A107,EnrollData2324,'2324 Jun 24 Enroll'!I$1,FALSE)+VLOOKUP($A107,EnrollData2324,'2324 Jun 24 Enroll'!M$1,FALSE)-VLOOKUP($A107,EnrollData2324,'2324 Jun 24 Enroll'!J$1,FALSE)='District Calculations'!$D$16+'District Calculations'!$D$25-'District Calculations'!$D$17,VLOOKUP($A107,EnrollData2324,'2324 Jun 24 Enroll'!I$1,FALSE)+VLOOKUP($A107,EnrollData2324,'2324 Jun 24 Enroll'!M$1,FALSE)-VLOOKUP($A107,EnrollData2324,'2324 Jun 24 Enroll'!J$1,FALSE),'District Calculations'!$D$16+'District Calculations'!$D$25-'District Calculations'!$D$17)*Apport_217A2324s,3)</f>
        <v>4.702</v>
      </c>
      <c r="R107">
        <f>ROUND(SUM(L107:Q107)/IF(VLOOKUP($A107,EnrollData2324,'2324 Jun 24 Enroll'!M$1,FALSE)+VLOOKUP($A107,EnrollData2324,'2324 Jun 24 Enroll'!D$1,FALSE)='District Calculations'!$D$25+'District Calculations'!$D$11,VLOOKUP($A107,EnrollData2324,'2324 Jun 24 Enroll'!M$1,FALSE)+VLOOKUP($A107,EnrollData2324,'2324 Jun 24 Enroll'!D$1,FALSE),'District Calculations'!$D$25+'District Calculations'!$D$11),5)</f>
        <v>4.1099999999999999E-3</v>
      </c>
      <c r="S107" s="11">
        <f t="shared" si="13"/>
        <v>1.8689600000000001E-2</v>
      </c>
      <c r="T107">
        <f>ROUND(IF(VLOOKUP($A107,EnrollData2324,'2324 Jun 24 Enroll'!D$1,FALSE)='District Calculations'!$D$11,VLOOKUP($A107,EnrollData2324,'2324 Jun 24 Enroll'!D$1,FALSE),'District Calculations'!$D$11)*S107,3)</f>
        <v>0</v>
      </c>
      <c r="U107">
        <f>ROUND(IF(VLOOKUP($A107,EnrollData2324,'2324 Jun 24 Enroll'!E$1,FALSE)='District Calculations'!$D$12,VLOOKUP($A107,EnrollData2324,'2324 Jun 24 Enroll'!E$1,FALSE),'District Calculations'!$D$12)*S107,3)</f>
        <v>15.148</v>
      </c>
      <c r="V107">
        <f>ROUND(IF(VLOOKUP($A107,EnrollData2324,'2324 Jun 24 Enroll'!F$1,FALSE)='District Calculations'!$D$13,VLOOKUP($A107,EnrollData2324,'2324 Jun 24 Enroll'!F$1,FALSE),'District Calculations'!$D$13)*Apport_224A2324s,3)</f>
        <v>3.7029999999999998</v>
      </c>
      <c r="W107">
        <f>ROUND(IF(VLOOKUP($A107,EnrollData2324,'2324 Jun 24 Enroll'!G$1,FALSE)='District Calculations'!$D$14,VLOOKUP($A107,EnrollData2324,'2324 Jun 24 Enroll'!G$1,FALSE),'District Calculations'!$D$14)*Apport_212A2324s,3)</f>
        <v>8.2089999999999996</v>
      </c>
      <c r="X107">
        <f>ROUND(IF(VLOOKUP($A107,EnrollData2324,'2324 Jun 24 Enroll'!H$1,FALSE)='District Calculations'!$D$14,VLOOKUP($A107,EnrollData2324,'2324 Jun 24 Enroll'!H$1,FALSE),'District Calculations'!$D$14)*Apport_215A2324s,3)</f>
        <v>8.0969999999999995</v>
      </c>
      <c r="Y107">
        <f>ROUND(IF(VLOOKUP($A107,EnrollData2324,'2324 Jun 24 Enroll'!I$1,FALSE)+VLOOKUP($A107,EnrollData2324,'2324 Jun 24 Enroll'!M$1,FALSE)-VLOOKUP($A107,EnrollData2324,'2324 Jun 24 Enroll'!J$1,FALSE)='District Calculations'!$D$16+'District Calculations'!$D$25-'District Calculations'!$D$17,VLOOKUP($A107,EnrollData2324,'2324 Jun 24 Enroll'!I$1,FALSE)+VLOOKUP($A107,EnrollData2324,'2324 Jun 24 Enroll'!M$1,FALSE)-VLOOKUP($A107,EnrollData2324,'2324 Jun 24 Enroll'!J$1,FALSE),'District Calculations'!$D$16+'District Calculations'!$D$25-'District Calculations'!$D$17)*Apport_218A2324s,3)</f>
        <v>20.224</v>
      </c>
      <c r="Z107">
        <f>ROUND(SUM(T107:Y107)/IF(VLOOKUP($A107,EnrollData2324,'2324 Jun 24 Enroll'!M$1,FALSE)+VLOOKUP($A107,EnrollData2324,'2324 Jun 24 Enroll'!D$1,FALSE)='District Calculations'!$D$25+'District Calculations'!$D$11,VLOOKUP($A107,EnrollData2324,'2324 Jun 24 Enroll'!M$1,FALSE)+VLOOKUP($A107,EnrollData2324,'2324 Jun 24 Enroll'!D$1,FALSE),'District Calculations'!$D$25+'District Calculations'!$D$11),5)</f>
        <v>1.7749999999999998E-2</v>
      </c>
      <c r="AA107" s="6" cm="1">
        <f t="array" ref="AA107">ROUND($J107*CIS_Base_Salary2324s*VLOOKUP($A107,EnrollData2324,'2324 Jun 24 Enroll'!S$1,FALSE),2)</f>
        <v>4038.59</v>
      </c>
      <c r="AB107" s="6" cm="1">
        <f t="array" ref="AB107">ROUND($J107*CIS_Inc_Salary2324s*(VLOOKUP($A107,EnrollData2324,'2324 Jun 24 Enroll'!T$1,FALSE)+VLOOKUP($A107,EnrollData2324,'2324 Jun 24 Enroll'!U$1,FALSE)),2)-AA107</f>
        <v>149.43000000000029</v>
      </c>
      <c r="AC107" s="6" cm="1">
        <f t="array" ref="AC107">ROUND($R107*CAS_Base_Salary2324s*VLOOKUP($A107,EnrollData2324,'2324 Jun 24 Enroll'!S$1,FALSE),2)</f>
        <v>443.7</v>
      </c>
      <c r="AD107" s="6" cm="1">
        <f t="array" ref="AD107">ROUND($R107*CAS_Inc_Salary2324s*VLOOKUP($A107,EnrollData2324,'2324 Jun 24 Enroll'!T$1,FALSE),2)-AC107</f>
        <v>16.410000000000025</v>
      </c>
      <c r="AE107" s="6" cm="1">
        <f t="array" ref="AE107">ROUND($Z107*CLS_Base_Salary2324s*VLOOKUP($A107,EnrollData2324,'2324 Jun 24 Enroll'!S$1,FALSE),2)</f>
        <v>926.07</v>
      </c>
      <c r="AF107" s="6" cm="1">
        <f t="array" ref="AF107">ROUND($Z107*CLS_Inc_Salary2324s*VLOOKUP($A107,EnrollData2324,'2324 Jun 24 Enroll'!T$1,FALSE),2)-AE107</f>
        <v>34.259999999999991</v>
      </c>
      <c r="AG107" cm="1">
        <f t="array" ref="AG107">ROUND(($J107+$R107)*Apport_124X2324s,2)</f>
        <v>734.29</v>
      </c>
      <c r="AH107" s="69">
        <f t="shared" si="14"/>
        <v>68.700000000000045</v>
      </c>
      <c r="AI107" cm="1">
        <f t="array" ref="AI107">ROUND($Z107*Apport_124X2324s,2)</f>
        <v>218.54</v>
      </c>
      <c r="AJ107" cm="1">
        <f t="array" ref="AJ107">ROUND($Z107*Apport_621X2324s*Apport_125X2324s,2)-AI107</f>
        <v>116.51000000000002</v>
      </c>
      <c r="AK107" cm="1">
        <f t="array" ref="AK107">ROUND((AA107+AC107)*Apport_126X2324s,2)</f>
        <v>805.47</v>
      </c>
      <c r="AL107" cm="1">
        <f t="array" ref="AL107">ROUND((AB107+AD107)*Apport_127X2324s,2)</f>
        <v>28.74</v>
      </c>
      <c r="AM107" cm="1">
        <f t="array" ref="AM107">ROUND(AE107*Apport_128X2324s,2)</f>
        <v>204.29</v>
      </c>
      <c r="AN107" cm="1">
        <f t="array" ref="AN107">ROUND(AF107*Apport_129X2324s,2)</f>
        <v>6.36</v>
      </c>
      <c r="AO107" cm="1">
        <f t="array" ref="AO107">ROUND(($J107*CIS_Inc_Salary2324s*(VLOOKUP($A107,EnrollData2324,'2324 Jun 24 Enroll'!T$1,FALSE)+VLOOKUP($A107,EnrollData2324,'2324 Jun 24 Enroll'!U$1,FALSE))/Apport_613Xpd)*Apport_614Xpd,2)</f>
        <v>69.8</v>
      </c>
      <c r="AP107" cm="1">
        <f t="array" ref="AP107">ROUND(AO107*Apport_127X2324s,2)</f>
        <v>12.1</v>
      </c>
      <c r="AQ107">
        <f t="shared" si="15"/>
        <v>30.93</v>
      </c>
      <c r="AR107" s="6" cm="1">
        <f t="array" ref="AR107">ROUND((VLOOKUP($A107,EnrollData2324,'2324 Jun 24 Enroll'!D$1,FALSE)*Apport_M802324s+VLOOKUP($A107,EnrollData2324,'2324 Jun 24 Enroll'!M$1,FALSE)*Apport_M802324s+(VLOOKUP($A107,EnrollData2324,'2324 Jun 24 Enroll'!P$1,FALSE)+VLOOKUP($A107,EnrollData2324,'2324 Jun 24 Enroll'!Q$1,FALSE)+VLOOKUP($A107,EnrollData2324,'2324 Jun 24 Enroll'!R$1,FALSE)+VLOOKUP($A107,EnrollData2324,'2324 Jun 24 Enroll'!I$1,FALSE)+VLOOKUP($A107,EnrollData2324,'2324 Jun 24 Enroll'!N$1,FALSE)+VLOOKUP($A107,EnrollData2324,'2324 Jun 24 Enroll'!O$1,FALSE)+VLOOKUP($A107,EnrollData2324,'2324 Jun 24 Enroll'!K$1,FALSE)+VLOOKUP($A107,EnrollData2324,'2324 Jun 24 Enroll'!L$1,FALSE))*Apport_M812324s)/(VLOOKUP($A107,EnrollData2324,'2324 Jun 24 Enroll'!M$1,FALSE)+VLOOKUP($A107,EnrollData2324,'2324 Jun 24 Enroll'!D$1,FALSE)),2)</f>
        <v>1566.81</v>
      </c>
      <c r="AS107" s="7">
        <f t="shared" si="16"/>
        <v>9471</v>
      </c>
    </row>
    <row r="108" spans="1:45">
      <c r="A108" s="40" t="s">
        <v>647</v>
      </c>
      <c r="B108" s="40" t="s">
        <v>648</v>
      </c>
      <c r="C108" s="11">
        <f>ROUND((IFERROR((1/IF(VLOOKUP($A108,EnrollData2324,28,FALSE)='District Calculations'!$D$10,VLOOKUP($A108,EnrollData2324,28,FALSE),'District Calculations'!$D$10))*(1+Apport_Z315),0))+Apport_201A2324s,6)</f>
        <v>7.3449E-2</v>
      </c>
      <c r="D108">
        <f>ROUND(IF(VLOOKUP($A108,EnrollData2324,'2324 Jun 24 Enroll'!D$1,FALSE)='District Calculations'!$D$11,VLOOKUP($A108,EnrollData2324,'2324 Jun 24 Enroll'!D$1,FALSE),'District Calculations'!$D$11)*C108,3)</f>
        <v>0</v>
      </c>
      <c r="E108">
        <f>ROUND(IF(VLOOKUP($A108,EnrollData2324,'2324 Jun 24 Enroll'!E$1,FALSE)='District Calculations'!$D$12,VLOOKUP($A108,EnrollData2324,'2324 Jun 24 Enroll'!E$1,FALSE),'District Calculations'!$D$12)*C108,3)</f>
        <v>59.53</v>
      </c>
      <c r="F108">
        <f>ROUND(IF(VLOOKUP($A108,EnrollData2324,'2324 Jun 24 Enroll'!F$1,FALSE)='District Calculations'!$D$13,VLOOKUP($A108,EnrollData2324,'2324 Jun 24 Enroll'!F$1,FALSE),'District Calculations'!$D$13)*Apport_222A2324s,3)</f>
        <v>10.101000000000001</v>
      </c>
      <c r="G108">
        <f>ROUND(IF(VLOOKUP($A108,EnrollData2324,'2324 Jun 24 Enroll'!G$1,FALSE)='District Calculations'!$D$14,VLOOKUP($A108,EnrollData2324,'2324 Jun 24 Enroll'!G$1,FALSE),'District Calculations'!$D$14)*Apport_210A2324s,3)</f>
        <v>22.395</v>
      </c>
      <c r="H108">
        <f>ROUND(IF(VLOOKUP($A108,EnrollData2324,'2324 Jun 24 Enroll'!H$1,FALSE)='District Calculations'!$D$15,VLOOKUP($A108,EnrollData2324,'2324 Jun 24 Enroll'!H$1,FALSE),'District Calculations'!$D$15)*Apport_213A2324s,3)</f>
        <v>23.091999999999999</v>
      </c>
      <c r="I108">
        <f>ROUND(IF(VLOOKUP($A108,EnrollData2324,'2324 Jun 24 Enroll'!I$1,FALSE)+VLOOKUP($A108,EnrollData2324,'2324 Jun 24 Enroll'!M$1,FALSE)-VLOOKUP($A108,EnrollData2324,'2324 Jun 24 Enroll'!J$1,FALSE)='District Calculations'!$D$16+'District Calculations'!$D$25-'District Calculations'!$D$17,VLOOKUP($A108,EnrollData2324,'2324 Jun 24 Enroll'!I$1,FALSE)+VLOOKUP($A108,EnrollData2324,'2324 Jun 24 Enroll'!M$1,FALSE)-VLOOKUP($A108,EnrollData2324,'2324 Jun 24 Enroll'!J$1,FALSE),'District Calculations'!$D$16+'District Calculations'!$D$25-'District Calculations'!$D$17)*Apport_216A2324s,3)</f>
        <v>58.183999999999997</v>
      </c>
      <c r="J108">
        <f>ROUND(SUM(D108:I108)/(IF(VLOOKUP($A108,EnrollData2324,'2324 Jun 24 Enroll'!M$1,FALSE)='District Calculations'!$D$25,VLOOKUP($A108,EnrollData2324,'2324 Jun 24 Enroll'!M$1,FALSE),'District Calculations'!$D$25)+IF(VLOOKUP($A108,EnrollData2324,'2324 Jun 24 Enroll'!D$1,FALSE)='District Calculations'!$D$11,VLOOKUP($A108,EnrollData2324,'2324 Jun 24 Enroll'!D$1,FALSE),'District Calculations'!$D$11)),5)</f>
        <v>5.5530000000000003E-2</v>
      </c>
      <c r="K108" s="11">
        <f t="shared" si="12"/>
        <v>4.3699999999999998E-3</v>
      </c>
      <c r="L108">
        <f>ROUND(IF(VLOOKUP($A108,EnrollData2324,'2324 Jun 24 Enroll'!D$1,FALSE)='District Calculations'!$D$11,VLOOKUP($A108,EnrollData2324,'2324 Jun 24 Enroll'!D$1,FALSE),'District Calculations'!$D$11)*K108,3)</f>
        <v>0</v>
      </c>
      <c r="M108">
        <f>ROUND(IF(VLOOKUP($A108,EnrollData2324,'2324 Jun 24 Enroll'!E$1,FALSE)='District Calculations'!$D$12,VLOOKUP($A108,EnrollData2324,'2324 Jun 24 Enroll'!E$1,FALSE),'District Calculations'!$D$12)*K108,3)</f>
        <v>3.5419999999999998</v>
      </c>
      <c r="N108">
        <f>ROUND(IF(VLOOKUP($A108,EnrollData2324,'2324 Jun 24 Enroll'!F$1,FALSE)='District Calculations'!$D$13,VLOOKUP($A108,EnrollData2324,'2324 Jun 24 Enroll'!F$1,FALSE),'District Calculations'!$D$13)*Apport_223A2324s,3)</f>
        <v>0.84299999999999997</v>
      </c>
      <c r="O108">
        <f>ROUND(IF(VLOOKUP($A108,EnrollData2324,'2324 Jun 24 Enroll'!G$1,FALSE)='District Calculations'!$D$14,VLOOKUP($A108,EnrollData2324,'2324 Jun 24 Enroll'!G$1,FALSE),'District Calculations'!$D$14)*Apport_211A2324s,3)</f>
        <v>1.87</v>
      </c>
      <c r="P108">
        <f>ROUND(IF(VLOOKUP($A108,EnrollData2324,'2324 Jun 24 Enroll'!H$1,FALSE)='District Calculations'!$D$14,VLOOKUP($A108,EnrollData2324,'2324 Jun 24 Enroll'!H$1,FALSE),'District Calculations'!$D$14)*Apport_214A2324s,3)</f>
        <v>1.8680000000000001</v>
      </c>
      <c r="Q108">
        <f>ROUND(IF(VLOOKUP($A108,EnrollData2324,'2324 Jun 24 Enroll'!I$1,FALSE)+VLOOKUP($A108,EnrollData2324,'2324 Jun 24 Enroll'!M$1,FALSE)-VLOOKUP($A108,EnrollData2324,'2324 Jun 24 Enroll'!J$1,FALSE)='District Calculations'!$D$16+'District Calculations'!$D$25-'District Calculations'!$D$17,VLOOKUP($A108,EnrollData2324,'2324 Jun 24 Enroll'!I$1,FALSE)+VLOOKUP($A108,EnrollData2324,'2324 Jun 24 Enroll'!M$1,FALSE)-VLOOKUP($A108,EnrollData2324,'2324 Jun 24 Enroll'!J$1,FALSE),'District Calculations'!$D$16+'District Calculations'!$D$25-'District Calculations'!$D$17)*Apport_217A2324s,3)</f>
        <v>4.702</v>
      </c>
      <c r="R108">
        <f>ROUND(SUM(L108:Q108)/IF(VLOOKUP($A108,EnrollData2324,'2324 Jun 24 Enroll'!M$1,FALSE)+VLOOKUP($A108,EnrollData2324,'2324 Jun 24 Enroll'!D$1,FALSE)='District Calculations'!$D$25+'District Calculations'!$D$11,VLOOKUP($A108,EnrollData2324,'2324 Jun 24 Enroll'!M$1,FALSE)+VLOOKUP($A108,EnrollData2324,'2324 Jun 24 Enroll'!D$1,FALSE),'District Calculations'!$D$25+'District Calculations'!$D$11),5)</f>
        <v>4.1099999999999999E-3</v>
      </c>
      <c r="S108" s="11">
        <f t="shared" si="13"/>
        <v>1.8689600000000001E-2</v>
      </c>
      <c r="T108">
        <f>ROUND(IF(VLOOKUP($A108,EnrollData2324,'2324 Jun 24 Enroll'!D$1,FALSE)='District Calculations'!$D$11,VLOOKUP($A108,EnrollData2324,'2324 Jun 24 Enroll'!D$1,FALSE),'District Calculations'!$D$11)*S108,3)</f>
        <v>0</v>
      </c>
      <c r="U108">
        <f>ROUND(IF(VLOOKUP($A108,EnrollData2324,'2324 Jun 24 Enroll'!E$1,FALSE)='District Calculations'!$D$12,VLOOKUP($A108,EnrollData2324,'2324 Jun 24 Enroll'!E$1,FALSE),'District Calculations'!$D$12)*S108,3)</f>
        <v>15.148</v>
      </c>
      <c r="V108">
        <f>ROUND(IF(VLOOKUP($A108,EnrollData2324,'2324 Jun 24 Enroll'!F$1,FALSE)='District Calculations'!$D$13,VLOOKUP($A108,EnrollData2324,'2324 Jun 24 Enroll'!F$1,FALSE),'District Calculations'!$D$13)*Apport_224A2324s,3)</f>
        <v>3.7029999999999998</v>
      </c>
      <c r="W108">
        <f>ROUND(IF(VLOOKUP($A108,EnrollData2324,'2324 Jun 24 Enroll'!G$1,FALSE)='District Calculations'!$D$14,VLOOKUP($A108,EnrollData2324,'2324 Jun 24 Enroll'!G$1,FALSE),'District Calculations'!$D$14)*Apport_212A2324s,3)</f>
        <v>8.2089999999999996</v>
      </c>
      <c r="X108">
        <f>ROUND(IF(VLOOKUP($A108,EnrollData2324,'2324 Jun 24 Enroll'!H$1,FALSE)='District Calculations'!$D$14,VLOOKUP($A108,EnrollData2324,'2324 Jun 24 Enroll'!H$1,FALSE),'District Calculations'!$D$14)*Apport_215A2324s,3)</f>
        <v>8.0969999999999995</v>
      </c>
      <c r="Y108">
        <f>ROUND(IF(VLOOKUP($A108,EnrollData2324,'2324 Jun 24 Enroll'!I$1,FALSE)+VLOOKUP($A108,EnrollData2324,'2324 Jun 24 Enroll'!M$1,FALSE)-VLOOKUP($A108,EnrollData2324,'2324 Jun 24 Enroll'!J$1,FALSE)='District Calculations'!$D$16+'District Calculations'!$D$25-'District Calculations'!$D$17,VLOOKUP($A108,EnrollData2324,'2324 Jun 24 Enroll'!I$1,FALSE)+VLOOKUP($A108,EnrollData2324,'2324 Jun 24 Enroll'!M$1,FALSE)-VLOOKUP($A108,EnrollData2324,'2324 Jun 24 Enroll'!J$1,FALSE),'District Calculations'!$D$16+'District Calculations'!$D$25-'District Calculations'!$D$17)*Apport_218A2324s,3)</f>
        <v>20.224</v>
      </c>
      <c r="Z108">
        <f>ROUND(SUM(T108:Y108)/IF(VLOOKUP($A108,EnrollData2324,'2324 Jun 24 Enroll'!M$1,FALSE)+VLOOKUP($A108,EnrollData2324,'2324 Jun 24 Enroll'!D$1,FALSE)='District Calculations'!$D$25+'District Calculations'!$D$11,VLOOKUP($A108,EnrollData2324,'2324 Jun 24 Enroll'!M$1,FALSE)+VLOOKUP($A108,EnrollData2324,'2324 Jun 24 Enroll'!D$1,FALSE),'District Calculations'!$D$25+'District Calculations'!$D$11),5)</f>
        <v>1.7749999999999998E-2</v>
      </c>
      <c r="AA108" s="6" cm="1">
        <f t="array" ref="AA108">ROUND($J108*CIS_Base_Salary2324s*VLOOKUP($A108,EnrollData2324,'2324 Jun 24 Enroll'!S$1,FALSE),2)</f>
        <v>4038.59</v>
      </c>
      <c r="AB108" s="6" cm="1">
        <f t="array" ref="AB108">ROUND($J108*CIS_Inc_Salary2324s*(VLOOKUP($A108,EnrollData2324,'2324 Jun 24 Enroll'!T$1,FALSE)+VLOOKUP($A108,EnrollData2324,'2324 Jun 24 Enroll'!U$1,FALSE)),2)-AA108</f>
        <v>149.43000000000029</v>
      </c>
      <c r="AC108" s="6" cm="1">
        <f t="array" ref="AC108">ROUND($R108*CAS_Base_Salary2324s*VLOOKUP($A108,EnrollData2324,'2324 Jun 24 Enroll'!S$1,FALSE),2)</f>
        <v>443.7</v>
      </c>
      <c r="AD108" s="6" cm="1">
        <f t="array" ref="AD108">ROUND($R108*CAS_Inc_Salary2324s*VLOOKUP($A108,EnrollData2324,'2324 Jun 24 Enroll'!T$1,FALSE),2)-AC108</f>
        <v>16.410000000000025</v>
      </c>
      <c r="AE108" s="6" cm="1">
        <f t="array" ref="AE108">ROUND($Z108*CLS_Base_Salary2324s*VLOOKUP($A108,EnrollData2324,'2324 Jun 24 Enroll'!S$1,FALSE),2)</f>
        <v>926.07</v>
      </c>
      <c r="AF108" s="6" cm="1">
        <f t="array" ref="AF108">ROUND($Z108*CLS_Inc_Salary2324s*VLOOKUP($A108,EnrollData2324,'2324 Jun 24 Enroll'!T$1,FALSE),2)-AE108</f>
        <v>34.259999999999991</v>
      </c>
      <c r="AG108" cm="1">
        <f t="array" ref="AG108">ROUND(($J108+$R108)*Apport_124X2324s,2)</f>
        <v>734.29</v>
      </c>
      <c r="AH108" s="69">
        <f t="shared" si="14"/>
        <v>68.700000000000045</v>
      </c>
      <c r="AI108" cm="1">
        <f t="array" ref="AI108">ROUND($Z108*Apport_124X2324s,2)</f>
        <v>218.54</v>
      </c>
      <c r="AJ108" cm="1">
        <f t="array" ref="AJ108">ROUND($Z108*Apport_621X2324s*Apport_125X2324s,2)-AI108</f>
        <v>116.51000000000002</v>
      </c>
      <c r="AK108" cm="1">
        <f t="array" ref="AK108">ROUND((AA108+AC108)*Apport_126X2324s,2)</f>
        <v>805.47</v>
      </c>
      <c r="AL108" cm="1">
        <f t="array" ref="AL108">ROUND((AB108+AD108)*Apport_127X2324s,2)</f>
        <v>28.74</v>
      </c>
      <c r="AM108" cm="1">
        <f t="array" ref="AM108">ROUND(AE108*Apport_128X2324s,2)</f>
        <v>204.29</v>
      </c>
      <c r="AN108" cm="1">
        <f t="array" ref="AN108">ROUND(AF108*Apport_129X2324s,2)</f>
        <v>6.36</v>
      </c>
      <c r="AO108" cm="1">
        <f t="array" ref="AO108">ROUND(($J108*CIS_Inc_Salary2324s*(VLOOKUP($A108,EnrollData2324,'2324 Jun 24 Enroll'!T$1,FALSE)+VLOOKUP($A108,EnrollData2324,'2324 Jun 24 Enroll'!U$1,FALSE))/Apport_613Xpd)*Apport_614Xpd,2)</f>
        <v>69.8</v>
      </c>
      <c r="AP108" cm="1">
        <f t="array" ref="AP108">ROUND(AO108*Apport_127X2324s,2)</f>
        <v>12.1</v>
      </c>
      <c r="AQ108">
        <f t="shared" si="15"/>
        <v>30.93</v>
      </c>
      <c r="AR108" s="6" cm="1">
        <f t="array" ref="AR108">ROUND((VLOOKUP($A108,EnrollData2324,'2324 Jun 24 Enroll'!D$1,FALSE)*Apport_M802324s+VLOOKUP($A108,EnrollData2324,'2324 Jun 24 Enroll'!M$1,FALSE)*Apport_M802324s+(VLOOKUP($A108,EnrollData2324,'2324 Jun 24 Enroll'!P$1,FALSE)+VLOOKUP($A108,EnrollData2324,'2324 Jun 24 Enroll'!Q$1,FALSE)+VLOOKUP($A108,EnrollData2324,'2324 Jun 24 Enroll'!R$1,FALSE)+VLOOKUP($A108,EnrollData2324,'2324 Jun 24 Enroll'!I$1,FALSE)+VLOOKUP($A108,EnrollData2324,'2324 Jun 24 Enroll'!N$1,FALSE)+VLOOKUP($A108,EnrollData2324,'2324 Jun 24 Enroll'!O$1,FALSE)+VLOOKUP($A108,EnrollData2324,'2324 Jun 24 Enroll'!K$1,FALSE)+VLOOKUP($A108,EnrollData2324,'2324 Jun 24 Enroll'!L$1,FALSE))*Apport_M812324s)/(VLOOKUP($A108,EnrollData2324,'2324 Jun 24 Enroll'!M$1,FALSE)+VLOOKUP($A108,EnrollData2324,'2324 Jun 24 Enroll'!D$1,FALSE)),2)</f>
        <v>1564.83</v>
      </c>
      <c r="AS108" s="7">
        <f t="shared" si="16"/>
        <v>9469.02</v>
      </c>
    </row>
    <row r="109" spans="1:45">
      <c r="A109" s="40" t="s">
        <v>643</v>
      </c>
      <c r="B109" s="40" t="s">
        <v>644</v>
      </c>
      <c r="C109" s="11">
        <f>ROUND((IFERROR((1/IF(VLOOKUP($A109,EnrollData2324,28,FALSE)='District Calculations'!$D$10,VLOOKUP($A109,EnrollData2324,28,FALSE),'District Calculations'!$D$10))*(1+Apport_Z315),0))+Apport_201A2324s,6)</f>
        <v>7.3449E-2</v>
      </c>
      <c r="D109">
        <f>ROUND(IF(VLOOKUP($A109,EnrollData2324,'2324 Jun 24 Enroll'!D$1,FALSE)='District Calculations'!$D$11,VLOOKUP($A109,EnrollData2324,'2324 Jun 24 Enroll'!D$1,FALSE),'District Calculations'!$D$11)*C109,3)</f>
        <v>0</v>
      </c>
      <c r="E109">
        <f>ROUND(IF(VLOOKUP($A109,EnrollData2324,'2324 Jun 24 Enroll'!E$1,FALSE)='District Calculations'!$D$12,VLOOKUP($A109,EnrollData2324,'2324 Jun 24 Enroll'!E$1,FALSE),'District Calculations'!$D$12)*C109,3)</f>
        <v>59.53</v>
      </c>
      <c r="F109">
        <f>ROUND(IF(VLOOKUP($A109,EnrollData2324,'2324 Jun 24 Enroll'!F$1,FALSE)='District Calculations'!$D$13,VLOOKUP($A109,EnrollData2324,'2324 Jun 24 Enroll'!F$1,FALSE),'District Calculations'!$D$13)*Apport_222A2324s,3)</f>
        <v>10.101000000000001</v>
      </c>
      <c r="G109">
        <f>ROUND(IF(VLOOKUP($A109,EnrollData2324,'2324 Jun 24 Enroll'!G$1,FALSE)='District Calculations'!$D$14,VLOOKUP($A109,EnrollData2324,'2324 Jun 24 Enroll'!G$1,FALSE),'District Calculations'!$D$14)*Apport_210A2324s,3)</f>
        <v>22.395</v>
      </c>
      <c r="H109">
        <f>ROUND(IF(VLOOKUP($A109,EnrollData2324,'2324 Jun 24 Enroll'!H$1,FALSE)='District Calculations'!$D$15,VLOOKUP($A109,EnrollData2324,'2324 Jun 24 Enroll'!H$1,FALSE),'District Calculations'!$D$15)*Apport_213A2324s,3)</f>
        <v>23.091999999999999</v>
      </c>
      <c r="I109">
        <f>ROUND(IF(VLOOKUP($A109,EnrollData2324,'2324 Jun 24 Enroll'!I$1,FALSE)+VLOOKUP($A109,EnrollData2324,'2324 Jun 24 Enroll'!M$1,FALSE)-VLOOKUP($A109,EnrollData2324,'2324 Jun 24 Enroll'!J$1,FALSE)='District Calculations'!$D$16+'District Calculations'!$D$25-'District Calculations'!$D$17,VLOOKUP($A109,EnrollData2324,'2324 Jun 24 Enroll'!I$1,FALSE)+VLOOKUP($A109,EnrollData2324,'2324 Jun 24 Enroll'!M$1,FALSE)-VLOOKUP($A109,EnrollData2324,'2324 Jun 24 Enroll'!J$1,FALSE),'District Calculations'!$D$16+'District Calculations'!$D$25-'District Calculations'!$D$17)*Apport_216A2324s,3)</f>
        <v>58.183999999999997</v>
      </c>
      <c r="J109">
        <f>ROUND(SUM(D109:I109)/(IF(VLOOKUP($A109,EnrollData2324,'2324 Jun 24 Enroll'!M$1,FALSE)='District Calculations'!$D$25,VLOOKUP($A109,EnrollData2324,'2324 Jun 24 Enroll'!M$1,FALSE),'District Calculations'!$D$25)+IF(VLOOKUP($A109,EnrollData2324,'2324 Jun 24 Enroll'!D$1,FALSE)='District Calculations'!$D$11,VLOOKUP($A109,EnrollData2324,'2324 Jun 24 Enroll'!D$1,FALSE),'District Calculations'!$D$11)),5)</f>
        <v>5.5530000000000003E-2</v>
      </c>
      <c r="K109" s="11">
        <f t="shared" si="12"/>
        <v>4.3699999999999998E-3</v>
      </c>
      <c r="L109">
        <f>ROUND(IF(VLOOKUP($A109,EnrollData2324,'2324 Jun 24 Enroll'!D$1,FALSE)='District Calculations'!$D$11,VLOOKUP($A109,EnrollData2324,'2324 Jun 24 Enroll'!D$1,FALSE),'District Calculations'!$D$11)*K109,3)</f>
        <v>0</v>
      </c>
      <c r="M109">
        <f>ROUND(IF(VLOOKUP($A109,EnrollData2324,'2324 Jun 24 Enroll'!E$1,FALSE)='District Calculations'!$D$12,VLOOKUP($A109,EnrollData2324,'2324 Jun 24 Enroll'!E$1,FALSE),'District Calculations'!$D$12)*K109,3)</f>
        <v>3.5419999999999998</v>
      </c>
      <c r="N109">
        <f>ROUND(IF(VLOOKUP($A109,EnrollData2324,'2324 Jun 24 Enroll'!F$1,FALSE)='District Calculations'!$D$13,VLOOKUP($A109,EnrollData2324,'2324 Jun 24 Enroll'!F$1,FALSE),'District Calculations'!$D$13)*Apport_223A2324s,3)</f>
        <v>0.84299999999999997</v>
      </c>
      <c r="O109">
        <f>ROUND(IF(VLOOKUP($A109,EnrollData2324,'2324 Jun 24 Enroll'!G$1,FALSE)='District Calculations'!$D$14,VLOOKUP($A109,EnrollData2324,'2324 Jun 24 Enroll'!G$1,FALSE),'District Calculations'!$D$14)*Apport_211A2324s,3)</f>
        <v>1.87</v>
      </c>
      <c r="P109">
        <f>ROUND(IF(VLOOKUP($A109,EnrollData2324,'2324 Jun 24 Enroll'!H$1,FALSE)='District Calculations'!$D$14,VLOOKUP($A109,EnrollData2324,'2324 Jun 24 Enroll'!H$1,FALSE),'District Calculations'!$D$14)*Apport_214A2324s,3)</f>
        <v>1.8680000000000001</v>
      </c>
      <c r="Q109">
        <f>ROUND(IF(VLOOKUP($A109,EnrollData2324,'2324 Jun 24 Enroll'!I$1,FALSE)+VLOOKUP($A109,EnrollData2324,'2324 Jun 24 Enroll'!M$1,FALSE)-VLOOKUP($A109,EnrollData2324,'2324 Jun 24 Enroll'!J$1,FALSE)='District Calculations'!$D$16+'District Calculations'!$D$25-'District Calculations'!$D$17,VLOOKUP($A109,EnrollData2324,'2324 Jun 24 Enroll'!I$1,FALSE)+VLOOKUP($A109,EnrollData2324,'2324 Jun 24 Enroll'!M$1,FALSE)-VLOOKUP($A109,EnrollData2324,'2324 Jun 24 Enroll'!J$1,FALSE),'District Calculations'!$D$16+'District Calculations'!$D$25-'District Calculations'!$D$17)*Apport_217A2324s,3)</f>
        <v>4.702</v>
      </c>
      <c r="R109">
        <f>ROUND(SUM(L109:Q109)/IF(VLOOKUP($A109,EnrollData2324,'2324 Jun 24 Enroll'!M$1,FALSE)+VLOOKUP($A109,EnrollData2324,'2324 Jun 24 Enroll'!D$1,FALSE)='District Calculations'!$D$25+'District Calculations'!$D$11,VLOOKUP($A109,EnrollData2324,'2324 Jun 24 Enroll'!M$1,FALSE)+VLOOKUP($A109,EnrollData2324,'2324 Jun 24 Enroll'!D$1,FALSE),'District Calculations'!$D$25+'District Calculations'!$D$11),5)</f>
        <v>4.1099999999999999E-3</v>
      </c>
      <c r="S109" s="11">
        <f t="shared" si="13"/>
        <v>1.8689600000000001E-2</v>
      </c>
      <c r="T109">
        <f>ROUND(IF(VLOOKUP($A109,EnrollData2324,'2324 Jun 24 Enroll'!D$1,FALSE)='District Calculations'!$D$11,VLOOKUP($A109,EnrollData2324,'2324 Jun 24 Enroll'!D$1,FALSE),'District Calculations'!$D$11)*S109,3)</f>
        <v>0</v>
      </c>
      <c r="U109">
        <f>ROUND(IF(VLOOKUP($A109,EnrollData2324,'2324 Jun 24 Enroll'!E$1,FALSE)='District Calculations'!$D$12,VLOOKUP($A109,EnrollData2324,'2324 Jun 24 Enroll'!E$1,FALSE),'District Calculations'!$D$12)*S109,3)</f>
        <v>15.148</v>
      </c>
      <c r="V109">
        <f>ROUND(IF(VLOOKUP($A109,EnrollData2324,'2324 Jun 24 Enroll'!F$1,FALSE)='District Calculations'!$D$13,VLOOKUP($A109,EnrollData2324,'2324 Jun 24 Enroll'!F$1,FALSE),'District Calculations'!$D$13)*Apport_224A2324s,3)</f>
        <v>3.7029999999999998</v>
      </c>
      <c r="W109">
        <f>ROUND(IF(VLOOKUP($A109,EnrollData2324,'2324 Jun 24 Enroll'!G$1,FALSE)='District Calculations'!$D$14,VLOOKUP($A109,EnrollData2324,'2324 Jun 24 Enroll'!G$1,FALSE),'District Calculations'!$D$14)*Apport_212A2324s,3)</f>
        <v>8.2089999999999996</v>
      </c>
      <c r="X109">
        <f>ROUND(IF(VLOOKUP($A109,EnrollData2324,'2324 Jun 24 Enroll'!H$1,FALSE)='District Calculations'!$D$14,VLOOKUP($A109,EnrollData2324,'2324 Jun 24 Enroll'!H$1,FALSE),'District Calculations'!$D$14)*Apport_215A2324s,3)</f>
        <v>8.0969999999999995</v>
      </c>
      <c r="Y109">
        <f>ROUND(IF(VLOOKUP($A109,EnrollData2324,'2324 Jun 24 Enroll'!I$1,FALSE)+VLOOKUP($A109,EnrollData2324,'2324 Jun 24 Enroll'!M$1,FALSE)-VLOOKUP($A109,EnrollData2324,'2324 Jun 24 Enroll'!J$1,FALSE)='District Calculations'!$D$16+'District Calculations'!$D$25-'District Calculations'!$D$17,VLOOKUP($A109,EnrollData2324,'2324 Jun 24 Enroll'!I$1,FALSE)+VLOOKUP($A109,EnrollData2324,'2324 Jun 24 Enroll'!M$1,FALSE)-VLOOKUP($A109,EnrollData2324,'2324 Jun 24 Enroll'!J$1,FALSE),'District Calculations'!$D$16+'District Calculations'!$D$25-'District Calculations'!$D$17)*Apport_218A2324s,3)</f>
        <v>20.224</v>
      </c>
      <c r="Z109">
        <f>ROUND(SUM(T109:Y109)/IF(VLOOKUP($A109,EnrollData2324,'2324 Jun 24 Enroll'!M$1,FALSE)+VLOOKUP($A109,EnrollData2324,'2324 Jun 24 Enroll'!D$1,FALSE)='District Calculations'!$D$25+'District Calculations'!$D$11,VLOOKUP($A109,EnrollData2324,'2324 Jun 24 Enroll'!M$1,FALSE)+VLOOKUP($A109,EnrollData2324,'2324 Jun 24 Enroll'!D$1,FALSE),'District Calculations'!$D$25+'District Calculations'!$D$11),5)</f>
        <v>1.7749999999999998E-2</v>
      </c>
      <c r="AA109" s="6" cm="1">
        <f t="array" ref="AA109">ROUND($J109*CIS_Base_Salary2324s*VLOOKUP($A109,EnrollData2324,'2324 Jun 24 Enroll'!S$1,FALSE),2)</f>
        <v>4523.22</v>
      </c>
      <c r="AB109" s="6" cm="1">
        <f t="array" ref="AB109">ROUND($J109*CIS_Inc_Salary2324s*(VLOOKUP($A109,EnrollData2324,'2324 Jun 24 Enroll'!T$1,FALSE)+VLOOKUP($A109,EnrollData2324,'2324 Jun 24 Enroll'!U$1,FALSE)),2)-AA109</f>
        <v>167.35999999999967</v>
      </c>
      <c r="AC109" s="6" cm="1">
        <f t="array" ref="AC109">ROUND($R109*CAS_Base_Salary2324s*VLOOKUP($A109,EnrollData2324,'2324 Jun 24 Enroll'!S$1,FALSE),2)</f>
        <v>496.94</v>
      </c>
      <c r="AD109" s="6" cm="1">
        <f t="array" ref="AD109">ROUND($R109*CAS_Inc_Salary2324s*VLOOKUP($A109,EnrollData2324,'2324 Jun 24 Enroll'!T$1,FALSE),2)-AC109</f>
        <v>18.390000000000043</v>
      </c>
      <c r="AE109" s="6" cm="1">
        <f t="array" ref="AE109">ROUND($Z109*CLS_Base_Salary2324s*VLOOKUP($A109,EnrollData2324,'2324 Jun 24 Enroll'!S$1,FALSE),2)</f>
        <v>1037.2</v>
      </c>
      <c r="AF109" s="6" cm="1">
        <f t="array" ref="AF109">ROUND($Z109*CLS_Inc_Salary2324s*VLOOKUP($A109,EnrollData2324,'2324 Jun 24 Enroll'!T$1,FALSE),2)-AE109</f>
        <v>38.369999999999891</v>
      </c>
      <c r="AG109" cm="1">
        <f t="array" ref="AG109">ROUND(($J109+$R109)*Apport_124X2324s,2)</f>
        <v>734.29</v>
      </c>
      <c r="AH109" s="69">
        <f t="shared" si="14"/>
        <v>68.700000000000045</v>
      </c>
      <c r="AI109" cm="1">
        <f t="array" ref="AI109">ROUND($Z109*Apport_124X2324s,2)</f>
        <v>218.54</v>
      </c>
      <c r="AJ109" cm="1">
        <f t="array" ref="AJ109">ROUND($Z109*Apport_621X2324s*Apport_125X2324s,2)-AI109</f>
        <v>116.51000000000002</v>
      </c>
      <c r="AK109" cm="1">
        <f t="array" ref="AK109">ROUND((AA109+AC109)*Apport_126X2324s,2)</f>
        <v>902.12</v>
      </c>
      <c r="AL109" cm="1">
        <f t="array" ref="AL109">ROUND((AB109+AD109)*Apport_127X2324s,2)</f>
        <v>32.19</v>
      </c>
      <c r="AM109" cm="1">
        <f t="array" ref="AM109">ROUND(AE109*Apport_128X2324s,2)</f>
        <v>228.81</v>
      </c>
      <c r="AN109" cm="1">
        <f t="array" ref="AN109">ROUND(AF109*Apport_129X2324s,2)</f>
        <v>7.12</v>
      </c>
      <c r="AO109" cm="1">
        <f t="array" ref="AO109">ROUND(($J109*CIS_Inc_Salary2324s*(VLOOKUP($A109,EnrollData2324,'2324 Jun 24 Enroll'!T$1,FALSE)+VLOOKUP($A109,EnrollData2324,'2324 Jun 24 Enroll'!U$1,FALSE))/Apport_613Xpd)*Apport_614Xpd,2)</f>
        <v>78.180000000000007</v>
      </c>
      <c r="AP109" cm="1">
        <f t="array" ref="AP109">ROUND(AO109*Apport_127X2324s,2)</f>
        <v>13.55</v>
      </c>
      <c r="AQ109">
        <f t="shared" si="15"/>
        <v>30.93</v>
      </c>
      <c r="AR109" s="6" cm="1">
        <f t="array" ref="AR109">ROUND((VLOOKUP($A109,EnrollData2324,'2324 Jun 24 Enroll'!D$1,FALSE)*Apport_M802324s+VLOOKUP($A109,EnrollData2324,'2324 Jun 24 Enroll'!M$1,FALSE)*Apport_M802324s+(VLOOKUP($A109,EnrollData2324,'2324 Jun 24 Enroll'!P$1,FALSE)+VLOOKUP($A109,EnrollData2324,'2324 Jun 24 Enroll'!Q$1,FALSE)+VLOOKUP($A109,EnrollData2324,'2324 Jun 24 Enroll'!R$1,FALSE)+VLOOKUP($A109,EnrollData2324,'2324 Jun 24 Enroll'!I$1,FALSE)+VLOOKUP($A109,EnrollData2324,'2324 Jun 24 Enroll'!N$1,FALSE)+VLOOKUP($A109,EnrollData2324,'2324 Jun 24 Enroll'!O$1,FALSE)+VLOOKUP($A109,EnrollData2324,'2324 Jun 24 Enroll'!K$1,FALSE)+VLOOKUP($A109,EnrollData2324,'2324 Jun 24 Enroll'!L$1,FALSE))*Apport_M812324s)/(VLOOKUP($A109,EnrollData2324,'2324 Jun 24 Enroll'!M$1,FALSE)+VLOOKUP($A109,EnrollData2324,'2324 Jun 24 Enroll'!D$1,FALSE)),2)</f>
        <v>1574.11</v>
      </c>
      <c r="AS109" s="7">
        <f t="shared" si="16"/>
        <v>10286.530000000001</v>
      </c>
    </row>
    <row r="110" spans="1:45">
      <c r="A110" s="40" t="s">
        <v>410</v>
      </c>
      <c r="B110" s="40" t="s">
        <v>411</v>
      </c>
      <c r="C110" s="11">
        <f>ROUND((IFERROR((1/IF(VLOOKUP($A110,EnrollData2324,28,FALSE)='District Calculations'!$D$10,VLOOKUP($A110,EnrollData2324,28,FALSE),'District Calculations'!$D$10))*(1+Apport_Z315),0))+Apport_201A2324s,6)</f>
        <v>7.3449E-2</v>
      </c>
      <c r="D110">
        <f>ROUND(IF(VLOOKUP($A110,EnrollData2324,'2324 Jun 24 Enroll'!D$1,FALSE)='District Calculations'!$D$11,VLOOKUP($A110,EnrollData2324,'2324 Jun 24 Enroll'!D$1,FALSE),'District Calculations'!$D$11)*C110,3)</f>
        <v>0</v>
      </c>
      <c r="E110">
        <f>ROUND(IF(VLOOKUP($A110,EnrollData2324,'2324 Jun 24 Enroll'!E$1,FALSE)='District Calculations'!$D$12,VLOOKUP($A110,EnrollData2324,'2324 Jun 24 Enroll'!E$1,FALSE),'District Calculations'!$D$12)*C110,3)</f>
        <v>59.53</v>
      </c>
      <c r="F110">
        <f>ROUND(IF(VLOOKUP($A110,EnrollData2324,'2324 Jun 24 Enroll'!F$1,FALSE)='District Calculations'!$D$13,VLOOKUP($A110,EnrollData2324,'2324 Jun 24 Enroll'!F$1,FALSE),'District Calculations'!$D$13)*Apport_222A2324s,3)</f>
        <v>10.101000000000001</v>
      </c>
      <c r="G110">
        <f>ROUND(IF(VLOOKUP($A110,EnrollData2324,'2324 Jun 24 Enroll'!G$1,FALSE)='District Calculations'!$D$14,VLOOKUP($A110,EnrollData2324,'2324 Jun 24 Enroll'!G$1,FALSE),'District Calculations'!$D$14)*Apport_210A2324s,3)</f>
        <v>22.395</v>
      </c>
      <c r="H110">
        <f>ROUND(IF(VLOOKUP($A110,EnrollData2324,'2324 Jun 24 Enroll'!H$1,FALSE)='District Calculations'!$D$15,VLOOKUP($A110,EnrollData2324,'2324 Jun 24 Enroll'!H$1,FALSE),'District Calculations'!$D$15)*Apport_213A2324s,3)</f>
        <v>23.091999999999999</v>
      </c>
      <c r="I110">
        <f>ROUND(IF(VLOOKUP($A110,EnrollData2324,'2324 Jun 24 Enroll'!I$1,FALSE)+VLOOKUP($A110,EnrollData2324,'2324 Jun 24 Enroll'!M$1,FALSE)-VLOOKUP($A110,EnrollData2324,'2324 Jun 24 Enroll'!J$1,FALSE)='District Calculations'!$D$16+'District Calculations'!$D$25-'District Calculations'!$D$17,VLOOKUP($A110,EnrollData2324,'2324 Jun 24 Enroll'!I$1,FALSE)+VLOOKUP($A110,EnrollData2324,'2324 Jun 24 Enroll'!M$1,FALSE)-VLOOKUP($A110,EnrollData2324,'2324 Jun 24 Enroll'!J$1,FALSE),'District Calculations'!$D$16+'District Calculations'!$D$25-'District Calculations'!$D$17)*Apport_216A2324s,3)</f>
        <v>58.183999999999997</v>
      </c>
      <c r="J110">
        <f>ROUND(SUM(D110:I110)/(IF(VLOOKUP($A110,EnrollData2324,'2324 Jun 24 Enroll'!M$1,FALSE)='District Calculations'!$D$25,VLOOKUP($A110,EnrollData2324,'2324 Jun 24 Enroll'!M$1,FALSE),'District Calculations'!$D$25)+IF(VLOOKUP($A110,EnrollData2324,'2324 Jun 24 Enroll'!D$1,FALSE)='District Calculations'!$D$11,VLOOKUP($A110,EnrollData2324,'2324 Jun 24 Enroll'!D$1,FALSE),'District Calculations'!$D$11)),5)</f>
        <v>5.5530000000000003E-2</v>
      </c>
      <c r="K110" s="11">
        <f t="shared" si="12"/>
        <v>4.3699999999999998E-3</v>
      </c>
      <c r="L110">
        <f>ROUND(IF(VLOOKUP($A110,EnrollData2324,'2324 Jun 24 Enroll'!D$1,FALSE)='District Calculations'!$D$11,VLOOKUP($A110,EnrollData2324,'2324 Jun 24 Enroll'!D$1,FALSE),'District Calculations'!$D$11)*K110,3)</f>
        <v>0</v>
      </c>
      <c r="M110">
        <f>ROUND(IF(VLOOKUP($A110,EnrollData2324,'2324 Jun 24 Enroll'!E$1,FALSE)='District Calculations'!$D$12,VLOOKUP($A110,EnrollData2324,'2324 Jun 24 Enroll'!E$1,FALSE),'District Calculations'!$D$12)*K110,3)</f>
        <v>3.5419999999999998</v>
      </c>
      <c r="N110">
        <f>ROUND(IF(VLOOKUP($A110,EnrollData2324,'2324 Jun 24 Enroll'!F$1,FALSE)='District Calculations'!$D$13,VLOOKUP($A110,EnrollData2324,'2324 Jun 24 Enroll'!F$1,FALSE),'District Calculations'!$D$13)*Apport_223A2324s,3)</f>
        <v>0.84299999999999997</v>
      </c>
      <c r="O110">
        <f>ROUND(IF(VLOOKUP($A110,EnrollData2324,'2324 Jun 24 Enroll'!G$1,FALSE)='District Calculations'!$D$14,VLOOKUP($A110,EnrollData2324,'2324 Jun 24 Enroll'!G$1,FALSE),'District Calculations'!$D$14)*Apport_211A2324s,3)</f>
        <v>1.87</v>
      </c>
      <c r="P110">
        <f>ROUND(IF(VLOOKUP($A110,EnrollData2324,'2324 Jun 24 Enroll'!H$1,FALSE)='District Calculations'!$D$14,VLOOKUP($A110,EnrollData2324,'2324 Jun 24 Enroll'!H$1,FALSE),'District Calculations'!$D$14)*Apport_214A2324s,3)</f>
        <v>1.8680000000000001</v>
      </c>
      <c r="Q110">
        <f>ROUND(IF(VLOOKUP($A110,EnrollData2324,'2324 Jun 24 Enroll'!I$1,FALSE)+VLOOKUP($A110,EnrollData2324,'2324 Jun 24 Enroll'!M$1,FALSE)-VLOOKUP($A110,EnrollData2324,'2324 Jun 24 Enroll'!J$1,FALSE)='District Calculations'!$D$16+'District Calculations'!$D$25-'District Calculations'!$D$17,VLOOKUP($A110,EnrollData2324,'2324 Jun 24 Enroll'!I$1,FALSE)+VLOOKUP($A110,EnrollData2324,'2324 Jun 24 Enroll'!M$1,FALSE)-VLOOKUP($A110,EnrollData2324,'2324 Jun 24 Enroll'!J$1,FALSE),'District Calculations'!$D$16+'District Calculations'!$D$25-'District Calculations'!$D$17)*Apport_217A2324s,3)</f>
        <v>4.702</v>
      </c>
      <c r="R110">
        <f>ROUND(SUM(L110:Q110)/IF(VLOOKUP($A110,EnrollData2324,'2324 Jun 24 Enroll'!M$1,FALSE)+VLOOKUP($A110,EnrollData2324,'2324 Jun 24 Enroll'!D$1,FALSE)='District Calculations'!$D$25+'District Calculations'!$D$11,VLOOKUP($A110,EnrollData2324,'2324 Jun 24 Enroll'!M$1,FALSE)+VLOOKUP($A110,EnrollData2324,'2324 Jun 24 Enroll'!D$1,FALSE),'District Calculations'!$D$25+'District Calculations'!$D$11),5)</f>
        <v>4.1099999999999999E-3</v>
      </c>
      <c r="S110" s="11">
        <f t="shared" si="13"/>
        <v>1.8689600000000001E-2</v>
      </c>
      <c r="T110">
        <f>ROUND(IF(VLOOKUP($A110,EnrollData2324,'2324 Jun 24 Enroll'!D$1,FALSE)='District Calculations'!$D$11,VLOOKUP($A110,EnrollData2324,'2324 Jun 24 Enroll'!D$1,FALSE),'District Calculations'!$D$11)*S110,3)</f>
        <v>0</v>
      </c>
      <c r="U110">
        <f>ROUND(IF(VLOOKUP($A110,EnrollData2324,'2324 Jun 24 Enroll'!E$1,FALSE)='District Calculations'!$D$12,VLOOKUP($A110,EnrollData2324,'2324 Jun 24 Enroll'!E$1,FALSE),'District Calculations'!$D$12)*S110,3)</f>
        <v>15.148</v>
      </c>
      <c r="V110">
        <f>ROUND(IF(VLOOKUP($A110,EnrollData2324,'2324 Jun 24 Enroll'!F$1,FALSE)='District Calculations'!$D$13,VLOOKUP($A110,EnrollData2324,'2324 Jun 24 Enroll'!F$1,FALSE),'District Calculations'!$D$13)*Apport_224A2324s,3)</f>
        <v>3.7029999999999998</v>
      </c>
      <c r="W110">
        <f>ROUND(IF(VLOOKUP($A110,EnrollData2324,'2324 Jun 24 Enroll'!G$1,FALSE)='District Calculations'!$D$14,VLOOKUP($A110,EnrollData2324,'2324 Jun 24 Enroll'!G$1,FALSE),'District Calculations'!$D$14)*Apport_212A2324s,3)</f>
        <v>8.2089999999999996</v>
      </c>
      <c r="X110">
        <f>ROUND(IF(VLOOKUP($A110,EnrollData2324,'2324 Jun 24 Enroll'!H$1,FALSE)='District Calculations'!$D$14,VLOOKUP($A110,EnrollData2324,'2324 Jun 24 Enroll'!H$1,FALSE),'District Calculations'!$D$14)*Apport_215A2324s,3)</f>
        <v>8.0969999999999995</v>
      </c>
      <c r="Y110">
        <f>ROUND(IF(VLOOKUP($A110,EnrollData2324,'2324 Jun 24 Enroll'!I$1,FALSE)+VLOOKUP($A110,EnrollData2324,'2324 Jun 24 Enroll'!M$1,FALSE)-VLOOKUP($A110,EnrollData2324,'2324 Jun 24 Enroll'!J$1,FALSE)='District Calculations'!$D$16+'District Calculations'!$D$25-'District Calculations'!$D$17,VLOOKUP($A110,EnrollData2324,'2324 Jun 24 Enroll'!I$1,FALSE)+VLOOKUP($A110,EnrollData2324,'2324 Jun 24 Enroll'!M$1,FALSE)-VLOOKUP($A110,EnrollData2324,'2324 Jun 24 Enroll'!J$1,FALSE),'District Calculations'!$D$16+'District Calculations'!$D$25-'District Calculations'!$D$17)*Apport_218A2324s,3)</f>
        <v>20.224</v>
      </c>
      <c r="Z110">
        <f>ROUND(SUM(T110:Y110)/IF(VLOOKUP($A110,EnrollData2324,'2324 Jun 24 Enroll'!M$1,FALSE)+VLOOKUP($A110,EnrollData2324,'2324 Jun 24 Enroll'!D$1,FALSE)='District Calculations'!$D$25+'District Calculations'!$D$11,VLOOKUP($A110,EnrollData2324,'2324 Jun 24 Enroll'!M$1,FALSE)+VLOOKUP($A110,EnrollData2324,'2324 Jun 24 Enroll'!D$1,FALSE),'District Calculations'!$D$25+'District Calculations'!$D$11),5)</f>
        <v>1.7749999999999998E-2</v>
      </c>
      <c r="AA110" s="6" cm="1">
        <f t="array" ref="AA110">ROUND($J110*CIS_Base_Salary2324s*VLOOKUP($A110,EnrollData2324,'2324 Jun 24 Enroll'!S$1,FALSE),2)</f>
        <v>4523.22</v>
      </c>
      <c r="AB110" s="6" cm="1">
        <f t="array" ref="AB110">ROUND($J110*CIS_Inc_Salary2324s*(VLOOKUP($A110,EnrollData2324,'2324 Jun 24 Enroll'!T$1,FALSE)+VLOOKUP($A110,EnrollData2324,'2324 Jun 24 Enroll'!U$1,FALSE)),2)-AA110</f>
        <v>251.11999999999989</v>
      </c>
      <c r="AC110" s="6" cm="1">
        <f t="array" ref="AC110">ROUND($R110*CAS_Base_Salary2324s*VLOOKUP($A110,EnrollData2324,'2324 Jun 24 Enroll'!S$1,FALSE),2)</f>
        <v>496.94</v>
      </c>
      <c r="AD110" s="6" cm="1">
        <f t="array" ref="AD110">ROUND($R110*CAS_Inc_Salary2324s*VLOOKUP($A110,EnrollData2324,'2324 Jun 24 Enroll'!T$1,FALSE),2)-AC110</f>
        <v>18.390000000000043</v>
      </c>
      <c r="AE110" s="6" cm="1">
        <f t="array" ref="AE110">ROUND($Z110*CLS_Base_Salary2324s*VLOOKUP($A110,EnrollData2324,'2324 Jun 24 Enroll'!S$1,FALSE),2)</f>
        <v>1037.2</v>
      </c>
      <c r="AF110" s="6" cm="1">
        <f t="array" ref="AF110">ROUND($Z110*CLS_Inc_Salary2324s*VLOOKUP($A110,EnrollData2324,'2324 Jun 24 Enroll'!T$1,FALSE),2)-AE110</f>
        <v>38.369999999999891</v>
      </c>
      <c r="AG110" cm="1">
        <f t="array" ref="AG110">ROUND(($J110+$R110)*Apport_124X2324s,2)</f>
        <v>734.29</v>
      </c>
      <c r="AH110" s="69">
        <f t="shared" si="14"/>
        <v>68.700000000000045</v>
      </c>
      <c r="AI110" cm="1">
        <f t="array" ref="AI110">ROUND($Z110*Apport_124X2324s,2)</f>
        <v>218.54</v>
      </c>
      <c r="AJ110" cm="1">
        <f t="array" ref="AJ110">ROUND($Z110*Apport_621X2324s*Apport_125X2324s,2)-AI110</f>
        <v>116.51000000000002</v>
      </c>
      <c r="AK110" cm="1">
        <f t="array" ref="AK110">ROUND((AA110+AC110)*Apport_126X2324s,2)</f>
        <v>902.12</v>
      </c>
      <c r="AL110" cm="1">
        <f t="array" ref="AL110">ROUND((AB110+AD110)*Apport_127X2324s,2)</f>
        <v>46.71</v>
      </c>
      <c r="AM110" cm="1">
        <f t="array" ref="AM110">ROUND(AE110*Apport_128X2324s,2)</f>
        <v>228.81</v>
      </c>
      <c r="AN110" cm="1">
        <f t="array" ref="AN110">ROUND(AF110*Apport_129X2324s,2)</f>
        <v>7.12</v>
      </c>
      <c r="AO110" cm="1">
        <f t="array" ref="AO110">ROUND(($J110*CIS_Inc_Salary2324s*(VLOOKUP($A110,EnrollData2324,'2324 Jun 24 Enroll'!T$1,FALSE)+VLOOKUP($A110,EnrollData2324,'2324 Jun 24 Enroll'!U$1,FALSE))/Apport_613Xpd)*Apport_614Xpd,2)</f>
        <v>79.569999999999993</v>
      </c>
      <c r="AP110" cm="1">
        <f t="array" ref="AP110">ROUND(AO110*Apport_127X2324s,2)</f>
        <v>13.79</v>
      </c>
      <c r="AQ110">
        <f t="shared" si="15"/>
        <v>30.93</v>
      </c>
      <c r="AR110" s="6" cm="1">
        <f t="array" ref="AR110">ROUND((VLOOKUP($A110,EnrollData2324,'2324 Jun 24 Enroll'!D$1,FALSE)*Apport_M802324s+VLOOKUP($A110,EnrollData2324,'2324 Jun 24 Enroll'!M$1,FALSE)*Apport_M802324s+(VLOOKUP($A110,EnrollData2324,'2324 Jun 24 Enroll'!P$1,FALSE)+VLOOKUP($A110,EnrollData2324,'2324 Jun 24 Enroll'!Q$1,FALSE)+VLOOKUP($A110,EnrollData2324,'2324 Jun 24 Enroll'!R$1,FALSE)+VLOOKUP($A110,EnrollData2324,'2324 Jun 24 Enroll'!I$1,FALSE)+VLOOKUP($A110,EnrollData2324,'2324 Jun 24 Enroll'!N$1,FALSE)+VLOOKUP($A110,EnrollData2324,'2324 Jun 24 Enroll'!O$1,FALSE)+VLOOKUP($A110,EnrollData2324,'2324 Jun 24 Enroll'!K$1,FALSE)+VLOOKUP($A110,EnrollData2324,'2324 Jun 24 Enroll'!L$1,FALSE))*Apport_M812324s)/(VLOOKUP($A110,EnrollData2324,'2324 Jun 24 Enroll'!M$1,FALSE)+VLOOKUP($A110,EnrollData2324,'2324 Jun 24 Enroll'!D$1,FALSE)),2)</f>
        <v>1566.27</v>
      </c>
      <c r="AS110" s="7">
        <f t="shared" si="16"/>
        <v>10378.6</v>
      </c>
    </row>
    <row r="111" spans="1:45">
      <c r="A111" s="40" t="s">
        <v>777</v>
      </c>
      <c r="B111" s="40" t="s">
        <v>778</v>
      </c>
      <c r="C111" s="11">
        <f>ROUND((IFERROR((1/IF(VLOOKUP($A111,EnrollData2324,28,FALSE)='District Calculations'!$D$10,VLOOKUP($A111,EnrollData2324,28,FALSE),'District Calculations'!$D$10))*(1+Apport_Z315),0))+Apport_201A2324s,6)</f>
        <v>7.3449E-2</v>
      </c>
      <c r="D111">
        <f>ROUND(IF(VLOOKUP($A111,EnrollData2324,'2324 Jun 24 Enroll'!D$1,FALSE)='District Calculations'!$D$11,VLOOKUP($A111,EnrollData2324,'2324 Jun 24 Enroll'!D$1,FALSE),'District Calculations'!$D$11)*C111,3)</f>
        <v>0</v>
      </c>
      <c r="E111">
        <f>ROUND(IF(VLOOKUP($A111,EnrollData2324,'2324 Jun 24 Enroll'!E$1,FALSE)='District Calculations'!$D$12,VLOOKUP($A111,EnrollData2324,'2324 Jun 24 Enroll'!E$1,FALSE),'District Calculations'!$D$12)*C111,3)</f>
        <v>59.53</v>
      </c>
      <c r="F111">
        <f>ROUND(IF(VLOOKUP($A111,EnrollData2324,'2324 Jun 24 Enroll'!F$1,FALSE)='District Calculations'!$D$13,VLOOKUP($A111,EnrollData2324,'2324 Jun 24 Enroll'!F$1,FALSE),'District Calculations'!$D$13)*Apport_222A2324s,3)</f>
        <v>10.101000000000001</v>
      </c>
      <c r="G111">
        <f>ROUND(IF(VLOOKUP($A111,EnrollData2324,'2324 Jun 24 Enroll'!G$1,FALSE)='District Calculations'!$D$14,VLOOKUP($A111,EnrollData2324,'2324 Jun 24 Enroll'!G$1,FALSE),'District Calculations'!$D$14)*Apport_210A2324s,3)</f>
        <v>22.395</v>
      </c>
      <c r="H111">
        <f>ROUND(IF(VLOOKUP($A111,EnrollData2324,'2324 Jun 24 Enroll'!H$1,FALSE)='District Calculations'!$D$15,VLOOKUP($A111,EnrollData2324,'2324 Jun 24 Enroll'!H$1,FALSE),'District Calculations'!$D$15)*Apport_213A2324s,3)</f>
        <v>23.091999999999999</v>
      </c>
      <c r="I111">
        <f>ROUND(IF(VLOOKUP($A111,EnrollData2324,'2324 Jun 24 Enroll'!I$1,FALSE)+VLOOKUP($A111,EnrollData2324,'2324 Jun 24 Enroll'!M$1,FALSE)-VLOOKUP($A111,EnrollData2324,'2324 Jun 24 Enroll'!J$1,FALSE)='District Calculations'!$D$16+'District Calculations'!$D$25-'District Calculations'!$D$17,VLOOKUP($A111,EnrollData2324,'2324 Jun 24 Enroll'!I$1,FALSE)+VLOOKUP($A111,EnrollData2324,'2324 Jun 24 Enroll'!M$1,FALSE)-VLOOKUP($A111,EnrollData2324,'2324 Jun 24 Enroll'!J$1,FALSE),'District Calculations'!$D$16+'District Calculations'!$D$25-'District Calculations'!$D$17)*Apport_216A2324s,3)</f>
        <v>58.183999999999997</v>
      </c>
      <c r="J111">
        <f>ROUND(SUM(D111:I111)/(IF(VLOOKUP($A111,EnrollData2324,'2324 Jun 24 Enroll'!M$1,FALSE)='District Calculations'!$D$25,VLOOKUP($A111,EnrollData2324,'2324 Jun 24 Enroll'!M$1,FALSE),'District Calculations'!$D$25)+IF(VLOOKUP($A111,EnrollData2324,'2324 Jun 24 Enroll'!D$1,FALSE)='District Calculations'!$D$11,VLOOKUP($A111,EnrollData2324,'2324 Jun 24 Enroll'!D$1,FALSE),'District Calculations'!$D$11)),5)</f>
        <v>5.5530000000000003E-2</v>
      </c>
      <c r="K111" s="11">
        <f t="shared" si="12"/>
        <v>4.3699999999999998E-3</v>
      </c>
      <c r="L111">
        <f>ROUND(IF(VLOOKUP($A111,EnrollData2324,'2324 Jun 24 Enroll'!D$1,FALSE)='District Calculations'!$D$11,VLOOKUP($A111,EnrollData2324,'2324 Jun 24 Enroll'!D$1,FALSE),'District Calculations'!$D$11)*K111,3)</f>
        <v>0</v>
      </c>
      <c r="M111">
        <f>ROUND(IF(VLOOKUP($A111,EnrollData2324,'2324 Jun 24 Enroll'!E$1,FALSE)='District Calculations'!$D$12,VLOOKUP($A111,EnrollData2324,'2324 Jun 24 Enroll'!E$1,FALSE),'District Calculations'!$D$12)*K111,3)</f>
        <v>3.5419999999999998</v>
      </c>
      <c r="N111">
        <f>ROUND(IF(VLOOKUP($A111,EnrollData2324,'2324 Jun 24 Enroll'!F$1,FALSE)='District Calculations'!$D$13,VLOOKUP($A111,EnrollData2324,'2324 Jun 24 Enroll'!F$1,FALSE),'District Calculations'!$D$13)*Apport_223A2324s,3)</f>
        <v>0.84299999999999997</v>
      </c>
      <c r="O111">
        <f>ROUND(IF(VLOOKUP($A111,EnrollData2324,'2324 Jun 24 Enroll'!G$1,FALSE)='District Calculations'!$D$14,VLOOKUP($A111,EnrollData2324,'2324 Jun 24 Enroll'!G$1,FALSE),'District Calculations'!$D$14)*Apport_211A2324s,3)</f>
        <v>1.87</v>
      </c>
      <c r="P111">
        <f>ROUND(IF(VLOOKUP($A111,EnrollData2324,'2324 Jun 24 Enroll'!H$1,FALSE)='District Calculations'!$D$14,VLOOKUP($A111,EnrollData2324,'2324 Jun 24 Enroll'!H$1,FALSE),'District Calculations'!$D$14)*Apport_214A2324s,3)</f>
        <v>1.8680000000000001</v>
      </c>
      <c r="Q111">
        <f>ROUND(IF(VLOOKUP($A111,EnrollData2324,'2324 Jun 24 Enroll'!I$1,FALSE)+VLOOKUP($A111,EnrollData2324,'2324 Jun 24 Enroll'!M$1,FALSE)-VLOOKUP($A111,EnrollData2324,'2324 Jun 24 Enroll'!J$1,FALSE)='District Calculations'!$D$16+'District Calculations'!$D$25-'District Calculations'!$D$17,VLOOKUP($A111,EnrollData2324,'2324 Jun 24 Enroll'!I$1,FALSE)+VLOOKUP($A111,EnrollData2324,'2324 Jun 24 Enroll'!M$1,FALSE)-VLOOKUP($A111,EnrollData2324,'2324 Jun 24 Enroll'!J$1,FALSE),'District Calculations'!$D$16+'District Calculations'!$D$25-'District Calculations'!$D$17)*Apport_217A2324s,3)</f>
        <v>4.702</v>
      </c>
      <c r="R111">
        <f>ROUND(SUM(L111:Q111)/IF(VLOOKUP($A111,EnrollData2324,'2324 Jun 24 Enroll'!M$1,FALSE)+VLOOKUP($A111,EnrollData2324,'2324 Jun 24 Enroll'!D$1,FALSE)='District Calculations'!$D$25+'District Calculations'!$D$11,VLOOKUP($A111,EnrollData2324,'2324 Jun 24 Enroll'!M$1,FALSE)+VLOOKUP($A111,EnrollData2324,'2324 Jun 24 Enroll'!D$1,FALSE),'District Calculations'!$D$25+'District Calculations'!$D$11),5)</f>
        <v>4.1099999999999999E-3</v>
      </c>
      <c r="S111" s="11">
        <f t="shared" si="13"/>
        <v>1.8689600000000001E-2</v>
      </c>
      <c r="T111">
        <f>ROUND(IF(VLOOKUP($A111,EnrollData2324,'2324 Jun 24 Enroll'!D$1,FALSE)='District Calculations'!$D$11,VLOOKUP($A111,EnrollData2324,'2324 Jun 24 Enroll'!D$1,FALSE),'District Calculations'!$D$11)*S111,3)</f>
        <v>0</v>
      </c>
      <c r="U111">
        <f>ROUND(IF(VLOOKUP($A111,EnrollData2324,'2324 Jun 24 Enroll'!E$1,FALSE)='District Calculations'!$D$12,VLOOKUP($A111,EnrollData2324,'2324 Jun 24 Enroll'!E$1,FALSE),'District Calculations'!$D$12)*S111,3)</f>
        <v>15.148</v>
      </c>
      <c r="V111">
        <f>ROUND(IF(VLOOKUP($A111,EnrollData2324,'2324 Jun 24 Enroll'!F$1,FALSE)='District Calculations'!$D$13,VLOOKUP($A111,EnrollData2324,'2324 Jun 24 Enroll'!F$1,FALSE),'District Calculations'!$D$13)*Apport_224A2324s,3)</f>
        <v>3.7029999999999998</v>
      </c>
      <c r="W111">
        <f>ROUND(IF(VLOOKUP($A111,EnrollData2324,'2324 Jun 24 Enroll'!G$1,FALSE)='District Calculations'!$D$14,VLOOKUP($A111,EnrollData2324,'2324 Jun 24 Enroll'!G$1,FALSE),'District Calculations'!$D$14)*Apport_212A2324s,3)</f>
        <v>8.2089999999999996</v>
      </c>
      <c r="X111">
        <f>ROUND(IF(VLOOKUP($A111,EnrollData2324,'2324 Jun 24 Enroll'!H$1,FALSE)='District Calculations'!$D$14,VLOOKUP($A111,EnrollData2324,'2324 Jun 24 Enroll'!H$1,FALSE),'District Calculations'!$D$14)*Apport_215A2324s,3)</f>
        <v>8.0969999999999995</v>
      </c>
      <c r="Y111">
        <f>ROUND(IF(VLOOKUP($A111,EnrollData2324,'2324 Jun 24 Enroll'!I$1,FALSE)+VLOOKUP($A111,EnrollData2324,'2324 Jun 24 Enroll'!M$1,FALSE)-VLOOKUP($A111,EnrollData2324,'2324 Jun 24 Enroll'!J$1,FALSE)='District Calculations'!$D$16+'District Calculations'!$D$25-'District Calculations'!$D$17,VLOOKUP($A111,EnrollData2324,'2324 Jun 24 Enroll'!I$1,FALSE)+VLOOKUP($A111,EnrollData2324,'2324 Jun 24 Enroll'!M$1,FALSE)-VLOOKUP($A111,EnrollData2324,'2324 Jun 24 Enroll'!J$1,FALSE),'District Calculations'!$D$16+'District Calculations'!$D$25-'District Calculations'!$D$17)*Apport_218A2324s,3)</f>
        <v>20.224</v>
      </c>
      <c r="Z111">
        <f>ROUND(SUM(T111:Y111)/IF(VLOOKUP($A111,EnrollData2324,'2324 Jun 24 Enroll'!M$1,FALSE)+VLOOKUP($A111,EnrollData2324,'2324 Jun 24 Enroll'!D$1,FALSE)='District Calculations'!$D$25+'District Calculations'!$D$11,VLOOKUP($A111,EnrollData2324,'2324 Jun 24 Enroll'!M$1,FALSE)+VLOOKUP($A111,EnrollData2324,'2324 Jun 24 Enroll'!D$1,FALSE),'District Calculations'!$D$25+'District Calculations'!$D$11),5)</f>
        <v>1.7749999999999998E-2</v>
      </c>
      <c r="AA111" s="6" cm="1">
        <f t="array" ref="AA111">ROUND($J111*CIS_Base_Salary2324s*VLOOKUP($A111,EnrollData2324,'2324 Jun 24 Enroll'!S$1,FALSE),2)</f>
        <v>4765.53</v>
      </c>
      <c r="AB111" s="6" cm="1">
        <f t="array" ref="AB111">ROUND($J111*CIS_Inc_Salary2324s*(VLOOKUP($A111,EnrollData2324,'2324 Jun 24 Enroll'!T$1,FALSE)+VLOOKUP($A111,EnrollData2324,'2324 Jun 24 Enroll'!U$1,FALSE)),2)-AA111</f>
        <v>260.09000000000015</v>
      </c>
      <c r="AC111" s="6" cm="1">
        <f t="array" ref="AC111">ROUND($R111*CAS_Base_Salary2324s*VLOOKUP($A111,EnrollData2324,'2324 Jun 24 Enroll'!S$1,FALSE),2)</f>
        <v>523.55999999999995</v>
      </c>
      <c r="AD111" s="6" cm="1">
        <f t="array" ref="AD111">ROUND($R111*CAS_Inc_Salary2324s*VLOOKUP($A111,EnrollData2324,'2324 Jun 24 Enroll'!T$1,FALSE),2)-AC111</f>
        <v>19.380000000000109</v>
      </c>
      <c r="AE111" s="6" cm="1">
        <f t="array" ref="AE111">ROUND($Z111*CLS_Base_Salary2324s*VLOOKUP($A111,EnrollData2324,'2324 Jun 24 Enroll'!S$1,FALSE),2)</f>
        <v>1092.76</v>
      </c>
      <c r="AF111" s="6" cm="1">
        <f t="array" ref="AF111">ROUND($Z111*CLS_Inc_Salary2324s*VLOOKUP($A111,EnrollData2324,'2324 Jun 24 Enroll'!T$1,FALSE),2)-AE111</f>
        <v>40.430000000000064</v>
      </c>
      <c r="AG111" cm="1">
        <f t="array" ref="AG111">ROUND(($J111+$R111)*Apport_124X2324s,2)</f>
        <v>734.29</v>
      </c>
      <c r="AH111" s="69">
        <f t="shared" si="14"/>
        <v>68.700000000000045</v>
      </c>
      <c r="AI111" cm="1">
        <f t="array" ref="AI111">ROUND($Z111*Apport_124X2324s,2)</f>
        <v>218.54</v>
      </c>
      <c r="AJ111" cm="1">
        <f t="array" ref="AJ111">ROUND($Z111*Apport_621X2324s*Apport_125X2324s,2)-AI111</f>
        <v>116.51000000000002</v>
      </c>
      <c r="AK111" cm="1">
        <f t="array" ref="AK111">ROUND((AA111+AC111)*Apport_126X2324s,2)</f>
        <v>950.45</v>
      </c>
      <c r="AL111" cm="1">
        <f t="array" ref="AL111">ROUND((AB111+AD111)*Apport_127X2324s,2)</f>
        <v>48.43</v>
      </c>
      <c r="AM111" cm="1">
        <f t="array" ref="AM111">ROUND(AE111*Apport_128X2324s,2)</f>
        <v>241.06</v>
      </c>
      <c r="AN111" cm="1">
        <f t="array" ref="AN111">ROUND(AF111*Apport_129X2324s,2)</f>
        <v>7.5</v>
      </c>
      <c r="AO111" cm="1">
        <f t="array" ref="AO111">ROUND(($J111*CIS_Inc_Salary2324s*(VLOOKUP($A111,EnrollData2324,'2324 Jun 24 Enroll'!T$1,FALSE)+VLOOKUP($A111,EnrollData2324,'2324 Jun 24 Enroll'!U$1,FALSE))/Apport_613Xpd)*Apport_614Xpd,2)</f>
        <v>83.76</v>
      </c>
      <c r="AP111" cm="1">
        <f t="array" ref="AP111">ROUND(AO111*Apport_127X2324s,2)</f>
        <v>14.52</v>
      </c>
      <c r="AQ111">
        <f t="shared" si="15"/>
        <v>30.93</v>
      </c>
      <c r="AR111" s="6" cm="1">
        <f t="array" ref="AR111">ROUND((VLOOKUP($A111,EnrollData2324,'2324 Jun 24 Enroll'!D$1,FALSE)*Apport_M802324s+VLOOKUP($A111,EnrollData2324,'2324 Jun 24 Enroll'!M$1,FALSE)*Apport_M802324s+(VLOOKUP($A111,EnrollData2324,'2324 Jun 24 Enroll'!P$1,FALSE)+VLOOKUP($A111,EnrollData2324,'2324 Jun 24 Enroll'!Q$1,FALSE)+VLOOKUP($A111,EnrollData2324,'2324 Jun 24 Enroll'!R$1,FALSE)+VLOOKUP($A111,EnrollData2324,'2324 Jun 24 Enroll'!I$1,FALSE)+VLOOKUP($A111,EnrollData2324,'2324 Jun 24 Enroll'!N$1,FALSE)+VLOOKUP($A111,EnrollData2324,'2324 Jun 24 Enroll'!O$1,FALSE)+VLOOKUP($A111,EnrollData2324,'2324 Jun 24 Enroll'!K$1,FALSE)+VLOOKUP($A111,EnrollData2324,'2324 Jun 24 Enroll'!L$1,FALSE))*Apport_M812324s)/(VLOOKUP($A111,EnrollData2324,'2324 Jun 24 Enroll'!M$1,FALSE)+VLOOKUP($A111,EnrollData2324,'2324 Jun 24 Enroll'!D$1,FALSE)),2)</f>
        <v>1583.56</v>
      </c>
      <c r="AS111" s="7">
        <f t="shared" si="16"/>
        <v>10800.000000000002</v>
      </c>
    </row>
    <row r="112" spans="1:45">
      <c r="A112" s="40" t="s">
        <v>707</v>
      </c>
      <c r="B112" s="40" t="s">
        <v>708</v>
      </c>
      <c r="C112" s="11">
        <f>ROUND((IFERROR((1/IF(VLOOKUP($A112,EnrollData2324,28,FALSE)='District Calculations'!$D$10,VLOOKUP($A112,EnrollData2324,28,FALSE),'District Calculations'!$D$10))*(1+Apport_Z315),0))+Apport_201A2324s,6)</f>
        <v>7.3449E-2</v>
      </c>
      <c r="D112">
        <f>ROUND(IF(VLOOKUP($A112,EnrollData2324,'2324 Jun 24 Enroll'!D$1,FALSE)='District Calculations'!$D$11,VLOOKUP($A112,EnrollData2324,'2324 Jun 24 Enroll'!D$1,FALSE),'District Calculations'!$D$11)*C112,3)</f>
        <v>0</v>
      </c>
      <c r="E112">
        <f>ROUND(IF(VLOOKUP($A112,EnrollData2324,'2324 Jun 24 Enroll'!E$1,FALSE)='District Calculations'!$D$12,VLOOKUP($A112,EnrollData2324,'2324 Jun 24 Enroll'!E$1,FALSE),'District Calculations'!$D$12)*C112,3)</f>
        <v>59.53</v>
      </c>
      <c r="F112">
        <f>ROUND(IF(VLOOKUP($A112,EnrollData2324,'2324 Jun 24 Enroll'!F$1,FALSE)='District Calculations'!$D$13,VLOOKUP($A112,EnrollData2324,'2324 Jun 24 Enroll'!F$1,FALSE),'District Calculations'!$D$13)*Apport_222A2324s,3)</f>
        <v>10.101000000000001</v>
      </c>
      <c r="G112">
        <f>ROUND(IF(VLOOKUP($A112,EnrollData2324,'2324 Jun 24 Enroll'!G$1,FALSE)='District Calculations'!$D$14,VLOOKUP($A112,EnrollData2324,'2324 Jun 24 Enroll'!G$1,FALSE),'District Calculations'!$D$14)*Apport_210A2324s,3)</f>
        <v>22.395</v>
      </c>
      <c r="H112">
        <f>ROUND(IF(VLOOKUP($A112,EnrollData2324,'2324 Jun 24 Enroll'!H$1,FALSE)='District Calculations'!$D$15,VLOOKUP($A112,EnrollData2324,'2324 Jun 24 Enroll'!H$1,FALSE),'District Calculations'!$D$15)*Apport_213A2324s,3)</f>
        <v>23.091999999999999</v>
      </c>
      <c r="I112">
        <f>ROUND(IF(VLOOKUP($A112,EnrollData2324,'2324 Jun 24 Enroll'!I$1,FALSE)+VLOOKUP($A112,EnrollData2324,'2324 Jun 24 Enroll'!M$1,FALSE)-VLOOKUP($A112,EnrollData2324,'2324 Jun 24 Enroll'!J$1,FALSE)='District Calculations'!$D$16+'District Calculations'!$D$25-'District Calculations'!$D$17,VLOOKUP($A112,EnrollData2324,'2324 Jun 24 Enroll'!I$1,FALSE)+VLOOKUP($A112,EnrollData2324,'2324 Jun 24 Enroll'!M$1,FALSE)-VLOOKUP($A112,EnrollData2324,'2324 Jun 24 Enroll'!J$1,FALSE),'District Calculations'!$D$16+'District Calculations'!$D$25-'District Calculations'!$D$17)*Apport_216A2324s,3)</f>
        <v>58.183999999999997</v>
      </c>
      <c r="J112">
        <f>ROUND(SUM(D112:I112)/(IF(VLOOKUP($A112,EnrollData2324,'2324 Jun 24 Enroll'!M$1,FALSE)='District Calculations'!$D$25,VLOOKUP($A112,EnrollData2324,'2324 Jun 24 Enroll'!M$1,FALSE),'District Calculations'!$D$25)+IF(VLOOKUP($A112,EnrollData2324,'2324 Jun 24 Enroll'!D$1,FALSE)='District Calculations'!$D$11,VLOOKUP($A112,EnrollData2324,'2324 Jun 24 Enroll'!D$1,FALSE),'District Calculations'!$D$11)),5)</f>
        <v>5.5530000000000003E-2</v>
      </c>
      <c r="K112" s="11">
        <f t="shared" si="12"/>
        <v>4.3699999999999998E-3</v>
      </c>
      <c r="L112">
        <f>ROUND(IF(VLOOKUP($A112,EnrollData2324,'2324 Jun 24 Enroll'!D$1,FALSE)='District Calculations'!$D$11,VLOOKUP($A112,EnrollData2324,'2324 Jun 24 Enroll'!D$1,FALSE),'District Calculations'!$D$11)*K112,3)</f>
        <v>0</v>
      </c>
      <c r="M112">
        <f>ROUND(IF(VLOOKUP($A112,EnrollData2324,'2324 Jun 24 Enroll'!E$1,FALSE)='District Calculations'!$D$12,VLOOKUP($A112,EnrollData2324,'2324 Jun 24 Enroll'!E$1,FALSE),'District Calculations'!$D$12)*K112,3)</f>
        <v>3.5419999999999998</v>
      </c>
      <c r="N112">
        <f>ROUND(IF(VLOOKUP($A112,EnrollData2324,'2324 Jun 24 Enroll'!F$1,FALSE)='District Calculations'!$D$13,VLOOKUP($A112,EnrollData2324,'2324 Jun 24 Enroll'!F$1,FALSE),'District Calculations'!$D$13)*Apport_223A2324s,3)</f>
        <v>0.84299999999999997</v>
      </c>
      <c r="O112">
        <f>ROUND(IF(VLOOKUP($A112,EnrollData2324,'2324 Jun 24 Enroll'!G$1,FALSE)='District Calculations'!$D$14,VLOOKUP($A112,EnrollData2324,'2324 Jun 24 Enroll'!G$1,FALSE),'District Calculations'!$D$14)*Apport_211A2324s,3)</f>
        <v>1.87</v>
      </c>
      <c r="P112">
        <f>ROUND(IF(VLOOKUP($A112,EnrollData2324,'2324 Jun 24 Enroll'!H$1,FALSE)='District Calculations'!$D$14,VLOOKUP($A112,EnrollData2324,'2324 Jun 24 Enroll'!H$1,FALSE),'District Calculations'!$D$14)*Apport_214A2324s,3)</f>
        <v>1.8680000000000001</v>
      </c>
      <c r="Q112">
        <f>ROUND(IF(VLOOKUP($A112,EnrollData2324,'2324 Jun 24 Enroll'!I$1,FALSE)+VLOOKUP($A112,EnrollData2324,'2324 Jun 24 Enroll'!M$1,FALSE)-VLOOKUP($A112,EnrollData2324,'2324 Jun 24 Enroll'!J$1,FALSE)='District Calculations'!$D$16+'District Calculations'!$D$25-'District Calculations'!$D$17,VLOOKUP($A112,EnrollData2324,'2324 Jun 24 Enroll'!I$1,FALSE)+VLOOKUP($A112,EnrollData2324,'2324 Jun 24 Enroll'!M$1,FALSE)-VLOOKUP($A112,EnrollData2324,'2324 Jun 24 Enroll'!J$1,FALSE),'District Calculations'!$D$16+'District Calculations'!$D$25-'District Calculations'!$D$17)*Apport_217A2324s,3)</f>
        <v>4.702</v>
      </c>
      <c r="R112">
        <f>ROUND(SUM(L112:Q112)/IF(VLOOKUP($A112,EnrollData2324,'2324 Jun 24 Enroll'!M$1,FALSE)+VLOOKUP($A112,EnrollData2324,'2324 Jun 24 Enroll'!D$1,FALSE)='District Calculations'!$D$25+'District Calculations'!$D$11,VLOOKUP($A112,EnrollData2324,'2324 Jun 24 Enroll'!M$1,FALSE)+VLOOKUP($A112,EnrollData2324,'2324 Jun 24 Enroll'!D$1,FALSE),'District Calculations'!$D$25+'District Calculations'!$D$11),5)</f>
        <v>4.1099999999999999E-3</v>
      </c>
      <c r="S112" s="11">
        <f t="shared" si="13"/>
        <v>1.8689600000000001E-2</v>
      </c>
      <c r="T112">
        <f>ROUND(IF(VLOOKUP($A112,EnrollData2324,'2324 Jun 24 Enroll'!D$1,FALSE)='District Calculations'!$D$11,VLOOKUP($A112,EnrollData2324,'2324 Jun 24 Enroll'!D$1,FALSE),'District Calculations'!$D$11)*S112,3)</f>
        <v>0</v>
      </c>
      <c r="U112">
        <f>ROUND(IF(VLOOKUP($A112,EnrollData2324,'2324 Jun 24 Enroll'!E$1,FALSE)='District Calculations'!$D$12,VLOOKUP($A112,EnrollData2324,'2324 Jun 24 Enroll'!E$1,FALSE),'District Calculations'!$D$12)*S112,3)</f>
        <v>15.148</v>
      </c>
      <c r="V112">
        <f>ROUND(IF(VLOOKUP($A112,EnrollData2324,'2324 Jun 24 Enroll'!F$1,FALSE)='District Calculations'!$D$13,VLOOKUP($A112,EnrollData2324,'2324 Jun 24 Enroll'!F$1,FALSE),'District Calculations'!$D$13)*Apport_224A2324s,3)</f>
        <v>3.7029999999999998</v>
      </c>
      <c r="W112">
        <f>ROUND(IF(VLOOKUP($A112,EnrollData2324,'2324 Jun 24 Enroll'!G$1,FALSE)='District Calculations'!$D$14,VLOOKUP($A112,EnrollData2324,'2324 Jun 24 Enroll'!G$1,FALSE),'District Calculations'!$D$14)*Apport_212A2324s,3)</f>
        <v>8.2089999999999996</v>
      </c>
      <c r="X112">
        <f>ROUND(IF(VLOOKUP($A112,EnrollData2324,'2324 Jun 24 Enroll'!H$1,FALSE)='District Calculations'!$D$14,VLOOKUP($A112,EnrollData2324,'2324 Jun 24 Enroll'!H$1,FALSE),'District Calculations'!$D$14)*Apport_215A2324s,3)</f>
        <v>8.0969999999999995</v>
      </c>
      <c r="Y112">
        <f>ROUND(IF(VLOOKUP($A112,EnrollData2324,'2324 Jun 24 Enroll'!I$1,FALSE)+VLOOKUP($A112,EnrollData2324,'2324 Jun 24 Enroll'!M$1,FALSE)-VLOOKUP($A112,EnrollData2324,'2324 Jun 24 Enroll'!J$1,FALSE)='District Calculations'!$D$16+'District Calculations'!$D$25-'District Calculations'!$D$17,VLOOKUP($A112,EnrollData2324,'2324 Jun 24 Enroll'!I$1,FALSE)+VLOOKUP($A112,EnrollData2324,'2324 Jun 24 Enroll'!M$1,FALSE)-VLOOKUP($A112,EnrollData2324,'2324 Jun 24 Enroll'!J$1,FALSE),'District Calculations'!$D$16+'District Calculations'!$D$25-'District Calculations'!$D$17)*Apport_218A2324s,3)</f>
        <v>20.224</v>
      </c>
      <c r="Z112">
        <f>ROUND(SUM(T112:Y112)/IF(VLOOKUP($A112,EnrollData2324,'2324 Jun 24 Enroll'!M$1,FALSE)+VLOOKUP($A112,EnrollData2324,'2324 Jun 24 Enroll'!D$1,FALSE)='District Calculations'!$D$25+'District Calculations'!$D$11,VLOOKUP($A112,EnrollData2324,'2324 Jun 24 Enroll'!M$1,FALSE)+VLOOKUP($A112,EnrollData2324,'2324 Jun 24 Enroll'!D$1,FALSE),'District Calculations'!$D$25+'District Calculations'!$D$11),5)</f>
        <v>1.7749999999999998E-2</v>
      </c>
      <c r="AA112" s="6" cm="1">
        <f t="array" ref="AA112">ROUND($J112*CIS_Base_Salary2324s*VLOOKUP($A112,EnrollData2324,'2324 Jun 24 Enroll'!S$1,FALSE),2)</f>
        <v>4038.59</v>
      </c>
      <c r="AB112" s="6" cm="1">
        <f t="array" ref="AB112">ROUND($J112*CIS_Inc_Salary2324s*(VLOOKUP($A112,EnrollData2324,'2324 Jun 24 Enroll'!T$1,FALSE)+VLOOKUP($A112,EnrollData2324,'2324 Jun 24 Enroll'!U$1,FALSE)),2)-AA112</f>
        <v>316.94999999999982</v>
      </c>
      <c r="AC112" s="6" cm="1">
        <f t="array" ref="AC112">ROUND($R112*CAS_Base_Salary2324s*VLOOKUP($A112,EnrollData2324,'2324 Jun 24 Enroll'!S$1,FALSE),2)</f>
        <v>443.7</v>
      </c>
      <c r="AD112" s="6" cm="1">
        <f t="array" ref="AD112">ROUND($R112*CAS_Inc_Salary2324s*VLOOKUP($A112,EnrollData2324,'2324 Jun 24 Enroll'!T$1,FALSE),2)-AC112</f>
        <v>16.410000000000025</v>
      </c>
      <c r="AE112" s="6" cm="1">
        <f t="array" ref="AE112">ROUND($Z112*CLS_Base_Salary2324s*VLOOKUP($A112,EnrollData2324,'2324 Jun 24 Enroll'!S$1,FALSE),2)</f>
        <v>926.07</v>
      </c>
      <c r="AF112" s="6" cm="1">
        <f t="array" ref="AF112">ROUND($Z112*CLS_Inc_Salary2324s*VLOOKUP($A112,EnrollData2324,'2324 Jun 24 Enroll'!T$1,FALSE),2)-AE112</f>
        <v>34.259999999999991</v>
      </c>
      <c r="AG112" cm="1">
        <f t="array" ref="AG112">ROUND(($J112+$R112)*Apport_124X2324s,2)</f>
        <v>734.29</v>
      </c>
      <c r="AH112" s="69">
        <f t="shared" si="14"/>
        <v>68.700000000000045</v>
      </c>
      <c r="AI112" cm="1">
        <f t="array" ref="AI112">ROUND($Z112*Apport_124X2324s,2)</f>
        <v>218.54</v>
      </c>
      <c r="AJ112" cm="1">
        <f t="array" ref="AJ112">ROUND($Z112*Apport_621X2324s*Apport_125X2324s,2)-AI112</f>
        <v>116.51000000000002</v>
      </c>
      <c r="AK112" cm="1">
        <f t="array" ref="AK112">ROUND((AA112+AC112)*Apport_126X2324s,2)</f>
        <v>805.47</v>
      </c>
      <c r="AL112" cm="1">
        <f t="array" ref="AL112">ROUND((AB112+AD112)*Apport_127X2324s,2)</f>
        <v>57.77</v>
      </c>
      <c r="AM112" cm="1">
        <f t="array" ref="AM112">ROUND(AE112*Apport_128X2324s,2)</f>
        <v>204.29</v>
      </c>
      <c r="AN112" cm="1">
        <f t="array" ref="AN112">ROUND(AF112*Apport_129X2324s,2)</f>
        <v>6.36</v>
      </c>
      <c r="AO112" cm="1">
        <f t="array" ref="AO112">ROUND(($J112*CIS_Inc_Salary2324s*(VLOOKUP($A112,EnrollData2324,'2324 Jun 24 Enroll'!T$1,FALSE)+VLOOKUP($A112,EnrollData2324,'2324 Jun 24 Enroll'!U$1,FALSE))/Apport_613Xpd)*Apport_614Xpd,2)</f>
        <v>72.59</v>
      </c>
      <c r="AP112" cm="1">
        <f t="array" ref="AP112">ROUND(AO112*Apport_127X2324s,2)</f>
        <v>12.58</v>
      </c>
      <c r="AQ112">
        <f t="shared" si="15"/>
        <v>30.93</v>
      </c>
      <c r="AR112" s="6" cm="1">
        <f t="array" ref="AR112">ROUND((VLOOKUP($A112,EnrollData2324,'2324 Jun 24 Enroll'!D$1,FALSE)*Apport_M802324s+VLOOKUP($A112,EnrollData2324,'2324 Jun 24 Enroll'!M$1,FALSE)*Apport_M802324s+(VLOOKUP($A112,EnrollData2324,'2324 Jun 24 Enroll'!P$1,FALSE)+VLOOKUP($A112,EnrollData2324,'2324 Jun 24 Enroll'!Q$1,FALSE)+VLOOKUP($A112,EnrollData2324,'2324 Jun 24 Enroll'!R$1,FALSE)+VLOOKUP($A112,EnrollData2324,'2324 Jun 24 Enroll'!I$1,FALSE)+VLOOKUP($A112,EnrollData2324,'2324 Jun 24 Enroll'!N$1,FALSE)+VLOOKUP($A112,EnrollData2324,'2324 Jun 24 Enroll'!O$1,FALSE)+VLOOKUP($A112,EnrollData2324,'2324 Jun 24 Enroll'!K$1,FALSE)+VLOOKUP($A112,EnrollData2324,'2324 Jun 24 Enroll'!L$1,FALSE))*Apport_M812324s)/(VLOOKUP($A112,EnrollData2324,'2324 Jun 24 Enroll'!M$1,FALSE)+VLOOKUP($A112,EnrollData2324,'2324 Jun 24 Enroll'!D$1,FALSE)),2)</f>
        <v>1504.44</v>
      </c>
      <c r="AS112" s="7">
        <f t="shared" si="16"/>
        <v>9608.4500000000007</v>
      </c>
    </row>
    <row r="113" spans="1:45">
      <c r="A113" s="40" t="s">
        <v>353</v>
      </c>
      <c r="B113" s="40" t="s">
        <v>354</v>
      </c>
      <c r="C113" s="11">
        <f>ROUND((IFERROR((1/IF(VLOOKUP($A113,EnrollData2324,28,FALSE)='District Calculations'!$D$10,VLOOKUP($A113,EnrollData2324,28,FALSE),'District Calculations'!$D$10))*(1+Apport_Z315),0))+Apport_201A2324s,6)</f>
        <v>7.3449E-2</v>
      </c>
      <c r="D113">
        <f>ROUND(IF(VLOOKUP($A113,EnrollData2324,'2324 Jun 24 Enroll'!D$1,FALSE)='District Calculations'!$D$11,VLOOKUP($A113,EnrollData2324,'2324 Jun 24 Enroll'!D$1,FALSE),'District Calculations'!$D$11)*C113,3)</f>
        <v>0</v>
      </c>
      <c r="E113">
        <f>ROUND(IF(VLOOKUP($A113,EnrollData2324,'2324 Jun 24 Enroll'!E$1,FALSE)='District Calculations'!$D$12,VLOOKUP($A113,EnrollData2324,'2324 Jun 24 Enroll'!E$1,FALSE),'District Calculations'!$D$12)*C113,3)</f>
        <v>59.53</v>
      </c>
      <c r="F113">
        <f>ROUND(IF(VLOOKUP($A113,EnrollData2324,'2324 Jun 24 Enroll'!F$1,FALSE)='District Calculations'!$D$13,VLOOKUP($A113,EnrollData2324,'2324 Jun 24 Enroll'!F$1,FALSE),'District Calculations'!$D$13)*Apport_222A2324s,3)</f>
        <v>10.101000000000001</v>
      </c>
      <c r="G113">
        <f>ROUND(IF(VLOOKUP($A113,EnrollData2324,'2324 Jun 24 Enroll'!G$1,FALSE)='District Calculations'!$D$14,VLOOKUP($A113,EnrollData2324,'2324 Jun 24 Enroll'!G$1,FALSE),'District Calculations'!$D$14)*Apport_210A2324s,3)</f>
        <v>22.395</v>
      </c>
      <c r="H113">
        <f>ROUND(IF(VLOOKUP($A113,EnrollData2324,'2324 Jun 24 Enroll'!H$1,FALSE)='District Calculations'!$D$15,VLOOKUP($A113,EnrollData2324,'2324 Jun 24 Enroll'!H$1,FALSE),'District Calculations'!$D$15)*Apport_213A2324s,3)</f>
        <v>23.091999999999999</v>
      </c>
      <c r="I113">
        <f>ROUND(IF(VLOOKUP($A113,EnrollData2324,'2324 Jun 24 Enroll'!I$1,FALSE)+VLOOKUP($A113,EnrollData2324,'2324 Jun 24 Enroll'!M$1,FALSE)-VLOOKUP($A113,EnrollData2324,'2324 Jun 24 Enroll'!J$1,FALSE)='District Calculations'!$D$16+'District Calculations'!$D$25-'District Calculations'!$D$17,VLOOKUP($A113,EnrollData2324,'2324 Jun 24 Enroll'!I$1,FALSE)+VLOOKUP($A113,EnrollData2324,'2324 Jun 24 Enroll'!M$1,FALSE)-VLOOKUP($A113,EnrollData2324,'2324 Jun 24 Enroll'!J$1,FALSE),'District Calculations'!$D$16+'District Calculations'!$D$25-'District Calculations'!$D$17)*Apport_216A2324s,3)</f>
        <v>58.183999999999997</v>
      </c>
      <c r="J113">
        <f>ROUND(SUM(D113:I113)/(IF(VLOOKUP($A113,EnrollData2324,'2324 Jun 24 Enroll'!M$1,FALSE)='District Calculations'!$D$25,VLOOKUP($A113,EnrollData2324,'2324 Jun 24 Enroll'!M$1,FALSE),'District Calculations'!$D$25)+IF(VLOOKUP($A113,EnrollData2324,'2324 Jun 24 Enroll'!D$1,FALSE)='District Calculations'!$D$11,VLOOKUP($A113,EnrollData2324,'2324 Jun 24 Enroll'!D$1,FALSE),'District Calculations'!$D$11)),5)</f>
        <v>5.5530000000000003E-2</v>
      </c>
      <c r="K113" s="11">
        <f t="shared" si="12"/>
        <v>4.3699999999999998E-3</v>
      </c>
      <c r="L113">
        <f>ROUND(IF(VLOOKUP($A113,EnrollData2324,'2324 Jun 24 Enroll'!D$1,FALSE)='District Calculations'!$D$11,VLOOKUP($A113,EnrollData2324,'2324 Jun 24 Enroll'!D$1,FALSE),'District Calculations'!$D$11)*K113,3)</f>
        <v>0</v>
      </c>
      <c r="M113">
        <f>ROUND(IF(VLOOKUP($A113,EnrollData2324,'2324 Jun 24 Enroll'!E$1,FALSE)='District Calculations'!$D$12,VLOOKUP($A113,EnrollData2324,'2324 Jun 24 Enroll'!E$1,FALSE),'District Calculations'!$D$12)*K113,3)</f>
        <v>3.5419999999999998</v>
      </c>
      <c r="N113">
        <f>ROUND(IF(VLOOKUP($A113,EnrollData2324,'2324 Jun 24 Enroll'!F$1,FALSE)='District Calculations'!$D$13,VLOOKUP($A113,EnrollData2324,'2324 Jun 24 Enroll'!F$1,FALSE),'District Calculations'!$D$13)*Apport_223A2324s,3)</f>
        <v>0.84299999999999997</v>
      </c>
      <c r="O113">
        <f>ROUND(IF(VLOOKUP($A113,EnrollData2324,'2324 Jun 24 Enroll'!G$1,FALSE)='District Calculations'!$D$14,VLOOKUP($A113,EnrollData2324,'2324 Jun 24 Enroll'!G$1,FALSE),'District Calculations'!$D$14)*Apport_211A2324s,3)</f>
        <v>1.87</v>
      </c>
      <c r="P113">
        <f>ROUND(IF(VLOOKUP($A113,EnrollData2324,'2324 Jun 24 Enroll'!H$1,FALSE)='District Calculations'!$D$14,VLOOKUP($A113,EnrollData2324,'2324 Jun 24 Enroll'!H$1,FALSE),'District Calculations'!$D$14)*Apport_214A2324s,3)</f>
        <v>1.8680000000000001</v>
      </c>
      <c r="Q113">
        <f>ROUND(IF(VLOOKUP($A113,EnrollData2324,'2324 Jun 24 Enroll'!I$1,FALSE)+VLOOKUP($A113,EnrollData2324,'2324 Jun 24 Enroll'!M$1,FALSE)-VLOOKUP($A113,EnrollData2324,'2324 Jun 24 Enroll'!J$1,FALSE)='District Calculations'!$D$16+'District Calculations'!$D$25-'District Calculations'!$D$17,VLOOKUP($A113,EnrollData2324,'2324 Jun 24 Enroll'!I$1,FALSE)+VLOOKUP($A113,EnrollData2324,'2324 Jun 24 Enroll'!M$1,FALSE)-VLOOKUP($A113,EnrollData2324,'2324 Jun 24 Enroll'!J$1,FALSE),'District Calculations'!$D$16+'District Calculations'!$D$25-'District Calculations'!$D$17)*Apport_217A2324s,3)</f>
        <v>4.702</v>
      </c>
      <c r="R113">
        <f>ROUND(SUM(L113:Q113)/IF(VLOOKUP($A113,EnrollData2324,'2324 Jun 24 Enroll'!M$1,FALSE)+VLOOKUP($A113,EnrollData2324,'2324 Jun 24 Enroll'!D$1,FALSE)='District Calculations'!$D$25+'District Calculations'!$D$11,VLOOKUP($A113,EnrollData2324,'2324 Jun 24 Enroll'!M$1,FALSE)+VLOOKUP($A113,EnrollData2324,'2324 Jun 24 Enroll'!D$1,FALSE),'District Calculations'!$D$25+'District Calculations'!$D$11),5)</f>
        <v>4.1099999999999999E-3</v>
      </c>
      <c r="S113" s="11">
        <f t="shared" si="13"/>
        <v>1.8689600000000001E-2</v>
      </c>
      <c r="T113">
        <f>ROUND(IF(VLOOKUP($A113,EnrollData2324,'2324 Jun 24 Enroll'!D$1,FALSE)='District Calculations'!$D$11,VLOOKUP($A113,EnrollData2324,'2324 Jun 24 Enroll'!D$1,FALSE),'District Calculations'!$D$11)*S113,3)</f>
        <v>0</v>
      </c>
      <c r="U113">
        <f>ROUND(IF(VLOOKUP($A113,EnrollData2324,'2324 Jun 24 Enroll'!E$1,FALSE)='District Calculations'!$D$12,VLOOKUP($A113,EnrollData2324,'2324 Jun 24 Enroll'!E$1,FALSE),'District Calculations'!$D$12)*S113,3)</f>
        <v>15.148</v>
      </c>
      <c r="V113">
        <f>ROUND(IF(VLOOKUP($A113,EnrollData2324,'2324 Jun 24 Enroll'!F$1,FALSE)='District Calculations'!$D$13,VLOOKUP($A113,EnrollData2324,'2324 Jun 24 Enroll'!F$1,FALSE),'District Calculations'!$D$13)*Apport_224A2324s,3)</f>
        <v>3.7029999999999998</v>
      </c>
      <c r="W113">
        <f>ROUND(IF(VLOOKUP($A113,EnrollData2324,'2324 Jun 24 Enroll'!G$1,FALSE)='District Calculations'!$D$14,VLOOKUP($A113,EnrollData2324,'2324 Jun 24 Enroll'!G$1,FALSE),'District Calculations'!$D$14)*Apport_212A2324s,3)</f>
        <v>8.2089999999999996</v>
      </c>
      <c r="X113">
        <f>ROUND(IF(VLOOKUP($A113,EnrollData2324,'2324 Jun 24 Enroll'!H$1,FALSE)='District Calculations'!$D$14,VLOOKUP($A113,EnrollData2324,'2324 Jun 24 Enroll'!H$1,FALSE),'District Calculations'!$D$14)*Apport_215A2324s,3)</f>
        <v>8.0969999999999995</v>
      </c>
      <c r="Y113">
        <f>ROUND(IF(VLOOKUP($A113,EnrollData2324,'2324 Jun 24 Enroll'!I$1,FALSE)+VLOOKUP($A113,EnrollData2324,'2324 Jun 24 Enroll'!M$1,FALSE)-VLOOKUP($A113,EnrollData2324,'2324 Jun 24 Enroll'!J$1,FALSE)='District Calculations'!$D$16+'District Calculations'!$D$25-'District Calculations'!$D$17,VLOOKUP($A113,EnrollData2324,'2324 Jun 24 Enroll'!I$1,FALSE)+VLOOKUP($A113,EnrollData2324,'2324 Jun 24 Enroll'!M$1,FALSE)-VLOOKUP($A113,EnrollData2324,'2324 Jun 24 Enroll'!J$1,FALSE),'District Calculations'!$D$16+'District Calculations'!$D$25-'District Calculations'!$D$17)*Apport_218A2324s,3)</f>
        <v>20.224</v>
      </c>
      <c r="Z113">
        <f>ROUND(SUM(T113:Y113)/IF(VLOOKUP($A113,EnrollData2324,'2324 Jun 24 Enroll'!M$1,FALSE)+VLOOKUP($A113,EnrollData2324,'2324 Jun 24 Enroll'!D$1,FALSE)='District Calculations'!$D$25+'District Calculations'!$D$11,VLOOKUP($A113,EnrollData2324,'2324 Jun 24 Enroll'!M$1,FALSE)+VLOOKUP($A113,EnrollData2324,'2324 Jun 24 Enroll'!D$1,FALSE),'District Calculations'!$D$25+'District Calculations'!$D$11),5)</f>
        <v>1.7749999999999998E-2</v>
      </c>
      <c r="AA113" s="6" cm="1">
        <f t="array" ref="AA113">ROUND($J113*CIS_Base_Salary2324s*VLOOKUP($A113,EnrollData2324,'2324 Jun 24 Enroll'!S$1,FALSE),2)</f>
        <v>4038.59</v>
      </c>
      <c r="AB113" s="6" cm="1">
        <f t="array" ref="AB113">ROUND($J113*CIS_Inc_Salary2324s*(VLOOKUP($A113,EnrollData2324,'2324 Jun 24 Enroll'!T$1,FALSE)+VLOOKUP($A113,EnrollData2324,'2324 Jun 24 Enroll'!U$1,FALSE)),2)-AA113</f>
        <v>149.43000000000029</v>
      </c>
      <c r="AC113" s="6" cm="1">
        <f t="array" ref="AC113">ROUND($R113*CAS_Base_Salary2324s*VLOOKUP($A113,EnrollData2324,'2324 Jun 24 Enroll'!S$1,FALSE),2)</f>
        <v>443.7</v>
      </c>
      <c r="AD113" s="6" cm="1">
        <f t="array" ref="AD113">ROUND($R113*CAS_Inc_Salary2324s*VLOOKUP($A113,EnrollData2324,'2324 Jun 24 Enroll'!T$1,FALSE),2)-AC113</f>
        <v>16.410000000000025</v>
      </c>
      <c r="AE113" s="6" cm="1">
        <f t="array" ref="AE113">ROUND($Z113*CLS_Base_Salary2324s*VLOOKUP($A113,EnrollData2324,'2324 Jun 24 Enroll'!S$1,FALSE),2)</f>
        <v>926.07</v>
      </c>
      <c r="AF113" s="6" cm="1">
        <f t="array" ref="AF113">ROUND($Z113*CLS_Inc_Salary2324s*VLOOKUP($A113,EnrollData2324,'2324 Jun 24 Enroll'!T$1,FALSE),2)-AE113</f>
        <v>34.259999999999991</v>
      </c>
      <c r="AG113" cm="1">
        <f t="array" ref="AG113">ROUND(($J113+$R113)*Apport_124X2324s,2)</f>
        <v>734.29</v>
      </c>
      <c r="AH113" s="69">
        <f t="shared" si="14"/>
        <v>68.700000000000045</v>
      </c>
      <c r="AI113" cm="1">
        <f t="array" ref="AI113">ROUND($Z113*Apport_124X2324s,2)</f>
        <v>218.54</v>
      </c>
      <c r="AJ113" cm="1">
        <f t="array" ref="AJ113">ROUND($Z113*Apport_621X2324s*Apport_125X2324s,2)-AI113</f>
        <v>116.51000000000002</v>
      </c>
      <c r="AK113" cm="1">
        <f t="array" ref="AK113">ROUND((AA113+AC113)*Apport_126X2324s,2)</f>
        <v>805.47</v>
      </c>
      <c r="AL113" cm="1">
        <f t="array" ref="AL113">ROUND((AB113+AD113)*Apport_127X2324s,2)</f>
        <v>28.74</v>
      </c>
      <c r="AM113" cm="1">
        <f t="array" ref="AM113">ROUND(AE113*Apport_128X2324s,2)</f>
        <v>204.29</v>
      </c>
      <c r="AN113" cm="1">
        <f t="array" ref="AN113">ROUND(AF113*Apport_129X2324s,2)</f>
        <v>6.36</v>
      </c>
      <c r="AO113" cm="1">
        <f t="array" ref="AO113">ROUND(($J113*CIS_Inc_Salary2324s*(VLOOKUP($A113,EnrollData2324,'2324 Jun 24 Enroll'!T$1,FALSE)+VLOOKUP($A113,EnrollData2324,'2324 Jun 24 Enroll'!U$1,FALSE))/Apport_613Xpd)*Apport_614Xpd,2)</f>
        <v>69.8</v>
      </c>
      <c r="AP113" cm="1">
        <f t="array" ref="AP113">ROUND(AO113*Apport_127X2324s,2)</f>
        <v>12.1</v>
      </c>
      <c r="AQ113">
        <f t="shared" si="15"/>
        <v>30.93</v>
      </c>
      <c r="AR113" s="6" cm="1">
        <f t="array" ref="AR113">ROUND((VLOOKUP($A113,EnrollData2324,'2324 Jun 24 Enroll'!D$1,FALSE)*Apport_M802324s+VLOOKUP($A113,EnrollData2324,'2324 Jun 24 Enroll'!M$1,FALSE)*Apport_M802324s+(VLOOKUP($A113,EnrollData2324,'2324 Jun 24 Enroll'!P$1,FALSE)+VLOOKUP($A113,EnrollData2324,'2324 Jun 24 Enroll'!Q$1,FALSE)+VLOOKUP($A113,EnrollData2324,'2324 Jun 24 Enroll'!R$1,FALSE)+VLOOKUP($A113,EnrollData2324,'2324 Jun 24 Enroll'!I$1,FALSE)+VLOOKUP($A113,EnrollData2324,'2324 Jun 24 Enroll'!N$1,FALSE)+VLOOKUP($A113,EnrollData2324,'2324 Jun 24 Enroll'!O$1,FALSE)+VLOOKUP($A113,EnrollData2324,'2324 Jun 24 Enroll'!K$1,FALSE)+VLOOKUP($A113,EnrollData2324,'2324 Jun 24 Enroll'!L$1,FALSE))*Apport_M812324s)/(VLOOKUP($A113,EnrollData2324,'2324 Jun 24 Enroll'!M$1,FALSE)+VLOOKUP($A113,EnrollData2324,'2324 Jun 24 Enroll'!D$1,FALSE)),2)</f>
        <v>1506.89</v>
      </c>
      <c r="AS113" s="7">
        <f t="shared" si="16"/>
        <v>9411.08</v>
      </c>
    </row>
    <row r="114" spans="1:45">
      <c r="A114" s="40" t="s">
        <v>709</v>
      </c>
      <c r="B114" s="40" t="s">
        <v>710</v>
      </c>
      <c r="C114" s="11">
        <f>ROUND((IFERROR((1/IF(VLOOKUP($A114,EnrollData2324,28,FALSE)='District Calculations'!$D$10,VLOOKUP($A114,EnrollData2324,28,FALSE),'District Calculations'!$D$10))*(1+Apport_Z315),0))+Apport_201A2324s,6)</f>
        <v>7.3449E-2</v>
      </c>
      <c r="D114">
        <f>ROUND(IF(VLOOKUP($A114,EnrollData2324,'2324 Jun 24 Enroll'!D$1,FALSE)='District Calculations'!$D$11,VLOOKUP($A114,EnrollData2324,'2324 Jun 24 Enroll'!D$1,FALSE),'District Calculations'!$D$11)*C114,3)</f>
        <v>0</v>
      </c>
      <c r="E114">
        <f>ROUND(IF(VLOOKUP($A114,EnrollData2324,'2324 Jun 24 Enroll'!E$1,FALSE)='District Calculations'!$D$12,VLOOKUP($A114,EnrollData2324,'2324 Jun 24 Enroll'!E$1,FALSE),'District Calculations'!$D$12)*C114,3)</f>
        <v>59.53</v>
      </c>
      <c r="F114">
        <f>ROUND(IF(VLOOKUP($A114,EnrollData2324,'2324 Jun 24 Enroll'!F$1,FALSE)='District Calculations'!$D$13,VLOOKUP($A114,EnrollData2324,'2324 Jun 24 Enroll'!F$1,FALSE),'District Calculations'!$D$13)*Apport_222A2324s,3)</f>
        <v>10.101000000000001</v>
      </c>
      <c r="G114">
        <f>ROUND(IF(VLOOKUP($A114,EnrollData2324,'2324 Jun 24 Enroll'!G$1,FALSE)='District Calculations'!$D$14,VLOOKUP($A114,EnrollData2324,'2324 Jun 24 Enroll'!G$1,FALSE),'District Calculations'!$D$14)*Apport_210A2324s,3)</f>
        <v>22.395</v>
      </c>
      <c r="H114">
        <f>ROUND(IF(VLOOKUP($A114,EnrollData2324,'2324 Jun 24 Enroll'!H$1,FALSE)='District Calculations'!$D$15,VLOOKUP($A114,EnrollData2324,'2324 Jun 24 Enroll'!H$1,FALSE),'District Calculations'!$D$15)*Apport_213A2324s,3)</f>
        <v>23.091999999999999</v>
      </c>
      <c r="I114">
        <f>ROUND(IF(VLOOKUP($A114,EnrollData2324,'2324 Jun 24 Enroll'!I$1,FALSE)+VLOOKUP($A114,EnrollData2324,'2324 Jun 24 Enroll'!M$1,FALSE)-VLOOKUP($A114,EnrollData2324,'2324 Jun 24 Enroll'!J$1,FALSE)='District Calculations'!$D$16+'District Calculations'!$D$25-'District Calculations'!$D$17,VLOOKUP($A114,EnrollData2324,'2324 Jun 24 Enroll'!I$1,FALSE)+VLOOKUP($A114,EnrollData2324,'2324 Jun 24 Enroll'!M$1,FALSE)-VLOOKUP($A114,EnrollData2324,'2324 Jun 24 Enroll'!J$1,FALSE),'District Calculations'!$D$16+'District Calculations'!$D$25-'District Calculations'!$D$17)*Apport_216A2324s,3)</f>
        <v>58.183999999999997</v>
      </c>
      <c r="J114">
        <f>ROUND(SUM(D114:I114)/(IF(VLOOKUP($A114,EnrollData2324,'2324 Jun 24 Enroll'!M$1,FALSE)='District Calculations'!$D$25,VLOOKUP($A114,EnrollData2324,'2324 Jun 24 Enroll'!M$1,FALSE),'District Calculations'!$D$25)+IF(VLOOKUP($A114,EnrollData2324,'2324 Jun 24 Enroll'!D$1,FALSE)='District Calculations'!$D$11,VLOOKUP($A114,EnrollData2324,'2324 Jun 24 Enroll'!D$1,FALSE),'District Calculations'!$D$11)),5)</f>
        <v>5.5530000000000003E-2</v>
      </c>
      <c r="K114" s="11">
        <f t="shared" si="12"/>
        <v>4.3699999999999998E-3</v>
      </c>
      <c r="L114">
        <f>ROUND(IF(VLOOKUP($A114,EnrollData2324,'2324 Jun 24 Enroll'!D$1,FALSE)='District Calculations'!$D$11,VLOOKUP($A114,EnrollData2324,'2324 Jun 24 Enroll'!D$1,FALSE),'District Calculations'!$D$11)*K114,3)</f>
        <v>0</v>
      </c>
      <c r="M114">
        <f>ROUND(IF(VLOOKUP($A114,EnrollData2324,'2324 Jun 24 Enroll'!E$1,FALSE)='District Calculations'!$D$12,VLOOKUP($A114,EnrollData2324,'2324 Jun 24 Enroll'!E$1,FALSE),'District Calculations'!$D$12)*K114,3)</f>
        <v>3.5419999999999998</v>
      </c>
      <c r="N114">
        <f>ROUND(IF(VLOOKUP($A114,EnrollData2324,'2324 Jun 24 Enroll'!F$1,FALSE)='District Calculations'!$D$13,VLOOKUP($A114,EnrollData2324,'2324 Jun 24 Enroll'!F$1,FALSE),'District Calculations'!$D$13)*Apport_223A2324s,3)</f>
        <v>0.84299999999999997</v>
      </c>
      <c r="O114">
        <f>ROUND(IF(VLOOKUP($A114,EnrollData2324,'2324 Jun 24 Enroll'!G$1,FALSE)='District Calculations'!$D$14,VLOOKUP($A114,EnrollData2324,'2324 Jun 24 Enroll'!G$1,FALSE),'District Calculations'!$D$14)*Apport_211A2324s,3)</f>
        <v>1.87</v>
      </c>
      <c r="P114">
        <f>ROUND(IF(VLOOKUP($A114,EnrollData2324,'2324 Jun 24 Enroll'!H$1,FALSE)='District Calculations'!$D$14,VLOOKUP($A114,EnrollData2324,'2324 Jun 24 Enroll'!H$1,FALSE),'District Calculations'!$D$14)*Apport_214A2324s,3)</f>
        <v>1.8680000000000001</v>
      </c>
      <c r="Q114">
        <f>ROUND(IF(VLOOKUP($A114,EnrollData2324,'2324 Jun 24 Enroll'!I$1,FALSE)+VLOOKUP($A114,EnrollData2324,'2324 Jun 24 Enroll'!M$1,FALSE)-VLOOKUP($A114,EnrollData2324,'2324 Jun 24 Enroll'!J$1,FALSE)='District Calculations'!$D$16+'District Calculations'!$D$25-'District Calculations'!$D$17,VLOOKUP($A114,EnrollData2324,'2324 Jun 24 Enroll'!I$1,FALSE)+VLOOKUP($A114,EnrollData2324,'2324 Jun 24 Enroll'!M$1,FALSE)-VLOOKUP($A114,EnrollData2324,'2324 Jun 24 Enroll'!J$1,FALSE),'District Calculations'!$D$16+'District Calculations'!$D$25-'District Calculations'!$D$17)*Apport_217A2324s,3)</f>
        <v>4.702</v>
      </c>
      <c r="R114">
        <f>ROUND(SUM(L114:Q114)/IF(VLOOKUP($A114,EnrollData2324,'2324 Jun 24 Enroll'!M$1,FALSE)+VLOOKUP($A114,EnrollData2324,'2324 Jun 24 Enroll'!D$1,FALSE)='District Calculations'!$D$25+'District Calculations'!$D$11,VLOOKUP($A114,EnrollData2324,'2324 Jun 24 Enroll'!M$1,FALSE)+VLOOKUP($A114,EnrollData2324,'2324 Jun 24 Enroll'!D$1,FALSE),'District Calculations'!$D$25+'District Calculations'!$D$11),5)</f>
        <v>4.1099999999999999E-3</v>
      </c>
      <c r="S114" s="11">
        <f t="shared" si="13"/>
        <v>1.8689600000000001E-2</v>
      </c>
      <c r="T114">
        <f>ROUND(IF(VLOOKUP($A114,EnrollData2324,'2324 Jun 24 Enroll'!D$1,FALSE)='District Calculations'!$D$11,VLOOKUP($A114,EnrollData2324,'2324 Jun 24 Enroll'!D$1,FALSE),'District Calculations'!$D$11)*S114,3)</f>
        <v>0</v>
      </c>
      <c r="U114">
        <f>ROUND(IF(VLOOKUP($A114,EnrollData2324,'2324 Jun 24 Enroll'!E$1,FALSE)='District Calculations'!$D$12,VLOOKUP($A114,EnrollData2324,'2324 Jun 24 Enroll'!E$1,FALSE),'District Calculations'!$D$12)*S114,3)</f>
        <v>15.148</v>
      </c>
      <c r="V114">
        <f>ROUND(IF(VLOOKUP($A114,EnrollData2324,'2324 Jun 24 Enroll'!F$1,FALSE)='District Calculations'!$D$13,VLOOKUP($A114,EnrollData2324,'2324 Jun 24 Enroll'!F$1,FALSE),'District Calculations'!$D$13)*Apport_224A2324s,3)</f>
        <v>3.7029999999999998</v>
      </c>
      <c r="W114">
        <f>ROUND(IF(VLOOKUP($A114,EnrollData2324,'2324 Jun 24 Enroll'!G$1,FALSE)='District Calculations'!$D$14,VLOOKUP($A114,EnrollData2324,'2324 Jun 24 Enroll'!G$1,FALSE),'District Calculations'!$D$14)*Apport_212A2324s,3)</f>
        <v>8.2089999999999996</v>
      </c>
      <c r="X114">
        <f>ROUND(IF(VLOOKUP($A114,EnrollData2324,'2324 Jun 24 Enroll'!H$1,FALSE)='District Calculations'!$D$14,VLOOKUP($A114,EnrollData2324,'2324 Jun 24 Enroll'!H$1,FALSE),'District Calculations'!$D$14)*Apport_215A2324s,3)</f>
        <v>8.0969999999999995</v>
      </c>
      <c r="Y114">
        <f>ROUND(IF(VLOOKUP($A114,EnrollData2324,'2324 Jun 24 Enroll'!I$1,FALSE)+VLOOKUP($A114,EnrollData2324,'2324 Jun 24 Enroll'!M$1,FALSE)-VLOOKUP($A114,EnrollData2324,'2324 Jun 24 Enroll'!J$1,FALSE)='District Calculations'!$D$16+'District Calculations'!$D$25-'District Calculations'!$D$17,VLOOKUP($A114,EnrollData2324,'2324 Jun 24 Enroll'!I$1,FALSE)+VLOOKUP($A114,EnrollData2324,'2324 Jun 24 Enroll'!M$1,FALSE)-VLOOKUP($A114,EnrollData2324,'2324 Jun 24 Enroll'!J$1,FALSE),'District Calculations'!$D$16+'District Calculations'!$D$25-'District Calculations'!$D$17)*Apport_218A2324s,3)</f>
        <v>20.224</v>
      </c>
      <c r="Z114">
        <f>ROUND(SUM(T114:Y114)/IF(VLOOKUP($A114,EnrollData2324,'2324 Jun 24 Enroll'!M$1,FALSE)+VLOOKUP($A114,EnrollData2324,'2324 Jun 24 Enroll'!D$1,FALSE)='District Calculations'!$D$25+'District Calculations'!$D$11,VLOOKUP($A114,EnrollData2324,'2324 Jun 24 Enroll'!M$1,FALSE)+VLOOKUP($A114,EnrollData2324,'2324 Jun 24 Enroll'!D$1,FALSE),'District Calculations'!$D$25+'District Calculations'!$D$11),5)</f>
        <v>1.7749999999999998E-2</v>
      </c>
      <c r="AA114" s="6" cm="1">
        <f t="array" ref="AA114">ROUND($J114*CIS_Base_Salary2324s*VLOOKUP($A114,EnrollData2324,'2324 Jun 24 Enroll'!S$1,FALSE),2)</f>
        <v>4280.8999999999996</v>
      </c>
      <c r="AB114" s="6" cm="1">
        <f t="array" ref="AB114">ROUND($J114*CIS_Inc_Salary2324s*(VLOOKUP($A114,EnrollData2324,'2324 Jun 24 Enroll'!T$1,FALSE)+VLOOKUP($A114,EnrollData2324,'2324 Jun 24 Enroll'!U$1,FALSE)),2)-AA114</f>
        <v>158.40000000000055</v>
      </c>
      <c r="AC114" s="6" cm="1">
        <f t="array" ref="AC114">ROUND($R114*CAS_Base_Salary2324s*VLOOKUP($A114,EnrollData2324,'2324 Jun 24 Enroll'!S$1,FALSE),2)</f>
        <v>470.32</v>
      </c>
      <c r="AD114" s="6" cm="1">
        <f t="array" ref="AD114">ROUND($R114*CAS_Inc_Salary2324s*VLOOKUP($A114,EnrollData2324,'2324 Jun 24 Enroll'!T$1,FALSE),2)-AC114</f>
        <v>17.400000000000034</v>
      </c>
      <c r="AE114" s="6" cm="1">
        <f t="array" ref="AE114">ROUND($Z114*CLS_Base_Salary2324s*VLOOKUP($A114,EnrollData2324,'2324 Jun 24 Enroll'!S$1,FALSE),2)</f>
        <v>981.63</v>
      </c>
      <c r="AF114" s="6" cm="1">
        <f t="array" ref="AF114">ROUND($Z114*CLS_Inc_Salary2324s*VLOOKUP($A114,EnrollData2324,'2324 Jun 24 Enroll'!T$1,FALSE),2)-AE114</f>
        <v>36.32000000000005</v>
      </c>
      <c r="AG114" cm="1">
        <f t="array" ref="AG114">ROUND(($J114+$R114)*Apport_124X2324s,2)</f>
        <v>734.29</v>
      </c>
      <c r="AH114" s="69">
        <f t="shared" si="14"/>
        <v>68.700000000000045</v>
      </c>
      <c r="AI114" cm="1">
        <f t="array" ref="AI114">ROUND($Z114*Apport_124X2324s,2)</f>
        <v>218.54</v>
      </c>
      <c r="AJ114" cm="1">
        <f t="array" ref="AJ114">ROUND($Z114*Apport_621X2324s*Apport_125X2324s,2)-AI114</f>
        <v>116.51000000000002</v>
      </c>
      <c r="AK114" cm="1">
        <f t="array" ref="AK114">ROUND((AA114+AC114)*Apport_126X2324s,2)</f>
        <v>853.79</v>
      </c>
      <c r="AL114" cm="1">
        <f t="array" ref="AL114">ROUND((AB114+AD114)*Apport_127X2324s,2)</f>
        <v>30.47</v>
      </c>
      <c r="AM114" cm="1">
        <f t="array" ref="AM114">ROUND(AE114*Apport_128X2324s,2)</f>
        <v>216.55</v>
      </c>
      <c r="AN114" cm="1">
        <f t="array" ref="AN114">ROUND(AF114*Apport_129X2324s,2)</f>
        <v>6.74</v>
      </c>
      <c r="AO114" cm="1">
        <f t="array" ref="AO114">ROUND(($J114*CIS_Inc_Salary2324s*(VLOOKUP($A114,EnrollData2324,'2324 Jun 24 Enroll'!T$1,FALSE)+VLOOKUP($A114,EnrollData2324,'2324 Jun 24 Enroll'!U$1,FALSE))/Apport_613Xpd)*Apport_614Xpd,2)</f>
        <v>73.989999999999995</v>
      </c>
      <c r="AP114" cm="1">
        <f t="array" ref="AP114">ROUND(AO114*Apport_127X2324s,2)</f>
        <v>12.82</v>
      </c>
      <c r="AQ114">
        <f t="shared" si="15"/>
        <v>30.93</v>
      </c>
      <c r="AR114" s="6" cm="1">
        <f t="array" ref="AR114">ROUND((VLOOKUP($A114,EnrollData2324,'2324 Jun 24 Enroll'!D$1,FALSE)*Apport_M802324s+VLOOKUP($A114,EnrollData2324,'2324 Jun 24 Enroll'!M$1,FALSE)*Apport_M802324s+(VLOOKUP($A114,EnrollData2324,'2324 Jun 24 Enroll'!P$1,FALSE)+VLOOKUP($A114,EnrollData2324,'2324 Jun 24 Enroll'!Q$1,FALSE)+VLOOKUP($A114,EnrollData2324,'2324 Jun 24 Enroll'!R$1,FALSE)+VLOOKUP($A114,EnrollData2324,'2324 Jun 24 Enroll'!I$1,FALSE)+VLOOKUP($A114,EnrollData2324,'2324 Jun 24 Enroll'!N$1,FALSE)+VLOOKUP($A114,EnrollData2324,'2324 Jun 24 Enroll'!O$1,FALSE)+VLOOKUP($A114,EnrollData2324,'2324 Jun 24 Enroll'!K$1,FALSE)+VLOOKUP($A114,EnrollData2324,'2324 Jun 24 Enroll'!L$1,FALSE))*Apport_M812324s)/(VLOOKUP($A114,EnrollData2324,'2324 Jun 24 Enroll'!M$1,FALSE)+VLOOKUP($A114,EnrollData2324,'2324 Jun 24 Enroll'!D$1,FALSE)),2)</f>
        <v>1671.16</v>
      </c>
      <c r="AS114" s="7">
        <f t="shared" si="16"/>
        <v>9979.4599999999991</v>
      </c>
    </row>
    <row r="115" spans="1:45">
      <c r="A115" s="40" t="s">
        <v>382</v>
      </c>
      <c r="B115" s="40" t="s">
        <v>383</v>
      </c>
      <c r="C115" s="11">
        <f>ROUND((IFERROR((1/IF(VLOOKUP($A115,EnrollData2324,28,FALSE)='District Calculations'!$D$10,VLOOKUP($A115,EnrollData2324,28,FALSE),'District Calculations'!$D$10))*(1+Apport_Z315),0))+Apport_201A2324s,6)</f>
        <v>7.3449E-2</v>
      </c>
      <c r="D115">
        <f>ROUND(IF(VLOOKUP($A115,EnrollData2324,'2324 Jun 24 Enroll'!D$1,FALSE)='District Calculations'!$D$11,VLOOKUP($A115,EnrollData2324,'2324 Jun 24 Enroll'!D$1,FALSE),'District Calculations'!$D$11)*C115,3)</f>
        <v>0</v>
      </c>
      <c r="E115">
        <f>ROUND(IF(VLOOKUP($A115,EnrollData2324,'2324 Jun 24 Enroll'!E$1,FALSE)='District Calculations'!$D$12,VLOOKUP($A115,EnrollData2324,'2324 Jun 24 Enroll'!E$1,FALSE),'District Calculations'!$D$12)*C115,3)</f>
        <v>59.53</v>
      </c>
      <c r="F115">
        <f>ROUND(IF(VLOOKUP($A115,EnrollData2324,'2324 Jun 24 Enroll'!F$1,FALSE)='District Calculations'!$D$13,VLOOKUP($A115,EnrollData2324,'2324 Jun 24 Enroll'!F$1,FALSE),'District Calculations'!$D$13)*Apport_222A2324s,3)</f>
        <v>10.101000000000001</v>
      </c>
      <c r="G115">
        <f>ROUND(IF(VLOOKUP($A115,EnrollData2324,'2324 Jun 24 Enroll'!G$1,FALSE)='District Calculations'!$D$14,VLOOKUP($A115,EnrollData2324,'2324 Jun 24 Enroll'!G$1,FALSE),'District Calculations'!$D$14)*Apport_210A2324s,3)</f>
        <v>22.395</v>
      </c>
      <c r="H115">
        <f>ROUND(IF(VLOOKUP($A115,EnrollData2324,'2324 Jun 24 Enroll'!H$1,FALSE)='District Calculations'!$D$15,VLOOKUP($A115,EnrollData2324,'2324 Jun 24 Enroll'!H$1,FALSE),'District Calculations'!$D$15)*Apport_213A2324s,3)</f>
        <v>23.091999999999999</v>
      </c>
      <c r="I115">
        <f>ROUND(IF(VLOOKUP($A115,EnrollData2324,'2324 Jun 24 Enroll'!I$1,FALSE)+VLOOKUP($A115,EnrollData2324,'2324 Jun 24 Enroll'!M$1,FALSE)-VLOOKUP($A115,EnrollData2324,'2324 Jun 24 Enroll'!J$1,FALSE)='District Calculations'!$D$16+'District Calculations'!$D$25-'District Calculations'!$D$17,VLOOKUP($A115,EnrollData2324,'2324 Jun 24 Enroll'!I$1,FALSE)+VLOOKUP($A115,EnrollData2324,'2324 Jun 24 Enroll'!M$1,FALSE)-VLOOKUP($A115,EnrollData2324,'2324 Jun 24 Enroll'!J$1,FALSE),'District Calculations'!$D$16+'District Calculations'!$D$25-'District Calculations'!$D$17)*Apport_216A2324s,3)</f>
        <v>58.183999999999997</v>
      </c>
      <c r="J115">
        <f>ROUND(SUM(D115:I115)/(IF(VLOOKUP($A115,EnrollData2324,'2324 Jun 24 Enroll'!M$1,FALSE)='District Calculations'!$D$25,VLOOKUP($A115,EnrollData2324,'2324 Jun 24 Enroll'!M$1,FALSE),'District Calculations'!$D$25)+IF(VLOOKUP($A115,EnrollData2324,'2324 Jun 24 Enroll'!D$1,FALSE)='District Calculations'!$D$11,VLOOKUP($A115,EnrollData2324,'2324 Jun 24 Enroll'!D$1,FALSE),'District Calculations'!$D$11)),5)</f>
        <v>5.5530000000000003E-2</v>
      </c>
      <c r="K115" s="11">
        <f t="shared" si="12"/>
        <v>4.3699999999999998E-3</v>
      </c>
      <c r="L115">
        <f>ROUND(IF(VLOOKUP($A115,EnrollData2324,'2324 Jun 24 Enroll'!D$1,FALSE)='District Calculations'!$D$11,VLOOKUP($A115,EnrollData2324,'2324 Jun 24 Enroll'!D$1,FALSE),'District Calculations'!$D$11)*K115,3)</f>
        <v>0</v>
      </c>
      <c r="M115">
        <f>ROUND(IF(VLOOKUP($A115,EnrollData2324,'2324 Jun 24 Enroll'!E$1,FALSE)='District Calculations'!$D$12,VLOOKUP($A115,EnrollData2324,'2324 Jun 24 Enroll'!E$1,FALSE),'District Calculations'!$D$12)*K115,3)</f>
        <v>3.5419999999999998</v>
      </c>
      <c r="N115">
        <f>ROUND(IF(VLOOKUP($A115,EnrollData2324,'2324 Jun 24 Enroll'!F$1,FALSE)='District Calculations'!$D$13,VLOOKUP($A115,EnrollData2324,'2324 Jun 24 Enroll'!F$1,FALSE),'District Calculations'!$D$13)*Apport_223A2324s,3)</f>
        <v>0.84299999999999997</v>
      </c>
      <c r="O115">
        <f>ROUND(IF(VLOOKUP($A115,EnrollData2324,'2324 Jun 24 Enroll'!G$1,FALSE)='District Calculations'!$D$14,VLOOKUP($A115,EnrollData2324,'2324 Jun 24 Enroll'!G$1,FALSE),'District Calculations'!$D$14)*Apport_211A2324s,3)</f>
        <v>1.87</v>
      </c>
      <c r="P115">
        <f>ROUND(IF(VLOOKUP($A115,EnrollData2324,'2324 Jun 24 Enroll'!H$1,FALSE)='District Calculations'!$D$14,VLOOKUP($A115,EnrollData2324,'2324 Jun 24 Enroll'!H$1,FALSE),'District Calculations'!$D$14)*Apport_214A2324s,3)</f>
        <v>1.8680000000000001</v>
      </c>
      <c r="Q115">
        <f>ROUND(IF(VLOOKUP($A115,EnrollData2324,'2324 Jun 24 Enroll'!I$1,FALSE)+VLOOKUP($A115,EnrollData2324,'2324 Jun 24 Enroll'!M$1,FALSE)-VLOOKUP($A115,EnrollData2324,'2324 Jun 24 Enroll'!J$1,FALSE)='District Calculations'!$D$16+'District Calculations'!$D$25-'District Calculations'!$D$17,VLOOKUP($A115,EnrollData2324,'2324 Jun 24 Enroll'!I$1,FALSE)+VLOOKUP($A115,EnrollData2324,'2324 Jun 24 Enroll'!M$1,FALSE)-VLOOKUP($A115,EnrollData2324,'2324 Jun 24 Enroll'!J$1,FALSE),'District Calculations'!$D$16+'District Calculations'!$D$25-'District Calculations'!$D$17)*Apport_217A2324s,3)</f>
        <v>4.702</v>
      </c>
      <c r="R115">
        <f>ROUND(SUM(L115:Q115)/IF(VLOOKUP($A115,EnrollData2324,'2324 Jun 24 Enroll'!M$1,FALSE)+VLOOKUP($A115,EnrollData2324,'2324 Jun 24 Enroll'!D$1,FALSE)='District Calculations'!$D$25+'District Calculations'!$D$11,VLOOKUP($A115,EnrollData2324,'2324 Jun 24 Enroll'!M$1,FALSE)+VLOOKUP($A115,EnrollData2324,'2324 Jun 24 Enroll'!D$1,FALSE),'District Calculations'!$D$25+'District Calculations'!$D$11),5)</f>
        <v>4.1099999999999999E-3</v>
      </c>
      <c r="S115" s="11">
        <f t="shared" si="13"/>
        <v>1.8689600000000001E-2</v>
      </c>
      <c r="T115">
        <f>ROUND(IF(VLOOKUP($A115,EnrollData2324,'2324 Jun 24 Enroll'!D$1,FALSE)='District Calculations'!$D$11,VLOOKUP($A115,EnrollData2324,'2324 Jun 24 Enroll'!D$1,FALSE),'District Calculations'!$D$11)*S115,3)</f>
        <v>0</v>
      </c>
      <c r="U115">
        <f>ROUND(IF(VLOOKUP($A115,EnrollData2324,'2324 Jun 24 Enroll'!E$1,FALSE)='District Calculations'!$D$12,VLOOKUP($A115,EnrollData2324,'2324 Jun 24 Enroll'!E$1,FALSE),'District Calculations'!$D$12)*S115,3)</f>
        <v>15.148</v>
      </c>
      <c r="V115">
        <f>ROUND(IF(VLOOKUP($A115,EnrollData2324,'2324 Jun 24 Enroll'!F$1,FALSE)='District Calculations'!$D$13,VLOOKUP($A115,EnrollData2324,'2324 Jun 24 Enroll'!F$1,FALSE),'District Calculations'!$D$13)*Apport_224A2324s,3)</f>
        <v>3.7029999999999998</v>
      </c>
      <c r="W115">
        <f>ROUND(IF(VLOOKUP($A115,EnrollData2324,'2324 Jun 24 Enroll'!G$1,FALSE)='District Calculations'!$D$14,VLOOKUP($A115,EnrollData2324,'2324 Jun 24 Enroll'!G$1,FALSE),'District Calculations'!$D$14)*Apport_212A2324s,3)</f>
        <v>8.2089999999999996</v>
      </c>
      <c r="X115">
        <f>ROUND(IF(VLOOKUP($A115,EnrollData2324,'2324 Jun 24 Enroll'!H$1,FALSE)='District Calculations'!$D$14,VLOOKUP($A115,EnrollData2324,'2324 Jun 24 Enroll'!H$1,FALSE),'District Calculations'!$D$14)*Apport_215A2324s,3)</f>
        <v>8.0969999999999995</v>
      </c>
      <c r="Y115">
        <f>ROUND(IF(VLOOKUP($A115,EnrollData2324,'2324 Jun 24 Enroll'!I$1,FALSE)+VLOOKUP($A115,EnrollData2324,'2324 Jun 24 Enroll'!M$1,FALSE)-VLOOKUP($A115,EnrollData2324,'2324 Jun 24 Enroll'!J$1,FALSE)='District Calculations'!$D$16+'District Calculations'!$D$25-'District Calculations'!$D$17,VLOOKUP($A115,EnrollData2324,'2324 Jun 24 Enroll'!I$1,FALSE)+VLOOKUP($A115,EnrollData2324,'2324 Jun 24 Enroll'!M$1,FALSE)-VLOOKUP($A115,EnrollData2324,'2324 Jun 24 Enroll'!J$1,FALSE),'District Calculations'!$D$16+'District Calculations'!$D$25-'District Calculations'!$D$17)*Apport_218A2324s,3)</f>
        <v>20.224</v>
      </c>
      <c r="Z115">
        <f>ROUND(SUM(T115:Y115)/IF(VLOOKUP($A115,EnrollData2324,'2324 Jun 24 Enroll'!M$1,FALSE)+VLOOKUP($A115,EnrollData2324,'2324 Jun 24 Enroll'!D$1,FALSE)='District Calculations'!$D$25+'District Calculations'!$D$11,VLOOKUP($A115,EnrollData2324,'2324 Jun 24 Enroll'!M$1,FALSE)+VLOOKUP($A115,EnrollData2324,'2324 Jun 24 Enroll'!D$1,FALSE),'District Calculations'!$D$25+'District Calculations'!$D$11),5)</f>
        <v>1.7749999999999998E-2</v>
      </c>
      <c r="AA115" s="6" cm="1">
        <f t="array" ref="AA115">ROUND($J115*CIS_Base_Salary2324s*VLOOKUP($A115,EnrollData2324,'2324 Jun 24 Enroll'!S$1,FALSE),2)</f>
        <v>4523.22</v>
      </c>
      <c r="AB115" s="6" cm="1">
        <f t="array" ref="AB115">ROUND($J115*CIS_Inc_Salary2324s*(VLOOKUP($A115,EnrollData2324,'2324 Jun 24 Enroll'!T$1,FALSE)+VLOOKUP($A115,EnrollData2324,'2324 Jun 24 Enroll'!U$1,FALSE)),2)-AA115</f>
        <v>167.35999999999967</v>
      </c>
      <c r="AC115" s="6" cm="1">
        <f t="array" ref="AC115">ROUND($R115*CAS_Base_Salary2324s*VLOOKUP($A115,EnrollData2324,'2324 Jun 24 Enroll'!S$1,FALSE),2)</f>
        <v>496.94</v>
      </c>
      <c r="AD115" s="6" cm="1">
        <f t="array" ref="AD115">ROUND($R115*CAS_Inc_Salary2324s*VLOOKUP($A115,EnrollData2324,'2324 Jun 24 Enroll'!T$1,FALSE),2)-AC115</f>
        <v>18.390000000000043</v>
      </c>
      <c r="AE115" s="6" cm="1">
        <f t="array" ref="AE115">ROUND($Z115*CLS_Base_Salary2324s*VLOOKUP($A115,EnrollData2324,'2324 Jun 24 Enroll'!S$1,FALSE),2)</f>
        <v>1037.2</v>
      </c>
      <c r="AF115" s="6" cm="1">
        <f t="array" ref="AF115">ROUND($Z115*CLS_Inc_Salary2324s*VLOOKUP($A115,EnrollData2324,'2324 Jun 24 Enroll'!T$1,FALSE),2)-AE115</f>
        <v>38.369999999999891</v>
      </c>
      <c r="AG115" cm="1">
        <f t="array" ref="AG115">ROUND(($J115+$R115)*Apport_124X2324s,2)</f>
        <v>734.29</v>
      </c>
      <c r="AH115" s="69">
        <f t="shared" si="14"/>
        <v>68.700000000000045</v>
      </c>
      <c r="AI115" cm="1">
        <f t="array" ref="AI115">ROUND($Z115*Apport_124X2324s,2)</f>
        <v>218.54</v>
      </c>
      <c r="AJ115" cm="1">
        <f t="array" ref="AJ115">ROUND($Z115*Apport_621X2324s*Apport_125X2324s,2)-AI115</f>
        <v>116.51000000000002</v>
      </c>
      <c r="AK115" cm="1">
        <f t="array" ref="AK115">ROUND((AA115+AC115)*Apport_126X2324s,2)</f>
        <v>902.12</v>
      </c>
      <c r="AL115" cm="1">
        <f t="array" ref="AL115">ROUND((AB115+AD115)*Apport_127X2324s,2)</f>
        <v>32.19</v>
      </c>
      <c r="AM115" cm="1">
        <f t="array" ref="AM115">ROUND(AE115*Apport_128X2324s,2)</f>
        <v>228.81</v>
      </c>
      <c r="AN115" cm="1">
        <f t="array" ref="AN115">ROUND(AF115*Apport_129X2324s,2)</f>
        <v>7.12</v>
      </c>
      <c r="AO115" cm="1">
        <f t="array" ref="AO115">ROUND(($J115*CIS_Inc_Salary2324s*(VLOOKUP($A115,EnrollData2324,'2324 Jun 24 Enroll'!T$1,FALSE)+VLOOKUP($A115,EnrollData2324,'2324 Jun 24 Enroll'!U$1,FALSE))/Apport_613Xpd)*Apport_614Xpd,2)</f>
        <v>78.180000000000007</v>
      </c>
      <c r="AP115" cm="1">
        <f t="array" ref="AP115">ROUND(AO115*Apport_127X2324s,2)</f>
        <v>13.55</v>
      </c>
      <c r="AQ115">
        <f t="shared" si="15"/>
        <v>30.93</v>
      </c>
      <c r="AR115" s="6" cm="1">
        <f t="array" ref="AR115">ROUND((VLOOKUP($A115,EnrollData2324,'2324 Jun 24 Enroll'!D$1,FALSE)*Apport_M802324s+VLOOKUP($A115,EnrollData2324,'2324 Jun 24 Enroll'!M$1,FALSE)*Apport_M802324s+(VLOOKUP($A115,EnrollData2324,'2324 Jun 24 Enroll'!P$1,FALSE)+VLOOKUP($A115,EnrollData2324,'2324 Jun 24 Enroll'!Q$1,FALSE)+VLOOKUP($A115,EnrollData2324,'2324 Jun 24 Enroll'!R$1,FALSE)+VLOOKUP($A115,EnrollData2324,'2324 Jun 24 Enroll'!I$1,FALSE)+VLOOKUP($A115,EnrollData2324,'2324 Jun 24 Enroll'!N$1,FALSE)+VLOOKUP($A115,EnrollData2324,'2324 Jun 24 Enroll'!O$1,FALSE)+VLOOKUP($A115,EnrollData2324,'2324 Jun 24 Enroll'!K$1,FALSE)+VLOOKUP($A115,EnrollData2324,'2324 Jun 24 Enroll'!L$1,FALSE))*Apport_M812324s)/(VLOOKUP($A115,EnrollData2324,'2324 Jun 24 Enroll'!M$1,FALSE)+VLOOKUP($A115,EnrollData2324,'2324 Jun 24 Enroll'!D$1,FALSE)),2)</f>
        <v>1564.81</v>
      </c>
      <c r="AS115" s="7">
        <f t="shared" si="16"/>
        <v>10277.23</v>
      </c>
    </row>
    <row r="116" spans="1:45">
      <c r="A116" s="40" t="s">
        <v>697</v>
      </c>
      <c r="B116" s="40" t="s">
        <v>698</v>
      </c>
      <c r="C116" s="11">
        <f>ROUND((IFERROR((1/IF(VLOOKUP($A116,EnrollData2324,28,FALSE)='District Calculations'!$D$10,VLOOKUP($A116,EnrollData2324,28,FALSE),'District Calculations'!$D$10))*(1+Apport_Z315),0))+Apport_201A2324s,6)</f>
        <v>7.3449E-2</v>
      </c>
      <c r="D116">
        <f>ROUND(IF(VLOOKUP($A116,EnrollData2324,'2324 Jun 24 Enroll'!D$1,FALSE)='District Calculations'!$D$11,VLOOKUP($A116,EnrollData2324,'2324 Jun 24 Enroll'!D$1,FALSE),'District Calculations'!$D$11)*C116,3)</f>
        <v>0</v>
      </c>
      <c r="E116">
        <f>ROUND(IF(VLOOKUP($A116,EnrollData2324,'2324 Jun 24 Enroll'!E$1,FALSE)='District Calculations'!$D$12,VLOOKUP($A116,EnrollData2324,'2324 Jun 24 Enroll'!E$1,FALSE),'District Calculations'!$D$12)*C116,3)</f>
        <v>59.53</v>
      </c>
      <c r="F116">
        <f>ROUND(IF(VLOOKUP($A116,EnrollData2324,'2324 Jun 24 Enroll'!F$1,FALSE)='District Calculations'!$D$13,VLOOKUP($A116,EnrollData2324,'2324 Jun 24 Enroll'!F$1,FALSE),'District Calculations'!$D$13)*Apport_222A2324s,3)</f>
        <v>10.101000000000001</v>
      </c>
      <c r="G116">
        <f>ROUND(IF(VLOOKUP($A116,EnrollData2324,'2324 Jun 24 Enroll'!G$1,FALSE)='District Calculations'!$D$14,VLOOKUP($A116,EnrollData2324,'2324 Jun 24 Enroll'!G$1,FALSE),'District Calculations'!$D$14)*Apport_210A2324s,3)</f>
        <v>22.395</v>
      </c>
      <c r="H116">
        <f>ROUND(IF(VLOOKUP($A116,EnrollData2324,'2324 Jun 24 Enroll'!H$1,FALSE)='District Calculations'!$D$15,VLOOKUP($A116,EnrollData2324,'2324 Jun 24 Enroll'!H$1,FALSE),'District Calculations'!$D$15)*Apport_213A2324s,3)</f>
        <v>23.091999999999999</v>
      </c>
      <c r="I116">
        <f>ROUND(IF(VLOOKUP($A116,EnrollData2324,'2324 Jun 24 Enroll'!I$1,FALSE)+VLOOKUP($A116,EnrollData2324,'2324 Jun 24 Enroll'!M$1,FALSE)-VLOOKUP($A116,EnrollData2324,'2324 Jun 24 Enroll'!J$1,FALSE)='District Calculations'!$D$16+'District Calculations'!$D$25-'District Calculations'!$D$17,VLOOKUP($A116,EnrollData2324,'2324 Jun 24 Enroll'!I$1,FALSE)+VLOOKUP($A116,EnrollData2324,'2324 Jun 24 Enroll'!M$1,FALSE)-VLOOKUP($A116,EnrollData2324,'2324 Jun 24 Enroll'!J$1,FALSE),'District Calculations'!$D$16+'District Calculations'!$D$25-'District Calculations'!$D$17)*Apport_216A2324s,3)</f>
        <v>58.183999999999997</v>
      </c>
      <c r="J116">
        <f>ROUND(SUM(D116:I116)/(IF(VLOOKUP($A116,EnrollData2324,'2324 Jun 24 Enroll'!M$1,FALSE)='District Calculations'!$D$25,VLOOKUP($A116,EnrollData2324,'2324 Jun 24 Enroll'!M$1,FALSE),'District Calculations'!$D$25)+IF(VLOOKUP($A116,EnrollData2324,'2324 Jun 24 Enroll'!D$1,FALSE)='District Calculations'!$D$11,VLOOKUP($A116,EnrollData2324,'2324 Jun 24 Enroll'!D$1,FALSE),'District Calculations'!$D$11)),5)</f>
        <v>5.5530000000000003E-2</v>
      </c>
      <c r="K116" s="11">
        <f t="shared" si="12"/>
        <v>4.3699999999999998E-3</v>
      </c>
      <c r="L116">
        <f>ROUND(IF(VLOOKUP($A116,EnrollData2324,'2324 Jun 24 Enroll'!D$1,FALSE)='District Calculations'!$D$11,VLOOKUP($A116,EnrollData2324,'2324 Jun 24 Enroll'!D$1,FALSE),'District Calculations'!$D$11)*K116,3)</f>
        <v>0</v>
      </c>
      <c r="M116">
        <f>ROUND(IF(VLOOKUP($A116,EnrollData2324,'2324 Jun 24 Enroll'!E$1,FALSE)='District Calculations'!$D$12,VLOOKUP($A116,EnrollData2324,'2324 Jun 24 Enroll'!E$1,FALSE),'District Calculations'!$D$12)*K116,3)</f>
        <v>3.5419999999999998</v>
      </c>
      <c r="N116">
        <f>ROUND(IF(VLOOKUP($A116,EnrollData2324,'2324 Jun 24 Enroll'!F$1,FALSE)='District Calculations'!$D$13,VLOOKUP($A116,EnrollData2324,'2324 Jun 24 Enroll'!F$1,FALSE),'District Calculations'!$D$13)*Apport_223A2324s,3)</f>
        <v>0.84299999999999997</v>
      </c>
      <c r="O116">
        <f>ROUND(IF(VLOOKUP($A116,EnrollData2324,'2324 Jun 24 Enroll'!G$1,FALSE)='District Calculations'!$D$14,VLOOKUP($A116,EnrollData2324,'2324 Jun 24 Enroll'!G$1,FALSE),'District Calculations'!$D$14)*Apport_211A2324s,3)</f>
        <v>1.87</v>
      </c>
      <c r="P116">
        <f>ROUND(IF(VLOOKUP($A116,EnrollData2324,'2324 Jun 24 Enroll'!H$1,FALSE)='District Calculations'!$D$14,VLOOKUP($A116,EnrollData2324,'2324 Jun 24 Enroll'!H$1,FALSE),'District Calculations'!$D$14)*Apport_214A2324s,3)</f>
        <v>1.8680000000000001</v>
      </c>
      <c r="Q116">
        <f>ROUND(IF(VLOOKUP($A116,EnrollData2324,'2324 Jun 24 Enroll'!I$1,FALSE)+VLOOKUP($A116,EnrollData2324,'2324 Jun 24 Enroll'!M$1,FALSE)-VLOOKUP($A116,EnrollData2324,'2324 Jun 24 Enroll'!J$1,FALSE)='District Calculations'!$D$16+'District Calculations'!$D$25-'District Calculations'!$D$17,VLOOKUP($A116,EnrollData2324,'2324 Jun 24 Enroll'!I$1,FALSE)+VLOOKUP($A116,EnrollData2324,'2324 Jun 24 Enroll'!M$1,FALSE)-VLOOKUP($A116,EnrollData2324,'2324 Jun 24 Enroll'!J$1,FALSE),'District Calculations'!$D$16+'District Calculations'!$D$25-'District Calculations'!$D$17)*Apport_217A2324s,3)</f>
        <v>4.702</v>
      </c>
      <c r="R116">
        <f>ROUND(SUM(L116:Q116)/IF(VLOOKUP($A116,EnrollData2324,'2324 Jun 24 Enroll'!M$1,FALSE)+VLOOKUP($A116,EnrollData2324,'2324 Jun 24 Enroll'!D$1,FALSE)='District Calculations'!$D$25+'District Calculations'!$D$11,VLOOKUP($A116,EnrollData2324,'2324 Jun 24 Enroll'!M$1,FALSE)+VLOOKUP($A116,EnrollData2324,'2324 Jun 24 Enroll'!D$1,FALSE),'District Calculations'!$D$25+'District Calculations'!$D$11),5)</f>
        <v>4.1099999999999999E-3</v>
      </c>
      <c r="S116" s="11">
        <f t="shared" si="13"/>
        <v>1.8689600000000001E-2</v>
      </c>
      <c r="T116">
        <f>ROUND(IF(VLOOKUP($A116,EnrollData2324,'2324 Jun 24 Enroll'!D$1,FALSE)='District Calculations'!$D$11,VLOOKUP($A116,EnrollData2324,'2324 Jun 24 Enroll'!D$1,FALSE),'District Calculations'!$D$11)*S116,3)</f>
        <v>0</v>
      </c>
      <c r="U116">
        <f>ROUND(IF(VLOOKUP($A116,EnrollData2324,'2324 Jun 24 Enroll'!E$1,FALSE)='District Calculations'!$D$12,VLOOKUP($A116,EnrollData2324,'2324 Jun 24 Enroll'!E$1,FALSE),'District Calculations'!$D$12)*S116,3)</f>
        <v>15.148</v>
      </c>
      <c r="V116">
        <f>ROUND(IF(VLOOKUP($A116,EnrollData2324,'2324 Jun 24 Enroll'!F$1,FALSE)='District Calculations'!$D$13,VLOOKUP($A116,EnrollData2324,'2324 Jun 24 Enroll'!F$1,FALSE),'District Calculations'!$D$13)*Apport_224A2324s,3)</f>
        <v>3.7029999999999998</v>
      </c>
      <c r="W116">
        <f>ROUND(IF(VLOOKUP($A116,EnrollData2324,'2324 Jun 24 Enroll'!G$1,FALSE)='District Calculations'!$D$14,VLOOKUP($A116,EnrollData2324,'2324 Jun 24 Enroll'!G$1,FALSE),'District Calculations'!$D$14)*Apport_212A2324s,3)</f>
        <v>8.2089999999999996</v>
      </c>
      <c r="X116">
        <f>ROUND(IF(VLOOKUP($A116,EnrollData2324,'2324 Jun 24 Enroll'!H$1,FALSE)='District Calculations'!$D$14,VLOOKUP($A116,EnrollData2324,'2324 Jun 24 Enroll'!H$1,FALSE),'District Calculations'!$D$14)*Apport_215A2324s,3)</f>
        <v>8.0969999999999995</v>
      </c>
      <c r="Y116">
        <f>ROUND(IF(VLOOKUP($A116,EnrollData2324,'2324 Jun 24 Enroll'!I$1,FALSE)+VLOOKUP($A116,EnrollData2324,'2324 Jun 24 Enroll'!M$1,FALSE)-VLOOKUP($A116,EnrollData2324,'2324 Jun 24 Enroll'!J$1,FALSE)='District Calculations'!$D$16+'District Calculations'!$D$25-'District Calculations'!$D$17,VLOOKUP($A116,EnrollData2324,'2324 Jun 24 Enroll'!I$1,FALSE)+VLOOKUP($A116,EnrollData2324,'2324 Jun 24 Enroll'!M$1,FALSE)-VLOOKUP($A116,EnrollData2324,'2324 Jun 24 Enroll'!J$1,FALSE),'District Calculations'!$D$16+'District Calculations'!$D$25-'District Calculations'!$D$17)*Apport_218A2324s,3)</f>
        <v>20.224</v>
      </c>
      <c r="Z116">
        <f>ROUND(SUM(T116:Y116)/IF(VLOOKUP($A116,EnrollData2324,'2324 Jun 24 Enroll'!M$1,FALSE)+VLOOKUP($A116,EnrollData2324,'2324 Jun 24 Enroll'!D$1,FALSE)='District Calculations'!$D$25+'District Calculations'!$D$11,VLOOKUP($A116,EnrollData2324,'2324 Jun 24 Enroll'!M$1,FALSE)+VLOOKUP($A116,EnrollData2324,'2324 Jun 24 Enroll'!D$1,FALSE),'District Calculations'!$D$25+'District Calculations'!$D$11),5)</f>
        <v>1.7749999999999998E-2</v>
      </c>
      <c r="AA116" s="6" cm="1">
        <f t="array" ref="AA116">ROUND($J116*CIS_Base_Salary2324s*VLOOKUP($A116,EnrollData2324,'2324 Jun 24 Enroll'!S$1,FALSE),2)</f>
        <v>4523.22</v>
      </c>
      <c r="AB116" s="6" cm="1">
        <f t="array" ref="AB116">ROUND($J116*CIS_Inc_Salary2324s*(VLOOKUP($A116,EnrollData2324,'2324 Jun 24 Enroll'!T$1,FALSE)+VLOOKUP($A116,EnrollData2324,'2324 Jun 24 Enroll'!U$1,FALSE)),2)-AA116</f>
        <v>167.35999999999967</v>
      </c>
      <c r="AC116" s="6" cm="1">
        <f t="array" ref="AC116">ROUND($R116*CAS_Base_Salary2324s*VLOOKUP($A116,EnrollData2324,'2324 Jun 24 Enroll'!S$1,FALSE),2)</f>
        <v>496.94</v>
      </c>
      <c r="AD116" s="6" cm="1">
        <f t="array" ref="AD116">ROUND($R116*CAS_Inc_Salary2324s*VLOOKUP($A116,EnrollData2324,'2324 Jun 24 Enroll'!T$1,FALSE),2)-AC116</f>
        <v>18.390000000000043</v>
      </c>
      <c r="AE116" s="6" cm="1">
        <f t="array" ref="AE116">ROUND($Z116*CLS_Base_Salary2324s*VLOOKUP($A116,EnrollData2324,'2324 Jun 24 Enroll'!S$1,FALSE),2)</f>
        <v>1037.2</v>
      </c>
      <c r="AF116" s="6" cm="1">
        <f t="array" ref="AF116">ROUND($Z116*CLS_Inc_Salary2324s*VLOOKUP($A116,EnrollData2324,'2324 Jun 24 Enroll'!T$1,FALSE),2)-AE116</f>
        <v>38.369999999999891</v>
      </c>
      <c r="AG116" cm="1">
        <f t="array" ref="AG116">ROUND(($J116+$R116)*Apport_124X2324s,2)</f>
        <v>734.29</v>
      </c>
      <c r="AH116" s="69">
        <f t="shared" si="14"/>
        <v>68.700000000000045</v>
      </c>
      <c r="AI116" cm="1">
        <f t="array" ref="AI116">ROUND($Z116*Apport_124X2324s,2)</f>
        <v>218.54</v>
      </c>
      <c r="AJ116" cm="1">
        <f t="array" ref="AJ116">ROUND($Z116*Apport_621X2324s*Apport_125X2324s,2)-AI116</f>
        <v>116.51000000000002</v>
      </c>
      <c r="AK116" cm="1">
        <f t="array" ref="AK116">ROUND((AA116+AC116)*Apport_126X2324s,2)</f>
        <v>902.12</v>
      </c>
      <c r="AL116" cm="1">
        <f t="array" ref="AL116">ROUND((AB116+AD116)*Apport_127X2324s,2)</f>
        <v>32.19</v>
      </c>
      <c r="AM116" cm="1">
        <f t="array" ref="AM116">ROUND(AE116*Apport_128X2324s,2)</f>
        <v>228.81</v>
      </c>
      <c r="AN116" cm="1">
        <f t="array" ref="AN116">ROUND(AF116*Apport_129X2324s,2)</f>
        <v>7.12</v>
      </c>
      <c r="AO116" cm="1">
        <f t="array" ref="AO116">ROUND(($J116*CIS_Inc_Salary2324s*(VLOOKUP($A116,EnrollData2324,'2324 Jun 24 Enroll'!T$1,FALSE)+VLOOKUP($A116,EnrollData2324,'2324 Jun 24 Enroll'!U$1,FALSE))/Apport_613Xpd)*Apport_614Xpd,2)</f>
        <v>78.180000000000007</v>
      </c>
      <c r="AP116" cm="1">
        <f t="array" ref="AP116">ROUND(AO116*Apport_127X2324s,2)</f>
        <v>13.55</v>
      </c>
      <c r="AQ116">
        <f t="shared" si="15"/>
        <v>30.93</v>
      </c>
      <c r="AR116" s="6" cm="1">
        <f t="array" ref="AR116">ROUND((VLOOKUP($A116,EnrollData2324,'2324 Jun 24 Enroll'!D$1,FALSE)*Apport_M802324s+VLOOKUP($A116,EnrollData2324,'2324 Jun 24 Enroll'!M$1,FALSE)*Apport_M802324s+(VLOOKUP($A116,EnrollData2324,'2324 Jun 24 Enroll'!P$1,FALSE)+VLOOKUP($A116,EnrollData2324,'2324 Jun 24 Enroll'!Q$1,FALSE)+VLOOKUP($A116,EnrollData2324,'2324 Jun 24 Enroll'!R$1,FALSE)+VLOOKUP($A116,EnrollData2324,'2324 Jun 24 Enroll'!I$1,FALSE)+VLOOKUP($A116,EnrollData2324,'2324 Jun 24 Enroll'!N$1,FALSE)+VLOOKUP($A116,EnrollData2324,'2324 Jun 24 Enroll'!O$1,FALSE)+VLOOKUP($A116,EnrollData2324,'2324 Jun 24 Enroll'!K$1,FALSE)+VLOOKUP($A116,EnrollData2324,'2324 Jun 24 Enroll'!L$1,FALSE))*Apport_M812324s)/(VLOOKUP($A116,EnrollData2324,'2324 Jun 24 Enroll'!M$1,FALSE)+VLOOKUP($A116,EnrollData2324,'2324 Jun 24 Enroll'!D$1,FALSE)),2)</f>
        <v>1586.91</v>
      </c>
      <c r="AS116" s="7">
        <f t="shared" si="16"/>
        <v>10299.33</v>
      </c>
    </row>
    <row r="117" spans="1:45">
      <c r="A117" s="40" t="s">
        <v>747</v>
      </c>
      <c r="B117" s="40" t="s">
        <v>748</v>
      </c>
      <c r="C117" s="11">
        <f>ROUND((IFERROR((1/IF(VLOOKUP($A117,EnrollData2324,28,FALSE)='District Calculations'!$D$10,VLOOKUP($A117,EnrollData2324,28,FALSE),'District Calculations'!$D$10))*(1+Apport_Z315),0))+Apport_201A2324s,6)</f>
        <v>7.3449E-2</v>
      </c>
      <c r="D117">
        <f>ROUND(IF(VLOOKUP($A117,EnrollData2324,'2324 Jun 24 Enroll'!D$1,FALSE)='District Calculations'!$D$11,VLOOKUP($A117,EnrollData2324,'2324 Jun 24 Enroll'!D$1,FALSE),'District Calculations'!$D$11)*C117,3)</f>
        <v>0</v>
      </c>
      <c r="E117">
        <f>ROUND(IF(VLOOKUP($A117,EnrollData2324,'2324 Jun 24 Enroll'!E$1,FALSE)='District Calculations'!$D$12,VLOOKUP($A117,EnrollData2324,'2324 Jun 24 Enroll'!E$1,FALSE),'District Calculations'!$D$12)*C117,3)</f>
        <v>59.53</v>
      </c>
      <c r="F117">
        <f>ROUND(IF(VLOOKUP($A117,EnrollData2324,'2324 Jun 24 Enroll'!F$1,FALSE)='District Calculations'!$D$13,VLOOKUP($A117,EnrollData2324,'2324 Jun 24 Enroll'!F$1,FALSE),'District Calculations'!$D$13)*Apport_222A2324s,3)</f>
        <v>10.101000000000001</v>
      </c>
      <c r="G117">
        <f>ROUND(IF(VLOOKUP($A117,EnrollData2324,'2324 Jun 24 Enroll'!G$1,FALSE)='District Calculations'!$D$14,VLOOKUP($A117,EnrollData2324,'2324 Jun 24 Enroll'!G$1,FALSE),'District Calculations'!$D$14)*Apport_210A2324s,3)</f>
        <v>22.395</v>
      </c>
      <c r="H117">
        <f>ROUND(IF(VLOOKUP($A117,EnrollData2324,'2324 Jun 24 Enroll'!H$1,FALSE)='District Calculations'!$D$15,VLOOKUP($A117,EnrollData2324,'2324 Jun 24 Enroll'!H$1,FALSE),'District Calculations'!$D$15)*Apport_213A2324s,3)</f>
        <v>23.091999999999999</v>
      </c>
      <c r="I117">
        <f>ROUND(IF(VLOOKUP($A117,EnrollData2324,'2324 Jun 24 Enroll'!I$1,FALSE)+VLOOKUP($A117,EnrollData2324,'2324 Jun 24 Enroll'!M$1,FALSE)-VLOOKUP($A117,EnrollData2324,'2324 Jun 24 Enroll'!J$1,FALSE)='District Calculations'!$D$16+'District Calculations'!$D$25-'District Calculations'!$D$17,VLOOKUP($A117,EnrollData2324,'2324 Jun 24 Enroll'!I$1,FALSE)+VLOOKUP($A117,EnrollData2324,'2324 Jun 24 Enroll'!M$1,FALSE)-VLOOKUP($A117,EnrollData2324,'2324 Jun 24 Enroll'!J$1,FALSE),'District Calculations'!$D$16+'District Calculations'!$D$25-'District Calculations'!$D$17)*Apport_216A2324s,3)</f>
        <v>58.183999999999997</v>
      </c>
      <c r="J117">
        <f>ROUND(SUM(D117:I117)/(IF(VLOOKUP($A117,EnrollData2324,'2324 Jun 24 Enroll'!M$1,FALSE)='District Calculations'!$D$25,VLOOKUP($A117,EnrollData2324,'2324 Jun 24 Enroll'!M$1,FALSE),'District Calculations'!$D$25)+IF(VLOOKUP($A117,EnrollData2324,'2324 Jun 24 Enroll'!D$1,FALSE)='District Calculations'!$D$11,VLOOKUP($A117,EnrollData2324,'2324 Jun 24 Enroll'!D$1,FALSE),'District Calculations'!$D$11)),5)</f>
        <v>5.5530000000000003E-2</v>
      </c>
      <c r="K117" s="11">
        <f t="shared" si="12"/>
        <v>4.3699999999999998E-3</v>
      </c>
      <c r="L117">
        <f>ROUND(IF(VLOOKUP($A117,EnrollData2324,'2324 Jun 24 Enroll'!D$1,FALSE)='District Calculations'!$D$11,VLOOKUP($A117,EnrollData2324,'2324 Jun 24 Enroll'!D$1,FALSE),'District Calculations'!$D$11)*K117,3)</f>
        <v>0</v>
      </c>
      <c r="M117">
        <f>ROUND(IF(VLOOKUP($A117,EnrollData2324,'2324 Jun 24 Enroll'!E$1,FALSE)='District Calculations'!$D$12,VLOOKUP($A117,EnrollData2324,'2324 Jun 24 Enroll'!E$1,FALSE),'District Calculations'!$D$12)*K117,3)</f>
        <v>3.5419999999999998</v>
      </c>
      <c r="N117">
        <f>ROUND(IF(VLOOKUP($A117,EnrollData2324,'2324 Jun 24 Enroll'!F$1,FALSE)='District Calculations'!$D$13,VLOOKUP($A117,EnrollData2324,'2324 Jun 24 Enroll'!F$1,FALSE),'District Calculations'!$D$13)*Apport_223A2324s,3)</f>
        <v>0.84299999999999997</v>
      </c>
      <c r="O117">
        <f>ROUND(IF(VLOOKUP($A117,EnrollData2324,'2324 Jun 24 Enroll'!G$1,FALSE)='District Calculations'!$D$14,VLOOKUP($A117,EnrollData2324,'2324 Jun 24 Enroll'!G$1,FALSE),'District Calculations'!$D$14)*Apport_211A2324s,3)</f>
        <v>1.87</v>
      </c>
      <c r="P117">
        <f>ROUND(IF(VLOOKUP($A117,EnrollData2324,'2324 Jun 24 Enroll'!H$1,FALSE)='District Calculations'!$D$14,VLOOKUP($A117,EnrollData2324,'2324 Jun 24 Enroll'!H$1,FALSE),'District Calculations'!$D$14)*Apport_214A2324s,3)</f>
        <v>1.8680000000000001</v>
      </c>
      <c r="Q117">
        <f>ROUND(IF(VLOOKUP($A117,EnrollData2324,'2324 Jun 24 Enroll'!I$1,FALSE)+VLOOKUP($A117,EnrollData2324,'2324 Jun 24 Enroll'!M$1,FALSE)-VLOOKUP($A117,EnrollData2324,'2324 Jun 24 Enroll'!J$1,FALSE)='District Calculations'!$D$16+'District Calculations'!$D$25-'District Calculations'!$D$17,VLOOKUP($A117,EnrollData2324,'2324 Jun 24 Enroll'!I$1,FALSE)+VLOOKUP($A117,EnrollData2324,'2324 Jun 24 Enroll'!M$1,FALSE)-VLOOKUP($A117,EnrollData2324,'2324 Jun 24 Enroll'!J$1,FALSE),'District Calculations'!$D$16+'District Calculations'!$D$25-'District Calculations'!$D$17)*Apport_217A2324s,3)</f>
        <v>4.702</v>
      </c>
      <c r="R117">
        <f>ROUND(SUM(L117:Q117)/IF(VLOOKUP($A117,EnrollData2324,'2324 Jun 24 Enroll'!M$1,FALSE)+VLOOKUP($A117,EnrollData2324,'2324 Jun 24 Enroll'!D$1,FALSE)='District Calculations'!$D$25+'District Calculations'!$D$11,VLOOKUP($A117,EnrollData2324,'2324 Jun 24 Enroll'!M$1,FALSE)+VLOOKUP($A117,EnrollData2324,'2324 Jun 24 Enroll'!D$1,FALSE),'District Calculations'!$D$25+'District Calculations'!$D$11),5)</f>
        <v>4.1099999999999999E-3</v>
      </c>
      <c r="S117" s="11">
        <f t="shared" si="13"/>
        <v>1.8689600000000001E-2</v>
      </c>
      <c r="T117">
        <f>ROUND(IF(VLOOKUP($A117,EnrollData2324,'2324 Jun 24 Enroll'!D$1,FALSE)='District Calculations'!$D$11,VLOOKUP($A117,EnrollData2324,'2324 Jun 24 Enroll'!D$1,FALSE),'District Calculations'!$D$11)*S117,3)</f>
        <v>0</v>
      </c>
      <c r="U117">
        <f>ROUND(IF(VLOOKUP($A117,EnrollData2324,'2324 Jun 24 Enroll'!E$1,FALSE)='District Calculations'!$D$12,VLOOKUP($A117,EnrollData2324,'2324 Jun 24 Enroll'!E$1,FALSE),'District Calculations'!$D$12)*S117,3)</f>
        <v>15.148</v>
      </c>
      <c r="V117">
        <f>ROUND(IF(VLOOKUP($A117,EnrollData2324,'2324 Jun 24 Enroll'!F$1,FALSE)='District Calculations'!$D$13,VLOOKUP($A117,EnrollData2324,'2324 Jun 24 Enroll'!F$1,FALSE),'District Calculations'!$D$13)*Apport_224A2324s,3)</f>
        <v>3.7029999999999998</v>
      </c>
      <c r="W117">
        <f>ROUND(IF(VLOOKUP($A117,EnrollData2324,'2324 Jun 24 Enroll'!G$1,FALSE)='District Calculations'!$D$14,VLOOKUP($A117,EnrollData2324,'2324 Jun 24 Enroll'!G$1,FALSE),'District Calculations'!$D$14)*Apport_212A2324s,3)</f>
        <v>8.2089999999999996</v>
      </c>
      <c r="X117">
        <f>ROUND(IF(VLOOKUP($A117,EnrollData2324,'2324 Jun 24 Enroll'!H$1,FALSE)='District Calculations'!$D$14,VLOOKUP($A117,EnrollData2324,'2324 Jun 24 Enroll'!H$1,FALSE),'District Calculations'!$D$14)*Apport_215A2324s,3)</f>
        <v>8.0969999999999995</v>
      </c>
      <c r="Y117">
        <f>ROUND(IF(VLOOKUP($A117,EnrollData2324,'2324 Jun 24 Enroll'!I$1,FALSE)+VLOOKUP($A117,EnrollData2324,'2324 Jun 24 Enroll'!M$1,FALSE)-VLOOKUP($A117,EnrollData2324,'2324 Jun 24 Enroll'!J$1,FALSE)='District Calculations'!$D$16+'District Calculations'!$D$25-'District Calculations'!$D$17,VLOOKUP($A117,EnrollData2324,'2324 Jun 24 Enroll'!I$1,FALSE)+VLOOKUP($A117,EnrollData2324,'2324 Jun 24 Enroll'!M$1,FALSE)-VLOOKUP($A117,EnrollData2324,'2324 Jun 24 Enroll'!J$1,FALSE),'District Calculations'!$D$16+'District Calculations'!$D$25-'District Calculations'!$D$17)*Apport_218A2324s,3)</f>
        <v>20.224</v>
      </c>
      <c r="Z117">
        <f>ROUND(SUM(T117:Y117)/IF(VLOOKUP($A117,EnrollData2324,'2324 Jun 24 Enroll'!M$1,FALSE)+VLOOKUP($A117,EnrollData2324,'2324 Jun 24 Enroll'!D$1,FALSE)='District Calculations'!$D$25+'District Calculations'!$D$11,VLOOKUP($A117,EnrollData2324,'2324 Jun 24 Enroll'!M$1,FALSE)+VLOOKUP($A117,EnrollData2324,'2324 Jun 24 Enroll'!D$1,FALSE),'District Calculations'!$D$25+'District Calculations'!$D$11),5)</f>
        <v>1.7749999999999998E-2</v>
      </c>
      <c r="AA117" s="6" cm="1">
        <f t="array" ref="AA117">ROUND($J117*CIS_Base_Salary2324s*VLOOKUP($A117,EnrollData2324,'2324 Jun 24 Enroll'!S$1,FALSE),2)</f>
        <v>4765.53</v>
      </c>
      <c r="AB117" s="6" cm="1">
        <f t="array" ref="AB117">ROUND($J117*CIS_Inc_Salary2324s*(VLOOKUP($A117,EnrollData2324,'2324 Jun 24 Enroll'!T$1,FALSE)+VLOOKUP($A117,EnrollData2324,'2324 Jun 24 Enroll'!U$1,FALSE)),2)-AA117</f>
        <v>176.32999999999993</v>
      </c>
      <c r="AC117" s="6" cm="1">
        <f t="array" ref="AC117">ROUND($R117*CAS_Base_Salary2324s*VLOOKUP($A117,EnrollData2324,'2324 Jun 24 Enroll'!S$1,FALSE),2)</f>
        <v>523.55999999999995</v>
      </c>
      <c r="AD117" s="6" cm="1">
        <f t="array" ref="AD117">ROUND($R117*CAS_Inc_Salary2324s*VLOOKUP($A117,EnrollData2324,'2324 Jun 24 Enroll'!T$1,FALSE),2)-AC117</f>
        <v>19.380000000000109</v>
      </c>
      <c r="AE117" s="6" cm="1">
        <f t="array" ref="AE117">ROUND($Z117*CLS_Base_Salary2324s*VLOOKUP($A117,EnrollData2324,'2324 Jun 24 Enroll'!S$1,FALSE),2)</f>
        <v>1092.76</v>
      </c>
      <c r="AF117" s="6" cm="1">
        <f t="array" ref="AF117">ROUND($Z117*CLS_Inc_Salary2324s*VLOOKUP($A117,EnrollData2324,'2324 Jun 24 Enroll'!T$1,FALSE),2)-AE117</f>
        <v>40.430000000000064</v>
      </c>
      <c r="AG117" cm="1">
        <f t="array" ref="AG117">ROUND(($J117+$R117)*Apport_124X2324s,2)</f>
        <v>734.29</v>
      </c>
      <c r="AH117" s="69">
        <f t="shared" si="14"/>
        <v>68.700000000000045</v>
      </c>
      <c r="AI117" cm="1">
        <f t="array" ref="AI117">ROUND($Z117*Apport_124X2324s,2)</f>
        <v>218.54</v>
      </c>
      <c r="AJ117" cm="1">
        <f t="array" ref="AJ117">ROUND($Z117*Apport_621X2324s*Apport_125X2324s,2)-AI117</f>
        <v>116.51000000000002</v>
      </c>
      <c r="AK117" cm="1">
        <f t="array" ref="AK117">ROUND((AA117+AC117)*Apport_126X2324s,2)</f>
        <v>950.45</v>
      </c>
      <c r="AL117" cm="1">
        <f t="array" ref="AL117">ROUND((AB117+AD117)*Apport_127X2324s,2)</f>
        <v>33.92</v>
      </c>
      <c r="AM117" cm="1">
        <f t="array" ref="AM117">ROUND(AE117*Apport_128X2324s,2)</f>
        <v>241.06</v>
      </c>
      <c r="AN117" cm="1">
        <f t="array" ref="AN117">ROUND(AF117*Apport_129X2324s,2)</f>
        <v>7.5</v>
      </c>
      <c r="AO117" cm="1">
        <f t="array" ref="AO117">ROUND(($J117*CIS_Inc_Salary2324s*(VLOOKUP($A117,EnrollData2324,'2324 Jun 24 Enroll'!T$1,FALSE)+VLOOKUP($A117,EnrollData2324,'2324 Jun 24 Enroll'!U$1,FALSE))/Apport_613Xpd)*Apport_614Xpd,2)</f>
        <v>82.36</v>
      </c>
      <c r="AP117" cm="1">
        <f t="array" ref="AP117">ROUND(AO117*Apport_127X2324s,2)</f>
        <v>14.27</v>
      </c>
      <c r="AQ117">
        <f t="shared" si="15"/>
        <v>30.93</v>
      </c>
      <c r="AR117" s="6" cm="1">
        <f t="array" ref="AR117">ROUND((VLOOKUP($A117,EnrollData2324,'2324 Jun 24 Enroll'!D$1,FALSE)*Apport_M802324s+VLOOKUP($A117,EnrollData2324,'2324 Jun 24 Enroll'!M$1,FALSE)*Apport_M802324s+(VLOOKUP($A117,EnrollData2324,'2324 Jun 24 Enroll'!P$1,FALSE)+VLOOKUP($A117,EnrollData2324,'2324 Jun 24 Enroll'!Q$1,FALSE)+VLOOKUP($A117,EnrollData2324,'2324 Jun 24 Enroll'!R$1,FALSE)+VLOOKUP($A117,EnrollData2324,'2324 Jun 24 Enroll'!I$1,FALSE)+VLOOKUP($A117,EnrollData2324,'2324 Jun 24 Enroll'!N$1,FALSE)+VLOOKUP($A117,EnrollData2324,'2324 Jun 24 Enroll'!O$1,FALSE)+VLOOKUP($A117,EnrollData2324,'2324 Jun 24 Enroll'!K$1,FALSE)+VLOOKUP($A117,EnrollData2324,'2324 Jun 24 Enroll'!L$1,FALSE))*Apport_M812324s)/(VLOOKUP($A117,EnrollData2324,'2324 Jun 24 Enroll'!M$1,FALSE)+VLOOKUP($A117,EnrollData2324,'2324 Jun 24 Enroll'!D$1,FALSE)),2)</f>
        <v>1568.65</v>
      </c>
      <c r="AS117" s="7">
        <f t="shared" si="16"/>
        <v>10685.170000000002</v>
      </c>
    </row>
    <row r="118" spans="1:45">
      <c r="A118" s="40" t="s">
        <v>464</v>
      </c>
      <c r="B118" s="40" t="s">
        <v>465</v>
      </c>
      <c r="C118" s="11">
        <f>ROUND((IFERROR((1/IF(VLOOKUP($A118,EnrollData2324,28,FALSE)='District Calculations'!$D$10,VLOOKUP($A118,EnrollData2324,28,FALSE),'District Calculations'!$D$10))*(1+Apport_Z315),0))+Apport_201A2324s,6)</f>
        <v>7.3449E-2</v>
      </c>
      <c r="D118">
        <f>ROUND(IF(VLOOKUP($A118,EnrollData2324,'2324 Jun 24 Enroll'!D$1,FALSE)='District Calculations'!$D$11,VLOOKUP($A118,EnrollData2324,'2324 Jun 24 Enroll'!D$1,FALSE),'District Calculations'!$D$11)*C118,3)</f>
        <v>0</v>
      </c>
      <c r="E118">
        <f>ROUND(IF(VLOOKUP($A118,EnrollData2324,'2324 Jun 24 Enroll'!E$1,FALSE)='District Calculations'!$D$12,VLOOKUP($A118,EnrollData2324,'2324 Jun 24 Enroll'!E$1,FALSE),'District Calculations'!$D$12)*C118,3)</f>
        <v>59.53</v>
      </c>
      <c r="F118">
        <f>ROUND(IF(VLOOKUP($A118,EnrollData2324,'2324 Jun 24 Enroll'!F$1,FALSE)='District Calculations'!$D$13,VLOOKUP($A118,EnrollData2324,'2324 Jun 24 Enroll'!F$1,FALSE),'District Calculations'!$D$13)*Apport_222A2324s,3)</f>
        <v>10.101000000000001</v>
      </c>
      <c r="G118">
        <f>ROUND(IF(VLOOKUP($A118,EnrollData2324,'2324 Jun 24 Enroll'!G$1,FALSE)='District Calculations'!$D$14,VLOOKUP($A118,EnrollData2324,'2324 Jun 24 Enroll'!G$1,FALSE),'District Calculations'!$D$14)*Apport_210A2324s,3)</f>
        <v>22.395</v>
      </c>
      <c r="H118">
        <f>ROUND(IF(VLOOKUP($A118,EnrollData2324,'2324 Jun 24 Enroll'!H$1,FALSE)='District Calculations'!$D$15,VLOOKUP($A118,EnrollData2324,'2324 Jun 24 Enroll'!H$1,FALSE),'District Calculations'!$D$15)*Apport_213A2324s,3)</f>
        <v>23.091999999999999</v>
      </c>
      <c r="I118">
        <f>ROUND(IF(VLOOKUP($A118,EnrollData2324,'2324 Jun 24 Enroll'!I$1,FALSE)+VLOOKUP($A118,EnrollData2324,'2324 Jun 24 Enroll'!M$1,FALSE)-VLOOKUP($A118,EnrollData2324,'2324 Jun 24 Enroll'!J$1,FALSE)='District Calculations'!$D$16+'District Calculations'!$D$25-'District Calculations'!$D$17,VLOOKUP($A118,EnrollData2324,'2324 Jun 24 Enroll'!I$1,FALSE)+VLOOKUP($A118,EnrollData2324,'2324 Jun 24 Enroll'!M$1,FALSE)-VLOOKUP($A118,EnrollData2324,'2324 Jun 24 Enroll'!J$1,FALSE),'District Calculations'!$D$16+'District Calculations'!$D$25-'District Calculations'!$D$17)*Apport_216A2324s,3)</f>
        <v>58.183999999999997</v>
      </c>
      <c r="J118">
        <f>ROUND(SUM(D118:I118)/(IF(VLOOKUP($A118,EnrollData2324,'2324 Jun 24 Enroll'!M$1,FALSE)='District Calculations'!$D$25,VLOOKUP($A118,EnrollData2324,'2324 Jun 24 Enroll'!M$1,FALSE),'District Calculations'!$D$25)+IF(VLOOKUP($A118,EnrollData2324,'2324 Jun 24 Enroll'!D$1,FALSE)='District Calculations'!$D$11,VLOOKUP($A118,EnrollData2324,'2324 Jun 24 Enroll'!D$1,FALSE),'District Calculations'!$D$11)),5)</f>
        <v>5.5530000000000003E-2</v>
      </c>
      <c r="K118" s="11">
        <f t="shared" si="12"/>
        <v>4.3699999999999998E-3</v>
      </c>
      <c r="L118">
        <f>ROUND(IF(VLOOKUP($A118,EnrollData2324,'2324 Jun 24 Enroll'!D$1,FALSE)='District Calculations'!$D$11,VLOOKUP($A118,EnrollData2324,'2324 Jun 24 Enroll'!D$1,FALSE),'District Calculations'!$D$11)*K118,3)</f>
        <v>0</v>
      </c>
      <c r="M118">
        <f>ROUND(IF(VLOOKUP($A118,EnrollData2324,'2324 Jun 24 Enroll'!E$1,FALSE)='District Calculations'!$D$12,VLOOKUP($A118,EnrollData2324,'2324 Jun 24 Enroll'!E$1,FALSE),'District Calculations'!$D$12)*K118,3)</f>
        <v>3.5419999999999998</v>
      </c>
      <c r="N118">
        <f>ROUND(IF(VLOOKUP($A118,EnrollData2324,'2324 Jun 24 Enroll'!F$1,FALSE)='District Calculations'!$D$13,VLOOKUP($A118,EnrollData2324,'2324 Jun 24 Enroll'!F$1,FALSE),'District Calculations'!$D$13)*Apport_223A2324s,3)</f>
        <v>0.84299999999999997</v>
      </c>
      <c r="O118">
        <f>ROUND(IF(VLOOKUP($A118,EnrollData2324,'2324 Jun 24 Enroll'!G$1,FALSE)='District Calculations'!$D$14,VLOOKUP($A118,EnrollData2324,'2324 Jun 24 Enroll'!G$1,FALSE),'District Calculations'!$D$14)*Apport_211A2324s,3)</f>
        <v>1.87</v>
      </c>
      <c r="P118">
        <f>ROUND(IF(VLOOKUP($A118,EnrollData2324,'2324 Jun 24 Enroll'!H$1,FALSE)='District Calculations'!$D$14,VLOOKUP($A118,EnrollData2324,'2324 Jun 24 Enroll'!H$1,FALSE),'District Calculations'!$D$14)*Apport_214A2324s,3)</f>
        <v>1.8680000000000001</v>
      </c>
      <c r="Q118">
        <f>ROUND(IF(VLOOKUP($A118,EnrollData2324,'2324 Jun 24 Enroll'!I$1,FALSE)+VLOOKUP($A118,EnrollData2324,'2324 Jun 24 Enroll'!M$1,FALSE)-VLOOKUP($A118,EnrollData2324,'2324 Jun 24 Enroll'!J$1,FALSE)='District Calculations'!$D$16+'District Calculations'!$D$25-'District Calculations'!$D$17,VLOOKUP($A118,EnrollData2324,'2324 Jun 24 Enroll'!I$1,FALSE)+VLOOKUP($A118,EnrollData2324,'2324 Jun 24 Enroll'!M$1,FALSE)-VLOOKUP($A118,EnrollData2324,'2324 Jun 24 Enroll'!J$1,FALSE),'District Calculations'!$D$16+'District Calculations'!$D$25-'District Calculations'!$D$17)*Apport_217A2324s,3)</f>
        <v>4.702</v>
      </c>
      <c r="R118">
        <f>ROUND(SUM(L118:Q118)/IF(VLOOKUP($A118,EnrollData2324,'2324 Jun 24 Enroll'!M$1,FALSE)+VLOOKUP($A118,EnrollData2324,'2324 Jun 24 Enroll'!D$1,FALSE)='District Calculations'!$D$25+'District Calculations'!$D$11,VLOOKUP($A118,EnrollData2324,'2324 Jun 24 Enroll'!M$1,FALSE)+VLOOKUP($A118,EnrollData2324,'2324 Jun 24 Enroll'!D$1,FALSE),'District Calculations'!$D$25+'District Calculations'!$D$11),5)</f>
        <v>4.1099999999999999E-3</v>
      </c>
      <c r="S118" s="11">
        <f t="shared" si="13"/>
        <v>1.8689600000000001E-2</v>
      </c>
      <c r="T118">
        <f>ROUND(IF(VLOOKUP($A118,EnrollData2324,'2324 Jun 24 Enroll'!D$1,FALSE)='District Calculations'!$D$11,VLOOKUP($A118,EnrollData2324,'2324 Jun 24 Enroll'!D$1,FALSE),'District Calculations'!$D$11)*S118,3)</f>
        <v>0</v>
      </c>
      <c r="U118">
        <f>ROUND(IF(VLOOKUP($A118,EnrollData2324,'2324 Jun 24 Enroll'!E$1,FALSE)='District Calculations'!$D$12,VLOOKUP($A118,EnrollData2324,'2324 Jun 24 Enroll'!E$1,FALSE),'District Calculations'!$D$12)*S118,3)</f>
        <v>15.148</v>
      </c>
      <c r="V118">
        <f>ROUND(IF(VLOOKUP($A118,EnrollData2324,'2324 Jun 24 Enroll'!F$1,FALSE)='District Calculations'!$D$13,VLOOKUP($A118,EnrollData2324,'2324 Jun 24 Enroll'!F$1,FALSE),'District Calculations'!$D$13)*Apport_224A2324s,3)</f>
        <v>3.7029999999999998</v>
      </c>
      <c r="W118">
        <f>ROUND(IF(VLOOKUP($A118,EnrollData2324,'2324 Jun 24 Enroll'!G$1,FALSE)='District Calculations'!$D$14,VLOOKUP($A118,EnrollData2324,'2324 Jun 24 Enroll'!G$1,FALSE),'District Calculations'!$D$14)*Apport_212A2324s,3)</f>
        <v>8.2089999999999996</v>
      </c>
      <c r="X118">
        <f>ROUND(IF(VLOOKUP($A118,EnrollData2324,'2324 Jun 24 Enroll'!H$1,FALSE)='District Calculations'!$D$14,VLOOKUP($A118,EnrollData2324,'2324 Jun 24 Enroll'!H$1,FALSE),'District Calculations'!$D$14)*Apport_215A2324s,3)</f>
        <v>8.0969999999999995</v>
      </c>
      <c r="Y118">
        <f>ROUND(IF(VLOOKUP($A118,EnrollData2324,'2324 Jun 24 Enroll'!I$1,FALSE)+VLOOKUP($A118,EnrollData2324,'2324 Jun 24 Enroll'!M$1,FALSE)-VLOOKUP($A118,EnrollData2324,'2324 Jun 24 Enroll'!J$1,FALSE)='District Calculations'!$D$16+'District Calculations'!$D$25-'District Calculations'!$D$17,VLOOKUP($A118,EnrollData2324,'2324 Jun 24 Enroll'!I$1,FALSE)+VLOOKUP($A118,EnrollData2324,'2324 Jun 24 Enroll'!M$1,FALSE)-VLOOKUP($A118,EnrollData2324,'2324 Jun 24 Enroll'!J$1,FALSE),'District Calculations'!$D$16+'District Calculations'!$D$25-'District Calculations'!$D$17)*Apport_218A2324s,3)</f>
        <v>20.224</v>
      </c>
      <c r="Z118">
        <f>ROUND(SUM(T118:Y118)/IF(VLOOKUP($A118,EnrollData2324,'2324 Jun 24 Enroll'!M$1,FALSE)+VLOOKUP($A118,EnrollData2324,'2324 Jun 24 Enroll'!D$1,FALSE)='District Calculations'!$D$25+'District Calculations'!$D$11,VLOOKUP($A118,EnrollData2324,'2324 Jun 24 Enroll'!M$1,FALSE)+VLOOKUP($A118,EnrollData2324,'2324 Jun 24 Enroll'!D$1,FALSE),'District Calculations'!$D$25+'District Calculations'!$D$11),5)</f>
        <v>1.7749999999999998E-2</v>
      </c>
      <c r="AA118" s="6" cm="1">
        <f t="array" ref="AA118">ROUND($J118*CIS_Base_Salary2324s*VLOOKUP($A118,EnrollData2324,'2324 Jun 24 Enroll'!S$1,FALSE),2)</f>
        <v>4523.22</v>
      </c>
      <c r="AB118" s="6" cm="1">
        <f t="array" ref="AB118">ROUND($J118*CIS_Inc_Salary2324s*(VLOOKUP($A118,EnrollData2324,'2324 Jun 24 Enroll'!T$1,FALSE)+VLOOKUP($A118,EnrollData2324,'2324 Jun 24 Enroll'!U$1,FALSE)),2)-AA118</f>
        <v>167.35999999999967</v>
      </c>
      <c r="AC118" s="6" cm="1">
        <f t="array" ref="AC118">ROUND($R118*CAS_Base_Salary2324s*VLOOKUP($A118,EnrollData2324,'2324 Jun 24 Enroll'!S$1,FALSE),2)</f>
        <v>496.94</v>
      </c>
      <c r="AD118" s="6" cm="1">
        <f t="array" ref="AD118">ROUND($R118*CAS_Inc_Salary2324s*VLOOKUP($A118,EnrollData2324,'2324 Jun 24 Enroll'!T$1,FALSE),2)-AC118</f>
        <v>18.390000000000043</v>
      </c>
      <c r="AE118" s="6" cm="1">
        <f t="array" ref="AE118">ROUND($Z118*CLS_Base_Salary2324s*VLOOKUP($A118,EnrollData2324,'2324 Jun 24 Enroll'!S$1,FALSE),2)</f>
        <v>1037.2</v>
      </c>
      <c r="AF118" s="6" cm="1">
        <f t="array" ref="AF118">ROUND($Z118*CLS_Inc_Salary2324s*VLOOKUP($A118,EnrollData2324,'2324 Jun 24 Enroll'!T$1,FALSE),2)-AE118</f>
        <v>38.369999999999891</v>
      </c>
      <c r="AG118" cm="1">
        <f t="array" ref="AG118">ROUND(($J118+$R118)*Apport_124X2324s,2)</f>
        <v>734.29</v>
      </c>
      <c r="AH118" s="69">
        <f t="shared" si="14"/>
        <v>68.700000000000045</v>
      </c>
      <c r="AI118" cm="1">
        <f t="array" ref="AI118">ROUND($Z118*Apport_124X2324s,2)</f>
        <v>218.54</v>
      </c>
      <c r="AJ118" cm="1">
        <f t="array" ref="AJ118">ROUND($Z118*Apport_621X2324s*Apport_125X2324s,2)-AI118</f>
        <v>116.51000000000002</v>
      </c>
      <c r="AK118" cm="1">
        <f t="array" ref="AK118">ROUND((AA118+AC118)*Apport_126X2324s,2)</f>
        <v>902.12</v>
      </c>
      <c r="AL118" cm="1">
        <f t="array" ref="AL118">ROUND((AB118+AD118)*Apport_127X2324s,2)</f>
        <v>32.19</v>
      </c>
      <c r="AM118" cm="1">
        <f t="array" ref="AM118">ROUND(AE118*Apport_128X2324s,2)</f>
        <v>228.81</v>
      </c>
      <c r="AN118" cm="1">
        <f t="array" ref="AN118">ROUND(AF118*Apport_129X2324s,2)</f>
        <v>7.12</v>
      </c>
      <c r="AO118" cm="1">
        <f t="array" ref="AO118">ROUND(($J118*CIS_Inc_Salary2324s*(VLOOKUP($A118,EnrollData2324,'2324 Jun 24 Enroll'!T$1,FALSE)+VLOOKUP($A118,EnrollData2324,'2324 Jun 24 Enroll'!U$1,FALSE))/Apport_613Xpd)*Apport_614Xpd,2)</f>
        <v>78.180000000000007</v>
      </c>
      <c r="AP118" cm="1">
        <f t="array" ref="AP118">ROUND(AO118*Apport_127X2324s,2)</f>
        <v>13.55</v>
      </c>
      <c r="AQ118">
        <f t="shared" si="15"/>
        <v>30.93</v>
      </c>
      <c r="AR118" s="6" cm="1">
        <f t="array" ref="AR118">ROUND((VLOOKUP($A118,EnrollData2324,'2324 Jun 24 Enroll'!D$1,FALSE)*Apport_M802324s+VLOOKUP($A118,EnrollData2324,'2324 Jun 24 Enroll'!M$1,FALSE)*Apport_M802324s+(VLOOKUP($A118,EnrollData2324,'2324 Jun 24 Enroll'!P$1,FALSE)+VLOOKUP($A118,EnrollData2324,'2324 Jun 24 Enroll'!Q$1,FALSE)+VLOOKUP($A118,EnrollData2324,'2324 Jun 24 Enroll'!R$1,FALSE)+VLOOKUP($A118,EnrollData2324,'2324 Jun 24 Enroll'!I$1,FALSE)+VLOOKUP($A118,EnrollData2324,'2324 Jun 24 Enroll'!N$1,FALSE)+VLOOKUP($A118,EnrollData2324,'2324 Jun 24 Enroll'!O$1,FALSE)+VLOOKUP($A118,EnrollData2324,'2324 Jun 24 Enroll'!K$1,FALSE)+VLOOKUP($A118,EnrollData2324,'2324 Jun 24 Enroll'!L$1,FALSE))*Apport_M812324s)/(VLOOKUP($A118,EnrollData2324,'2324 Jun 24 Enroll'!M$1,FALSE)+VLOOKUP($A118,EnrollData2324,'2324 Jun 24 Enroll'!D$1,FALSE)),2)</f>
        <v>1570.54</v>
      </c>
      <c r="AS118" s="7">
        <f t="shared" si="16"/>
        <v>10282.959999999999</v>
      </c>
    </row>
    <row r="119" spans="1:45">
      <c r="A119" s="40" t="s">
        <v>452</v>
      </c>
      <c r="B119" s="40" t="s">
        <v>453</v>
      </c>
      <c r="C119" s="11">
        <f>ROUND((IFERROR((1/IF(VLOOKUP($A119,EnrollData2324,28,FALSE)='District Calculations'!$D$10,VLOOKUP($A119,EnrollData2324,28,FALSE),'District Calculations'!$D$10))*(1+Apport_Z315),0))+Apport_201A2324s,6)</f>
        <v>7.3449E-2</v>
      </c>
      <c r="D119">
        <f>ROUND(IF(VLOOKUP($A119,EnrollData2324,'2324 Jun 24 Enroll'!D$1,FALSE)='District Calculations'!$D$11,VLOOKUP($A119,EnrollData2324,'2324 Jun 24 Enroll'!D$1,FALSE),'District Calculations'!$D$11)*C119,3)</f>
        <v>0</v>
      </c>
      <c r="E119">
        <f>ROUND(IF(VLOOKUP($A119,EnrollData2324,'2324 Jun 24 Enroll'!E$1,FALSE)='District Calculations'!$D$12,VLOOKUP($A119,EnrollData2324,'2324 Jun 24 Enroll'!E$1,FALSE),'District Calculations'!$D$12)*C119,3)</f>
        <v>59.53</v>
      </c>
      <c r="F119">
        <f>ROUND(IF(VLOOKUP($A119,EnrollData2324,'2324 Jun 24 Enroll'!F$1,FALSE)='District Calculations'!$D$13,VLOOKUP($A119,EnrollData2324,'2324 Jun 24 Enroll'!F$1,FALSE),'District Calculations'!$D$13)*Apport_222A2324s,3)</f>
        <v>10.101000000000001</v>
      </c>
      <c r="G119">
        <f>ROUND(IF(VLOOKUP($A119,EnrollData2324,'2324 Jun 24 Enroll'!G$1,FALSE)='District Calculations'!$D$14,VLOOKUP($A119,EnrollData2324,'2324 Jun 24 Enroll'!G$1,FALSE),'District Calculations'!$D$14)*Apport_210A2324s,3)</f>
        <v>22.395</v>
      </c>
      <c r="H119">
        <f>ROUND(IF(VLOOKUP($A119,EnrollData2324,'2324 Jun 24 Enroll'!H$1,FALSE)='District Calculations'!$D$15,VLOOKUP($A119,EnrollData2324,'2324 Jun 24 Enroll'!H$1,FALSE),'District Calculations'!$D$15)*Apport_213A2324s,3)</f>
        <v>23.091999999999999</v>
      </c>
      <c r="I119">
        <f>ROUND(IF(VLOOKUP($A119,EnrollData2324,'2324 Jun 24 Enroll'!I$1,FALSE)+VLOOKUP($A119,EnrollData2324,'2324 Jun 24 Enroll'!M$1,FALSE)-VLOOKUP($A119,EnrollData2324,'2324 Jun 24 Enroll'!J$1,FALSE)='District Calculations'!$D$16+'District Calculations'!$D$25-'District Calculations'!$D$17,VLOOKUP($A119,EnrollData2324,'2324 Jun 24 Enroll'!I$1,FALSE)+VLOOKUP($A119,EnrollData2324,'2324 Jun 24 Enroll'!M$1,FALSE)-VLOOKUP($A119,EnrollData2324,'2324 Jun 24 Enroll'!J$1,FALSE),'District Calculations'!$D$16+'District Calculations'!$D$25-'District Calculations'!$D$17)*Apport_216A2324s,3)</f>
        <v>58.183999999999997</v>
      </c>
      <c r="J119">
        <f>ROUND(SUM(D119:I119)/(IF(VLOOKUP($A119,EnrollData2324,'2324 Jun 24 Enroll'!M$1,FALSE)='District Calculations'!$D$25,VLOOKUP($A119,EnrollData2324,'2324 Jun 24 Enroll'!M$1,FALSE),'District Calculations'!$D$25)+IF(VLOOKUP($A119,EnrollData2324,'2324 Jun 24 Enroll'!D$1,FALSE)='District Calculations'!$D$11,VLOOKUP($A119,EnrollData2324,'2324 Jun 24 Enroll'!D$1,FALSE),'District Calculations'!$D$11)),5)</f>
        <v>5.5530000000000003E-2</v>
      </c>
      <c r="K119" s="11">
        <f t="shared" si="12"/>
        <v>4.3699999999999998E-3</v>
      </c>
      <c r="L119">
        <f>ROUND(IF(VLOOKUP($A119,EnrollData2324,'2324 Jun 24 Enroll'!D$1,FALSE)='District Calculations'!$D$11,VLOOKUP($A119,EnrollData2324,'2324 Jun 24 Enroll'!D$1,FALSE),'District Calculations'!$D$11)*K119,3)</f>
        <v>0</v>
      </c>
      <c r="M119">
        <f>ROUND(IF(VLOOKUP($A119,EnrollData2324,'2324 Jun 24 Enroll'!E$1,FALSE)='District Calculations'!$D$12,VLOOKUP($A119,EnrollData2324,'2324 Jun 24 Enroll'!E$1,FALSE),'District Calculations'!$D$12)*K119,3)</f>
        <v>3.5419999999999998</v>
      </c>
      <c r="N119">
        <f>ROUND(IF(VLOOKUP($A119,EnrollData2324,'2324 Jun 24 Enroll'!F$1,FALSE)='District Calculations'!$D$13,VLOOKUP($A119,EnrollData2324,'2324 Jun 24 Enroll'!F$1,FALSE),'District Calculations'!$D$13)*Apport_223A2324s,3)</f>
        <v>0.84299999999999997</v>
      </c>
      <c r="O119">
        <f>ROUND(IF(VLOOKUP($A119,EnrollData2324,'2324 Jun 24 Enroll'!G$1,FALSE)='District Calculations'!$D$14,VLOOKUP($A119,EnrollData2324,'2324 Jun 24 Enroll'!G$1,FALSE),'District Calculations'!$D$14)*Apport_211A2324s,3)</f>
        <v>1.87</v>
      </c>
      <c r="P119">
        <f>ROUND(IF(VLOOKUP($A119,EnrollData2324,'2324 Jun 24 Enroll'!H$1,FALSE)='District Calculations'!$D$14,VLOOKUP($A119,EnrollData2324,'2324 Jun 24 Enroll'!H$1,FALSE),'District Calculations'!$D$14)*Apport_214A2324s,3)</f>
        <v>1.8680000000000001</v>
      </c>
      <c r="Q119">
        <f>ROUND(IF(VLOOKUP($A119,EnrollData2324,'2324 Jun 24 Enroll'!I$1,FALSE)+VLOOKUP($A119,EnrollData2324,'2324 Jun 24 Enroll'!M$1,FALSE)-VLOOKUP($A119,EnrollData2324,'2324 Jun 24 Enroll'!J$1,FALSE)='District Calculations'!$D$16+'District Calculations'!$D$25-'District Calculations'!$D$17,VLOOKUP($A119,EnrollData2324,'2324 Jun 24 Enroll'!I$1,FALSE)+VLOOKUP($A119,EnrollData2324,'2324 Jun 24 Enroll'!M$1,FALSE)-VLOOKUP($A119,EnrollData2324,'2324 Jun 24 Enroll'!J$1,FALSE),'District Calculations'!$D$16+'District Calculations'!$D$25-'District Calculations'!$D$17)*Apport_217A2324s,3)</f>
        <v>4.702</v>
      </c>
      <c r="R119">
        <f>ROUND(SUM(L119:Q119)/IF(VLOOKUP($A119,EnrollData2324,'2324 Jun 24 Enroll'!M$1,FALSE)+VLOOKUP($A119,EnrollData2324,'2324 Jun 24 Enroll'!D$1,FALSE)='District Calculations'!$D$25+'District Calculations'!$D$11,VLOOKUP($A119,EnrollData2324,'2324 Jun 24 Enroll'!M$1,FALSE)+VLOOKUP($A119,EnrollData2324,'2324 Jun 24 Enroll'!D$1,FALSE),'District Calculations'!$D$25+'District Calculations'!$D$11),5)</f>
        <v>4.1099999999999999E-3</v>
      </c>
      <c r="S119" s="11">
        <f t="shared" si="13"/>
        <v>1.8689600000000001E-2</v>
      </c>
      <c r="T119">
        <f>ROUND(IF(VLOOKUP($A119,EnrollData2324,'2324 Jun 24 Enroll'!D$1,FALSE)='District Calculations'!$D$11,VLOOKUP($A119,EnrollData2324,'2324 Jun 24 Enroll'!D$1,FALSE),'District Calculations'!$D$11)*S119,3)</f>
        <v>0</v>
      </c>
      <c r="U119">
        <f>ROUND(IF(VLOOKUP($A119,EnrollData2324,'2324 Jun 24 Enroll'!E$1,FALSE)='District Calculations'!$D$12,VLOOKUP($A119,EnrollData2324,'2324 Jun 24 Enroll'!E$1,FALSE),'District Calculations'!$D$12)*S119,3)</f>
        <v>15.148</v>
      </c>
      <c r="V119">
        <f>ROUND(IF(VLOOKUP($A119,EnrollData2324,'2324 Jun 24 Enroll'!F$1,FALSE)='District Calculations'!$D$13,VLOOKUP($A119,EnrollData2324,'2324 Jun 24 Enroll'!F$1,FALSE),'District Calculations'!$D$13)*Apport_224A2324s,3)</f>
        <v>3.7029999999999998</v>
      </c>
      <c r="W119">
        <f>ROUND(IF(VLOOKUP($A119,EnrollData2324,'2324 Jun 24 Enroll'!G$1,FALSE)='District Calculations'!$D$14,VLOOKUP($A119,EnrollData2324,'2324 Jun 24 Enroll'!G$1,FALSE),'District Calculations'!$D$14)*Apport_212A2324s,3)</f>
        <v>8.2089999999999996</v>
      </c>
      <c r="X119">
        <f>ROUND(IF(VLOOKUP($A119,EnrollData2324,'2324 Jun 24 Enroll'!H$1,FALSE)='District Calculations'!$D$14,VLOOKUP($A119,EnrollData2324,'2324 Jun 24 Enroll'!H$1,FALSE),'District Calculations'!$D$14)*Apport_215A2324s,3)</f>
        <v>8.0969999999999995</v>
      </c>
      <c r="Y119">
        <f>ROUND(IF(VLOOKUP($A119,EnrollData2324,'2324 Jun 24 Enroll'!I$1,FALSE)+VLOOKUP($A119,EnrollData2324,'2324 Jun 24 Enroll'!M$1,FALSE)-VLOOKUP($A119,EnrollData2324,'2324 Jun 24 Enroll'!J$1,FALSE)='District Calculations'!$D$16+'District Calculations'!$D$25-'District Calculations'!$D$17,VLOOKUP($A119,EnrollData2324,'2324 Jun 24 Enroll'!I$1,FALSE)+VLOOKUP($A119,EnrollData2324,'2324 Jun 24 Enroll'!M$1,FALSE)-VLOOKUP($A119,EnrollData2324,'2324 Jun 24 Enroll'!J$1,FALSE),'District Calculations'!$D$16+'District Calculations'!$D$25-'District Calculations'!$D$17)*Apport_218A2324s,3)</f>
        <v>20.224</v>
      </c>
      <c r="Z119">
        <f>ROUND(SUM(T119:Y119)/IF(VLOOKUP($A119,EnrollData2324,'2324 Jun 24 Enroll'!M$1,FALSE)+VLOOKUP($A119,EnrollData2324,'2324 Jun 24 Enroll'!D$1,FALSE)='District Calculations'!$D$25+'District Calculations'!$D$11,VLOOKUP($A119,EnrollData2324,'2324 Jun 24 Enroll'!M$1,FALSE)+VLOOKUP($A119,EnrollData2324,'2324 Jun 24 Enroll'!D$1,FALSE),'District Calculations'!$D$25+'District Calculations'!$D$11),5)</f>
        <v>1.7749999999999998E-2</v>
      </c>
      <c r="AA119" s="6" cm="1">
        <f t="array" ref="AA119">ROUND($J119*CIS_Base_Salary2324s*VLOOKUP($A119,EnrollData2324,'2324 Jun 24 Enroll'!S$1,FALSE),2)</f>
        <v>4523.22</v>
      </c>
      <c r="AB119" s="6" cm="1">
        <f t="array" ref="AB119">ROUND($J119*CIS_Inc_Salary2324s*(VLOOKUP($A119,EnrollData2324,'2324 Jun 24 Enroll'!T$1,FALSE)+VLOOKUP($A119,EnrollData2324,'2324 Jun 24 Enroll'!U$1,FALSE)),2)-AA119</f>
        <v>251.11999999999989</v>
      </c>
      <c r="AC119" s="6" cm="1">
        <f t="array" ref="AC119">ROUND($R119*CAS_Base_Salary2324s*VLOOKUP($A119,EnrollData2324,'2324 Jun 24 Enroll'!S$1,FALSE),2)</f>
        <v>496.94</v>
      </c>
      <c r="AD119" s="6" cm="1">
        <f t="array" ref="AD119">ROUND($R119*CAS_Inc_Salary2324s*VLOOKUP($A119,EnrollData2324,'2324 Jun 24 Enroll'!T$1,FALSE),2)-AC119</f>
        <v>18.390000000000043</v>
      </c>
      <c r="AE119" s="6" cm="1">
        <f t="array" ref="AE119">ROUND($Z119*CLS_Base_Salary2324s*VLOOKUP($A119,EnrollData2324,'2324 Jun 24 Enroll'!S$1,FALSE),2)</f>
        <v>1037.2</v>
      </c>
      <c r="AF119" s="6" cm="1">
        <f t="array" ref="AF119">ROUND($Z119*CLS_Inc_Salary2324s*VLOOKUP($A119,EnrollData2324,'2324 Jun 24 Enroll'!T$1,FALSE),2)-AE119</f>
        <v>38.369999999999891</v>
      </c>
      <c r="AG119" cm="1">
        <f t="array" ref="AG119">ROUND(($J119+$R119)*Apport_124X2324s,2)</f>
        <v>734.29</v>
      </c>
      <c r="AH119" s="69">
        <f t="shared" si="14"/>
        <v>68.700000000000045</v>
      </c>
      <c r="AI119" cm="1">
        <f t="array" ref="AI119">ROUND($Z119*Apport_124X2324s,2)</f>
        <v>218.54</v>
      </c>
      <c r="AJ119" cm="1">
        <f t="array" ref="AJ119">ROUND($Z119*Apport_621X2324s*Apport_125X2324s,2)-AI119</f>
        <v>116.51000000000002</v>
      </c>
      <c r="AK119" cm="1">
        <f t="array" ref="AK119">ROUND((AA119+AC119)*Apport_126X2324s,2)</f>
        <v>902.12</v>
      </c>
      <c r="AL119" cm="1">
        <f t="array" ref="AL119">ROUND((AB119+AD119)*Apport_127X2324s,2)</f>
        <v>46.71</v>
      </c>
      <c r="AM119" cm="1">
        <f t="array" ref="AM119">ROUND(AE119*Apport_128X2324s,2)</f>
        <v>228.81</v>
      </c>
      <c r="AN119" cm="1">
        <f t="array" ref="AN119">ROUND(AF119*Apport_129X2324s,2)</f>
        <v>7.12</v>
      </c>
      <c r="AO119" cm="1">
        <f t="array" ref="AO119">ROUND(($J119*CIS_Inc_Salary2324s*(VLOOKUP($A119,EnrollData2324,'2324 Jun 24 Enroll'!T$1,FALSE)+VLOOKUP($A119,EnrollData2324,'2324 Jun 24 Enroll'!U$1,FALSE))/Apport_613Xpd)*Apport_614Xpd,2)</f>
        <v>79.569999999999993</v>
      </c>
      <c r="AP119" cm="1">
        <f t="array" ref="AP119">ROUND(AO119*Apport_127X2324s,2)</f>
        <v>13.79</v>
      </c>
      <c r="AQ119">
        <f t="shared" si="15"/>
        <v>30.93</v>
      </c>
      <c r="AR119" s="6" cm="1">
        <f t="array" ref="AR119">ROUND((VLOOKUP($A119,EnrollData2324,'2324 Jun 24 Enroll'!D$1,FALSE)*Apport_M802324s+VLOOKUP($A119,EnrollData2324,'2324 Jun 24 Enroll'!M$1,FALSE)*Apport_M802324s+(VLOOKUP($A119,EnrollData2324,'2324 Jun 24 Enroll'!P$1,FALSE)+VLOOKUP($A119,EnrollData2324,'2324 Jun 24 Enroll'!Q$1,FALSE)+VLOOKUP($A119,EnrollData2324,'2324 Jun 24 Enroll'!R$1,FALSE)+VLOOKUP($A119,EnrollData2324,'2324 Jun 24 Enroll'!I$1,FALSE)+VLOOKUP($A119,EnrollData2324,'2324 Jun 24 Enroll'!N$1,FALSE)+VLOOKUP($A119,EnrollData2324,'2324 Jun 24 Enroll'!O$1,FALSE)+VLOOKUP($A119,EnrollData2324,'2324 Jun 24 Enroll'!K$1,FALSE)+VLOOKUP($A119,EnrollData2324,'2324 Jun 24 Enroll'!L$1,FALSE))*Apport_M812324s)/(VLOOKUP($A119,EnrollData2324,'2324 Jun 24 Enroll'!M$1,FALSE)+VLOOKUP($A119,EnrollData2324,'2324 Jun 24 Enroll'!D$1,FALSE)),2)</f>
        <v>1566.39</v>
      </c>
      <c r="AS119" s="7">
        <f t="shared" si="16"/>
        <v>10378.719999999999</v>
      </c>
    </row>
    <row r="120" spans="1:45">
      <c r="A120" s="40" t="s">
        <v>586</v>
      </c>
      <c r="B120" s="40" t="s">
        <v>587</v>
      </c>
      <c r="C120" s="11">
        <f>ROUND((IFERROR((1/IF(VLOOKUP($A120,EnrollData2324,28,FALSE)='District Calculations'!$D$10,VLOOKUP($A120,EnrollData2324,28,FALSE),'District Calculations'!$D$10))*(1+Apport_Z315),0))+Apport_201A2324s,6)</f>
        <v>7.3449E-2</v>
      </c>
      <c r="D120">
        <f>ROUND(IF(VLOOKUP($A120,EnrollData2324,'2324 Jun 24 Enroll'!D$1,FALSE)='District Calculations'!$D$11,VLOOKUP($A120,EnrollData2324,'2324 Jun 24 Enroll'!D$1,FALSE),'District Calculations'!$D$11)*C120,3)</f>
        <v>0</v>
      </c>
      <c r="E120">
        <f>ROUND(IF(VLOOKUP($A120,EnrollData2324,'2324 Jun 24 Enroll'!E$1,FALSE)='District Calculations'!$D$12,VLOOKUP($A120,EnrollData2324,'2324 Jun 24 Enroll'!E$1,FALSE),'District Calculations'!$D$12)*C120,3)</f>
        <v>59.53</v>
      </c>
      <c r="F120">
        <f>ROUND(IF(VLOOKUP($A120,EnrollData2324,'2324 Jun 24 Enroll'!F$1,FALSE)='District Calculations'!$D$13,VLOOKUP($A120,EnrollData2324,'2324 Jun 24 Enroll'!F$1,FALSE),'District Calculations'!$D$13)*Apport_222A2324s,3)</f>
        <v>10.101000000000001</v>
      </c>
      <c r="G120">
        <f>ROUND(IF(VLOOKUP($A120,EnrollData2324,'2324 Jun 24 Enroll'!G$1,FALSE)='District Calculations'!$D$14,VLOOKUP($A120,EnrollData2324,'2324 Jun 24 Enroll'!G$1,FALSE),'District Calculations'!$D$14)*Apport_210A2324s,3)</f>
        <v>22.395</v>
      </c>
      <c r="H120">
        <f>ROUND(IF(VLOOKUP($A120,EnrollData2324,'2324 Jun 24 Enroll'!H$1,FALSE)='District Calculations'!$D$15,VLOOKUP($A120,EnrollData2324,'2324 Jun 24 Enroll'!H$1,FALSE),'District Calculations'!$D$15)*Apport_213A2324s,3)</f>
        <v>23.091999999999999</v>
      </c>
      <c r="I120">
        <f>ROUND(IF(VLOOKUP($A120,EnrollData2324,'2324 Jun 24 Enroll'!I$1,FALSE)+VLOOKUP($A120,EnrollData2324,'2324 Jun 24 Enroll'!M$1,FALSE)-VLOOKUP($A120,EnrollData2324,'2324 Jun 24 Enroll'!J$1,FALSE)='District Calculations'!$D$16+'District Calculations'!$D$25-'District Calculations'!$D$17,VLOOKUP($A120,EnrollData2324,'2324 Jun 24 Enroll'!I$1,FALSE)+VLOOKUP($A120,EnrollData2324,'2324 Jun 24 Enroll'!M$1,FALSE)-VLOOKUP($A120,EnrollData2324,'2324 Jun 24 Enroll'!J$1,FALSE),'District Calculations'!$D$16+'District Calculations'!$D$25-'District Calculations'!$D$17)*Apport_216A2324s,3)</f>
        <v>58.183999999999997</v>
      </c>
      <c r="J120">
        <f>ROUND(SUM(D120:I120)/(IF(VLOOKUP($A120,EnrollData2324,'2324 Jun 24 Enroll'!M$1,FALSE)='District Calculations'!$D$25,VLOOKUP($A120,EnrollData2324,'2324 Jun 24 Enroll'!M$1,FALSE),'District Calculations'!$D$25)+IF(VLOOKUP($A120,EnrollData2324,'2324 Jun 24 Enroll'!D$1,FALSE)='District Calculations'!$D$11,VLOOKUP($A120,EnrollData2324,'2324 Jun 24 Enroll'!D$1,FALSE),'District Calculations'!$D$11)),5)</f>
        <v>5.5530000000000003E-2</v>
      </c>
      <c r="K120" s="11">
        <f t="shared" si="12"/>
        <v>4.3699999999999998E-3</v>
      </c>
      <c r="L120">
        <f>ROUND(IF(VLOOKUP($A120,EnrollData2324,'2324 Jun 24 Enroll'!D$1,FALSE)='District Calculations'!$D$11,VLOOKUP($A120,EnrollData2324,'2324 Jun 24 Enroll'!D$1,FALSE),'District Calculations'!$D$11)*K120,3)</f>
        <v>0</v>
      </c>
      <c r="M120">
        <f>ROUND(IF(VLOOKUP($A120,EnrollData2324,'2324 Jun 24 Enroll'!E$1,FALSE)='District Calculations'!$D$12,VLOOKUP($A120,EnrollData2324,'2324 Jun 24 Enroll'!E$1,FALSE),'District Calculations'!$D$12)*K120,3)</f>
        <v>3.5419999999999998</v>
      </c>
      <c r="N120">
        <f>ROUND(IF(VLOOKUP($A120,EnrollData2324,'2324 Jun 24 Enroll'!F$1,FALSE)='District Calculations'!$D$13,VLOOKUP($A120,EnrollData2324,'2324 Jun 24 Enroll'!F$1,FALSE),'District Calculations'!$D$13)*Apport_223A2324s,3)</f>
        <v>0.84299999999999997</v>
      </c>
      <c r="O120">
        <f>ROUND(IF(VLOOKUP($A120,EnrollData2324,'2324 Jun 24 Enroll'!G$1,FALSE)='District Calculations'!$D$14,VLOOKUP($A120,EnrollData2324,'2324 Jun 24 Enroll'!G$1,FALSE),'District Calculations'!$D$14)*Apport_211A2324s,3)</f>
        <v>1.87</v>
      </c>
      <c r="P120">
        <f>ROUND(IF(VLOOKUP($A120,EnrollData2324,'2324 Jun 24 Enroll'!H$1,FALSE)='District Calculations'!$D$14,VLOOKUP($A120,EnrollData2324,'2324 Jun 24 Enroll'!H$1,FALSE),'District Calculations'!$D$14)*Apport_214A2324s,3)</f>
        <v>1.8680000000000001</v>
      </c>
      <c r="Q120">
        <f>ROUND(IF(VLOOKUP($A120,EnrollData2324,'2324 Jun 24 Enroll'!I$1,FALSE)+VLOOKUP($A120,EnrollData2324,'2324 Jun 24 Enroll'!M$1,FALSE)-VLOOKUP($A120,EnrollData2324,'2324 Jun 24 Enroll'!J$1,FALSE)='District Calculations'!$D$16+'District Calculations'!$D$25-'District Calculations'!$D$17,VLOOKUP($A120,EnrollData2324,'2324 Jun 24 Enroll'!I$1,FALSE)+VLOOKUP($A120,EnrollData2324,'2324 Jun 24 Enroll'!M$1,FALSE)-VLOOKUP($A120,EnrollData2324,'2324 Jun 24 Enroll'!J$1,FALSE),'District Calculations'!$D$16+'District Calculations'!$D$25-'District Calculations'!$D$17)*Apport_217A2324s,3)</f>
        <v>4.702</v>
      </c>
      <c r="R120">
        <f>ROUND(SUM(L120:Q120)/IF(VLOOKUP($A120,EnrollData2324,'2324 Jun 24 Enroll'!M$1,FALSE)+VLOOKUP($A120,EnrollData2324,'2324 Jun 24 Enroll'!D$1,FALSE)='District Calculations'!$D$25+'District Calculations'!$D$11,VLOOKUP($A120,EnrollData2324,'2324 Jun 24 Enroll'!M$1,FALSE)+VLOOKUP($A120,EnrollData2324,'2324 Jun 24 Enroll'!D$1,FALSE),'District Calculations'!$D$25+'District Calculations'!$D$11),5)</f>
        <v>4.1099999999999999E-3</v>
      </c>
      <c r="S120" s="11">
        <f t="shared" si="13"/>
        <v>1.8689600000000001E-2</v>
      </c>
      <c r="T120">
        <f>ROUND(IF(VLOOKUP($A120,EnrollData2324,'2324 Jun 24 Enroll'!D$1,FALSE)='District Calculations'!$D$11,VLOOKUP($A120,EnrollData2324,'2324 Jun 24 Enroll'!D$1,FALSE),'District Calculations'!$D$11)*S120,3)</f>
        <v>0</v>
      </c>
      <c r="U120">
        <f>ROUND(IF(VLOOKUP($A120,EnrollData2324,'2324 Jun 24 Enroll'!E$1,FALSE)='District Calculations'!$D$12,VLOOKUP($A120,EnrollData2324,'2324 Jun 24 Enroll'!E$1,FALSE),'District Calculations'!$D$12)*S120,3)</f>
        <v>15.148</v>
      </c>
      <c r="V120">
        <f>ROUND(IF(VLOOKUP($A120,EnrollData2324,'2324 Jun 24 Enroll'!F$1,FALSE)='District Calculations'!$D$13,VLOOKUP($A120,EnrollData2324,'2324 Jun 24 Enroll'!F$1,FALSE),'District Calculations'!$D$13)*Apport_224A2324s,3)</f>
        <v>3.7029999999999998</v>
      </c>
      <c r="W120">
        <f>ROUND(IF(VLOOKUP($A120,EnrollData2324,'2324 Jun 24 Enroll'!G$1,FALSE)='District Calculations'!$D$14,VLOOKUP($A120,EnrollData2324,'2324 Jun 24 Enroll'!G$1,FALSE),'District Calculations'!$D$14)*Apport_212A2324s,3)</f>
        <v>8.2089999999999996</v>
      </c>
      <c r="X120">
        <f>ROUND(IF(VLOOKUP($A120,EnrollData2324,'2324 Jun 24 Enroll'!H$1,FALSE)='District Calculations'!$D$14,VLOOKUP($A120,EnrollData2324,'2324 Jun 24 Enroll'!H$1,FALSE),'District Calculations'!$D$14)*Apport_215A2324s,3)</f>
        <v>8.0969999999999995</v>
      </c>
      <c r="Y120">
        <f>ROUND(IF(VLOOKUP($A120,EnrollData2324,'2324 Jun 24 Enroll'!I$1,FALSE)+VLOOKUP($A120,EnrollData2324,'2324 Jun 24 Enroll'!M$1,FALSE)-VLOOKUP($A120,EnrollData2324,'2324 Jun 24 Enroll'!J$1,FALSE)='District Calculations'!$D$16+'District Calculations'!$D$25-'District Calculations'!$D$17,VLOOKUP($A120,EnrollData2324,'2324 Jun 24 Enroll'!I$1,FALSE)+VLOOKUP($A120,EnrollData2324,'2324 Jun 24 Enroll'!M$1,FALSE)-VLOOKUP($A120,EnrollData2324,'2324 Jun 24 Enroll'!J$1,FALSE),'District Calculations'!$D$16+'District Calculations'!$D$25-'District Calculations'!$D$17)*Apport_218A2324s,3)</f>
        <v>20.224</v>
      </c>
      <c r="Z120">
        <f>ROUND(SUM(T120:Y120)/IF(VLOOKUP($A120,EnrollData2324,'2324 Jun 24 Enroll'!M$1,FALSE)+VLOOKUP($A120,EnrollData2324,'2324 Jun 24 Enroll'!D$1,FALSE)='District Calculations'!$D$25+'District Calculations'!$D$11,VLOOKUP($A120,EnrollData2324,'2324 Jun 24 Enroll'!M$1,FALSE)+VLOOKUP($A120,EnrollData2324,'2324 Jun 24 Enroll'!D$1,FALSE),'District Calculations'!$D$25+'District Calculations'!$D$11),5)</f>
        <v>1.7749999999999998E-2</v>
      </c>
      <c r="AA120" s="6" cm="1">
        <f t="array" ref="AA120">ROUND($J120*CIS_Base_Salary2324s*VLOOKUP($A120,EnrollData2324,'2324 Jun 24 Enroll'!S$1,FALSE),2)</f>
        <v>4765.53</v>
      </c>
      <c r="AB120" s="6" cm="1">
        <f t="array" ref="AB120">ROUND($J120*CIS_Inc_Salary2324s*(VLOOKUP($A120,EnrollData2324,'2324 Jun 24 Enroll'!T$1,FALSE)+VLOOKUP($A120,EnrollData2324,'2324 Jun 24 Enroll'!U$1,FALSE)),2)-AA120</f>
        <v>176.32999999999993</v>
      </c>
      <c r="AC120" s="6" cm="1">
        <f t="array" ref="AC120">ROUND($R120*CAS_Base_Salary2324s*VLOOKUP($A120,EnrollData2324,'2324 Jun 24 Enroll'!S$1,FALSE),2)</f>
        <v>523.55999999999995</v>
      </c>
      <c r="AD120" s="6" cm="1">
        <f t="array" ref="AD120">ROUND($R120*CAS_Inc_Salary2324s*VLOOKUP($A120,EnrollData2324,'2324 Jun 24 Enroll'!T$1,FALSE),2)-AC120</f>
        <v>19.380000000000109</v>
      </c>
      <c r="AE120" s="6" cm="1">
        <f t="array" ref="AE120">ROUND($Z120*CLS_Base_Salary2324s*VLOOKUP($A120,EnrollData2324,'2324 Jun 24 Enroll'!S$1,FALSE),2)</f>
        <v>1092.76</v>
      </c>
      <c r="AF120" s="6" cm="1">
        <f t="array" ref="AF120">ROUND($Z120*CLS_Inc_Salary2324s*VLOOKUP($A120,EnrollData2324,'2324 Jun 24 Enroll'!T$1,FALSE),2)-AE120</f>
        <v>40.430000000000064</v>
      </c>
      <c r="AG120" cm="1">
        <f t="array" ref="AG120">ROUND(($J120+$R120)*Apport_124X2324s,2)</f>
        <v>734.29</v>
      </c>
      <c r="AH120" s="69">
        <f t="shared" si="14"/>
        <v>68.700000000000045</v>
      </c>
      <c r="AI120" cm="1">
        <f t="array" ref="AI120">ROUND($Z120*Apport_124X2324s,2)</f>
        <v>218.54</v>
      </c>
      <c r="AJ120" cm="1">
        <f t="array" ref="AJ120">ROUND($Z120*Apport_621X2324s*Apport_125X2324s,2)-AI120</f>
        <v>116.51000000000002</v>
      </c>
      <c r="AK120" cm="1">
        <f t="array" ref="AK120">ROUND((AA120+AC120)*Apport_126X2324s,2)</f>
        <v>950.45</v>
      </c>
      <c r="AL120" cm="1">
        <f t="array" ref="AL120">ROUND((AB120+AD120)*Apport_127X2324s,2)</f>
        <v>33.92</v>
      </c>
      <c r="AM120" cm="1">
        <f t="array" ref="AM120">ROUND(AE120*Apport_128X2324s,2)</f>
        <v>241.06</v>
      </c>
      <c r="AN120" cm="1">
        <f t="array" ref="AN120">ROUND(AF120*Apport_129X2324s,2)</f>
        <v>7.5</v>
      </c>
      <c r="AO120" cm="1">
        <f t="array" ref="AO120">ROUND(($J120*CIS_Inc_Salary2324s*(VLOOKUP($A120,EnrollData2324,'2324 Jun 24 Enroll'!T$1,FALSE)+VLOOKUP($A120,EnrollData2324,'2324 Jun 24 Enroll'!U$1,FALSE))/Apport_613Xpd)*Apport_614Xpd,2)</f>
        <v>82.36</v>
      </c>
      <c r="AP120" cm="1">
        <f t="array" ref="AP120">ROUND(AO120*Apport_127X2324s,2)</f>
        <v>14.27</v>
      </c>
      <c r="AQ120">
        <f t="shared" si="15"/>
        <v>30.93</v>
      </c>
      <c r="AR120" s="6" cm="1">
        <f t="array" ref="AR120">ROUND((VLOOKUP($A120,EnrollData2324,'2324 Jun 24 Enroll'!D$1,FALSE)*Apport_M802324s+VLOOKUP($A120,EnrollData2324,'2324 Jun 24 Enroll'!M$1,FALSE)*Apport_M802324s+(VLOOKUP($A120,EnrollData2324,'2324 Jun 24 Enroll'!P$1,FALSE)+VLOOKUP($A120,EnrollData2324,'2324 Jun 24 Enroll'!Q$1,FALSE)+VLOOKUP($A120,EnrollData2324,'2324 Jun 24 Enroll'!R$1,FALSE)+VLOOKUP($A120,EnrollData2324,'2324 Jun 24 Enroll'!I$1,FALSE)+VLOOKUP($A120,EnrollData2324,'2324 Jun 24 Enroll'!N$1,FALSE)+VLOOKUP($A120,EnrollData2324,'2324 Jun 24 Enroll'!O$1,FALSE)+VLOOKUP($A120,EnrollData2324,'2324 Jun 24 Enroll'!K$1,FALSE)+VLOOKUP($A120,EnrollData2324,'2324 Jun 24 Enroll'!L$1,FALSE))*Apport_M812324s)/(VLOOKUP($A120,EnrollData2324,'2324 Jun 24 Enroll'!M$1,FALSE)+VLOOKUP($A120,EnrollData2324,'2324 Jun 24 Enroll'!D$1,FALSE)),2)</f>
        <v>1577.82</v>
      </c>
      <c r="AS120" s="7">
        <f t="shared" si="16"/>
        <v>10694.340000000002</v>
      </c>
    </row>
    <row r="121" spans="1:45">
      <c r="A121" s="40" t="s">
        <v>502</v>
      </c>
      <c r="B121" s="40" t="s">
        <v>503</v>
      </c>
      <c r="C121" s="11">
        <f>ROUND((IFERROR((1/IF(VLOOKUP($A121,EnrollData2324,28,FALSE)='District Calculations'!$D$10,VLOOKUP($A121,EnrollData2324,28,FALSE),'District Calculations'!$D$10))*(1+Apport_Z315),0))+Apport_201A2324s,6)</f>
        <v>7.3449E-2</v>
      </c>
      <c r="D121">
        <f>ROUND(IF(VLOOKUP($A121,EnrollData2324,'2324 Jun 24 Enroll'!D$1,FALSE)='District Calculations'!$D$11,VLOOKUP($A121,EnrollData2324,'2324 Jun 24 Enroll'!D$1,FALSE),'District Calculations'!$D$11)*C121,3)</f>
        <v>0</v>
      </c>
      <c r="E121">
        <f>ROUND(IF(VLOOKUP($A121,EnrollData2324,'2324 Jun 24 Enroll'!E$1,FALSE)='District Calculations'!$D$12,VLOOKUP($A121,EnrollData2324,'2324 Jun 24 Enroll'!E$1,FALSE),'District Calculations'!$D$12)*C121,3)</f>
        <v>59.53</v>
      </c>
      <c r="F121">
        <f>ROUND(IF(VLOOKUP($A121,EnrollData2324,'2324 Jun 24 Enroll'!F$1,FALSE)='District Calculations'!$D$13,VLOOKUP($A121,EnrollData2324,'2324 Jun 24 Enroll'!F$1,FALSE),'District Calculations'!$D$13)*Apport_222A2324s,3)</f>
        <v>10.101000000000001</v>
      </c>
      <c r="G121">
        <f>ROUND(IF(VLOOKUP($A121,EnrollData2324,'2324 Jun 24 Enroll'!G$1,FALSE)='District Calculations'!$D$14,VLOOKUP($A121,EnrollData2324,'2324 Jun 24 Enroll'!G$1,FALSE),'District Calculations'!$D$14)*Apport_210A2324s,3)</f>
        <v>22.395</v>
      </c>
      <c r="H121">
        <f>ROUND(IF(VLOOKUP($A121,EnrollData2324,'2324 Jun 24 Enroll'!H$1,FALSE)='District Calculations'!$D$15,VLOOKUP($A121,EnrollData2324,'2324 Jun 24 Enroll'!H$1,FALSE),'District Calculations'!$D$15)*Apport_213A2324s,3)</f>
        <v>23.091999999999999</v>
      </c>
      <c r="I121">
        <f>ROUND(IF(VLOOKUP($A121,EnrollData2324,'2324 Jun 24 Enroll'!I$1,FALSE)+VLOOKUP($A121,EnrollData2324,'2324 Jun 24 Enroll'!M$1,FALSE)-VLOOKUP($A121,EnrollData2324,'2324 Jun 24 Enroll'!J$1,FALSE)='District Calculations'!$D$16+'District Calculations'!$D$25-'District Calculations'!$D$17,VLOOKUP($A121,EnrollData2324,'2324 Jun 24 Enroll'!I$1,FALSE)+VLOOKUP($A121,EnrollData2324,'2324 Jun 24 Enroll'!M$1,FALSE)-VLOOKUP($A121,EnrollData2324,'2324 Jun 24 Enroll'!J$1,FALSE),'District Calculations'!$D$16+'District Calculations'!$D$25-'District Calculations'!$D$17)*Apport_216A2324s,3)</f>
        <v>58.183999999999997</v>
      </c>
      <c r="J121">
        <f>ROUND(SUM(D121:I121)/(IF(VLOOKUP($A121,EnrollData2324,'2324 Jun 24 Enroll'!M$1,FALSE)='District Calculations'!$D$25,VLOOKUP($A121,EnrollData2324,'2324 Jun 24 Enroll'!M$1,FALSE),'District Calculations'!$D$25)+IF(VLOOKUP($A121,EnrollData2324,'2324 Jun 24 Enroll'!D$1,FALSE)='District Calculations'!$D$11,VLOOKUP($A121,EnrollData2324,'2324 Jun 24 Enroll'!D$1,FALSE),'District Calculations'!$D$11)),5)</f>
        <v>5.5530000000000003E-2</v>
      </c>
      <c r="K121" s="11">
        <f t="shared" si="12"/>
        <v>4.3699999999999998E-3</v>
      </c>
      <c r="L121">
        <f>ROUND(IF(VLOOKUP($A121,EnrollData2324,'2324 Jun 24 Enroll'!D$1,FALSE)='District Calculations'!$D$11,VLOOKUP($A121,EnrollData2324,'2324 Jun 24 Enroll'!D$1,FALSE),'District Calculations'!$D$11)*K121,3)</f>
        <v>0</v>
      </c>
      <c r="M121">
        <f>ROUND(IF(VLOOKUP($A121,EnrollData2324,'2324 Jun 24 Enroll'!E$1,FALSE)='District Calculations'!$D$12,VLOOKUP($A121,EnrollData2324,'2324 Jun 24 Enroll'!E$1,FALSE),'District Calculations'!$D$12)*K121,3)</f>
        <v>3.5419999999999998</v>
      </c>
      <c r="N121">
        <f>ROUND(IF(VLOOKUP($A121,EnrollData2324,'2324 Jun 24 Enroll'!F$1,FALSE)='District Calculations'!$D$13,VLOOKUP($A121,EnrollData2324,'2324 Jun 24 Enroll'!F$1,FALSE),'District Calculations'!$D$13)*Apport_223A2324s,3)</f>
        <v>0.84299999999999997</v>
      </c>
      <c r="O121">
        <f>ROUND(IF(VLOOKUP($A121,EnrollData2324,'2324 Jun 24 Enroll'!G$1,FALSE)='District Calculations'!$D$14,VLOOKUP($A121,EnrollData2324,'2324 Jun 24 Enroll'!G$1,FALSE),'District Calculations'!$D$14)*Apport_211A2324s,3)</f>
        <v>1.87</v>
      </c>
      <c r="P121">
        <f>ROUND(IF(VLOOKUP($A121,EnrollData2324,'2324 Jun 24 Enroll'!H$1,FALSE)='District Calculations'!$D$14,VLOOKUP($A121,EnrollData2324,'2324 Jun 24 Enroll'!H$1,FALSE),'District Calculations'!$D$14)*Apport_214A2324s,3)</f>
        <v>1.8680000000000001</v>
      </c>
      <c r="Q121">
        <f>ROUND(IF(VLOOKUP($A121,EnrollData2324,'2324 Jun 24 Enroll'!I$1,FALSE)+VLOOKUP($A121,EnrollData2324,'2324 Jun 24 Enroll'!M$1,FALSE)-VLOOKUP($A121,EnrollData2324,'2324 Jun 24 Enroll'!J$1,FALSE)='District Calculations'!$D$16+'District Calculations'!$D$25-'District Calculations'!$D$17,VLOOKUP($A121,EnrollData2324,'2324 Jun 24 Enroll'!I$1,FALSE)+VLOOKUP($A121,EnrollData2324,'2324 Jun 24 Enroll'!M$1,FALSE)-VLOOKUP($A121,EnrollData2324,'2324 Jun 24 Enroll'!J$1,FALSE),'District Calculations'!$D$16+'District Calculations'!$D$25-'District Calculations'!$D$17)*Apport_217A2324s,3)</f>
        <v>4.702</v>
      </c>
      <c r="R121">
        <f>ROUND(SUM(L121:Q121)/IF(VLOOKUP($A121,EnrollData2324,'2324 Jun 24 Enroll'!M$1,FALSE)+VLOOKUP($A121,EnrollData2324,'2324 Jun 24 Enroll'!D$1,FALSE)='District Calculations'!$D$25+'District Calculations'!$D$11,VLOOKUP($A121,EnrollData2324,'2324 Jun 24 Enroll'!M$1,FALSE)+VLOOKUP($A121,EnrollData2324,'2324 Jun 24 Enroll'!D$1,FALSE),'District Calculations'!$D$25+'District Calculations'!$D$11),5)</f>
        <v>4.1099999999999999E-3</v>
      </c>
      <c r="S121" s="11">
        <f t="shared" si="13"/>
        <v>1.8689600000000001E-2</v>
      </c>
      <c r="T121">
        <f>ROUND(IF(VLOOKUP($A121,EnrollData2324,'2324 Jun 24 Enroll'!D$1,FALSE)='District Calculations'!$D$11,VLOOKUP($A121,EnrollData2324,'2324 Jun 24 Enroll'!D$1,FALSE),'District Calculations'!$D$11)*S121,3)</f>
        <v>0</v>
      </c>
      <c r="U121">
        <f>ROUND(IF(VLOOKUP($A121,EnrollData2324,'2324 Jun 24 Enroll'!E$1,FALSE)='District Calculations'!$D$12,VLOOKUP($A121,EnrollData2324,'2324 Jun 24 Enroll'!E$1,FALSE),'District Calculations'!$D$12)*S121,3)</f>
        <v>15.148</v>
      </c>
      <c r="V121">
        <f>ROUND(IF(VLOOKUP($A121,EnrollData2324,'2324 Jun 24 Enroll'!F$1,FALSE)='District Calculations'!$D$13,VLOOKUP($A121,EnrollData2324,'2324 Jun 24 Enroll'!F$1,FALSE),'District Calculations'!$D$13)*Apport_224A2324s,3)</f>
        <v>3.7029999999999998</v>
      </c>
      <c r="W121">
        <f>ROUND(IF(VLOOKUP($A121,EnrollData2324,'2324 Jun 24 Enroll'!G$1,FALSE)='District Calculations'!$D$14,VLOOKUP($A121,EnrollData2324,'2324 Jun 24 Enroll'!G$1,FALSE),'District Calculations'!$D$14)*Apport_212A2324s,3)</f>
        <v>8.2089999999999996</v>
      </c>
      <c r="X121">
        <f>ROUND(IF(VLOOKUP($A121,EnrollData2324,'2324 Jun 24 Enroll'!H$1,FALSE)='District Calculations'!$D$14,VLOOKUP($A121,EnrollData2324,'2324 Jun 24 Enroll'!H$1,FALSE),'District Calculations'!$D$14)*Apport_215A2324s,3)</f>
        <v>8.0969999999999995</v>
      </c>
      <c r="Y121">
        <f>ROUND(IF(VLOOKUP($A121,EnrollData2324,'2324 Jun 24 Enroll'!I$1,FALSE)+VLOOKUP($A121,EnrollData2324,'2324 Jun 24 Enroll'!M$1,FALSE)-VLOOKUP($A121,EnrollData2324,'2324 Jun 24 Enroll'!J$1,FALSE)='District Calculations'!$D$16+'District Calculations'!$D$25-'District Calculations'!$D$17,VLOOKUP($A121,EnrollData2324,'2324 Jun 24 Enroll'!I$1,FALSE)+VLOOKUP($A121,EnrollData2324,'2324 Jun 24 Enroll'!M$1,FALSE)-VLOOKUP($A121,EnrollData2324,'2324 Jun 24 Enroll'!J$1,FALSE),'District Calculations'!$D$16+'District Calculations'!$D$25-'District Calculations'!$D$17)*Apport_218A2324s,3)</f>
        <v>20.224</v>
      </c>
      <c r="Z121">
        <f>ROUND(SUM(T121:Y121)/IF(VLOOKUP($A121,EnrollData2324,'2324 Jun 24 Enroll'!M$1,FALSE)+VLOOKUP($A121,EnrollData2324,'2324 Jun 24 Enroll'!D$1,FALSE)='District Calculations'!$D$25+'District Calculations'!$D$11,VLOOKUP($A121,EnrollData2324,'2324 Jun 24 Enroll'!M$1,FALSE)+VLOOKUP($A121,EnrollData2324,'2324 Jun 24 Enroll'!D$1,FALSE),'District Calculations'!$D$25+'District Calculations'!$D$11),5)</f>
        <v>1.7749999999999998E-2</v>
      </c>
      <c r="AA121" s="6" cm="1">
        <f t="array" ref="AA121">ROUND($J121*CIS_Base_Salary2324s*VLOOKUP($A121,EnrollData2324,'2324 Jun 24 Enroll'!S$1,FALSE),2)</f>
        <v>4765.53</v>
      </c>
      <c r="AB121" s="6" cm="1">
        <f t="array" ref="AB121">ROUND($J121*CIS_Inc_Salary2324s*(VLOOKUP($A121,EnrollData2324,'2324 Jun 24 Enroll'!T$1,FALSE)+VLOOKUP($A121,EnrollData2324,'2324 Jun 24 Enroll'!U$1,FALSE)),2)-AA121</f>
        <v>176.32999999999993</v>
      </c>
      <c r="AC121" s="6" cm="1">
        <f t="array" ref="AC121">ROUND($R121*CAS_Base_Salary2324s*VLOOKUP($A121,EnrollData2324,'2324 Jun 24 Enroll'!S$1,FALSE),2)</f>
        <v>523.55999999999995</v>
      </c>
      <c r="AD121" s="6" cm="1">
        <f t="array" ref="AD121">ROUND($R121*CAS_Inc_Salary2324s*VLOOKUP($A121,EnrollData2324,'2324 Jun 24 Enroll'!T$1,FALSE),2)-AC121</f>
        <v>19.380000000000109</v>
      </c>
      <c r="AE121" s="6" cm="1">
        <f t="array" ref="AE121">ROUND($Z121*CLS_Base_Salary2324s*VLOOKUP($A121,EnrollData2324,'2324 Jun 24 Enroll'!S$1,FALSE),2)</f>
        <v>1092.76</v>
      </c>
      <c r="AF121" s="6" cm="1">
        <f t="array" ref="AF121">ROUND($Z121*CLS_Inc_Salary2324s*VLOOKUP($A121,EnrollData2324,'2324 Jun 24 Enroll'!T$1,FALSE),2)-AE121</f>
        <v>40.430000000000064</v>
      </c>
      <c r="AG121" cm="1">
        <f t="array" ref="AG121">ROUND(($J121+$R121)*Apport_124X2324s,2)</f>
        <v>734.29</v>
      </c>
      <c r="AH121" s="69">
        <f t="shared" si="14"/>
        <v>68.700000000000045</v>
      </c>
      <c r="AI121" cm="1">
        <f t="array" ref="AI121">ROUND($Z121*Apport_124X2324s,2)</f>
        <v>218.54</v>
      </c>
      <c r="AJ121" cm="1">
        <f t="array" ref="AJ121">ROUND($Z121*Apport_621X2324s*Apport_125X2324s,2)-AI121</f>
        <v>116.51000000000002</v>
      </c>
      <c r="AK121" cm="1">
        <f t="array" ref="AK121">ROUND((AA121+AC121)*Apport_126X2324s,2)</f>
        <v>950.45</v>
      </c>
      <c r="AL121" cm="1">
        <f t="array" ref="AL121">ROUND((AB121+AD121)*Apport_127X2324s,2)</f>
        <v>33.92</v>
      </c>
      <c r="AM121" cm="1">
        <f t="array" ref="AM121">ROUND(AE121*Apport_128X2324s,2)</f>
        <v>241.06</v>
      </c>
      <c r="AN121" cm="1">
        <f t="array" ref="AN121">ROUND(AF121*Apport_129X2324s,2)</f>
        <v>7.5</v>
      </c>
      <c r="AO121" cm="1">
        <f t="array" ref="AO121">ROUND(($J121*CIS_Inc_Salary2324s*(VLOOKUP($A121,EnrollData2324,'2324 Jun 24 Enroll'!T$1,FALSE)+VLOOKUP($A121,EnrollData2324,'2324 Jun 24 Enroll'!U$1,FALSE))/Apport_613Xpd)*Apport_614Xpd,2)</f>
        <v>82.36</v>
      </c>
      <c r="AP121" cm="1">
        <f t="array" ref="AP121">ROUND(AO121*Apport_127X2324s,2)</f>
        <v>14.27</v>
      </c>
      <c r="AQ121">
        <f t="shared" si="15"/>
        <v>30.93</v>
      </c>
      <c r="AR121" s="6" cm="1">
        <f t="array" ref="AR121">ROUND((VLOOKUP($A121,EnrollData2324,'2324 Jun 24 Enroll'!D$1,FALSE)*Apport_M802324s+VLOOKUP($A121,EnrollData2324,'2324 Jun 24 Enroll'!M$1,FALSE)*Apport_M802324s+(VLOOKUP($A121,EnrollData2324,'2324 Jun 24 Enroll'!P$1,FALSE)+VLOOKUP($A121,EnrollData2324,'2324 Jun 24 Enroll'!Q$1,FALSE)+VLOOKUP($A121,EnrollData2324,'2324 Jun 24 Enroll'!R$1,FALSE)+VLOOKUP($A121,EnrollData2324,'2324 Jun 24 Enroll'!I$1,FALSE)+VLOOKUP($A121,EnrollData2324,'2324 Jun 24 Enroll'!N$1,FALSE)+VLOOKUP($A121,EnrollData2324,'2324 Jun 24 Enroll'!O$1,FALSE)+VLOOKUP($A121,EnrollData2324,'2324 Jun 24 Enroll'!K$1,FALSE)+VLOOKUP($A121,EnrollData2324,'2324 Jun 24 Enroll'!L$1,FALSE))*Apport_M812324s)/(VLOOKUP($A121,EnrollData2324,'2324 Jun 24 Enroll'!M$1,FALSE)+VLOOKUP($A121,EnrollData2324,'2324 Jun 24 Enroll'!D$1,FALSE)),2)</f>
        <v>1577.57</v>
      </c>
      <c r="AS121" s="7">
        <f t="shared" si="16"/>
        <v>10694.090000000002</v>
      </c>
    </row>
    <row r="122" spans="1:45">
      <c r="A122" s="40" t="s">
        <v>843</v>
      </c>
      <c r="B122" s="40" t="s">
        <v>844</v>
      </c>
      <c r="C122" s="11">
        <f>ROUND((IFERROR((1/IF(VLOOKUP($A122,EnrollData2324,28,FALSE)='District Calculations'!$D$10,VLOOKUP($A122,EnrollData2324,28,FALSE),'District Calculations'!$D$10))*(1+Apport_Z315),0))+Apport_201A2324s,6)</f>
        <v>7.3449E-2</v>
      </c>
      <c r="D122">
        <f>ROUND(IF(VLOOKUP($A122,EnrollData2324,'2324 Jun 24 Enroll'!D$1,FALSE)='District Calculations'!$D$11,VLOOKUP($A122,EnrollData2324,'2324 Jun 24 Enroll'!D$1,FALSE),'District Calculations'!$D$11)*C122,3)</f>
        <v>0</v>
      </c>
      <c r="E122">
        <f>ROUND(IF(VLOOKUP($A122,EnrollData2324,'2324 Jun 24 Enroll'!E$1,FALSE)='District Calculations'!$D$12,VLOOKUP($A122,EnrollData2324,'2324 Jun 24 Enroll'!E$1,FALSE),'District Calculations'!$D$12)*C122,3)</f>
        <v>59.53</v>
      </c>
      <c r="F122">
        <f>ROUND(IF(VLOOKUP($A122,EnrollData2324,'2324 Jun 24 Enroll'!F$1,FALSE)='District Calculations'!$D$13,VLOOKUP($A122,EnrollData2324,'2324 Jun 24 Enroll'!F$1,FALSE),'District Calculations'!$D$13)*Apport_222A2324s,3)</f>
        <v>10.101000000000001</v>
      </c>
      <c r="G122">
        <f>ROUND(IF(VLOOKUP($A122,EnrollData2324,'2324 Jun 24 Enroll'!G$1,FALSE)='District Calculations'!$D$14,VLOOKUP($A122,EnrollData2324,'2324 Jun 24 Enroll'!G$1,FALSE),'District Calculations'!$D$14)*Apport_210A2324s,3)</f>
        <v>22.395</v>
      </c>
      <c r="H122">
        <f>ROUND(IF(VLOOKUP($A122,EnrollData2324,'2324 Jun 24 Enroll'!H$1,FALSE)='District Calculations'!$D$15,VLOOKUP($A122,EnrollData2324,'2324 Jun 24 Enroll'!H$1,FALSE),'District Calculations'!$D$15)*Apport_213A2324s,3)</f>
        <v>23.091999999999999</v>
      </c>
      <c r="I122">
        <f>ROUND(IF(VLOOKUP($A122,EnrollData2324,'2324 Jun 24 Enroll'!I$1,FALSE)+VLOOKUP($A122,EnrollData2324,'2324 Jun 24 Enroll'!M$1,FALSE)-VLOOKUP($A122,EnrollData2324,'2324 Jun 24 Enroll'!J$1,FALSE)='District Calculations'!$D$16+'District Calculations'!$D$25-'District Calculations'!$D$17,VLOOKUP($A122,EnrollData2324,'2324 Jun 24 Enroll'!I$1,FALSE)+VLOOKUP($A122,EnrollData2324,'2324 Jun 24 Enroll'!M$1,FALSE)-VLOOKUP($A122,EnrollData2324,'2324 Jun 24 Enroll'!J$1,FALSE),'District Calculations'!$D$16+'District Calculations'!$D$25-'District Calculations'!$D$17)*Apport_216A2324s,3)</f>
        <v>58.183999999999997</v>
      </c>
      <c r="J122">
        <f>ROUND(SUM(D122:I122)/(IF(VLOOKUP($A122,EnrollData2324,'2324 Jun 24 Enroll'!M$1,FALSE)='District Calculations'!$D$25,VLOOKUP($A122,EnrollData2324,'2324 Jun 24 Enroll'!M$1,FALSE),'District Calculations'!$D$25)+IF(VLOOKUP($A122,EnrollData2324,'2324 Jun 24 Enroll'!D$1,FALSE)='District Calculations'!$D$11,VLOOKUP($A122,EnrollData2324,'2324 Jun 24 Enroll'!D$1,FALSE),'District Calculations'!$D$11)),5)</f>
        <v>5.5530000000000003E-2</v>
      </c>
      <c r="K122" s="11">
        <f t="shared" si="12"/>
        <v>4.3699999999999998E-3</v>
      </c>
      <c r="L122">
        <f>ROUND(IF(VLOOKUP($A122,EnrollData2324,'2324 Jun 24 Enroll'!D$1,FALSE)='District Calculations'!$D$11,VLOOKUP($A122,EnrollData2324,'2324 Jun 24 Enroll'!D$1,FALSE),'District Calculations'!$D$11)*K122,3)</f>
        <v>0</v>
      </c>
      <c r="M122">
        <f>ROUND(IF(VLOOKUP($A122,EnrollData2324,'2324 Jun 24 Enroll'!E$1,FALSE)='District Calculations'!$D$12,VLOOKUP($A122,EnrollData2324,'2324 Jun 24 Enroll'!E$1,FALSE),'District Calculations'!$D$12)*K122,3)</f>
        <v>3.5419999999999998</v>
      </c>
      <c r="N122">
        <f>ROUND(IF(VLOOKUP($A122,EnrollData2324,'2324 Jun 24 Enroll'!F$1,FALSE)='District Calculations'!$D$13,VLOOKUP($A122,EnrollData2324,'2324 Jun 24 Enroll'!F$1,FALSE),'District Calculations'!$D$13)*Apport_223A2324s,3)</f>
        <v>0.84299999999999997</v>
      </c>
      <c r="O122">
        <f>ROUND(IF(VLOOKUP($A122,EnrollData2324,'2324 Jun 24 Enroll'!G$1,FALSE)='District Calculations'!$D$14,VLOOKUP($A122,EnrollData2324,'2324 Jun 24 Enroll'!G$1,FALSE),'District Calculations'!$D$14)*Apport_211A2324s,3)</f>
        <v>1.87</v>
      </c>
      <c r="P122">
        <f>ROUND(IF(VLOOKUP($A122,EnrollData2324,'2324 Jun 24 Enroll'!H$1,FALSE)='District Calculations'!$D$14,VLOOKUP($A122,EnrollData2324,'2324 Jun 24 Enroll'!H$1,FALSE),'District Calculations'!$D$14)*Apport_214A2324s,3)</f>
        <v>1.8680000000000001</v>
      </c>
      <c r="Q122">
        <f>ROUND(IF(VLOOKUP($A122,EnrollData2324,'2324 Jun 24 Enroll'!I$1,FALSE)+VLOOKUP($A122,EnrollData2324,'2324 Jun 24 Enroll'!M$1,FALSE)-VLOOKUP($A122,EnrollData2324,'2324 Jun 24 Enroll'!J$1,FALSE)='District Calculations'!$D$16+'District Calculations'!$D$25-'District Calculations'!$D$17,VLOOKUP($A122,EnrollData2324,'2324 Jun 24 Enroll'!I$1,FALSE)+VLOOKUP($A122,EnrollData2324,'2324 Jun 24 Enroll'!M$1,FALSE)-VLOOKUP($A122,EnrollData2324,'2324 Jun 24 Enroll'!J$1,FALSE),'District Calculations'!$D$16+'District Calculations'!$D$25-'District Calculations'!$D$17)*Apport_217A2324s,3)</f>
        <v>4.702</v>
      </c>
      <c r="R122">
        <f>ROUND(SUM(L122:Q122)/IF(VLOOKUP($A122,EnrollData2324,'2324 Jun 24 Enroll'!M$1,FALSE)+VLOOKUP($A122,EnrollData2324,'2324 Jun 24 Enroll'!D$1,FALSE)='District Calculations'!$D$25+'District Calculations'!$D$11,VLOOKUP($A122,EnrollData2324,'2324 Jun 24 Enroll'!M$1,FALSE)+VLOOKUP($A122,EnrollData2324,'2324 Jun 24 Enroll'!D$1,FALSE),'District Calculations'!$D$25+'District Calculations'!$D$11),5)</f>
        <v>4.1099999999999999E-3</v>
      </c>
      <c r="S122" s="11">
        <f t="shared" si="13"/>
        <v>1.8689600000000001E-2</v>
      </c>
      <c r="T122">
        <f>ROUND(IF(VLOOKUP($A122,EnrollData2324,'2324 Jun 24 Enroll'!D$1,FALSE)='District Calculations'!$D$11,VLOOKUP($A122,EnrollData2324,'2324 Jun 24 Enroll'!D$1,FALSE),'District Calculations'!$D$11)*S122,3)</f>
        <v>0</v>
      </c>
      <c r="U122">
        <f>ROUND(IF(VLOOKUP($A122,EnrollData2324,'2324 Jun 24 Enroll'!E$1,FALSE)='District Calculations'!$D$12,VLOOKUP($A122,EnrollData2324,'2324 Jun 24 Enroll'!E$1,FALSE),'District Calculations'!$D$12)*S122,3)</f>
        <v>15.148</v>
      </c>
      <c r="V122">
        <f>ROUND(IF(VLOOKUP($A122,EnrollData2324,'2324 Jun 24 Enroll'!F$1,FALSE)='District Calculations'!$D$13,VLOOKUP($A122,EnrollData2324,'2324 Jun 24 Enroll'!F$1,FALSE),'District Calculations'!$D$13)*Apport_224A2324s,3)</f>
        <v>3.7029999999999998</v>
      </c>
      <c r="W122">
        <f>ROUND(IF(VLOOKUP($A122,EnrollData2324,'2324 Jun 24 Enroll'!G$1,FALSE)='District Calculations'!$D$14,VLOOKUP($A122,EnrollData2324,'2324 Jun 24 Enroll'!G$1,FALSE),'District Calculations'!$D$14)*Apport_212A2324s,3)</f>
        <v>8.2089999999999996</v>
      </c>
      <c r="X122">
        <f>ROUND(IF(VLOOKUP($A122,EnrollData2324,'2324 Jun 24 Enroll'!H$1,FALSE)='District Calculations'!$D$14,VLOOKUP($A122,EnrollData2324,'2324 Jun 24 Enroll'!H$1,FALSE),'District Calculations'!$D$14)*Apport_215A2324s,3)</f>
        <v>8.0969999999999995</v>
      </c>
      <c r="Y122">
        <f>ROUND(IF(VLOOKUP($A122,EnrollData2324,'2324 Jun 24 Enroll'!I$1,FALSE)+VLOOKUP($A122,EnrollData2324,'2324 Jun 24 Enroll'!M$1,FALSE)-VLOOKUP($A122,EnrollData2324,'2324 Jun 24 Enroll'!J$1,FALSE)='District Calculations'!$D$16+'District Calculations'!$D$25-'District Calculations'!$D$17,VLOOKUP($A122,EnrollData2324,'2324 Jun 24 Enroll'!I$1,FALSE)+VLOOKUP($A122,EnrollData2324,'2324 Jun 24 Enroll'!M$1,FALSE)-VLOOKUP($A122,EnrollData2324,'2324 Jun 24 Enroll'!J$1,FALSE),'District Calculations'!$D$16+'District Calculations'!$D$25-'District Calculations'!$D$17)*Apport_218A2324s,3)</f>
        <v>20.224</v>
      </c>
      <c r="Z122">
        <f>ROUND(SUM(T122:Y122)/IF(VLOOKUP($A122,EnrollData2324,'2324 Jun 24 Enroll'!M$1,FALSE)+VLOOKUP($A122,EnrollData2324,'2324 Jun 24 Enroll'!D$1,FALSE)='District Calculations'!$D$25+'District Calculations'!$D$11,VLOOKUP($A122,EnrollData2324,'2324 Jun 24 Enroll'!M$1,FALSE)+VLOOKUP($A122,EnrollData2324,'2324 Jun 24 Enroll'!D$1,FALSE),'District Calculations'!$D$25+'District Calculations'!$D$11),5)</f>
        <v>1.7749999999999998E-2</v>
      </c>
      <c r="AA122" s="6" cm="1">
        <f t="array" ref="AA122">ROUND($J122*CIS_Base_Salary2324s*VLOOKUP($A122,EnrollData2324,'2324 Jun 24 Enroll'!S$1,FALSE),2)</f>
        <v>4523.22</v>
      </c>
      <c r="AB122" s="6" cm="1">
        <f t="array" ref="AB122">ROUND($J122*CIS_Inc_Salary2324s*(VLOOKUP($A122,EnrollData2324,'2324 Jun 24 Enroll'!T$1,FALSE)+VLOOKUP($A122,EnrollData2324,'2324 Jun 24 Enroll'!U$1,FALSE)),2)-AA122</f>
        <v>334.88000000000011</v>
      </c>
      <c r="AC122" s="6" cm="1">
        <f t="array" ref="AC122">ROUND($R122*CAS_Base_Salary2324s*VLOOKUP($A122,EnrollData2324,'2324 Jun 24 Enroll'!S$1,FALSE),2)</f>
        <v>496.94</v>
      </c>
      <c r="AD122" s="6" cm="1">
        <f t="array" ref="AD122">ROUND($R122*CAS_Inc_Salary2324s*VLOOKUP($A122,EnrollData2324,'2324 Jun 24 Enroll'!T$1,FALSE),2)-AC122</f>
        <v>18.390000000000043</v>
      </c>
      <c r="AE122" s="6" cm="1">
        <f t="array" ref="AE122">ROUND($Z122*CLS_Base_Salary2324s*VLOOKUP($A122,EnrollData2324,'2324 Jun 24 Enroll'!S$1,FALSE),2)</f>
        <v>1037.2</v>
      </c>
      <c r="AF122" s="6" cm="1">
        <f t="array" ref="AF122">ROUND($Z122*CLS_Inc_Salary2324s*VLOOKUP($A122,EnrollData2324,'2324 Jun 24 Enroll'!T$1,FALSE),2)-AE122</f>
        <v>38.369999999999891</v>
      </c>
      <c r="AG122" cm="1">
        <f t="array" ref="AG122">ROUND(($J122+$R122)*Apport_124X2324s,2)</f>
        <v>734.29</v>
      </c>
      <c r="AH122" s="69">
        <f t="shared" si="14"/>
        <v>68.700000000000045</v>
      </c>
      <c r="AI122" cm="1">
        <f t="array" ref="AI122">ROUND($Z122*Apport_124X2324s,2)</f>
        <v>218.54</v>
      </c>
      <c r="AJ122" cm="1">
        <f t="array" ref="AJ122">ROUND($Z122*Apport_621X2324s*Apport_125X2324s,2)-AI122</f>
        <v>116.51000000000002</v>
      </c>
      <c r="AK122" cm="1">
        <f t="array" ref="AK122">ROUND((AA122+AC122)*Apport_126X2324s,2)</f>
        <v>902.12</v>
      </c>
      <c r="AL122" cm="1">
        <f t="array" ref="AL122">ROUND((AB122+AD122)*Apport_127X2324s,2)</f>
        <v>61.22</v>
      </c>
      <c r="AM122" cm="1">
        <f t="array" ref="AM122">ROUND(AE122*Apport_128X2324s,2)</f>
        <v>228.81</v>
      </c>
      <c r="AN122" cm="1">
        <f t="array" ref="AN122">ROUND(AF122*Apport_129X2324s,2)</f>
        <v>7.12</v>
      </c>
      <c r="AO122" cm="1">
        <f t="array" ref="AO122">ROUND(($J122*CIS_Inc_Salary2324s*(VLOOKUP($A122,EnrollData2324,'2324 Jun 24 Enroll'!T$1,FALSE)+VLOOKUP($A122,EnrollData2324,'2324 Jun 24 Enroll'!U$1,FALSE))/Apport_613Xpd)*Apport_614Xpd,2)</f>
        <v>80.97</v>
      </c>
      <c r="AP122" cm="1">
        <f t="array" ref="AP122">ROUND(AO122*Apport_127X2324s,2)</f>
        <v>14.03</v>
      </c>
      <c r="AQ122">
        <f t="shared" si="15"/>
        <v>30.93</v>
      </c>
      <c r="AR122" s="6" cm="1">
        <f t="array" ref="AR122">ROUND((VLOOKUP($A122,EnrollData2324,'2324 Jun 24 Enroll'!D$1,FALSE)*Apport_M802324s+VLOOKUP($A122,EnrollData2324,'2324 Jun 24 Enroll'!M$1,FALSE)*Apport_M802324s+(VLOOKUP($A122,EnrollData2324,'2324 Jun 24 Enroll'!P$1,FALSE)+VLOOKUP($A122,EnrollData2324,'2324 Jun 24 Enroll'!Q$1,FALSE)+VLOOKUP($A122,EnrollData2324,'2324 Jun 24 Enroll'!R$1,FALSE)+VLOOKUP($A122,EnrollData2324,'2324 Jun 24 Enroll'!I$1,FALSE)+VLOOKUP($A122,EnrollData2324,'2324 Jun 24 Enroll'!N$1,FALSE)+VLOOKUP($A122,EnrollData2324,'2324 Jun 24 Enroll'!O$1,FALSE)+VLOOKUP($A122,EnrollData2324,'2324 Jun 24 Enroll'!K$1,FALSE)+VLOOKUP($A122,EnrollData2324,'2324 Jun 24 Enroll'!L$1,FALSE))*Apport_M812324s)/(VLOOKUP($A122,EnrollData2324,'2324 Jun 24 Enroll'!M$1,FALSE)+VLOOKUP($A122,EnrollData2324,'2324 Jun 24 Enroll'!D$1,FALSE)),2)</f>
        <v>1592.35</v>
      </c>
      <c r="AS122" s="7">
        <f t="shared" si="16"/>
        <v>10504.59</v>
      </c>
    </row>
    <row r="123" spans="1:45">
      <c r="A123" s="40" t="s">
        <v>721</v>
      </c>
      <c r="B123" s="40" t="s">
        <v>722</v>
      </c>
      <c r="C123" s="11">
        <f>ROUND((IFERROR((1/IF(VLOOKUP($A123,EnrollData2324,28,FALSE)='District Calculations'!$D$10,VLOOKUP($A123,EnrollData2324,28,FALSE),'District Calculations'!$D$10))*(1+Apport_Z315),0))+Apport_201A2324s,6)</f>
        <v>7.3449E-2</v>
      </c>
      <c r="D123">
        <f>ROUND(IF(VLOOKUP($A123,EnrollData2324,'2324 Jun 24 Enroll'!D$1,FALSE)='District Calculations'!$D$11,VLOOKUP($A123,EnrollData2324,'2324 Jun 24 Enroll'!D$1,FALSE),'District Calculations'!$D$11)*C123,3)</f>
        <v>0</v>
      </c>
      <c r="E123">
        <f>ROUND(IF(VLOOKUP($A123,EnrollData2324,'2324 Jun 24 Enroll'!E$1,FALSE)='District Calculations'!$D$12,VLOOKUP($A123,EnrollData2324,'2324 Jun 24 Enroll'!E$1,FALSE),'District Calculations'!$D$12)*C123,3)</f>
        <v>59.53</v>
      </c>
      <c r="F123">
        <f>ROUND(IF(VLOOKUP($A123,EnrollData2324,'2324 Jun 24 Enroll'!F$1,FALSE)='District Calculations'!$D$13,VLOOKUP($A123,EnrollData2324,'2324 Jun 24 Enroll'!F$1,FALSE),'District Calculations'!$D$13)*Apport_222A2324s,3)</f>
        <v>10.101000000000001</v>
      </c>
      <c r="G123">
        <f>ROUND(IF(VLOOKUP($A123,EnrollData2324,'2324 Jun 24 Enroll'!G$1,FALSE)='District Calculations'!$D$14,VLOOKUP($A123,EnrollData2324,'2324 Jun 24 Enroll'!G$1,FALSE),'District Calculations'!$D$14)*Apport_210A2324s,3)</f>
        <v>22.395</v>
      </c>
      <c r="H123">
        <f>ROUND(IF(VLOOKUP($A123,EnrollData2324,'2324 Jun 24 Enroll'!H$1,FALSE)='District Calculations'!$D$15,VLOOKUP($A123,EnrollData2324,'2324 Jun 24 Enroll'!H$1,FALSE),'District Calculations'!$D$15)*Apport_213A2324s,3)</f>
        <v>23.091999999999999</v>
      </c>
      <c r="I123">
        <f>ROUND(IF(VLOOKUP($A123,EnrollData2324,'2324 Jun 24 Enroll'!I$1,FALSE)+VLOOKUP($A123,EnrollData2324,'2324 Jun 24 Enroll'!M$1,FALSE)-VLOOKUP($A123,EnrollData2324,'2324 Jun 24 Enroll'!J$1,FALSE)='District Calculations'!$D$16+'District Calculations'!$D$25-'District Calculations'!$D$17,VLOOKUP($A123,EnrollData2324,'2324 Jun 24 Enroll'!I$1,FALSE)+VLOOKUP($A123,EnrollData2324,'2324 Jun 24 Enroll'!M$1,FALSE)-VLOOKUP($A123,EnrollData2324,'2324 Jun 24 Enroll'!J$1,FALSE),'District Calculations'!$D$16+'District Calculations'!$D$25-'District Calculations'!$D$17)*Apport_216A2324s,3)</f>
        <v>58.183999999999997</v>
      </c>
      <c r="J123">
        <f>ROUND(SUM(D123:I123)/(IF(VLOOKUP($A123,EnrollData2324,'2324 Jun 24 Enroll'!M$1,FALSE)='District Calculations'!$D$25,VLOOKUP($A123,EnrollData2324,'2324 Jun 24 Enroll'!M$1,FALSE),'District Calculations'!$D$25)+IF(VLOOKUP($A123,EnrollData2324,'2324 Jun 24 Enroll'!D$1,FALSE)='District Calculations'!$D$11,VLOOKUP($A123,EnrollData2324,'2324 Jun 24 Enroll'!D$1,FALSE),'District Calculations'!$D$11)),5)</f>
        <v>5.5530000000000003E-2</v>
      </c>
      <c r="K123" s="11">
        <f t="shared" si="12"/>
        <v>4.3699999999999998E-3</v>
      </c>
      <c r="L123">
        <f>ROUND(IF(VLOOKUP($A123,EnrollData2324,'2324 Jun 24 Enroll'!D$1,FALSE)='District Calculations'!$D$11,VLOOKUP($A123,EnrollData2324,'2324 Jun 24 Enroll'!D$1,FALSE),'District Calculations'!$D$11)*K123,3)</f>
        <v>0</v>
      </c>
      <c r="M123">
        <f>ROUND(IF(VLOOKUP($A123,EnrollData2324,'2324 Jun 24 Enroll'!E$1,FALSE)='District Calculations'!$D$12,VLOOKUP($A123,EnrollData2324,'2324 Jun 24 Enroll'!E$1,FALSE),'District Calculations'!$D$12)*K123,3)</f>
        <v>3.5419999999999998</v>
      </c>
      <c r="N123">
        <f>ROUND(IF(VLOOKUP($A123,EnrollData2324,'2324 Jun 24 Enroll'!F$1,FALSE)='District Calculations'!$D$13,VLOOKUP($A123,EnrollData2324,'2324 Jun 24 Enroll'!F$1,FALSE),'District Calculations'!$D$13)*Apport_223A2324s,3)</f>
        <v>0.84299999999999997</v>
      </c>
      <c r="O123">
        <f>ROUND(IF(VLOOKUP($A123,EnrollData2324,'2324 Jun 24 Enroll'!G$1,FALSE)='District Calculations'!$D$14,VLOOKUP($A123,EnrollData2324,'2324 Jun 24 Enroll'!G$1,FALSE),'District Calculations'!$D$14)*Apport_211A2324s,3)</f>
        <v>1.87</v>
      </c>
      <c r="P123">
        <f>ROUND(IF(VLOOKUP($A123,EnrollData2324,'2324 Jun 24 Enroll'!H$1,FALSE)='District Calculations'!$D$14,VLOOKUP($A123,EnrollData2324,'2324 Jun 24 Enroll'!H$1,FALSE),'District Calculations'!$D$14)*Apport_214A2324s,3)</f>
        <v>1.8680000000000001</v>
      </c>
      <c r="Q123">
        <f>ROUND(IF(VLOOKUP($A123,EnrollData2324,'2324 Jun 24 Enroll'!I$1,FALSE)+VLOOKUP($A123,EnrollData2324,'2324 Jun 24 Enroll'!M$1,FALSE)-VLOOKUP($A123,EnrollData2324,'2324 Jun 24 Enroll'!J$1,FALSE)='District Calculations'!$D$16+'District Calculations'!$D$25-'District Calculations'!$D$17,VLOOKUP($A123,EnrollData2324,'2324 Jun 24 Enroll'!I$1,FALSE)+VLOOKUP($A123,EnrollData2324,'2324 Jun 24 Enroll'!M$1,FALSE)-VLOOKUP($A123,EnrollData2324,'2324 Jun 24 Enroll'!J$1,FALSE),'District Calculations'!$D$16+'District Calculations'!$D$25-'District Calculations'!$D$17)*Apport_217A2324s,3)</f>
        <v>4.702</v>
      </c>
      <c r="R123">
        <f>ROUND(SUM(L123:Q123)/IF(VLOOKUP($A123,EnrollData2324,'2324 Jun 24 Enroll'!M$1,FALSE)+VLOOKUP($A123,EnrollData2324,'2324 Jun 24 Enroll'!D$1,FALSE)='District Calculations'!$D$25+'District Calculations'!$D$11,VLOOKUP($A123,EnrollData2324,'2324 Jun 24 Enroll'!M$1,FALSE)+VLOOKUP($A123,EnrollData2324,'2324 Jun 24 Enroll'!D$1,FALSE),'District Calculations'!$D$25+'District Calculations'!$D$11),5)</f>
        <v>4.1099999999999999E-3</v>
      </c>
      <c r="S123" s="11">
        <f t="shared" si="13"/>
        <v>1.8689600000000001E-2</v>
      </c>
      <c r="T123">
        <f>ROUND(IF(VLOOKUP($A123,EnrollData2324,'2324 Jun 24 Enroll'!D$1,FALSE)='District Calculations'!$D$11,VLOOKUP($A123,EnrollData2324,'2324 Jun 24 Enroll'!D$1,FALSE),'District Calculations'!$D$11)*S123,3)</f>
        <v>0</v>
      </c>
      <c r="U123">
        <f>ROUND(IF(VLOOKUP($A123,EnrollData2324,'2324 Jun 24 Enroll'!E$1,FALSE)='District Calculations'!$D$12,VLOOKUP($A123,EnrollData2324,'2324 Jun 24 Enroll'!E$1,FALSE),'District Calculations'!$D$12)*S123,3)</f>
        <v>15.148</v>
      </c>
      <c r="V123">
        <f>ROUND(IF(VLOOKUP($A123,EnrollData2324,'2324 Jun 24 Enroll'!F$1,FALSE)='District Calculations'!$D$13,VLOOKUP($A123,EnrollData2324,'2324 Jun 24 Enroll'!F$1,FALSE),'District Calculations'!$D$13)*Apport_224A2324s,3)</f>
        <v>3.7029999999999998</v>
      </c>
      <c r="W123">
        <f>ROUND(IF(VLOOKUP($A123,EnrollData2324,'2324 Jun 24 Enroll'!G$1,FALSE)='District Calculations'!$D$14,VLOOKUP($A123,EnrollData2324,'2324 Jun 24 Enroll'!G$1,FALSE),'District Calculations'!$D$14)*Apport_212A2324s,3)</f>
        <v>8.2089999999999996</v>
      </c>
      <c r="X123">
        <f>ROUND(IF(VLOOKUP($A123,EnrollData2324,'2324 Jun 24 Enroll'!H$1,FALSE)='District Calculations'!$D$14,VLOOKUP($A123,EnrollData2324,'2324 Jun 24 Enroll'!H$1,FALSE),'District Calculations'!$D$14)*Apport_215A2324s,3)</f>
        <v>8.0969999999999995</v>
      </c>
      <c r="Y123">
        <f>ROUND(IF(VLOOKUP($A123,EnrollData2324,'2324 Jun 24 Enroll'!I$1,FALSE)+VLOOKUP($A123,EnrollData2324,'2324 Jun 24 Enroll'!M$1,FALSE)-VLOOKUP($A123,EnrollData2324,'2324 Jun 24 Enroll'!J$1,FALSE)='District Calculations'!$D$16+'District Calculations'!$D$25-'District Calculations'!$D$17,VLOOKUP($A123,EnrollData2324,'2324 Jun 24 Enroll'!I$1,FALSE)+VLOOKUP($A123,EnrollData2324,'2324 Jun 24 Enroll'!M$1,FALSE)-VLOOKUP($A123,EnrollData2324,'2324 Jun 24 Enroll'!J$1,FALSE),'District Calculations'!$D$16+'District Calculations'!$D$25-'District Calculations'!$D$17)*Apport_218A2324s,3)</f>
        <v>20.224</v>
      </c>
      <c r="Z123">
        <f>ROUND(SUM(T123:Y123)/IF(VLOOKUP($A123,EnrollData2324,'2324 Jun 24 Enroll'!M$1,FALSE)+VLOOKUP($A123,EnrollData2324,'2324 Jun 24 Enroll'!D$1,FALSE)='District Calculations'!$D$25+'District Calculations'!$D$11,VLOOKUP($A123,EnrollData2324,'2324 Jun 24 Enroll'!M$1,FALSE)+VLOOKUP($A123,EnrollData2324,'2324 Jun 24 Enroll'!D$1,FALSE),'District Calculations'!$D$25+'District Calculations'!$D$11),5)</f>
        <v>1.7749999999999998E-2</v>
      </c>
      <c r="AA123" s="6" cm="1">
        <f t="array" ref="AA123">ROUND($J123*CIS_Base_Salary2324s*VLOOKUP($A123,EnrollData2324,'2324 Jun 24 Enroll'!S$1,FALSE),2)</f>
        <v>4765.53</v>
      </c>
      <c r="AB123" s="6" cm="1">
        <f t="array" ref="AB123">ROUND($J123*CIS_Inc_Salary2324s*(VLOOKUP($A123,EnrollData2324,'2324 Jun 24 Enroll'!T$1,FALSE)+VLOOKUP($A123,EnrollData2324,'2324 Jun 24 Enroll'!U$1,FALSE)),2)-AA123</f>
        <v>176.32999999999993</v>
      </c>
      <c r="AC123" s="6" cm="1">
        <f t="array" ref="AC123">ROUND($R123*CAS_Base_Salary2324s*VLOOKUP($A123,EnrollData2324,'2324 Jun 24 Enroll'!S$1,FALSE),2)</f>
        <v>523.55999999999995</v>
      </c>
      <c r="AD123" s="6" cm="1">
        <f t="array" ref="AD123">ROUND($R123*CAS_Inc_Salary2324s*VLOOKUP($A123,EnrollData2324,'2324 Jun 24 Enroll'!T$1,FALSE),2)-AC123</f>
        <v>19.380000000000109</v>
      </c>
      <c r="AE123" s="6" cm="1">
        <f t="array" ref="AE123">ROUND($Z123*CLS_Base_Salary2324s*VLOOKUP($A123,EnrollData2324,'2324 Jun 24 Enroll'!S$1,FALSE),2)</f>
        <v>1092.76</v>
      </c>
      <c r="AF123" s="6" cm="1">
        <f t="array" ref="AF123">ROUND($Z123*CLS_Inc_Salary2324s*VLOOKUP($A123,EnrollData2324,'2324 Jun 24 Enroll'!T$1,FALSE),2)-AE123</f>
        <v>40.430000000000064</v>
      </c>
      <c r="AG123" cm="1">
        <f t="array" ref="AG123">ROUND(($J123+$R123)*Apport_124X2324s,2)</f>
        <v>734.29</v>
      </c>
      <c r="AH123" s="69">
        <f t="shared" si="14"/>
        <v>68.700000000000045</v>
      </c>
      <c r="AI123" cm="1">
        <f t="array" ref="AI123">ROUND($Z123*Apport_124X2324s,2)</f>
        <v>218.54</v>
      </c>
      <c r="AJ123" cm="1">
        <f t="array" ref="AJ123">ROUND($Z123*Apport_621X2324s*Apport_125X2324s,2)-AI123</f>
        <v>116.51000000000002</v>
      </c>
      <c r="AK123" cm="1">
        <f t="array" ref="AK123">ROUND((AA123+AC123)*Apport_126X2324s,2)</f>
        <v>950.45</v>
      </c>
      <c r="AL123" cm="1">
        <f t="array" ref="AL123">ROUND((AB123+AD123)*Apport_127X2324s,2)</f>
        <v>33.92</v>
      </c>
      <c r="AM123" cm="1">
        <f t="array" ref="AM123">ROUND(AE123*Apport_128X2324s,2)</f>
        <v>241.06</v>
      </c>
      <c r="AN123" cm="1">
        <f t="array" ref="AN123">ROUND(AF123*Apport_129X2324s,2)</f>
        <v>7.5</v>
      </c>
      <c r="AO123" cm="1">
        <f t="array" ref="AO123">ROUND(($J123*CIS_Inc_Salary2324s*(VLOOKUP($A123,EnrollData2324,'2324 Jun 24 Enroll'!T$1,FALSE)+VLOOKUP($A123,EnrollData2324,'2324 Jun 24 Enroll'!U$1,FALSE))/Apport_613Xpd)*Apport_614Xpd,2)</f>
        <v>82.36</v>
      </c>
      <c r="AP123" cm="1">
        <f t="array" ref="AP123">ROUND(AO123*Apport_127X2324s,2)</f>
        <v>14.27</v>
      </c>
      <c r="AQ123">
        <f t="shared" si="15"/>
        <v>30.93</v>
      </c>
      <c r="AR123" s="6" cm="1">
        <f t="array" ref="AR123">ROUND((VLOOKUP($A123,EnrollData2324,'2324 Jun 24 Enroll'!D$1,FALSE)*Apport_M802324s+VLOOKUP($A123,EnrollData2324,'2324 Jun 24 Enroll'!M$1,FALSE)*Apport_M802324s+(VLOOKUP($A123,EnrollData2324,'2324 Jun 24 Enroll'!P$1,FALSE)+VLOOKUP($A123,EnrollData2324,'2324 Jun 24 Enroll'!Q$1,FALSE)+VLOOKUP($A123,EnrollData2324,'2324 Jun 24 Enroll'!R$1,FALSE)+VLOOKUP($A123,EnrollData2324,'2324 Jun 24 Enroll'!I$1,FALSE)+VLOOKUP($A123,EnrollData2324,'2324 Jun 24 Enroll'!N$1,FALSE)+VLOOKUP($A123,EnrollData2324,'2324 Jun 24 Enroll'!O$1,FALSE)+VLOOKUP($A123,EnrollData2324,'2324 Jun 24 Enroll'!K$1,FALSE)+VLOOKUP($A123,EnrollData2324,'2324 Jun 24 Enroll'!L$1,FALSE))*Apport_M812324s)/(VLOOKUP($A123,EnrollData2324,'2324 Jun 24 Enroll'!M$1,FALSE)+VLOOKUP($A123,EnrollData2324,'2324 Jun 24 Enroll'!D$1,FALSE)),2)</f>
        <v>1569.28</v>
      </c>
      <c r="AS123" s="7">
        <f t="shared" si="16"/>
        <v>10685.800000000003</v>
      </c>
    </row>
    <row r="124" spans="1:45">
      <c r="A124" s="40" t="s">
        <v>765</v>
      </c>
      <c r="B124" s="40" t="s">
        <v>766</v>
      </c>
      <c r="C124" s="11">
        <f>ROUND((IFERROR((1/IF(VLOOKUP($A124,EnrollData2324,28,FALSE)='District Calculations'!$D$10,VLOOKUP($A124,EnrollData2324,28,FALSE),'District Calculations'!$D$10))*(1+Apport_Z315),0))+Apport_201A2324s,6)</f>
        <v>7.3449E-2</v>
      </c>
      <c r="D124">
        <f>ROUND(IF(VLOOKUP($A124,EnrollData2324,'2324 Jun 24 Enroll'!D$1,FALSE)='District Calculations'!$D$11,VLOOKUP($A124,EnrollData2324,'2324 Jun 24 Enroll'!D$1,FALSE),'District Calculations'!$D$11)*C124,3)</f>
        <v>0</v>
      </c>
      <c r="E124">
        <f>ROUND(IF(VLOOKUP($A124,EnrollData2324,'2324 Jun 24 Enroll'!E$1,FALSE)='District Calculations'!$D$12,VLOOKUP($A124,EnrollData2324,'2324 Jun 24 Enroll'!E$1,FALSE),'District Calculations'!$D$12)*C124,3)</f>
        <v>59.53</v>
      </c>
      <c r="F124">
        <f>ROUND(IF(VLOOKUP($A124,EnrollData2324,'2324 Jun 24 Enroll'!F$1,FALSE)='District Calculations'!$D$13,VLOOKUP($A124,EnrollData2324,'2324 Jun 24 Enroll'!F$1,FALSE),'District Calculations'!$D$13)*Apport_222A2324s,3)</f>
        <v>10.101000000000001</v>
      </c>
      <c r="G124">
        <f>ROUND(IF(VLOOKUP($A124,EnrollData2324,'2324 Jun 24 Enroll'!G$1,FALSE)='District Calculations'!$D$14,VLOOKUP($A124,EnrollData2324,'2324 Jun 24 Enroll'!G$1,FALSE),'District Calculations'!$D$14)*Apport_210A2324s,3)</f>
        <v>22.395</v>
      </c>
      <c r="H124">
        <f>ROUND(IF(VLOOKUP($A124,EnrollData2324,'2324 Jun 24 Enroll'!H$1,FALSE)='District Calculations'!$D$15,VLOOKUP($A124,EnrollData2324,'2324 Jun 24 Enroll'!H$1,FALSE),'District Calculations'!$D$15)*Apport_213A2324s,3)</f>
        <v>23.091999999999999</v>
      </c>
      <c r="I124">
        <f>ROUND(IF(VLOOKUP($A124,EnrollData2324,'2324 Jun 24 Enroll'!I$1,FALSE)+VLOOKUP($A124,EnrollData2324,'2324 Jun 24 Enroll'!M$1,FALSE)-VLOOKUP($A124,EnrollData2324,'2324 Jun 24 Enroll'!J$1,FALSE)='District Calculations'!$D$16+'District Calculations'!$D$25-'District Calculations'!$D$17,VLOOKUP($A124,EnrollData2324,'2324 Jun 24 Enroll'!I$1,FALSE)+VLOOKUP($A124,EnrollData2324,'2324 Jun 24 Enroll'!M$1,FALSE)-VLOOKUP($A124,EnrollData2324,'2324 Jun 24 Enroll'!J$1,FALSE),'District Calculations'!$D$16+'District Calculations'!$D$25-'District Calculations'!$D$17)*Apport_216A2324s,3)</f>
        <v>58.183999999999997</v>
      </c>
      <c r="J124">
        <f>ROUND(SUM(D124:I124)/(IF(VLOOKUP($A124,EnrollData2324,'2324 Jun 24 Enroll'!M$1,FALSE)='District Calculations'!$D$25,VLOOKUP($A124,EnrollData2324,'2324 Jun 24 Enroll'!M$1,FALSE),'District Calculations'!$D$25)+IF(VLOOKUP($A124,EnrollData2324,'2324 Jun 24 Enroll'!D$1,FALSE)='District Calculations'!$D$11,VLOOKUP($A124,EnrollData2324,'2324 Jun 24 Enroll'!D$1,FALSE),'District Calculations'!$D$11)),5)</f>
        <v>5.5530000000000003E-2</v>
      </c>
      <c r="K124" s="11">
        <f t="shared" si="12"/>
        <v>4.3699999999999998E-3</v>
      </c>
      <c r="L124">
        <f>ROUND(IF(VLOOKUP($A124,EnrollData2324,'2324 Jun 24 Enroll'!D$1,FALSE)='District Calculations'!$D$11,VLOOKUP($A124,EnrollData2324,'2324 Jun 24 Enroll'!D$1,FALSE),'District Calculations'!$D$11)*K124,3)</f>
        <v>0</v>
      </c>
      <c r="M124">
        <f>ROUND(IF(VLOOKUP($A124,EnrollData2324,'2324 Jun 24 Enroll'!E$1,FALSE)='District Calculations'!$D$12,VLOOKUP($A124,EnrollData2324,'2324 Jun 24 Enroll'!E$1,FALSE),'District Calculations'!$D$12)*K124,3)</f>
        <v>3.5419999999999998</v>
      </c>
      <c r="N124">
        <f>ROUND(IF(VLOOKUP($A124,EnrollData2324,'2324 Jun 24 Enroll'!F$1,FALSE)='District Calculations'!$D$13,VLOOKUP($A124,EnrollData2324,'2324 Jun 24 Enroll'!F$1,FALSE),'District Calculations'!$D$13)*Apport_223A2324s,3)</f>
        <v>0.84299999999999997</v>
      </c>
      <c r="O124">
        <f>ROUND(IF(VLOOKUP($A124,EnrollData2324,'2324 Jun 24 Enroll'!G$1,FALSE)='District Calculations'!$D$14,VLOOKUP($A124,EnrollData2324,'2324 Jun 24 Enroll'!G$1,FALSE),'District Calculations'!$D$14)*Apport_211A2324s,3)</f>
        <v>1.87</v>
      </c>
      <c r="P124">
        <f>ROUND(IF(VLOOKUP($A124,EnrollData2324,'2324 Jun 24 Enroll'!H$1,FALSE)='District Calculations'!$D$14,VLOOKUP($A124,EnrollData2324,'2324 Jun 24 Enroll'!H$1,FALSE),'District Calculations'!$D$14)*Apport_214A2324s,3)</f>
        <v>1.8680000000000001</v>
      </c>
      <c r="Q124">
        <f>ROUND(IF(VLOOKUP($A124,EnrollData2324,'2324 Jun 24 Enroll'!I$1,FALSE)+VLOOKUP($A124,EnrollData2324,'2324 Jun 24 Enroll'!M$1,FALSE)-VLOOKUP($A124,EnrollData2324,'2324 Jun 24 Enroll'!J$1,FALSE)='District Calculations'!$D$16+'District Calculations'!$D$25-'District Calculations'!$D$17,VLOOKUP($A124,EnrollData2324,'2324 Jun 24 Enroll'!I$1,FALSE)+VLOOKUP($A124,EnrollData2324,'2324 Jun 24 Enroll'!M$1,FALSE)-VLOOKUP($A124,EnrollData2324,'2324 Jun 24 Enroll'!J$1,FALSE),'District Calculations'!$D$16+'District Calculations'!$D$25-'District Calculations'!$D$17)*Apport_217A2324s,3)</f>
        <v>4.702</v>
      </c>
      <c r="R124">
        <f>ROUND(SUM(L124:Q124)/IF(VLOOKUP($A124,EnrollData2324,'2324 Jun 24 Enroll'!M$1,FALSE)+VLOOKUP($A124,EnrollData2324,'2324 Jun 24 Enroll'!D$1,FALSE)='District Calculations'!$D$25+'District Calculations'!$D$11,VLOOKUP($A124,EnrollData2324,'2324 Jun 24 Enroll'!M$1,FALSE)+VLOOKUP($A124,EnrollData2324,'2324 Jun 24 Enroll'!D$1,FALSE),'District Calculations'!$D$25+'District Calculations'!$D$11),5)</f>
        <v>4.1099999999999999E-3</v>
      </c>
      <c r="S124" s="11">
        <f t="shared" si="13"/>
        <v>1.8689600000000001E-2</v>
      </c>
      <c r="T124">
        <f>ROUND(IF(VLOOKUP($A124,EnrollData2324,'2324 Jun 24 Enroll'!D$1,FALSE)='District Calculations'!$D$11,VLOOKUP($A124,EnrollData2324,'2324 Jun 24 Enroll'!D$1,FALSE),'District Calculations'!$D$11)*S124,3)</f>
        <v>0</v>
      </c>
      <c r="U124">
        <f>ROUND(IF(VLOOKUP($A124,EnrollData2324,'2324 Jun 24 Enroll'!E$1,FALSE)='District Calculations'!$D$12,VLOOKUP($A124,EnrollData2324,'2324 Jun 24 Enroll'!E$1,FALSE),'District Calculations'!$D$12)*S124,3)</f>
        <v>15.148</v>
      </c>
      <c r="V124">
        <f>ROUND(IF(VLOOKUP($A124,EnrollData2324,'2324 Jun 24 Enroll'!F$1,FALSE)='District Calculations'!$D$13,VLOOKUP($A124,EnrollData2324,'2324 Jun 24 Enroll'!F$1,FALSE),'District Calculations'!$D$13)*Apport_224A2324s,3)</f>
        <v>3.7029999999999998</v>
      </c>
      <c r="W124">
        <f>ROUND(IF(VLOOKUP($A124,EnrollData2324,'2324 Jun 24 Enroll'!G$1,FALSE)='District Calculations'!$D$14,VLOOKUP($A124,EnrollData2324,'2324 Jun 24 Enroll'!G$1,FALSE),'District Calculations'!$D$14)*Apport_212A2324s,3)</f>
        <v>8.2089999999999996</v>
      </c>
      <c r="X124">
        <f>ROUND(IF(VLOOKUP($A124,EnrollData2324,'2324 Jun 24 Enroll'!H$1,FALSE)='District Calculations'!$D$14,VLOOKUP($A124,EnrollData2324,'2324 Jun 24 Enroll'!H$1,FALSE),'District Calculations'!$D$14)*Apport_215A2324s,3)</f>
        <v>8.0969999999999995</v>
      </c>
      <c r="Y124">
        <f>ROUND(IF(VLOOKUP($A124,EnrollData2324,'2324 Jun 24 Enroll'!I$1,FALSE)+VLOOKUP($A124,EnrollData2324,'2324 Jun 24 Enroll'!M$1,FALSE)-VLOOKUP($A124,EnrollData2324,'2324 Jun 24 Enroll'!J$1,FALSE)='District Calculations'!$D$16+'District Calculations'!$D$25-'District Calculations'!$D$17,VLOOKUP($A124,EnrollData2324,'2324 Jun 24 Enroll'!I$1,FALSE)+VLOOKUP($A124,EnrollData2324,'2324 Jun 24 Enroll'!M$1,FALSE)-VLOOKUP($A124,EnrollData2324,'2324 Jun 24 Enroll'!J$1,FALSE),'District Calculations'!$D$16+'District Calculations'!$D$25-'District Calculations'!$D$17)*Apport_218A2324s,3)</f>
        <v>20.224</v>
      </c>
      <c r="Z124">
        <f>ROUND(SUM(T124:Y124)/IF(VLOOKUP($A124,EnrollData2324,'2324 Jun 24 Enroll'!M$1,FALSE)+VLOOKUP($A124,EnrollData2324,'2324 Jun 24 Enroll'!D$1,FALSE)='District Calculations'!$D$25+'District Calculations'!$D$11,VLOOKUP($A124,EnrollData2324,'2324 Jun 24 Enroll'!M$1,FALSE)+VLOOKUP($A124,EnrollData2324,'2324 Jun 24 Enroll'!D$1,FALSE),'District Calculations'!$D$25+'District Calculations'!$D$11),5)</f>
        <v>1.7749999999999998E-2</v>
      </c>
      <c r="AA124" s="6" cm="1">
        <f t="array" ref="AA124">ROUND($J124*CIS_Base_Salary2324s*VLOOKUP($A124,EnrollData2324,'2324 Jun 24 Enroll'!S$1,FALSE),2)</f>
        <v>4765.53</v>
      </c>
      <c r="AB124" s="6" cm="1">
        <f t="array" ref="AB124">ROUND($J124*CIS_Inc_Salary2324s*(VLOOKUP($A124,EnrollData2324,'2324 Jun 24 Enroll'!T$1,FALSE)+VLOOKUP($A124,EnrollData2324,'2324 Jun 24 Enroll'!U$1,FALSE)),2)-AA124</f>
        <v>176.32999999999993</v>
      </c>
      <c r="AC124" s="6" cm="1">
        <f t="array" ref="AC124">ROUND($R124*CAS_Base_Salary2324s*VLOOKUP($A124,EnrollData2324,'2324 Jun 24 Enroll'!S$1,FALSE),2)</f>
        <v>523.55999999999995</v>
      </c>
      <c r="AD124" s="6" cm="1">
        <f t="array" ref="AD124">ROUND($R124*CAS_Inc_Salary2324s*VLOOKUP($A124,EnrollData2324,'2324 Jun 24 Enroll'!T$1,FALSE),2)-AC124</f>
        <v>19.380000000000109</v>
      </c>
      <c r="AE124" s="6" cm="1">
        <f t="array" ref="AE124">ROUND($Z124*CLS_Base_Salary2324s*VLOOKUP($A124,EnrollData2324,'2324 Jun 24 Enroll'!S$1,FALSE),2)</f>
        <v>1092.76</v>
      </c>
      <c r="AF124" s="6" cm="1">
        <f t="array" ref="AF124">ROUND($Z124*CLS_Inc_Salary2324s*VLOOKUP($A124,EnrollData2324,'2324 Jun 24 Enroll'!T$1,FALSE),2)-AE124</f>
        <v>40.430000000000064</v>
      </c>
      <c r="AG124" cm="1">
        <f t="array" ref="AG124">ROUND(($J124+$R124)*Apport_124X2324s,2)</f>
        <v>734.29</v>
      </c>
      <c r="AH124" s="69">
        <f t="shared" si="14"/>
        <v>68.700000000000045</v>
      </c>
      <c r="AI124" cm="1">
        <f t="array" ref="AI124">ROUND($Z124*Apport_124X2324s,2)</f>
        <v>218.54</v>
      </c>
      <c r="AJ124" cm="1">
        <f t="array" ref="AJ124">ROUND($Z124*Apport_621X2324s*Apport_125X2324s,2)-AI124</f>
        <v>116.51000000000002</v>
      </c>
      <c r="AK124" cm="1">
        <f t="array" ref="AK124">ROUND((AA124+AC124)*Apport_126X2324s,2)</f>
        <v>950.45</v>
      </c>
      <c r="AL124" cm="1">
        <f t="array" ref="AL124">ROUND((AB124+AD124)*Apport_127X2324s,2)</f>
        <v>33.92</v>
      </c>
      <c r="AM124" cm="1">
        <f t="array" ref="AM124">ROUND(AE124*Apport_128X2324s,2)</f>
        <v>241.06</v>
      </c>
      <c r="AN124" cm="1">
        <f t="array" ref="AN124">ROUND(AF124*Apport_129X2324s,2)</f>
        <v>7.5</v>
      </c>
      <c r="AO124" cm="1">
        <f t="array" ref="AO124">ROUND(($J124*CIS_Inc_Salary2324s*(VLOOKUP($A124,EnrollData2324,'2324 Jun 24 Enroll'!T$1,FALSE)+VLOOKUP($A124,EnrollData2324,'2324 Jun 24 Enroll'!U$1,FALSE))/Apport_613Xpd)*Apport_614Xpd,2)</f>
        <v>82.36</v>
      </c>
      <c r="AP124" cm="1">
        <f t="array" ref="AP124">ROUND(AO124*Apport_127X2324s,2)</f>
        <v>14.27</v>
      </c>
      <c r="AQ124">
        <f t="shared" si="15"/>
        <v>30.93</v>
      </c>
      <c r="AR124" s="6" cm="1">
        <f t="array" ref="AR124">ROUND((VLOOKUP($A124,EnrollData2324,'2324 Jun 24 Enroll'!D$1,FALSE)*Apport_M802324s+VLOOKUP($A124,EnrollData2324,'2324 Jun 24 Enroll'!M$1,FALSE)*Apport_M802324s+(VLOOKUP($A124,EnrollData2324,'2324 Jun 24 Enroll'!P$1,FALSE)+VLOOKUP($A124,EnrollData2324,'2324 Jun 24 Enroll'!Q$1,FALSE)+VLOOKUP($A124,EnrollData2324,'2324 Jun 24 Enroll'!R$1,FALSE)+VLOOKUP($A124,EnrollData2324,'2324 Jun 24 Enroll'!I$1,FALSE)+VLOOKUP($A124,EnrollData2324,'2324 Jun 24 Enroll'!N$1,FALSE)+VLOOKUP($A124,EnrollData2324,'2324 Jun 24 Enroll'!O$1,FALSE)+VLOOKUP($A124,EnrollData2324,'2324 Jun 24 Enroll'!K$1,FALSE)+VLOOKUP($A124,EnrollData2324,'2324 Jun 24 Enroll'!L$1,FALSE))*Apport_M812324s)/(VLOOKUP($A124,EnrollData2324,'2324 Jun 24 Enroll'!M$1,FALSE)+VLOOKUP($A124,EnrollData2324,'2324 Jun 24 Enroll'!D$1,FALSE)),2)</f>
        <v>1559.55</v>
      </c>
      <c r="AS124" s="7">
        <f t="shared" si="16"/>
        <v>10676.070000000002</v>
      </c>
    </row>
    <row r="125" spans="1:45">
      <c r="A125" s="40" t="s">
        <v>333</v>
      </c>
      <c r="B125" s="40" t="s">
        <v>334</v>
      </c>
      <c r="C125" s="11">
        <f>ROUND((IFERROR((1/IF(VLOOKUP($A125,EnrollData2324,28,FALSE)='District Calculations'!$D$10,VLOOKUP($A125,EnrollData2324,28,FALSE),'District Calculations'!$D$10))*(1+Apport_Z315),0))+Apport_201A2324s,6)</f>
        <v>7.3449E-2</v>
      </c>
      <c r="D125">
        <f>ROUND(IF(VLOOKUP($A125,EnrollData2324,'2324 Jun 24 Enroll'!D$1,FALSE)='District Calculations'!$D$11,VLOOKUP($A125,EnrollData2324,'2324 Jun 24 Enroll'!D$1,FALSE),'District Calculations'!$D$11)*C125,3)</f>
        <v>0</v>
      </c>
      <c r="E125">
        <f>ROUND(IF(VLOOKUP($A125,EnrollData2324,'2324 Jun 24 Enroll'!E$1,FALSE)='District Calculations'!$D$12,VLOOKUP($A125,EnrollData2324,'2324 Jun 24 Enroll'!E$1,FALSE),'District Calculations'!$D$12)*C125,3)</f>
        <v>59.53</v>
      </c>
      <c r="F125">
        <f>ROUND(IF(VLOOKUP($A125,EnrollData2324,'2324 Jun 24 Enroll'!F$1,FALSE)='District Calculations'!$D$13,VLOOKUP($A125,EnrollData2324,'2324 Jun 24 Enroll'!F$1,FALSE),'District Calculations'!$D$13)*Apport_222A2324s,3)</f>
        <v>10.101000000000001</v>
      </c>
      <c r="G125">
        <f>ROUND(IF(VLOOKUP($A125,EnrollData2324,'2324 Jun 24 Enroll'!G$1,FALSE)='District Calculations'!$D$14,VLOOKUP($A125,EnrollData2324,'2324 Jun 24 Enroll'!G$1,FALSE),'District Calculations'!$D$14)*Apport_210A2324s,3)</f>
        <v>22.395</v>
      </c>
      <c r="H125">
        <f>ROUND(IF(VLOOKUP($A125,EnrollData2324,'2324 Jun 24 Enroll'!H$1,FALSE)='District Calculations'!$D$15,VLOOKUP($A125,EnrollData2324,'2324 Jun 24 Enroll'!H$1,FALSE),'District Calculations'!$D$15)*Apport_213A2324s,3)</f>
        <v>23.091999999999999</v>
      </c>
      <c r="I125">
        <f>ROUND(IF(VLOOKUP($A125,EnrollData2324,'2324 Jun 24 Enroll'!I$1,FALSE)+VLOOKUP($A125,EnrollData2324,'2324 Jun 24 Enroll'!M$1,FALSE)-VLOOKUP($A125,EnrollData2324,'2324 Jun 24 Enroll'!J$1,FALSE)='District Calculations'!$D$16+'District Calculations'!$D$25-'District Calculations'!$D$17,VLOOKUP($A125,EnrollData2324,'2324 Jun 24 Enroll'!I$1,FALSE)+VLOOKUP($A125,EnrollData2324,'2324 Jun 24 Enroll'!M$1,FALSE)-VLOOKUP($A125,EnrollData2324,'2324 Jun 24 Enroll'!J$1,FALSE),'District Calculations'!$D$16+'District Calculations'!$D$25-'District Calculations'!$D$17)*Apport_216A2324s,3)</f>
        <v>58.183999999999997</v>
      </c>
      <c r="J125">
        <f>ROUND(SUM(D125:I125)/(IF(VLOOKUP($A125,EnrollData2324,'2324 Jun 24 Enroll'!M$1,FALSE)='District Calculations'!$D$25,VLOOKUP($A125,EnrollData2324,'2324 Jun 24 Enroll'!M$1,FALSE),'District Calculations'!$D$25)+IF(VLOOKUP($A125,EnrollData2324,'2324 Jun 24 Enroll'!D$1,FALSE)='District Calculations'!$D$11,VLOOKUP($A125,EnrollData2324,'2324 Jun 24 Enroll'!D$1,FALSE),'District Calculations'!$D$11)),5)</f>
        <v>5.5530000000000003E-2</v>
      </c>
      <c r="K125" s="11">
        <f t="shared" si="12"/>
        <v>4.3699999999999998E-3</v>
      </c>
      <c r="L125">
        <f>ROUND(IF(VLOOKUP($A125,EnrollData2324,'2324 Jun 24 Enroll'!D$1,FALSE)='District Calculations'!$D$11,VLOOKUP($A125,EnrollData2324,'2324 Jun 24 Enroll'!D$1,FALSE),'District Calculations'!$D$11)*K125,3)</f>
        <v>0</v>
      </c>
      <c r="M125">
        <f>ROUND(IF(VLOOKUP($A125,EnrollData2324,'2324 Jun 24 Enroll'!E$1,FALSE)='District Calculations'!$D$12,VLOOKUP($A125,EnrollData2324,'2324 Jun 24 Enroll'!E$1,FALSE),'District Calculations'!$D$12)*K125,3)</f>
        <v>3.5419999999999998</v>
      </c>
      <c r="N125">
        <f>ROUND(IF(VLOOKUP($A125,EnrollData2324,'2324 Jun 24 Enroll'!F$1,FALSE)='District Calculations'!$D$13,VLOOKUP($A125,EnrollData2324,'2324 Jun 24 Enroll'!F$1,FALSE),'District Calculations'!$D$13)*Apport_223A2324s,3)</f>
        <v>0.84299999999999997</v>
      </c>
      <c r="O125">
        <f>ROUND(IF(VLOOKUP($A125,EnrollData2324,'2324 Jun 24 Enroll'!G$1,FALSE)='District Calculations'!$D$14,VLOOKUP($A125,EnrollData2324,'2324 Jun 24 Enroll'!G$1,FALSE),'District Calculations'!$D$14)*Apport_211A2324s,3)</f>
        <v>1.87</v>
      </c>
      <c r="P125">
        <f>ROUND(IF(VLOOKUP($A125,EnrollData2324,'2324 Jun 24 Enroll'!H$1,FALSE)='District Calculations'!$D$14,VLOOKUP($A125,EnrollData2324,'2324 Jun 24 Enroll'!H$1,FALSE),'District Calculations'!$D$14)*Apport_214A2324s,3)</f>
        <v>1.8680000000000001</v>
      </c>
      <c r="Q125">
        <f>ROUND(IF(VLOOKUP($A125,EnrollData2324,'2324 Jun 24 Enroll'!I$1,FALSE)+VLOOKUP($A125,EnrollData2324,'2324 Jun 24 Enroll'!M$1,FALSE)-VLOOKUP($A125,EnrollData2324,'2324 Jun 24 Enroll'!J$1,FALSE)='District Calculations'!$D$16+'District Calculations'!$D$25-'District Calculations'!$D$17,VLOOKUP($A125,EnrollData2324,'2324 Jun 24 Enroll'!I$1,FALSE)+VLOOKUP($A125,EnrollData2324,'2324 Jun 24 Enroll'!M$1,FALSE)-VLOOKUP($A125,EnrollData2324,'2324 Jun 24 Enroll'!J$1,FALSE),'District Calculations'!$D$16+'District Calculations'!$D$25-'District Calculations'!$D$17)*Apport_217A2324s,3)</f>
        <v>4.702</v>
      </c>
      <c r="R125">
        <f>ROUND(SUM(L125:Q125)/IF(VLOOKUP($A125,EnrollData2324,'2324 Jun 24 Enroll'!M$1,FALSE)+VLOOKUP($A125,EnrollData2324,'2324 Jun 24 Enroll'!D$1,FALSE)='District Calculations'!$D$25+'District Calculations'!$D$11,VLOOKUP($A125,EnrollData2324,'2324 Jun 24 Enroll'!M$1,FALSE)+VLOOKUP($A125,EnrollData2324,'2324 Jun 24 Enroll'!D$1,FALSE),'District Calculations'!$D$25+'District Calculations'!$D$11),5)</f>
        <v>4.1099999999999999E-3</v>
      </c>
      <c r="S125" s="11">
        <f t="shared" si="13"/>
        <v>1.8689600000000001E-2</v>
      </c>
      <c r="T125">
        <f>ROUND(IF(VLOOKUP($A125,EnrollData2324,'2324 Jun 24 Enroll'!D$1,FALSE)='District Calculations'!$D$11,VLOOKUP($A125,EnrollData2324,'2324 Jun 24 Enroll'!D$1,FALSE),'District Calculations'!$D$11)*S125,3)</f>
        <v>0</v>
      </c>
      <c r="U125">
        <f>ROUND(IF(VLOOKUP($A125,EnrollData2324,'2324 Jun 24 Enroll'!E$1,FALSE)='District Calculations'!$D$12,VLOOKUP($A125,EnrollData2324,'2324 Jun 24 Enroll'!E$1,FALSE),'District Calculations'!$D$12)*S125,3)</f>
        <v>15.148</v>
      </c>
      <c r="V125">
        <f>ROUND(IF(VLOOKUP($A125,EnrollData2324,'2324 Jun 24 Enroll'!F$1,FALSE)='District Calculations'!$D$13,VLOOKUP($A125,EnrollData2324,'2324 Jun 24 Enroll'!F$1,FALSE),'District Calculations'!$D$13)*Apport_224A2324s,3)</f>
        <v>3.7029999999999998</v>
      </c>
      <c r="W125">
        <f>ROUND(IF(VLOOKUP($A125,EnrollData2324,'2324 Jun 24 Enroll'!G$1,FALSE)='District Calculations'!$D$14,VLOOKUP($A125,EnrollData2324,'2324 Jun 24 Enroll'!G$1,FALSE),'District Calculations'!$D$14)*Apport_212A2324s,3)</f>
        <v>8.2089999999999996</v>
      </c>
      <c r="X125">
        <f>ROUND(IF(VLOOKUP($A125,EnrollData2324,'2324 Jun 24 Enroll'!H$1,FALSE)='District Calculations'!$D$14,VLOOKUP($A125,EnrollData2324,'2324 Jun 24 Enroll'!H$1,FALSE),'District Calculations'!$D$14)*Apport_215A2324s,3)</f>
        <v>8.0969999999999995</v>
      </c>
      <c r="Y125">
        <f>ROUND(IF(VLOOKUP($A125,EnrollData2324,'2324 Jun 24 Enroll'!I$1,FALSE)+VLOOKUP($A125,EnrollData2324,'2324 Jun 24 Enroll'!M$1,FALSE)-VLOOKUP($A125,EnrollData2324,'2324 Jun 24 Enroll'!J$1,FALSE)='District Calculations'!$D$16+'District Calculations'!$D$25-'District Calculations'!$D$17,VLOOKUP($A125,EnrollData2324,'2324 Jun 24 Enroll'!I$1,FALSE)+VLOOKUP($A125,EnrollData2324,'2324 Jun 24 Enroll'!M$1,FALSE)-VLOOKUP($A125,EnrollData2324,'2324 Jun 24 Enroll'!J$1,FALSE),'District Calculations'!$D$16+'District Calculations'!$D$25-'District Calculations'!$D$17)*Apport_218A2324s,3)</f>
        <v>20.224</v>
      </c>
      <c r="Z125">
        <f>ROUND(SUM(T125:Y125)/IF(VLOOKUP($A125,EnrollData2324,'2324 Jun 24 Enroll'!M$1,FALSE)+VLOOKUP($A125,EnrollData2324,'2324 Jun 24 Enroll'!D$1,FALSE)='District Calculations'!$D$25+'District Calculations'!$D$11,VLOOKUP($A125,EnrollData2324,'2324 Jun 24 Enroll'!M$1,FALSE)+VLOOKUP($A125,EnrollData2324,'2324 Jun 24 Enroll'!D$1,FALSE),'District Calculations'!$D$25+'District Calculations'!$D$11),5)</f>
        <v>1.7749999999999998E-2</v>
      </c>
      <c r="AA125" s="6" cm="1">
        <f t="array" ref="AA125">ROUND($J125*CIS_Base_Salary2324s*VLOOKUP($A125,EnrollData2324,'2324 Jun 24 Enroll'!S$1,FALSE),2)</f>
        <v>4765.53</v>
      </c>
      <c r="AB125" s="6" cm="1">
        <f t="array" ref="AB125">ROUND($J125*CIS_Inc_Salary2324s*(VLOOKUP($A125,EnrollData2324,'2324 Jun 24 Enroll'!T$1,FALSE)+VLOOKUP($A125,EnrollData2324,'2324 Jun 24 Enroll'!U$1,FALSE)),2)-AA125</f>
        <v>176.32999999999993</v>
      </c>
      <c r="AC125" s="6" cm="1">
        <f t="array" ref="AC125">ROUND($R125*CAS_Base_Salary2324s*VLOOKUP($A125,EnrollData2324,'2324 Jun 24 Enroll'!S$1,FALSE),2)</f>
        <v>523.55999999999995</v>
      </c>
      <c r="AD125" s="6" cm="1">
        <f t="array" ref="AD125">ROUND($R125*CAS_Inc_Salary2324s*VLOOKUP($A125,EnrollData2324,'2324 Jun 24 Enroll'!T$1,FALSE),2)-AC125</f>
        <v>19.380000000000109</v>
      </c>
      <c r="AE125" s="6" cm="1">
        <f t="array" ref="AE125">ROUND($Z125*CLS_Base_Salary2324s*VLOOKUP($A125,EnrollData2324,'2324 Jun 24 Enroll'!S$1,FALSE),2)</f>
        <v>1092.76</v>
      </c>
      <c r="AF125" s="6" cm="1">
        <f t="array" ref="AF125">ROUND($Z125*CLS_Inc_Salary2324s*VLOOKUP($A125,EnrollData2324,'2324 Jun 24 Enroll'!T$1,FALSE),2)-AE125</f>
        <v>40.430000000000064</v>
      </c>
      <c r="AG125" cm="1">
        <f t="array" ref="AG125">ROUND(($J125+$R125)*Apport_124X2324s,2)</f>
        <v>734.29</v>
      </c>
      <c r="AH125" s="69">
        <f t="shared" si="14"/>
        <v>68.700000000000045</v>
      </c>
      <c r="AI125" cm="1">
        <f t="array" ref="AI125">ROUND($Z125*Apport_124X2324s,2)</f>
        <v>218.54</v>
      </c>
      <c r="AJ125" cm="1">
        <f t="array" ref="AJ125">ROUND($Z125*Apport_621X2324s*Apport_125X2324s,2)-AI125</f>
        <v>116.51000000000002</v>
      </c>
      <c r="AK125" cm="1">
        <f t="array" ref="AK125">ROUND((AA125+AC125)*Apport_126X2324s,2)</f>
        <v>950.45</v>
      </c>
      <c r="AL125" cm="1">
        <f t="array" ref="AL125">ROUND((AB125+AD125)*Apport_127X2324s,2)</f>
        <v>33.92</v>
      </c>
      <c r="AM125" cm="1">
        <f t="array" ref="AM125">ROUND(AE125*Apport_128X2324s,2)</f>
        <v>241.06</v>
      </c>
      <c r="AN125" cm="1">
        <f t="array" ref="AN125">ROUND(AF125*Apport_129X2324s,2)</f>
        <v>7.5</v>
      </c>
      <c r="AO125" cm="1">
        <f t="array" ref="AO125">ROUND(($J125*CIS_Inc_Salary2324s*(VLOOKUP($A125,EnrollData2324,'2324 Jun 24 Enroll'!T$1,FALSE)+VLOOKUP($A125,EnrollData2324,'2324 Jun 24 Enroll'!U$1,FALSE))/Apport_613Xpd)*Apport_614Xpd,2)</f>
        <v>82.36</v>
      </c>
      <c r="AP125" cm="1">
        <f t="array" ref="AP125">ROUND(AO125*Apport_127X2324s,2)</f>
        <v>14.27</v>
      </c>
      <c r="AQ125">
        <f t="shared" si="15"/>
        <v>30.93</v>
      </c>
      <c r="AR125" s="6" cm="1">
        <f t="array" ref="AR125">ROUND((VLOOKUP($A125,EnrollData2324,'2324 Jun 24 Enroll'!D$1,FALSE)*Apport_M802324s+VLOOKUP($A125,EnrollData2324,'2324 Jun 24 Enroll'!M$1,FALSE)*Apport_M802324s+(VLOOKUP($A125,EnrollData2324,'2324 Jun 24 Enroll'!P$1,FALSE)+VLOOKUP($A125,EnrollData2324,'2324 Jun 24 Enroll'!Q$1,FALSE)+VLOOKUP($A125,EnrollData2324,'2324 Jun 24 Enroll'!R$1,FALSE)+VLOOKUP($A125,EnrollData2324,'2324 Jun 24 Enroll'!I$1,FALSE)+VLOOKUP($A125,EnrollData2324,'2324 Jun 24 Enroll'!N$1,FALSE)+VLOOKUP($A125,EnrollData2324,'2324 Jun 24 Enroll'!O$1,FALSE)+VLOOKUP($A125,EnrollData2324,'2324 Jun 24 Enroll'!K$1,FALSE)+VLOOKUP($A125,EnrollData2324,'2324 Jun 24 Enroll'!L$1,FALSE))*Apport_M812324s)/(VLOOKUP($A125,EnrollData2324,'2324 Jun 24 Enroll'!M$1,FALSE)+VLOOKUP($A125,EnrollData2324,'2324 Jun 24 Enroll'!D$1,FALSE)),2)</f>
        <v>1578.17</v>
      </c>
      <c r="AS125" s="7">
        <f t="shared" si="16"/>
        <v>10694.690000000002</v>
      </c>
    </row>
    <row r="126" spans="1:45">
      <c r="A126" s="40" t="s">
        <v>833</v>
      </c>
      <c r="B126" s="40" t="s">
        <v>834</v>
      </c>
      <c r="C126" s="11">
        <f>ROUND((IFERROR((1/IF(VLOOKUP($A126,EnrollData2324,28,FALSE)='District Calculations'!$D$10,VLOOKUP($A126,EnrollData2324,28,FALSE),'District Calculations'!$D$10))*(1+Apport_Z315),0))+Apport_201A2324s,6)</f>
        <v>7.3449E-2</v>
      </c>
      <c r="D126">
        <f>ROUND(IF(VLOOKUP($A126,EnrollData2324,'2324 Jun 24 Enroll'!D$1,FALSE)='District Calculations'!$D$11,VLOOKUP($A126,EnrollData2324,'2324 Jun 24 Enroll'!D$1,FALSE),'District Calculations'!$D$11)*C126,3)</f>
        <v>0</v>
      </c>
      <c r="E126">
        <f>ROUND(IF(VLOOKUP($A126,EnrollData2324,'2324 Jun 24 Enroll'!E$1,FALSE)='District Calculations'!$D$12,VLOOKUP($A126,EnrollData2324,'2324 Jun 24 Enroll'!E$1,FALSE),'District Calculations'!$D$12)*C126,3)</f>
        <v>59.53</v>
      </c>
      <c r="F126">
        <f>ROUND(IF(VLOOKUP($A126,EnrollData2324,'2324 Jun 24 Enroll'!F$1,FALSE)='District Calculations'!$D$13,VLOOKUP($A126,EnrollData2324,'2324 Jun 24 Enroll'!F$1,FALSE),'District Calculations'!$D$13)*Apport_222A2324s,3)</f>
        <v>10.101000000000001</v>
      </c>
      <c r="G126">
        <f>ROUND(IF(VLOOKUP($A126,EnrollData2324,'2324 Jun 24 Enroll'!G$1,FALSE)='District Calculations'!$D$14,VLOOKUP($A126,EnrollData2324,'2324 Jun 24 Enroll'!G$1,FALSE),'District Calculations'!$D$14)*Apport_210A2324s,3)</f>
        <v>22.395</v>
      </c>
      <c r="H126">
        <f>ROUND(IF(VLOOKUP($A126,EnrollData2324,'2324 Jun 24 Enroll'!H$1,FALSE)='District Calculations'!$D$15,VLOOKUP($A126,EnrollData2324,'2324 Jun 24 Enroll'!H$1,FALSE),'District Calculations'!$D$15)*Apport_213A2324s,3)</f>
        <v>23.091999999999999</v>
      </c>
      <c r="I126">
        <f>ROUND(IF(VLOOKUP($A126,EnrollData2324,'2324 Jun 24 Enroll'!I$1,FALSE)+VLOOKUP($A126,EnrollData2324,'2324 Jun 24 Enroll'!M$1,FALSE)-VLOOKUP($A126,EnrollData2324,'2324 Jun 24 Enroll'!J$1,FALSE)='District Calculations'!$D$16+'District Calculations'!$D$25-'District Calculations'!$D$17,VLOOKUP($A126,EnrollData2324,'2324 Jun 24 Enroll'!I$1,FALSE)+VLOOKUP($A126,EnrollData2324,'2324 Jun 24 Enroll'!M$1,FALSE)-VLOOKUP($A126,EnrollData2324,'2324 Jun 24 Enroll'!J$1,FALSE),'District Calculations'!$D$16+'District Calculations'!$D$25-'District Calculations'!$D$17)*Apport_216A2324s,3)</f>
        <v>58.183999999999997</v>
      </c>
      <c r="J126">
        <f>ROUND(SUM(D126:I126)/(IF(VLOOKUP($A126,EnrollData2324,'2324 Jun 24 Enroll'!M$1,FALSE)='District Calculations'!$D$25,VLOOKUP($A126,EnrollData2324,'2324 Jun 24 Enroll'!M$1,FALSE),'District Calculations'!$D$25)+IF(VLOOKUP($A126,EnrollData2324,'2324 Jun 24 Enroll'!D$1,FALSE)='District Calculations'!$D$11,VLOOKUP($A126,EnrollData2324,'2324 Jun 24 Enroll'!D$1,FALSE),'District Calculations'!$D$11)),5)</f>
        <v>5.5530000000000003E-2</v>
      </c>
      <c r="K126" s="11">
        <f t="shared" si="12"/>
        <v>4.3699999999999998E-3</v>
      </c>
      <c r="L126">
        <f>ROUND(IF(VLOOKUP($A126,EnrollData2324,'2324 Jun 24 Enroll'!D$1,FALSE)='District Calculations'!$D$11,VLOOKUP($A126,EnrollData2324,'2324 Jun 24 Enroll'!D$1,FALSE),'District Calculations'!$D$11)*K126,3)</f>
        <v>0</v>
      </c>
      <c r="M126">
        <f>ROUND(IF(VLOOKUP($A126,EnrollData2324,'2324 Jun 24 Enroll'!E$1,FALSE)='District Calculations'!$D$12,VLOOKUP($A126,EnrollData2324,'2324 Jun 24 Enroll'!E$1,FALSE),'District Calculations'!$D$12)*K126,3)</f>
        <v>3.5419999999999998</v>
      </c>
      <c r="N126">
        <f>ROUND(IF(VLOOKUP($A126,EnrollData2324,'2324 Jun 24 Enroll'!F$1,FALSE)='District Calculations'!$D$13,VLOOKUP($A126,EnrollData2324,'2324 Jun 24 Enroll'!F$1,FALSE),'District Calculations'!$D$13)*Apport_223A2324s,3)</f>
        <v>0.84299999999999997</v>
      </c>
      <c r="O126">
        <f>ROUND(IF(VLOOKUP($A126,EnrollData2324,'2324 Jun 24 Enroll'!G$1,FALSE)='District Calculations'!$D$14,VLOOKUP($A126,EnrollData2324,'2324 Jun 24 Enroll'!G$1,FALSE),'District Calculations'!$D$14)*Apport_211A2324s,3)</f>
        <v>1.87</v>
      </c>
      <c r="P126">
        <f>ROUND(IF(VLOOKUP($A126,EnrollData2324,'2324 Jun 24 Enroll'!H$1,FALSE)='District Calculations'!$D$14,VLOOKUP($A126,EnrollData2324,'2324 Jun 24 Enroll'!H$1,FALSE),'District Calculations'!$D$14)*Apport_214A2324s,3)</f>
        <v>1.8680000000000001</v>
      </c>
      <c r="Q126">
        <f>ROUND(IF(VLOOKUP($A126,EnrollData2324,'2324 Jun 24 Enroll'!I$1,FALSE)+VLOOKUP($A126,EnrollData2324,'2324 Jun 24 Enroll'!M$1,FALSE)-VLOOKUP($A126,EnrollData2324,'2324 Jun 24 Enroll'!J$1,FALSE)='District Calculations'!$D$16+'District Calculations'!$D$25-'District Calculations'!$D$17,VLOOKUP($A126,EnrollData2324,'2324 Jun 24 Enroll'!I$1,FALSE)+VLOOKUP($A126,EnrollData2324,'2324 Jun 24 Enroll'!M$1,FALSE)-VLOOKUP($A126,EnrollData2324,'2324 Jun 24 Enroll'!J$1,FALSE),'District Calculations'!$D$16+'District Calculations'!$D$25-'District Calculations'!$D$17)*Apport_217A2324s,3)</f>
        <v>4.702</v>
      </c>
      <c r="R126">
        <f>ROUND(SUM(L126:Q126)/IF(VLOOKUP($A126,EnrollData2324,'2324 Jun 24 Enroll'!M$1,FALSE)+VLOOKUP($A126,EnrollData2324,'2324 Jun 24 Enroll'!D$1,FALSE)='District Calculations'!$D$25+'District Calculations'!$D$11,VLOOKUP($A126,EnrollData2324,'2324 Jun 24 Enroll'!M$1,FALSE)+VLOOKUP($A126,EnrollData2324,'2324 Jun 24 Enroll'!D$1,FALSE),'District Calculations'!$D$25+'District Calculations'!$D$11),5)</f>
        <v>4.1099999999999999E-3</v>
      </c>
      <c r="S126" s="11">
        <f t="shared" si="13"/>
        <v>1.8689600000000001E-2</v>
      </c>
      <c r="T126">
        <f>ROUND(IF(VLOOKUP($A126,EnrollData2324,'2324 Jun 24 Enroll'!D$1,FALSE)='District Calculations'!$D$11,VLOOKUP($A126,EnrollData2324,'2324 Jun 24 Enroll'!D$1,FALSE),'District Calculations'!$D$11)*S126,3)</f>
        <v>0</v>
      </c>
      <c r="U126">
        <f>ROUND(IF(VLOOKUP($A126,EnrollData2324,'2324 Jun 24 Enroll'!E$1,FALSE)='District Calculations'!$D$12,VLOOKUP($A126,EnrollData2324,'2324 Jun 24 Enroll'!E$1,FALSE),'District Calculations'!$D$12)*S126,3)</f>
        <v>15.148</v>
      </c>
      <c r="V126">
        <f>ROUND(IF(VLOOKUP($A126,EnrollData2324,'2324 Jun 24 Enroll'!F$1,FALSE)='District Calculations'!$D$13,VLOOKUP($A126,EnrollData2324,'2324 Jun 24 Enroll'!F$1,FALSE),'District Calculations'!$D$13)*Apport_224A2324s,3)</f>
        <v>3.7029999999999998</v>
      </c>
      <c r="W126">
        <f>ROUND(IF(VLOOKUP($A126,EnrollData2324,'2324 Jun 24 Enroll'!G$1,FALSE)='District Calculations'!$D$14,VLOOKUP($A126,EnrollData2324,'2324 Jun 24 Enroll'!G$1,FALSE),'District Calculations'!$D$14)*Apport_212A2324s,3)</f>
        <v>8.2089999999999996</v>
      </c>
      <c r="X126">
        <f>ROUND(IF(VLOOKUP($A126,EnrollData2324,'2324 Jun 24 Enroll'!H$1,FALSE)='District Calculations'!$D$14,VLOOKUP($A126,EnrollData2324,'2324 Jun 24 Enroll'!H$1,FALSE),'District Calculations'!$D$14)*Apport_215A2324s,3)</f>
        <v>8.0969999999999995</v>
      </c>
      <c r="Y126">
        <f>ROUND(IF(VLOOKUP($A126,EnrollData2324,'2324 Jun 24 Enroll'!I$1,FALSE)+VLOOKUP($A126,EnrollData2324,'2324 Jun 24 Enroll'!M$1,FALSE)-VLOOKUP($A126,EnrollData2324,'2324 Jun 24 Enroll'!J$1,FALSE)='District Calculations'!$D$16+'District Calculations'!$D$25-'District Calculations'!$D$17,VLOOKUP($A126,EnrollData2324,'2324 Jun 24 Enroll'!I$1,FALSE)+VLOOKUP($A126,EnrollData2324,'2324 Jun 24 Enroll'!M$1,FALSE)-VLOOKUP($A126,EnrollData2324,'2324 Jun 24 Enroll'!J$1,FALSE),'District Calculations'!$D$16+'District Calculations'!$D$25-'District Calculations'!$D$17)*Apport_218A2324s,3)</f>
        <v>20.224</v>
      </c>
      <c r="Z126">
        <f>ROUND(SUM(T126:Y126)/IF(VLOOKUP($A126,EnrollData2324,'2324 Jun 24 Enroll'!M$1,FALSE)+VLOOKUP($A126,EnrollData2324,'2324 Jun 24 Enroll'!D$1,FALSE)='District Calculations'!$D$25+'District Calculations'!$D$11,VLOOKUP($A126,EnrollData2324,'2324 Jun 24 Enroll'!M$1,FALSE)+VLOOKUP($A126,EnrollData2324,'2324 Jun 24 Enroll'!D$1,FALSE),'District Calculations'!$D$25+'District Calculations'!$D$11),5)</f>
        <v>1.7749999999999998E-2</v>
      </c>
      <c r="AA126" s="6" cm="1">
        <f t="array" ref="AA126">ROUND($J126*CIS_Base_Salary2324s*VLOOKUP($A126,EnrollData2324,'2324 Jun 24 Enroll'!S$1,FALSE),2)</f>
        <v>4765.53</v>
      </c>
      <c r="AB126" s="6" cm="1">
        <f t="array" ref="AB126">ROUND($J126*CIS_Inc_Salary2324s*(VLOOKUP($A126,EnrollData2324,'2324 Jun 24 Enroll'!T$1,FALSE)+VLOOKUP($A126,EnrollData2324,'2324 Jun 24 Enroll'!U$1,FALSE)),2)-AA126</f>
        <v>176.32999999999993</v>
      </c>
      <c r="AC126" s="6" cm="1">
        <f t="array" ref="AC126">ROUND($R126*CAS_Base_Salary2324s*VLOOKUP($A126,EnrollData2324,'2324 Jun 24 Enroll'!S$1,FALSE),2)</f>
        <v>523.55999999999995</v>
      </c>
      <c r="AD126" s="6" cm="1">
        <f t="array" ref="AD126">ROUND($R126*CAS_Inc_Salary2324s*VLOOKUP($A126,EnrollData2324,'2324 Jun 24 Enroll'!T$1,FALSE),2)-AC126</f>
        <v>19.380000000000109</v>
      </c>
      <c r="AE126" s="6" cm="1">
        <f t="array" ref="AE126">ROUND($Z126*CLS_Base_Salary2324s*VLOOKUP($A126,EnrollData2324,'2324 Jun 24 Enroll'!S$1,FALSE),2)</f>
        <v>1092.76</v>
      </c>
      <c r="AF126" s="6" cm="1">
        <f t="array" ref="AF126">ROUND($Z126*CLS_Inc_Salary2324s*VLOOKUP($A126,EnrollData2324,'2324 Jun 24 Enroll'!T$1,FALSE),2)-AE126</f>
        <v>40.430000000000064</v>
      </c>
      <c r="AG126" cm="1">
        <f t="array" ref="AG126">ROUND(($J126+$R126)*Apport_124X2324s,2)</f>
        <v>734.29</v>
      </c>
      <c r="AH126" s="69">
        <f t="shared" si="14"/>
        <v>68.700000000000045</v>
      </c>
      <c r="AI126" cm="1">
        <f t="array" ref="AI126">ROUND($Z126*Apport_124X2324s,2)</f>
        <v>218.54</v>
      </c>
      <c r="AJ126" cm="1">
        <f t="array" ref="AJ126">ROUND($Z126*Apport_621X2324s*Apport_125X2324s,2)-AI126</f>
        <v>116.51000000000002</v>
      </c>
      <c r="AK126" cm="1">
        <f t="array" ref="AK126">ROUND((AA126+AC126)*Apport_126X2324s,2)</f>
        <v>950.45</v>
      </c>
      <c r="AL126" cm="1">
        <f t="array" ref="AL126">ROUND((AB126+AD126)*Apport_127X2324s,2)</f>
        <v>33.92</v>
      </c>
      <c r="AM126" cm="1">
        <f t="array" ref="AM126">ROUND(AE126*Apport_128X2324s,2)</f>
        <v>241.06</v>
      </c>
      <c r="AN126" cm="1">
        <f t="array" ref="AN126">ROUND(AF126*Apport_129X2324s,2)</f>
        <v>7.5</v>
      </c>
      <c r="AO126" cm="1">
        <f t="array" ref="AO126">ROUND(($J126*CIS_Inc_Salary2324s*(VLOOKUP($A126,EnrollData2324,'2324 Jun 24 Enroll'!T$1,FALSE)+VLOOKUP($A126,EnrollData2324,'2324 Jun 24 Enroll'!U$1,FALSE))/Apport_613Xpd)*Apport_614Xpd,2)</f>
        <v>82.36</v>
      </c>
      <c r="AP126" cm="1">
        <f t="array" ref="AP126">ROUND(AO126*Apport_127X2324s,2)</f>
        <v>14.27</v>
      </c>
      <c r="AQ126">
        <f t="shared" si="15"/>
        <v>30.93</v>
      </c>
      <c r="AR126" s="6" cm="1">
        <f t="array" ref="AR126">ROUND((VLOOKUP($A126,EnrollData2324,'2324 Jun 24 Enroll'!D$1,FALSE)*Apport_M802324s+VLOOKUP($A126,EnrollData2324,'2324 Jun 24 Enroll'!M$1,FALSE)*Apport_M802324s+(VLOOKUP($A126,EnrollData2324,'2324 Jun 24 Enroll'!P$1,FALSE)+VLOOKUP($A126,EnrollData2324,'2324 Jun 24 Enroll'!Q$1,FALSE)+VLOOKUP($A126,EnrollData2324,'2324 Jun 24 Enroll'!R$1,FALSE)+VLOOKUP($A126,EnrollData2324,'2324 Jun 24 Enroll'!I$1,FALSE)+VLOOKUP($A126,EnrollData2324,'2324 Jun 24 Enroll'!N$1,FALSE)+VLOOKUP($A126,EnrollData2324,'2324 Jun 24 Enroll'!O$1,FALSE)+VLOOKUP($A126,EnrollData2324,'2324 Jun 24 Enroll'!K$1,FALSE)+VLOOKUP($A126,EnrollData2324,'2324 Jun 24 Enroll'!L$1,FALSE))*Apport_M812324s)/(VLOOKUP($A126,EnrollData2324,'2324 Jun 24 Enroll'!M$1,FALSE)+VLOOKUP($A126,EnrollData2324,'2324 Jun 24 Enroll'!D$1,FALSE)),2)</f>
        <v>1568.92</v>
      </c>
      <c r="AS126" s="7">
        <f t="shared" si="16"/>
        <v>10685.440000000002</v>
      </c>
    </row>
    <row r="127" spans="1:45">
      <c r="A127" s="40" t="s">
        <v>733</v>
      </c>
      <c r="B127" s="40" t="s">
        <v>734</v>
      </c>
      <c r="C127" s="11">
        <f>ROUND((IFERROR((1/IF(VLOOKUP($A127,EnrollData2324,28,FALSE)='District Calculations'!$D$10,VLOOKUP($A127,EnrollData2324,28,FALSE),'District Calculations'!$D$10))*(1+Apport_Z315),0))+Apport_201A2324s,6)</f>
        <v>7.3449E-2</v>
      </c>
      <c r="D127">
        <f>ROUND(IF(VLOOKUP($A127,EnrollData2324,'2324 Jun 24 Enroll'!D$1,FALSE)='District Calculations'!$D$11,VLOOKUP($A127,EnrollData2324,'2324 Jun 24 Enroll'!D$1,FALSE),'District Calculations'!$D$11)*C127,3)</f>
        <v>0</v>
      </c>
      <c r="E127">
        <f>ROUND(IF(VLOOKUP($A127,EnrollData2324,'2324 Jun 24 Enroll'!E$1,FALSE)='District Calculations'!$D$12,VLOOKUP($A127,EnrollData2324,'2324 Jun 24 Enroll'!E$1,FALSE),'District Calculations'!$D$12)*C127,3)</f>
        <v>59.53</v>
      </c>
      <c r="F127">
        <f>ROUND(IF(VLOOKUP($A127,EnrollData2324,'2324 Jun 24 Enroll'!F$1,FALSE)='District Calculations'!$D$13,VLOOKUP($A127,EnrollData2324,'2324 Jun 24 Enroll'!F$1,FALSE),'District Calculations'!$D$13)*Apport_222A2324s,3)</f>
        <v>10.101000000000001</v>
      </c>
      <c r="G127">
        <f>ROUND(IF(VLOOKUP($A127,EnrollData2324,'2324 Jun 24 Enroll'!G$1,FALSE)='District Calculations'!$D$14,VLOOKUP($A127,EnrollData2324,'2324 Jun 24 Enroll'!G$1,FALSE),'District Calculations'!$D$14)*Apport_210A2324s,3)</f>
        <v>22.395</v>
      </c>
      <c r="H127">
        <f>ROUND(IF(VLOOKUP($A127,EnrollData2324,'2324 Jun 24 Enroll'!H$1,FALSE)='District Calculations'!$D$15,VLOOKUP($A127,EnrollData2324,'2324 Jun 24 Enroll'!H$1,FALSE),'District Calculations'!$D$15)*Apport_213A2324s,3)</f>
        <v>23.091999999999999</v>
      </c>
      <c r="I127">
        <f>ROUND(IF(VLOOKUP($A127,EnrollData2324,'2324 Jun 24 Enroll'!I$1,FALSE)+VLOOKUP($A127,EnrollData2324,'2324 Jun 24 Enroll'!M$1,FALSE)-VLOOKUP($A127,EnrollData2324,'2324 Jun 24 Enroll'!J$1,FALSE)='District Calculations'!$D$16+'District Calculations'!$D$25-'District Calculations'!$D$17,VLOOKUP($A127,EnrollData2324,'2324 Jun 24 Enroll'!I$1,FALSE)+VLOOKUP($A127,EnrollData2324,'2324 Jun 24 Enroll'!M$1,FALSE)-VLOOKUP($A127,EnrollData2324,'2324 Jun 24 Enroll'!J$1,FALSE),'District Calculations'!$D$16+'District Calculations'!$D$25-'District Calculations'!$D$17)*Apport_216A2324s,3)</f>
        <v>58.183999999999997</v>
      </c>
      <c r="J127">
        <f>ROUND(SUM(D127:I127)/(IF(VLOOKUP($A127,EnrollData2324,'2324 Jun 24 Enroll'!M$1,FALSE)='District Calculations'!$D$25,VLOOKUP($A127,EnrollData2324,'2324 Jun 24 Enroll'!M$1,FALSE),'District Calculations'!$D$25)+IF(VLOOKUP($A127,EnrollData2324,'2324 Jun 24 Enroll'!D$1,FALSE)='District Calculations'!$D$11,VLOOKUP($A127,EnrollData2324,'2324 Jun 24 Enroll'!D$1,FALSE),'District Calculations'!$D$11)),5)</f>
        <v>5.5530000000000003E-2</v>
      </c>
      <c r="K127" s="11">
        <f t="shared" si="12"/>
        <v>4.3699999999999998E-3</v>
      </c>
      <c r="L127">
        <f>ROUND(IF(VLOOKUP($A127,EnrollData2324,'2324 Jun 24 Enroll'!D$1,FALSE)='District Calculations'!$D$11,VLOOKUP($A127,EnrollData2324,'2324 Jun 24 Enroll'!D$1,FALSE),'District Calculations'!$D$11)*K127,3)</f>
        <v>0</v>
      </c>
      <c r="M127">
        <f>ROUND(IF(VLOOKUP($A127,EnrollData2324,'2324 Jun 24 Enroll'!E$1,FALSE)='District Calculations'!$D$12,VLOOKUP($A127,EnrollData2324,'2324 Jun 24 Enroll'!E$1,FALSE),'District Calculations'!$D$12)*K127,3)</f>
        <v>3.5419999999999998</v>
      </c>
      <c r="N127">
        <f>ROUND(IF(VLOOKUP($A127,EnrollData2324,'2324 Jun 24 Enroll'!F$1,FALSE)='District Calculations'!$D$13,VLOOKUP($A127,EnrollData2324,'2324 Jun 24 Enroll'!F$1,FALSE),'District Calculations'!$D$13)*Apport_223A2324s,3)</f>
        <v>0.84299999999999997</v>
      </c>
      <c r="O127">
        <f>ROUND(IF(VLOOKUP($A127,EnrollData2324,'2324 Jun 24 Enroll'!G$1,FALSE)='District Calculations'!$D$14,VLOOKUP($A127,EnrollData2324,'2324 Jun 24 Enroll'!G$1,FALSE),'District Calculations'!$D$14)*Apport_211A2324s,3)</f>
        <v>1.87</v>
      </c>
      <c r="P127">
        <f>ROUND(IF(VLOOKUP($A127,EnrollData2324,'2324 Jun 24 Enroll'!H$1,FALSE)='District Calculations'!$D$14,VLOOKUP($A127,EnrollData2324,'2324 Jun 24 Enroll'!H$1,FALSE),'District Calculations'!$D$14)*Apport_214A2324s,3)</f>
        <v>1.8680000000000001</v>
      </c>
      <c r="Q127">
        <f>ROUND(IF(VLOOKUP($A127,EnrollData2324,'2324 Jun 24 Enroll'!I$1,FALSE)+VLOOKUP($A127,EnrollData2324,'2324 Jun 24 Enroll'!M$1,FALSE)-VLOOKUP($A127,EnrollData2324,'2324 Jun 24 Enroll'!J$1,FALSE)='District Calculations'!$D$16+'District Calculations'!$D$25-'District Calculations'!$D$17,VLOOKUP($A127,EnrollData2324,'2324 Jun 24 Enroll'!I$1,FALSE)+VLOOKUP($A127,EnrollData2324,'2324 Jun 24 Enroll'!M$1,FALSE)-VLOOKUP($A127,EnrollData2324,'2324 Jun 24 Enroll'!J$1,FALSE),'District Calculations'!$D$16+'District Calculations'!$D$25-'District Calculations'!$D$17)*Apport_217A2324s,3)</f>
        <v>4.702</v>
      </c>
      <c r="R127">
        <f>ROUND(SUM(L127:Q127)/IF(VLOOKUP($A127,EnrollData2324,'2324 Jun 24 Enroll'!M$1,FALSE)+VLOOKUP($A127,EnrollData2324,'2324 Jun 24 Enroll'!D$1,FALSE)='District Calculations'!$D$25+'District Calculations'!$D$11,VLOOKUP($A127,EnrollData2324,'2324 Jun 24 Enroll'!M$1,FALSE)+VLOOKUP($A127,EnrollData2324,'2324 Jun 24 Enroll'!D$1,FALSE),'District Calculations'!$D$25+'District Calculations'!$D$11),5)</f>
        <v>4.1099999999999999E-3</v>
      </c>
      <c r="S127" s="11">
        <f t="shared" si="13"/>
        <v>1.8689600000000001E-2</v>
      </c>
      <c r="T127">
        <f>ROUND(IF(VLOOKUP($A127,EnrollData2324,'2324 Jun 24 Enroll'!D$1,FALSE)='District Calculations'!$D$11,VLOOKUP($A127,EnrollData2324,'2324 Jun 24 Enroll'!D$1,FALSE),'District Calculations'!$D$11)*S127,3)</f>
        <v>0</v>
      </c>
      <c r="U127">
        <f>ROUND(IF(VLOOKUP($A127,EnrollData2324,'2324 Jun 24 Enroll'!E$1,FALSE)='District Calculations'!$D$12,VLOOKUP($A127,EnrollData2324,'2324 Jun 24 Enroll'!E$1,FALSE),'District Calculations'!$D$12)*S127,3)</f>
        <v>15.148</v>
      </c>
      <c r="V127">
        <f>ROUND(IF(VLOOKUP($A127,EnrollData2324,'2324 Jun 24 Enroll'!F$1,FALSE)='District Calculations'!$D$13,VLOOKUP($A127,EnrollData2324,'2324 Jun 24 Enroll'!F$1,FALSE),'District Calculations'!$D$13)*Apport_224A2324s,3)</f>
        <v>3.7029999999999998</v>
      </c>
      <c r="W127">
        <f>ROUND(IF(VLOOKUP($A127,EnrollData2324,'2324 Jun 24 Enroll'!G$1,FALSE)='District Calculations'!$D$14,VLOOKUP($A127,EnrollData2324,'2324 Jun 24 Enroll'!G$1,FALSE),'District Calculations'!$D$14)*Apport_212A2324s,3)</f>
        <v>8.2089999999999996</v>
      </c>
      <c r="X127">
        <f>ROUND(IF(VLOOKUP($A127,EnrollData2324,'2324 Jun 24 Enroll'!H$1,FALSE)='District Calculations'!$D$14,VLOOKUP($A127,EnrollData2324,'2324 Jun 24 Enroll'!H$1,FALSE),'District Calculations'!$D$14)*Apport_215A2324s,3)</f>
        <v>8.0969999999999995</v>
      </c>
      <c r="Y127">
        <f>ROUND(IF(VLOOKUP($A127,EnrollData2324,'2324 Jun 24 Enroll'!I$1,FALSE)+VLOOKUP($A127,EnrollData2324,'2324 Jun 24 Enroll'!M$1,FALSE)-VLOOKUP($A127,EnrollData2324,'2324 Jun 24 Enroll'!J$1,FALSE)='District Calculations'!$D$16+'District Calculations'!$D$25-'District Calculations'!$D$17,VLOOKUP($A127,EnrollData2324,'2324 Jun 24 Enroll'!I$1,FALSE)+VLOOKUP($A127,EnrollData2324,'2324 Jun 24 Enroll'!M$1,FALSE)-VLOOKUP($A127,EnrollData2324,'2324 Jun 24 Enroll'!J$1,FALSE),'District Calculations'!$D$16+'District Calculations'!$D$25-'District Calculations'!$D$17)*Apport_218A2324s,3)</f>
        <v>20.224</v>
      </c>
      <c r="Z127">
        <f>ROUND(SUM(T127:Y127)/IF(VLOOKUP($A127,EnrollData2324,'2324 Jun 24 Enroll'!M$1,FALSE)+VLOOKUP($A127,EnrollData2324,'2324 Jun 24 Enroll'!D$1,FALSE)='District Calculations'!$D$25+'District Calculations'!$D$11,VLOOKUP($A127,EnrollData2324,'2324 Jun 24 Enroll'!M$1,FALSE)+VLOOKUP($A127,EnrollData2324,'2324 Jun 24 Enroll'!D$1,FALSE),'District Calculations'!$D$25+'District Calculations'!$D$11),5)</f>
        <v>1.7749999999999998E-2</v>
      </c>
      <c r="AA127" s="6" cm="1">
        <f t="array" ref="AA127">ROUND($J127*CIS_Base_Salary2324s*VLOOKUP($A127,EnrollData2324,'2324 Jun 24 Enroll'!S$1,FALSE),2)</f>
        <v>4765.53</v>
      </c>
      <c r="AB127" s="6" cm="1">
        <f t="array" ref="AB127">ROUND($J127*CIS_Inc_Salary2324s*(VLOOKUP($A127,EnrollData2324,'2324 Jun 24 Enroll'!T$1,FALSE)+VLOOKUP($A127,EnrollData2324,'2324 Jun 24 Enroll'!U$1,FALSE)),2)-AA127</f>
        <v>176.32999999999993</v>
      </c>
      <c r="AC127" s="6" cm="1">
        <f t="array" ref="AC127">ROUND($R127*CAS_Base_Salary2324s*VLOOKUP($A127,EnrollData2324,'2324 Jun 24 Enroll'!S$1,FALSE),2)</f>
        <v>523.55999999999995</v>
      </c>
      <c r="AD127" s="6" cm="1">
        <f t="array" ref="AD127">ROUND($R127*CAS_Inc_Salary2324s*VLOOKUP($A127,EnrollData2324,'2324 Jun 24 Enroll'!T$1,FALSE),2)-AC127</f>
        <v>19.380000000000109</v>
      </c>
      <c r="AE127" s="6" cm="1">
        <f t="array" ref="AE127">ROUND($Z127*CLS_Base_Salary2324s*VLOOKUP($A127,EnrollData2324,'2324 Jun 24 Enroll'!S$1,FALSE),2)</f>
        <v>1092.76</v>
      </c>
      <c r="AF127" s="6" cm="1">
        <f t="array" ref="AF127">ROUND($Z127*CLS_Inc_Salary2324s*VLOOKUP($A127,EnrollData2324,'2324 Jun 24 Enroll'!T$1,FALSE),2)-AE127</f>
        <v>40.430000000000064</v>
      </c>
      <c r="AG127" cm="1">
        <f t="array" ref="AG127">ROUND(($J127+$R127)*Apport_124X2324s,2)</f>
        <v>734.29</v>
      </c>
      <c r="AH127" s="69">
        <f t="shared" si="14"/>
        <v>68.700000000000045</v>
      </c>
      <c r="AI127" cm="1">
        <f t="array" ref="AI127">ROUND($Z127*Apport_124X2324s,2)</f>
        <v>218.54</v>
      </c>
      <c r="AJ127" cm="1">
        <f t="array" ref="AJ127">ROUND($Z127*Apport_621X2324s*Apport_125X2324s,2)-AI127</f>
        <v>116.51000000000002</v>
      </c>
      <c r="AK127" cm="1">
        <f t="array" ref="AK127">ROUND((AA127+AC127)*Apport_126X2324s,2)</f>
        <v>950.45</v>
      </c>
      <c r="AL127" cm="1">
        <f t="array" ref="AL127">ROUND((AB127+AD127)*Apport_127X2324s,2)</f>
        <v>33.92</v>
      </c>
      <c r="AM127" cm="1">
        <f t="array" ref="AM127">ROUND(AE127*Apport_128X2324s,2)</f>
        <v>241.06</v>
      </c>
      <c r="AN127" cm="1">
        <f t="array" ref="AN127">ROUND(AF127*Apport_129X2324s,2)</f>
        <v>7.5</v>
      </c>
      <c r="AO127" cm="1">
        <f t="array" ref="AO127">ROUND(($J127*CIS_Inc_Salary2324s*(VLOOKUP($A127,EnrollData2324,'2324 Jun 24 Enroll'!T$1,FALSE)+VLOOKUP($A127,EnrollData2324,'2324 Jun 24 Enroll'!U$1,FALSE))/Apport_613Xpd)*Apport_614Xpd,2)</f>
        <v>82.36</v>
      </c>
      <c r="AP127" cm="1">
        <f t="array" ref="AP127">ROUND(AO127*Apport_127X2324s,2)</f>
        <v>14.27</v>
      </c>
      <c r="AQ127">
        <f t="shared" si="15"/>
        <v>30.93</v>
      </c>
      <c r="AR127" s="6" cm="1">
        <f t="array" ref="AR127">ROUND((VLOOKUP($A127,EnrollData2324,'2324 Jun 24 Enroll'!D$1,FALSE)*Apport_M802324s+VLOOKUP($A127,EnrollData2324,'2324 Jun 24 Enroll'!M$1,FALSE)*Apport_M802324s+(VLOOKUP($A127,EnrollData2324,'2324 Jun 24 Enroll'!P$1,FALSE)+VLOOKUP($A127,EnrollData2324,'2324 Jun 24 Enroll'!Q$1,FALSE)+VLOOKUP($A127,EnrollData2324,'2324 Jun 24 Enroll'!R$1,FALSE)+VLOOKUP($A127,EnrollData2324,'2324 Jun 24 Enroll'!I$1,FALSE)+VLOOKUP($A127,EnrollData2324,'2324 Jun 24 Enroll'!N$1,FALSE)+VLOOKUP($A127,EnrollData2324,'2324 Jun 24 Enroll'!O$1,FALSE)+VLOOKUP($A127,EnrollData2324,'2324 Jun 24 Enroll'!K$1,FALSE)+VLOOKUP($A127,EnrollData2324,'2324 Jun 24 Enroll'!L$1,FALSE))*Apport_M812324s)/(VLOOKUP($A127,EnrollData2324,'2324 Jun 24 Enroll'!M$1,FALSE)+VLOOKUP($A127,EnrollData2324,'2324 Jun 24 Enroll'!D$1,FALSE)),2)</f>
        <v>1574.89</v>
      </c>
      <c r="AS127" s="7">
        <f t="shared" si="16"/>
        <v>10691.410000000002</v>
      </c>
    </row>
    <row r="128" spans="1:45">
      <c r="A128" s="40" t="s">
        <v>327</v>
      </c>
      <c r="B128" s="40" t="s">
        <v>328</v>
      </c>
      <c r="C128" s="11">
        <f>ROUND((IFERROR((1/IF(VLOOKUP($A128,EnrollData2324,28,FALSE)='District Calculations'!$D$10,VLOOKUP($A128,EnrollData2324,28,FALSE),'District Calculations'!$D$10))*(1+Apport_Z315),0))+Apport_201A2324s,6)</f>
        <v>7.3449E-2</v>
      </c>
      <c r="D128">
        <f>ROUND(IF(VLOOKUP($A128,EnrollData2324,'2324 Jun 24 Enroll'!D$1,FALSE)='District Calculations'!$D$11,VLOOKUP($A128,EnrollData2324,'2324 Jun 24 Enroll'!D$1,FALSE),'District Calculations'!$D$11)*C128,3)</f>
        <v>0</v>
      </c>
      <c r="E128">
        <f>ROUND(IF(VLOOKUP($A128,EnrollData2324,'2324 Jun 24 Enroll'!E$1,FALSE)='District Calculations'!$D$12,VLOOKUP($A128,EnrollData2324,'2324 Jun 24 Enroll'!E$1,FALSE),'District Calculations'!$D$12)*C128,3)</f>
        <v>59.53</v>
      </c>
      <c r="F128">
        <f>ROUND(IF(VLOOKUP($A128,EnrollData2324,'2324 Jun 24 Enroll'!F$1,FALSE)='District Calculations'!$D$13,VLOOKUP($A128,EnrollData2324,'2324 Jun 24 Enroll'!F$1,FALSE),'District Calculations'!$D$13)*Apport_222A2324s,3)</f>
        <v>10.101000000000001</v>
      </c>
      <c r="G128">
        <f>ROUND(IF(VLOOKUP($A128,EnrollData2324,'2324 Jun 24 Enroll'!G$1,FALSE)='District Calculations'!$D$14,VLOOKUP($A128,EnrollData2324,'2324 Jun 24 Enroll'!G$1,FALSE),'District Calculations'!$D$14)*Apport_210A2324s,3)</f>
        <v>22.395</v>
      </c>
      <c r="H128">
        <f>ROUND(IF(VLOOKUP($A128,EnrollData2324,'2324 Jun 24 Enroll'!H$1,FALSE)='District Calculations'!$D$15,VLOOKUP($A128,EnrollData2324,'2324 Jun 24 Enroll'!H$1,FALSE),'District Calculations'!$D$15)*Apport_213A2324s,3)</f>
        <v>23.091999999999999</v>
      </c>
      <c r="I128">
        <f>ROUND(IF(VLOOKUP($A128,EnrollData2324,'2324 Jun 24 Enroll'!I$1,FALSE)+VLOOKUP($A128,EnrollData2324,'2324 Jun 24 Enroll'!M$1,FALSE)-VLOOKUP($A128,EnrollData2324,'2324 Jun 24 Enroll'!J$1,FALSE)='District Calculations'!$D$16+'District Calculations'!$D$25-'District Calculations'!$D$17,VLOOKUP($A128,EnrollData2324,'2324 Jun 24 Enroll'!I$1,FALSE)+VLOOKUP($A128,EnrollData2324,'2324 Jun 24 Enroll'!M$1,FALSE)-VLOOKUP($A128,EnrollData2324,'2324 Jun 24 Enroll'!J$1,FALSE),'District Calculations'!$D$16+'District Calculations'!$D$25-'District Calculations'!$D$17)*Apport_216A2324s,3)</f>
        <v>58.183999999999997</v>
      </c>
      <c r="J128">
        <f>ROUND(SUM(D128:I128)/(IF(VLOOKUP($A128,EnrollData2324,'2324 Jun 24 Enroll'!M$1,FALSE)='District Calculations'!$D$25,VLOOKUP($A128,EnrollData2324,'2324 Jun 24 Enroll'!M$1,FALSE),'District Calculations'!$D$25)+IF(VLOOKUP($A128,EnrollData2324,'2324 Jun 24 Enroll'!D$1,FALSE)='District Calculations'!$D$11,VLOOKUP($A128,EnrollData2324,'2324 Jun 24 Enroll'!D$1,FALSE),'District Calculations'!$D$11)),5)</f>
        <v>5.5530000000000003E-2</v>
      </c>
      <c r="K128" s="11">
        <f t="shared" si="12"/>
        <v>4.3699999999999998E-3</v>
      </c>
      <c r="L128">
        <f>ROUND(IF(VLOOKUP($A128,EnrollData2324,'2324 Jun 24 Enroll'!D$1,FALSE)='District Calculations'!$D$11,VLOOKUP($A128,EnrollData2324,'2324 Jun 24 Enroll'!D$1,FALSE),'District Calculations'!$D$11)*K128,3)</f>
        <v>0</v>
      </c>
      <c r="M128">
        <f>ROUND(IF(VLOOKUP($A128,EnrollData2324,'2324 Jun 24 Enroll'!E$1,FALSE)='District Calculations'!$D$12,VLOOKUP($A128,EnrollData2324,'2324 Jun 24 Enroll'!E$1,FALSE),'District Calculations'!$D$12)*K128,3)</f>
        <v>3.5419999999999998</v>
      </c>
      <c r="N128">
        <f>ROUND(IF(VLOOKUP($A128,EnrollData2324,'2324 Jun 24 Enroll'!F$1,FALSE)='District Calculations'!$D$13,VLOOKUP($A128,EnrollData2324,'2324 Jun 24 Enroll'!F$1,FALSE),'District Calculations'!$D$13)*Apport_223A2324s,3)</f>
        <v>0.84299999999999997</v>
      </c>
      <c r="O128">
        <f>ROUND(IF(VLOOKUP($A128,EnrollData2324,'2324 Jun 24 Enroll'!G$1,FALSE)='District Calculations'!$D$14,VLOOKUP($A128,EnrollData2324,'2324 Jun 24 Enroll'!G$1,FALSE),'District Calculations'!$D$14)*Apport_211A2324s,3)</f>
        <v>1.87</v>
      </c>
      <c r="P128">
        <f>ROUND(IF(VLOOKUP($A128,EnrollData2324,'2324 Jun 24 Enroll'!H$1,FALSE)='District Calculations'!$D$14,VLOOKUP($A128,EnrollData2324,'2324 Jun 24 Enroll'!H$1,FALSE),'District Calculations'!$D$14)*Apport_214A2324s,3)</f>
        <v>1.8680000000000001</v>
      </c>
      <c r="Q128">
        <f>ROUND(IF(VLOOKUP($A128,EnrollData2324,'2324 Jun 24 Enroll'!I$1,FALSE)+VLOOKUP($A128,EnrollData2324,'2324 Jun 24 Enroll'!M$1,FALSE)-VLOOKUP($A128,EnrollData2324,'2324 Jun 24 Enroll'!J$1,FALSE)='District Calculations'!$D$16+'District Calculations'!$D$25-'District Calculations'!$D$17,VLOOKUP($A128,EnrollData2324,'2324 Jun 24 Enroll'!I$1,FALSE)+VLOOKUP($A128,EnrollData2324,'2324 Jun 24 Enroll'!M$1,FALSE)-VLOOKUP($A128,EnrollData2324,'2324 Jun 24 Enroll'!J$1,FALSE),'District Calculations'!$D$16+'District Calculations'!$D$25-'District Calculations'!$D$17)*Apport_217A2324s,3)</f>
        <v>4.702</v>
      </c>
      <c r="R128">
        <f>ROUND(SUM(L128:Q128)/IF(VLOOKUP($A128,EnrollData2324,'2324 Jun 24 Enroll'!M$1,FALSE)+VLOOKUP($A128,EnrollData2324,'2324 Jun 24 Enroll'!D$1,FALSE)='District Calculations'!$D$25+'District Calculations'!$D$11,VLOOKUP($A128,EnrollData2324,'2324 Jun 24 Enroll'!M$1,FALSE)+VLOOKUP($A128,EnrollData2324,'2324 Jun 24 Enroll'!D$1,FALSE),'District Calculations'!$D$25+'District Calculations'!$D$11),5)</f>
        <v>4.1099999999999999E-3</v>
      </c>
      <c r="S128" s="11">
        <f t="shared" si="13"/>
        <v>1.8689600000000001E-2</v>
      </c>
      <c r="T128">
        <f>ROUND(IF(VLOOKUP($A128,EnrollData2324,'2324 Jun 24 Enroll'!D$1,FALSE)='District Calculations'!$D$11,VLOOKUP($A128,EnrollData2324,'2324 Jun 24 Enroll'!D$1,FALSE),'District Calculations'!$D$11)*S128,3)</f>
        <v>0</v>
      </c>
      <c r="U128">
        <f>ROUND(IF(VLOOKUP($A128,EnrollData2324,'2324 Jun 24 Enroll'!E$1,FALSE)='District Calculations'!$D$12,VLOOKUP($A128,EnrollData2324,'2324 Jun 24 Enroll'!E$1,FALSE),'District Calculations'!$D$12)*S128,3)</f>
        <v>15.148</v>
      </c>
      <c r="V128">
        <f>ROUND(IF(VLOOKUP($A128,EnrollData2324,'2324 Jun 24 Enroll'!F$1,FALSE)='District Calculations'!$D$13,VLOOKUP($A128,EnrollData2324,'2324 Jun 24 Enroll'!F$1,FALSE),'District Calculations'!$D$13)*Apport_224A2324s,3)</f>
        <v>3.7029999999999998</v>
      </c>
      <c r="W128">
        <f>ROUND(IF(VLOOKUP($A128,EnrollData2324,'2324 Jun 24 Enroll'!G$1,FALSE)='District Calculations'!$D$14,VLOOKUP($A128,EnrollData2324,'2324 Jun 24 Enroll'!G$1,FALSE),'District Calculations'!$D$14)*Apport_212A2324s,3)</f>
        <v>8.2089999999999996</v>
      </c>
      <c r="X128">
        <f>ROUND(IF(VLOOKUP($A128,EnrollData2324,'2324 Jun 24 Enroll'!H$1,FALSE)='District Calculations'!$D$14,VLOOKUP($A128,EnrollData2324,'2324 Jun 24 Enroll'!H$1,FALSE),'District Calculations'!$D$14)*Apport_215A2324s,3)</f>
        <v>8.0969999999999995</v>
      </c>
      <c r="Y128">
        <f>ROUND(IF(VLOOKUP($A128,EnrollData2324,'2324 Jun 24 Enroll'!I$1,FALSE)+VLOOKUP($A128,EnrollData2324,'2324 Jun 24 Enroll'!M$1,FALSE)-VLOOKUP($A128,EnrollData2324,'2324 Jun 24 Enroll'!J$1,FALSE)='District Calculations'!$D$16+'District Calculations'!$D$25-'District Calculations'!$D$17,VLOOKUP($A128,EnrollData2324,'2324 Jun 24 Enroll'!I$1,FALSE)+VLOOKUP($A128,EnrollData2324,'2324 Jun 24 Enroll'!M$1,FALSE)-VLOOKUP($A128,EnrollData2324,'2324 Jun 24 Enroll'!J$1,FALSE),'District Calculations'!$D$16+'District Calculations'!$D$25-'District Calculations'!$D$17)*Apport_218A2324s,3)</f>
        <v>20.224</v>
      </c>
      <c r="Z128">
        <f>ROUND(SUM(T128:Y128)/IF(VLOOKUP($A128,EnrollData2324,'2324 Jun 24 Enroll'!M$1,FALSE)+VLOOKUP($A128,EnrollData2324,'2324 Jun 24 Enroll'!D$1,FALSE)='District Calculations'!$D$25+'District Calculations'!$D$11,VLOOKUP($A128,EnrollData2324,'2324 Jun 24 Enroll'!M$1,FALSE)+VLOOKUP($A128,EnrollData2324,'2324 Jun 24 Enroll'!D$1,FALSE),'District Calculations'!$D$25+'District Calculations'!$D$11),5)</f>
        <v>1.7749999999999998E-2</v>
      </c>
      <c r="AA128" s="6" cm="1">
        <f t="array" ref="AA128">ROUND($J128*CIS_Base_Salary2324s*VLOOKUP($A128,EnrollData2324,'2324 Jun 24 Enroll'!S$1,FALSE),2)</f>
        <v>4583.79</v>
      </c>
      <c r="AB128" s="6" cm="1">
        <f t="array" ref="AB128">ROUND($J128*CIS_Inc_Salary2324s*(VLOOKUP($A128,EnrollData2324,'2324 Jun 24 Enroll'!T$1,FALSE)+VLOOKUP($A128,EnrollData2324,'2324 Jun 24 Enroll'!U$1,FALSE)),2)-AA128</f>
        <v>169.60999999999967</v>
      </c>
      <c r="AC128" s="6" cm="1">
        <f t="array" ref="AC128">ROUND($R128*CAS_Base_Salary2324s*VLOOKUP($A128,EnrollData2324,'2324 Jun 24 Enroll'!S$1,FALSE),2)</f>
        <v>503.59</v>
      </c>
      <c r="AD128" s="6" cm="1">
        <f t="array" ref="AD128">ROUND($R128*CAS_Inc_Salary2324s*VLOOKUP($A128,EnrollData2324,'2324 Jun 24 Enroll'!T$1,FALSE),2)-AC128</f>
        <v>18.640000000000043</v>
      </c>
      <c r="AE128" s="6" cm="1">
        <f t="array" ref="AE128">ROUND($Z128*CLS_Base_Salary2324s*VLOOKUP($A128,EnrollData2324,'2324 Jun 24 Enroll'!S$1,FALSE),2)</f>
        <v>1051.0899999999999</v>
      </c>
      <c r="AF128" s="6" cm="1">
        <f t="array" ref="AF128">ROUND($Z128*CLS_Inc_Salary2324s*VLOOKUP($A128,EnrollData2324,'2324 Jun 24 Enroll'!T$1,FALSE),2)-AE128</f>
        <v>38.880000000000109</v>
      </c>
      <c r="AG128" cm="1">
        <f t="array" ref="AG128">ROUND(($J128+$R128)*Apport_124X2324s,2)</f>
        <v>734.29</v>
      </c>
      <c r="AH128" s="69">
        <f t="shared" si="14"/>
        <v>68.700000000000045</v>
      </c>
      <c r="AI128" cm="1">
        <f t="array" ref="AI128">ROUND($Z128*Apport_124X2324s,2)</f>
        <v>218.54</v>
      </c>
      <c r="AJ128" cm="1">
        <f t="array" ref="AJ128">ROUND($Z128*Apport_621X2324s*Apport_125X2324s,2)-AI128</f>
        <v>116.51000000000002</v>
      </c>
      <c r="AK128" cm="1">
        <f t="array" ref="AK128">ROUND((AA128+AC128)*Apport_126X2324s,2)</f>
        <v>914.2</v>
      </c>
      <c r="AL128" cm="1">
        <f t="array" ref="AL128">ROUND((AB128+AD128)*Apport_127X2324s,2)</f>
        <v>32.619999999999997</v>
      </c>
      <c r="AM128" cm="1">
        <f t="array" ref="AM128">ROUND(AE128*Apport_128X2324s,2)</f>
        <v>231.87</v>
      </c>
      <c r="AN128" cm="1">
        <f t="array" ref="AN128">ROUND(AF128*Apport_129X2324s,2)</f>
        <v>7.22</v>
      </c>
      <c r="AO128" cm="1">
        <f t="array" ref="AO128">ROUND(($J128*CIS_Inc_Salary2324s*(VLOOKUP($A128,EnrollData2324,'2324 Jun 24 Enroll'!T$1,FALSE)+VLOOKUP($A128,EnrollData2324,'2324 Jun 24 Enroll'!U$1,FALSE))/Apport_613Xpd)*Apport_614Xpd,2)</f>
        <v>79.22</v>
      </c>
      <c r="AP128" cm="1">
        <f t="array" ref="AP128">ROUND(AO128*Apport_127X2324s,2)</f>
        <v>13.73</v>
      </c>
      <c r="AQ128">
        <f t="shared" si="15"/>
        <v>30.93</v>
      </c>
      <c r="AR128" s="6" cm="1">
        <f t="array" ref="AR128">ROUND((VLOOKUP($A128,EnrollData2324,'2324 Jun 24 Enroll'!D$1,FALSE)*Apport_M802324s+VLOOKUP($A128,EnrollData2324,'2324 Jun 24 Enroll'!M$1,FALSE)*Apport_M802324s+(VLOOKUP($A128,EnrollData2324,'2324 Jun 24 Enroll'!P$1,FALSE)+VLOOKUP($A128,EnrollData2324,'2324 Jun 24 Enroll'!Q$1,FALSE)+VLOOKUP($A128,EnrollData2324,'2324 Jun 24 Enroll'!R$1,FALSE)+VLOOKUP($A128,EnrollData2324,'2324 Jun 24 Enroll'!I$1,FALSE)+VLOOKUP($A128,EnrollData2324,'2324 Jun 24 Enroll'!N$1,FALSE)+VLOOKUP($A128,EnrollData2324,'2324 Jun 24 Enroll'!O$1,FALSE)+VLOOKUP($A128,EnrollData2324,'2324 Jun 24 Enroll'!K$1,FALSE)+VLOOKUP($A128,EnrollData2324,'2324 Jun 24 Enroll'!L$1,FALSE))*Apport_M812324s)/(VLOOKUP($A128,EnrollData2324,'2324 Jun 24 Enroll'!M$1,FALSE)+VLOOKUP($A128,EnrollData2324,'2324 Jun 24 Enroll'!D$1,FALSE)),2)</f>
        <v>1571.8</v>
      </c>
      <c r="AS128" s="7">
        <f t="shared" si="16"/>
        <v>10385.23</v>
      </c>
    </row>
    <row r="129" spans="1:45">
      <c r="A129" s="40" t="s">
        <v>813</v>
      </c>
      <c r="B129" s="40" t="s">
        <v>814</v>
      </c>
      <c r="C129" s="11">
        <f>ROUND((IFERROR((1/IF(VLOOKUP($A129,EnrollData2324,28,FALSE)='District Calculations'!$D$10,VLOOKUP($A129,EnrollData2324,28,FALSE),'District Calculations'!$D$10))*(1+Apport_Z315),0))+Apport_201A2324s,6)</f>
        <v>7.3449E-2</v>
      </c>
      <c r="D129">
        <f>ROUND(IF(VLOOKUP($A129,EnrollData2324,'2324 Jun 24 Enroll'!D$1,FALSE)='District Calculations'!$D$11,VLOOKUP($A129,EnrollData2324,'2324 Jun 24 Enroll'!D$1,FALSE),'District Calculations'!$D$11)*C129,3)</f>
        <v>0</v>
      </c>
      <c r="E129">
        <f>ROUND(IF(VLOOKUP($A129,EnrollData2324,'2324 Jun 24 Enroll'!E$1,FALSE)='District Calculations'!$D$12,VLOOKUP($A129,EnrollData2324,'2324 Jun 24 Enroll'!E$1,FALSE),'District Calculations'!$D$12)*C129,3)</f>
        <v>59.53</v>
      </c>
      <c r="F129">
        <f>ROUND(IF(VLOOKUP($A129,EnrollData2324,'2324 Jun 24 Enroll'!F$1,FALSE)='District Calculations'!$D$13,VLOOKUP($A129,EnrollData2324,'2324 Jun 24 Enroll'!F$1,FALSE),'District Calculations'!$D$13)*Apport_222A2324s,3)</f>
        <v>10.101000000000001</v>
      </c>
      <c r="G129">
        <f>ROUND(IF(VLOOKUP($A129,EnrollData2324,'2324 Jun 24 Enroll'!G$1,FALSE)='District Calculations'!$D$14,VLOOKUP($A129,EnrollData2324,'2324 Jun 24 Enroll'!G$1,FALSE),'District Calculations'!$D$14)*Apport_210A2324s,3)</f>
        <v>22.395</v>
      </c>
      <c r="H129">
        <f>ROUND(IF(VLOOKUP($A129,EnrollData2324,'2324 Jun 24 Enroll'!H$1,FALSE)='District Calculations'!$D$15,VLOOKUP($A129,EnrollData2324,'2324 Jun 24 Enroll'!H$1,FALSE),'District Calculations'!$D$15)*Apport_213A2324s,3)</f>
        <v>23.091999999999999</v>
      </c>
      <c r="I129">
        <f>ROUND(IF(VLOOKUP($A129,EnrollData2324,'2324 Jun 24 Enroll'!I$1,FALSE)+VLOOKUP($A129,EnrollData2324,'2324 Jun 24 Enroll'!M$1,FALSE)-VLOOKUP($A129,EnrollData2324,'2324 Jun 24 Enroll'!J$1,FALSE)='District Calculations'!$D$16+'District Calculations'!$D$25-'District Calculations'!$D$17,VLOOKUP($A129,EnrollData2324,'2324 Jun 24 Enroll'!I$1,FALSE)+VLOOKUP($A129,EnrollData2324,'2324 Jun 24 Enroll'!M$1,FALSE)-VLOOKUP($A129,EnrollData2324,'2324 Jun 24 Enroll'!J$1,FALSE),'District Calculations'!$D$16+'District Calculations'!$D$25-'District Calculations'!$D$17)*Apport_216A2324s,3)</f>
        <v>58.183999999999997</v>
      </c>
      <c r="J129">
        <f>ROUND(SUM(D129:I129)/(IF(VLOOKUP($A129,EnrollData2324,'2324 Jun 24 Enroll'!M$1,FALSE)='District Calculations'!$D$25,VLOOKUP($A129,EnrollData2324,'2324 Jun 24 Enroll'!M$1,FALSE),'District Calculations'!$D$25)+IF(VLOOKUP($A129,EnrollData2324,'2324 Jun 24 Enroll'!D$1,FALSE)='District Calculations'!$D$11,VLOOKUP($A129,EnrollData2324,'2324 Jun 24 Enroll'!D$1,FALSE),'District Calculations'!$D$11)),5)</f>
        <v>5.5530000000000003E-2</v>
      </c>
      <c r="K129" s="11">
        <f t="shared" si="12"/>
        <v>4.3699999999999998E-3</v>
      </c>
      <c r="L129">
        <f>ROUND(IF(VLOOKUP($A129,EnrollData2324,'2324 Jun 24 Enroll'!D$1,FALSE)='District Calculations'!$D$11,VLOOKUP($A129,EnrollData2324,'2324 Jun 24 Enroll'!D$1,FALSE),'District Calculations'!$D$11)*K129,3)</f>
        <v>0</v>
      </c>
      <c r="M129">
        <f>ROUND(IF(VLOOKUP($A129,EnrollData2324,'2324 Jun 24 Enroll'!E$1,FALSE)='District Calculations'!$D$12,VLOOKUP($A129,EnrollData2324,'2324 Jun 24 Enroll'!E$1,FALSE),'District Calculations'!$D$12)*K129,3)</f>
        <v>3.5419999999999998</v>
      </c>
      <c r="N129">
        <f>ROUND(IF(VLOOKUP($A129,EnrollData2324,'2324 Jun 24 Enroll'!F$1,FALSE)='District Calculations'!$D$13,VLOOKUP($A129,EnrollData2324,'2324 Jun 24 Enroll'!F$1,FALSE),'District Calculations'!$D$13)*Apport_223A2324s,3)</f>
        <v>0.84299999999999997</v>
      </c>
      <c r="O129">
        <f>ROUND(IF(VLOOKUP($A129,EnrollData2324,'2324 Jun 24 Enroll'!G$1,FALSE)='District Calculations'!$D$14,VLOOKUP($A129,EnrollData2324,'2324 Jun 24 Enroll'!G$1,FALSE),'District Calculations'!$D$14)*Apport_211A2324s,3)</f>
        <v>1.87</v>
      </c>
      <c r="P129">
        <f>ROUND(IF(VLOOKUP($A129,EnrollData2324,'2324 Jun 24 Enroll'!H$1,FALSE)='District Calculations'!$D$14,VLOOKUP($A129,EnrollData2324,'2324 Jun 24 Enroll'!H$1,FALSE),'District Calculations'!$D$14)*Apport_214A2324s,3)</f>
        <v>1.8680000000000001</v>
      </c>
      <c r="Q129">
        <f>ROUND(IF(VLOOKUP($A129,EnrollData2324,'2324 Jun 24 Enroll'!I$1,FALSE)+VLOOKUP($A129,EnrollData2324,'2324 Jun 24 Enroll'!M$1,FALSE)-VLOOKUP($A129,EnrollData2324,'2324 Jun 24 Enroll'!J$1,FALSE)='District Calculations'!$D$16+'District Calculations'!$D$25-'District Calculations'!$D$17,VLOOKUP($A129,EnrollData2324,'2324 Jun 24 Enroll'!I$1,FALSE)+VLOOKUP($A129,EnrollData2324,'2324 Jun 24 Enroll'!M$1,FALSE)-VLOOKUP($A129,EnrollData2324,'2324 Jun 24 Enroll'!J$1,FALSE),'District Calculations'!$D$16+'District Calculations'!$D$25-'District Calculations'!$D$17)*Apport_217A2324s,3)</f>
        <v>4.702</v>
      </c>
      <c r="R129">
        <f>ROUND(SUM(L129:Q129)/IF(VLOOKUP($A129,EnrollData2324,'2324 Jun 24 Enroll'!M$1,FALSE)+VLOOKUP($A129,EnrollData2324,'2324 Jun 24 Enroll'!D$1,FALSE)='District Calculations'!$D$25+'District Calculations'!$D$11,VLOOKUP($A129,EnrollData2324,'2324 Jun 24 Enroll'!M$1,FALSE)+VLOOKUP($A129,EnrollData2324,'2324 Jun 24 Enroll'!D$1,FALSE),'District Calculations'!$D$25+'District Calculations'!$D$11),5)</f>
        <v>4.1099999999999999E-3</v>
      </c>
      <c r="S129" s="11">
        <f t="shared" si="13"/>
        <v>1.8689600000000001E-2</v>
      </c>
      <c r="T129">
        <f>ROUND(IF(VLOOKUP($A129,EnrollData2324,'2324 Jun 24 Enroll'!D$1,FALSE)='District Calculations'!$D$11,VLOOKUP($A129,EnrollData2324,'2324 Jun 24 Enroll'!D$1,FALSE),'District Calculations'!$D$11)*S129,3)</f>
        <v>0</v>
      </c>
      <c r="U129">
        <f>ROUND(IF(VLOOKUP($A129,EnrollData2324,'2324 Jun 24 Enroll'!E$1,FALSE)='District Calculations'!$D$12,VLOOKUP($A129,EnrollData2324,'2324 Jun 24 Enroll'!E$1,FALSE),'District Calculations'!$D$12)*S129,3)</f>
        <v>15.148</v>
      </c>
      <c r="V129">
        <f>ROUND(IF(VLOOKUP($A129,EnrollData2324,'2324 Jun 24 Enroll'!F$1,FALSE)='District Calculations'!$D$13,VLOOKUP($A129,EnrollData2324,'2324 Jun 24 Enroll'!F$1,FALSE),'District Calculations'!$D$13)*Apport_224A2324s,3)</f>
        <v>3.7029999999999998</v>
      </c>
      <c r="W129">
        <f>ROUND(IF(VLOOKUP($A129,EnrollData2324,'2324 Jun 24 Enroll'!G$1,FALSE)='District Calculations'!$D$14,VLOOKUP($A129,EnrollData2324,'2324 Jun 24 Enroll'!G$1,FALSE),'District Calculations'!$D$14)*Apport_212A2324s,3)</f>
        <v>8.2089999999999996</v>
      </c>
      <c r="X129">
        <f>ROUND(IF(VLOOKUP($A129,EnrollData2324,'2324 Jun 24 Enroll'!H$1,FALSE)='District Calculations'!$D$14,VLOOKUP($A129,EnrollData2324,'2324 Jun 24 Enroll'!H$1,FALSE),'District Calculations'!$D$14)*Apport_215A2324s,3)</f>
        <v>8.0969999999999995</v>
      </c>
      <c r="Y129">
        <f>ROUND(IF(VLOOKUP($A129,EnrollData2324,'2324 Jun 24 Enroll'!I$1,FALSE)+VLOOKUP($A129,EnrollData2324,'2324 Jun 24 Enroll'!M$1,FALSE)-VLOOKUP($A129,EnrollData2324,'2324 Jun 24 Enroll'!J$1,FALSE)='District Calculations'!$D$16+'District Calculations'!$D$25-'District Calculations'!$D$17,VLOOKUP($A129,EnrollData2324,'2324 Jun 24 Enroll'!I$1,FALSE)+VLOOKUP($A129,EnrollData2324,'2324 Jun 24 Enroll'!M$1,FALSE)-VLOOKUP($A129,EnrollData2324,'2324 Jun 24 Enroll'!J$1,FALSE),'District Calculations'!$D$16+'District Calculations'!$D$25-'District Calculations'!$D$17)*Apport_218A2324s,3)</f>
        <v>20.224</v>
      </c>
      <c r="Z129">
        <f>ROUND(SUM(T129:Y129)/IF(VLOOKUP($A129,EnrollData2324,'2324 Jun 24 Enroll'!M$1,FALSE)+VLOOKUP($A129,EnrollData2324,'2324 Jun 24 Enroll'!D$1,FALSE)='District Calculations'!$D$25+'District Calculations'!$D$11,VLOOKUP($A129,EnrollData2324,'2324 Jun 24 Enroll'!M$1,FALSE)+VLOOKUP($A129,EnrollData2324,'2324 Jun 24 Enroll'!D$1,FALSE),'District Calculations'!$D$25+'District Calculations'!$D$11),5)</f>
        <v>1.7749999999999998E-2</v>
      </c>
      <c r="AA129" s="6" cm="1">
        <f t="array" ref="AA129">ROUND($J129*CIS_Base_Salary2324s*VLOOKUP($A129,EnrollData2324,'2324 Jun 24 Enroll'!S$1,FALSE),2)</f>
        <v>4765.53</v>
      </c>
      <c r="AB129" s="6" cm="1">
        <f t="array" ref="AB129">ROUND($J129*CIS_Inc_Salary2324s*(VLOOKUP($A129,EnrollData2324,'2324 Jun 24 Enroll'!T$1,FALSE)+VLOOKUP($A129,EnrollData2324,'2324 Jun 24 Enroll'!U$1,FALSE)),2)-AA129</f>
        <v>343.85000000000036</v>
      </c>
      <c r="AC129" s="6" cm="1">
        <f t="array" ref="AC129">ROUND($R129*CAS_Base_Salary2324s*VLOOKUP($A129,EnrollData2324,'2324 Jun 24 Enroll'!S$1,FALSE),2)</f>
        <v>523.55999999999995</v>
      </c>
      <c r="AD129" s="6" cm="1">
        <f t="array" ref="AD129">ROUND($R129*CAS_Inc_Salary2324s*VLOOKUP($A129,EnrollData2324,'2324 Jun 24 Enroll'!T$1,FALSE),2)-AC129</f>
        <v>19.380000000000109</v>
      </c>
      <c r="AE129" s="6" cm="1">
        <f t="array" ref="AE129">ROUND($Z129*CLS_Base_Salary2324s*VLOOKUP($A129,EnrollData2324,'2324 Jun 24 Enroll'!S$1,FALSE),2)</f>
        <v>1092.76</v>
      </c>
      <c r="AF129" s="6" cm="1">
        <f t="array" ref="AF129">ROUND($Z129*CLS_Inc_Salary2324s*VLOOKUP($A129,EnrollData2324,'2324 Jun 24 Enroll'!T$1,FALSE),2)-AE129</f>
        <v>40.430000000000064</v>
      </c>
      <c r="AG129" cm="1">
        <f t="array" ref="AG129">ROUND(($J129+$R129)*Apport_124X2324s,2)</f>
        <v>734.29</v>
      </c>
      <c r="AH129" s="69">
        <f t="shared" si="14"/>
        <v>68.700000000000045</v>
      </c>
      <c r="AI129" cm="1">
        <f t="array" ref="AI129">ROUND($Z129*Apport_124X2324s,2)</f>
        <v>218.54</v>
      </c>
      <c r="AJ129" cm="1">
        <f t="array" ref="AJ129">ROUND($Z129*Apport_621X2324s*Apport_125X2324s,2)-AI129</f>
        <v>116.51000000000002</v>
      </c>
      <c r="AK129" cm="1">
        <f t="array" ref="AK129">ROUND((AA129+AC129)*Apport_126X2324s,2)</f>
        <v>950.45</v>
      </c>
      <c r="AL129" cm="1">
        <f t="array" ref="AL129">ROUND((AB129+AD129)*Apport_127X2324s,2)</f>
        <v>62.95</v>
      </c>
      <c r="AM129" cm="1">
        <f t="array" ref="AM129">ROUND(AE129*Apport_128X2324s,2)</f>
        <v>241.06</v>
      </c>
      <c r="AN129" cm="1">
        <f t="array" ref="AN129">ROUND(AF129*Apport_129X2324s,2)</f>
        <v>7.5</v>
      </c>
      <c r="AO129" cm="1">
        <f t="array" ref="AO129">ROUND(($J129*CIS_Inc_Salary2324s*(VLOOKUP($A129,EnrollData2324,'2324 Jun 24 Enroll'!T$1,FALSE)+VLOOKUP($A129,EnrollData2324,'2324 Jun 24 Enroll'!U$1,FALSE))/Apport_613Xpd)*Apport_614Xpd,2)</f>
        <v>85.16</v>
      </c>
      <c r="AP129" cm="1">
        <f t="array" ref="AP129">ROUND(AO129*Apport_127X2324s,2)</f>
        <v>14.76</v>
      </c>
      <c r="AQ129">
        <f t="shared" si="15"/>
        <v>30.93</v>
      </c>
      <c r="AR129" s="6" cm="1">
        <f t="array" ref="AR129">ROUND((VLOOKUP($A129,EnrollData2324,'2324 Jun 24 Enroll'!D$1,FALSE)*Apport_M802324s+VLOOKUP($A129,EnrollData2324,'2324 Jun 24 Enroll'!M$1,FALSE)*Apport_M802324s+(VLOOKUP($A129,EnrollData2324,'2324 Jun 24 Enroll'!P$1,FALSE)+VLOOKUP($A129,EnrollData2324,'2324 Jun 24 Enroll'!Q$1,FALSE)+VLOOKUP($A129,EnrollData2324,'2324 Jun 24 Enroll'!R$1,FALSE)+VLOOKUP($A129,EnrollData2324,'2324 Jun 24 Enroll'!I$1,FALSE)+VLOOKUP($A129,EnrollData2324,'2324 Jun 24 Enroll'!N$1,FALSE)+VLOOKUP($A129,EnrollData2324,'2324 Jun 24 Enroll'!O$1,FALSE)+VLOOKUP($A129,EnrollData2324,'2324 Jun 24 Enroll'!K$1,FALSE)+VLOOKUP($A129,EnrollData2324,'2324 Jun 24 Enroll'!L$1,FALSE))*Apport_M812324s)/(VLOOKUP($A129,EnrollData2324,'2324 Jun 24 Enroll'!M$1,FALSE)+VLOOKUP($A129,EnrollData2324,'2324 Jun 24 Enroll'!D$1,FALSE)),2)</f>
        <v>1567.85</v>
      </c>
      <c r="AS129" s="7">
        <f t="shared" si="16"/>
        <v>10884.210000000003</v>
      </c>
    </row>
    <row r="130" spans="1:45">
      <c r="A130" s="40" t="s">
        <v>769</v>
      </c>
      <c r="B130" s="40" t="s">
        <v>770</v>
      </c>
      <c r="C130" s="11">
        <f>ROUND((IFERROR((1/IF(VLOOKUP($A130,EnrollData2324,28,FALSE)='District Calculations'!$D$10,VLOOKUP($A130,EnrollData2324,28,FALSE),'District Calculations'!$D$10))*(1+Apport_Z315),0))+Apport_201A2324s,6)</f>
        <v>7.3449E-2</v>
      </c>
      <c r="D130">
        <f>ROUND(IF(VLOOKUP($A130,EnrollData2324,'2324 Jun 24 Enroll'!D$1,FALSE)='District Calculations'!$D$11,VLOOKUP($A130,EnrollData2324,'2324 Jun 24 Enroll'!D$1,FALSE),'District Calculations'!$D$11)*C130,3)</f>
        <v>0</v>
      </c>
      <c r="E130">
        <f>ROUND(IF(VLOOKUP($A130,EnrollData2324,'2324 Jun 24 Enroll'!E$1,FALSE)='District Calculations'!$D$12,VLOOKUP($A130,EnrollData2324,'2324 Jun 24 Enroll'!E$1,FALSE),'District Calculations'!$D$12)*C130,3)</f>
        <v>59.53</v>
      </c>
      <c r="F130">
        <f>ROUND(IF(VLOOKUP($A130,EnrollData2324,'2324 Jun 24 Enroll'!F$1,FALSE)='District Calculations'!$D$13,VLOOKUP($A130,EnrollData2324,'2324 Jun 24 Enroll'!F$1,FALSE),'District Calculations'!$D$13)*Apport_222A2324s,3)</f>
        <v>10.101000000000001</v>
      </c>
      <c r="G130">
        <f>ROUND(IF(VLOOKUP($A130,EnrollData2324,'2324 Jun 24 Enroll'!G$1,FALSE)='District Calculations'!$D$14,VLOOKUP($A130,EnrollData2324,'2324 Jun 24 Enroll'!G$1,FALSE),'District Calculations'!$D$14)*Apport_210A2324s,3)</f>
        <v>22.395</v>
      </c>
      <c r="H130">
        <f>ROUND(IF(VLOOKUP($A130,EnrollData2324,'2324 Jun 24 Enroll'!H$1,FALSE)='District Calculations'!$D$15,VLOOKUP($A130,EnrollData2324,'2324 Jun 24 Enroll'!H$1,FALSE),'District Calculations'!$D$15)*Apport_213A2324s,3)</f>
        <v>23.091999999999999</v>
      </c>
      <c r="I130">
        <f>ROUND(IF(VLOOKUP($A130,EnrollData2324,'2324 Jun 24 Enroll'!I$1,FALSE)+VLOOKUP($A130,EnrollData2324,'2324 Jun 24 Enroll'!M$1,FALSE)-VLOOKUP($A130,EnrollData2324,'2324 Jun 24 Enroll'!J$1,FALSE)='District Calculations'!$D$16+'District Calculations'!$D$25-'District Calculations'!$D$17,VLOOKUP($A130,EnrollData2324,'2324 Jun 24 Enroll'!I$1,FALSE)+VLOOKUP($A130,EnrollData2324,'2324 Jun 24 Enroll'!M$1,FALSE)-VLOOKUP($A130,EnrollData2324,'2324 Jun 24 Enroll'!J$1,FALSE),'District Calculations'!$D$16+'District Calculations'!$D$25-'District Calculations'!$D$17)*Apport_216A2324s,3)</f>
        <v>58.183999999999997</v>
      </c>
      <c r="J130">
        <f>ROUND(SUM(D130:I130)/(IF(VLOOKUP($A130,EnrollData2324,'2324 Jun 24 Enroll'!M$1,FALSE)='District Calculations'!$D$25,VLOOKUP($A130,EnrollData2324,'2324 Jun 24 Enroll'!M$1,FALSE),'District Calculations'!$D$25)+IF(VLOOKUP($A130,EnrollData2324,'2324 Jun 24 Enroll'!D$1,FALSE)='District Calculations'!$D$11,VLOOKUP($A130,EnrollData2324,'2324 Jun 24 Enroll'!D$1,FALSE),'District Calculations'!$D$11)),5)</f>
        <v>5.5530000000000003E-2</v>
      </c>
      <c r="K130" s="11">
        <f t="shared" si="12"/>
        <v>4.3699999999999998E-3</v>
      </c>
      <c r="L130">
        <f>ROUND(IF(VLOOKUP($A130,EnrollData2324,'2324 Jun 24 Enroll'!D$1,FALSE)='District Calculations'!$D$11,VLOOKUP($A130,EnrollData2324,'2324 Jun 24 Enroll'!D$1,FALSE),'District Calculations'!$D$11)*K130,3)</f>
        <v>0</v>
      </c>
      <c r="M130">
        <f>ROUND(IF(VLOOKUP($A130,EnrollData2324,'2324 Jun 24 Enroll'!E$1,FALSE)='District Calculations'!$D$12,VLOOKUP($A130,EnrollData2324,'2324 Jun 24 Enroll'!E$1,FALSE),'District Calculations'!$D$12)*K130,3)</f>
        <v>3.5419999999999998</v>
      </c>
      <c r="N130">
        <f>ROUND(IF(VLOOKUP($A130,EnrollData2324,'2324 Jun 24 Enroll'!F$1,FALSE)='District Calculations'!$D$13,VLOOKUP($A130,EnrollData2324,'2324 Jun 24 Enroll'!F$1,FALSE),'District Calculations'!$D$13)*Apport_223A2324s,3)</f>
        <v>0.84299999999999997</v>
      </c>
      <c r="O130">
        <f>ROUND(IF(VLOOKUP($A130,EnrollData2324,'2324 Jun 24 Enroll'!G$1,FALSE)='District Calculations'!$D$14,VLOOKUP($A130,EnrollData2324,'2324 Jun 24 Enroll'!G$1,FALSE),'District Calculations'!$D$14)*Apport_211A2324s,3)</f>
        <v>1.87</v>
      </c>
      <c r="P130">
        <f>ROUND(IF(VLOOKUP($A130,EnrollData2324,'2324 Jun 24 Enroll'!H$1,FALSE)='District Calculations'!$D$14,VLOOKUP($A130,EnrollData2324,'2324 Jun 24 Enroll'!H$1,FALSE),'District Calculations'!$D$14)*Apport_214A2324s,3)</f>
        <v>1.8680000000000001</v>
      </c>
      <c r="Q130">
        <f>ROUND(IF(VLOOKUP($A130,EnrollData2324,'2324 Jun 24 Enroll'!I$1,FALSE)+VLOOKUP($A130,EnrollData2324,'2324 Jun 24 Enroll'!M$1,FALSE)-VLOOKUP($A130,EnrollData2324,'2324 Jun 24 Enroll'!J$1,FALSE)='District Calculations'!$D$16+'District Calculations'!$D$25-'District Calculations'!$D$17,VLOOKUP($A130,EnrollData2324,'2324 Jun 24 Enroll'!I$1,FALSE)+VLOOKUP($A130,EnrollData2324,'2324 Jun 24 Enroll'!M$1,FALSE)-VLOOKUP($A130,EnrollData2324,'2324 Jun 24 Enroll'!J$1,FALSE),'District Calculations'!$D$16+'District Calculations'!$D$25-'District Calculations'!$D$17)*Apport_217A2324s,3)</f>
        <v>4.702</v>
      </c>
      <c r="R130">
        <f>ROUND(SUM(L130:Q130)/IF(VLOOKUP($A130,EnrollData2324,'2324 Jun 24 Enroll'!M$1,FALSE)+VLOOKUP($A130,EnrollData2324,'2324 Jun 24 Enroll'!D$1,FALSE)='District Calculations'!$D$25+'District Calculations'!$D$11,VLOOKUP($A130,EnrollData2324,'2324 Jun 24 Enroll'!M$1,FALSE)+VLOOKUP($A130,EnrollData2324,'2324 Jun 24 Enroll'!D$1,FALSE),'District Calculations'!$D$25+'District Calculations'!$D$11),5)</f>
        <v>4.1099999999999999E-3</v>
      </c>
      <c r="S130" s="11">
        <f t="shared" si="13"/>
        <v>1.8689600000000001E-2</v>
      </c>
      <c r="T130">
        <f>ROUND(IF(VLOOKUP($A130,EnrollData2324,'2324 Jun 24 Enroll'!D$1,FALSE)='District Calculations'!$D$11,VLOOKUP($A130,EnrollData2324,'2324 Jun 24 Enroll'!D$1,FALSE),'District Calculations'!$D$11)*S130,3)</f>
        <v>0</v>
      </c>
      <c r="U130">
        <f>ROUND(IF(VLOOKUP($A130,EnrollData2324,'2324 Jun 24 Enroll'!E$1,FALSE)='District Calculations'!$D$12,VLOOKUP($A130,EnrollData2324,'2324 Jun 24 Enroll'!E$1,FALSE),'District Calculations'!$D$12)*S130,3)</f>
        <v>15.148</v>
      </c>
      <c r="V130">
        <f>ROUND(IF(VLOOKUP($A130,EnrollData2324,'2324 Jun 24 Enroll'!F$1,FALSE)='District Calculations'!$D$13,VLOOKUP($A130,EnrollData2324,'2324 Jun 24 Enroll'!F$1,FALSE),'District Calculations'!$D$13)*Apport_224A2324s,3)</f>
        <v>3.7029999999999998</v>
      </c>
      <c r="W130">
        <f>ROUND(IF(VLOOKUP($A130,EnrollData2324,'2324 Jun 24 Enroll'!G$1,FALSE)='District Calculations'!$D$14,VLOOKUP($A130,EnrollData2324,'2324 Jun 24 Enroll'!G$1,FALSE),'District Calculations'!$D$14)*Apport_212A2324s,3)</f>
        <v>8.2089999999999996</v>
      </c>
      <c r="X130">
        <f>ROUND(IF(VLOOKUP($A130,EnrollData2324,'2324 Jun 24 Enroll'!H$1,FALSE)='District Calculations'!$D$14,VLOOKUP($A130,EnrollData2324,'2324 Jun 24 Enroll'!H$1,FALSE),'District Calculations'!$D$14)*Apport_215A2324s,3)</f>
        <v>8.0969999999999995</v>
      </c>
      <c r="Y130">
        <f>ROUND(IF(VLOOKUP($A130,EnrollData2324,'2324 Jun 24 Enroll'!I$1,FALSE)+VLOOKUP($A130,EnrollData2324,'2324 Jun 24 Enroll'!M$1,FALSE)-VLOOKUP($A130,EnrollData2324,'2324 Jun 24 Enroll'!J$1,FALSE)='District Calculations'!$D$16+'District Calculations'!$D$25-'District Calculations'!$D$17,VLOOKUP($A130,EnrollData2324,'2324 Jun 24 Enroll'!I$1,FALSE)+VLOOKUP($A130,EnrollData2324,'2324 Jun 24 Enroll'!M$1,FALSE)-VLOOKUP($A130,EnrollData2324,'2324 Jun 24 Enroll'!J$1,FALSE),'District Calculations'!$D$16+'District Calculations'!$D$25-'District Calculations'!$D$17)*Apport_218A2324s,3)</f>
        <v>20.224</v>
      </c>
      <c r="Z130">
        <f>ROUND(SUM(T130:Y130)/IF(VLOOKUP($A130,EnrollData2324,'2324 Jun 24 Enroll'!M$1,FALSE)+VLOOKUP($A130,EnrollData2324,'2324 Jun 24 Enroll'!D$1,FALSE)='District Calculations'!$D$25+'District Calculations'!$D$11,VLOOKUP($A130,EnrollData2324,'2324 Jun 24 Enroll'!M$1,FALSE)+VLOOKUP($A130,EnrollData2324,'2324 Jun 24 Enroll'!D$1,FALSE),'District Calculations'!$D$25+'District Calculations'!$D$11),5)</f>
        <v>1.7749999999999998E-2</v>
      </c>
      <c r="AA130" s="6" cm="1">
        <f t="array" ref="AA130">ROUND($J130*CIS_Base_Salary2324s*VLOOKUP($A130,EnrollData2324,'2324 Jun 24 Enroll'!S$1,FALSE),2)</f>
        <v>4765.53</v>
      </c>
      <c r="AB130" s="6" cm="1">
        <f t="array" ref="AB130">ROUND($J130*CIS_Inc_Salary2324s*(VLOOKUP($A130,EnrollData2324,'2324 Jun 24 Enroll'!T$1,FALSE)+VLOOKUP($A130,EnrollData2324,'2324 Jun 24 Enroll'!U$1,FALSE)),2)-AA130</f>
        <v>176.32999999999993</v>
      </c>
      <c r="AC130" s="6" cm="1">
        <f t="array" ref="AC130">ROUND($R130*CAS_Base_Salary2324s*VLOOKUP($A130,EnrollData2324,'2324 Jun 24 Enroll'!S$1,FALSE),2)</f>
        <v>523.55999999999995</v>
      </c>
      <c r="AD130" s="6" cm="1">
        <f t="array" ref="AD130">ROUND($R130*CAS_Inc_Salary2324s*VLOOKUP($A130,EnrollData2324,'2324 Jun 24 Enroll'!T$1,FALSE),2)-AC130</f>
        <v>19.380000000000109</v>
      </c>
      <c r="AE130" s="6" cm="1">
        <f t="array" ref="AE130">ROUND($Z130*CLS_Base_Salary2324s*VLOOKUP($A130,EnrollData2324,'2324 Jun 24 Enroll'!S$1,FALSE),2)</f>
        <v>1092.76</v>
      </c>
      <c r="AF130" s="6" cm="1">
        <f t="array" ref="AF130">ROUND($Z130*CLS_Inc_Salary2324s*VLOOKUP($A130,EnrollData2324,'2324 Jun 24 Enroll'!T$1,FALSE),2)-AE130</f>
        <v>40.430000000000064</v>
      </c>
      <c r="AG130" cm="1">
        <f t="array" ref="AG130">ROUND(($J130+$R130)*Apport_124X2324s,2)</f>
        <v>734.29</v>
      </c>
      <c r="AH130" s="69">
        <f t="shared" si="14"/>
        <v>68.700000000000045</v>
      </c>
      <c r="AI130" cm="1">
        <f t="array" ref="AI130">ROUND($Z130*Apport_124X2324s,2)</f>
        <v>218.54</v>
      </c>
      <c r="AJ130" cm="1">
        <f t="array" ref="AJ130">ROUND($Z130*Apport_621X2324s*Apport_125X2324s,2)-AI130</f>
        <v>116.51000000000002</v>
      </c>
      <c r="AK130" cm="1">
        <f t="array" ref="AK130">ROUND((AA130+AC130)*Apport_126X2324s,2)</f>
        <v>950.45</v>
      </c>
      <c r="AL130" cm="1">
        <f t="array" ref="AL130">ROUND((AB130+AD130)*Apport_127X2324s,2)</f>
        <v>33.92</v>
      </c>
      <c r="AM130" cm="1">
        <f t="array" ref="AM130">ROUND(AE130*Apport_128X2324s,2)</f>
        <v>241.06</v>
      </c>
      <c r="AN130" cm="1">
        <f t="array" ref="AN130">ROUND(AF130*Apport_129X2324s,2)</f>
        <v>7.5</v>
      </c>
      <c r="AO130" cm="1">
        <f t="array" ref="AO130">ROUND(($J130*CIS_Inc_Salary2324s*(VLOOKUP($A130,EnrollData2324,'2324 Jun 24 Enroll'!T$1,FALSE)+VLOOKUP($A130,EnrollData2324,'2324 Jun 24 Enroll'!U$1,FALSE))/Apport_613Xpd)*Apport_614Xpd,2)</f>
        <v>82.36</v>
      </c>
      <c r="AP130" cm="1">
        <f t="array" ref="AP130">ROUND(AO130*Apport_127X2324s,2)</f>
        <v>14.27</v>
      </c>
      <c r="AQ130">
        <f t="shared" si="15"/>
        <v>30.93</v>
      </c>
      <c r="AR130" s="6" cm="1">
        <f t="array" ref="AR130">ROUND((VLOOKUP($A130,EnrollData2324,'2324 Jun 24 Enroll'!D$1,FALSE)*Apport_M802324s+VLOOKUP($A130,EnrollData2324,'2324 Jun 24 Enroll'!M$1,FALSE)*Apport_M802324s+(VLOOKUP($A130,EnrollData2324,'2324 Jun 24 Enroll'!P$1,FALSE)+VLOOKUP($A130,EnrollData2324,'2324 Jun 24 Enroll'!Q$1,FALSE)+VLOOKUP($A130,EnrollData2324,'2324 Jun 24 Enroll'!R$1,FALSE)+VLOOKUP($A130,EnrollData2324,'2324 Jun 24 Enroll'!I$1,FALSE)+VLOOKUP($A130,EnrollData2324,'2324 Jun 24 Enroll'!N$1,FALSE)+VLOOKUP($A130,EnrollData2324,'2324 Jun 24 Enroll'!O$1,FALSE)+VLOOKUP($A130,EnrollData2324,'2324 Jun 24 Enroll'!K$1,FALSE)+VLOOKUP($A130,EnrollData2324,'2324 Jun 24 Enroll'!L$1,FALSE))*Apport_M812324s)/(VLOOKUP($A130,EnrollData2324,'2324 Jun 24 Enroll'!M$1,FALSE)+VLOOKUP($A130,EnrollData2324,'2324 Jun 24 Enroll'!D$1,FALSE)),2)</f>
        <v>1573.05</v>
      </c>
      <c r="AS130" s="7">
        <f t="shared" si="16"/>
        <v>10689.570000000002</v>
      </c>
    </row>
    <row r="131" spans="1:45">
      <c r="A131" s="40" t="s">
        <v>514</v>
      </c>
      <c r="B131" s="40" t="s">
        <v>515</v>
      </c>
      <c r="C131" s="11">
        <f>ROUND((IFERROR((1/IF(VLOOKUP($A131,EnrollData2324,28,FALSE)='District Calculations'!$D$10,VLOOKUP($A131,EnrollData2324,28,FALSE),'District Calculations'!$D$10))*(1+Apport_Z315),0))+Apport_201A2324s,6)</f>
        <v>7.3449E-2</v>
      </c>
      <c r="D131">
        <f>ROUND(IF(VLOOKUP($A131,EnrollData2324,'2324 Jun 24 Enroll'!D$1,FALSE)='District Calculations'!$D$11,VLOOKUP($A131,EnrollData2324,'2324 Jun 24 Enroll'!D$1,FALSE),'District Calculations'!$D$11)*C131,3)</f>
        <v>0</v>
      </c>
      <c r="E131">
        <f>ROUND(IF(VLOOKUP($A131,EnrollData2324,'2324 Jun 24 Enroll'!E$1,FALSE)='District Calculations'!$D$12,VLOOKUP($A131,EnrollData2324,'2324 Jun 24 Enroll'!E$1,FALSE),'District Calculations'!$D$12)*C131,3)</f>
        <v>59.53</v>
      </c>
      <c r="F131">
        <f>ROUND(IF(VLOOKUP($A131,EnrollData2324,'2324 Jun 24 Enroll'!F$1,FALSE)='District Calculations'!$D$13,VLOOKUP($A131,EnrollData2324,'2324 Jun 24 Enroll'!F$1,FALSE),'District Calculations'!$D$13)*Apport_222A2324s,3)</f>
        <v>10.101000000000001</v>
      </c>
      <c r="G131">
        <f>ROUND(IF(VLOOKUP($A131,EnrollData2324,'2324 Jun 24 Enroll'!G$1,FALSE)='District Calculations'!$D$14,VLOOKUP($A131,EnrollData2324,'2324 Jun 24 Enroll'!G$1,FALSE),'District Calculations'!$D$14)*Apport_210A2324s,3)</f>
        <v>22.395</v>
      </c>
      <c r="H131">
        <f>ROUND(IF(VLOOKUP($A131,EnrollData2324,'2324 Jun 24 Enroll'!H$1,FALSE)='District Calculations'!$D$15,VLOOKUP($A131,EnrollData2324,'2324 Jun 24 Enroll'!H$1,FALSE),'District Calculations'!$D$15)*Apport_213A2324s,3)</f>
        <v>23.091999999999999</v>
      </c>
      <c r="I131">
        <f>ROUND(IF(VLOOKUP($A131,EnrollData2324,'2324 Jun 24 Enroll'!I$1,FALSE)+VLOOKUP($A131,EnrollData2324,'2324 Jun 24 Enroll'!M$1,FALSE)-VLOOKUP($A131,EnrollData2324,'2324 Jun 24 Enroll'!J$1,FALSE)='District Calculations'!$D$16+'District Calculations'!$D$25-'District Calculations'!$D$17,VLOOKUP($A131,EnrollData2324,'2324 Jun 24 Enroll'!I$1,FALSE)+VLOOKUP($A131,EnrollData2324,'2324 Jun 24 Enroll'!M$1,FALSE)-VLOOKUP($A131,EnrollData2324,'2324 Jun 24 Enroll'!J$1,FALSE),'District Calculations'!$D$16+'District Calculations'!$D$25-'District Calculations'!$D$17)*Apport_216A2324s,3)</f>
        <v>58.183999999999997</v>
      </c>
      <c r="J131">
        <f>ROUND(SUM(D131:I131)/(IF(VLOOKUP($A131,EnrollData2324,'2324 Jun 24 Enroll'!M$1,FALSE)='District Calculations'!$D$25,VLOOKUP($A131,EnrollData2324,'2324 Jun 24 Enroll'!M$1,FALSE),'District Calculations'!$D$25)+IF(VLOOKUP($A131,EnrollData2324,'2324 Jun 24 Enroll'!D$1,FALSE)='District Calculations'!$D$11,VLOOKUP($A131,EnrollData2324,'2324 Jun 24 Enroll'!D$1,FALSE),'District Calculations'!$D$11)),5)</f>
        <v>5.5530000000000003E-2</v>
      </c>
      <c r="K131" s="11">
        <f t="shared" si="12"/>
        <v>4.3699999999999998E-3</v>
      </c>
      <c r="L131">
        <f>ROUND(IF(VLOOKUP($A131,EnrollData2324,'2324 Jun 24 Enroll'!D$1,FALSE)='District Calculations'!$D$11,VLOOKUP($A131,EnrollData2324,'2324 Jun 24 Enroll'!D$1,FALSE),'District Calculations'!$D$11)*K131,3)</f>
        <v>0</v>
      </c>
      <c r="M131">
        <f>ROUND(IF(VLOOKUP($A131,EnrollData2324,'2324 Jun 24 Enroll'!E$1,FALSE)='District Calculations'!$D$12,VLOOKUP($A131,EnrollData2324,'2324 Jun 24 Enroll'!E$1,FALSE),'District Calculations'!$D$12)*K131,3)</f>
        <v>3.5419999999999998</v>
      </c>
      <c r="N131">
        <f>ROUND(IF(VLOOKUP($A131,EnrollData2324,'2324 Jun 24 Enroll'!F$1,FALSE)='District Calculations'!$D$13,VLOOKUP($A131,EnrollData2324,'2324 Jun 24 Enroll'!F$1,FALSE),'District Calculations'!$D$13)*Apport_223A2324s,3)</f>
        <v>0.84299999999999997</v>
      </c>
      <c r="O131">
        <f>ROUND(IF(VLOOKUP($A131,EnrollData2324,'2324 Jun 24 Enroll'!G$1,FALSE)='District Calculations'!$D$14,VLOOKUP($A131,EnrollData2324,'2324 Jun 24 Enroll'!G$1,FALSE),'District Calculations'!$D$14)*Apport_211A2324s,3)</f>
        <v>1.87</v>
      </c>
      <c r="P131">
        <f>ROUND(IF(VLOOKUP($A131,EnrollData2324,'2324 Jun 24 Enroll'!H$1,FALSE)='District Calculations'!$D$14,VLOOKUP($A131,EnrollData2324,'2324 Jun 24 Enroll'!H$1,FALSE),'District Calculations'!$D$14)*Apport_214A2324s,3)</f>
        <v>1.8680000000000001</v>
      </c>
      <c r="Q131">
        <f>ROUND(IF(VLOOKUP($A131,EnrollData2324,'2324 Jun 24 Enroll'!I$1,FALSE)+VLOOKUP($A131,EnrollData2324,'2324 Jun 24 Enroll'!M$1,FALSE)-VLOOKUP($A131,EnrollData2324,'2324 Jun 24 Enroll'!J$1,FALSE)='District Calculations'!$D$16+'District Calculations'!$D$25-'District Calculations'!$D$17,VLOOKUP($A131,EnrollData2324,'2324 Jun 24 Enroll'!I$1,FALSE)+VLOOKUP($A131,EnrollData2324,'2324 Jun 24 Enroll'!M$1,FALSE)-VLOOKUP($A131,EnrollData2324,'2324 Jun 24 Enroll'!J$1,FALSE),'District Calculations'!$D$16+'District Calculations'!$D$25-'District Calculations'!$D$17)*Apport_217A2324s,3)</f>
        <v>4.702</v>
      </c>
      <c r="R131">
        <f>ROUND(SUM(L131:Q131)/IF(VLOOKUP($A131,EnrollData2324,'2324 Jun 24 Enroll'!M$1,FALSE)+VLOOKUP($A131,EnrollData2324,'2324 Jun 24 Enroll'!D$1,FALSE)='District Calculations'!$D$25+'District Calculations'!$D$11,VLOOKUP($A131,EnrollData2324,'2324 Jun 24 Enroll'!M$1,FALSE)+VLOOKUP($A131,EnrollData2324,'2324 Jun 24 Enroll'!D$1,FALSE),'District Calculations'!$D$25+'District Calculations'!$D$11),5)</f>
        <v>4.1099999999999999E-3</v>
      </c>
      <c r="S131" s="11">
        <f t="shared" si="13"/>
        <v>1.8689600000000001E-2</v>
      </c>
      <c r="T131">
        <f>ROUND(IF(VLOOKUP($A131,EnrollData2324,'2324 Jun 24 Enroll'!D$1,FALSE)='District Calculations'!$D$11,VLOOKUP($A131,EnrollData2324,'2324 Jun 24 Enroll'!D$1,FALSE),'District Calculations'!$D$11)*S131,3)</f>
        <v>0</v>
      </c>
      <c r="U131">
        <f>ROUND(IF(VLOOKUP($A131,EnrollData2324,'2324 Jun 24 Enroll'!E$1,FALSE)='District Calculations'!$D$12,VLOOKUP($A131,EnrollData2324,'2324 Jun 24 Enroll'!E$1,FALSE),'District Calculations'!$D$12)*S131,3)</f>
        <v>15.148</v>
      </c>
      <c r="V131">
        <f>ROUND(IF(VLOOKUP($A131,EnrollData2324,'2324 Jun 24 Enroll'!F$1,FALSE)='District Calculations'!$D$13,VLOOKUP($A131,EnrollData2324,'2324 Jun 24 Enroll'!F$1,FALSE),'District Calculations'!$D$13)*Apport_224A2324s,3)</f>
        <v>3.7029999999999998</v>
      </c>
      <c r="W131">
        <f>ROUND(IF(VLOOKUP($A131,EnrollData2324,'2324 Jun 24 Enroll'!G$1,FALSE)='District Calculations'!$D$14,VLOOKUP($A131,EnrollData2324,'2324 Jun 24 Enroll'!G$1,FALSE),'District Calculations'!$D$14)*Apport_212A2324s,3)</f>
        <v>8.2089999999999996</v>
      </c>
      <c r="X131">
        <f>ROUND(IF(VLOOKUP($A131,EnrollData2324,'2324 Jun 24 Enroll'!H$1,FALSE)='District Calculations'!$D$14,VLOOKUP($A131,EnrollData2324,'2324 Jun 24 Enroll'!H$1,FALSE),'District Calculations'!$D$14)*Apport_215A2324s,3)</f>
        <v>8.0969999999999995</v>
      </c>
      <c r="Y131">
        <f>ROUND(IF(VLOOKUP($A131,EnrollData2324,'2324 Jun 24 Enroll'!I$1,FALSE)+VLOOKUP($A131,EnrollData2324,'2324 Jun 24 Enroll'!M$1,FALSE)-VLOOKUP($A131,EnrollData2324,'2324 Jun 24 Enroll'!J$1,FALSE)='District Calculations'!$D$16+'District Calculations'!$D$25-'District Calculations'!$D$17,VLOOKUP($A131,EnrollData2324,'2324 Jun 24 Enroll'!I$1,FALSE)+VLOOKUP($A131,EnrollData2324,'2324 Jun 24 Enroll'!M$1,FALSE)-VLOOKUP($A131,EnrollData2324,'2324 Jun 24 Enroll'!J$1,FALSE),'District Calculations'!$D$16+'District Calculations'!$D$25-'District Calculations'!$D$17)*Apport_218A2324s,3)</f>
        <v>20.224</v>
      </c>
      <c r="Z131">
        <f>ROUND(SUM(T131:Y131)/IF(VLOOKUP($A131,EnrollData2324,'2324 Jun 24 Enroll'!M$1,FALSE)+VLOOKUP($A131,EnrollData2324,'2324 Jun 24 Enroll'!D$1,FALSE)='District Calculations'!$D$25+'District Calculations'!$D$11,VLOOKUP($A131,EnrollData2324,'2324 Jun 24 Enroll'!M$1,FALSE)+VLOOKUP($A131,EnrollData2324,'2324 Jun 24 Enroll'!D$1,FALSE),'District Calculations'!$D$25+'District Calculations'!$D$11),5)</f>
        <v>1.7749999999999998E-2</v>
      </c>
      <c r="AA131" s="6" cm="1">
        <f t="array" ref="AA131">ROUND($J131*CIS_Base_Salary2324s*VLOOKUP($A131,EnrollData2324,'2324 Jun 24 Enroll'!S$1,FALSE),2)</f>
        <v>4765.53</v>
      </c>
      <c r="AB131" s="6" cm="1">
        <f t="array" ref="AB131">ROUND($J131*CIS_Inc_Salary2324s*(VLOOKUP($A131,EnrollData2324,'2324 Jun 24 Enroll'!T$1,FALSE)+VLOOKUP($A131,EnrollData2324,'2324 Jun 24 Enroll'!U$1,FALSE)),2)-AA131</f>
        <v>176.32999999999993</v>
      </c>
      <c r="AC131" s="6" cm="1">
        <f t="array" ref="AC131">ROUND($R131*CAS_Base_Salary2324s*VLOOKUP($A131,EnrollData2324,'2324 Jun 24 Enroll'!S$1,FALSE),2)</f>
        <v>523.55999999999995</v>
      </c>
      <c r="AD131" s="6" cm="1">
        <f t="array" ref="AD131">ROUND($R131*CAS_Inc_Salary2324s*VLOOKUP($A131,EnrollData2324,'2324 Jun 24 Enroll'!T$1,FALSE),2)-AC131</f>
        <v>19.380000000000109</v>
      </c>
      <c r="AE131" s="6" cm="1">
        <f t="array" ref="AE131">ROUND($Z131*CLS_Base_Salary2324s*VLOOKUP($A131,EnrollData2324,'2324 Jun 24 Enroll'!S$1,FALSE),2)</f>
        <v>1092.76</v>
      </c>
      <c r="AF131" s="6" cm="1">
        <f t="array" ref="AF131">ROUND($Z131*CLS_Inc_Salary2324s*VLOOKUP($A131,EnrollData2324,'2324 Jun 24 Enroll'!T$1,FALSE),2)-AE131</f>
        <v>40.430000000000064</v>
      </c>
      <c r="AG131" cm="1">
        <f t="array" ref="AG131">ROUND(($J131+$R131)*Apport_124X2324s,2)</f>
        <v>734.29</v>
      </c>
      <c r="AH131" s="69">
        <f t="shared" si="14"/>
        <v>68.700000000000045</v>
      </c>
      <c r="AI131" cm="1">
        <f t="array" ref="AI131">ROUND($Z131*Apport_124X2324s,2)</f>
        <v>218.54</v>
      </c>
      <c r="AJ131" cm="1">
        <f t="array" ref="AJ131">ROUND($Z131*Apport_621X2324s*Apport_125X2324s,2)-AI131</f>
        <v>116.51000000000002</v>
      </c>
      <c r="AK131" cm="1">
        <f t="array" ref="AK131">ROUND((AA131+AC131)*Apport_126X2324s,2)</f>
        <v>950.45</v>
      </c>
      <c r="AL131" cm="1">
        <f t="array" ref="AL131">ROUND((AB131+AD131)*Apport_127X2324s,2)</f>
        <v>33.92</v>
      </c>
      <c r="AM131" cm="1">
        <f t="array" ref="AM131">ROUND(AE131*Apport_128X2324s,2)</f>
        <v>241.06</v>
      </c>
      <c r="AN131" cm="1">
        <f t="array" ref="AN131">ROUND(AF131*Apport_129X2324s,2)</f>
        <v>7.5</v>
      </c>
      <c r="AO131" cm="1">
        <f t="array" ref="AO131">ROUND(($J131*CIS_Inc_Salary2324s*(VLOOKUP($A131,EnrollData2324,'2324 Jun 24 Enroll'!T$1,FALSE)+VLOOKUP($A131,EnrollData2324,'2324 Jun 24 Enroll'!U$1,FALSE))/Apport_613Xpd)*Apport_614Xpd,2)</f>
        <v>82.36</v>
      </c>
      <c r="AP131" cm="1">
        <f t="array" ref="AP131">ROUND(AO131*Apport_127X2324s,2)</f>
        <v>14.27</v>
      </c>
      <c r="AQ131">
        <f t="shared" si="15"/>
        <v>30.93</v>
      </c>
      <c r="AR131" s="6" cm="1">
        <f t="array" ref="AR131">ROUND((VLOOKUP($A131,EnrollData2324,'2324 Jun 24 Enroll'!D$1,FALSE)*Apport_M802324s+VLOOKUP($A131,EnrollData2324,'2324 Jun 24 Enroll'!M$1,FALSE)*Apport_M802324s+(VLOOKUP($A131,EnrollData2324,'2324 Jun 24 Enroll'!P$1,FALSE)+VLOOKUP($A131,EnrollData2324,'2324 Jun 24 Enroll'!Q$1,FALSE)+VLOOKUP($A131,EnrollData2324,'2324 Jun 24 Enroll'!R$1,FALSE)+VLOOKUP($A131,EnrollData2324,'2324 Jun 24 Enroll'!I$1,FALSE)+VLOOKUP($A131,EnrollData2324,'2324 Jun 24 Enroll'!N$1,FALSE)+VLOOKUP($A131,EnrollData2324,'2324 Jun 24 Enroll'!O$1,FALSE)+VLOOKUP($A131,EnrollData2324,'2324 Jun 24 Enroll'!K$1,FALSE)+VLOOKUP($A131,EnrollData2324,'2324 Jun 24 Enroll'!L$1,FALSE))*Apport_M812324s)/(VLOOKUP($A131,EnrollData2324,'2324 Jun 24 Enroll'!M$1,FALSE)+VLOOKUP($A131,EnrollData2324,'2324 Jun 24 Enroll'!D$1,FALSE)),2)</f>
        <v>1571.07</v>
      </c>
      <c r="AS131" s="7">
        <f t="shared" si="16"/>
        <v>10687.590000000002</v>
      </c>
    </row>
    <row r="132" spans="1:45">
      <c r="A132" s="40" t="s">
        <v>761</v>
      </c>
      <c r="B132" s="40" t="s">
        <v>762</v>
      </c>
      <c r="C132" s="11">
        <f>ROUND((IFERROR((1/IF(VLOOKUP($A132,EnrollData2324,28,FALSE)='District Calculations'!$D$10,VLOOKUP($A132,EnrollData2324,28,FALSE),'District Calculations'!$D$10))*(1+Apport_Z315),0))+Apport_201A2324s,6)</f>
        <v>7.3449E-2</v>
      </c>
      <c r="D132">
        <f>ROUND(IF(VLOOKUP($A132,EnrollData2324,'2324 Jun 24 Enroll'!D$1,FALSE)='District Calculations'!$D$11,VLOOKUP($A132,EnrollData2324,'2324 Jun 24 Enroll'!D$1,FALSE),'District Calculations'!$D$11)*C132,3)</f>
        <v>0</v>
      </c>
      <c r="E132">
        <f>ROUND(IF(VLOOKUP($A132,EnrollData2324,'2324 Jun 24 Enroll'!E$1,FALSE)='District Calculations'!$D$12,VLOOKUP($A132,EnrollData2324,'2324 Jun 24 Enroll'!E$1,FALSE),'District Calculations'!$D$12)*C132,3)</f>
        <v>59.53</v>
      </c>
      <c r="F132">
        <f>ROUND(IF(VLOOKUP($A132,EnrollData2324,'2324 Jun 24 Enroll'!F$1,FALSE)='District Calculations'!$D$13,VLOOKUP($A132,EnrollData2324,'2324 Jun 24 Enroll'!F$1,FALSE),'District Calculations'!$D$13)*Apport_222A2324s,3)</f>
        <v>10.101000000000001</v>
      </c>
      <c r="G132">
        <f>ROUND(IF(VLOOKUP($A132,EnrollData2324,'2324 Jun 24 Enroll'!G$1,FALSE)='District Calculations'!$D$14,VLOOKUP($A132,EnrollData2324,'2324 Jun 24 Enroll'!G$1,FALSE),'District Calculations'!$D$14)*Apport_210A2324s,3)</f>
        <v>22.395</v>
      </c>
      <c r="H132">
        <f>ROUND(IF(VLOOKUP($A132,EnrollData2324,'2324 Jun 24 Enroll'!H$1,FALSE)='District Calculations'!$D$15,VLOOKUP($A132,EnrollData2324,'2324 Jun 24 Enroll'!H$1,FALSE),'District Calculations'!$D$15)*Apport_213A2324s,3)</f>
        <v>23.091999999999999</v>
      </c>
      <c r="I132">
        <f>ROUND(IF(VLOOKUP($A132,EnrollData2324,'2324 Jun 24 Enroll'!I$1,FALSE)+VLOOKUP($A132,EnrollData2324,'2324 Jun 24 Enroll'!M$1,FALSE)-VLOOKUP($A132,EnrollData2324,'2324 Jun 24 Enroll'!J$1,FALSE)='District Calculations'!$D$16+'District Calculations'!$D$25-'District Calculations'!$D$17,VLOOKUP($A132,EnrollData2324,'2324 Jun 24 Enroll'!I$1,FALSE)+VLOOKUP($A132,EnrollData2324,'2324 Jun 24 Enroll'!M$1,FALSE)-VLOOKUP($A132,EnrollData2324,'2324 Jun 24 Enroll'!J$1,FALSE),'District Calculations'!$D$16+'District Calculations'!$D$25-'District Calculations'!$D$17)*Apport_216A2324s,3)</f>
        <v>58.183999999999997</v>
      </c>
      <c r="J132">
        <f>ROUND(SUM(D132:I132)/(IF(VLOOKUP($A132,EnrollData2324,'2324 Jun 24 Enroll'!M$1,FALSE)='District Calculations'!$D$25,VLOOKUP($A132,EnrollData2324,'2324 Jun 24 Enroll'!M$1,FALSE),'District Calculations'!$D$25)+IF(VLOOKUP($A132,EnrollData2324,'2324 Jun 24 Enroll'!D$1,FALSE)='District Calculations'!$D$11,VLOOKUP($A132,EnrollData2324,'2324 Jun 24 Enroll'!D$1,FALSE),'District Calculations'!$D$11)),5)</f>
        <v>5.5530000000000003E-2</v>
      </c>
      <c r="K132" s="11">
        <f t="shared" si="12"/>
        <v>4.3699999999999998E-3</v>
      </c>
      <c r="L132">
        <f>ROUND(IF(VLOOKUP($A132,EnrollData2324,'2324 Jun 24 Enroll'!D$1,FALSE)='District Calculations'!$D$11,VLOOKUP($A132,EnrollData2324,'2324 Jun 24 Enroll'!D$1,FALSE),'District Calculations'!$D$11)*K132,3)</f>
        <v>0</v>
      </c>
      <c r="M132">
        <f>ROUND(IF(VLOOKUP($A132,EnrollData2324,'2324 Jun 24 Enroll'!E$1,FALSE)='District Calculations'!$D$12,VLOOKUP($A132,EnrollData2324,'2324 Jun 24 Enroll'!E$1,FALSE),'District Calculations'!$D$12)*K132,3)</f>
        <v>3.5419999999999998</v>
      </c>
      <c r="N132">
        <f>ROUND(IF(VLOOKUP($A132,EnrollData2324,'2324 Jun 24 Enroll'!F$1,FALSE)='District Calculations'!$D$13,VLOOKUP($A132,EnrollData2324,'2324 Jun 24 Enroll'!F$1,FALSE),'District Calculations'!$D$13)*Apport_223A2324s,3)</f>
        <v>0.84299999999999997</v>
      </c>
      <c r="O132">
        <f>ROUND(IF(VLOOKUP($A132,EnrollData2324,'2324 Jun 24 Enroll'!G$1,FALSE)='District Calculations'!$D$14,VLOOKUP($A132,EnrollData2324,'2324 Jun 24 Enroll'!G$1,FALSE),'District Calculations'!$D$14)*Apport_211A2324s,3)</f>
        <v>1.87</v>
      </c>
      <c r="P132">
        <f>ROUND(IF(VLOOKUP($A132,EnrollData2324,'2324 Jun 24 Enroll'!H$1,FALSE)='District Calculations'!$D$14,VLOOKUP($A132,EnrollData2324,'2324 Jun 24 Enroll'!H$1,FALSE),'District Calculations'!$D$14)*Apport_214A2324s,3)</f>
        <v>1.8680000000000001</v>
      </c>
      <c r="Q132">
        <f>ROUND(IF(VLOOKUP($A132,EnrollData2324,'2324 Jun 24 Enroll'!I$1,FALSE)+VLOOKUP($A132,EnrollData2324,'2324 Jun 24 Enroll'!M$1,FALSE)-VLOOKUP($A132,EnrollData2324,'2324 Jun 24 Enroll'!J$1,FALSE)='District Calculations'!$D$16+'District Calculations'!$D$25-'District Calculations'!$D$17,VLOOKUP($A132,EnrollData2324,'2324 Jun 24 Enroll'!I$1,FALSE)+VLOOKUP($A132,EnrollData2324,'2324 Jun 24 Enroll'!M$1,FALSE)-VLOOKUP($A132,EnrollData2324,'2324 Jun 24 Enroll'!J$1,FALSE),'District Calculations'!$D$16+'District Calculations'!$D$25-'District Calculations'!$D$17)*Apport_217A2324s,3)</f>
        <v>4.702</v>
      </c>
      <c r="R132">
        <f>ROUND(SUM(L132:Q132)/IF(VLOOKUP($A132,EnrollData2324,'2324 Jun 24 Enroll'!M$1,FALSE)+VLOOKUP($A132,EnrollData2324,'2324 Jun 24 Enroll'!D$1,FALSE)='District Calculations'!$D$25+'District Calculations'!$D$11,VLOOKUP($A132,EnrollData2324,'2324 Jun 24 Enroll'!M$1,FALSE)+VLOOKUP($A132,EnrollData2324,'2324 Jun 24 Enroll'!D$1,FALSE),'District Calculations'!$D$25+'District Calculations'!$D$11),5)</f>
        <v>4.1099999999999999E-3</v>
      </c>
      <c r="S132" s="11">
        <f t="shared" si="13"/>
        <v>1.8689600000000001E-2</v>
      </c>
      <c r="T132">
        <f>ROUND(IF(VLOOKUP($A132,EnrollData2324,'2324 Jun 24 Enroll'!D$1,FALSE)='District Calculations'!$D$11,VLOOKUP($A132,EnrollData2324,'2324 Jun 24 Enroll'!D$1,FALSE),'District Calculations'!$D$11)*S132,3)</f>
        <v>0</v>
      </c>
      <c r="U132">
        <f>ROUND(IF(VLOOKUP($A132,EnrollData2324,'2324 Jun 24 Enroll'!E$1,FALSE)='District Calculations'!$D$12,VLOOKUP($A132,EnrollData2324,'2324 Jun 24 Enroll'!E$1,FALSE),'District Calculations'!$D$12)*S132,3)</f>
        <v>15.148</v>
      </c>
      <c r="V132">
        <f>ROUND(IF(VLOOKUP($A132,EnrollData2324,'2324 Jun 24 Enroll'!F$1,FALSE)='District Calculations'!$D$13,VLOOKUP($A132,EnrollData2324,'2324 Jun 24 Enroll'!F$1,FALSE),'District Calculations'!$D$13)*Apport_224A2324s,3)</f>
        <v>3.7029999999999998</v>
      </c>
      <c r="W132">
        <f>ROUND(IF(VLOOKUP($A132,EnrollData2324,'2324 Jun 24 Enroll'!G$1,FALSE)='District Calculations'!$D$14,VLOOKUP($A132,EnrollData2324,'2324 Jun 24 Enroll'!G$1,FALSE),'District Calculations'!$D$14)*Apport_212A2324s,3)</f>
        <v>8.2089999999999996</v>
      </c>
      <c r="X132">
        <f>ROUND(IF(VLOOKUP($A132,EnrollData2324,'2324 Jun 24 Enroll'!H$1,FALSE)='District Calculations'!$D$14,VLOOKUP($A132,EnrollData2324,'2324 Jun 24 Enroll'!H$1,FALSE),'District Calculations'!$D$14)*Apport_215A2324s,3)</f>
        <v>8.0969999999999995</v>
      </c>
      <c r="Y132">
        <f>ROUND(IF(VLOOKUP($A132,EnrollData2324,'2324 Jun 24 Enroll'!I$1,FALSE)+VLOOKUP($A132,EnrollData2324,'2324 Jun 24 Enroll'!M$1,FALSE)-VLOOKUP($A132,EnrollData2324,'2324 Jun 24 Enroll'!J$1,FALSE)='District Calculations'!$D$16+'District Calculations'!$D$25-'District Calculations'!$D$17,VLOOKUP($A132,EnrollData2324,'2324 Jun 24 Enroll'!I$1,FALSE)+VLOOKUP($A132,EnrollData2324,'2324 Jun 24 Enroll'!M$1,FALSE)-VLOOKUP($A132,EnrollData2324,'2324 Jun 24 Enroll'!J$1,FALSE),'District Calculations'!$D$16+'District Calculations'!$D$25-'District Calculations'!$D$17)*Apport_218A2324s,3)</f>
        <v>20.224</v>
      </c>
      <c r="Z132">
        <f>ROUND(SUM(T132:Y132)/IF(VLOOKUP($A132,EnrollData2324,'2324 Jun 24 Enroll'!M$1,FALSE)+VLOOKUP($A132,EnrollData2324,'2324 Jun 24 Enroll'!D$1,FALSE)='District Calculations'!$D$25+'District Calculations'!$D$11,VLOOKUP($A132,EnrollData2324,'2324 Jun 24 Enroll'!M$1,FALSE)+VLOOKUP($A132,EnrollData2324,'2324 Jun 24 Enroll'!D$1,FALSE),'District Calculations'!$D$25+'District Calculations'!$D$11),5)</f>
        <v>1.7749999999999998E-2</v>
      </c>
      <c r="AA132" s="6" cm="1">
        <f t="array" ref="AA132">ROUND($J132*CIS_Base_Salary2324s*VLOOKUP($A132,EnrollData2324,'2324 Jun 24 Enroll'!S$1,FALSE),2)</f>
        <v>4765.53</v>
      </c>
      <c r="AB132" s="6" cm="1">
        <f t="array" ref="AB132">ROUND($J132*CIS_Inc_Salary2324s*(VLOOKUP($A132,EnrollData2324,'2324 Jun 24 Enroll'!T$1,FALSE)+VLOOKUP($A132,EnrollData2324,'2324 Jun 24 Enroll'!U$1,FALSE)),2)-AA132</f>
        <v>176.32999999999993</v>
      </c>
      <c r="AC132" s="6" cm="1">
        <f t="array" ref="AC132">ROUND($R132*CAS_Base_Salary2324s*VLOOKUP($A132,EnrollData2324,'2324 Jun 24 Enroll'!S$1,FALSE),2)</f>
        <v>523.55999999999995</v>
      </c>
      <c r="AD132" s="6" cm="1">
        <f t="array" ref="AD132">ROUND($R132*CAS_Inc_Salary2324s*VLOOKUP($A132,EnrollData2324,'2324 Jun 24 Enroll'!T$1,FALSE),2)-AC132</f>
        <v>19.380000000000109</v>
      </c>
      <c r="AE132" s="6" cm="1">
        <f t="array" ref="AE132">ROUND($Z132*CLS_Base_Salary2324s*VLOOKUP($A132,EnrollData2324,'2324 Jun 24 Enroll'!S$1,FALSE),2)</f>
        <v>1092.76</v>
      </c>
      <c r="AF132" s="6" cm="1">
        <f t="array" ref="AF132">ROUND($Z132*CLS_Inc_Salary2324s*VLOOKUP($A132,EnrollData2324,'2324 Jun 24 Enroll'!T$1,FALSE),2)-AE132</f>
        <v>40.430000000000064</v>
      </c>
      <c r="AG132" cm="1">
        <f t="array" ref="AG132">ROUND(($J132+$R132)*Apport_124X2324s,2)</f>
        <v>734.29</v>
      </c>
      <c r="AH132" s="69">
        <f t="shared" si="14"/>
        <v>68.700000000000045</v>
      </c>
      <c r="AI132" cm="1">
        <f t="array" ref="AI132">ROUND($Z132*Apport_124X2324s,2)</f>
        <v>218.54</v>
      </c>
      <c r="AJ132" cm="1">
        <f t="array" ref="AJ132">ROUND($Z132*Apport_621X2324s*Apport_125X2324s,2)-AI132</f>
        <v>116.51000000000002</v>
      </c>
      <c r="AK132" cm="1">
        <f t="array" ref="AK132">ROUND((AA132+AC132)*Apport_126X2324s,2)</f>
        <v>950.45</v>
      </c>
      <c r="AL132" cm="1">
        <f t="array" ref="AL132">ROUND((AB132+AD132)*Apport_127X2324s,2)</f>
        <v>33.92</v>
      </c>
      <c r="AM132" cm="1">
        <f t="array" ref="AM132">ROUND(AE132*Apport_128X2324s,2)</f>
        <v>241.06</v>
      </c>
      <c r="AN132" cm="1">
        <f t="array" ref="AN132">ROUND(AF132*Apport_129X2324s,2)</f>
        <v>7.5</v>
      </c>
      <c r="AO132" cm="1">
        <f t="array" ref="AO132">ROUND(($J132*CIS_Inc_Salary2324s*(VLOOKUP($A132,EnrollData2324,'2324 Jun 24 Enroll'!T$1,FALSE)+VLOOKUP($A132,EnrollData2324,'2324 Jun 24 Enroll'!U$1,FALSE))/Apport_613Xpd)*Apport_614Xpd,2)</f>
        <v>82.36</v>
      </c>
      <c r="AP132" cm="1">
        <f t="array" ref="AP132">ROUND(AO132*Apport_127X2324s,2)</f>
        <v>14.27</v>
      </c>
      <c r="AQ132">
        <f t="shared" si="15"/>
        <v>30.93</v>
      </c>
      <c r="AR132" s="6" cm="1">
        <f t="array" ref="AR132">ROUND((VLOOKUP($A132,EnrollData2324,'2324 Jun 24 Enroll'!D$1,FALSE)*Apport_M802324s+VLOOKUP($A132,EnrollData2324,'2324 Jun 24 Enroll'!M$1,FALSE)*Apport_M802324s+(VLOOKUP($A132,EnrollData2324,'2324 Jun 24 Enroll'!P$1,FALSE)+VLOOKUP($A132,EnrollData2324,'2324 Jun 24 Enroll'!Q$1,FALSE)+VLOOKUP($A132,EnrollData2324,'2324 Jun 24 Enroll'!R$1,FALSE)+VLOOKUP($A132,EnrollData2324,'2324 Jun 24 Enroll'!I$1,FALSE)+VLOOKUP($A132,EnrollData2324,'2324 Jun 24 Enroll'!N$1,FALSE)+VLOOKUP($A132,EnrollData2324,'2324 Jun 24 Enroll'!O$1,FALSE)+VLOOKUP($A132,EnrollData2324,'2324 Jun 24 Enroll'!K$1,FALSE)+VLOOKUP($A132,EnrollData2324,'2324 Jun 24 Enroll'!L$1,FALSE))*Apport_M812324s)/(VLOOKUP($A132,EnrollData2324,'2324 Jun 24 Enroll'!M$1,FALSE)+VLOOKUP($A132,EnrollData2324,'2324 Jun 24 Enroll'!D$1,FALSE)),2)</f>
        <v>1573.64</v>
      </c>
      <c r="AS132" s="7">
        <f t="shared" si="16"/>
        <v>10690.160000000002</v>
      </c>
    </row>
    <row r="133" spans="1:45">
      <c r="A133" s="40" t="s">
        <v>548</v>
      </c>
      <c r="B133" s="40" t="s">
        <v>549</v>
      </c>
      <c r="C133" s="11">
        <f>ROUND((IFERROR((1/IF(VLOOKUP($A133,EnrollData2324,28,FALSE)='District Calculations'!$D$10,VLOOKUP($A133,EnrollData2324,28,FALSE),'District Calculations'!$D$10))*(1+Apport_Z315),0))+Apport_201A2324s,6)</f>
        <v>7.3449E-2</v>
      </c>
      <c r="D133">
        <f>ROUND(IF(VLOOKUP($A133,EnrollData2324,'2324 Jun 24 Enroll'!D$1,FALSE)='District Calculations'!$D$11,VLOOKUP($A133,EnrollData2324,'2324 Jun 24 Enroll'!D$1,FALSE),'District Calculations'!$D$11)*C133,3)</f>
        <v>0</v>
      </c>
      <c r="E133">
        <f>ROUND(IF(VLOOKUP($A133,EnrollData2324,'2324 Jun 24 Enroll'!E$1,FALSE)='District Calculations'!$D$12,VLOOKUP($A133,EnrollData2324,'2324 Jun 24 Enroll'!E$1,FALSE),'District Calculations'!$D$12)*C133,3)</f>
        <v>59.53</v>
      </c>
      <c r="F133">
        <f>ROUND(IF(VLOOKUP($A133,EnrollData2324,'2324 Jun 24 Enroll'!F$1,FALSE)='District Calculations'!$D$13,VLOOKUP($A133,EnrollData2324,'2324 Jun 24 Enroll'!F$1,FALSE),'District Calculations'!$D$13)*Apport_222A2324s,3)</f>
        <v>10.101000000000001</v>
      </c>
      <c r="G133">
        <f>ROUND(IF(VLOOKUP($A133,EnrollData2324,'2324 Jun 24 Enroll'!G$1,FALSE)='District Calculations'!$D$14,VLOOKUP($A133,EnrollData2324,'2324 Jun 24 Enroll'!G$1,FALSE),'District Calculations'!$D$14)*Apport_210A2324s,3)</f>
        <v>22.395</v>
      </c>
      <c r="H133">
        <f>ROUND(IF(VLOOKUP($A133,EnrollData2324,'2324 Jun 24 Enroll'!H$1,FALSE)='District Calculations'!$D$15,VLOOKUP($A133,EnrollData2324,'2324 Jun 24 Enroll'!H$1,FALSE),'District Calculations'!$D$15)*Apport_213A2324s,3)</f>
        <v>23.091999999999999</v>
      </c>
      <c r="I133">
        <f>ROUND(IF(VLOOKUP($A133,EnrollData2324,'2324 Jun 24 Enroll'!I$1,FALSE)+VLOOKUP($A133,EnrollData2324,'2324 Jun 24 Enroll'!M$1,FALSE)-VLOOKUP($A133,EnrollData2324,'2324 Jun 24 Enroll'!J$1,FALSE)='District Calculations'!$D$16+'District Calculations'!$D$25-'District Calculations'!$D$17,VLOOKUP($A133,EnrollData2324,'2324 Jun 24 Enroll'!I$1,FALSE)+VLOOKUP($A133,EnrollData2324,'2324 Jun 24 Enroll'!M$1,FALSE)-VLOOKUP($A133,EnrollData2324,'2324 Jun 24 Enroll'!J$1,FALSE),'District Calculations'!$D$16+'District Calculations'!$D$25-'District Calculations'!$D$17)*Apport_216A2324s,3)</f>
        <v>58.183999999999997</v>
      </c>
      <c r="J133">
        <f>ROUND(SUM(D133:I133)/(IF(VLOOKUP($A133,EnrollData2324,'2324 Jun 24 Enroll'!M$1,FALSE)='District Calculations'!$D$25,VLOOKUP($A133,EnrollData2324,'2324 Jun 24 Enroll'!M$1,FALSE),'District Calculations'!$D$25)+IF(VLOOKUP($A133,EnrollData2324,'2324 Jun 24 Enroll'!D$1,FALSE)='District Calculations'!$D$11,VLOOKUP($A133,EnrollData2324,'2324 Jun 24 Enroll'!D$1,FALSE),'District Calculations'!$D$11)),5)</f>
        <v>5.5530000000000003E-2</v>
      </c>
      <c r="K133" s="11">
        <f t="shared" si="12"/>
        <v>4.3699999999999998E-3</v>
      </c>
      <c r="L133">
        <f>ROUND(IF(VLOOKUP($A133,EnrollData2324,'2324 Jun 24 Enroll'!D$1,FALSE)='District Calculations'!$D$11,VLOOKUP($A133,EnrollData2324,'2324 Jun 24 Enroll'!D$1,FALSE),'District Calculations'!$D$11)*K133,3)</f>
        <v>0</v>
      </c>
      <c r="M133">
        <f>ROUND(IF(VLOOKUP($A133,EnrollData2324,'2324 Jun 24 Enroll'!E$1,FALSE)='District Calculations'!$D$12,VLOOKUP($A133,EnrollData2324,'2324 Jun 24 Enroll'!E$1,FALSE),'District Calculations'!$D$12)*K133,3)</f>
        <v>3.5419999999999998</v>
      </c>
      <c r="N133">
        <f>ROUND(IF(VLOOKUP($A133,EnrollData2324,'2324 Jun 24 Enroll'!F$1,FALSE)='District Calculations'!$D$13,VLOOKUP($A133,EnrollData2324,'2324 Jun 24 Enroll'!F$1,FALSE),'District Calculations'!$D$13)*Apport_223A2324s,3)</f>
        <v>0.84299999999999997</v>
      </c>
      <c r="O133">
        <f>ROUND(IF(VLOOKUP($A133,EnrollData2324,'2324 Jun 24 Enroll'!G$1,FALSE)='District Calculations'!$D$14,VLOOKUP($A133,EnrollData2324,'2324 Jun 24 Enroll'!G$1,FALSE),'District Calculations'!$D$14)*Apport_211A2324s,3)</f>
        <v>1.87</v>
      </c>
      <c r="P133">
        <f>ROUND(IF(VLOOKUP($A133,EnrollData2324,'2324 Jun 24 Enroll'!H$1,FALSE)='District Calculations'!$D$14,VLOOKUP($A133,EnrollData2324,'2324 Jun 24 Enroll'!H$1,FALSE),'District Calculations'!$D$14)*Apport_214A2324s,3)</f>
        <v>1.8680000000000001</v>
      </c>
      <c r="Q133">
        <f>ROUND(IF(VLOOKUP($A133,EnrollData2324,'2324 Jun 24 Enroll'!I$1,FALSE)+VLOOKUP($A133,EnrollData2324,'2324 Jun 24 Enroll'!M$1,FALSE)-VLOOKUP($A133,EnrollData2324,'2324 Jun 24 Enroll'!J$1,FALSE)='District Calculations'!$D$16+'District Calculations'!$D$25-'District Calculations'!$D$17,VLOOKUP($A133,EnrollData2324,'2324 Jun 24 Enroll'!I$1,FALSE)+VLOOKUP($A133,EnrollData2324,'2324 Jun 24 Enroll'!M$1,FALSE)-VLOOKUP($A133,EnrollData2324,'2324 Jun 24 Enroll'!J$1,FALSE),'District Calculations'!$D$16+'District Calculations'!$D$25-'District Calculations'!$D$17)*Apport_217A2324s,3)</f>
        <v>4.702</v>
      </c>
      <c r="R133">
        <f>ROUND(SUM(L133:Q133)/IF(VLOOKUP($A133,EnrollData2324,'2324 Jun 24 Enroll'!M$1,FALSE)+VLOOKUP($A133,EnrollData2324,'2324 Jun 24 Enroll'!D$1,FALSE)='District Calculations'!$D$25+'District Calculations'!$D$11,VLOOKUP($A133,EnrollData2324,'2324 Jun 24 Enroll'!M$1,FALSE)+VLOOKUP($A133,EnrollData2324,'2324 Jun 24 Enroll'!D$1,FALSE),'District Calculations'!$D$25+'District Calculations'!$D$11),5)</f>
        <v>4.1099999999999999E-3</v>
      </c>
      <c r="S133" s="11">
        <f t="shared" si="13"/>
        <v>1.8689600000000001E-2</v>
      </c>
      <c r="T133">
        <f>ROUND(IF(VLOOKUP($A133,EnrollData2324,'2324 Jun 24 Enroll'!D$1,FALSE)='District Calculations'!$D$11,VLOOKUP($A133,EnrollData2324,'2324 Jun 24 Enroll'!D$1,FALSE),'District Calculations'!$D$11)*S133,3)</f>
        <v>0</v>
      </c>
      <c r="U133">
        <f>ROUND(IF(VLOOKUP($A133,EnrollData2324,'2324 Jun 24 Enroll'!E$1,FALSE)='District Calculations'!$D$12,VLOOKUP($A133,EnrollData2324,'2324 Jun 24 Enroll'!E$1,FALSE),'District Calculations'!$D$12)*S133,3)</f>
        <v>15.148</v>
      </c>
      <c r="V133">
        <f>ROUND(IF(VLOOKUP($A133,EnrollData2324,'2324 Jun 24 Enroll'!F$1,FALSE)='District Calculations'!$D$13,VLOOKUP($A133,EnrollData2324,'2324 Jun 24 Enroll'!F$1,FALSE),'District Calculations'!$D$13)*Apport_224A2324s,3)</f>
        <v>3.7029999999999998</v>
      </c>
      <c r="W133">
        <f>ROUND(IF(VLOOKUP($A133,EnrollData2324,'2324 Jun 24 Enroll'!G$1,FALSE)='District Calculations'!$D$14,VLOOKUP($A133,EnrollData2324,'2324 Jun 24 Enroll'!G$1,FALSE),'District Calculations'!$D$14)*Apport_212A2324s,3)</f>
        <v>8.2089999999999996</v>
      </c>
      <c r="X133">
        <f>ROUND(IF(VLOOKUP($A133,EnrollData2324,'2324 Jun 24 Enroll'!H$1,FALSE)='District Calculations'!$D$14,VLOOKUP($A133,EnrollData2324,'2324 Jun 24 Enroll'!H$1,FALSE),'District Calculations'!$D$14)*Apport_215A2324s,3)</f>
        <v>8.0969999999999995</v>
      </c>
      <c r="Y133">
        <f>ROUND(IF(VLOOKUP($A133,EnrollData2324,'2324 Jun 24 Enroll'!I$1,FALSE)+VLOOKUP($A133,EnrollData2324,'2324 Jun 24 Enroll'!M$1,FALSE)-VLOOKUP($A133,EnrollData2324,'2324 Jun 24 Enroll'!J$1,FALSE)='District Calculations'!$D$16+'District Calculations'!$D$25-'District Calculations'!$D$17,VLOOKUP($A133,EnrollData2324,'2324 Jun 24 Enroll'!I$1,FALSE)+VLOOKUP($A133,EnrollData2324,'2324 Jun 24 Enroll'!M$1,FALSE)-VLOOKUP($A133,EnrollData2324,'2324 Jun 24 Enroll'!J$1,FALSE),'District Calculations'!$D$16+'District Calculations'!$D$25-'District Calculations'!$D$17)*Apport_218A2324s,3)</f>
        <v>20.224</v>
      </c>
      <c r="Z133">
        <f>ROUND(SUM(T133:Y133)/IF(VLOOKUP($A133,EnrollData2324,'2324 Jun 24 Enroll'!M$1,FALSE)+VLOOKUP($A133,EnrollData2324,'2324 Jun 24 Enroll'!D$1,FALSE)='District Calculations'!$D$25+'District Calculations'!$D$11,VLOOKUP($A133,EnrollData2324,'2324 Jun 24 Enroll'!M$1,FALSE)+VLOOKUP($A133,EnrollData2324,'2324 Jun 24 Enroll'!D$1,FALSE),'District Calculations'!$D$25+'District Calculations'!$D$11),5)</f>
        <v>1.7749999999999998E-2</v>
      </c>
      <c r="AA133" s="6" cm="1">
        <f t="array" ref="AA133">ROUND($J133*CIS_Base_Salary2324s*VLOOKUP($A133,EnrollData2324,'2324 Jun 24 Enroll'!S$1,FALSE),2)</f>
        <v>4765.53</v>
      </c>
      <c r="AB133" s="6" cm="1">
        <f t="array" ref="AB133">ROUND($J133*CIS_Inc_Salary2324s*(VLOOKUP($A133,EnrollData2324,'2324 Jun 24 Enroll'!T$1,FALSE)+VLOOKUP($A133,EnrollData2324,'2324 Jun 24 Enroll'!U$1,FALSE)),2)-AA133</f>
        <v>176.32999999999993</v>
      </c>
      <c r="AC133" s="6" cm="1">
        <f t="array" ref="AC133">ROUND($R133*CAS_Base_Salary2324s*VLOOKUP($A133,EnrollData2324,'2324 Jun 24 Enroll'!S$1,FALSE),2)</f>
        <v>523.55999999999995</v>
      </c>
      <c r="AD133" s="6" cm="1">
        <f t="array" ref="AD133">ROUND($R133*CAS_Inc_Salary2324s*VLOOKUP($A133,EnrollData2324,'2324 Jun 24 Enroll'!T$1,FALSE),2)-AC133</f>
        <v>19.380000000000109</v>
      </c>
      <c r="AE133" s="6" cm="1">
        <f t="array" ref="AE133">ROUND($Z133*CLS_Base_Salary2324s*VLOOKUP($A133,EnrollData2324,'2324 Jun 24 Enroll'!S$1,FALSE),2)</f>
        <v>1092.76</v>
      </c>
      <c r="AF133" s="6" cm="1">
        <f t="array" ref="AF133">ROUND($Z133*CLS_Inc_Salary2324s*VLOOKUP($A133,EnrollData2324,'2324 Jun 24 Enroll'!T$1,FALSE),2)-AE133</f>
        <v>40.430000000000064</v>
      </c>
      <c r="AG133" cm="1">
        <f t="array" ref="AG133">ROUND(($J133+$R133)*Apport_124X2324s,2)</f>
        <v>734.29</v>
      </c>
      <c r="AH133" s="69">
        <f t="shared" si="14"/>
        <v>68.700000000000045</v>
      </c>
      <c r="AI133" cm="1">
        <f t="array" ref="AI133">ROUND($Z133*Apport_124X2324s,2)</f>
        <v>218.54</v>
      </c>
      <c r="AJ133" cm="1">
        <f t="array" ref="AJ133">ROUND($Z133*Apport_621X2324s*Apport_125X2324s,2)-AI133</f>
        <v>116.51000000000002</v>
      </c>
      <c r="AK133" cm="1">
        <f t="array" ref="AK133">ROUND((AA133+AC133)*Apport_126X2324s,2)</f>
        <v>950.45</v>
      </c>
      <c r="AL133" cm="1">
        <f t="array" ref="AL133">ROUND((AB133+AD133)*Apport_127X2324s,2)</f>
        <v>33.92</v>
      </c>
      <c r="AM133" cm="1">
        <f t="array" ref="AM133">ROUND(AE133*Apport_128X2324s,2)</f>
        <v>241.06</v>
      </c>
      <c r="AN133" cm="1">
        <f t="array" ref="AN133">ROUND(AF133*Apport_129X2324s,2)</f>
        <v>7.5</v>
      </c>
      <c r="AO133" cm="1">
        <f t="array" ref="AO133">ROUND(($J133*CIS_Inc_Salary2324s*(VLOOKUP($A133,EnrollData2324,'2324 Jun 24 Enroll'!T$1,FALSE)+VLOOKUP($A133,EnrollData2324,'2324 Jun 24 Enroll'!U$1,FALSE))/Apport_613Xpd)*Apport_614Xpd,2)</f>
        <v>82.36</v>
      </c>
      <c r="AP133" cm="1">
        <f t="array" ref="AP133">ROUND(AO133*Apport_127X2324s,2)</f>
        <v>14.27</v>
      </c>
      <c r="AQ133">
        <f t="shared" si="15"/>
        <v>30.93</v>
      </c>
      <c r="AR133" s="6" cm="1">
        <f t="array" ref="AR133">ROUND((VLOOKUP($A133,EnrollData2324,'2324 Jun 24 Enroll'!D$1,FALSE)*Apport_M802324s+VLOOKUP($A133,EnrollData2324,'2324 Jun 24 Enroll'!M$1,FALSE)*Apport_M802324s+(VLOOKUP($A133,EnrollData2324,'2324 Jun 24 Enroll'!P$1,FALSE)+VLOOKUP($A133,EnrollData2324,'2324 Jun 24 Enroll'!Q$1,FALSE)+VLOOKUP($A133,EnrollData2324,'2324 Jun 24 Enroll'!R$1,FALSE)+VLOOKUP($A133,EnrollData2324,'2324 Jun 24 Enroll'!I$1,FALSE)+VLOOKUP($A133,EnrollData2324,'2324 Jun 24 Enroll'!N$1,FALSE)+VLOOKUP($A133,EnrollData2324,'2324 Jun 24 Enroll'!O$1,FALSE)+VLOOKUP($A133,EnrollData2324,'2324 Jun 24 Enroll'!K$1,FALSE)+VLOOKUP($A133,EnrollData2324,'2324 Jun 24 Enroll'!L$1,FALSE))*Apport_M812324s)/(VLOOKUP($A133,EnrollData2324,'2324 Jun 24 Enroll'!M$1,FALSE)+VLOOKUP($A133,EnrollData2324,'2324 Jun 24 Enroll'!D$1,FALSE)),2)</f>
        <v>1566.62</v>
      </c>
      <c r="AS133" s="7">
        <f t="shared" si="16"/>
        <v>10683.140000000003</v>
      </c>
    </row>
    <row r="134" spans="1:45">
      <c r="A134" s="40" t="s">
        <v>526</v>
      </c>
      <c r="B134" s="40" t="s">
        <v>527</v>
      </c>
      <c r="C134" s="11">
        <f>ROUND((IFERROR((1/IF(VLOOKUP($A134,EnrollData2324,28,FALSE)='District Calculations'!$D$10,VLOOKUP($A134,EnrollData2324,28,FALSE),'District Calculations'!$D$10))*(1+Apport_Z315),0))+Apport_201A2324s,6)</f>
        <v>7.3449E-2</v>
      </c>
      <c r="D134">
        <f>ROUND(IF(VLOOKUP($A134,EnrollData2324,'2324 Jun 24 Enroll'!D$1,FALSE)='District Calculations'!$D$11,VLOOKUP($A134,EnrollData2324,'2324 Jun 24 Enroll'!D$1,FALSE),'District Calculations'!$D$11)*C134,3)</f>
        <v>0</v>
      </c>
      <c r="E134">
        <f>ROUND(IF(VLOOKUP($A134,EnrollData2324,'2324 Jun 24 Enroll'!E$1,FALSE)='District Calculations'!$D$12,VLOOKUP($A134,EnrollData2324,'2324 Jun 24 Enroll'!E$1,FALSE),'District Calculations'!$D$12)*C134,3)</f>
        <v>59.53</v>
      </c>
      <c r="F134">
        <f>ROUND(IF(VLOOKUP($A134,EnrollData2324,'2324 Jun 24 Enroll'!F$1,FALSE)='District Calculations'!$D$13,VLOOKUP($A134,EnrollData2324,'2324 Jun 24 Enroll'!F$1,FALSE),'District Calculations'!$D$13)*Apport_222A2324s,3)</f>
        <v>10.101000000000001</v>
      </c>
      <c r="G134">
        <f>ROUND(IF(VLOOKUP($A134,EnrollData2324,'2324 Jun 24 Enroll'!G$1,FALSE)='District Calculations'!$D$14,VLOOKUP($A134,EnrollData2324,'2324 Jun 24 Enroll'!G$1,FALSE),'District Calculations'!$D$14)*Apport_210A2324s,3)</f>
        <v>22.395</v>
      </c>
      <c r="H134">
        <f>ROUND(IF(VLOOKUP($A134,EnrollData2324,'2324 Jun 24 Enroll'!H$1,FALSE)='District Calculations'!$D$15,VLOOKUP($A134,EnrollData2324,'2324 Jun 24 Enroll'!H$1,FALSE),'District Calculations'!$D$15)*Apport_213A2324s,3)</f>
        <v>23.091999999999999</v>
      </c>
      <c r="I134">
        <f>ROUND(IF(VLOOKUP($A134,EnrollData2324,'2324 Jun 24 Enroll'!I$1,FALSE)+VLOOKUP($A134,EnrollData2324,'2324 Jun 24 Enroll'!M$1,FALSE)-VLOOKUP($A134,EnrollData2324,'2324 Jun 24 Enroll'!J$1,FALSE)='District Calculations'!$D$16+'District Calculations'!$D$25-'District Calculations'!$D$17,VLOOKUP($A134,EnrollData2324,'2324 Jun 24 Enroll'!I$1,FALSE)+VLOOKUP($A134,EnrollData2324,'2324 Jun 24 Enroll'!M$1,FALSE)-VLOOKUP($A134,EnrollData2324,'2324 Jun 24 Enroll'!J$1,FALSE),'District Calculations'!$D$16+'District Calculations'!$D$25-'District Calculations'!$D$17)*Apport_216A2324s,3)</f>
        <v>58.183999999999997</v>
      </c>
      <c r="J134">
        <f>ROUND(SUM(D134:I134)/(IF(VLOOKUP($A134,EnrollData2324,'2324 Jun 24 Enroll'!M$1,FALSE)='District Calculations'!$D$25,VLOOKUP($A134,EnrollData2324,'2324 Jun 24 Enroll'!M$1,FALSE),'District Calculations'!$D$25)+IF(VLOOKUP($A134,EnrollData2324,'2324 Jun 24 Enroll'!D$1,FALSE)='District Calculations'!$D$11,VLOOKUP($A134,EnrollData2324,'2324 Jun 24 Enroll'!D$1,FALSE),'District Calculations'!$D$11)),5)</f>
        <v>5.5530000000000003E-2</v>
      </c>
      <c r="K134" s="11">
        <f t="shared" si="12"/>
        <v>4.3699999999999998E-3</v>
      </c>
      <c r="L134">
        <f>ROUND(IF(VLOOKUP($A134,EnrollData2324,'2324 Jun 24 Enroll'!D$1,FALSE)='District Calculations'!$D$11,VLOOKUP($A134,EnrollData2324,'2324 Jun 24 Enroll'!D$1,FALSE),'District Calculations'!$D$11)*K134,3)</f>
        <v>0</v>
      </c>
      <c r="M134">
        <f>ROUND(IF(VLOOKUP($A134,EnrollData2324,'2324 Jun 24 Enroll'!E$1,FALSE)='District Calculations'!$D$12,VLOOKUP($A134,EnrollData2324,'2324 Jun 24 Enroll'!E$1,FALSE),'District Calculations'!$D$12)*K134,3)</f>
        <v>3.5419999999999998</v>
      </c>
      <c r="N134">
        <f>ROUND(IF(VLOOKUP($A134,EnrollData2324,'2324 Jun 24 Enroll'!F$1,FALSE)='District Calculations'!$D$13,VLOOKUP($A134,EnrollData2324,'2324 Jun 24 Enroll'!F$1,FALSE),'District Calculations'!$D$13)*Apport_223A2324s,3)</f>
        <v>0.84299999999999997</v>
      </c>
      <c r="O134">
        <f>ROUND(IF(VLOOKUP($A134,EnrollData2324,'2324 Jun 24 Enroll'!G$1,FALSE)='District Calculations'!$D$14,VLOOKUP($A134,EnrollData2324,'2324 Jun 24 Enroll'!G$1,FALSE),'District Calculations'!$D$14)*Apport_211A2324s,3)</f>
        <v>1.87</v>
      </c>
      <c r="P134">
        <f>ROUND(IF(VLOOKUP($A134,EnrollData2324,'2324 Jun 24 Enroll'!H$1,FALSE)='District Calculations'!$D$14,VLOOKUP($A134,EnrollData2324,'2324 Jun 24 Enroll'!H$1,FALSE),'District Calculations'!$D$14)*Apport_214A2324s,3)</f>
        <v>1.8680000000000001</v>
      </c>
      <c r="Q134">
        <f>ROUND(IF(VLOOKUP($A134,EnrollData2324,'2324 Jun 24 Enroll'!I$1,FALSE)+VLOOKUP($A134,EnrollData2324,'2324 Jun 24 Enroll'!M$1,FALSE)-VLOOKUP($A134,EnrollData2324,'2324 Jun 24 Enroll'!J$1,FALSE)='District Calculations'!$D$16+'District Calculations'!$D$25-'District Calculations'!$D$17,VLOOKUP($A134,EnrollData2324,'2324 Jun 24 Enroll'!I$1,FALSE)+VLOOKUP($A134,EnrollData2324,'2324 Jun 24 Enroll'!M$1,FALSE)-VLOOKUP($A134,EnrollData2324,'2324 Jun 24 Enroll'!J$1,FALSE),'District Calculations'!$D$16+'District Calculations'!$D$25-'District Calculations'!$D$17)*Apport_217A2324s,3)</f>
        <v>4.702</v>
      </c>
      <c r="R134">
        <f>ROUND(SUM(L134:Q134)/IF(VLOOKUP($A134,EnrollData2324,'2324 Jun 24 Enroll'!M$1,FALSE)+VLOOKUP($A134,EnrollData2324,'2324 Jun 24 Enroll'!D$1,FALSE)='District Calculations'!$D$25+'District Calculations'!$D$11,VLOOKUP($A134,EnrollData2324,'2324 Jun 24 Enroll'!M$1,FALSE)+VLOOKUP($A134,EnrollData2324,'2324 Jun 24 Enroll'!D$1,FALSE),'District Calculations'!$D$25+'District Calculations'!$D$11),5)</f>
        <v>4.1099999999999999E-3</v>
      </c>
      <c r="S134" s="11">
        <f t="shared" si="13"/>
        <v>1.8689600000000001E-2</v>
      </c>
      <c r="T134">
        <f>ROUND(IF(VLOOKUP($A134,EnrollData2324,'2324 Jun 24 Enroll'!D$1,FALSE)='District Calculations'!$D$11,VLOOKUP($A134,EnrollData2324,'2324 Jun 24 Enroll'!D$1,FALSE),'District Calculations'!$D$11)*S134,3)</f>
        <v>0</v>
      </c>
      <c r="U134">
        <f>ROUND(IF(VLOOKUP($A134,EnrollData2324,'2324 Jun 24 Enroll'!E$1,FALSE)='District Calculations'!$D$12,VLOOKUP($A134,EnrollData2324,'2324 Jun 24 Enroll'!E$1,FALSE),'District Calculations'!$D$12)*S134,3)</f>
        <v>15.148</v>
      </c>
      <c r="V134">
        <f>ROUND(IF(VLOOKUP($A134,EnrollData2324,'2324 Jun 24 Enroll'!F$1,FALSE)='District Calculations'!$D$13,VLOOKUP($A134,EnrollData2324,'2324 Jun 24 Enroll'!F$1,FALSE),'District Calculations'!$D$13)*Apport_224A2324s,3)</f>
        <v>3.7029999999999998</v>
      </c>
      <c r="W134">
        <f>ROUND(IF(VLOOKUP($A134,EnrollData2324,'2324 Jun 24 Enroll'!G$1,FALSE)='District Calculations'!$D$14,VLOOKUP($A134,EnrollData2324,'2324 Jun 24 Enroll'!G$1,FALSE),'District Calculations'!$D$14)*Apport_212A2324s,3)</f>
        <v>8.2089999999999996</v>
      </c>
      <c r="X134">
        <f>ROUND(IF(VLOOKUP($A134,EnrollData2324,'2324 Jun 24 Enroll'!H$1,FALSE)='District Calculations'!$D$14,VLOOKUP($A134,EnrollData2324,'2324 Jun 24 Enroll'!H$1,FALSE),'District Calculations'!$D$14)*Apport_215A2324s,3)</f>
        <v>8.0969999999999995</v>
      </c>
      <c r="Y134">
        <f>ROUND(IF(VLOOKUP($A134,EnrollData2324,'2324 Jun 24 Enroll'!I$1,FALSE)+VLOOKUP($A134,EnrollData2324,'2324 Jun 24 Enroll'!M$1,FALSE)-VLOOKUP($A134,EnrollData2324,'2324 Jun 24 Enroll'!J$1,FALSE)='District Calculations'!$D$16+'District Calculations'!$D$25-'District Calculations'!$D$17,VLOOKUP($A134,EnrollData2324,'2324 Jun 24 Enroll'!I$1,FALSE)+VLOOKUP($A134,EnrollData2324,'2324 Jun 24 Enroll'!M$1,FALSE)-VLOOKUP($A134,EnrollData2324,'2324 Jun 24 Enroll'!J$1,FALSE),'District Calculations'!$D$16+'District Calculations'!$D$25-'District Calculations'!$D$17)*Apport_218A2324s,3)</f>
        <v>20.224</v>
      </c>
      <c r="Z134">
        <f>ROUND(SUM(T134:Y134)/IF(VLOOKUP($A134,EnrollData2324,'2324 Jun 24 Enroll'!M$1,FALSE)+VLOOKUP($A134,EnrollData2324,'2324 Jun 24 Enroll'!D$1,FALSE)='District Calculations'!$D$25+'District Calculations'!$D$11,VLOOKUP($A134,EnrollData2324,'2324 Jun 24 Enroll'!M$1,FALSE)+VLOOKUP($A134,EnrollData2324,'2324 Jun 24 Enroll'!D$1,FALSE),'District Calculations'!$D$25+'District Calculations'!$D$11),5)</f>
        <v>1.7749999999999998E-2</v>
      </c>
      <c r="AA134" s="6" cm="1">
        <f t="array" ref="AA134">ROUND($J134*CIS_Base_Salary2324s*VLOOKUP($A134,EnrollData2324,'2324 Jun 24 Enroll'!S$1,FALSE),2)</f>
        <v>4765.53</v>
      </c>
      <c r="AB134" s="6" cm="1">
        <f t="array" ref="AB134">ROUND($J134*CIS_Inc_Salary2324s*(VLOOKUP($A134,EnrollData2324,'2324 Jun 24 Enroll'!T$1,FALSE)+VLOOKUP($A134,EnrollData2324,'2324 Jun 24 Enroll'!U$1,FALSE)),2)-AA134</f>
        <v>176.32999999999993</v>
      </c>
      <c r="AC134" s="6" cm="1">
        <f t="array" ref="AC134">ROUND($R134*CAS_Base_Salary2324s*VLOOKUP($A134,EnrollData2324,'2324 Jun 24 Enroll'!S$1,FALSE),2)</f>
        <v>523.55999999999995</v>
      </c>
      <c r="AD134" s="6" cm="1">
        <f t="array" ref="AD134">ROUND($R134*CAS_Inc_Salary2324s*VLOOKUP($A134,EnrollData2324,'2324 Jun 24 Enroll'!T$1,FALSE),2)-AC134</f>
        <v>19.380000000000109</v>
      </c>
      <c r="AE134" s="6" cm="1">
        <f t="array" ref="AE134">ROUND($Z134*CLS_Base_Salary2324s*VLOOKUP($A134,EnrollData2324,'2324 Jun 24 Enroll'!S$1,FALSE),2)</f>
        <v>1092.76</v>
      </c>
      <c r="AF134" s="6" cm="1">
        <f t="array" ref="AF134">ROUND($Z134*CLS_Inc_Salary2324s*VLOOKUP($A134,EnrollData2324,'2324 Jun 24 Enroll'!T$1,FALSE),2)-AE134</f>
        <v>40.430000000000064</v>
      </c>
      <c r="AG134" cm="1">
        <f t="array" ref="AG134">ROUND(($J134+$R134)*Apport_124X2324s,2)</f>
        <v>734.29</v>
      </c>
      <c r="AH134" s="69">
        <f t="shared" si="14"/>
        <v>68.700000000000045</v>
      </c>
      <c r="AI134" cm="1">
        <f t="array" ref="AI134">ROUND($Z134*Apport_124X2324s,2)</f>
        <v>218.54</v>
      </c>
      <c r="AJ134" cm="1">
        <f t="array" ref="AJ134">ROUND($Z134*Apport_621X2324s*Apport_125X2324s,2)-AI134</f>
        <v>116.51000000000002</v>
      </c>
      <c r="AK134" cm="1">
        <f t="array" ref="AK134">ROUND((AA134+AC134)*Apport_126X2324s,2)</f>
        <v>950.45</v>
      </c>
      <c r="AL134" cm="1">
        <f t="array" ref="AL134">ROUND((AB134+AD134)*Apport_127X2324s,2)</f>
        <v>33.92</v>
      </c>
      <c r="AM134" cm="1">
        <f t="array" ref="AM134">ROUND(AE134*Apport_128X2324s,2)</f>
        <v>241.06</v>
      </c>
      <c r="AN134" cm="1">
        <f t="array" ref="AN134">ROUND(AF134*Apport_129X2324s,2)</f>
        <v>7.5</v>
      </c>
      <c r="AO134" cm="1">
        <f t="array" ref="AO134">ROUND(($J134*CIS_Inc_Salary2324s*(VLOOKUP($A134,EnrollData2324,'2324 Jun 24 Enroll'!T$1,FALSE)+VLOOKUP($A134,EnrollData2324,'2324 Jun 24 Enroll'!U$1,FALSE))/Apport_613Xpd)*Apport_614Xpd,2)</f>
        <v>82.36</v>
      </c>
      <c r="AP134" cm="1">
        <f t="array" ref="AP134">ROUND(AO134*Apport_127X2324s,2)</f>
        <v>14.27</v>
      </c>
      <c r="AQ134">
        <f t="shared" si="15"/>
        <v>30.93</v>
      </c>
      <c r="AR134" s="6" cm="1">
        <f t="array" ref="AR134">ROUND((VLOOKUP($A134,EnrollData2324,'2324 Jun 24 Enroll'!D$1,FALSE)*Apport_M802324s+VLOOKUP($A134,EnrollData2324,'2324 Jun 24 Enroll'!M$1,FALSE)*Apport_M802324s+(VLOOKUP($A134,EnrollData2324,'2324 Jun 24 Enroll'!P$1,FALSE)+VLOOKUP($A134,EnrollData2324,'2324 Jun 24 Enroll'!Q$1,FALSE)+VLOOKUP($A134,EnrollData2324,'2324 Jun 24 Enroll'!R$1,FALSE)+VLOOKUP($A134,EnrollData2324,'2324 Jun 24 Enroll'!I$1,FALSE)+VLOOKUP($A134,EnrollData2324,'2324 Jun 24 Enroll'!N$1,FALSE)+VLOOKUP($A134,EnrollData2324,'2324 Jun 24 Enroll'!O$1,FALSE)+VLOOKUP($A134,EnrollData2324,'2324 Jun 24 Enroll'!K$1,FALSE)+VLOOKUP($A134,EnrollData2324,'2324 Jun 24 Enroll'!L$1,FALSE))*Apport_M812324s)/(VLOOKUP($A134,EnrollData2324,'2324 Jun 24 Enroll'!M$1,FALSE)+VLOOKUP($A134,EnrollData2324,'2324 Jun 24 Enroll'!D$1,FALSE)),2)</f>
        <v>1568.42</v>
      </c>
      <c r="AS134" s="7">
        <f t="shared" si="16"/>
        <v>10684.940000000002</v>
      </c>
    </row>
    <row r="135" spans="1:45">
      <c r="A135" s="40" t="s">
        <v>641</v>
      </c>
      <c r="B135" s="40" t="s">
        <v>642</v>
      </c>
      <c r="C135" s="11">
        <f>ROUND((IFERROR((1/IF(VLOOKUP($A135,EnrollData2324,28,FALSE)='District Calculations'!$D$10,VLOOKUP($A135,EnrollData2324,28,FALSE),'District Calculations'!$D$10))*(1+Apport_Z315),0))+Apport_201A2324s,6)</f>
        <v>7.3449E-2</v>
      </c>
      <c r="D135">
        <f>ROUND(IF(VLOOKUP($A135,EnrollData2324,'2324 Jun 24 Enroll'!D$1,FALSE)='District Calculations'!$D$11,VLOOKUP($A135,EnrollData2324,'2324 Jun 24 Enroll'!D$1,FALSE),'District Calculations'!$D$11)*C135,3)</f>
        <v>0</v>
      </c>
      <c r="E135">
        <f>ROUND(IF(VLOOKUP($A135,EnrollData2324,'2324 Jun 24 Enroll'!E$1,FALSE)='District Calculations'!$D$12,VLOOKUP($A135,EnrollData2324,'2324 Jun 24 Enroll'!E$1,FALSE),'District Calculations'!$D$12)*C135,3)</f>
        <v>59.53</v>
      </c>
      <c r="F135">
        <f>ROUND(IF(VLOOKUP($A135,EnrollData2324,'2324 Jun 24 Enroll'!F$1,FALSE)='District Calculations'!$D$13,VLOOKUP($A135,EnrollData2324,'2324 Jun 24 Enroll'!F$1,FALSE),'District Calculations'!$D$13)*Apport_222A2324s,3)</f>
        <v>10.101000000000001</v>
      </c>
      <c r="G135">
        <f>ROUND(IF(VLOOKUP($A135,EnrollData2324,'2324 Jun 24 Enroll'!G$1,FALSE)='District Calculations'!$D$14,VLOOKUP($A135,EnrollData2324,'2324 Jun 24 Enroll'!G$1,FALSE),'District Calculations'!$D$14)*Apport_210A2324s,3)</f>
        <v>22.395</v>
      </c>
      <c r="H135">
        <f>ROUND(IF(VLOOKUP($A135,EnrollData2324,'2324 Jun 24 Enroll'!H$1,FALSE)='District Calculations'!$D$15,VLOOKUP($A135,EnrollData2324,'2324 Jun 24 Enroll'!H$1,FALSE),'District Calculations'!$D$15)*Apport_213A2324s,3)</f>
        <v>23.091999999999999</v>
      </c>
      <c r="I135">
        <f>ROUND(IF(VLOOKUP($A135,EnrollData2324,'2324 Jun 24 Enroll'!I$1,FALSE)+VLOOKUP($A135,EnrollData2324,'2324 Jun 24 Enroll'!M$1,FALSE)-VLOOKUP($A135,EnrollData2324,'2324 Jun 24 Enroll'!J$1,FALSE)='District Calculations'!$D$16+'District Calculations'!$D$25-'District Calculations'!$D$17,VLOOKUP($A135,EnrollData2324,'2324 Jun 24 Enroll'!I$1,FALSE)+VLOOKUP($A135,EnrollData2324,'2324 Jun 24 Enroll'!M$1,FALSE)-VLOOKUP($A135,EnrollData2324,'2324 Jun 24 Enroll'!J$1,FALSE),'District Calculations'!$D$16+'District Calculations'!$D$25-'District Calculations'!$D$17)*Apport_216A2324s,3)</f>
        <v>58.183999999999997</v>
      </c>
      <c r="J135">
        <f>ROUND(SUM(D135:I135)/(IF(VLOOKUP($A135,EnrollData2324,'2324 Jun 24 Enroll'!M$1,FALSE)='District Calculations'!$D$25,VLOOKUP($A135,EnrollData2324,'2324 Jun 24 Enroll'!M$1,FALSE),'District Calculations'!$D$25)+IF(VLOOKUP($A135,EnrollData2324,'2324 Jun 24 Enroll'!D$1,FALSE)='District Calculations'!$D$11,VLOOKUP($A135,EnrollData2324,'2324 Jun 24 Enroll'!D$1,FALSE),'District Calculations'!$D$11)),5)</f>
        <v>5.5530000000000003E-2</v>
      </c>
      <c r="K135" s="11">
        <f t="shared" si="12"/>
        <v>4.3699999999999998E-3</v>
      </c>
      <c r="L135">
        <f>ROUND(IF(VLOOKUP($A135,EnrollData2324,'2324 Jun 24 Enroll'!D$1,FALSE)='District Calculations'!$D$11,VLOOKUP($A135,EnrollData2324,'2324 Jun 24 Enroll'!D$1,FALSE),'District Calculations'!$D$11)*K135,3)</f>
        <v>0</v>
      </c>
      <c r="M135">
        <f>ROUND(IF(VLOOKUP($A135,EnrollData2324,'2324 Jun 24 Enroll'!E$1,FALSE)='District Calculations'!$D$12,VLOOKUP($A135,EnrollData2324,'2324 Jun 24 Enroll'!E$1,FALSE),'District Calculations'!$D$12)*K135,3)</f>
        <v>3.5419999999999998</v>
      </c>
      <c r="N135">
        <f>ROUND(IF(VLOOKUP($A135,EnrollData2324,'2324 Jun 24 Enroll'!F$1,FALSE)='District Calculations'!$D$13,VLOOKUP($A135,EnrollData2324,'2324 Jun 24 Enroll'!F$1,FALSE),'District Calculations'!$D$13)*Apport_223A2324s,3)</f>
        <v>0.84299999999999997</v>
      </c>
      <c r="O135">
        <f>ROUND(IF(VLOOKUP($A135,EnrollData2324,'2324 Jun 24 Enroll'!G$1,FALSE)='District Calculations'!$D$14,VLOOKUP($A135,EnrollData2324,'2324 Jun 24 Enroll'!G$1,FALSE),'District Calculations'!$D$14)*Apport_211A2324s,3)</f>
        <v>1.87</v>
      </c>
      <c r="P135">
        <f>ROUND(IF(VLOOKUP($A135,EnrollData2324,'2324 Jun 24 Enroll'!H$1,FALSE)='District Calculations'!$D$14,VLOOKUP($A135,EnrollData2324,'2324 Jun 24 Enroll'!H$1,FALSE),'District Calculations'!$D$14)*Apport_214A2324s,3)</f>
        <v>1.8680000000000001</v>
      </c>
      <c r="Q135">
        <f>ROUND(IF(VLOOKUP($A135,EnrollData2324,'2324 Jun 24 Enroll'!I$1,FALSE)+VLOOKUP($A135,EnrollData2324,'2324 Jun 24 Enroll'!M$1,FALSE)-VLOOKUP($A135,EnrollData2324,'2324 Jun 24 Enroll'!J$1,FALSE)='District Calculations'!$D$16+'District Calculations'!$D$25-'District Calculations'!$D$17,VLOOKUP($A135,EnrollData2324,'2324 Jun 24 Enroll'!I$1,FALSE)+VLOOKUP($A135,EnrollData2324,'2324 Jun 24 Enroll'!M$1,FALSE)-VLOOKUP($A135,EnrollData2324,'2324 Jun 24 Enroll'!J$1,FALSE),'District Calculations'!$D$16+'District Calculations'!$D$25-'District Calculations'!$D$17)*Apport_217A2324s,3)</f>
        <v>4.702</v>
      </c>
      <c r="R135">
        <f>ROUND(SUM(L135:Q135)/IF(VLOOKUP($A135,EnrollData2324,'2324 Jun 24 Enroll'!M$1,FALSE)+VLOOKUP($A135,EnrollData2324,'2324 Jun 24 Enroll'!D$1,FALSE)='District Calculations'!$D$25+'District Calculations'!$D$11,VLOOKUP($A135,EnrollData2324,'2324 Jun 24 Enroll'!M$1,FALSE)+VLOOKUP($A135,EnrollData2324,'2324 Jun 24 Enroll'!D$1,FALSE),'District Calculations'!$D$25+'District Calculations'!$D$11),5)</f>
        <v>4.1099999999999999E-3</v>
      </c>
      <c r="S135" s="11">
        <f t="shared" si="13"/>
        <v>1.8689600000000001E-2</v>
      </c>
      <c r="T135">
        <f>ROUND(IF(VLOOKUP($A135,EnrollData2324,'2324 Jun 24 Enroll'!D$1,FALSE)='District Calculations'!$D$11,VLOOKUP($A135,EnrollData2324,'2324 Jun 24 Enroll'!D$1,FALSE),'District Calculations'!$D$11)*S135,3)</f>
        <v>0</v>
      </c>
      <c r="U135">
        <f>ROUND(IF(VLOOKUP($A135,EnrollData2324,'2324 Jun 24 Enroll'!E$1,FALSE)='District Calculations'!$D$12,VLOOKUP($A135,EnrollData2324,'2324 Jun 24 Enroll'!E$1,FALSE),'District Calculations'!$D$12)*S135,3)</f>
        <v>15.148</v>
      </c>
      <c r="V135">
        <f>ROUND(IF(VLOOKUP($A135,EnrollData2324,'2324 Jun 24 Enroll'!F$1,FALSE)='District Calculations'!$D$13,VLOOKUP($A135,EnrollData2324,'2324 Jun 24 Enroll'!F$1,FALSE),'District Calculations'!$D$13)*Apport_224A2324s,3)</f>
        <v>3.7029999999999998</v>
      </c>
      <c r="W135">
        <f>ROUND(IF(VLOOKUP($A135,EnrollData2324,'2324 Jun 24 Enroll'!G$1,FALSE)='District Calculations'!$D$14,VLOOKUP($A135,EnrollData2324,'2324 Jun 24 Enroll'!G$1,FALSE),'District Calculations'!$D$14)*Apport_212A2324s,3)</f>
        <v>8.2089999999999996</v>
      </c>
      <c r="X135">
        <f>ROUND(IF(VLOOKUP($A135,EnrollData2324,'2324 Jun 24 Enroll'!H$1,FALSE)='District Calculations'!$D$14,VLOOKUP($A135,EnrollData2324,'2324 Jun 24 Enroll'!H$1,FALSE),'District Calculations'!$D$14)*Apport_215A2324s,3)</f>
        <v>8.0969999999999995</v>
      </c>
      <c r="Y135">
        <f>ROUND(IF(VLOOKUP($A135,EnrollData2324,'2324 Jun 24 Enroll'!I$1,FALSE)+VLOOKUP($A135,EnrollData2324,'2324 Jun 24 Enroll'!M$1,FALSE)-VLOOKUP($A135,EnrollData2324,'2324 Jun 24 Enroll'!J$1,FALSE)='District Calculations'!$D$16+'District Calculations'!$D$25-'District Calculations'!$D$17,VLOOKUP($A135,EnrollData2324,'2324 Jun 24 Enroll'!I$1,FALSE)+VLOOKUP($A135,EnrollData2324,'2324 Jun 24 Enroll'!M$1,FALSE)-VLOOKUP($A135,EnrollData2324,'2324 Jun 24 Enroll'!J$1,FALSE),'District Calculations'!$D$16+'District Calculations'!$D$25-'District Calculations'!$D$17)*Apport_218A2324s,3)</f>
        <v>20.224</v>
      </c>
      <c r="Z135">
        <f>ROUND(SUM(T135:Y135)/IF(VLOOKUP($A135,EnrollData2324,'2324 Jun 24 Enroll'!M$1,FALSE)+VLOOKUP($A135,EnrollData2324,'2324 Jun 24 Enroll'!D$1,FALSE)='District Calculations'!$D$25+'District Calculations'!$D$11,VLOOKUP($A135,EnrollData2324,'2324 Jun 24 Enroll'!M$1,FALSE)+VLOOKUP($A135,EnrollData2324,'2324 Jun 24 Enroll'!D$1,FALSE),'District Calculations'!$D$25+'District Calculations'!$D$11),5)</f>
        <v>1.7749999999999998E-2</v>
      </c>
      <c r="AA135" s="6" cm="1">
        <f t="array" ref="AA135">ROUND($J135*CIS_Base_Salary2324s*VLOOKUP($A135,EnrollData2324,'2324 Jun 24 Enroll'!S$1,FALSE),2)</f>
        <v>4765.53</v>
      </c>
      <c r="AB135" s="6" cm="1">
        <f t="array" ref="AB135">ROUND($J135*CIS_Inc_Salary2324s*(VLOOKUP($A135,EnrollData2324,'2324 Jun 24 Enroll'!T$1,FALSE)+VLOOKUP($A135,EnrollData2324,'2324 Jun 24 Enroll'!U$1,FALSE)),2)-AA135</f>
        <v>176.32999999999993</v>
      </c>
      <c r="AC135" s="6" cm="1">
        <f t="array" ref="AC135">ROUND($R135*CAS_Base_Salary2324s*VLOOKUP($A135,EnrollData2324,'2324 Jun 24 Enroll'!S$1,FALSE),2)</f>
        <v>523.55999999999995</v>
      </c>
      <c r="AD135" s="6" cm="1">
        <f t="array" ref="AD135">ROUND($R135*CAS_Inc_Salary2324s*VLOOKUP($A135,EnrollData2324,'2324 Jun 24 Enroll'!T$1,FALSE),2)-AC135</f>
        <v>19.380000000000109</v>
      </c>
      <c r="AE135" s="6" cm="1">
        <f t="array" ref="AE135">ROUND($Z135*CLS_Base_Salary2324s*VLOOKUP($A135,EnrollData2324,'2324 Jun 24 Enroll'!S$1,FALSE),2)</f>
        <v>1092.76</v>
      </c>
      <c r="AF135" s="6" cm="1">
        <f t="array" ref="AF135">ROUND($Z135*CLS_Inc_Salary2324s*VLOOKUP($A135,EnrollData2324,'2324 Jun 24 Enroll'!T$1,FALSE),2)-AE135</f>
        <v>40.430000000000064</v>
      </c>
      <c r="AG135" cm="1">
        <f t="array" ref="AG135">ROUND(($J135+$R135)*Apport_124X2324s,2)</f>
        <v>734.29</v>
      </c>
      <c r="AH135" s="69">
        <f t="shared" si="14"/>
        <v>68.700000000000045</v>
      </c>
      <c r="AI135" cm="1">
        <f t="array" ref="AI135">ROUND($Z135*Apport_124X2324s,2)</f>
        <v>218.54</v>
      </c>
      <c r="AJ135" cm="1">
        <f t="array" ref="AJ135">ROUND($Z135*Apport_621X2324s*Apport_125X2324s,2)-AI135</f>
        <v>116.51000000000002</v>
      </c>
      <c r="AK135" cm="1">
        <f t="array" ref="AK135">ROUND((AA135+AC135)*Apport_126X2324s,2)</f>
        <v>950.45</v>
      </c>
      <c r="AL135" cm="1">
        <f t="array" ref="AL135">ROUND((AB135+AD135)*Apport_127X2324s,2)</f>
        <v>33.92</v>
      </c>
      <c r="AM135" cm="1">
        <f t="array" ref="AM135">ROUND(AE135*Apport_128X2324s,2)</f>
        <v>241.06</v>
      </c>
      <c r="AN135" cm="1">
        <f t="array" ref="AN135">ROUND(AF135*Apport_129X2324s,2)</f>
        <v>7.5</v>
      </c>
      <c r="AO135" cm="1">
        <f t="array" ref="AO135">ROUND(($J135*CIS_Inc_Salary2324s*(VLOOKUP($A135,EnrollData2324,'2324 Jun 24 Enroll'!T$1,FALSE)+VLOOKUP($A135,EnrollData2324,'2324 Jun 24 Enroll'!U$1,FALSE))/Apport_613Xpd)*Apport_614Xpd,2)</f>
        <v>82.36</v>
      </c>
      <c r="AP135" cm="1">
        <f t="array" ref="AP135">ROUND(AO135*Apport_127X2324s,2)</f>
        <v>14.27</v>
      </c>
      <c r="AQ135">
        <f t="shared" si="15"/>
        <v>30.93</v>
      </c>
      <c r="AR135" s="6" cm="1">
        <f t="array" ref="AR135">ROUND((VLOOKUP($A135,EnrollData2324,'2324 Jun 24 Enroll'!D$1,FALSE)*Apport_M802324s+VLOOKUP($A135,EnrollData2324,'2324 Jun 24 Enroll'!M$1,FALSE)*Apport_M802324s+(VLOOKUP($A135,EnrollData2324,'2324 Jun 24 Enroll'!P$1,FALSE)+VLOOKUP($A135,EnrollData2324,'2324 Jun 24 Enroll'!Q$1,FALSE)+VLOOKUP($A135,EnrollData2324,'2324 Jun 24 Enroll'!R$1,FALSE)+VLOOKUP($A135,EnrollData2324,'2324 Jun 24 Enroll'!I$1,FALSE)+VLOOKUP($A135,EnrollData2324,'2324 Jun 24 Enroll'!N$1,FALSE)+VLOOKUP($A135,EnrollData2324,'2324 Jun 24 Enroll'!O$1,FALSE)+VLOOKUP($A135,EnrollData2324,'2324 Jun 24 Enroll'!K$1,FALSE)+VLOOKUP($A135,EnrollData2324,'2324 Jun 24 Enroll'!L$1,FALSE))*Apport_M812324s)/(VLOOKUP($A135,EnrollData2324,'2324 Jun 24 Enroll'!M$1,FALSE)+VLOOKUP($A135,EnrollData2324,'2324 Jun 24 Enroll'!D$1,FALSE)),2)</f>
        <v>1570.71</v>
      </c>
      <c r="AS135" s="7">
        <f t="shared" si="16"/>
        <v>10687.230000000003</v>
      </c>
    </row>
    <row r="136" spans="1:45">
      <c r="A136" s="40" t="s">
        <v>911</v>
      </c>
      <c r="B136" s="40" t="s">
        <v>906</v>
      </c>
      <c r="C136" s="11">
        <f>ROUND((IFERROR((1/IF(VLOOKUP($A136,EnrollData2324,28,FALSE)='District Calculations'!$D$10,VLOOKUP($A136,EnrollData2324,28,FALSE),'District Calculations'!$D$10))*(1+Apport_Z315),0))+Apport_201A2324s,6)</f>
        <v>7.3449E-2</v>
      </c>
      <c r="D136">
        <f>ROUND(IF(VLOOKUP($A136,EnrollData2324,'2324 Jun 24 Enroll'!D$1,FALSE)='District Calculations'!$D$11,VLOOKUP($A136,EnrollData2324,'2324 Jun 24 Enroll'!D$1,FALSE),'District Calculations'!$D$11)*C136,3)</f>
        <v>0</v>
      </c>
      <c r="E136">
        <f>ROUND(IF(VLOOKUP($A136,EnrollData2324,'2324 Jun 24 Enroll'!E$1,FALSE)='District Calculations'!$D$12,VLOOKUP($A136,EnrollData2324,'2324 Jun 24 Enroll'!E$1,FALSE),'District Calculations'!$D$12)*C136,3)</f>
        <v>59.53</v>
      </c>
      <c r="F136">
        <f>ROUND(IF(VLOOKUP($A136,EnrollData2324,'2324 Jun 24 Enroll'!F$1,FALSE)='District Calculations'!$D$13,VLOOKUP($A136,EnrollData2324,'2324 Jun 24 Enroll'!F$1,FALSE),'District Calculations'!$D$13)*Apport_222A2324s,3)</f>
        <v>10.101000000000001</v>
      </c>
      <c r="G136">
        <f>ROUND(IF(VLOOKUP($A136,EnrollData2324,'2324 Jun 24 Enroll'!G$1,FALSE)='District Calculations'!$D$14,VLOOKUP($A136,EnrollData2324,'2324 Jun 24 Enroll'!G$1,FALSE),'District Calculations'!$D$14)*Apport_210A2324s,3)</f>
        <v>22.395</v>
      </c>
      <c r="H136">
        <f>ROUND(IF(VLOOKUP($A136,EnrollData2324,'2324 Jun 24 Enroll'!H$1,FALSE)='District Calculations'!$D$15,VLOOKUP($A136,EnrollData2324,'2324 Jun 24 Enroll'!H$1,FALSE),'District Calculations'!$D$15)*Apport_213A2324s,3)</f>
        <v>23.091999999999999</v>
      </c>
      <c r="I136">
        <f>ROUND(IF(VLOOKUP($A136,EnrollData2324,'2324 Jun 24 Enroll'!I$1,FALSE)+VLOOKUP($A136,EnrollData2324,'2324 Jun 24 Enroll'!M$1,FALSE)-VLOOKUP($A136,EnrollData2324,'2324 Jun 24 Enroll'!J$1,FALSE)='District Calculations'!$D$16+'District Calculations'!$D$25-'District Calculations'!$D$17,VLOOKUP($A136,EnrollData2324,'2324 Jun 24 Enroll'!I$1,FALSE)+VLOOKUP($A136,EnrollData2324,'2324 Jun 24 Enroll'!M$1,FALSE)-VLOOKUP($A136,EnrollData2324,'2324 Jun 24 Enroll'!J$1,FALSE),'District Calculations'!$D$16+'District Calculations'!$D$25-'District Calculations'!$D$17)*Apport_216A2324s,3)</f>
        <v>58.183999999999997</v>
      </c>
      <c r="J136">
        <f>ROUND(SUM(D136:I136)/(IF(VLOOKUP($A136,EnrollData2324,'2324 Jun 24 Enroll'!M$1,FALSE)='District Calculations'!$D$25,VLOOKUP($A136,EnrollData2324,'2324 Jun 24 Enroll'!M$1,FALSE),'District Calculations'!$D$25)+IF(VLOOKUP($A136,EnrollData2324,'2324 Jun 24 Enroll'!D$1,FALSE)='District Calculations'!$D$11,VLOOKUP($A136,EnrollData2324,'2324 Jun 24 Enroll'!D$1,FALSE),'District Calculations'!$D$11)),5)</f>
        <v>5.5530000000000003E-2</v>
      </c>
      <c r="K136" s="11">
        <f t="shared" si="12"/>
        <v>4.3699999999999998E-3</v>
      </c>
      <c r="L136">
        <f>ROUND(IF(VLOOKUP($A136,EnrollData2324,'2324 Jun 24 Enroll'!D$1,FALSE)='District Calculations'!$D$11,VLOOKUP($A136,EnrollData2324,'2324 Jun 24 Enroll'!D$1,FALSE),'District Calculations'!$D$11)*K136,3)</f>
        <v>0</v>
      </c>
      <c r="M136">
        <f>ROUND(IF(VLOOKUP($A136,EnrollData2324,'2324 Jun 24 Enroll'!E$1,FALSE)='District Calculations'!$D$12,VLOOKUP($A136,EnrollData2324,'2324 Jun 24 Enroll'!E$1,FALSE),'District Calculations'!$D$12)*K136,3)</f>
        <v>3.5419999999999998</v>
      </c>
      <c r="N136">
        <f>ROUND(IF(VLOOKUP($A136,EnrollData2324,'2324 Jun 24 Enroll'!F$1,FALSE)='District Calculations'!$D$13,VLOOKUP($A136,EnrollData2324,'2324 Jun 24 Enroll'!F$1,FALSE),'District Calculations'!$D$13)*Apport_223A2324s,3)</f>
        <v>0.84299999999999997</v>
      </c>
      <c r="O136">
        <f>ROUND(IF(VLOOKUP($A136,EnrollData2324,'2324 Jun 24 Enroll'!G$1,FALSE)='District Calculations'!$D$14,VLOOKUP($A136,EnrollData2324,'2324 Jun 24 Enroll'!G$1,FALSE),'District Calculations'!$D$14)*Apport_211A2324s,3)</f>
        <v>1.87</v>
      </c>
      <c r="P136">
        <f>ROUND(IF(VLOOKUP($A136,EnrollData2324,'2324 Jun 24 Enroll'!H$1,FALSE)='District Calculations'!$D$14,VLOOKUP($A136,EnrollData2324,'2324 Jun 24 Enroll'!H$1,FALSE),'District Calculations'!$D$14)*Apport_214A2324s,3)</f>
        <v>1.8680000000000001</v>
      </c>
      <c r="Q136">
        <f>ROUND(IF(VLOOKUP($A136,EnrollData2324,'2324 Jun 24 Enroll'!I$1,FALSE)+VLOOKUP($A136,EnrollData2324,'2324 Jun 24 Enroll'!M$1,FALSE)-VLOOKUP($A136,EnrollData2324,'2324 Jun 24 Enroll'!J$1,FALSE)='District Calculations'!$D$16+'District Calculations'!$D$25-'District Calculations'!$D$17,VLOOKUP($A136,EnrollData2324,'2324 Jun 24 Enroll'!I$1,FALSE)+VLOOKUP($A136,EnrollData2324,'2324 Jun 24 Enroll'!M$1,FALSE)-VLOOKUP($A136,EnrollData2324,'2324 Jun 24 Enroll'!J$1,FALSE),'District Calculations'!$D$16+'District Calculations'!$D$25-'District Calculations'!$D$17)*Apport_217A2324s,3)</f>
        <v>4.702</v>
      </c>
      <c r="R136">
        <f>ROUND(SUM(L136:Q136)/IF(VLOOKUP($A136,EnrollData2324,'2324 Jun 24 Enroll'!M$1,FALSE)+VLOOKUP($A136,EnrollData2324,'2324 Jun 24 Enroll'!D$1,FALSE)='District Calculations'!$D$25+'District Calculations'!$D$11,VLOOKUP($A136,EnrollData2324,'2324 Jun 24 Enroll'!M$1,FALSE)+VLOOKUP($A136,EnrollData2324,'2324 Jun 24 Enroll'!D$1,FALSE),'District Calculations'!$D$25+'District Calculations'!$D$11),5)</f>
        <v>4.1099999999999999E-3</v>
      </c>
      <c r="S136" s="11">
        <f t="shared" si="13"/>
        <v>1.8689600000000001E-2</v>
      </c>
      <c r="T136">
        <f>ROUND(IF(VLOOKUP($A136,EnrollData2324,'2324 Jun 24 Enroll'!D$1,FALSE)='District Calculations'!$D$11,VLOOKUP($A136,EnrollData2324,'2324 Jun 24 Enroll'!D$1,FALSE),'District Calculations'!$D$11)*S136,3)</f>
        <v>0</v>
      </c>
      <c r="U136">
        <f>ROUND(IF(VLOOKUP($A136,EnrollData2324,'2324 Jun 24 Enroll'!E$1,FALSE)='District Calculations'!$D$12,VLOOKUP($A136,EnrollData2324,'2324 Jun 24 Enroll'!E$1,FALSE),'District Calculations'!$D$12)*S136,3)</f>
        <v>15.148</v>
      </c>
      <c r="V136">
        <f>ROUND(IF(VLOOKUP($A136,EnrollData2324,'2324 Jun 24 Enroll'!F$1,FALSE)='District Calculations'!$D$13,VLOOKUP($A136,EnrollData2324,'2324 Jun 24 Enroll'!F$1,FALSE),'District Calculations'!$D$13)*Apport_224A2324s,3)</f>
        <v>3.7029999999999998</v>
      </c>
      <c r="W136">
        <f>ROUND(IF(VLOOKUP($A136,EnrollData2324,'2324 Jun 24 Enroll'!G$1,FALSE)='District Calculations'!$D$14,VLOOKUP($A136,EnrollData2324,'2324 Jun 24 Enroll'!G$1,FALSE),'District Calculations'!$D$14)*Apport_212A2324s,3)</f>
        <v>8.2089999999999996</v>
      </c>
      <c r="X136">
        <f>ROUND(IF(VLOOKUP($A136,EnrollData2324,'2324 Jun 24 Enroll'!H$1,FALSE)='District Calculations'!$D$14,VLOOKUP($A136,EnrollData2324,'2324 Jun 24 Enroll'!H$1,FALSE),'District Calculations'!$D$14)*Apport_215A2324s,3)</f>
        <v>8.0969999999999995</v>
      </c>
      <c r="Y136">
        <f>ROUND(IF(VLOOKUP($A136,EnrollData2324,'2324 Jun 24 Enroll'!I$1,FALSE)+VLOOKUP($A136,EnrollData2324,'2324 Jun 24 Enroll'!M$1,FALSE)-VLOOKUP($A136,EnrollData2324,'2324 Jun 24 Enroll'!J$1,FALSE)='District Calculations'!$D$16+'District Calculations'!$D$25-'District Calculations'!$D$17,VLOOKUP($A136,EnrollData2324,'2324 Jun 24 Enroll'!I$1,FALSE)+VLOOKUP($A136,EnrollData2324,'2324 Jun 24 Enroll'!M$1,FALSE)-VLOOKUP($A136,EnrollData2324,'2324 Jun 24 Enroll'!J$1,FALSE),'District Calculations'!$D$16+'District Calculations'!$D$25-'District Calculations'!$D$17)*Apport_218A2324s,3)</f>
        <v>20.224</v>
      </c>
      <c r="Z136">
        <f>ROUND(SUM(T136:Y136)/IF(VLOOKUP($A136,EnrollData2324,'2324 Jun 24 Enroll'!M$1,FALSE)+VLOOKUP($A136,EnrollData2324,'2324 Jun 24 Enroll'!D$1,FALSE)='District Calculations'!$D$25+'District Calculations'!$D$11,VLOOKUP($A136,EnrollData2324,'2324 Jun 24 Enroll'!M$1,FALSE)+VLOOKUP($A136,EnrollData2324,'2324 Jun 24 Enroll'!D$1,FALSE),'District Calculations'!$D$25+'District Calculations'!$D$11),5)</f>
        <v>1.7749999999999998E-2</v>
      </c>
      <c r="AA136" s="6" cm="1">
        <f t="array" ref="AA136">ROUND($J136*CIS_Base_Salary2324s*VLOOKUP($A136,EnrollData2324,'2324 Jun 24 Enroll'!S$1,FALSE),2)</f>
        <v>4765.53</v>
      </c>
      <c r="AB136" s="6" cm="1">
        <f t="array" ref="AB136">ROUND($J136*CIS_Inc_Salary2324s*(VLOOKUP($A136,EnrollData2324,'2324 Jun 24 Enroll'!T$1,FALSE)+VLOOKUP($A136,EnrollData2324,'2324 Jun 24 Enroll'!U$1,FALSE)),2)-AA136</f>
        <v>176.32999999999993</v>
      </c>
      <c r="AC136" s="6" cm="1">
        <f t="array" ref="AC136">ROUND($R136*CAS_Base_Salary2324s*VLOOKUP($A136,EnrollData2324,'2324 Jun 24 Enroll'!S$1,FALSE),2)</f>
        <v>523.55999999999995</v>
      </c>
      <c r="AD136" s="6" cm="1">
        <f t="array" ref="AD136">ROUND($R136*CAS_Inc_Salary2324s*VLOOKUP($A136,EnrollData2324,'2324 Jun 24 Enroll'!T$1,FALSE),2)-AC136</f>
        <v>19.380000000000109</v>
      </c>
      <c r="AE136" s="6" cm="1">
        <f t="array" ref="AE136">ROUND($Z136*CLS_Base_Salary2324s*VLOOKUP($A136,EnrollData2324,'2324 Jun 24 Enroll'!S$1,FALSE),2)</f>
        <v>1092.76</v>
      </c>
      <c r="AF136" s="6" cm="1">
        <f t="array" ref="AF136">ROUND($Z136*CLS_Inc_Salary2324s*VLOOKUP($A136,EnrollData2324,'2324 Jun 24 Enroll'!T$1,FALSE),2)-AE136</f>
        <v>40.430000000000064</v>
      </c>
      <c r="AG136" cm="1">
        <f t="array" ref="AG136">ROUND(($J136+$R136)*Apport_124X2324s,2)</f>
        <v>734.29</v>
      </c>
      <c r="AH136" s="69">
        <f t="shared" si="14"/>
        <v>68.700000000000045</v>
      </c>
      <c r="AI136" cm="1">
        <f t="array" ref="AI136">ROUND($Z136*Apport_124X2324s,2)</f>
        <v>218.54</v>
      </c>
      <c r="AJ136" cm="1">
        <f t="array" ref="AJ136">ROUND($Z136*Apport_621X2324s*Apport_125X2324s,2)-AI136</f>
        <v>116.51000000000002</v>
      </c>
      <c r="AK136" cm="1">
        <f t="array" ref="AK136">ROUND((AA136+AC136)*Apport_126X2324s,2)</f>
        <v>950.45</v>
      </c>
      <c r="AL136" cm="1">
        <f t="array" ref="AL136">ROUND((AB136+AD136)*Apport_127X2324s,2)</f>
        <v>33.92</v>
      </c>
      <c r="AM136" cm="1">
        <f t="array" ref="AM136">ROUND(AE136*Apport_128X2324s,2)</f>
        <v>241.06</v>
      </c>
      <c r="AN136" cm="1">
        <f t="array" ref="AN136">ROUND(AF136*Apport_129X2324s,2)</f>
        <v>7.5</v>
      </c>
      <c r="AO136" cm="1">
        <f t="array" ref="AO136">ROUND(($J136*CIS_Inc_Salary2324s*(VLOOKUP($A136,EnrollData2324,'2324 Jun 24 Enroll'!T$1,FALSE)+VLOOKUP($A136,EnrollData2324,'2324 Jun 24 Enroll'!U$1,FALSE))/Apport_613Xpd)*Apport_614Xpd,2)</f>
        <v>82.36</v>
      </c>
      <c r="AP136" cm="1">
        <f t="array" ref="AP136">ROUND(AO136*Apport_127X2324s,2)</f>
        <v>14.27</v>
      </c>
      <c r="AQ136">
        <f t="shared" si="15"/>
        <v>30.93</v>
      </c>
      <c r="AR136" s="6" cm="1">
        <f t="array" ref="AR136">ROUND((VLOOKUP($A136,EnrollData2324,'2324 Jun 24 Enroll'!D$1,FALSE)*Apport_M802324s+VLOOKUP($A136,EnrollData2324,'2324 Jun 24 Enroll'!M$1,FALSE)*Apport_M802324s+(VLOOKUP($A136,EnrollData2324,'2324 Jun 24 Enroll'!P$1,FALSE)+VLOOKUP($A136,EnrollData2324,'2324 Jun 24 Enroll'!Q$1,FALSE)+VLOOKUP($A136,EnrollData2324,'2324 Jun 24 Enroll'!R$1,FALSE)+VLOOKUP($A136,EnrollData2324,'2324 Jun 24 Enroll'!I$1,FALSE)+VLOOKUP($A136,EnrollData2324,'2324 Jun 24 Enroll'!N$1,FALSE)+VLOOKUP($A136,EnrollData2324,'2324 Jun 24 Enroll'!O$1,FALSE)+VLOOKUP($A136,EnrollData2324,'2324 Jun 24 Enroll'!K$1,FALSE)+VLOOKUP($A136,EnrollData2324,'2324 Jun 24 Enroll'!L$1,FALSE))*Apport_M812324s)/(VLOOKUP($A136,EnrollData2324,'2324 Jun 24 Enroll'!M$1,FALSE)+VLOOKUP($A136,EnrollData2324,'2324 Jun 24 Enroll'!D$1,FALSE)),2)</f>
        <v>1704.67</v>
      </c>
      <c r="AS136" s="7">
        <f t="shared" si="16"/>
        <v>10821.190000000002</v>
      </c>
    </row>
    <row r="137" spans="1:45">
      <c r="A137" s="40" t="s">
        <v>899</v>
      </c>
      <c r="B137" s="40" t="s">
        <v>900</v>
      </c>
      <c r="C137" s="11">
        <f>ROUND((IFERROR((1/IF(VLOOKUP($A137,EnrollData2324,28,FALSE)='District Calculations'!$D$10,VLOOKUP($A137,EnrollData2324,28,FALSE),'District Calculations'!$D$10))*(1+Apport_Z315),0))+Apport_201A2324s,6)</f>
        <v>7.3449E-2</v>
      </c>
      <c r="D137">
        <f>ROUND(IF(VLOOKUP($A137,EnrollData2324,'2324 Jun 24 Enroll'!D$1,FALSE)='District Calculations'!$D$11,VLOOKUP($A137,EnrollData2324,'2324 Jun 24 Enroll'!D$1,FALSE),'District Calculations'!$D$11)*C137,3)</f>
        <v>0</v>
      </c>
      <c r="E137">
        <f>ROUND(IF(VLOOKUP($A137,EnrollData2324,'2324 Jun 24 Enroll'!E$1,FALSE)='District Calculations'!$D$12,VLOOKUP($A137,EnrollData2324,'2324 Jun 24 Enroll'!E$1,FALSE),'District Calculations'!$D$12)*C137,3)</f>
        <v>59.53</v>
      </c>
      <c r="F137">
        <f>ROUND(IF(VLOOKUP($A137,EnrollData2324,'2324 Jun 24 Enroll'!F$1,FALSE)='District Calculations'!$D$13,VLOOKUP($A137,EnrollData2324,'2324 Jun 24 Enroll'!F$1,FALSE),'District Calculations'!$D$13)*Apport_222A2324s,3)</f>
        <v>10.101000000000001</v>
      </c>
      <c r="G137">
        <f>ROUND(IF(VLOOKUP($A137,EnrollData2324,'2324 Jun 24 Enroll'!G$1,FALSE)='District Calculations'!$D$14,VLOOKUP($A137,EnrollData2324,'2324 Jun 24 Enroll'!G$1,FALSE),'District Calculations'!$D$14)*Apport_210A2324s,3)</f>
        <v>22.395</v>
      </c>
      <c r="H137">
        <f>ROUND(IF(VLOOKUP($A137,EnrollData2324,'2324 Jun 24 Enroll'!H$1,FALSE)='District Calculations'!$D$15,VLOOKUP($A137,EnrollData2324,'2324 Jun 24 Enroll'!H$1,FALSE),'District Calculations'!$D$15)*Apport_213A2324s,3)</f>
        <v>23.091999999999999</v>
      </c>
      <c r="I137">
        <f>ROUND(IF(VLOOKUP($A137,EnrollData2324,'2324 Jun 24 Enroll'!I$1,FALSE)+VLOOKUP($A137,EnrollData2324,'2324 Jun 24 Enroll'!M$1,FALSE)-VLOOKUP($A137,EnrollData2324,'2324 Jun 24 Enroll'!J$1,FALSE)='District Calculations'!$D$16+'District Calculations'!$D$25-'District Calculations'!$D$17,VLOOKUP($A137,EnrollData2324,'2324 Jun 24 Enroll'!I$1,FALSE)+VLOOKUP($A137,EnrollData2324,'2324 Jun 24 Enroll'!M$1,FALSE)-VLOOKUP($A137,EnrollData2324,'2324 Jun 24 Enroll'!J$1,FALSE),'District Calculations'!$D$16+'District Calculations'!$D$25-'District Calculations'!$D$17)*Apport_216A2324s,3)</f>
        <v>58.183999999999997</v>
      </c>
      <c r="J137">
        <f>ROUND(SUM(D137:I137)/(IF(VLOOKUP($A137,EnrollData2324,'2324 Jun 24 Enroll'!M$1,FALSE)='District Calculations'!$D$25,VLOOKUP($A137,EnrollData2324,'2324 Jun 24 Enroll'!M$1,FALSE),'District Calculations'!$D$25)+IF(VLOOKUP($A137,EnrollData2324,'2324 Jun 24 Enroll'!D$1,FALSE)='District Calculations'!$D$11,VLOOKUP($A137,EnrollData2324,'2324 Jun 24 Enroll'!D$1,FALSE),'District Calculations'!$D$11)),5)</f>
        <v>5.5530000000000003E-2</v>
      </c>
      <c r="K137" s="11">
        <f t="shared" si="12"/>
        <v>4.3699999999999998E-3</v>
      </c>
      <c r="L137">
        <f>ROUND(IF(VLOOKUP($A137,EnrollData2324,'2324 Jun 24 Enroll'!D$1,FALSE)='District Calculations'!$D$11,VLOOKUP($A137,EnrollData2324,'2324 Jun 24 Enroll'!D$1,FALSE),'District Calculations'!$D$11)*K137,3)</f>
        <v>0</v>
      </c>
      <c r="M137">
        <f>ROUND(IF(VLOOKUP($A137,EnrollData2324,'2324 Jun 24 Enroll'!E$1,FALSE)='District Calculations'!$D$12,VLOOKUP($A137,EnrollData2324,'2324 Jun 24 Enroll'!E$1,FALSE),'District Calculations'!$D$12)*K137,3)</f>
        <v>3.5419999999999998</v>
      </c>
      <c r="N137">
        <f>ROUND(IF(VLOOKUP($A137,EnrollData2324,'2324 Jun 24 Enroll'!F$1,FALSE)='District Calculations'!$D$13,VLOOKUP($A137,EnrollData2324,'2324 Jun 24 Enroll'!F$1,FALSE),'District Calculations'!$D$13)*Apport_223A2324s,3)</f>
        <v>0.84299999999999997</v>
      </c>
      <c r="O137">
        <f>ROUND(IF(VLOOKUP($A137,EnrollData2324,'2324 Jun 24 Enroll'!G$1,FALSE)='District Calculations'!$D$14,VLOOKUP($A137,EnrollData2324,'2324 Jun 24 Enroll'!G$1,FALSE),'District Calculations'!$D$14)*Apport_211A2324s,3)</f>
        <v>1.87</v>
      </c>
      <c r="P137">
        <f>ROUND(IF(VLOOKUP($A137,EnrollData2324,'2324 Jun 24 Enroll'!H$1,FALSE)='District Calculations'!$D$14,VLOOKUP($A137,EnrollData2324,'2324 Jun 24 Enroll'!H$1,FALSE),'District Calculations'!$D$14)*Apport_214A2324s,3)</f>
        <v>1.8680000000000001</v>
      </c>
      <c r="Q137">
        <f>ROUND(IF(VLOOKUP($A137,EnrollData2324,'2324 Jun 24 Enroll'!I$1,FALSE)+VLOOKUP($A137,EnrollData2324,'2324 Jun 24 Enroll'!M$1,FALSE)-VLOOKUP($A137,EnrollData2324,'2324 Jun 24 Enroll'!J$1,FALSE)='District Calculations'!$D$16+'District Calculations'!$D$25-'District Calculations'!$D$17,VLOOKUP($A137,EnrollData2324,'2324 Jun 24 Enroll'!I$1,FALSE)+VLOOKUP($A137,EnrollData2324,'2324 Jun 24 Enroll'!M$1,FALSE)-VLOOKUP($A137,EnrollData2324,'2324 Jun 24 Enroll'!J$1,FALSE),'District Calculations'!$D$16+'District Calculations'!$D$25-'District Calculations'!$D$17)*Apport_217A2324s,3)</f>
        <v>4.702</v>
      </c>
      <c r="R137">
        <f>ROUND(SUM(L137:Q137)/IF(VLOOKUP($A137,EnrollData2324,'2324 Jun 24 Enroll'!M$1,FALSE)+VLOOKUP($A137,EnrollData2324,'2324 Jun 24 Enroll'!D$1,FALSE)='District Calculations'!$D$25+'District Calculations'!$D$11,VLOOKUP($A137,EnrollData2324,'2324 Jun 24 Enroll'!M$1,FALSE)+VLOOKUP($A137,EnrollData2324,'2324 Jun 24 Enroll'!D$1,FALSE),'District Calculations'!$D$25+'District Calculations'!$D$11),5)</f>
        <v>4.1099999999999999E-3</v>
      </c>
      <c r="S137" s="11">
        <f t="shared" si="13"/>
        <v>1.8689600000000001E-2</v>
      </c>
      <c r="T137">
        <f>ROUND(IF(VLOOKUP($A137,EnrollData2324,'2324 Jun 24 Enroll'!D$1,FALSE)='District Calculations'!$D$11,VLOOKUP($A137,EnrollData2324,'2324 Jun 24 Enroll'!D$1,FALSE),'District Calculations'!$D$11)*S137,3)</f>
        <v>0</v>
      </c>
      <c r="U137">
        <f>ROUND(IF(VLOOKUP($A137,EnrollData2324,'2324 Jun 24 Enroll'!E$1,FALSE)='District Calculations'!$D$12,VLOOKUP($A137,EnrollData2324,'2324 Jun 24 Enroll'!E$1,FALSE),'District Calculations'!$D$12)*S137,3)</f>
        <v>15.148</v>
      </c>
      <c r="V137">
        <f>ROUND(IF(VLOOKUP($A137,EnrollData2324,'2324 Jun 24 Enroll'!F$1,FALSE)='District Calculations'!$D$13,VLOOKUP($A137,EnrollData2324,'2324 Jun 24 Enroll'!F$1,FALSE),'District Calculations'!$D$13)*Apport_224A2324s,3)</f>
        <v>3.7029999999999998</v>
      </c>
      <c r="W137">
        <f>ROUND(IF(VLOOKUP($A137,EnrollData2324,'2324 Jun 24 Enroll'!G$1,FALSE)='District Calculations'!$D$14,VLOOKUP($A137,EnrollData2324,'2324 Jun 24 Enroll'!G$1,FALSE),'District Calculations'!$D$14)*Apport_212A2324s,3)</f>
        <v>8.2089999999999996</v>
      </c>
      <c r="X137">
        <f>ROUND(IF(VLOOKUP($A137,EnrollData2324,'2324 Jun 24 Enroll'!H$1,FALSE)='District Calculations'!$D$14,VLOOKUP($A137,EnrollData2324,'2324 Jun 24 Enroll'!H$1,FALSE),'District Calculations'!$D$14)*Apport_215A2324s,3)</f>
        <v>8.0969999999999995</v>
      </c>
      <c r="Y137">
        <f>ROUND(IF(VLOOKUP($A137,EnrollData2324,'2324 Jun 24 Enroll'!I$1,FALSE)+VLOOKUP($A137,EnrollData2324,'2324 Jun 24 Enroll'!M$1,FALSE)-VLOOKUP($A137,EnrollData2324,'2324 Jun 24 Enroll'!J$1,FALSE)='District Calculations'!$D$16+'District Calculations'!$D$25-'District Calculations'!$D$17,VLOOKUP($A137,EnrollData2324,'2324 Jun 24 Enroll'!I$1,FALSE)+VLOOKUP($A137,EnrollData2324,'2324 Jun 24 Enroll'!M$1,FALSE)-VLOOKUP($A137,EnrollData2324,'2324 Jun 24 Enroll'!J$1,FALSE),'District Calculations'!$D$16+'District Calculations'!$D$25-'District Calculations'!$D$17)*Apport_218A2324s,3)</f>
        <v>20.224</v>
      </c>
      <c r="Z137">
        <f>ROUND(SUM(T137:Y137)/IF(VLOOKUP($A137,EnrollData2324,'2324 Jun 24 Enroll'!M$1,FALSE)+VLOOKUP($A137,EnrollData2324,'2324 Jun 24 Enroll'!D$1,FALSE)='District Calculations'!$D$25+'District Calculations'!$D$11,VLOOKUP($A137,EnrollData2324,'2324 Jun 24 Enroll'!M$1,FALSE)+VLOOKUP($A137,EnrollData2324,'2324 Jun 24 Enroll'!D$1,FALSE),'District Calculations'!$D$25+'District Calculations'!$D$11),5)</f>
        <v>1.7749999999999998E-2</v>
      </c>
      <c r="AA137" s="6" cm="1">
        <f t="array" ref="AA137">ROUND($J137*CIS_Base_Salary2324s*VLOOKUP($A137,EnrollData2324,'2324 Jun 24 Enroll'!S$1,FALSE),2)</f>
        <v>4644.37</v>
      </c>
      <c r="AB137" s="6" cm="1">
        <f t="array" ref="AB137">ROUND($J137*CIS_Inc_Salary2324s*(VLOOKUP($A137,EnrollData2324,'2324 Jun 24 Enroll'!T$1,FALSE)+VLOOKUP($A137,EnrollData2324,'2324 Jun 24 Enroll'!U$1,FALSE)),2)-AA137</f>
        <v>171.85000000000036</v>
      </c>
      <c r="AC137" s="6" cm="1">
        <f t="array" ref="AC137">ROUND($R137*CAS_Base_Salary2324s*VLOOKUP($A137,EnrollData2324,'2324 Jun 24 Enroll'!S$1,FALSE),2)</f>
        <v>510.25</v>
      </c>
      <c r="AD137" s="6" cm="1">
        <f t="array" ref="AD137">ROUND($R137*CAS_Inc_Salary2324s*VLOOKUP($A137,EnrollData2324,'2324 Jun 24 Enroll'!T$1,FALSE),2)-AC137</f>
        <v>18.879999999999995</v>
      </c>
      <c r="AE137" s="6" cm="1">
        <f t="array" ref="AE137">ROUND($Z137*CLS_Base_Salary2324s*VLOOKUP($A137,EnrollData2324,'2324 Jun 24 Enroll'!S$1,FALSE),2)</f>
        <v>1064.98</v>
      </c>
      <c r="AF137" s="6" cm="1">
        <f t="array" ref="AF137">ROUND($Z137*CLS_Inc_Salary2324s*VLOOKUP($A137,EnrollData2324,'2324 Jun 24 Enroll'!T$1,FALSE),2)-AE137</f>
        <v>39.400000000000091</v>
      </c>
      <c r="AG137" cm="1">
        <f t="array" ref="AG137">ROUND(($J137+$R137)*Apport_124X2324s,2)</f>
        <v>734.29</v>
      </c>
      <c r="AH137" s="69">
        <f t="shared" si="14"/>
        <v>68.700000000000045</v>
      </c>
      <c r="AI137" cm="1">
        <f t="array" ref="AI137">ROUND($Z137*Apport_124X2324s,2)</f>
        <v>218.54</v>
      </c>
      <c r="AJ137" cm="1">
        <f t="array" ref="AJ137">ROUND($Z137*Apport_621X2324s*Apport_125X2324s,2)-AI137</f>
        <v>116.51000000000002</v>
      </c>
      <c r="AK137" cm="1">
        <f t="array" ref="AK137">ROUND((AA137+AC137)*Apport_126X2324s,2)</f>
        <v>926.29</v>
      </c>
      <c r="AL137" cm="1">
        <f t="array" ref="AL137">ROUND((AB137+AD137)*Apport_127X2324s,2)</f>
        <v>33.049999999999997</v>
      </c>
      <c r="AM137" cm="1">
        <f t="array" ref="AM137">ROUND(AE137*Apport_128X2324s,2)</f>
        <v>234.93</v>
      </c>
      <c r="AN137" cm="1">
        <f t="array" ref="AN137">ROUND(AF137*Apport_129X2324s,2)</f>
        <v>7.31</v>
      </c>
      <c r="AO137" cm="1">
        <f t="array" ref="AO137">ROUND(($J137*CIS_Inc_Salary2324s*(VLOOKUP($A137,EnrollData2324,'2324 Jun 24 Enroll'!T$1,FALSE)+VLOOKUP($A137,EnrollData2324,'2324 Jun 24 Enroll'!U$1,FALSE))/Apport_613Xpd)*Apport_614Xpd,2)</f>
        <v>80.27</v>
      </c>
      <c r="AP137" cm="1">
        <f t="array" ref="AP137">ROUND(AO137*Apport_127X2324s,2)</f>
        <v>13.91</v>
      </c>
      <c r="AQ137">
        <f t="shared" si="15"/>
        <v>30.93</v>
      </c>
      <c r="AR137" s="6" cm="1">
        <f t="array" ref="AR137">ROUND((VLOOKUP($A137,EnrollData2324,'2324 Jun 24 Enroll'!D$1,FALSE)*Apport_M802324s+VLOOKUP($A137,EnrollData2324,'2324 Jun 24 Enroll'!M$1,FALSE)*Apport_M802324s+(VLOOKUP($A137,EnrollData2324,'2324 Jun 24 Enroll'!P$1,FALSE)+VLOOKUP($A137,EnrollData2324,'2324 Jun 24 Enroll'!Q$1,FALSE)+VLOOKUP($A137,EnrollData2324,'2324 Jun 24 Enroll'!R$1,FALSE)+VLOOKUP($A137,EnrollData2324,'2324 Jun 24 Enroll'!I$1,FALSE)+VLOOKUP($A137,EnrollData2324,'2324 Jun 24 Enroll'!N$1,FALSE)+VLOOKUP($A137,EnrollData2324,'2324 Jun 24 Enroll'!O$1,FALSE)+VLOOKUP($A137,EnrollData2324,'2324 Jun 24 Enroll'!K$1,FALSE)+VLOOKUP($A137,EnrollData2324,'2324 Jun 24 Enroll'!L$1,FALSE))*Apport_M812324s)/(VLOOKUP($A137,EnrollData2324,'2324 Jun 24 Enroll'!M$1,FALSE)+VLOOKUP($A137,EnrollData2324,'2324 Jun 24 Enroll'!D$1,FALSE)),2)</f>
        <v>1561.85</v>
      </c>
      <c r="AS137" s="7">
        <f t="shared" si="16"/>
        <v>10476.31</v>
      </c>
    </row>
    <row r="138" spans="1:45">
      <c r="A138" s="40" t="s">
        <v>934</v>
      </c>
      <c r="B138" s="40" t="s">
        <v>1009</v>
      </c>
      <c r="C138" s="11">
        <f>ROUND((IFERROR((1/IF(VLOOKUP($A138,EnrollData2324,28,FALSE)='District Calculations'!$D$10,VLOOKUP($A138,EnrollData2324,28,FALSE),'District Calculations'!$D$10))*(1+Apport_Z315),0))+Apport_201A2324s,6)</f>
        <v>7.3449E-2</v>
      </c>
      <c r="D138">
        <f>ROUND(IF(VLOOKUP($A138,EnrollData2324,'2324 Jun 24 Enroll'!D$1,FALSE)='District Calculations'!$D$11,VLOOKUP($A138,EnrollData2324,'2324 Jun 24 Enroll'!D$1,FALSE),'District Calculations'!$D$11)*C138,3)</f>
        <v>0</v>
      </c>
      <c r="E138">
        <f>ROUND(IF(VLOOKUP($A138,EnrollData2324,'2324 Jun 24 Enroll'!E$1,FALSE)='District Calculations'!$D$12,VLOOKUP($A138,EnrollData2324,'2324 Jun 24 Enroll'!E$1,FALSE),'District Calculations'!$D$12)*C138,3)</f>
        <v>59.53</v>
      </c>
      <c r="F138">
        <f>ROUND(IF(VLOOKUP($A138,EnrollData2324,'2324 Jun 24 Enroll'!F$1,FALSE)='District Calculations'!$D$13,VLOOKUP($A138,EnrollData2324,'2324 Jun 24 Enroll'!F$1,FALSE),'District Calculations'!$D$13)*Apport_222A2324s,3)</f>
        <v>10.101000000000001</v>
      </c>
      <c r="G138">
        <f>ROUND(IF(VLOOKUP($A138,EnrollData2324,'2324 Jun 24 Enroll'!G$1,FALSE)='District Calculations'!$D$14,VLOOKUP($A138,EnrollData2324,'2324 Jun 24 Enroll'!G$1,FALSE),'District Calculations'!$D$14)*Apport_210A2324s,3)</f>
        <v>22.395</v>
      </c>
      <c r="H138">
        <f>ROUND(IF(VLOOKUP($A138,EnrollData2324,'2324 Jun 24 Enroll'!H$1,FALSE)='District Calculations'!$D$15,VLOOKUP($A138,EnrollData2324,'2324 Jun 24 Enroll'!H$1,FALSE),'District Calculations'!$D$15)*Apport_213A2324s,3)</f>
        <v>23.091999999999999</v>
      </c>
      <c r="I138">
        <f>ROUND(IF(VLOOKUP($A138,EnrollData2324,'2324 Jun 24 Enroll'!I$1,FALSE)+VLOOKUP($A138,EnrollData2324,'2324 Jun 24 Enroll'!M$1,FALSE)-VLOOKUP($A138,EnrollData2324,'2324 Jun 24 Enroll'!J$1,FALSE)='District Calculations'!$D$16+'District Calculations'!$D$25-'District Calculations'!$D$17,VLOOKUP($A138,EnrollData2324,'2324 Jun 24 Enroll'!I$1,FALSE)+VLOOKUP($A138,EnrollData2324,'2324 Jun 24 Enroll'!M$1,FALSE)-VLOOKUP($A138,EnrollData2324,'2324 Jun 24 Enroll'!J$1,FALSE),'District Calculations'!$D$16+'District Calculations'!$D$25-'District Calculations'!$D$17)*Apport_216A2324s,3)</f>
        <v>58.183999999999997</v>
      </c>
      <c r="J138">
        <f>ROUND(SUM(D138:I138)/(IF(VLOOKUP($A138,EnrollData2324,'2324 Jun 24 Enroll'!M$1,FALSE)='District Calculations'!$D$25,VLOOKUP($A138,EnrollData2324,'2324 Jun 24 Enroll'!M$1,FALSE),'District Calculations'!$D$25)+IF(VLOOKUP($A138,EnrollData2324,'2324 Jun 24 Enroll'!D$1,FALSE)='District Calculations'!$D$11,VLOOKUP($A138,EnrollData2324,'2324 Jun 24 Enroll'!D$1,FALSE),'District Calculations'!$D$11)),5)</f>
        <v>5.5530000000000003E-2</v>
      </c>
      <c r="K138" s="11">
        <f t="shared" si="12"/>
        <v>4.3699999999999998E-3</v>
      </c>
      <c r="L138">
        <f>ROUND(IF(VLOOKUP($A138,EnrollData2324,'2324 Jun 24 Enroll'!D$1,FALSE)='District Calculations'!$D$11,VLOOKUP($A138,EnrollData2324,'2324 Jun 24 Enroll'!D$1,FALSE),'District Calculations'!$D$11)*K138,3)</f>
        <v>0</v>
      </c>
      <c r="M138">
        <f>ROUND(IF(VLOOKUP($A138,EnrollData2324,'2324 Jun 24 Enroll'!E$1,FALSE)='District Calculations'!$D$12,VLOOKUP($A138,EnrollData2324,'2324 Jun 24 Enroll'!E$1,FALSE),'District Calculations'!$D$12)*K138,3)</f>
        <v>3.5419999999999998</v>
      </c>
      <c r="N138">
        <f>ROUND(IF(VLOOKUP($A138,EnrollData2324,'2324 Jun 24 Enroll'!F$1,FALSE)='District Calculations'!$D$13,VLOOKUP($A138,EnrollData2324,'2324 Jun 24 Enroll'!F$1,FALSE),'District Calculations'!$D$13)*Apport_223A2324s,3)</f>
        <v>0.84299999999999997</v>
      </c>
      <c r="O138">
        <f>ROUND(IF(VLOOKUP($A138,EnrollData2324,'2324 Jun 24 Enroll'!G$1,FALSE)='District Calculations'!$D$14,VLOOKUP($A138,EnrollData2324,'2324 Jun 24 Enroll'!G$1,FALSE),'District Calculations'!$D$14)*Apport_211A2324s,3)</f>
        <v>1.87</v>
      </c>
      <c r="P138">
        <f>ROUND(IF(VLOOKUP($A138,EnrollData2324,'2324 Jun 24 Enroll'!H$1,FALSE)='District Calculations'!$D$14,VLOOKUP($A138,EnrollData2324,'2324 Jun 24 Enroll'!H$1,FALSE),'District Calculations'!$D$14)*Apport_214A2324s,3)</f>
        <v>1.8680000000000001</v>
      </c>
      <c r="Q138">
        <f>ROUND(IF(VLOOKUP($A138,EnrollData2324,'2324 Jun 24 Enroll'!I$1,FALSE)+VLOOKUP($A138,EnrollData2324,'2324 Jun 24 Enroll'!M$1,FALSE)-VLOOKUP($A138,EnrollData2324,'2324 Jun 24 Enroll'!J$1,FALSE)='District Calculations'!$D$16+'District Calculations'!$D$25-'District Calculations'!$D$17,VLOOKUP($A138,EnrollData2324,'2324 Jun 24 Enroll'!I$1,FALSE)+VLOOKUP($A138,EnrollData2324,'2324 Jun 24 Enroll'!M$1,FALSE)-VLOOKUP($A138,EnrollData2324,'2324 Jun 24 Enroll'!J$1,FALSE),'District Calculations'!$D$16+'District Calculations'!$D$25-'District Calculations'!$D$17)*Apport_217A2324s,3)</f>
        <v>4.702</v>
      </c>
      <c r="R138">
        <f>ROUND(SUM(L138:Q138)/IF(VLOOKUP($A138,EnrollData2324,'2324 Jun 24 Enroll'!M$1,FALSE)+VLOOKUP($A138,EnrollData2324,'2324 Jun 24 Enroll'!D$1,FALSE)='District Calculations'!$D$25+'District Calculations'!$D$11,VLOOKUP($A138,EnrollData2324,'2324 Jun 24 Enroll'!M$1,FALSE)+VLOOKUP($A138,EnrollData2324,'2324 Jun 24 Enroll'!D$1,FALSE),'District Calculations'!$D$25+'District Calculations'!$D$11),5)</f>
        <v>4.1099999999999999E-3</v>
      </c>
      <c r="S138" s="11">
        <f t="shared" si="13"/>
        <v>1.8689600000000001E-2</v>
      </c>
      <c r="T138">
        <f>ROUND(IF(VLOOKUP($A138,EnrollData2324,'2324 Jun 24 Enroll'!D$1,FALSE)='District Calculations'!$D$11,VLOOKUP($A138,EnrollData2324,'2324 Jun 24 Enroll'!D$1,FALSE),'District Calculations'!$D$11)*S138,3)</f>
        <v>0</v>
      </c>
      <c r="U138">
        <f>ROUND(IF(VLOOKUP($A138,EnrollData2324,'2324 Jun 24 Enroll'!E$1,FALSE)='District Calculations'!$D$12,VLOOKUP($A138,EnrollData2324,'2324 Jun 24 Enroll'!E$1,FALSE),'District Calculations'!$D$12)*S138,3)</f>
        <v>15.148</v>
      </c>
      <c r="V138">
        <f>ROUND(IF(VLOOKUP($A138,EnrollData2324,'2324 Jun 24 Enroll'!F$1,FALSE)='District Calculations'!$D$13,VLOOKUP($A138,EnrollData2324,'2324 Jun 24 Enroll'!F$1,FALSE),'District Calculations'!$D$13)*Apport_224A2324s,3)</f>
        <v>3.7029999999999998</v>
      </c>
      <c r="W138">
        <f>ROUND(IF(VLOOKUP($A138,EnrollData2324,'2324 Jun 24 Enroll'!G$1,FALSE)='District Calculations'!$D$14,VLOOKUP($A138,EnrollData2324,'2324 Jun 24 Enroll'!G$1,FALSE),'District Calculations'!$D$14)*Apport_212A2324s,3)</f>
        <v>8.2089999999999996</v>
      </c>
      <c r="X138">
        <f>ROUND(IF(VLOOKUP($A138,EnrollData2324,'2324 Jun 24 Enroll'!H$1,FALSE)='District Calculations'!$D$14,VLOOKUP($A138,EnrollData2324,'2324 Jun 24 Enroll'!H$1,FALSE),'District Calculations'!$D$14)*Apport_215A2324s,3)</f>
        <v>8.0969999999999995</v>
      </c>
      <c r="Y138">
        <f>ROUND(IF(VLOOKUP($A138,EnrollData2324,'2324 Jun 24 Enroll'!I$1,FALSE)+VLOOKUP($A138,EnrollData2324,'2324 Jun 24 Enroll'!M$1,FALSE)-VLOOKUP($A138,EnrollData2324,'2324 Jun 24 Enroll'!J$1,FALSE)='District Calculations'!$D$16+'District Calculations'!$D$25-'District Calculations'!$D$17,VLOOKUP($A138,EnrollData2324,'2324 Jun 24 Enroll'!I$1,FALSE)+VLOOKUP($A138,EnrollData2324,'2324 Jun 24 Enroll'!M$1,FALSE)-VLOOKUP($A138,EnrollData2324,'2324 Jun 24 Enroll'!J$1,FALSE),'District Calculations'!$D$16+'District Calculations'!$D$25-'District Calculations'!$D$17)*Apport_218A2324s,3)</f>
        <v>20.224</v>
      </c>
      <c r="Z138">
        <f>ROUND(SUM(T138:Y138)/IF(VLOOKUP($A138,EnrollData2324,'2324 Jun 24 Enroll'!M$1,FALSE)+VLOOKUP($A138,EnrollData2324,'2324 Jun 24 Enroll'!D$1,FALSE)='District Calculations'!$D$25+'District Calculations'!$D$11,VLOOKUP($A138,EnrollData2324,'2324 Jun 24 Enroll'!M$1,FALSE)+VLOOKUP($A138,EnrollData2324,'2324 Jun 24 Enroll'!D$1,FALSE),'District Calculations'!$D$25+'District Calculations'!$D$11),5)</f>
        <v>1.7749999999999998E-2</v>
      </c>
      <c r="AA138" s="6" cm="1">
        <f t="array" ref="AA138">ROUND($J138*CIS_Base_Salary2324s*VLOOKUP($A138,EnrollData2324,'2324 Jun 24 Enroll'!S$1,FALSE),2)</f>
        <v>4765.53</v>
      </c>
      <c r="AB138" s="6" cm="1">
        <f t="array" ref="AB138">ROUND($J138*CIS_Inc_Salary2324s*(VLOOKUP($A138,EnrollData2324,'2324 Jun 24 Enroll'!T$1,FALSE)+VLOOKUP($A138,EnrollData2324,'2324 Jun 24 Enroll'!U$1,FALSE)),2)-AA138</f>
        <v>176.32999999999993</v>
      </c>
      <c r="AC138" s="6" cm="1">
        <f t="array" ref="AC138">ROUND($R138*CAS_Base_Salary2324s*VLOOKUP($A138,EnrollData2324,'2324 Jun 24 Enroll'!S$1,FALSE),2)</f>
        <v>523.55999999999995</v>
      </c>
      <c r="AD138" s="6" cm="1">
        <f t="array" ref="AD138">ROUND($R138*CAS_Inc_Salary2324s*VLOOKUP($A138,EnrollData2324,'2324 Jun 24 Enroll'!T$1,FALSE),2)-AC138</f>
        <v>19.380000000000109</v>
      </c>
      <c r="AE138" s="6" cm="1">
        <f t="array" ref="AE138">ROUND($Z138*CLS_Base_Salary2324s*VLOOKUP($A138,EnrollData2324,'2324 Jun 24 Enroll'!S$1,FALSE),2)</f>
        <v>1092.76</v>
      </c>
      <c r="AF138" s="6" cm="1">
        <f t="array" ref="AF138">ROUND($Z138*CLS_Inc_Salary2324s*VLOOKUP($A138,EnrollData2324,'2324 Jun 24 Enroll'!T$1,FALSE),2)-AE138</f>
        <v>40.430000000000064</v>
      </c>
      <c r="AG138" cm="1">
        <f t="array" ref="AG138">ROUND(($J138+$R138)*Apport_124X2324s,2)</f>
        <v>734.29</v>
      </c>
      <c r="AH138" s="69">
        <f t="shared" si="14"/>
        <v>68.700000000000045</v>
      </c>
      <c r="AI138" cm="1">
        <f t="array" ref="AI138">ROUND($Z138*Apport_124X2324s,2)</f>
        <v>218.54</v>
      </c>
      <c r="AJ138" cm="1">
        <f t="array" ref="AJ138">ROUND($Z138*Apport_621X2324s*Apport_125X2324s,2)-AI138</f>
        <v>116.51000000000002</v>
      </c>
      <c r="AK138" cm="1">
        <f t="array" ref="AK138">ROUND((AA138+AC138)*Apport_126X2324s,2)</f>
        <v>950.45</v>
      </c>
      <c r="AL138" cm="1">
        <f t="array" ref="AL138">ROUND((AB138+AD138)*Apport_127X2324s,2)</f>
        <v>33.92</v>
      </c>
      <c r="AM138" cm="1">
        <f t="array" ref="AM138">ROUND(AE138*Apport_128X2324s,2)</f>
        <v>241.06</v>
      </c>
      <c r="AN138" cm="1">
        <f t="array" ref="AN138">ROUND(AF138*Apport_129X2324s,2)</f>
        <v>7.5</v>
      </c>
      <c r="AO138" cm="1">
        <f t="array" ref="AO138">ROUND(($J138*CIS_Inc_Salary2324s*(VLOOKUP($A138,EnrollData2324,'2324 Jun 24 Enroll'!T$1,FALSE)+VLOOKUP($A138,EnrollData2324,'2324 Jun 24 Enroll'!U$1,FALSE))/Apport_613Xpd)*Apport_614Xpd,2)</f>
        <v>82.36</v>
      </c>
      <c r="AP138" cm="1">
        <f t="array" ref="AP138">ROUND(AO138*Apport_127X2324s,2)</f>
        <v>14.27</v>
      </c>
      <c r="AQ138">
        <f t="shared" si="15"/>
        <v>30.93</v>
      </c>
      <c r="AR138" s="6" cm="1">
        <f t="array" ref="AR138">ROUND((VLOOKUP($A138,EnrollData2324,'2324 Jun 24 Enroll'!D$1,FALSE)*Apport_M802324s+VLOOKUP($A138,EnrollData2324,'2324 Jun 24 Enroll'!M$1,FALSE)*Apport_M802324s+(VLOOKUP($A138,EnrollData2324,'2324 Jun 24 Enroll'!P$1,FALSE)+VLOOKUP($A138,EnrollData2324,'2324 Jun 24 Enroll'!Q$1,FALSE)+VLOOKUP($A138,EnrollData2324,'2324 Jun 24 Enroll'!R$1,FALSE)+VLOOKUP($A138,EnrollData2324,'2324 Jun 24 Enroll'!I$1,FALSE)+VLOOKUP($A138,EnrollData2324,'2324 Jun 24 Enroll'!N$1,FALSE)+VLOOKUP($A138,EnrollData2324,'2324 Jun 24 Enroll'!O$1,FALSE)+VLOOKUP($A138,EnrollData2324,'2324 Jun 24 Enroll'!K$1,FALSE)+VLOOKUP($A138,EnrollData2324,'2324 Jun 24 Enroll'!L$1,FALSE))*Apport_M812324s)/(VLOOKUP($A138,EnrollData2324,'2324 Jun 24 Enroll'!M$1,FALSE)+VLOOKUP($A138,EnrollData2324,'2324 Jun 24 Enroll'!D$1,FALSE)),2)</f>
        <v>1606.83</v>
      </c>
      <c r="AS138" s="7">
        <f t="shared" si="16"/>
        <v>10723.350000000002</v>
      </c>
    </row>
    <row r="139" spans="1:45">
      <c r="A139" s="40" t="s">
        <v>909</v>
      </c>
      <c r="B139" s="40" t="s">
        <v>904</v>
      </c>
      <c r="C139" s="11">
        <f>ROUND((IFERROR((1/IF(VLOOKUP($A139,EnrollData2324,28,FALSE)='District Calculations'!$D$10,VLOOKUP($A139,EnrollData2324,28,FALSE),'District Calculations'!$D$10))*(1+Apport_Z315),0))+Apport_201A2324s,6)</f>
        <v>7.3449E-2</v>
      </c>
      <c r="D139">
        <f>ROUND(IF(VLOOKUP($A139,EnrollData2324,'2324 Jun 24 Enroll'!D$1,FALSE)='District Calculations'!$D$11,VLOOKUP($A139,EnrollData2324,'2324 Jun 24 Enroll'!D$1,FALSE),'District Calculations'!$D$11)*C139,3)</f>
        <v>0</v>
      </c>
      <c r="E139">
        <f>ROUND(IF(VLOOKUP($A139,EnrollData2324,'2324 Jun 24 Enroll'!E$1,FALSE)='District Calculations'!$D$12,VLOOKUP($A139,EnrollData2324,'2324 Jun 24 Enroll'!E$1,FALSE),'District Calculations'!$D$12)*C139,3)</f>
        <v>59.53</v>
      </c>
      <c r="F139">
        <f>ROUND(IF(VLOOKUP($A139,EnrollData2324,'2324 Jun 24 Enroll'!F$1,FALSE)='District Calculations'!$D$13,VLOOKUP($A139,EnrollData2324,'2324 Jun 24 Enroll'!F$1,FALSE),'District Calculations'!$D$13)*Apport_222A2324s,3)</f>
        <v>10.101000000000001</v>
      </c>
      <c r="G139">
        <f>ROUND(IF(VLOOKUP($A139,EnrollData2324,'2324 Jun 24 Enroll'!G$1,FALSE)='District Calculations'!$D$14,VLOOKUP($A139,EnrollData2324,'2324 Jun 24 Enroll'!G$1,FALSE),'District Calculations'!$D$14)*Apport_210A2324s,3)</f>
        <v>22.395</v>
      </c>
      <c r="H139">
        <f>ROUND(IF(VLOOKUP($A139,EnrollData2324,'2324 Jun 24 Enroll'!H$1,FALSE)='District Calculations'!$D$15,VLOOKUP($A139,EnrollData2324,'2324 Jun 24 Enroll'!H$1,FALSE),'District Calculations'!$D$15)*Apport_213A2324s,3)</f>
        <v>23.091999999999999</v>
      </c>
      <c r="I139">
        <f>ROUND(IF(VLOOKUP($A139,EnrollData2324,'2324 Jun 24 Enroll'!I$1,FALSE)+VLOOKUP($A139,EnrollData2324,'2324 Jun 24 Enroll'!M$1,FALSE)-VLOOKUP($A139,EnrollData2324,'2324 Jun 24 Enroll'!J$1,FALSE)='District Calculations'!$D$16+'District Calculations'!$D$25-'District Calculations'!$D$17,VLOOKUP($A139,EnrollData2324,'2324 Jun 24 Enroll'!I$1,FALSE)+VLOOKUP($A139,EnrollData2324,'2324 Jun 24 Enroll'!M$1,FALSE)-VLOOKUP($A139,EnrollData2324,'2324 Jun 24 Enroll'!J$1,FALSE),'District Calculations'!$D$16+'District Calculations'!$D$25-'District Calculations'!$D$17)*Apport_216A2324s,3)</f>
        <v>58.183999999999997</v>
      </c>
      <c r="J139">
        <f>ROUND(SUM(D139:I139)/(IF(VLOOKUP($A139,EnrollData2324,'2324 Jun 24 Enroll'!M$1,FALSE)='District Calculations'!$D$25,VLOOKUP($A139,EnrollData2324,'2324 Jun 24 Enroll'!M$1,FALSE),'District Calculations'!$D$25)+IF(VLOOKUP($A139,EnrollData2324,'2324 Jun 24 Enroll'!D$1,FALSE)='District Calculations'!$D$11,VLOOKUP($A139,EnrollData2324,'2324 Jun 24 Enroll'!D$1,FALSE),'District Calculations'!$D$11)),5)</f>
        <v>5.5530000000000003E-2</v>
      </c>
      <c r="K139" s="11">
        <f t="shared" si="12"/>
        <v>4.3699999999999998E-3</v>
      </c>
      <c r="L139">
        <f>ROUND(IF(VLOOKUP($A139,EnrollData2324,'2324 Jun 24 Enroll'!D$1,FALSE)='District Calculations'!$D$11,VLOOKUP($A139,EnrollData2324,'2324 Jun 24 Enroll'!D$1,FALSE),'District Calculations'!$D$11)*K139,3)</f>
        <v>0</v>
      </c>
      <c r="M139">
        <f>ROUND(IF(VLOOKUP($A139,EnrollData2324,'2324 Jun 24 Enroll'!E$1,FALSE)='District Calculations'!$D$12,VLOOKUP($A139,EnrollData2324,'2324 Jun 24 Enroll'!E$1,FALSE),'District Calculations'!$D$12)*K139,3)</f>
        <v>3.5419999999999998</v>
      </c>
      <c r="N139">
        <f>ROUND(IF(VLOOKUP($A139,EnrollData2324,'2324 Jun 24 Enroll'!F$1,FALSE)='District Calculations'!$D$13,VLOOKUP($A139,EnrollData2324,'2324 Jun 24 Enroll'!F$1,FALSE),'District Calculations'!$D$13)*Apport_223A2324s,3)</f>
        <v>0.84299999999999997</v>
      </c>
      <c r="O139">
        <f>ROUND(IF(VLOOKUP($A139,EnrollData2324,'2324 Jun 24 Enroll'!G$1,FALSE)='District Calculations'!$D$14,VLOOKUP($A139,EnrollData2324,'2324 Jun 24 Enroll'!G$1,FALSE),'District Calculations'!$D$14)*Apport_211A2324s,3)</f>
        <v>1.87</v>
      </c>
      <c r="P139">
        <f>ROUND(IF(VLOOKUP($A139,EnrollData2324,'2324 Jun 24 Enroll'!H$1,FALSE)='District Calculations'!$D$14,VLOOKUP($A139,EnrollData2324,'2324 Jun 24 Enroll'!H$1,FALSE),'District Calculations'!$D$14)*Apport_214A2324s,3)</f>
        <v>1.8680000000000001</v>
      </c>
      <c r="Q139">
        <f>ROUND(IF(VLOOKUP($A139,EnrollData2324,'2324 Jun 24 Enroll'!I$1,FALSE)+VLOOKUP($A139,EnrollData2324,'2324 Jun 24 Enroll'!M$1,FALSE)-VLOOKUP($A139,EnrollData2324,'2324 Jun 24 Enroll'!J$1,FALSE)='District Calculations'!$D$16+'District Calculations'!$D$25-'District Calculations'!$D$17,VLOOKUP($A139,EnrollData2324,'2324 Jun 24 Enroll'!I$1,FALSE)+VLOOKUP($A139,EnrollData2324,'2324 Jun 24 Enroll'!M$1,FALSE)-VLOOKUP($A139,EnrollData2324,'2324 Jun 24 Enroll'!J$1,FALSE),'District Calculations'!$D$16+'District Calculations'!$D$25-'District Calculations'!$D$17)*Apport_217A2324s,3)</f>
        <v>4.702</v>
      </c>
      <c r="R139">
        <f>ROUND(SUM(L139:Q139)/IF(VLOOKUP($A139,EnrollData2324,'2324 Jun 24 Enroll'!M$1,FALSE)+VLOOKUP($A139,EnrollData2324,'2324 Jun 24 Enroll'!D$1,FALSE)='District Calculations'!$D$25+'District Calculations'!$D$11,VLOOKUP($A139,EnrollData2324,'2324 Jun 24 Enroll'!M$1,FALSE)+VLOOKUP($A139,EnrollData2324,'2324 Jun 24 Enroll'!D$1,FALSE),'District Calculations'!$D$25+'District Calculations'!$D$11),5)</f>
        <v>4.1099999999999999E-3</v>
      </c>
      <c r="S139" s="11">
        <f t="shared" si="13"/>
        <v>1.8689600000000001E-2</v>
      </c>
      <c r="T139">
        <f>ROUND(IF(VLOOKUP($A139,EnrollData2324,'2324 Jun 24 Enroll'!D$1,FALSE)='District Calculations'!$D$11,VLOOKUP($A139,EnrollData2324,'2324 Jun 24 Enroll'!D$1,FALSE),'District Calculations'!$D$11)*S139,3)</f>
        <v>0</v>
      </c>
      <c r="U139">
        <f>ROUND(IF(VLOOKUP($A139,EnrollData2324,'2324 Jun 24 Enroll'!E$1,FALSE)='District Calculations'!$D$12,VLOOKUP($A139,EnrollData2324,'2324 Jun 24 Enroll'!E$1,FALSE),'District Calculations'!$D$12)*S139,3)</f>
        <v>15.148</v>
      </c>
      <c r="V139">
        <f>ROUND(IF(VLOOKUP($A139,EnrollData2324,'2324 Jun 24 Enroll'!F$1,FALSE)='District Calculations'!$D$13,VLOOKUP($A139,EnrollData2324,'2324 Jun 24 Enroll'!F$1,FALSE),'District Calculations'!$D$13)*Apport_224A2324s,3)</f>
        <v>3.7029999999999998</v>
      </c>
      <c r="W139">
        <f>ROUND(IF(VLOOKUP($A139,EnrollData2324,'2324 Jun 24 Enroll'!G$1,FALSE)='District Calculations'!$D$14,VLOOKUP($A139,EnrollData2324,'2324 Jun 24 Enroll'!G$1,FALSE),'District Calculations'!$D$14)*Apport_212A2324s,3)</f>
        <v>8.2089999999999996</v>
      </c>
      <c r="X139">
        <f>ROUND(IF(VLOOKUP($A139,EnrollData2324,'2324 Jun 24 Enroll'!H$1,FALSE)='District Calculations'!$D$14,VLOOKUP($A139,EnrollData2324,'2324 Jun 24 Enroll'!H$1,FALSE),'District Calculations'!$D$14)*Apport_215A2324s,3)</f>
        <v>8.0969999999999995</v>
      </c>
      <c r="Y139">
        <f>ROUND(IF(VLOOKUP($A139,EnrollData2324,'2324 Jun 24 Enroll'!I$1,FALSE)+VLOOKUP($A139,EnrollData2324,'2324 Jun 24 Enroll'!M$1,FALSE)-VLOOKUP($A139,EnrollData2324,'2324 Jun 24 Enroll'!J$1,FALSE)='District Calculations'!$D$16+'District Calculations'!$D$25-'District Calculations'!$D$17,VLOOKUP($A139,EnrollData2324,'2324 Jun 24 Enroll'!I$1,FALSE)+VLOOKUP($A139,EnrollData2324,'2324 Jun 24 Enroll'!M$1,FALSE)-VLOOKUP($A139,EnrollData2324,'2324 Jun 24 Enroll'!J$1,FALSE),'District Calculations'!$D$16+'District Calculations'!$D$25-'District Calculations'!$D$17)*Apport_218A2324s,3)</f>
        <v>20.224</v>
      </c>
      <c r="Z139">
        <f>ROUND(SUM(T139:Y139)/IF(VLOOKUP($A139,EnrollData2324,'2324 Jun 24 Enroll'!M$1,FALSE)+VLOOKUP($A139,EnrollData2324,'2324 Jun 24 Enroll'!D$1,FALSE)='District Calculations'!$D$25+'District Calculations'!$D$11,VLOOKUP($A139,EnrollData2324,'2324 Jun 24 Enroll'!M$1,FALSE)+VLOOKUP($A139,EnrollData2324,'2324 Jun 24 Enroll'!D$1,FALSE),'District Calculations'!$D$25+'District Calculations'!$D$11),5)</f>
        <v>1.7749999999999998E-2</v>
      </c>
      <c r="AA139" s="6" cm="1">
        <f t="array" ref="AA139">ROUND($J139*CIS_Base_Salary2324s*VLOOKUP($A139,EnrollData2324,'2324 Jun 24 Enroll'!S$1,FALSE),2)</f>
        <v>4765.53</v>
      </c>
      <c r="AB139" s="6" cm="1">
        <f t="array" ref="AB139">ROUND($J139*CIS_Inc_Salary2324s*(VLOOKUP($A139,EnrollData2324,'2324 Jun 24 Enroll'!T$1,FALSE)+VLOOKUP($A139,EnrollData2324,'2324 Jun 24 Enroll'!U$1,FALSE)),2)-AA139</f>
        <v>176.32999999999993</v>
      </c>
      <c r="AC139" s="6" cm="1">
        <f t="array" ref="AC139">ROUND($R139*CAS_Base_Salary2324s*VLOOKUP($A139,EnrollData2324,'2324 Jun 24 Enroll'!S$1,FALSE),2)</f>
        <v>523.55999999999995</v>
      </c>
      <c r="AD139" s="6" cm="1">
        <f t="array" ref="AD139">ROUND($R139*CAS_Inc_Salary2324s*VLOOKUP($A139,EnrollData2324,'2324 Jun 24 Enroll'!T$1,FALSE),2)-AC139</f>
        <v>19.380000000000109</v>
      </c>
      <c r="AE139" s="6" cm="1">
        <f t="array" ref="AE139">ROUND($Z139*CLS_Base_Salary2324s*VLOOKUP($A139,EnrollData2324,'2324 Jun 24 Enroll'!S$1,FALSE),2)</f>
        <v>1092.76</v>
      </c>
      <c r="AF139" s="6" cm="1">
        <f t="array" ref="AF139">ROUND($Z139*CLS_Inc_Salary2324s*VLOOKUP($A139,EnrollData2324,'2324 Jun 24 Enroll'!T$1,FALSE),2)-AE139</f>
        <v>40.430000000000064</v>
      </c>
      <c r="AG139" cm="1">
        <f t="array" ref="AG139">ROUND(($J139+$R139)*Apport_124X2324s,2)</f>
        <v>734.29</v>
      </c>
      <c r="AH139" s="69">
        <f t="shared" si="14"/>
        <v>68.700000000000045</v>
      </c>
      <c r="AI139" cm="1">
        <f t="array" ref="AI139">ROUND($Z139*Apport_124X2324s,2)</f>
        <v>218.54</v>
      </c>
      <c r="AJ139" cm="1">
        <f t="array" ref="AJ139">ROUND($Z139*Apport_621X2324s*Apport_125X2324s,2)-AI139</f>
        <v>116.51000000000002</v>
      </c>
      <c r="AK139" cm="1">
        <f t="array" ref="AK139">ROUND((AA139+AC139)*Apport_126X2324s,2)</f>
        <v>950.45</v>
      </c>
      <c r="AL139" cm="1">
        <f t="array" ref="AL139">ROUND((AB139+AD139)*Apport_127X2324s,2)</f>
        <v>33.92</v>
      </c>
      <c r="AM139" cm="1">
        <f t="array" ref="AM139">ROUND(AE139*Apport_128X2324s,2)</f>
        <v>241.06</v>
      </c>
      <c r="AN139" cm="1">
        <f t="array" ref="AN139">ROUND(AF139*Apport_129X2324s,2)</f>
        <v>7.5</v>
      </c>
      <c r="AO139" cm="1">
        <f t="array" ref="AO139">ROUND(($J139*CIS_Inc_Salary2324s*(VLOOKUP($A139,EnrollData2324,'2324 Jun 24 Enroll'!T$1,FALSE)+VLOOKUP($A139,EnrollData2324,'2324 Jun 24 Enroll'!U$1,FALSE))/Apport_613Xpd)*Apport_614Xpd,2)</f>
        <v>82.36</v>
      </c>
      <c r="AP139" cm="1">
        <f t="array" ref="AP139">ROUND(AO139*Apport_127X2324s,2)</f>
        <v>14.27</v>
      </c>
      <c r="AQ139">
        <f t="shared" si="15"/>
        <v>30.93</v>
      </c>
      <c r="AR139" s="6" cm="1">
        <f t="array" ref="AR139">ROUND((VLOOKUP($A139,EnrollData2324,'2324 Jun 24 Enroll'!D$1,FALSE)*Apport_M802324s+VLOOKUP($A139,EnrollData2324,'2324 Jun 24 Enroll'!M$1,FALSE)*Apport_M802324s+(VLOOKUP($A139,EnrollData2324,'2324 Jun 24 Enroll'!P$1,FALSE)+VLOOKUP($A139,EnrollData2324,'2324 Jun 24 Enroll'!Q$1,FALSE)+VLOOKUP($A139,EnrollData2324,'2324 Jun 24 Enroll'!R$1,FALSE)+VLOOKUP($A139,EnrollData2324,'2324 Jun 24 Enroll'!I$1,FALSE)+VLOOKUP($A139,EnrollData2324,'2324 Jun 24 Enroll'!N$1,FALSE)+VLOOKUP($A139,EnrollData2324,'2324 Jun 24 Enroll'!O$1,FALSE)+VLOOKUP($A139,EnrollData2324,'2324 Jun 24 Enroll'!K$1,FALSE)+VLOOKUP($A139,EnrollData2324,'2324 Jun 24 Enroll'!L$1,FALSE))*Apport_M812324s)/(VLOOKUP($A139,EnrollData2324,'2324 Jun 24 Enroll'!M$1,FALSE)+VLOOKUP($A139,EnrollData2324,'2324 Jun 24 Enroll'!D$1,FALSE)),2)</f>
        <v>1504.44</v>
      </c>
      <c r="AS139" s="7">
        <f t="shared" si="16"/>
        <v>10620.960000000003</v>
      </c>
    </row>
    <row r="140" spans="1:45">
      <c r="A140" s="40" t="s">
        <v>933</v>
      </c>
      <c r="B140" s="40" t="s">
        <v>1010</v>
      </c>
      <c r="C140" s="11">
        <f>ROUND((IFERROR((1/IF(VLOOKUP($A140,EnrollData2324,28,FALSE)='District Calculations'!$D$10,VLOOKUP($A140,EnrollData2324,28,FALSE),'District Calculations'!$D$10))*(1+Apport_Z315),0))+Apport_201A2324s,6)</f>
        <v>7.3449E-2</v>
      </c>
      <c r="D140">
        <f>ROUND(IF(VLOOKUP($A140,EnrollData2324,'2324 Jun 24 Enroll'!D$1,FALSE)='District Calculations'!$D$11,VLOOKUP($A140,EnrollData2324,'2324 Jun 24 Enroll'!D$1,FALSE),'District Calculations'!$D$11)*C140,3)</f>
        <v>0</v>
      </c>
      <c r="E140">
        <f>ROUND(IF(VLOOKUP($A140,EnrollData2324,'2324 Jun 24 Enroll'!E$1,FALSE)='District Calculations'!$D$12,VLOOKUP($A140,EnrollData2324,'2324 Jun 24 Enroll'!E$1,FALSE),'District Calculations'!$D$12)*C140,3)</f>
        <v>59.53</v>
      </c>
      <c r="F140">
        <f>ROUND(IF(VLOOKUP($A140,EnrollData2324,'2324 Jun 24 Enroll'!F$1,FALSE)='District Calculations'!$D$13,VLOOKUP($A140,EnrollData2324,'2324 Jun 24 Enroll'!F$1,FALSE),'District Calculations'!$D$13)*Apport_222A2324s,3)</f>
        <v>10.101000000000001</v>
      </c>
      <c r="G140">
        <f>ROUND(IF(VLOOKUP($A140,EnrollData2324,'2324 Jun 24 Enroll'!G$1,FALSE)='District Calculations'!$D$14,VLOOKUP($A140,EnrollData2324,'2324 Jun 24 Enroll'!G$1,FALSE),'District Calculations'!$D$14)*Apport_210A2324s,3)</f>
        <v>22.395</v>
      </c>
      <c r="H140">
        <f>ROUND(IF(VLOOKUP($A140,EnrollData2324,'2324 Jun 24 Enroll'!H$1,FALSE)='District Calculations'!$D$15,VLOOKUP($A140,EnrollData2324,'2324 Jun 24 Enroll'!H$1,FALSE),'District Calculations'!$D$15)*Apport_213A2324s,3)</f>
        <v>23.091999999999999</v>
      </c>
      <c r="I140">
        <f>ROUND(IF(VLOOKUP($A140,EnrollData2324,'2324 Jun 24 Enroll'!I$1,FALSE)+VLOOKUP($A140,EnrollData2324,'2324 Jun 24 Enroll'!M$1,FALSE)-VLOOKUP($A140,EnrollData2324,'2324 Jun 24 Enroll'!J$1,FALSE)='District Calculations'!$D$16+'District Calculations'!$D$25-'District Calculations'!$D$17,VLOOKUP($A140,EnrollData2324,'2324 Jun 24 Enroll'!I$1,FALSE)+VLOOKUP($A140,EnrollData2324,'2324 Jun 24 Enroll'!M$1,FALSE)-VLOOKUP($A140,EnrollData2324,'2324 Jun 24 Enroll'!J$1,FALSE),'District Calculations'!$D$16+'District Calculations'!$D$25-'District Calculations'!$D$17)*Apport_216A2324s,3)</f>
        <v>58.183999999999997</v>
      </c>
      <c r="J140">
        <f>ROUND(SUM(D140:I140)/(IF(VLOOKUP($A140,EnrollData2324,'2324 Jun 24 Enroll'!M$1,FALSE)='District Calculations'!$D$25,VLOOKUP($A140,EnrollData2324,'2324 Jun 24 Enroll'!M$1,FALSE),'District Calculations'!$D$25)+IF(VLOOKUP($A140,EnrollData2324,'2324 Jun 24 Enroll'!D$1,FALSE)='District Calculations'!$D$11,VLOOKUP($A140,EnrollData2324,'2324 Jun 24 Enroll'!D$1,FALSE),'District Calculations'!$D$11)),5)</f>
        <v>5.5530000000000003E-2</v>
      </c>
      <c r="K140" s="11">
        <f t="shared" si="12"/>
        <v>4.3699999999999998E-3</v>
      </c>
      <c r="L140">
        <f>ROUND(IF(VLOOKUP($A140,EnrollData2324,'2324 Jun 24 Enroll'!D$1,FALSE)='District Calculations'!$D$11,VLOOKUP($A140,EnrollData2324,'2324 Jun 24 Enroll'!D$1,FALSE),'District Calculations'!$D$11)*K140,3)</f>
        <v>0</v>
      </c>
      <c r="M140">
        <f>ROUND(IF(VLOOKUP($A140,EnrollData2324,'2324 Jun 24 Enroll'!E$1,FALSE)='District Calculations'!$D$12,VLOOKUP($A140,EnrollData2324,'2324 Jun 24 Enroll'!E$1,FALSE),'District Calculations'!$D$12)*K140,3)</f>
        <v>3.5419999999999998</v>
      </c>
      <c r="N140">
        <f>ROUND(IF(VLOOKUP($A140,EnrollData2324,'2324 Jun 24 Enroll'!F$1,FALSE)='District Calculations'!$D$13,VLOOKUP($A140,EnrollData2324,'2324 Jun 24 Enroll'!F$1,FALSE),'District Calculations'!$D$13)*Apport_223A2324s,3)</f>
        <v>0.84299999999999997</v>
      </c>
      <c r="O140">
        <f>ROUND(IF(VLOOKUP($A140,EnrollData2324,'2324 Jun 24 Enroll'!G$1,FALSE)='District Calculations'!$D$14,VLOOKUP($A140,EnrollData2324,'2324 Jun 24 Enroll'!G$1,FALSE),'District Calculations'!$D$14)*Apport_211A2324s,3)</f>
        <v>1.87</v>
      </c>
      <c r="P140">
        <f>ROUND(IF(VLOOKUP($A140,EnrollData2324,'2324 Jun 24 Enroll'!H$1,FALSE)='District Calculations'!$D$14,VLOOKUP($A140,EnrollData2324,'2324 Jun 24 Enroll'!H$1,FALSE),'District Calculations'!$D$14)*Apport_214A2324s,3)</f>
        <v>1.8680000000000001</v>
      </c>
      <c r="Q140">
        <f>ROUND(IF(VLOOKUP($A140,EnrollData2324,'2324 Jun 24 Enroll'!I$1,FALSE)+VLOOKUP($A140,EnrollData2324,'2324 Jun 24 Enroll'!M$1,FALSE)-VLOOKUP($A140,EnrollData2324,'2324 Jun 24 Enroll'!J$1,FALSE)='District Calculations'!$D$16+'District Calculations'!$D$25-'District Calculations'!$D$17,VLOOKUP($A140,EnrollData2324,'2324 Jun 24 Enroll'!I$1,FALSE)+VLOOKUP($A140,EnrollData2324,'2324 Jun 24 Enroll'!M$1,FALSE)-VLOOKUP($A140,EnrollData2324,'2324 Jun 24 Enroll'!J$1,FALSE),'District Calculations'!$D$16+'District Calculations'!$D$25-'District Calculations'!$D$17)*Apport_217A2324s,3)</f>
        <v>4.702</v>
      </c>
      <c r="R140">
        <f>ROUND(SUM(L140:Q140)/IF(VLOOKUP($A140,EnrollData2324,'2324 Jun 24 Enroll'!M$1,FALSE)+VLOOKUP($A140,EnrollData2324,'2324 Jun 24 Enroll'!D$1,FALSE)='District Calculations'!$D$25+'District Calculations'!$D$11,VLOOKUP($A140,EnrollData2324,'2324 Jun 24 Enroll'!M$1,FALSE)+VLOOKUP($A140,EnrollData2324,'2324 Jun 24 Enroll'!D$1,FALSE),'District Calculations'!$D$25+'District Calculations'!$D$11),5)</f>
        <v>4.1099999999999999E-3</v>
      </c>
      <c r="S140" s="11">
        <f t="shared" si="13"/>
        <v>1.8689600000000001E-2</v>
      </c>
      <c r="T140">
        <f>ROUND(IF(VLOOKUP($A140,EnrollData2324,'2324 Jun 24 Enroll'!D$1,FALSE)='District Calculations'!$D$11,VLOOKUP($A140,EnrollData2324,'2324 Jun 24 Enroll'!D$1,FALSE),'District Calculations'!$D$11)*S140,3)</f>
        <v>0</v>
      </c>
      <c r="U140">
        <f>ROUND(IF(VLOOKUP($A140,EnrollData2324,'2324 Jun 24 Enroll'!E$1,FALSE)='District Calculations'!$D$12,VLOOKUP($A140,EnrollData2324,'2324 Jun 24 Enroll'!E$1,FALSE),'District Calculations'!$D$12)*S140,3)</f>
        <v>15.148</v>
      </c>
      <c r="V140">
        <f>ROUND(IF(VLOOKUP($A140,EnrollData2324,'2324 Jun 24 Enroll'!F$1,FALSE)='District Calculations'!$D$13,VLOOKUP($A140,EnrollData2324,'2324 Jun 24 Enroll'!F$1,FALSE),'District Calculations'!$D$13)*Apport_224A2324s,3)</f>
        <v>3.7029999999999998</v>
      </c>
      <c r="W140">
        <f>ROUND(IF(VLOOKUP($A140,EnrollData2324,'2324 Jun 24 Enroll'!G$1,FALSE)='District Calculations'!$D$14,VLOOKUP($A140,EnrollData2324,'2324 Jun 24 Enroll'!G$1,FALSE),'District Calculations'!$D$14)*Apport_212A2324s,3)</f>
        <v>8.2089999999999996</v>
      </c>
      <c r="X140">
        <f>ROUND(IF(VLOOKUP($A140,EnrollData2324,'2324 Jun 24 Enroll'!H$1,FALSE)='District Calculations'!$D$14,VLOOKUP($A140,EnrollData2324,'2324 Jun 24 Enroll'!H$1,FALSE),'District Calculations'!$D$14)*Apport_215A2324s,3)</f>
        <v>8.0969999999999995</v>
      </c>
      <c r="Y140">
        <f>ROUND(IF(VLOOKUP($A140,EnrollData2324,'2324 Jun 24 Enroll'!I$1,FALSE)+VLOOKUP($A140,EnrollData2324,'2324 Jun 24 Enroll'!M$1,FALSE)-VLOOKUP($A140,EnrollData2324,'2324 Jun 24 Enroll'!J$1,FALSE)='District Calculations'!$D$16+'District Calculations'!$D$25-'District Calculations'!$D$17,VLOOKUP($A140,EnrollData2324,'2324 Jun 24 Enroll'!I$1,FALSE)+VLOOKUP($A140,EnrollData2324,'2324 Jun 24 Enroll'!M$1,FALSE)-VLOOKUP($A140,EnrollData2324,'2324 Jun 24 Enroll'!J$1,FALSE),'District Calculations'!$D$16+'District Calculations'!$D$25-'District Calculations'!$D$17)*Apport_218A2324s,3)</f>
        <v>20.224</v>
      </c>
      <c r="Z140">
        <f>ROUND(SUM(T140:Y140)/IF(VLOOKUP($A140,EnrollData2324,'2324 Jun 24 Enroll'!M$1,FALSE)+VLOOKUP($A140,EnrollData2324,'2324 Jun 24 Enroll'!D$1,FALSE)='District Calculations'!$D$25+'District Calculations'!$D$11,VLOOKUP($A140,EnrollData2324,'2324 Jun 24 Enroll'!M$1,FALSE)+VLOOKUP($A140,EnrollData2324,'2324 Jun 24 Enroll'!D$1,FALSE),'District Calculations'!$D$25+'District Calculations'!$D$11),5)</f>
        <v>1.7749999999999998E-2</v>
      </c>
      <c r="AA140" s="6" cm="1">
        <f t="array" ref="AA140">ROUND($J140*CIS_Base_Salary2324s*VLOOKUP($A140,EnrollData2324,'2324 Jun 24 Enroll'!S$1,FALSE),2)</f>
        <v>4765.53</v>
      </c>
      <c r="AB140" s="6" cm="1">
        <f t="array" ref="AB140">ROUND($J140*CIS_Inc_Salary2324s*(VLOOKUP($A140,EnrollData2324,'2324 Jun 24 Enroll'!T$1,FALSE)+VLOOKUP($A140,EnrollData2324,'2324 Jun 24 Enroll'!U$1,FALSE)),2)-AA140</f>
        <v>176.32999999999993</v>
      </c>
      <c r="AC140" s="6" cm="1">
        <f t="array" ref="AC140">ROUND($R140*CAS_Base_Salary2324s*VLOOKUP($A140,EnrollData2324,'2324 Jun 24 Enroll'!S$1,FALSE),2)</f>
        <v>523.55999999999995</v>
      </c>
      <c r="AD140" s="6" cm="1">
        <f t="array" ref="AD140">ROUND($R140*CAS_Inc_Salary2324s*VLOOKUP($A140,EnrollData2324,'2324 Jun 24 Enroll'!T$1,FALSE),2)-AC140</f>
        <v>19.380000000000109</v>
      </c>
      <c r="AE140" s="6" cm="1">
        <f t="array" ref="AE140">ROUND($Z140*CLS_Base_Salary2324s*VLOOKUP($A140,EnrollData2324,'2324 Jun 24 Enroll'!S$1,FALSE),2)</f>
        <v>1092.76</v>
      </c>
      <c r="AF140" s="6" cm="1">
        <f t="array" ref="AF140">ROUND($Z140*CLS_Inc_Salary2324s*VLOOKUP($A140,EnrollData2324,'2324 Jun 24 Enroll'!T$1,FALSE),2)-AE140</f>
        <v>40.430000000000064</v>
      </c>
      <c r="AG140" cm="1">
        <f t="array" ref="AG140">ROUND(($J140+$R140)*Apport_124X2324s,2)</f>
        <v>734.29</v>
      </c>
      <c r="AH140" s="69">
        <f t="shared" si="14"/>
        <v>68.700000000000045</v>
      </c>
      <c r="AI140" cm="1">
        <f t="array" ref="AI140">ROUND($Z140*Apport_124X2324s,2)</f>
        <v>218.54</v>
      </c>
      <c r="AJ140" cm="1">
        <f t="array" ref="AJ140">ROUND($Z140*Apport_621X2324s*Apport_125X2324s,2)-AI140</f>
        <v>116.51000000000002</v>
      </c>
      <c r="AK140" cm="1">
        <f t="array" ref="AK140">ROUND((AA140+AC140)*Apport_126X2324s,2)</f>
        <v>950.45</v>
      </c>
      <c r="AL140" cm="1">
        <f t="array" ref="AL140">ROUND((AB140+AD140)*Apport_127X2324s,2)</f>
        <v>33.92</v>
      </c>
      <c r="AM140" cm="1">
        <f t="array" ref="AM140">ROUND(AE140*Apport_128X2324s,2)</f>
        <v>241.06</v>
      </c>
      <c r="AN140" cm="1">
        <f t="array" ref="AN140">ROUND(AF140*Apport_129X2324s,2)</f>
        <v>7.5</v>
      </c>
      <c r="AO140" cm="1">
        <f t="array" ref="AO140">ROUND(($J140*CIS_Inc_Salary2324s*(VLOOKUP($A140,EnrollData2324,'2324 Jun 24 Enroll'!T$1,FALSE)+VLOOKUP($A140,EnrollData2324,'2324 Jun 24 Enroll'!U$1,FALSE))/Apport_613Xpd)*Apport_614Xpd,2)</f>
        <v>82.36</v>
      </c>
      <c r="AP140" cm="1">
        <f t="array" ref="AP140">ROUND(AO140*Apport_127X2324s,2)</f>
        <v>14.27</v>
      </c>
      <c r="AQ140">
        <f t="shared" si="15"/>
        <v>30.93</v>
      </c>
      <c r="AR140" s="6" cm="1">
        <f t="array" ref="AR140">ROUND((VLOOKUP($A140,EnrollData2324,'2324 Jun 24 Enroll'!D$1,FALSE)*Apport_M802324s+VLOOKUP($A140,EnrollData2324,'2324 Jun 24 Enroll'!M$1,FALSE)*Apport_M802324s+(VLOOKUP($A140,EnrollData2324,'2324 Jun 24 Enroll'!P$1,FALSE)+VLOOKUP($A140,EnrollData2324,'2324 Jun 24 Enroll'!Q$1,FALSE)+VLOOKUP($A140,EnrollData2324,'2324 Jun 24 Enroll'!R$1,FALSE)+VLOOKUP($A140,EnrollData2324,'2324 Jun 24 Enroll'!I$1,FALSE)+VLOOKUP($A140,EnrollData2324,'2324 Jun 24 Enroll'!N$1,FALSE)+VLOOKUP($A140,EnrollData2324,'2324 Jun 24 Enroll'!O$1,FALSE)+VLOOKUP($A140,EnrollData2324,'2324 Jun 24 Enroll'!K$1,FALSE)+VLOOKUP($A140,EnrollData2324,'2324 Jun 24 Enroll'!L$1,FALSE))*Apport_M812324s)/(VLOOKUP($A140,EnrollData2324,'2324 Jun 24 Enroll'!M$1,FALSE)+VLOOKUP($A140,EnrollData2324,'2324 Jun 24 Enroll'!D$1,FALSE)),2)</f>
        <v>1598.57</v>
      </c>
      <c r="AS140" s="7">
        <f t="shared" si="16"/>
        <v>10715.090000000002</v>
      </c>
    </row>
    <row r="141" spans="1:45">
      <c r="A141" s="40" t="s">
        <v>997</v>
      </c>
      <c r="B141" s="40" t="s">
        <v>1011</v>
      </c>
      <c r="C141" s="11">
        <f>ROUND((IFERROR((1/IF(VLOOKUP($A141,EnrollData2324,28,FALSE)='District Calculations'!$D$10,VLOOKUP($A141,EnrollData2324,28,FALSE),'District Calculations'!$D$10))*(1+Apport_Z315),0))+Apport_201A2324s,6)</f>
        <v>7.3449E-2</v>
      </c>
      <c r="D141">
        <f>ROUND(IF(VLOOKUP($A141,EnrollData2324,'2324 Jun 24 Enroll'!D$1,FALSE)='District Calculations'!$D$11,VLOOKUP($A141,EnrollData2324,'2324 Jun 24 Enroll'!D$1,FALSE),'District Calculations'!$D$11)*C141,3)</f>
        <v>0</v>
      </c>
      <c r="E141">
        <f>ROUND(IF(VLOOKUP($A141,EnrollData2324,'2324 Jun 24 Enroll'!E$1,FALSE)='District Calculations'!$D$12,VLOOKUP($A141,EnrollData2324,'2324 Jun 24 Enroll'!E$1,FALSE),'District Calculations'!$D$12)*C141,3)</f>
        <v>59.53</v>
      </c>
      <c r="F141">
        <f>ROUND(IF(VLOOKUP($A141,EnrollData2324,'2324 Jun 24 Enroll'!F$1,FALSE)='District Calculations'!$D$13,VLOOKUP($A141,EnrollData2324,'2324 Jun 24 Enroll'!F$1,FALSE),'District Calculations'!$D$13)*Apport_222A2324s,3)</f>
        <v>10.101000000000001</v>
      </c>
      <c r="G141">
        <f>ROUND(IF(VLOOKUP($A141,EnrollData2324,'2324 Jun 24 Enroll'!G$1,FALSE)='District Calculations'!$D$14,VLOOKUP($A141,EnrollData2324,'2324 Jun 24 Enroll'!G$1,FALSE),'District Calculations'!$D$14)*Apport_210A2324s,3)</f>
        <v>22.395</v>
      </c>
      <c r="H141">
        <f>ROUND(IF(VLOOKUP($A141,EnrollData2324,'2324 Jun 24 Enroll'!H$1,FALSE)='District Calculations'!$D$15,VLOOKUP($A141,EnrollData2324,'2324 Jun 24 Enroll'!H$1,FALSE),'District Calculations'!$D$15)*Apport_213A2324s,3)</f>
        <v>23.091999999999999</v>
      </c>
      <c r="I141">
        <f>ROUND(IF(VLOOKUP($A141,EnrollData2324,'2324 Jun 24 Enroll'!I$1,FALSE)+VLOOKUP($A141,EnrollData2324,'2324 Jun 24 Enroll'!M$1,FALSE)-VLOOKUP($A141,EnrollData2324,'2324 Jun 24 Enroll'!J$1,FALSE)='District Calculations'!$D$16+'District Calculations'!$D$25-'District Calculations'!$D$17,VLOOKUP($A141,EnrollData2324,'2324 Jun 24 Enroll'!I$1,FALSE)+VLOOKUP($A141,EnrollData2324,'2324 Jun 24 Enroll'!M$1,FALSE)-VLOOKUP($A141,EnrollData2324,'2324 Jun 24 Enroll'!J$1,FALSE),'District Calculations'!$D$16+'District Calculations'!$D$25-'District Calculations'!$D$17)*Apport_216A2324s,3)</f>
        <v>58.183999999999997</v>
      </c>
      <c r="J141">
        <f>ROUND(SUM(D141:I141)/(IF(VLOOKUP($A141,EnrollData2324,'2324 Jun 24 Enroll'!M$1,FALSE)='District Calculations'!$D$25,VLOOKUP($A141,EnrollData2324,'2324 Jun 24 Enroll'!M$1,FALSE),'District Calculations'!$D$25)+IF(VLOOKUP($A141,EnrollData2324,'2324 Jun 24 Enroll'!D$1,FALSE)='District Calculations'!$D$11,VLOOKUP($A141,EnrollData2324,'2324 Jun 24 Enroll'!D$1,FALSE),'District Calculations'!$D$11)),5)</f>
        <v>5.5530000000000003E-2</v>
      </c>
      <c r="K141" s="11">
        <f t="shared" si="12"/>
        <v>4.3699999999999998E-3</v>
      </c>
      <c r="L141">
        <f>ROUND(IF(VLOOKUP($A141,EnrollData2324,'2324 Jun 24 Enroll'!D$1,FALSE)='District Calculations'!$D$11,VLOOKUP($A141,EnrollData2324,'2324 Jun 24 Enroll'!D$1,FALSE),'District Calculations'!$D$11)*K141,3)</f>
        <v>0</v>
      </c>
      <c r="M141">
        <f>ROUND(IF(VLOOKUP($A141,EnrollData2324,'2324 Jun 24 Enroll'!E$1,FALSE)='District Calculations'!$D$12,VLOOKUP($A141,EnrollData2324,'2324 Jun 24 Enroll'!E$1,FALSE),'District Calculations'!$D$12)*K141,3)</f>
        <v>3.5419999999999998</v>
      </c>
      <c r="N141">
        <f>ROUND(IF(VLOOKUP($A141,EnrollData2324,'2324 Jun 24 Enroll'!F$1,FALSE)='District Calculations'!$D$13,VLOOKUP($A141,EnrollData2324,'2324 Jun 24 Enroll'!F$1,FALSE),'District Calculations'!$D$13)*Apport_223A2324s,3)</f>
        <v>0.84299999999999997</v>
      </c>
      <c r="O141">
        <f>ROUND(IF(VLOOKUP($A141,EnrollData2324,'2324 Jun 24 Enroll'!G$1,FALSE)='District Calculations'!$D$14,VLOOKUP($A141,EnrollData2324,'2324 Jun 24 Enroll'!G$1,FALSE),'District Calculations'!$D$14)*Apport_211A2324s,3)</f>
        <v>1.87</v>
      </c>
      <c r="P141">
        <f>ROUND(IF(VLOOKUP($A141,EnrollData2324,'2324 Jun 24 Enroll'!H$1,FALSE)='District Calculations'!$D$14,VLOOKUP($A141,EnrollData2324,'2324 Jun 24 Enroll'!H$1,FALSE),'District Calculations'!$D$14)*Apport_214A2324s,3)</f>
        <v>1.8680000000000001</v>
      </c>
      <c r="Q141">
        <f>ROUND(IF(VLOOKUP($A141,EnrollData2324,'2324 Jun 24 Enroll'!I$1,FALSE)+VLOOKUP($A141,EnrollData2324,'2324 Jun 24 Enroll'!M$1,FALSE)-VLOOKUP($A141,EnrollData2324,'2324 Jun 24 Enroll'!J$1,FALSE)='District Calculations'!$D$16+'District Calculations'!$D$25-'District Calculations'!$D$17,VLOOKUP($A141,EnrollData2324,'2324 Jun 24 Enroll'!I$1,FALSE)+VLOOKUP($A141,EnrollData2324,'2324 Jun 24 Enroll'!M$1,FALSE)-VLOOKUP($A141,EnrollData2324,'2324 Jun 24 Enroll'!J$1,FALSE),'District Calculations'!$D$16+'District Calculations'!$D$25-'District Calculations'!$D$17)*Apport_217A2324s,3)</f>
        <v>4.702</v>
      </c>
      <c r="R141">
        <f>ROUND(SUM(L141:Q141)/IF(VLOOKUP($A141,EnrollData2324,'2324 Jun 24 Enroll'!M$1,FALSE)+VLOOKUP($A141,EnrollData2324,'2324 Jun 24 Enroll'!D$1,FALSE)='District Calculations'!$D$25+'District Calculations'!$D$11,VLOOKUP($A141,EnrollData2324,'2324 Jun 24 Enroll'!M$1,FALSE)+VLOOKUP($A141,EnrollData2324,'2324 Jun 24 Enroll'!D$1,FALSE),'District Calculations'!$D$25+'District Calculations'!$D$11),5)</f>
        <v>4.1099999999999999E-3</v>
      </c>
      <c r="S141" s="11">
        <f t="shared" si="13"/>
        <v>1.8689600000000001E-2</v>
      </c>
      <c r="T141">
        <f>ROUND(IF(VLOOKUP($A141,EnrollData2324,'2324 Jun 24 Enroll'!D$1,FALSE)='District Calculations'!$D$11,VLOOKUP($A141,EnrollData2324,'2324 Jun 24 Enroll'!D$1,FALSE),'District Calculations'!$D$11)*S141,3)</f>
        <v>0</v>
      </c>
      <c r="U141">
        <f>ROUND(IF(VLOOKUP($A141,EnrollData2324,'2324 Jun 24 Enroll'!E$1,FALSE)='District Calculations'!$D$12,VLOOKUP($A141,EnrollData2324,'2324 Jun 24 Enroll'!E$1,FALSE),'District Calculations'!$D$12)*S141,3)</f>
        <v>15.148</v>
      </c>
      <c r="V141">
        <f>ROUND(IF(VLOOKUP($A141,EnrollData2324,'2324 Jun 24 Enroll'!F$1,FALSE)='District Calculations'!$D$13,VLOOKUP($A141,EnrollData2324,'2324 Jun 24 Enroll'!F$1,FALSE),'District Calculations'!$D$13)*Apport_224A2324s,3)</f>
        <v>3.7029999999999998</v>
      </c>
      <c r="W141">
        <f>ROUND(IF(VLOOKUP($A141,EnrollData2324,'2324 Jun 24 Enroll'!G$1,FALSE)='District Calculations'!$D$14,VLOOKUP($A141,EnrollData2324,'2324 Jun 24 Enroll'!G$1,FALSE),'District Calculations'!$D$14)*Apport_212A2324s,3)</f>
        <v>8.2089999999999996</v>
      </c>
      <c r="X141">
        <f>ROUND(IF(VLOOKUP($A141,EnrollData2324,'2324 Jun 24 Enroll'!H$1,FALSE)='District Calculations'!$D$14,VLOOKUP($A141,EnrollData2324,'2324 Jun 24 Enroll'!H$1,FALSE),'District Calculations'!$D$14)*Apport_215A2324s,3)</f>
        <v>8.0969999999999995</v>
      </c>
      <c r="Y141">
        <f>ROUND(IF(VLOOKUP($A141,EnrollData2324,'2324 Jun 24 Enroll'!I$1,FALSE)+VLOOKUP($A141,EnrollData2324,'2324 Jun 24 Enroll'!M$1,FALSE)-VLOOKUP($A141,EnrollData2324,'2324 Jun 24 Enroll'!J$1,FALSE)='District Calculations'!$D$16+'District Calculations'!$D$25-'District Calculations'!$D$17,VLOOKUP($A141,EnrollData2324,'2324 Jun 24 Enroll'!I$1,FALSE)+VLOOKUP($A141,EnrollData2324,'2324 Jun 24 Enroll'!M$1,FALSE)-VLOOKUP($A141,EnrollData2324,'2324 Jun 24 Enroll'!J$1,FALSE),'District Calculations'!$D$16+'District Calculations'!$D$25-'District Calculations'!$D$17)*Apport_218A2324s,3)</f>
        <v>20.224</v>
      </c>
      <c r="Z141">
        <f>ROUND(SUM(T141:Y141)/IF(VLOOKUP($A141,EnrollData2324,'2324 Jun 24 Enroll'!M$1,FALSE)+VLOOKUP($A141,EnrollData2324,'2324 Jun 24 Enroll'!D$1,FALSE)='District Calculations'!$D$25+'District Calculations'!$D$11,VLOOKUP($A141,EnrollData2324,'2324 Jun 24 Enroll'!M$1,FALSE)+VLOOKUP($A141,EnrollData2324,'2324 Jun 24 Enroll'!D$1,FALSE),'District Calculations'!$D$25+'District Calculations'!$D$11),5)</f>
        <v>1.7749999999999998E-2</v>
      </c>
      <c r="AA141" s="6" cm="1">
        <f t="array" ref="AA141">ROUND($J141*CIS_Base_Salary2324s*VLOOKUP($A141,EnrollData2324,'2324 Jun 24 Enroll'!S$1,FALSE),2)</f>
        <v>4765.53</v>
      </c>
      <c r="AB141" s="6" cm="1">
        <f t="array" ref="AB141">ROUND($J141*CIS_Inc_Salary2324s*(VLOOKUP($A141,EnrollData2324,'2324 Jun 24 Enroll'!T$1,FALSE)+VLOOKUP($A141,EnrollData2324,'2324 Jun 24 Enroll'!U$1,FALSE)),2)-AA141</f>
        <v>176.32999999999993</v>
      </c>
      <c r="AC141" s="6" cm="1">
        <f t="array" ref="AC141">ROUND($R141*CAS_Base_Salary2324s*VLOOKUP($A141,EnrollData2324,'2324 Jun 24 Enroll'!S$1,FALSE),2)</f>
        <v>523.55999999999995</v>
      </c>
      <c r="AD141" s="6" cm="1">
        <f t="array" ref="AD141">ROUND($R141*CAS_Inc_Salary2324s*VLOOKUP($A141,EnrollData2324,'2324 Jun 24 Enroll'!T$1,FALSE),2)-AC141</f>
        <v>19.380000000000109</v>
      </c>
      <c r="AE141" s="6" cm="1">
        <f t="array" ref="AE141">ROUND($Z141*CLS_Base_Salary2324s*VLOOKUP($A141,EnrollData2324,'2324 Jun 24 Enroll'!S$1,FALSE),2)</f>
        <v>1092.76</v>
      </c>
      <c r="AF141" s="6" cm="1">
        <f t="array" ref="AF141">ROUND($Z141*CLS_Inc_Salary2324s*VLOOKUP($A141,EnrollData2324,'2324 Jun 24 Enroll'!T$1,FALSE),2)-AE141</f>
        <v>40.430000000000064</v>
      </c>
      <c r="AG141" cm="1">
        <f t="array" ref="AG141">ROUND(($J141+$R141)*Apport_124X2324s,2)</f>
        <v>734.29</v>
      </c>
      <c r="AH141" s="69">
        <f t="shared" si="14"/>
        <v>68.700000000000045</v>
      </c>
      <c r="AI141" cm="1">
        <f t="array" ref="AI141">ROUND($Z141*Apport_124X2324s,2)</f>
        <v>218.54</v>
      </c>
      <c r="AJ141" cm="1">
        <f t="array" ref="AJ141">ROUND($Z141*Apport_621X2324s*Apport_125X2324s,2)-AI141</f>
        <v>116.51000000000002</v>
      </c>
      <c r="AK141" cm="1">
        <f t="array" ref="AK141">ROUND((AA141+AC141)*Apport_126X2324s,2)</f>
        <v>950.45</v>
      </c>
      <c r="AL141" cm="1">
        <f t="array" ref="AL141">ROUND((AB141+AD141)*Apport_127X2324s,2)</f>
        <v>33.92</v>
      </c>
      <c r="AM141" cm="1">
        <f t="array" ref="AM141">ROUND(AE141*Apport_128X2324s,2)</f>
        <v>241.06</v>
      </c>
      <c r="AN141" cm="1">
        <f t="array" ref="AN141">ROUND(AF141*Apport_129X2324s,2)</f>
        <v>7.5</v>
      </c>
      <c r="AO141" cm="1">
        <f t="array" ref="AO141">ROUND(($J141*CIS_Inc_Salary2324s*(VLOOKUP($A141,EnrollData2324,'2324 Jun 24 Enroll'!T$1,FALSE)+VLOOKUP($A141,EnrollData2324,'2324 Jun 24 Enroll'!U$1,FALSE))/Apport_613Xpd)*Apport_614Xpd,2)</f>
        <v>82.36</v>
      </c>
      <c r="AP141" cm="1">
        <f t="array" ref="AP141">ROUND(AO141*Apport_127X2324s,2)</f>
        <v>14.27</v>
      </c>
      <c r="AQ141">
        <f t="shared" si="15"/>
        <v>30.93</v>
      </c>
      <c r="AR141" s="6" cm="1">
        <f t="array" ref="AR141">ROUND((VLOOKUP($A141,EnrollData2324,'2324 Jun 24 Enroll'!D$1,FALSE)*Apport_M802324s+VLOOKUP($A141,EnrollData2324,'2324 Jun 24 Enroll'!M$1,FALSE)*Apport_M802324s+(VLOOKUP($A141,EnrollData2324,'2324 Jun 24 Enroll'!P$1,FALSE)+VLOOKUP($A141,EnrollData2324,'2324 Jun 24 Enroll'!Q$1,FALSE)+VLOOKUP($A141,EnrollData2324,'2324 Jun 24 Enroll'!R$1,FALSE)+VLOOKUP($A141,EnrollData2324,'2324 Jun 24 Enroll'!I$1,FALSE)+VLOOKUP($A141,EnrollData2324,'2324 Jun 24 Enroll'!N$1,FALSE)+VLOOKUP($A141,EnrollData2324,'2324 Jun 24 Enroll'!O$1,FALSE)+VLOOKUP($A141,EnrollData2324,'2324 Jun 24 Enroll'!K$1,FALSE)+VLOOKUP($A141,EnrollData2324,'2324 Jun 24 Enroll'!L$1,FALSE))*Apport_M812324s)/(VLOOKUP($A141,EnrollData2324,'2324 Jun 24 Enroll'!M$1,FALSE)+VLOOKUP($A141,EnrollData2324,'2324 Jun 24 Enroll'!D$1,FALSE)),2)</f>
        <v>1504.44</v>
      </c>
      <c r="AS141" s="7">
        <f t="shared" si="16"/>
        <v>10620.960000000003</v>
      </c>
    </row>
    <row r="142" spans="1:45">
      <c r="A142" s="40" t="s">
        <v>1012</v>
      </c>
      <c r="B142" s="40" t="s">
        <v>1013</v>
      </c>
      <c r="C142" s="11">
        <f>ROUND((IFERROR((1/IF(VLOOKUP($A142,EnrollData2324,28,FALSE)='District Calculations'!$D$10,VLOOKUP($A142,EnrollData2324,28,FALSE),'District Calculations'!$D$10))*(1+Apport_Z315),0))+Apport_201A2324s,6)</f>
        <v>7.3449E-2</v>
      </c>
      <c r="D142">
        <f>ROUND(IF(VLOOKUP($A142,EnrollData2324,'2324 Jun 24 Enroll'!D$1,FALSE)='District Calculations'!$D$11,VLOOKUP($A142,EnrollData2324,'2324 Jun 24 Enroll'!D$1,FALSE),'District Calculations'!$D$11)*C142,3)</f>
        <v>0</v>
      </c>
      <c r="E142">
        <f>ROUND(IF(VLOOKUP($A142,EnrollData2324,'2324 Jun 24 Enroll'!E$1,FALSE)='District Calculations'!$D$12,VLOOKUP($A142,EnrollData2324,'2324 Jun 24 Enroll'!E$1,FALSE),'District Calculations'!$D$12)*C142,3)</f>
        <v>59.53</v>
      </c>
      <c r="F142">
        <f>ROUND(IF(VLOOKUP($A142,EnrollData2324,'2324 Jun 24 Enroll'!F$1,FALSE)='District Calculations'!$D$13,VLOOKUP($A142,EnrollData2324,'2324 Jun 24 Enroll'!F$1,FALSE),'District Calculations'!$D$13)*Apport_222A2324s,3)</f>
        <v>10.101000000000001</v>
      </c>
      <c r="G142">
        <f>ROUND(IF(VLOOKUP($A142,EnrollData2324,'2324 Jun 24 Enroll'!G$1,FALSE)='District Calculations'!$D$14,VLOOKUP($A142,EnrollData2324,'2324 Jun 24 Enroll'!G$1,FALSE),'District Calculations'!$D$14)*Apport_210A2324s,3)</f>
        <v>22.395</v>
      </c>
      <c r="H142">
        <f>ROUND(IF(VLOOKUP($A142,EnrollData2324,'2324 Jun 24 Enroll'!H$1,FALSE)='District Calculations'!$D$15,VLOOKUP($A142,EnrollData2324,'2324 Jun 24 Enroll'!H$1,FALSE),'District Calculations'!$D$15)*Apport_213A2324s,3)</f>
        <v>23.091999999999999</v>
      </c>
      <c r="I142">
        <f>ROUND(IF(VLOOKUP($A142,EnrollData2324,'2324 Jun 24 Enroll'!I$1,FALSE)+VLOOKUP($A142,EnrollData2324,'2324 Jun 24 Enroll'!M$1,FALSE)-VLOOKUP($A142,EnrollData2324,'2324 Jun 24 Enroll'!J$1,FALSE)='District Calculations'!$D$16+'District Calculations'!$D$25-'District Calculations'!$D$17,VLOOKUP($A142,EnrollData2324,'2324 Jun 24 Enroll'!I$1,FALSE)+VLOOKUP($A142,EnrollData2324,'2324 Jun 24 Enroll'!M$1,FALSE)-VLOOKUP($A142,EnrollData2324,'2324 Jun 24 Enroll'!J$1,FALSE),'District Calculations'!$D$16+'District Calculations'!$D$25-'District Calculations'!$D$17)*Apport_216A2324s,3)</f>
        <v>58.183999999999997</v>
      </c>
      <c r="J142">
        <f>ROUND(SUM(D142:I142)/(IF(VLOOKUP($A142,EnrollData2324,'2324 Jun 24 Enroll'!M$1,FALSE)='District Calculations'!$D$25,VLOOKUP($A142,EnrollData2324,'2324 Jun 24 Enroll'!M$1,FALSE),'District Calculations'!$D$25)+IF(VLOOKUP($A142,EnrollData2324,'2324 Jun 24 Enroll'!D$1,FALSE)='District Calculations'!$D$11,VLOOKUP($A142,EnrollData2324,'2324 Jun 24 Enroll'!D$1,FALSE),'District Calculations'!$D$11)),5)</f>
        <v>5.5530000000000003E-2</v>
      </c>
      <c r="K142" s="11">
        <f t="shared" si="12"/>
        <v>4.3699999999999998E-3</v>
      </c>
      <c r="L142">
        <f>ROUND(IF(VLOOKUP($A142,EnrollData2324,'2324 Jun 24 Enroll'!D$1,FALSE)='District Calculations'!$D$11,VLOOKUP($A142,EnrollData2324,'2324 Jun 24 Enroll'!D$1,FALSE),'District Calculations'!$D$11)*K142,3)</f>
        <v>0</v>
      </c>
      <c r="M142">
        <f>ROUND(IF(VLOOKUP($A142,EnrollData2324,'2324 Jun 24 Enroll'!E$1,FALSE)='District Calculations'!$D$12,VLOOKUP($A142,EnrollData2324,'2324 Jun 24 Enroll'!E$1,FALSE),'District Calculations'!$D$12)*K142,3)</f>
        <v>3.5419999999999998</v>
      </c>
      <c r="N142">
        <f>ROUND(IF(VLOOKUP($A142,EnrollData2324,'2324 Jun 24 Enroll'!F$1,FALSE)='District Calculations'!$D$13,VLOOKUP($A142,EnrollData2324,'2324 Jun 24 Enroll'!F$1,FALSE),'District Calculations'!$D$13)*Apport_223A2324s,3)</f>
        <v>0.84299999999999997</v>
      </c>
      <c r="O142">
        <f>ROUND(IF(VLOOKUP($A142,EnrollData2324,'2324 Jun 24 Enroll'!G$1,FALSE)='District Calculations'!$D$14,VLOOKUP($A142,EnrollData2324,'2324 Jun 24 Enroll'!G$1,FALSE),'District Calculations'!$D$14)*Apport_211A2324s,3)</f>
        <v>1.87</v>
      </c>
      <c r="P142">
        <f>ROUND(IF(VLOOKUP($A142,EnrollData2324,'2324 Jun 24 Enroll'!H$1,FALSE)='District Calculations'!$D$14,VLOOKUP($A142,EnrollData2324,'2324 Jun 24 Enroll'!H$1,FALSE),'District Calculations'!$D$14)*Apport_214A2324s,3)</f>
        <v>1.8680000000000001</v>
      </c>
      <c r="Q142">
        <f>ROUND(IF(VLOOKUP($A142,EnrollData2324,'2324 Jun 24 Enroll'!I$1,FALSE)+VLOOKUP($A142,EnrollData2324,'2324 Jun 24 Enroll'!M$1,FALSE)-VLOOKUP($A142,EnrollData2324,'2324 Jun 24 Enroll'!J$1,FALSE)='District Calculations'!$D$16+'District Calculations'!$D$25-'District Calculations'!$D$17,VLOOKUP($A142,EnrollData2324,'2324 Jun 24 Enroll'!I$1,FALSE)+VLOOKUP($A142,EnrollData2324,'2324 Jun 24 Enroll'!M$1,FALSE)-VLOOKUP($A142,EnrollData2324,'2324 Jun 24 Enroll'!J$1,FALSE),'District Calculations'!$D$16+'District Calculations'!$D$25-'District Calculations'!$D$17)*Apport_217A2324s,3)</f>
        <v>4.702</v>
      </c>
      <c r="R142">
        <f>ROUND(SUM(L142:Q142)/IF(VLOOKUP($A142,EnrollData2324,'2324 Jun 24 Enroll'!M$1,FALSE)+VLOOKUP($A142,EnrollData2324,'2324 Jun 24 Enroll'!D$1,FALSE)='District Calculations'!$D$25+'District Calculations'!$D$11,VLOOKUP($A142,EnrollData2324,'2324 Jun 24 Enroll'!M$1,FALSE)+VLOOKUP($A142,EnrollData2324,'2324 Jun 24 Enroll'!D$1,FALSE),'District Calculations'!$D$25+'District Calculations'!$D$11),5)</f>
        <v>4.1099999999999999E-3</v>
      </c>
      <c r="S142" s="11">
        <f t="shared" si="13"/>
        <v>1.8689600000000001E-2</v>
      </c>
      <c r="T142">
        <f>ROUND(IF(VLOOKUP($A142,EnrollData2324,'2324 Jun 24 Enroll'!D$1,FALSE)='District Calculations'!$D$11,VLOOKUP($A142,EnrollData2324,'2324 Jun 24 Enroll'!D$1,FALSE),'District Calculations'!$D$11)*S142,3)</f>
        <v>0</v>
      </c>
      <c r="U142">
        <f>ROUND(IF(VLOOKUP($A142,EnrollData2324,'2324 Jun 24 Enroll'!E$1,FALSE)='District Calculations'!$D$12,VLOOKUP($A142,EnrollData2324,'2324 Jun 24 Enroll'!E$1,FALSE),'District Calculations'!$D$12)*S142,3)</f>
        <v>15.148</v>
      </c>
      <c r="V142">
        <f>ROUND(IF(VLOOKUP($A142,EnrollData2324,'2324 Jun 24 Enroll'!F$1,FALSE)='District Calculations'!$D$13,VLOOKUP($A142,EnrollData2324,'2324 Jun 24 Enroll'!F$1,FALSE),'District Calculations'!$D$13)*Apport_224A2324s,3)</f>
        <v>3.7029999999999998</v>
      </c>
      <c r="W142">
        <f>ROUND(IF(VLOOKUP($A142,EnrollData2324,'2324 Jun 24 Enroll'!G$1,FALSE)='District Calculations'!$D$14,VLOOKUP($A142,EnrollData2324,'2324 Jun 24 Enroll'!G$1,FALSE),'District Calculations'!$D$14)*Apport_212A2324s,3)</f>
        <v>8.2089999999999996</v>
      </c>
      <c r="X142">
        <f>ROUND(IF(VLOOKUP($A142,EnrollData2324,'2324 Jun 24 Enroll'!H$1,FALSE)='District Calculations'!$D$14,VLOOKUP($A142,EnrollData2324,'2324 Jun 24 Enroll'!H$1,FALSE),'District Calculations'!$D$14)*Apport_215A2324s,3)</f>
        <v>8.0969999999999995</v>
      </c>
      <c r="Y142">
        <f>ROUND(IF(VLOOKUP($A142,EnrollData2324,'2324 Jun 24 Enroll'!I$1,FALSE)+VLOOKUP($A142,EnrollData2324,'2324 Jun 24 Enroll'!M$1,FALSE)-VLOOKUP($A142,EnrollData2324,'2324 Jun 24 Enroll'!J$1,FALSE)='District Calculations'!$D$16+'District Calculations'!$D$25-'District Calculations'!$D$17,VLOOKUP($A142,EnrollData2324,'2324 Jun 24 Enroll'!I$1,FALSE)+VLOOKUP($A142,EnrollData2324,'2324 Jun 24 Enroll'!M$1,FALSE)-VLOOKUP($A142,EnrollData2324,'2324 Jun 24 Enroll'!J$1,FALSE),'District Calculations'!$D$16+'District Calculations'!$D$25-'District Calculations'!$D$17)*Apport_218A2324s,3)</f>
        <v>20.224</v>
      </c>
      <c r="Z142">
        <f>ROUND(SUM(T142:Y142)/IF(VLOOKUP($A142,EnrollData2324,'2324 Jun 24 Enroll'!M$1,FALSE)+VLOOKUP($A142,EnrollData2324,'2324 Jun 24 Enroll'!D$1,FALSE)='District Calculations'!$D$25+'District Calculations'!$D$11,VLOOKUP($A142,EnrollData2324,'2324 Jun 24 Enroll'!M$1,FALSE)+VLOOKUP($A142,EnrollData2324,'2324 Jun 24 Enroll'!D$1,FALSE),'District Calculations'!$D$25+'District Calculations'!$D$11),5)</f>
        <v>1.7749999999999998E-2</v>
      </c>
      <c r="AA142" s="6" cm="1">
        <f t="array" ref="AA142">ROUND($J142*CIS_Base_Salary2324s*VLOOKUP($A142,EnrollData2324,'2324 Jun 24 Enroll'!S$1,FALSE),2)</f>
        <v>4765.53</v>
      </c>
      <c r="AB142" s="6" cm="1">
        <f t="array" ref="AB142">ROUND($J142*CIS_Inc_Salary2324s*(VLOOKUP($A142,EnrollData2324,'2324 Jun 24 Enroll'!T$1,FALSE)+VLOOKUP($A142,EnrollData2324,'2324 Jun 24 Enroll'!U$1,FALSE)),2)-AA142</f>
        <v>176.32999999999993</v>
      </c>
      <c r="AC142" s="6" cm="1">
        <f t="array" ref="AC142">ROUND($R142*CAS_Base_Salary2324s*VLOOKUP($A142,EnrollData2324,'2324 Jun 24 Enroll'!S$1,FALSE),2)</f>
        <v>523.55999999999995</v>
      </c>
      <c r="AD142" s="6" cm="1">
        <f t="array" ref="AD142">ROUND($R142*CAS_Inc_Salary2324s*VLOOKUP($A142,EnrollData2324,'2324 Jun 24 Enroll'!T$1,FALSE),2)-AC142</f>
        <v>19.380000000000109</v>
      </c>
      <c r="AE142" s="6" cm="1">
        <f t="array" ref="AE142">ROUND($Z142*CLS_Base_Salary2324s*VLOOKUP($A142,EnrollData2324,'2324 Jun 24 Enroll'!S$1,FALSE),2)</f>
        <v>1092.76</v>
      </c>
      <c r="AF142" s="6" cm="1">
        <f t="array" ref="AF142">ROUND($Z142*CLS_Inc_Salary2324s*VLOOKUP($A142,EnrollData2324,'2324 Jun 24 Enroll'!T$1,FALSE),2)-AE142</f>
        <v>40.430000000000064</v>
      </c>
      <c r="AG142" cm="1">
        <f t="array" ref="AG142">ROUND(($J142+$R142)*Apport_124X2324s,2)</f>
        <v>734.29</v>
      </c>
      <c r="AH142" s="69">
        <f t="shared" si="14"/>
        <v>68.700000000000045</v>
      </c>
      <c r="AI142" cm="1">
        <f t="array" ref="AI142">ROUND($Z142*Apport_124X2324s,2)</f>
        <v>218.54</v>
      </c>
      <c r="AJ142" cm="1">
        <f t="array" ref="AJ142">ROUND($Z142*Apport_621X2324s*Apport_125X2324s,2)-AI142</f>
        <v>116.51000000000002</v>
      </c>
      <c r="AK142" cm="1">
        <f t="array" ref="AK142">ROUND((AA142+AC142)*Apport_126X2324s,2)</f>
        <v>950.45</v>
      </c>
      <c r="AL142" cm="1">
        <f t="array" ref="AL142">ROUND((AB142+AD142)*Apport_127X2324s,2)</f>
        <v>33.92</v>
      </c>
      <c r="AM142" cm="1">
        <f t="array" ref="AM142">ROUND(AE142*Apport_128X2324s,2)</f>
        <v>241.06</v>
      </c>
      <c r="AN142" cm="1">
        <f t="array" ref="AN142">ROUND(AF142*Apport_129X2324s,2)</f>
        <v>7.5</v>
      </c>
      <c r="AO142" cm="1">
        <f t="array" ref="AO142">ROUND(($J142*CIS_Inc_Salary2324s*(VLOOKUP($A142,EnrollData2324,'2324 Jun 24 Enroll'!T$1,FALSE)+VLOOKUP($A142,EnrollData2324,'2324 Jun 24 Enroll'!U$1,FALSE))/Apport_613Xpd)*Apport_614Xpd,2)</f>
        <v>82.36</v>
      </c>
      <c r="AP142" cm="1">
        <f t="array" ref="AP142">ROUND(AO142*Apport_127X2324s,2)</f>
        <v>14.27</v>
      </c>
      <c r="AQ142">
        <f t="shared" si="15"/>
        <v>30.93</v>
      </c>
      <c r="AR142" s="6" cm="1">
        <f t="array" ref="AR142">ROUND((VLOOKUP($A142,EnrollData2324,'2324 Jun 24 Enroll'!D$1,FALSE)*Apport_M802324s+VLOOKUP($A142,EnrollData2324,'2324 Jun 24 Enroll'!M$1,FALSE)*Apport_M802324s+(VLOOKUP($A142,EnrollData2324,'2324 Jun 24 Enroll'!P$1,FALSE)+VLOOKUP($A142,EnrollData2324,'2324 Jun 24 Enroll'!Q$1,FALSE)+VLOOKUP($A142,EnrollData2324,'2324 Jun 24 Enroll'!R$1,FALSE)+VLOOKUP($A142,EnrollData2324,'2324 Jun 24 Enroll'!I$1,FALSE)+VLOOKUP($A142,EnrollData2324,'2324 Jun 24 Enroll'!N$1,FALSE)+VLOOKUP($A142,EnrollData2324,'2324 Jun 24 Enroll'!O$1,FALSE)+VLOOKUP($A142,EnrollData2324,'2324 Jun 24 Enroll'!K$1,FALSE)+VLOOKUP($A142,EnrollData2324,'2324 Jun 24 Enroll'!L$1,FALSE))*Apport_M812324s)/(VLOOKUP($A142,EnrollData2324,'2324 Jun 24 Enroll'!M$1,FALSE)+VLOOKUP($A142,EnrollData2324,'2324 Jun 24 Enroll'!D$1,FALSE)),2)</f>
        <v>1504.44</v>
      </c>
      <c r="AS142" s="7">
        <f t="shared" si="16"/>
        <v>10620.960000000003</v>
      </c>
    </row>
    <row r="143" spans="1:45">
      <c r="A143" s="40" t="s">
        <v>1014</v>
      </c>
      <c r="B143" s="40" t="s">
        <v>1031</v>
      </c>
      <c r="C143" s="11">
        <f>ROUND((IFERROR((1/IF(VLOOKUP($A143,EnrollData2324,28,FALSE)='District Calculations'!$D$10,VLOOKUP($A143,EnrollData2324,28,FALSE),'District Calculations'!$D$10))*(1+Apport_Z315),0))+Apport_201A2324s,6)</f>
        <v>7.3449E-2</v>
      </c>
      <c r="D143">
        <f>ROUND(IF(VLOOKUP($A143,EnrollData2324,'2324 Jun 24 Enroll'!D$1,FALSE)='District Calculations'!$D$11,VLOOKUP($A143,EnrollData2324,'2324 Jun 24 Enroll'!D$1,FALSE),'District Calculations'!$D$11)*C143,3)</f>
        <v>0</v>
      </c>
      <c r="E143">
        <f>ROUND(IF(VLOOKUP($A143,EnrollData2324,'2324 Jun 24 Enroll'!E$1,FALSE)='District Calculations'!$D$12,VLOOKUP($A143,EnrollData2324,'2324 Jun 24 Enroll'!E$1,FALSE),'District Calculations'!$D$12)*C143,3)</f>
        <v>59.53</v>
      </c>
      <c r="F143">
        <f>ROUND(IF(VLOOKUP($A143,EnrollData2324,'2324 Jun 24 Enroll'!F$1,FALSE)='District Calculations'!$D$13,VLOOKUP($A143,EnrollData2324,'2324 Jun 24 Enroll'!F$1,FALSE),'District Calculations'!$D$13)*Apport_222A2324s,3)</f>
        <v>10.101000000000001</v>
      </c>
      <c r="G143">
        <f>ROUND(IF(VLOOKUP($A143,EnrollData2324,'2324 Jun 24 Enroll'!G$1,FALSE)='District Calculations'!$D$14,VLOOKUP($A143,EnrollData2324,'2324 Jun 24 Enroll'!G$1,FALSE),'District Calculations'!$D$14)*Apport_210A2324s,3)</f>
        <v>22.395</v>
      </c>
      <c r="H143">
        <f>ROUND(IF(VLOOKUP($A143,EnrollData2324,'2324 Jun 24 Enroll'!H$1,FALSE)='District Calculations'!$D$15,VLOOKUP($A143,EnrollData2324,'2324 Jun 24 Enroll'!H$1,FALSE),'District Calculations'!$D$15)*Apport_213A2324s,3)</f>
        <v>23.091999999999999</v>
      </c>
      <c r="I143">
        <f>ROUND(IF(VLOOKUP($A143,EnrollData2324,'2324 Jun 24 Enroll'!I$1,FALSE)+VLOOKUP($A143,EnrollData2324,'2324 Jun 24 Enroll'!M$1,FALSE)-VLOOKUP($A143,EnrollData2324,'2324 Jun 24 Enroll'!J$1,FALSE)='District Calculations'!$D$16+'District Calculations'!$D$25-'District Calculations'!$D$17,VLOOKUP($A143,EnrollData2324,'2324 Jun 24 Enroll'!I$1,FALSE)+VLOOKUP($A143,EnrollData2324,'2324 Jun 24 Enroll'!M$1,FALSE)-VLOOKUP($A143,EnrollData2324,'2324 Jun 24 Enroll'!J$1,FALSE),'District Calculations'!$D$16+'District Calculations'!$D$25-'District Calculations'!$D$17)*Apport_216A2324s,3)</f>
        <v>58.183999999999997</v>
      </c>
      <c r="J143">
        <f>ROUND(SUM(D143:I143)/(IF(VLOOKUP($A143,EnrollData2324,'2324 Jun 24 Enroll'!M$1,FALSE)='District Calculations'!$D$25,VLOOKUP($A143,EnrollData2324,'2324 Jun 24 Enroll'!M$1,FALSE),'District Calculations'!$D$25)+IF(VLOOKUP($A143,EnrollData2324,'2324 Jun 24 Enroll'!D$1,FALSE)='District Calculations'!$D$11,VLOOKUP($A143,EnrollData2324,'2324 Jun 24 Enroll'!D$1,FALSE),'District Calculations'!$D$11)),5)</f>
        <v>5.5530000000000003E-2</v>
      </c>
      <c r="K143" s="11">
        <f t="shared" si="12"/>
        <v>4.3699999999999998E-3</v>
      </c>
      <c r="L143">
        <f>ROUND(IF(VLOOKUP($A143,EnrollData2324,'2324 Jun 24 Enroll'!D$1,FALSE)='District Calculations'!$D$11,VLOOKUP($A143,EnrollData2324,'2324 Jun 24 Enroll'!D$1,FALSE),'District Calculations'!$D$11)*K143,3)</f>
        <v>0</v>
      </c>
      <c r="M143">
        <f>ROUND(IF(VLOOKUP($A143,EnrollData2324,'2324 Jun 24 Enroll'!E$1,FALSE)='District Calculations'!$D$12,VLOOKUP($A143,EnrollData2324,'2324 Jun 24 Enroll'!E$1,FALSE),'District Calculations'!$D$12)*K143,3)</f>
        <v>3.5419999999999998</v>
      </c>
      <c r="N143">
        <f>ROUND(IF(VLOOKUP($A143,EnrollData2324,'2324 Jun 24 Enroll'!F$1,FALSE)='District Calculations'!$D$13,VLOOKUP($A143,EnrollData2324,'2324 Jun 24 Enroll'!F$1,FALSE),'District Calculations'!$D$13)*Apport_223A2324s,3)</f>
        <v>0.84299999999999997</v>
      </c>
      <c r="O143">
        <f>ROUND(IF(VLOOKUP($A143,EnrollData2324,'2324 Jun 24 Enroll'!G$1,FALSE)='District Calculations'!$D$14,VLOOKUP($A143,EnrollData2324,'2324 Jun 24 Enroll'!G$1,FALSE),'District Calculations'!$D$14)*Apport_211A2324s,3)</f>
        <v>1.87</v>
      </c>
      <c r="P143">
        <f>ROUND(IF(VLOOKUP($A143,EnrollData2324,'2324 Jun 24 Enroll'!H$1,FALSE)='District Calculations'!$D$14,VLOOKUP($A143,EnrollData2324,'2324 Jun 24 Enroll'!H$1,FALSE),'District Calculations'!$D$14)*Apport_214A2324s,3)</f>
        <v>1.8680000000000001</v>
      </c>
      <c r="Q143">
        <f>ROUND(IF(VLOOKUP($A143,EnrollData2324,'2324 Jun 24 Enroll'!I$1,FALSE)+VLOOKUP($A143,EnrollData2324,'2324 Jun 24 Enroll'!M$1,FALSE)-VLOOKUP($A143,EnrollData2324,'2324 Jun 24 Enroll'!J$1,FALSE)='District Calculations'!$D$16+'District Calculations'!$D$25-'District Calculations'!$D$17,VLOOKUP($A143,EnrollData2324,'2324 Jun 24 Enroll'!I$1,FALSE)+VLOOKUP($A143,EnrollData2324,'2324 Jun 24 Enroll'!M$1,FALSE)-VLOOKUP($A143,EnrollData2324,'2324 Jun 24 Enroll'!J$1,FALSE),'District Calculations'!$D$16+'District Calculations'!$D$25-'District Calculations'!$D$17)*Apport_217A2324s,3)</f>
        <v>4.702</v>
      </c>
      <c r="R143">
        <f>ROUND(SUM(L143:Q143)/IF(VLOOKUP($A143,EnrollData2324,'2324 Jun 24 Enroll'!M$1,FALSE)+VLOOKUP($A143,EnrollData2324,'2324 Jun 24 Enroll'!D$1,FALSE)='District Calculations'!$D$25+'District Calculations'!$D$11,VLOOKUP($A143,EnrollData2324,'2324 Jun 24 Enroll'!M$1,FALSE)+VLOOKUP($A143,EnrollData2324,'2324 Jun 24 Enroll'!D$1,FALSE),'District Calculations'!$D$25+'District Calculations'!$D$11),5)</f>
        <v>4.1099999999999999E-3</v>
      </c>
      <c r="S143" s="11">
        <f t="shared" si="13"/>
        <v>1.8689600000000001E-2</v>
      </c>
      <c r="T143">
        <f>ROUND(IF(VLOOKUP($A143,EnrollData2324,'2324 Jun 24 Enroll'!D$1,FALSE)='District Calculations'!$D$11,VLOOKUP($A143,EnrollData2324,'2324 Jun 24 Enroll'!D$1,FALSE),'District Calculations'!$D$11)*S143,3)</f>
        <v>0</v>
      </c>
      <c r="U143">
        <f>ROUND(IF(VLOOKUP($A143,EnrollData2324,'2324 Jun 24 Enroll'!E$1,FALSE)='District Calculations'!$D$12,VLOOKUP($A143,EnrollData2324,'2324 Jun 24 Enroll'!E$1,FALSE),'District Calculations'!$D$12)*S143,3)</f>
        <v>15.148</v>
      </c>
      <c r="V143">
        <f>ROUND(IF(VLOOKUP($A143,EnrollData2324,'2324 Jun 24 Enroll'!F$1,FALSE)='District Calculations'!$D$13,VLOOKUP($A143,EnrollData2324,'2324 Jun 24 Enroll'!F$1,FALSE),'District Calculations'!$D$13)*Apport_224A2324s,3)</f>
        <v>3.7029999999999998</v>
      </c>
      <c r="W143">
        <f>ROUND(IF(VLOOKUP($A143,EnrollData2324,'2324 Jun 24 Enroll'!G$1,FALSE)='District Calculations'!$D$14,VLOOKUP($A143,EnrollData2324,'2324 Jun 24 Enroll'!G$1,FALSE),'District Calculations'!$D$14)*Apport_212A2324s,3)</f>
        <v>8.2089999999999996</v>
      </c>
      <c r="X143">
        <f>ROUND(IF(VLOOKUP($A143,EnrollData2324,'2324 Jun 24 Enroll'!H$1,FALSE)='District Calculations'!$D$14,VLOOKUP($A143,EnrollData2324,'2324 Jun 24 Enroll'!H$1,FALSE),'District Calculations'!$D$14)*Apport_215A2324s,3)</f>
        <v>8.0969999999999995</v>
      </c>
      <c r="Y143">
        <f>ROUND(IF(VLOOKUP($A143,EnrollData2324,'2324 Jun 24 Enroll'!I$1,FALSE)+VLOOKUP($A143,EnrollData2324,'2324 Jun 24 Enroll'!M$1,FALSE)-VLOOKUP($A143,EnrollData2324,'2324 Jun 24 Enroll'!J$1,FALSE)='District Calculations'!$D$16+'District Calculations'!$D$25-'District Calculations'!$D$17,VLOOKUP($A143,EnrollData2324,'2324 Jun 24 Enroll'!I$1,FALSE)+VLOOKUP($A143,EnrollData2324,'2324 Jun 24 Enroll'!M$1,FALSE)-VLOOKUP($A143,EnrollData2324,'2324 Jun 24 Enroll'!J$1,FALSE),'District Calculations'!$D$16+'District Calculations'!$D$25-'District Calculations'!$D$17)*Apport_218A2324s,3)</f>
        <v>20.224</v>
      </c>
      <c r="Z143">
        <f>ROUND(SUM(T143:Y143)/IF(VLOOKUP($A143,EnrollData2324,'2324 Jun 24 Enroll'!M$1,FALSE)+VLOOKUP($A143,EnrollData2324,'2324 Jun 24 Enroll'!D$1,FALSE)='District Calculations'!$D$25+'District Calculations'!$D$11,VLOOKUP($A143,EnrollData2324,'2324 Jun 24 Enroll'!M$1,FALSE)+VLOOKUP($A143,EnrollData2324,'2324 Jun 24 Enroll'!D$1,FALSE),'District Calculations'!$D$25+'District Calculations'!$D$11),5)</f>
        <v>1.7749999999999998E-2</v>
      </c>
      <c r="AA143" s="6" cm="1">
        <f t="array" ref="AA143">ROUND($J143*CIS_Base_Salary2324s*VLOOKUP($A143,EnrollData2324,'2324 Jun 24 Enroll'!S$1,FALSE),2)</f>
        <v>4765.53</v>
      </c>
      <c r="AB143" s="6" cm="1">
        <f t="array" ref="AB143">ROUND($J143*CIS_Inc_Salary2324s*(VLOOKUP($A143,EnrollData2324,'2324 Jun 24 Enroll'!T$1,FALSE)+VLOOKUP($A143,EnrollData2324,'2324 Jun 24 Enroll'!U$1,FALSE)),2)-AA143</f>
        <v>176.32999999999993</v>
      </c>
      <c r="AC143" s="6" cm="1">
        <f t="array" ref="AC143">ROUND($R143*CAS_Base_Salary2324s*VLOOKUP($A143,EnrollData2324,'2324 Jun 24 Enroll'!S$1,FALSE),2)</f>
        <v>523.55999999999995</v>
      </c>
      <c r="AD143" s="6" cm="1">
        <f t="array" ref="AD143">ROUND($R143*CAS_Inc_Salary2324s*VLOOKUP($A143,EnrollData2324,'2324 Jun 24 Enroll'!T$1,FALSE),2)-AC143</f>
        <v>19.380000000000109</v>
      </c>
      <c r="AE143" s="6" cm="1">
        <f t="array" ref="AE143">ROUND($Z143*CLS_Base_Salary2324s*VLOOKUP($A143,EnrollData2324,'2324 Jun 24 Enroll'!S$1,FALSE),2)</f>
        <v>1092.76</v>
      </c>
      <c r="AF143" s="6" cm="1">
        <f t="array" ref="AF143">ROUND($Z143*CLS_Inc_Salary2324s*VLOOKUP($A143,EnrollData2324,'2324 Jun 24 Enroll'!T$1,FALSE),2)-AE143</f>
        <v>40.430000000000064</v>
      </c>
      <c r="AG143" cm="1">
        <f t="array" ref="AG143">ROUND(($J143+$R143)*Apport_124X2324s,2)</f>
        <v>734.29</v>
      </c>
      <c r="AH143" s="69">
        <f t="shared" si="14"/>
        <v>68.700000000000045</v>
      </c>
      <c r="AI143" cm="1">
        <f t="array" ref="AI143">ROUND($Z143*Apport_124X2324s,2)</f>
        <v>218.54</v>
      </c>
      <c r="AJ143" cm="1">
        <f t="array" ref="AJ143">ROUND($Z143*Apport_621X2324s*Apport_125X2324s,2)-AI143</f>
        <v>116.51000000000002</v>
      </c>
      <c r="AK143" cm="1">
        <f t="array" ref="AK143">ROUND((AA143+AC143)*Apport_126X2324s,2)</f>
        <v>950.45</v>
      </c>
      <c r="AL143" cm="1">
        <f t="array" ref="AL143">ROUND((AB143+AD143)*Apport_127X2324s,2)</f>
        <v>33.92</v>
      </c>
      <c r="AM143" cm="1">
        <f t="array" ref="AM143">ROUND(AE143*Apport_128X2324s,2)</f>
        <v>241.06</v>
      </c>
      <c r="AN143" cm="1">
        <f t="array" ref="AN143">ROUND(AF143*Apport_129X2324s,2)</f>
        <v>7.5</v>
      </c>
      <c r="AO143" cm="1">
        <f t="array" ref="AO143">ROUND(($J143*CIS_Inc_Salary2324s*(VLOOKUP($A143,EnrollData2324,'2324 Jun 24 Enroll'!T$1,FALSE)+VLOOKUP($A143,EnrollData2324,'2324 Jun 24 Enroll'!U$1,FALSE))/Apport_613Xpd)*Apport_614Xpd,2)</f>
        <v>82.36</v>
      </c>
      <c r="AP143" cm="1">
        <f t="array" ref="AP143">ROUND(AO143*Apport_127X2324s,2)</f>
        <v>14.27</v>
      </c>
      <c r="AQ143">
        <f t="shared" si="15"/>
        <v>30.93</v>
      </c>
      <c r="AR143" s="6" cm="1">
        <f t="array" ref="AR143">ROUND((VLOOKUP($A143,EnrollData2324,'2324 Jun 24 Enroll'!D$1,FALSE)*Apport_M802324s+VLOOKUP($A143,EnrollData2324,'2324 Jun 24 Enroll'!M$1,FALSE)*Apport_M802324s+(VLOOKUP($A143,EnrollData2324,'2324 Jun 24 Enroll'!P$1,FALSE)+VLOOKUP($A143,EnrollData2324,'2324 Jun 24 Enroll'!Q$1,FALSE)+VLOOKUP($A143,EnrollData2324,'2324 Jun 24 Enroll'!R$1,FALSE)+VLOOKUP($A143,EnrollData2324,'2324 Jun 24 Enroll'!I$1,FALSE)+VLOOKUP($A143,EnrollData2324,'2324 Jun 24 Enroll'!N$1,FALSE)+VLOOKUP($A143,EnrollData2324,'2324 Jun 24 Enroll'!O$1,FALSE)+VLOOKUP($A143,EnrollData2324,'2324 Jun 24 Enroll'!K$1,FALSE)+VLOOKUP($A143,EnrollData2324,'2324 Jun 24 Enroll'!L$1,FALSE))*Apport_M812324s)/(VLOOKUP($A143,EnrollData2324,'2324 Jun 24 Enroll'!M$1,FALSE)+VLOOKUP($A143,EnrollData2324,'2324 Jun 24 Enroll'!D$1,FALSE)),2)</f>
        <v>1704.67</v>
      </c>
      <c r="AS143" s="7">
        <f t="shared" si="16"/>
        <v>10821.190000000002</v>
      </c>
    </row>
    <row r="144" spans="1:45">
      <c r="A144" s="40" t="s">
        <v>1091</v>
      </c>
      <c r="B144" s="40" t="s">
        <v>1092</v>
      </c>
      <c r="C144" s="11">
        <f>ROUND((IFERROR((1/IF(VLOOKUP($A144,EnrollData2324,28,FALSE)='District Calculations'!$D$10,VLOOKUP($A144,EnrollData2324,28,FALSE),'District Calculations'!$D$10))*(1+Apport_Z315),0))+Apport_201A2324s,6)</f>
        <v>7.3449E-2</v>
      </c>
      <c r="D144">
        <f>ROUND(IF(VLOOKUP($A144,EnrollData2324,'2324 Jun 24 Enroll'!D$1,FALSE)='District Calculations'!$D$11,VLOOKUP($A144,EnrollData2324,'2324 Jun 24 Enroll'!D$1,FALSE),'District Calculations'!$D$11)*C144,3)</f>
        <v>0</v>
      </c>
      <c r="E144">
        <f>ROUND(IF(VLOOKUP($A144,EnrollData2324,'2324 Jun 24 Enroll'!E$1,FALSE)='District Calculations'!$D$12,VLOOKUP($A144,EnrollData2324,'2324 Jun 24 Enroll'!E$1,FALSE),'District Calculations'!$D$12)*C144,3)</f>
        <v>59.53</v>
      </c>
      <c r="F144">
        <f>ROUND(IF(VLOOKUP($A144,EnrollData2324,'2324 Jun 24 Enroll'!F$1,FALSE)='District Calculations'!$D$13,VLOOKUP($A144,EnrollData2324,'2324 Jun 24 Enroll'!F$1,FALSE),'District Calculations'!$D$13)*Apport_222A2324s,3)</f>
        <v>10.101000000000001</v>
      </c>
      <c r="G144">
        <f>ROUND(IF(VLOOKUP($A144,EnrollData2324,'2324 Jun 24 Enroll'!G$1,FALSE)='District Calculations'!$D$14,VLOOKUP($A144,EnrollData2324,'2324 Jun 24 Enroll'!G$1,FALSE),'District Calculations'!$D$14)*Apport_210A2324s,3)</f>
        <v>22.395</v>
      </c>
      <c r="H144">
        <f>ROUND(IF(VLOOKUP($A144,EnrollData2324,'2324 Jun 24 Enroll'!H$1,FALSE)='District Calculations'!$D$15,VLOOKUP($A144,EnrollData2324,'2324 Jun 24 Enroll'!H$1,FALSE),'District Calculations'!$D$15)*Apport_213A2324s,3)</f>
        <v>23.091999999999999</v>
      </c>
      <c r="I144">
        <f>ROUND(IF(VLOOKUP($A144,EnrollData2324,'2324 Jun 24 Enroll'!I$1,FALSE)+VLOOKUP($A144,EnrollData2324,'2324 Jun 24 Enroll'!M$1,FALSE)-VLOOKUP($A144,EnrollData2324,'2324 Jun 24 Enroll'!J$1,FALSE)='District Calculations'!$D$16+'District Calculations'!$D$25-'District Calculations'!$D$17,VLOOKUP($A144,EnrollData2324,'2324 Jun 24 Enroll'!I$1,FALSE)+VLOOKUP($A144,EnrollData2324,'2324 Jun 24 Enroll'!M$1,FALSE)-VLOOKUP($A144,EnrollData2324,'2324 Jun 24 Enroll'!J$1,FALSE),'District Calculations'!$D$16+'District Calculations'!$D$25-'District Calculations'!$D$17)*Apport_216A2324s,3)</f>
        <v>58.183999999999997</v>
      </c>
      <c r="J144">
        <f>ROUND(SUM(D144:I144)/(IF(VLOOKUP($A144,EnrollData2324,'2324 Jun 24 Enroll'!M$1,FALSE)='District Calculations'!$D$25,VLOOKUP($A144,EnrollData2324,'2324 Jun 24 Enroll'!M$1,FALSE),'District Calculations'!$D$25)+IF(VLOOKUP($A144,EnrollData2324,'2324 Jun 24 Enroll'!D$1,FALSE)='District Calculations'!$D$11,VLOOKUP($A144,EnrollData2324,'2324 Jun 24 Enroll'!D$1,FALSE),'District Calculations'!$D$11)),5)</f>
        <v>5.5530000000000003E-2</v>
      </c>
      <c r="K144" s="11">
        <f t="shared" si="12"/>
        <v>4.3699999999999998E-3</v>
      </c>
      <c r="L144">
        <f>ROUND(IF(VLOOKUP($A144,EnrollData2324,'2324 Jun 24 Enroll'!D$1,FALSE)='District Calculations'!$D$11,VLOOKUP($A144,EnrollData2324,'2324 Jun 24 Enroll'!D$1,FALSE),'District Calculations'!$D$11)*K144,3)</f>
        <v>0</v>
      </c>
      <c r="M144">
        <f>ROUND(IF(VLOOKUP($A144,EnrollData2324,'2324 Jun 24 Enroll'!E$1,FALSE)='District Calculations'!$D$12,VLOOKUP($A144,EnrollData2324,'2324 Jun 24 Enroll'!E$1,FALSE),'District Calculations'!$D$12)*K144,3)</f>
        <v>3.5419999999999998</v>
      </c>
      <c r="N144">
        <f>ROUND(IF(VLOOKUP($A144,EnrollData2324,'2324 Jun 24 Enroll'!F$1,FALSE)='District Calculations'!$D$13,VLOOKUP($A144,EnrollData2324,'2324 Jun 24 Enroll'!F$1,FALSE),'District Calculations'!$D$13)*Apport_223A2324s,3)</f>
        <v>0.84299999999999997</v>
      </c>
      <c r="O144">
        <f>ROUND(IF(VLOOKUP($A144,EnrollData2324,'2324 Jun 24 Enroll'!G$1,FALSE)='District Calculations'!$D$14,VLOOKUP($A144,EnrollData2324,'2324 Jun 24 Enroll'!G$1,FALSE),'District Calculations'!$D$14)*Apport_211A2324s,3)</f>
        <v>1.87</v>
      </c>
      <c r="P144">
        <f>ROUND(IF(VLOOKUP($A144,EnrollData2324,'2324 Jun 24 Enroll'!H$1,FALSE)='District Calculations'!$D$14,VLOOKUP($A144,EnrollData2324,'2324 Jun 24 Enroll'!H$1,FALSE),'District Calculations'!$D$14)*Apport_214A2324s,3)</f>
        <v>1.8680000000000001</v>
      </c>
      <c r="Q144">
        <f>ROUND(IF(VLOOKUP($A144,EnrollData2324,'2324 Jun 24 Enroll'!I$1,FALSE)+VLOOKUP($A144,EnrollData2324,'2324 Jun 24 Enroll'!M$1,FALSE)-VLOOKUP($A144,EnrollData2324,'2324 Jun 24 Enroll'!J$1,FALSE)='District Calculations'!$D$16+'District Calculations'!$D$25-'District Calculations'!$D$17,VLOOKUP($A144,EnrollData2324,'2324 Jun 24 Enroll'!I$1,FALSE)+VLOOKUP($A144,EnrollData2324,'2324 Jun 24 Enroll'!M$1,FALSE)-VLOOKUP($A144,EnrollData2324,'2324 Jun 24 Enroll'!J$1,FALSE),'District Calculations'!$D$16+'District Calculations'!$D$25-'District Calculations'!$D$17)*Apport_217A2324s,3)</f>
        <v>4.702</v>
      </c>
      <c r="R144">
        <f>ROUND(SUM(L144:Q144)/IF(VLOOKUP($A144,EnrollData2324,'2324 Jun 24 Enroll'!M$1,FALSE)+VLOOKUP($A144,EnrollData2324,'2324 Jun 24 Enroll'!D$1,FALSE)='District Calculations'!$D$25+'District Calculations'!$D$11,VLOOKUP($A144,EnrollData2324,'2324 Jun 24 Enroll'!M$1,FALSE)+VLOOKUP($A144,EnrollData2324,'2324 Jun 24 Enroll'!D$1,FALSE),'District Calculations'!$D$25+'District Calculations'!$D$11),5)</f>
        <v>4.1099999999999999E-3</v>
      </c>
      <c r="S144" s="11">
        <f t="shared" si="13"/>
        <v>1.8689600000000001E-2</v>
      </c>
      <c r="T144">
        <f>ROUND(IF(VLOOKUP($A144,EnrollData2324,'2324 Jun 24 Enroll'!D$1,FALSE)='District Calculations'!$D$11,VLOOKUP($A144,EnrollData2324,'2324 Jun 24 Enroll'!D$1,FALSE),'District Calculations'!$D$11)*S144,3)</f>
        <v>0</v>
      </c>
      <c r="U144">
        <f>ROUND(IF(VLOOKUP($A144,EnrollData2324,'2324 Jun 24 Enroll'!E$1,FALSE)='District Calculations'!$D$12,VLOOKUP($A144,EnrollData2324,'2324 Jun 24 Enroll'!E$1,FALSE),'District Calculations'!$D$12)*S144,3)</f>
        <v>15.148</v>
      </c>
      <c r="V144">
        <f>ROUND(IF(VLOOKUP($A144,EnrollData2324,'2324 Jun 24 Enroll'!F$1,FALSE)='District Calculations'!$D$13,VLOOKUP($A144,EnrollData2324,'2324 Jun 24 Enroll'!F$1,FALSE),'District Calculations'!$D$13)*Apport_224A2324s,3)</f>
        <v>3.7029999999999998</v>
      </c>
      <c r="W144">
        <f>ROUND(IF(VLOOKUP($A144,EnrollData2324,'2324 Jun 24 Enroll'!G$1,FALSE)='District Calculations'!$D$14,VLOOKUP($A144,EnrollData2324,'2324 Jun 24 Enroll'!G$1,FALSE),'District Calculations'!$D$14)*Apport_212A2324s,3)</f>
        <v>8.2089999999999996</v>
      </c>
      <c r="X144">
        <f>ROUND(IF(VLOOKUP($A144,EnrollData2324,'2324 Jun 24 Enroll'!H$1,FALSE)='District Calculations'!$D$14,VLOOKUP($A144,EnrollData2324,'2324 Jun 24 Enroll'!H$1,FALSE),'District Calculations'!$D$14)*Apport_215A2324s,3)</f>
        <v>8.0969999999999995</v>
      </c>
      <c r="Y144">
        <f>ROUND(IF(VLOOKUP($A144,EnrollData2324,'2324 Jun 24 Enroll'!I$1,FALSE)+VLOOKUP($A144,EnrollData2324,'2324 Jun 24 Enroll'!M$1,FALSE)-VLOOKUP($A144,EnrollData2324,'2324 Jun 24 Enroll'!J$1,FALSE)='District Calculations'!$D$16+'District Calculations'!$D$25-'District Calculations'!$D$17,VLOOKUP($A144,EnrollData2324,'2324 Jun 24 Enroll'!I$1,FALSE)+VLOOKUP($A144,EnrollData2324,'2324 Jun 24 Enroll'!M$1,FALSE)-VLOOKUP($A144,EnrollData2324,'2324 Jun 24 Enroll'!J$1,FALSE),'District Calculations'!$D$16+'District Calculations'!$D$25-'District Calculations'!$D$17)*Apport_218A2324s,3)</f>
        <v>20.224</v>
      </c>
      <c r="Z144">
        <f>ROUND(SUM(T144:Y144)/IF(VLOOKUP($A144,EnrollData2324,'2324 Jun 24 Enroll'!M$1,FALSE)+VLOOKUP($A144,EnrollData2324,'2324 Jun 24 Enroll'!D$1,FALSE)='District Calculations'!$D$25+'District Calculations'!$D$11,VLOOKUP($A144,EnrollData2324,'2324 Jun 24 Enroll'!M$1,FALSE)+VLOOKUP($A144,EnrollData2324,'2324 Jun 24 Enroll'!D$1,FALSE),'District Calculations'!$D$25+'District Calculations'!$D$11),5)</f>
        <v>1.7749999999999998E-2</v>
      </c>
      <c r="AA144" s="6" cm="1">
        <f t="array" ref="AA144">ROUND($J144*CIS_Base_Salary2324s*VLOOKUP($A144,EnrollData2324,'2324 Jun 24 Enroll'!S$1,FALSE),2)</f>
        <v>4765.53</v>
      </c>
      <c r="AB144" s="6" cm="1">
        <f t="array" ref="AB144">ROUND($J144*CIS_Inc_Salary2324s*(VLOOKUP($A144,EnrollData2324,'2324 Jun 24 Enroll'!T$1,FALSE)+VLOOKUP($A144,EnrollData2324,'2324 Jun 24 Enroll'!U$1,FALSE)),2)-AA144</f>
        <v>176.32999999999993</v>
      </c>
      <c r="AC144" s="6" cm="1">
        <f t="array" ref="AC144">ROUND($R144*CAS_Base_Salary2324s*VLOOKUP($A144,EnrollData2324,'2324 Jun 24 Enroll'!S$1,FALSE),2)</f>
        <v>523.55999999999995</v>
      </c>
      <c r="AD144" s="6" cm="1">
        <f t="array" ref="AD144">ROUND($R144*CAS_Inc_Salary2324s*VLOOKUP($A144,EnrollData2324,'2324 Jun 24 Enroll'!T$1,FALSE),2)-AC144</f>
        <v>19.380000000000109</v>
      </c>
      <c r="AE144" s="6" cm="1">
        <f t="array" ref="AE144">ROUND($Z144*CLS_Base_Salary2324s*VLOOKUP($A144,EnrollData2324,'2324 Jun 24 Enroll'!S$1,FALSE),2)</f>
        <v>1092.76</v>
      </c>
      <c r="AF144" s="6" cm="1">
        <f t="array" ref="AF144">ROUND($Z144*CLS_Inc_Salary2324s*VLOOKUP($A144,EnrollData2324,'2324 Jun 24 Enroll'!T$1,FALSE),2)-AE144</f>
        <v>40.430000000000064</v>
      </c>
      <c r="AG144" cm="1">
        <f t="array" ref="AG144">ROUND(($J144+$R144)*Apport_124X2324s,2)</f>
        <v>734.29</v>
      </c>
      <c r="AH144" s="69">
        <f t="shared" si="14"/>
        <v>68.700000000000045</v>
      </c>
      <c r="AI144" cm="1">
        <f t="array" ref="AI144">ROUND($Z144*Apport_124X2324s,2)</f>
        <v>218.54</v>
      </c>
      <c r="AJ144" cm="1">
        <f t="array" ref="AJ144">ROUND($Z144*Apport_621X2324s*Apport_125X2324s,2)-AI144</f>
        <v>116.51000000000002</v>
      </c>
      <c r="AK144" cm="1">
        <f t="array" ref="AK144">ROUND((AA144+AC144)*Apport_126X2324s,2)</f>
        <v>950.45</v>
      </c>
      <c r="AL144" cm="1">
        <f t="array" ref="AL144">ROUND((AB144+AD144)*Apport_127X2324s,2)</f>
        <v>33.92</v>
      </c>
      <c r="AM144" cm="1">
        <f t="array" ref="AM144">ROUND(AE144*Apport_128X2324s,2)</f>
        <v>241.06</v>
      </c>
      <c r="AN144" cm="1">
        <f t="array" ref="AN144">ROUND(AF144*Apport_129X2324s,2)</f>
        <v>7.5</v>
      </c>
      <c r="AO144" cm="1">
        <f t="array" ref="AO144">ROUND(($J144*CIS_Inc_Salary2324s*(VLOOKUP($A144,EnrollData2324,'2324 Jun 24 Enroll'!T$1,FALSE)+VLOOKUP($A144,EnrollData2324,'2324 Jun 24 Enroll'!U$1,FALSE))/Apport_613Xpd)*Apport_614Xpd,2)</f>
        <v>82.36</v>
      </c>
      <c r="AP144" cm="1">
        <f t="array" ref="AP144">ROUND(AO144*Apport_127X2324s,2)</f>
        <v>14.27</v>
      </c>
      <c r="AQ144">
        <f t="shared" si="15"/>
        <v>30.93</v>
      </c>
      <c r="AR144" s="6" cm="1">
        <f t="array" ref="AR144">ROUND((VLOOKUP($A144,EnrollData2324,'2324 Jun 24 Enroll'!D$1,FALSE)*Apport_M802324s+VLOOKUP($A144,EnrollData2324,'2324 Jun 24 Enroll'!M$1,FALSE)*Apport_M802324s+(VLOOKUP($A144,EnrollData2324,'2324 Jun 24 Enroll'!P$1,FALSE)+VLOOKUP($A144,EnrollData2324,'2324 Jun 24 Enroll'!Q$1,FALSE)+VLOOKUP($A144,EnrollData2324,'2324 Jun 24 Enroll'!R$1,FALSE)+VLOOKUP($A144,EnrollData2324,'2324 Jun 24 Enroll'!I$1,FALSE)+VLOOKUP($A144,EnrollData2324,'2324 Jun 24 Enroll'!N$1,FALSE)+VLOOKUP($A144,EnrollData2324,'2324 Jun 24 Enroll'!O$1,FALSE)+VLOOKUP($A144,EnrollData2324,'2324 Jun 24 Enroll'!K$1,FALSE)+VLOOKUP($A144,EnrollData2324,'2324 Jun 24 Enroll'!L$1,FALSE))*Apport_M812324s)/(VLOOKUP($A144,EnrollData2324,'2324 Jun 24 Enroll'!M$1,FALSE)+VLOOKUP($A144,EnrollData2324,'2324 Jun 24 Enroll'!D$1,FALSE)),2)</f>
        <v>1504.44</v>
      </c>
      <c r="AS144" s="7">
        <f t="shared" si="16"/>
        <v>10620.960000000003</v>
      </c>
    </row>
    <row r="145" spans="1:45">
      <c r="A145" s="40" t="s">
        <v>347</v>
      </c>
      <c r="B145" s="40" t="s">
        <v>348</v>
      </c>
      <c r="C145" s="11">
        <f>ROUND((IFERROR((1/IF(VLOOKUP($A145,EnrollData2324,28,FALSE)='District Calculations'!$D$10,VLOOKUP($A145,EnrollData2324,28,FALSE),'District Calculations'!$D$10))*(1+Apport_Z315),0))+Apport_201A2324s,6)</f>
        <v>7.3449E-2</v>
      </c>
      <c r="D145">
        <f>ROUND(IF(VLOOKUP($A145,EnrollData2324,'2324 Jun 24 Enroll'!D$1,FALSE)='District Calculations'!$D$11,VLOOKUP($A145,EnrollData2324,'2324 Jun 24 Enroll'!D$1,FALSE),'District Calculations'!$D$11)*C145,3)</f>
        <v>0</v>
      </c>
      <c r="E145">
        <f>ROUND(IF(VLOOKUP($A145,EnrollData2324,'2324 Jun 24 Enroll'!E$1,FALSE)='District Calculations'!$D$12,VLOOKUP($A145,EnrollData2324,'2324 Jun 24 Enroll'!E$1,FALSE),'District Calculations'!$D$12)*C145,3)</f>
        <v>59.53</v>
      </c>
      <c r="F145">
        <f>ROUND(IF(VLOOKUP($A145,EnrollData2324,'2324 Jun 24 Enroll'!F$1,FALSE)='District Calculations'!$D$13,VLOOKUP($A145,EnrollData2324,'2324 Jun 24 Enroll'!F$1,FALSE),'District Calculations'!$D$13)*Apport_222A2324s,3)</f>
        <v>10.101000000000001</v>
      </c>
      <c r="G145">
        <f>ROUND(IF(VLOOKUP($A145,EnrollData2324,'2324 Jun 24 Enroll'!G$1,FALSE)='District Calculations'!$D$14,VLOOKUP($A145,EnrollData2324,'2324 Jun 24 Enroll'!G$1,FALSE),'District Calculations'!$D$14)*Apport_210A2324s,3)</f>
        <v>22.395</v>
      </c>
      <c r="H145">
        <f>ROUND(IF(VLOOKUP($A145,EnrollData2324,'2324 Jun 24 Enroll'!H$1,FALSE)='District Calculations'!$D$15,VLOOKUP($A145,EnrollData2324,'2324 Jun 24 Enroll'!H$1,FALSE),'District Calculations'!$D$15)*Apport_213A2324s,3)</f>
        <v>23.091999999999999</v>
      </c>
      <c r="I145">
        <f>ROUND(IF(VLOOKUP($A145,EnrollData2324,'2324 Jun 24 Enroll'!I$1,FALSE)+VLOOKUP($A145,EnrollData2324,'2324 Jun 24 Enroll'!M$1,FALSE)-VLOOKUP($A145,EnrollData2324,'2324 Jun 24 Enroll'!J$1,FALSE)='District Calculations'!$D$16+'District Calculations'!$D$25-'District Calculations'!$D$17,VLOOKUP($A145,EnrollData2324,'2324 Jun 24 Enroll'!I$1,FALSE)+VLOOKUP($A145,EnrollData2324,'2324 Jun 24 Enroll'!M$1,FALSE)-VLOOKUP($A145,EnrollData2324,'2324 Jun 24 Enroll'!J$1,FALSE),'District Calculations'!$D$16+'District Calculations'!$D$25-'District Calculations'!$D$17)*Apport_216A2324s,3)</f>
        <v>58.183999999999997</v>
      </c>
      <c r="J145">
        <f>ROUND(SUM(D145:I145)/(IF(VLOOKUP($A145,EnrollData2324,'2324 Jun 24 Enroll'!M$1,FALSE)='District Calculations'!$D$25,VLOOKUP($A145,EnrollData2324,'2324 Jun 24 Enroll'!M$1,FALSE),'District Calculations'!$D$25)+IF(VLOOKUP($A145,EnrollData2324,'2324 Jun 24 Enroll'!D$1,FALSE)='District Calculations'!$D$11,VLOOKUP($A145,EnrollData2324,'2324 Jun 24 Enroll'!D$1,FALSE),'District Calculations'!$D$11)),5)</f>
        <v>5.5530000000000003E-2</v>
      </c>
      <c r="K145" s="11">
        <f t="shared" si="12"/>
        <v>4.3699999999999998E-3</v>
      </c>
      <c r="L145">
        <f>ROUND(IF(VLOOKUP($A145,EnrollData2324,'2324 Jun 24 Enroll'!D$1,FALSE)='District Calculations'!$D$11,VLOOKUP($A145,EnrollData2324,'2324 Jun 24 Enroll'!D$1,FALSE),'District Calculations'!$D$11)*K145,3)</f>
        <v>0</v>
      </c>
      <c r="M145">
        <f>ROUND(IF(VLOOKUP($A145,EnrollData2324,'2324 Jun 24 Enroll'!E$1,FALSE)='District Calculations'!$D$12,VLOOKUP($A145,EnrollData2324,'2324 Jun 24 Enroll'!E$1,FALSE),'District Calculations'!$D$12)*K145,3)</f>
        <v>3.5419999999999998</v>
      </c>
      <c r="N145">
        <f>ROUND(IF(VLOOKUP($A145,EnrollData2324,'2324 Jun 24 Enroll'!F$1,FALSE)='District Calculations'!$D$13,VLOOKUP($A145,EnrollData2324,'2324 Jun 24 Enroll'!F$1,FALSE),'District Calculations'!$D$13)*Apport_223A2324s,3)</f>
        <v>0.84299999999999997</v>
      </c>
      <c r="O145">
        <f>ROUND(IF(VLOOKUP($A145,EnrollData2324,'2324 Jun 24 Enroll'!G$1,FALSE)='District Calculations'!$D$14,VLOOKUP($A145,EnrollData2324,'2324 Jun 24 Enroll'!G$1,FALSE),'District Calculations'!$D$14)*Apport_211A2324s,3)</f>
        <v>1.87</v>
      </c>
      <c r="P145">
        <f>ROUND(IF(VLOOKUP($A145,EnrollData2324,'2324 Jun 24 Enroll'!H$1,FALSE)='District Calculations'!$D$14,VLOOKUP($A145,EnrollData2324,'2324 Jun 24 Enroll'!H$1,FALSE),'District Calculations'!$D$14)*Apport_214A2324s,3)</f>
        <v>1.8680000000000001</v>
      </c>
      <c r="Q145">
        <f>ROUND(IF(VLOOKUP($A145,EnrollData2324,'2324 Jun 24 Enroll'!I$1,FALSE)+VLOOKUP($A145,EnrollData2324,'2324 Jun 24 Enroll'!M$1,FALSE)-VLOOKUP($A145,EnrollData2324,'2324 Jun 24 Enroll'!J$1,FALSE)='District Calculations'!$D$16+'District Calculations'!$D$25-'District Calculations'!$D$17,VLOOKUP($A145,EnrollData2324,'2324 Jun 24 Enroll'!I$1,FALSE)+VLOOKUP($A145,EnrollData2324,'2324 Jun 24 Enroll'!M$1,FALSE)-VLOOKUP($A145,EnrollData2324,'2324 Jun 24 Enroll'!J$1,FALSE),'District Calculations'!$D$16+'District Calculations'!$D$25-'District Calculations'!$D$17)*Apport_217A2324s,3)</f>
        <v>4.702</v>
      </c>
      <c r="R145">
        <f>ROUND(SUM(L145:Q145)/IF(VLOOKUP($A145,EnrollData2324,'2324 Jun 24 Enroll'!M$1,FALSE)+VLOOKUP($A145,EnrollData2324,'2324 Jun 24 Enroll'!D$1,FALSE)='District Calculations'!$D$25+'District Calculations'!$D$11,VLOOKUP($A145,EnrollData2324,'2324 Jun 24 Enroll'!M$1,FALSE)+VLOOKUP($A145,EnrollData2324,'2324 Jun 24 Enroll'!D$1,FALSE),'District Calculations'!$D$25+'District Calculations'!$D$11),5)</f>
        <v>4.1099999999999999E-3</v>
      </c>
      <c r="S145" s="11">
        <f t="shared" si="13"/>
        <v>1.8689600000000001E-2</v>
      </c>
      <c r="T145">
        <f>ROUND(IF(VLOOKUP($A145,EnrollData2324,'2324 Jun 24 Enroll'!D$1,FALSE)='District Calculations'!$D$11,VLOOKUP($A145,EnrollData2324,'2324 Jun 24 Enroll'!D$1,FALSE),'District Calculations'!$D$11)*S145,3)</f>
        <v>0</v>
      </c>
      <c r="U145">
        <f>ROUND(IF(VLOOKUP($A145,EnrollData2324,'2324 Jun 24 Enroll'!E$1,FALSE)='District Calculations'!$D$12,VLOOKUP($A145,EnrollData2324,'2324 Jun 24 Enroll'!E$1,FALSE),'District Calculations'!$D$12)*S145,3)</f>
        <v>15.148</v>
      </c>
      <c r="V145">
        <f>ROUND(IF(VLOOKUP($A145,EnrollData2324,'2324 Jun 24 Enroll'!F$1,FALSE)='District Calculations'!$D$13,VLOOKUP($A145,EnrollData2324,'2324 Jun 24 Enroll'!F$1,FALSE),'District Calculations'!$D$13)*Apport_224A2324s,3)</f>
        <v>3.7029999999999998</v>
      </c>
      <c r="W145">
        <f>ROUND(IF(VLOOKUP($A145,EnrollData2324,'2324 Jun 24 Enroll'!G$1,FALSE)='District Calculations'!$D$14,VLOOKUP($A145,EnrollData2324,'2324 Jun 24 Enroll'!G$1,FALSE),'District Calculations'!$D$14)*Apport_212A2324s,3)</f>
        <v>8.2089999999999996</v>
      </c>
      <c r="X145">
        <f>ROUND(IF(VLOOKUP($A145,EnrollData2324,'2324 Jun 24 Enroll'!H$1,FALSE)='District Calculations'!$D$14,VLOOKUP($A145,EnrollData2324,'2324 Jun 24 Enroll'!H$1,FALSE),'District Calculations'!$D$14)*Apport_215A2324s,3)</f>
        <v>8.0969999999999995</v>
      </c>
      <c r="Y145">
        <f>ROUND(IF(VLOOKUP($A145,EnrollData2324,'2324 Jun 24 Enroll'!I$1,FALSE)+VLOOKUP($A145,EnrollData2324,'2324 Jun 24 Enroll'!M$1,FALSE)-VLOOKUP($A145,EnrollData2324,'2324 Jun 24 Enroll'!J$1,FALSE)='District Calculations'!$D$16+'District Calculations'!$D$25-'District Calculations'!$D$17,VLOOKUP($A145,EnrollData2324,'2324 Jun 24 Enroll'!I$1,FALSE)+VLOOKUP($A145,EnrollData2324,'2324 Jun 24 Enroll'!M$1,FALSE)-VLOOKUP($A145,EnrollData2324,'2324 Jun 24 Enroll'!J$1,FALSE),'District Calculations'!$D$16+'District Calculations'!$D$25-'District Calculations'!$D$17)*Apport_218A2324s,3)</f>
        <v>20.224</v>
      </c>
      <c r="Z145">
        <f>ROUND(SUM(T145:Y145)/IF(VLOOKUP($A145,EnrollData2324,'2324 Jun 24 Enroll'!M$1,FALSE)+VLOOKUP($A145,EnrollData2324,'2324 Jun 24 Enroll'!D$1,FALSE)='District Calculations'!$D$25+'District Calculations'!$D$11,VLOOKUP($A145,EnrollData2324,'2324 Jun 24 Enroll'!M$1,FALSE)+VLOOKUP($A145,EnrollData2324,'2324 Jun 24 Enroll'!D$1,FALSE),'District Calculations'!$D$25+'District Calculations'!$D$11),5)</f>
        <v>1.7749999999999998E-2</v>
      </c>
      <c r="AA145" s="6" cm="1">
        <f t="array" ref="AA145">ROUND($J145*CIS_Base_Salary2324s*VLOOKUP($A145,EnrollData2324,'2324 Jun 24 Enroll'!S$1,FALSE),2)</f>
        <v>4765.53</v>
      </c>
      <c r="AB145" s="6" cm="1">
        <f t="array" ref="AB145">ROUND($J145*CIS_Inc_Salary2324s*(VLOOKUP($A145,EnrollData2324,'2324 Jun 24 Enroll'!T$1,FALSE)+VLOOKUP($A145,EnrollData2324,'2324 Jun 24 Enroll'!U$1,FALSE)),2)-AA145</f>
        <v>176.32999999999993</v>
      </c>
      <c r="AC145" s="6" cm="1">
        <f t="array" ref="AC145">ROUND($R145*CAS_Base_Salary2324s*VLOOKUP($A145,EnrollData2324,'2324 Jun 24 Enroll'!S$1,FALSE),2)</f>
        <v>523.55999999999995</v>
      </c>
      <c r="AD145" s="6" cm="1">
        <f t="array" ref="AD145">ROUND($R145*CAS_Inc_Salary2324s*VLOOKUP($A145,EnrollData2324,'2324 Jun 24 Enroll'!T$1,FALSE),2)-AC145</f>
        <v>19.380000000000109</v>
      </c>
      <c r="AE145" s="6" cm="1">
        <f t="array" ref="AE145">ROUND($Z145*CLS_Base_Salary2324s*VLOOKUP($A145,EnrollData2324,'2324 Jun 24 Enroll'!S$1,FALSE),2)</f>
        <v>1092.76</v>
      </c>
      <c r="AF145" s="6" cm="1">
        <f t="array" ref="AF145">ROUND($Z145*CLS_Inc_Salary2324s*VLOOKUP($A145,EnrollData2324,'2324 Jun 24 Enroll'!T$1,FALSE),2)-AE145</f>
        <v>40.430000000000064</v>
      </c>
      <c r="AG145" cm="1">
        <f t="array" ref="AG145">ROUND(($J145+$R145)*Apport_124X2324s,2)</f>
        <v>734.29</v>
      </c>
      <c r="AH145" s="69">
        <f t="shared" si="14"/>
        <v>68.700000000000045</v>
      </c>
      <c r="AI145" cm="1">
        <f t="array" ref="AI145">ROUND($Z145*Apport_124X2324s,2)</f>
        <v>218.54</v>
      </c>
      <c r="AJ145" cm="1">
        <f t="array" ref="AJ145">ROUND($Z145*Apport_621X2324s*Apport_125X2324s,2)-AI145</f>
        <v>116.51000000000002</v>
      </c>
      <c r="AK145" cm="1">
        <f t="array" ref="AK145">ROUND((AA145+AC145)*Apport_126X2324s,2)</f>
        <v>950.45</v>
      </c>
      <c r="AL145" cm="1">
        <f t="array" ref="AL145">ROUND((AB145+AD145)*Apport_127X2324s,2)</f>
        <v>33.92</v>
      </c>
      <c r="AM145" cm="1">
        <f t="array" ref="AM145">ROUND(AE145*Apport_128X2324s,2)</f>
        <v>241.06</v>
      </c>
      <c r="AN145" cm="1">
        <f t="array" ref="AN145">ROUND(AF145*Apport_129X2324s,2)</f>
        <v>7.5</v>
      </c>
      <c r="AO145" cm="1">
        <f t="array" ref="AO145">ROUND(($J145*CIS_Inc_Salary2324s*(VLOOKUP($A145,EnrollData2324,'2324 Jun 24 Enroll'!T$1,FALSE)+VLOOKUP($A145,EnrollData2324,'2324 Jun 24 Enroll'!U$1,FALSE))/Apport_613Xpd)*Apport_614Xpd,2)</f>
        <v>82.36</v>
      </c>
      <c r="AP145" cm="1">
        <f t="array" ref="AP145">ROUND(AO145*Apport_127X2324s,2)</f>
        <v>14.27</v>
      </c>
      <c r="AQ145">
        <f t="shared" si="15"/>
        <v>30.93</v>
      </c>
      <c r="AR145" s="6" cm="1">
        <f t="array" ref="AR145">ROUND((VLOOKUP($A145,EnrollData2324,'2324 Jun 24 Enroll'!D$1,FALSE)*Apport_M802324s+VLOOKUP($A145,EnrollData2324,'2324 Jun 24 Enroll'!M$1,FALSE)*Apport_M802324s+(VLOOKUP($A145,EnrollData2324,'2324 Jun 24 Enroll'!P$1,FALSE)+VLOOKUP($A145,EnrollData2324,'2324 Jun 24 Enroll'!Q$1,FALSE)+VLOOKUP($A145,EnrollData2324,'2324 Jun 24 Enroll'!R$1,FALSE)+VLOOKUP($A145,EnrollData2324,'2324 Jun 24 Enroll'!I$1,FALSE)+VLOOKUP($A145,EnrollData2324,'2324 Jun 24 Enroll'!N$1,FALSE)+VLOOKUP($A145,EnrollData2324,'2324 Jun 24 Enroll'!O$1,FALSE)+VLOOKUP($A145,EnrollData2324,'2324 Jun 24 Enroll'!K$1,FALSE)+VLOOKUP($A145,EnrollData2324,'2324 Jun 24 Enroll'!L$1,FALSE))*Apport_M812324s)/(VLOOKUP($A145,EnrollData2324,'2324 Jun 24 Enroll'!M$1,FALSE)+VLOOKUP($A145,EnrollData2324,'2324 Jun 24 Enroll'!D$1,FALSE)),2)</f>
        <v>1577.94</v>
      </c>
      <c r="AS145" s="7">
        <f t="shared" si="16"/>
        <v>10694.460000000003</v>
      </c>
    </row>
    <row r="146" spans="1:45">
      <c r="A146" s="40" t="s">
        <v>329</v>
      </c>
      <c r="B146" s="40" t="s">
        <v>330</v>
      </c>
      <c r="C146" s="11">
        <f>ROUND((IFERROR((1/IF(VLOOKUP($A146,EnrollData2324,28,FALSE)='District Calculations'!$D$10,VLOOKUP($A146,EnrollData2324,28,FALSE),'District Calculations'!$D$10))*(1+Apport_Z315),0))+Apport_201A2324s,6)</f>
        <v>7.3449E-2</v>
      </c>
      <c r="D146">
        <f>ROUND(IF(VLOOKUP($A146,EnrollData2324,'2324 Jun 24 Enroll'!D$1,FALSE)='District Calculations'!$D$11,VLOOKUP($A146,EnrollData2324,'2324 Jun 24 Enroll'!D$1,FALSE),'District Calculations'!$D$11)*C146,3)</f>
        <v>0</v>
      </c>
      <c r="E146">
        <f>ROUND(IF(VLOOKUP($A146,EnrollData2324,'2324 Jun 24 Enroll'!E$1,FALSE)='District Calculations'!$D$12,VLOOKUP($A146,EnrollData2324,'2324 Jun 24 Enroll'!E$1,FALSE),'District Calculations'!$D$12)*C146,3)</f>
        <v>59.53</v>
      </c>
      <c r="F146">
        <f>ROUND(IF(VLOOKUP($A146,EnrollData2324,'2324 Jun 24 Enroll'!F$1,FALSE)='District Calculations'!$D$13,VLOOKUP($A146,EnrollData2324,'2324 Jun 24 Enroll'!F$1,FALSE),'District Calculations'!$D$13)*Apport_222A2324s,3)</f>
        <v>10.101000000000001</v>
      </c>
      <c r="G146">
        <f>ROUND(IF(VLOOKUP($A146,EnrollData2324,'2324 Jun 24 Enroll'!G$1,FALSE)='District Calculations'!$D$14,VLOOKUP($A146,EnrollData2324,'2324 Jun 24 Enroll'!G$1,FALSE),'District Calculations'!$D$14)*Apport_210A2324s,3)</f>
        <v>22.395</v>
      </c>
      <c r="H146">
        <f>ROUND(IF(VLOOKUP($A146,EnrollData2324,'2324 Jun 24 Enroll'!H$1,FALSE)='District Calculations'!$D$15,VLOOKUP($A146,EnrollData2324,'2324 Jun 24 Enroll'!H$1,FALSE),'District Calculations'!$D$15)*Apport_213A2324s,3)</f>
        <v>23.091999999999999</v>
      </c>
      <c r="I146">
        <f>ROUND(IF(VLOOKUP($A146,EnrollData2324,'2324 Jun 24 Enroll'!I$1,FALSE)+VLOOKUP($A146,EnrollData2324,'2324 Jun 24 Enroll'!M$1,FALSE)-VLOOKUP($A146,EnrollData2324,'2324 Jun 24 Enroll'!J$1,FALSE)='District Calculations'!$D$16+'District Calculations'!$D$25-'District Calculations'!$D$17,VLOOKUP($A146,EnrollData2324,'2324 Jun 24 Enroll'!I$1,FALSE)+VLOOKUP($A146,EnrollData2324,'2324 Jun 24 Enroll'!M$1,FALSE)-VLOOKUP($A146,EnrollData2324,'2324 Jun 24 Enroll'!J$1,FALSE),'District Calculations'!$D$16+'District Calculations'!$D$25-'District Calculations'!$D$17)*Apport_216A2324s,3)</f>
        <v>58.183999999999997</v>
      </c>
      <c r="J146">
        <f>ROUND(SUM(D146:I146)/(IF(VLOOKUP($A146,EnrollData2324,'2324 Jun 24 Enroll'!M$1,FALSE)='District Calculations'!$D$25,VLOOKUP($A146,EnrollData2324,'2324 Jun 24 Enroll'!M$1,FALSE),'District Calculations'!$D$25)+IF(VLOOKUP($A146,EnrollData2324,'2324 Jun 24 Enroll'!D$1,FALSE)='District Calculations'!$D$11,VLOOKUP($A146,EnrollData2324,'2324 Jun 24 Enroll'!D$1,FALSE),'District Calculations'!$D$11)),5)</f>
        <v>5.5530000000000003E-2</v>
      </c>
      <c r="K146" s="11">
        <f t="shared" si="12"/>
        <v>4.3699999999999998E-3</v>
      </c>
      <c r="L146">
        <f>ROUND(IF(VLOOKUP($A146,EnrollData2324,'2324 Jun 24 Enroll'!D$1,FALSE)='District Calculations'!$D$11,VLOOKUP($A146,EnrollData2324,'2324 Jun 24 Enroll'!D$1,FALSE),'District Calculations'!$D$11)*K146,3)</f>
        <v>0</v>
      </c>
      <c r="M146">
        <f>ROUND(IF(VLOOKUP($A146,EnrollData2324,'2324 Jun 24 Enroll'!E$1,FALSE)='District Calculations'!$D$12,VLOOKUP($A146,EnrollData2324,'2324 Jun 24 Enroll'!E$1,FALSE),'District Calculations'!$D$12)*K146,3)</f>
        <v>3.5419999999999998</v>
      </c>
      <c r="N146">
        <f>ROUND(IF(VLOOKUP($A146,EnrollData2324,'2324 Jun 24 Enroll'!F$1,FALSE)='District Calculations'!$D$13,VLOOKUP($A146,EnrollData2324,'2324 Jun 24 Enroll'!F$1,FALSE),'District Calculations'!$D$13)*Apport_223A2324s,3)</f>
        <v>0.84299999999999997</v>
      </c>
      <c r="O146">
        <f>ROUND(IF(VLOOKUP($A146,EnrollData2324,'2324 Jun 24 Enroll'!G$1,FALSE)='District Calculations'!$D$14,VLOOKUP($A146,EnrollData2324,'2324 Jun 24 Enroll'!G$1,FALSE),'District Calculations'!$D$14)*Apport_211A2324s,3)</f>
        <v>1.87</v>
      </c>
      <c r="P146">
        <f>ROUND(IF(VLOOKUP($A146,EnrollData2324,'2324 Jun 24 Enroll'!H$1,FALSE)='District Calculations'!$D$14,VLOOKUP($A146,EnrollData2324,'2324 Jun 24 Enroll'!H$1,FALSE),'District Calculations'!$D$14)*Apport_214A2324s,3)</f>
        <v>1.8680000000000001</v>
      </c>
      <c r="Q146">
        <f>ROUND(IF(VLOOKUP($A146,EnrollData2324,'2324 Jun 24 Enroll'!I$1,FALSE)+VLOOKUP($A146,EnrollData2324,'2324 Jun 24 Enroll'!M$1,FALSE)-VLOOKUP($A146,EnrollData2324,'2324 Jun 24 Enroll'!J$1,FALSE)='District Calculations'!$D$16+'District Calculations'!$D$25-'District Calculations'!$D$17,VLOOKUP($A146,EnrollData2324,'2324 Jun 24 Enroll'!I$1,FALSE)+VLOOKUP($A146,EnrollData2324,'2324 Jun 24 Enroll'!M$1,FALSE)-VLOOKUP($A146,EnrollData2324,'2324 Jun 24 Enroll'!J$1,FALSE),'District Calculations'!$D$16+'District Calculations'!$D$25-'District Calculations'!$D$17)*Apport_217A2324s,3)</f>
        <v>4.702</v>
      </c>
      <c r="R146">
        <f>ROUND(SUM(L146:Q146)/IF(VLOOKUP($A146,EnrollData2324,'2324 Jun 24 Enroll'!M$1,FALSE)+VLOOKUP($A146,EnrollData2324,'2324 Jun 24 Enroll'!D$1,FALSE)='District Calculations'!$D$25+'District Calculations'!$D$11,VLOOKUP($A146,EnrollData2324,'2324 Jun 24 Enroll'!M$1,FALSE)+VLOOKUP($A146,EnrollData2324,'2324 Jun 24 Enroll'!D$1,FALSE),'District Calculations'!$D$25+'District Calculations'!$D$11),5)</f>
        <v>4.1099999999999999E-3</v>
      </c>
      <c r="S146" s="11">
        <f t="shared" si="13"/>
        <v>1.8689600000000001E-2</v>
      </c>
      <c r="T146">
        <f>ROUND(IF(VLOOKUP($A146,EnrollData2324,'2324 Jun 24 Enroll'!D$1,FALSE)='District Calculations'!$D$11,VLOOKUP($A146,EnrollData2324,'2324 Jun 24 Enroll'!D$1,FALSE),'District Calculations'!$D$11)*S146,3)</f>
        <v>0</v>
      </c>
      <c r="U146">
        <f>ROUND(IF(VLOOKUP($A146,EnrollData2324,'2324 Jun 24 Enroll'!E$1,FALSE)='District Calculations'!$D$12,VLOOKUP($A146,EnrollData2324,'2324 Jun 24 Enroll'!E$1,FALSE),'District Calculations'!$D$12)*S146,3)</f>
        <v>15.148</v>
      </c>
      <c r="V146">
        <f>ROUND(IF(VLOOKUP($A146,EnrollData2324,'2324 Jun 24 Enroll'!F$1,FALSE)='District Calculations'!$D$13,VLOOKUP($A146,EnrollData2324,'2324 Jun 24 Enroll'!F$1,FALSE),'District Calculations'!$D$13)*Apport_224A2324s,3)</f>
        <v>3.7029999999999998</v>
      </c>
      <c r="W146">
        <f>ROUND(IF(VLOOKUP($A146,EnrollData2324,'2324 Jun 24 Enroll'!G$1,FALSE)='District Calculations'!$D$14,VLOOKUP($A146,EnrollData2324,'2324 Jun 24 Enroll'!G$1,FALSE),'District Calculations'!$D$14)*Apport_212A2324s,3)</f>
        <v>8.2089999999999996</v>
      </c>
      <c r="X146">
        <f>ROUND(IF(VLOOKUP($A146,EnrollData2324,'2324 Jun 24 Enroll'!H$1,FALSE)='District Calculations'!$D$14,VLOOKUP($A146,EnrollData2324,'2324 Jun 24 Enroll'!H$1,FALSE),'District Calculations'!$D$14)*Apport_215A2324s,3)</f>
        <v>8.0969999999999995</v>
      </c>
      <c r="Y146">
        <f>ROUND(IF(VLOOKUP($A146,EnrollData2324,'2324 Jun 24 Enroll'!I$1,FALSE)+VLOOKUP($A146,EnrollData2324,'2324 Jun 24 Enroll'!M$1,FALSE)-VLOOKUP($A146,EnrollData2324,'2324 Jun 24 Enroll'!J$1,FALSE)='District Calculations'!$D$16+'District Calculations'!$D$25-'District Calculations'!$D$17,VLOOKUP($A146,EnrollData2324,'2324 Jun 24 Enroll'!I$1,FALSE)+VLOOKUP($A146,EnrollData2324,'2324 Jun 24 Enroll'!M$1,FALSE)-VLOOKUP($A146,EnrollData2324,'2324 Jun 24 Enroll'!J$1,FALSE),'District Calculations'!$D$16+'District Calculations'!$D$25-'District Calculations'!$D$17)*Apport_218A2324s,3)</f>
        <v>20.224</v>
      </c>
      <c r="Z146">
        <f>ROUND(SUM(T146:Y146)/IF(VLOOKUP($A146,EnrollData2324,'2324 Jun 24 Enroll'!M$1,FALSE)+VLOOKUP($A146,EnrollData2324,'2324 Jun 24 Enroll'!D$1,FALSE)='District Calculations'!$D$25+'District Calculations'!$D$11,VLOOKUP($A146,EnrollData2324,'2324 Jun 24 Enroll'!M$1,FALSE)+VLOOKUP($A146,EnrollData2324,'2324 Jun 24 Enroll'!D$1,FALSE),'District Calculations'!$D$25+'District Calculations'!$D$11),5)</f>
        <v>1.7749999999999998E-2</v>
      </c>
      <c r="AA146" s="6" cm="1">
        <f t="array" ref="AA146">ROUND($J146*CIS_Base_Salary2324s*VLOOKUP($A146,EnrollData2324,'2324 Jun 24 Enroll'!S$1,FALSE),2)</f>
        <v>4765.53</v>
      </c>
      <c r="AB146" s="6" cm="1">
        <f t="array" ref="AB146">ROUND($J146*CIS_Inc_Salary2324s*(VLOOKUP($A146,EnrollData2324,'2324 Jun 24 Enroll'!T$1,FALSE)+VLOOKUP($A146,EnrollData2324,'2324 Jun 24 Enroll'!U$1,FALSE)),2)-AA146</f>
        <v>343.85000000000036</v>
      </c>
      <c r="AC146" s="6" cm="1">
        <f t="array" ref="AC146">ROUND($R146*CAS_Base_Salary2324s*VLOOKUP($A146,EnrollData2324,'2324 Jun 24 Enroll'!S$1,FALSE),2)</f>
        <v>523.55999999999995</v>
      </c>
      <c r="AD146" s="6" cm="1">
        <f t="array" ref="AD146">ROUND($R146*CAS_Inc_Salary2324s*VLOOKUP($A146,EnrollData2324,'2324 Jun 24 Enroll'!T$1,FALSE),2)-AC146</f>
        <v>19.380000000000109</v>
      </c>
      <c r="AE146" s="6" cm="1">
        <f t="array" ref="AE146">ROUND($Z146*CLS_Base_Salary2324s*VLOOKUP($A146,EnrollData2324,'2324 Jun 24 Enroll'!S$1,FALSE),2)</f>
        <v>1092.76</v>
      </c>
      <c r="AF146" s="6" cm="1">
        <f t="array" ref="AF146">ROUND($Z146*CLS_Inc_Salary2324s*VLOOKUP($A146,EnrollData2324,'2324 Jun 24 Enroll'!T$1,FALSE),2)-AE146</f>
        <v>40.430000000000064</v>
      </c>
      <c r="AG146" cm="1">
        <f t="array" ref="AG146">ROUND(($J146+$R146)*Apport_124X2324s,2)</f>
        <v>734.29</v>
      </c>
      <c r="AH146" s="69">
        <f t="shared" si="14"/>
        <v>68.700000000000045</v>
      </c>
      <c r="AI146" cm="1">
        <f t="array" ref="AI146">ROUND($Z146*Apport_124X2324s,2)</f>
        <v>218.54</v>
      </c>
      <c r="AJ146" cm="1">
        <f t="array" ref="AJ146">ROUND($Z146*Apport_621X2324s*Apport_125X2324s,2)-AI146</f>
        <v>116.51000000000002</v>
      </c>
      <c r="AK146" cm="1">
        <f t="array" ref="AK146">ROUND((AA146+AC146)*Apport_126X2324s,2)</f>
        <v>950.45</v>
      </c>
      <c r="AL146" cm="1">
        <f t="array" ref="AL146">ROUND((AB146+AD146)*Apport_127X2324s,2)</f>
        <v>62.95</v>
      </c>
      <c r="AM146" cm="1">
        <f t="array" ref="AM146">ROUND(AE146*Apport_128X2324s,2)</f>
        <v>241.06</v>
      </c>
      <c r="AN146" cm="1">
        <f t="array" ref="AN146">ROUND(AF146*Apport_129X2324s,2)</f>
        <v>7.5</v>
      </c>
      <c r="AO146" cm="1">
        <f t="array" ref="AO146">ROUND(($J146*CIS_Inc_Salary2324s*(VLOOKUP($A146,EnrollData2324,'2324 Jun 24 Enroll'!T$1,FALSE)+VLOOKUP($A146,EnrollData2324,'2324 Jun 24 Enroll'!U$1,FALSE))/Apport_613Xpd)*Apport_614Xpd,2)</f>
        <v>85.16</v>
      </c>
      <c r="AP146" cm="1">
        <f t="array" ref="AP146">ROUND(AO146*Apport_127X2324s,2)</f>
        <v>14.76</v>
      </c>
      <c r="AQ146">
        <f t="shared" si="15"/>
        <v>30.93</v>
      </c>
      <c r="AR146" s="6" cm="1">
        <f t="array" ref="AR146">ROUND((VLOOKUP($A146,EnrollData2324,'2324 Jun 24 Enroll'!D$1,FALSE)*Apport_M802324s+VLOOKUP($A146,EnrollData2324,'2324 Jun 24 Enroll'!M$1,FALSE)*Apport_M802324s+(VLOOKUP($A146,EnrollData2324,'2324 Jun 24 Enroll'!P$1,FALSE)+VLOOKUP($A146,EnrollData2324,'2324 Jun 24 Enroll'!Q$1,FALSE)+VLOOKUP($A146,EnrollData2324,'2324 Jun 24 Enroll'!R$1,FALSE)+VLOOKUP($A146,EnrollData2324,'2324 Jun 24 Enroll'!I$1,FALSE)+VLOOKUP($A146,EnrollData2324,'2324 Jun 24 Enroll'!N$1,FALSE)+VLOOKUP($A146,EnrollData2324,'2324 Jun 24 Enroll'!O$1,FALSE)+VLOOKUP($A146,EnrollData2324,'2324 Jun 24 Enroll'!K$1,FALSE)+VLOOKUP($A146,EnrollData2324,'2324 Jun 24 Enroll'!L$1,FALSE))*Apport_M812324s)/(VLOOKUP($A146,EnrollData2324,'2324 Jun 24 Enroll'!M$1,FALSE)+VLOOKUP($A146,EnrollData2324,'2324 Jun 24 Enroll'!D$1,FALSE)),2)</f>
        <v>1578.42</v>
      </c>
      <c r="AS146" s="7">
        <f t="shared" si="16"/>
        <v>10894.780000000002</v>
      </c>
    </row>
    <row r="147" spans="1:45">
      <c r="A147" s="40" t="s">
        <v>631</v>
      </c>
      <c r="B147" s="40" t="s">
        <v>632</v>
      </c>
      <c r="C147" s="11">
        <f>ROUND((IFERROR((1/IF(VLOOKUP($A147,EnrollData2324,28,FALSE)='District Calculations'!$D$10,VLOOKUP($A147,EnrollData2324,28,FALSE),'District Calculations'!$D$10))*(1+Apport_Z315),0))+Apport_201A2324s,6)</f>
        <v>7.3449E-2</v>
      </c>
      <c r="D147">
        <f>ROUND(IF(VLOOKUP($A147,EnrollData2324,'2324 Jun 24 Enroll'!D$1,FALSE)='District Calculations'!$D$11,VLOOKUP($A147,EnrollData2324,'2324 Jun 24 Enroll'!D$1,FALSE),'District Calculations'!$D$11)*C147,3)</f>
        <v>0</v>
      </c>
      <c r="E147">
        <f>ROUND(IF(VLOOKUP($A147,EnrollData2324,'2324 Jun 24 Enroll'!E$1,FALSE)='District Calculations'!$D$12,VLOOKUP($A147,EnrollData2324,'2324 Jun 24 Enroll'!E$1,FALSE),'District Calculations'!$D$12)*C147,3)</f>
        <v>59.53</v>
      </c>
      <c r="F147">
        <f>ROUND(IF(VLOOKUP($A147,EnrollData2324,'2324 Jun 24 Enroll'!F$1,FALSE)='District Calculations'!$D$13,VLOOKUP($A147,EnrollData2324,'2324 Jun 24 Enroll'!F$1,FALSE),'District Calculations'!$D$13)*Apport_222A2324s,3)</f>
        <v>10.101000000000001</v>
      </c>
      <c r="G147">
        <f>ROUND(IF(VLOOKUP($A147,EnrollData2324,'2324 Jun 24 Enroll'!G$1,FALSE)='District Calculations'!$D$14,VLOOKUP($A147,EnrollData2324,'2324 Jun 24 Enroll'!G$1,FALSE),'District Calculations'!$D$14)*Apport_210A2324s,3)</f>
        <v>22.395</v>
      </c>
      <c r="H147">
        <f>ROUND(IF(VLOOKUP($A147,EnrollData2324,'2324 Jun 24 Enroll'!H$1,FALSE)='District Calculations'!$D$15,VLOOKUP($A147,EnrollData2324,'2324 Jun 24 Enroll'!H$1,FALSE),'District Calculations'!$D$15)*Apport_213A2324s,3)</f>
        <v>23.091999999999999</v>
      </c>
      <c r="I147">
        <f>ROUND(IF(VLOOKUP($A147,EnrollData2324,'2324 Jun 24 Enroll'!I$1,FALSE)+VLOOKUP($A147,EnrollData2324,'2324 Jun 24 Enroll'!M$1,FALSE)-VLOOKUP($A147,EnrollData2324,'2324 Jun 24 Enroll'!J$1,FALSE)='District Calculations'!$D$16+'District Calculations'!$D$25-'District Calculations'!$D$17,VLOOKUP($A147,EnrollData2324,'2324 Jun 24 Enroll'!I$1,FALSE)+VLOOKUP($A147,EnrollData2324,'2324 Jun 24 Enroll'!M$1,FALSE)-VLOOKUP($A147,EnrollData2324,'2324 Jun 24 Enroll'!J$1,FALSE),'District Calculations'!$D$16+'District Calculations'!$D$25-'District Calculations'!$D$17)*Apport_216A2324s,3)</f>
        <v>58.183999999999997</v>
      </c>
      <c r="J147">
        <f>ROUND(SUM(D147:I147)/(IF(VLOOKUP($A147,EnrollData2324,'2324 Jun 24 Enroll'!M$1,FALSE)='District Calculations'!$D$25,VLOOKUP($A147,EnrollData2324,'2324 Jun 24 Enroll'!M$1,FALSE),'District Calculations'!$D$25)+IF(VLOOKUP($A147,EnrollData2324,'2324 Jun 24 Enroll'!D$1,FALSE)='District Calculations'!$D$11,VLOOKUP($A147,EnrollData2324,'2324 Jun 24 Enroll'!D$1,FALSE),'District Calculations'!$D$11)),5)</f>
        <v>5.5530000000000003E-2</v>
      </c>
      <c r="K147" s="11">
        <f t="shared" si="12"/>
        <v>4.3699999999999998E-3</v>
      </c>
      <c r="L147">
        <f>ROUND(IF(VLOOKUP($A147,EnrollData2324,'2324 Jun 24 Enroll'!D$1,FALSE)='District Calculations'!$D$11,VLOOKUP($A147,EnrollData2324,'2324 Jun 24 Enroll'!D$1,FALSE),'District Calculations'!$D$11)*K147,3)</f>
        <v>0</v>
      </c>
      <c r="M147">
        <f>ROUND(IF(VLOOKUP($A147,EnrollData2324,'2324 Jun 24 Enroll'!E$1,FALSE)='District Calculations'!$D$12,VLOOKUP($A147,EnrollData2324,'2324 Jun 24 Enroll'!E$1,FALSE),'District Calculations'!$D$12)*K147,3)</f>
        <v>3.5419999999999998</v>
      </c>
      <c r="N147">
        <f>ROUND(IF(VLOOKUP($A147,EnrollData2324,'2324 Jun 24 Enroll'!F$1,FALSE)='District Calculations'!$D$13,VLOOKUP($A147,EnrollData2324,'2324 Jun 24 Enroll'!F$1,FALSE),'District Calculations'!$D$13)*Apport_223A2324s,3)</f>
        <v>0.84299999999999997</v>
      </c>
      <c r="O147">
        <f>ROUND(IF(VLOOKUP($A147,EnrollData2324,'2324 Jun 24 Enroll'!G$1,FALSE)='District Calculations'!$D$14,VLOOKUP($A147,EnrollData2324,'2324 Jun 24 Enroll'!G$1,FALSE),'District Calculations'!$D$14)*Apport_211A2324s,3)</f>
        <v>1.87</v>
      </c>
      <c r="P147">
        <f>ROUND(IF(VLOOKUP($A147,EnrollData2324,'2324 Jun 24 Enroll'!H$1,FALSE)='District Calculations'!$D$14,VLOOKUP($A147,EnrollData2324,'2324 Jun 24 Enroll'!H$1,FALSE),'District Calculations'!$D$14)*Apport_214A2324s,3)</f>
        <v>1.8680000000000001</v>
      </c>
      <c r="Q147">
        <f>ROUND(IF(VLOOKUP($A147,EnrollData2324,'2324 Jun 24 Enroll'!I$1,FALSE)+VLOOKUP($A147,EnrollData2324,'2324 Jun 24 Enroll'!M$1,FALSE)-VLOOKUP($A147,EnrollData2324,'2324 Jun 24 Enroll'!J$1,FALSE)='District Calculations'!$D$16+'District Calculations'!$D$25-'District Calculations'!$D$17,VLOOKUP($A147,EnrollData2324,'2324 Jun 24 Enroll'!I$1,FALSE)+VLOOKUP($A147,EnrollData2324,'2324 Jun 24 Enroll'!M$1,FALSE)-VLOOKUP($A147,EnrollData2324,'2324 Jun 24 Enroll'!J$1,FALSE),'District Calculations'!$D$16+'District Calculations'!$D$25-'District Calculations'!$D$17)*Apport_217A2324s,3)</f>
        <v>4.702</v>
      </c>
      <c r="R147">
        <f>ROUND(SUM(L147:Q147)/IF(VLOOKUP($A147,EnrollData2324,'2324 Jun 24 Enroll'!M$1,FALSE)+VLOOKUP($A147,EnrollData2324,'2324 Jun 24 Enroll'!D$1,FALSE)='District Calculations'!$D$25+'District Calculations'!$D$11,VLOOKUP($A147,EnrollData2324,'2324 Jun 24 Enroll'!M$1,FALSE)+VLOOKUP($A147,EnrollData2324,'2324 Jun 24 Enroll'!D$1,FALSE),'District Calculations'!$D$25+'District Calculations'!$D$11),5)</f>
        <v>4.1099999999999999E-3</v>
      </c>
      <c r="S147" s="11">
        <f t="shared" si="13"/>
        <v>1.8689600000000001E-2</v>
      </c>
      <c r="T147">
        <f>ROUND(IF(VLOOKUP($A147,EnrollData2324,'2324 Jun 24 Enroll'!D$1,FALSE)='District Calculations'!$D$11,VLOOKUP($A147,EnrollData2324,'2324 Jun 24 Enroll'!D$1,FALSE),'District Calculations'!$D$11)*S147,3)</f>
        <v>0</v>
      </c>
      <c r="U147">
        <f>ROUND(IF(VLOOKUP($A147,EnrollData2324,'2324 Jun 24 Enroll'!E$1,FALSE)='District Calculations'!$D$12,VLOOKUP($A147,EnrollData2324,'2324 Jun 24 Enroll'!E$1,FALSE),'District Calculations'!$D$12)*S147,3)</f>
        <v>15.148</v>
      </c>
      <c r="V147">
        <f>ROUND(IF(VLOOKUP($A147,EnrollData2324,'2324 Jun 24 Enroll'!F$1,FALSE)='District Calculations'!$D$13,VLOOKUP($A147,EnrollData2324,'2324 Jun 24 Enroll'!F$1,FALSE),'District Calculations'!$D$13)*Apport_224A2324s,3)</f>
        <v>3.7029999999999998</v>
      </c>
      <c r="W147">
        <f>ROUND(IF(VLOOKUP($A147,EnrollData2324,'2324 Jun 24 Enroll'!G$1,FALSE)='District Calculations'!$D$14,VLOOKUP($A147,EnrollData2324,'2324 Jun 24 Enroll'!G$1,FALSE),'District Calculations'!$D$14)*Apport_212A2324s,3)</f>
        <v>8.2089999999999996</v>
      </c>
      <c r="X147">
        <f>ROUND(IF(VLOOKUP($A147,EnrollData2324,'2324 Jun 24 Enroll'!H$1,FALSE)='District Calculations'!$D$14,VLOOKUP($A147,EnrollData2324,'2324 Jun 24 Enroll'!H$1,FALSE),'District Calculations'!$D$14)*Apport_215A2324s,3)</f>
        <v>8.0969999999999995</v>
      </c>
      <c r="Y147">
        <f>ROUND(IF(VLOOKUP($A147,EnrollData2324,'2324 Jun 24 Enroll'!I$1,FALSE)+VLOOKUP($A147,EnrollData2324,'2324 Jun 24 Enroll'!M$1,FALSE)-VLOOKUP($A147,EnrollData2324,'2324 Jun 24 Enroll'!J$1,FALSE)='District Calculations'!$D$16+'District Calculations'!$D$25-'District Calculations'!$D$17,VLOOKUP($A147,EnrollData2324,'2324 Jun 24 Enroll'!I$1,FALSE)+VLOOKUP($A147,EnrollData2324,'2324 Jun 24 Enroll'!M$1,FALSE)-VLOOKUP($A147,EnrollData2324,'2324 Jun 24 Enroll'!J$1,FALSE),'District Calculations'!$D$16+'District Calculations'!$D$25-'District Calculations'!$D$17)*Apport_218A2324s,3)</f>
        <v>20.224</v>
      </c>
      <c r="Z147">
        <f>ROUND(SUM(T147:Y147)/IF(VLOOKUP($A147,EnrollData2324,'2324 Jun 24 Enroll'!M$1,FALSE)+VLOOKUP($A147,EnrollData2324,'2324 Jun 24 Enroll'!D$1,FALSE)='District Calculations'!$D$25+'District Calculations'!$D$11,VLOOKUP($A147,EnrollData2324,'2324 Jun 24 Enroll'!M$1,FALSE)+VLOOKUP($A147,EnrollData2324,'2324 Jun 24 Enroll'!D$1,FALSE),'District Calculations'!$D$25+'District Calculations'!$D$11),5)</f>
        <v>1.7749999999999998E-2</v>
      </c>
      <c r="AA147" s="6" cm="1">
        <f t="array" ref="AA147">ROUND($J147*CIS_Base_Salary2324s*VLOOKUP($A147,EnrollData2324,'2324 Jun 24 Enroll'!S$1,FALSE),2)</f>
        <v>4765.53</v>
      </c>
      <c r="AB147" s="6" cm="1">
        <f t="array" ref="AB147">ROUND($J147*CIS_Inc_Salary2324s*(VLOOKUP($A147,EnrollData2324,'2324 Jun 24 Enroll'!T$1,FALSE)+VLOOKUP($A147,EnrollData2324,'2324 Jun 24 Enroll'!U$1,FALSE)),2)-AA147</f>
        <v>343.85000000000036</v>
      </c>
      <c r="AC147" s="6" cm="1">
        <f t="array" ref="AC147">ROUND($R147*CAS_Base_Salary2324s*VLOOKUP($A147,EnrollData2324,'2324 Jun 24 Enroll'!S$1,FALSE),2)</f>
        <v>523.55999999999995</v>
      </c>
      <c r="AD147" s="6" cm="1">
        <f t="array" ref="AD147">ROUND($R147*CAS_Inc_Salary2324s*VLOOKUP($A147,EnrollData2324,'2324 Jun 24 Enroll'!T$1,FALSE),2)-AC147</f>
        <v>19.380000000000109</v>
      </c>
      <c r="AE147" s="6" cm="1">
        <f t="array" ref="AE147">ROUND($Z147*CLS_Base_Salary2324s*VLOOKUP($A147,EnrollData2324,'2324 Jun 24 Enroll'!S$1,FALSE),2)</f>
        <v>1092.76</v>
      </c>
      <c r="AF147" s="6" cm="1">
        <f t="array" ref="AF147">ROUND($Z147*CLS_Inc_Salary2324s*VLOOKUP($A147,EnrollData2324,'2324 Jun 24 Enroll'!T$1,FALSE),2)-AE147</f>
        <v>40.430000000000064</v>
      </c>
      <c r="AG147" cm="1">
        <f t="array" ref="AG147">ROUND(($J147+$R147)*Apport_124X2324s,2)</f>
        <v>734.29</v>
      </c>
      <c r="AH147" s="69">
        <f t="shared" si="14"/>
        <v>68.700000000000045</v>
      </c>
      <c r="AI147" cm="1">
        <f t="array" ref="AI147">ROUND($Z147*Apport_124X2324s,2)</f>
        <v>218.54</v>
      </c>
      <c r="AJ147" cm="1">
        <f t="array" ref="AJ147">ROUND($Z147*Apport_621X2324s*Apport_125X2324s,2)-AI147</f>
        <v>116.51000000000002</v>
      </c>
      <c r="AK147" cm="1">
        <f t="array" ref="AK147">ROUND((AA147+AC147)*Apport_126X2324s,2)</f>
        <v>950.45</v>
      </c>
      <c r="AL147" cm="1">
        <f t="array" ref="AL147">ROUND((AB147+AD147)*Apport_127X2324s,2)</f>
        <v>62.95</v>
      </c>
      <c r="AM147" cm="1">
        <f t="array" ref="AM147">ROUND(AE147*Apport_128X2324s,2)</f>
        <v>241.06</v>
      </c>
      <c r="AN147" cm="1">
        <f t="array" ref="AN147">ROUND(AF147*Apport_129X2324s,2)</f>
        <v>7.5</v>
      </c>
      <c r="AO147" cm="1">
        <f t="array" ref="AO147">ROUND(($J147*CIS_Inc_Salary2324s*(VLOOKUP($A147,EnrollData2324,'2324 Jun 24 Enroll'!T$1,FALSE)+VLOOKUP($A147,EnrollData2324,'2324 Jun 24 Enroll'!U$1,FALSE))/Apport_613Xpd)*Apport_614Xpd,2)</f>
        <v>85.16</v>
      </c>
      <c r="AP147" cm="1">
        <f t="array" ref="AP147">ROUND(AO147*Apport_127X2324s,2)</f>
        <v>14.76</v>
      </c>
      <c r="AQ147">
        <f t="shared" si="15"/>
        <v>30.93</v>
      </c>
      <c r="AR147" s="6" cm="1">
        <f t="array" ref="AR147">ROUND((VLOOKUP($A147,EnrollData2324,'2324 Jun 24 Enroll'!D$1,FALSE)*Apport_M802324s+VLOOKUP($A147,EnrollData2324,'2324 Jun 24 Enroll'!M$1,FALSE)*Apport_M802324s+(VLOOKUP($A147,EnrollData2324,'2324 Jun 24 Enroll'!P$1,FALSE)+VLOOKUP($A147,EnrollData2324,'2324 Jun 24 Enroll'!Q$1,FALSE)+VLOOKUP($A147,EnrollData2324,'2324 Jun 24 Enroll'!R$1,FALSE)+VLOOKUP($A147,EnrollData2324,'2324 Jun 24 Enroll'!I$1,FALSE)+VLOOKUP($A147,EnrollData2324,'2324 Jun 24 Enroll'!N$1,FALSE)+VLOOKUP($A147,EnrollData2324,'2324 Jun 24 Enroll'!O$1,FALSE)+VLOOKUP($A147,EnrollData2324,'2324 Jun 24 Enroll'!K$1,FALSE)+VLOOKUP($A147,EnrollData2324,'2324 Jun 24 Enroll'!L$1,FALSE))*Apport_M812324s)/(VLOOKUP($A147,EnrollData2324,'2324 Jun 24 Enroll'!M$1,FALSE)+VLOOKUP($A147,EnrollData2324,'2324 Jun 24 Enroll'!D$1,FALSE)),2)</f>
        <v>1573.25</v>
      </c>
      <c r="AS147" s="7">
        <f t="shared" si="16"/>
        <v>10889.610000000002</v>
      </c>
    </row>
    <row r="148" spans="1:45">
      <c r="A148" s="40" t="s">
        <v>370</v>
      </c>
      <c r="B148" s="40" t="s">
        <v>371</v>
      </c>
      <c r="C148" s="11">
        <f>ROUND((IFERROR((1/IF(VLOOKUP($A148,EnrollData2324,28,FALSE)='District Calculations'!$D$10,VLOOKUP($A148,EnrollData2324,28,FALSE),'District Calculations'!$D$10))*(1+Apport_Z315),0))+Apport_201A2324s,6)</f>
        <v>7.3449E-2</v>
      </c>
      <c r="D148">
        <f>ROUND(IF(VLOOKUP($A148,EnrollData2324,'2324 Jun 24 Enroll'!D$1,FALSE)='District Calculations'!$D$11,VLOOKUP($A148,EnrollData2324,'2324 Jun 24 Enroll'!D$1,FALSE),'District Calculations'!$D$11)*C148,3)</f>
        <v>0</v>
      </c>
      <c r="E148">
        <f>ROUND(IF(VLOOKUP($A148,EnrollData2324,'2324 Jun 24 Enroll'!E$1,FALSE)='District Calculations'!$D$12,VLOOKUP($A148,EnrollData2324,'2324 Jun 24 Enroll'!E$1,FALSE),'District Calculations'!$D$12)*C148,3)</f>
        <v>59.53</v>
      </c>
      <c r="F148">
        <f>ROUND(IF(VLOOKUP($A148,EnrollData2324,'2324 Jun 24 Enroll'!F$1,FALSE)='District Calculations'!$D$13,VLOOKUP($A148,EnrollData2324,'2324 Jun 24 Enroll'!F$1,FALSE),'District Calculations'!$D$13)*Apport_222A2324s,3)</f>
        <v>10.101000000000001</v>
      </c>
      <c r="G148">
        <f>ROUND(IF(VLOOKUP($A148,EnrollData2324,'2324 Jun 24 Enroll'!G$1,FALSE)='District Calculations'!$D$14,VLOOKUP($A148,EnrollData2324,'2324 Jun 24 Enroll'!G$1,FALSE),'District Calculations'!$D$14)*Apport_210A2324s,3)</f>
        <v>22.395</v>
      </c>
      <c r="H148">
        <f>ROUND(IF(VLOOKUP($A148,EnrollData2324,'2324 Jun 24 Enroll'!H$1,FALSE)='District Calculations'!$D$15,VLOOKUP($A148,EnrollData2324,'2324 Jun 24 Enroll'!H$1,FALSE),'District Calculations'!$D$15)*Apport_213A2324s,3)</f>
        <v>23.091999999999999</v>
      </c>
      <c r="I148">
        <f>ROUND(IF(VLOOKUP($A148,EnrollData2324,'2324 Jun 24 Enroll'!I$1,FALSE)+VLOOKUP($A148,EnrollData2324,'2324 Jun 24 Enroll'!M$1,FALSE)-VLOOKUP($A148,EnrollData2324,'2324 Jun 24 Enroll'!J$1,FALSE)='District Calculations'!$D$16+'District Calculations'!$D$25-'District Calculations'!$D$17,VLOOKUP($A148,EnrollData2324,'2324 Jun 24 Enroll'!I$1,FALSE)+VLOOKUP($A148,EnrollData2324,'2324 Jun 24 Enroll'!M$1,FALSE)-VLOOKUP($A148,EnrollData2324,'2324 Jun 24 Enroll'!J$1,FALSE),'District Calculations'!$D$16+'District Calculations'!$D$25-'District Calculations'!$D$17)*Apport_216A2324s,3)</f>
        <v>58.183999999999997</v>
      </c>
      <c r="J148">
        <f>ROUND(SUM(D148:I148)/(IF(VLOOKUP($A148,EnrollData2324,'2324 Jun 24 Enroll'!M$1,FALSE)='District Calculations'!$D$25,VLOOKUP($A148,EnrollData2324,'2324 Jun 24 Enroll'!M$1,FALSE),'District Calculations'!$D$25)+IF(VLOOKUP($A148,EnrollData2324,'2324 Jun 24 Enroll'!D$1,FALSE)='District Calculations'!$D$11,VLOOKUP($A148,EnrollData2324,'2324 Jun 24 Enroll'!D$1,FALSE),'District Calculations'!$D$11)),5)</f>
        <v>5.5530000000000003E-2</v>
      </c>
      <c r="K148" s="11">
        <f t="shared" si="12"/>
        <v>4.3699999999999998E-3</v>
      </c>
      <c r="L148">
        <f>ROUND(IF(VLOOKUP($A148,EnrollData2324,'2324 Jun 24 Enroll'!D$1,FALSE)='District Calculations'!$D$11,VLOOKUP($A148,EnrollData2324,'2324 Jun 24 Enroll'!D$1,FALSE),'District Calculations'!$D$11)*K148,3)</f>
        <v>0</v>
      </c>
      <c r="M148">
        <f>ROUND(IF(VLOOKUP($A148,EnrollData2324,'2324 Jun 24 Enroll'!E$1,FALSE)='District Calculations'!$D$12,VLOOKUP($A148,EnrollData2324,'2324 Jun 24 Enroll'!E$1,FALSE),'District Calculations'!$D$12)*K148,3)</f>
        <v>3.5419999999999998</v>
      </c>
      <c r="N148">
        <f>ROUND(IF(VLOOKUP($A148,EnrollData2324,'2324 Jun 24 Enroll'!F$1,FALSE)='District Calculations'!$D$13,VLOOKUP($A148,EnrollData2324,'2324 Jun 24 Enroll'!F$1,FALSE),'District Calculations'!$D$13)*Apport_223A2324s,3)</f>
        <v>0.84299999999999997</v>
      </c>
      <c r="O148">
        <f>ROUND(IF(VLOOKUP($A148,EnrollData2324,'2324 Jun 24 Enroll'!G$1,FALSE)='District Calculations'!$D$14,VLOOKUP($A148,EnrollData2324,'2324 Jun 24 Enroll'!G$1,FALSE),'District Calculations'!$D$14)*Apport_211A2324s,3)</f>
        <v>1.87</v>
      </c>
      <c r="P148">
        <f>ROUND(IF(VLOOKUP($A148,EnrollData2324,'2324 Jun 24 Enroll'!H$1,FALSE)='District Calculations'!$D$14,VLOOKUP($A148,EnrollData2324,'2324 Jun 24 Enroll'!H$1,FALSE),'District Calculations'!$D$14)*Apport_214A2324s,3)</f>
        <v>1.8680000000000001</v>
      </c>
      <c r="Q148">
        <f>ROUND(IF(VLOOKUP($A148,EnrollData2324,'2324 Jun 24 Enroll'!I$1,FALSE)+VLOOKUP($A148,EnrollData2324,'2324 Jun 24 Enroll'!M$1,FALSE)-VLOOKUP($A148,EnrollData2324,'2324 Jun 24 Enroll'!J$1,FALSE)='District Calculations'!$D$16+'District Calculations'!$D$25-'District Calculations'!$D$17,VLOOKUP($A148,EnrollData2324,'2324 Jun 24 Enroll'!I$1,FALSE)+VLOOKUP($A148,EnrollData2324,'2324 Jun 24 Enroll'!M$1,FALSE)-VLOOKUP($A148,EnrollData2324,'2324 Jun 24 Enroll'!J$1,FALSE),'District Calculations'!$D$16+'District Calculations'!$D$25-'District Calculations'!$D$17)*Apport_217A2324s,3)</f>
        <v>4.702</v>
      </c>
      <c r="R148">
        <f>ROUND(SUM(L148:Q148)/IF(VLOOKUP($A148,EnrollData2324,'2324 Jun 24 Enroll'!M$1,FALSE)+VLOOKUP($A148,EnrollData2324,'2324 Jun 24 Enroll'!D$1,FALSE)='District Calculations'!$D$25+'District Calculations'!$D$11,VLOOKUP($A148,EnrollData2324,'2324 Jun 24 Enroll'!M$1,FALSE)+VLOOKUP($A148,EnrollData2324,'2324 Jun 24 Enroll'!D$1,FALSE),'District Calculations'!$D$25+'District Calculations'!$D$11),5)</f>
        <v>4.1099999999999999E-3</v>
      </c>
      <c r="S148" s="11">
        <f t="shared" si="13"/>
        <v>1.8689600000000001E-2</v>
      </c>
      <c r="T148">
        <f>ROUND(IF(VLOOKUP($A148,EnrollData2324,'2324 Jun 24 Enroll'!D$1,FALSE)='District Calculations'!$D$11,VLOOKUP($A148,EnrollData2324,'2324 Jun 24 Enroll'!D$1,FALSE),'District Calculations'!$D$11)*S148,3)</f>
        <v>0</v>
      </c>
      <c r="U148">
        <f>ROUND(IF(VLOOKUP($A148,EnrollData2324,'2324 Jun 24 Enroll'!E$1,FALSE)='District Calculations'!$D$12,VLOOKUP($A148,EnrollData2324,'2324 Jun 24 Enroll'!E$1,FALSE),'District Calculations'!$D$12)*S148,3)</f>
        <v>15.148</v>
      </c>
      <c r="V148">
        <f>ROUND(IF(VLOOKUP($A148,EnrollData2324,'2324 Jun 24 Enroll'!F$1,FALSE)='District Calculations'!$D$13,VLOOKUP($A148,EnrollData2324,'2324 Jun 24 Enroll'!F$1,FALSE),'District Calculations'!$D$13)*Apport_224A2324s,3)</f>
        <v>3.7029999999999998</v>
      </c>
      <c r="W148">
        <f>ROUND(IF(VLOOKUP($A148,EnrollData2324,'2324 Jun 24 Enroll'!G$1,FALSE)='District Calculations'!$D$14,VLOOKUP($A148,EnrollData2324,'2324 Jun 24 Enroll'!G$1,FALSE),'District Calculations'!$D$14)*Apport_212A2324s,3)</f>
        <v>8.2089999999999996</v>
      </c>
      <c r="X148">
        <f>ROUND(IF(VLOOKUP($A148,EnrollData2324,'2324 Jun 24 Enroll'!H$1,FALSE)='District Calculations'!$D$14,VLOOKUP($A148,EnrollData2324,'2324 Jun 24 Enroll'!H$1,FALSE),'District Calculations'!$D$14)*Apport_215A2324s,3)</f>
        <v>8.0969999999999995</v>
      </c>
      <c r="Y148">
        <f>ROUND(IF(VLOOKUP($A148,EnrollData2324,'2324 Jun 24 Enroll'!I$1,FALSE)+VLOOKUP($A148,EnrollData2324,'2324 Jun 24 Enroll'!M$1,FALSE)-VLOOKUP($A148,EnrollData2324,'2324 Jun 24 Enroll'!J$1,FALSE)='District Calculations'!$D$16+'District Calculations'!$D$25-'District Calculations'!$D$17,VLOOKUP($A148,EnrollData2324,'2324 Jun 24 Enroll'!I$1,FALSE)+VLOOKUP($A148,EnrollData2324,'2324 Jun 24 Enroll'!M$1,FALSE)-VLOOKUP($A148,EnrollData2324,'2324 Jun 24 Enroll'!J$1,FALSE),'District Calculations'!$D$16+'District Calculations'!$D$25-'District Calculations'!$D$17)*Apport_218A2324s,3)</f>
        <v>20.224</v>
      </c>
      <c r="Z148">
        <f>ROUND(SUM(T148:Y148)/IF(VLOOKUP($A148,EnrollData2324,'2324 Jun 24 Enroll'!M$1,FALSE)+VLOOKUP($A148,EnrollData2324,'2324 Jun 24 Enroll'!D$1,FALSE)='District Calculations'!$D$25+'District Calculations'!$D$11,VLOOKUP($A148,EnrollData2324,'2324 Jun 24 Enroll'!M$1,FALSE)+VLOOKUP($A148,EnrollData2324,'2324 Jun 24 Enroll'!D$1,FALSE),'District Calculations'!$D$25+'District Calculations'!$D$11),5)</f>
        <v>1.7749999999999998E-2</v>
      </c>
      <c r="AA148" s="6" cm="1">
        <f t="array" ref="AA148">ROUND($J148*CIS_Base_Salary2324s*VLOOKUP($A148,EnrollData2324,'2324 Jun 24 Enroll'!S$1,FALSE),2)</f>
        <v>4765.53</v>
      </c>
      <c r="AB148" s="6" cm="1">
        <f t="array" ref="AB148">ROUND($J148*CIS_Inc_Salary2324s*(VLOOKUP($A148,EnrollData2324,'2324 Jun 24 Enroll'!T$1,FALSE)+VLOOKUP($A148,EnrollData2324,'2324 Jun 24 Enroll'!U$1,FALSE)),2)-AA148</f>
        <v>343.85000000000036</v>
      </c>
      <c r="AC148" s="6" cm="1">
        <f t="array" ref="AC148">ROUND($R148*CAS_Base_Salary2324s*VLOOKUP($A148,EnrollData2324,'2324 Jun 24 Enroll'!S$1,FALSE),2)</f>
        <v>523.55999999999995</v>
      </c>
      <c r="AD148" s="6" cm="1">
        <f t="array" ref="AD148">ROUND($R148*CAS_Inc_Salary2324s*VLOOKUP($A148,EnrollData2324,'2324 Jun 24 Enroll'!T$1,FALSE),2)-AC148</f>
        <v>19.380000000000109</v>
      </c>
      <c r="AE148" s="6" cm="1">
        <f t="array" ref="AE148">ROUND($Z148*CLS_Base_Salary2324s*VLOOKUP($A148,EnrollData2324,'2324 Jun 24 Enroll'!S$1,FALSE),2)</f>
        <v>1092.76</v>
      </c>
      <c r="AF148" s="6" cm="1">
        <f t="array" ref="AF148">ROUND($Z148*CLS_Inc_Salary2324s*VLOOKUP($A148,EnrollData2324,'2324 Jun 24 Enroll'!T$1,FALSE),2)-AE148</f>
        <v>40.430000000000064</v>
      </c>
      <c r="AG148" cm="1">
        <f t="array" ref="AG148">ROUND(($J148+$R148)*Apport_124X2324s,2)</f>
        <v>734.29</v>
      </c>
      <c r="AH148" s="69">
        <f t="shared" si="14"/>
        <v>68.700000000000045</v>
      </c>
      <c r="AI148" cm="1">
        <f t="array" ref="AI148">ROUND($Z148*Apport_124X2324s,2)</f>
        <v>218.54</v>
      </c>
      <c r="AJ148" cm="1">
        <f t="array" ref="AJ148">ROUND($Z148*Apport_621X2324s*Apport_125X2324s,2)-AI148</f>
        <v>116.51000000000002</v>
      </c>
      <c r="AK148" cm="1">
        <f t="array" ref="AK148">ROUND((AA148+AC148)*Apport_126X2324s,2)</f>
        <v>950.45</v>
      </c>
      <c r="AL148" cm="1">
        <f t="array" ref="AL148">ROUND((AB148+AD148)*Apport_127X2324s,2)</f>
        <v>62.95</v>
      </c>
      <c r="AM148" cm="1">
        <f t="array" ref="AM148">ROUND(AE148*Apport_128X2324s,2)</f>
        <v>241.06</v>
      </c>
      <c r="AN148" cm="1">
        <f t="array" ref="AN148">ROUND(AF148*Apport_129X2324s,2)</f>
        <v>7.5</v>
      </c>
      <c r="AO148" cm="1">
        <f t="array" ref="AO148">ROUND(($J148*CIS_Inc_Salary2324s*(VLOOKUP($A148,EnrollData2324,'2324 Jun 24 Enroll'!T$1,FALSE)+VLOOKUP($A148,EnrollData2324,'2324 Jun 24 Enroll'!U$1,FALSE))/Apport_613Xpd)*Apport_614Xpd,2)</f>
        <v>85.16</v>
      </c>
      <c r="AP148" cm="1">
        <f t="array" ref="AP148">ROUND(AO148*Apport_127X2324s,2)</f>
        <v>14.76</v>
      </c>
      <c r="AQ148">
        <f t="shared" si="15"/>
        <v>30.93</v>
      </c>
      <c r="AR148" s="6" cm="1">
        <f t="array" ref="AR148">ROUND((VLOOKUP($A148,EnrollData2324,'2324 Jun 24 Enroll'!D$1,FALSE)*Apport_M802324s+VLOOKUP($A148,EnrollData2324,'2324 Jun 24 Enroll'!M$1,FALSE)*Apport_M802324s+(VLOOKUP($A148,EnrollData2324,'2324 Jun 24 Enroll'!P$1,FALSE)+VLOOKUP($A148,EnrollData2324,'2324 Jun 24 Enroll'!Q$1,FALSE)+VLOOKUP($A148,EnrollData2324,'2324 Jun 24 Enroll'!R$1,FALSE)+VLOOKUP($A148,EnrollData2324,'2324 Jun 24 Enroll'!I$1,FALSE)+VLOOKUP($A148,EnrollData2324,'2324 Jun 24 Enroll'!N$1,FALSE)+VLOOKUP($A148,EnrollData2324,'2324 Jun 24 Enroll'!O$1,FALSE)+VLOOKUP($A148,EnrollData2324,'2324 Jun 24 Enroll'!K$1,FALSE)+VLOOKUP($A148,EnrollData2324,'2324 Jun 24 Enroll'!L$1,FALSE))*Apport_M812324s)/(VLOOKUP($A148,EnrollData2324,'2324 Jun 24 Enroll'!M$1,FALSE)+VLOOKUP($A148,EnrollData2324,'2324 Jun 24 Enroll'!D$1,FALSE)),2)</f>
        <v>1572.64</v>
      </c>
      <c r="AS148" s="7">
        <f t="shared" si="16"/>
        <v>10889.000000000002</v>
      </c>
    </row>
    <row r="149" spans="1:45">
      <c r="A149" s="40" t="s">
        <v>775</v>
      </c>
      <c r="B149" s="40" t="s">
        <v>776</v>
      </c>
      <c r="C149" s="11">
        <f>ROUND((IFERROR((1/IF(VLOOKUP($A149,EnrollData2324,28,FALSE)='District Calculations'!$D$10,VLOOKUP($A149,EnrollData2324,28,FALSE),'District Calculations'!$D$10))*(1+Apport_Z315),0))+Apport_201A2324s,6)</f>
        <v>7.3449E-2</v>
      </c>
      <c r="D149">
        <f>ROUND(IF(VLOOKUP($A149,EnrollData2324,'2324 Jun 24 Enroll'!D$1,FALSE)='District Calculations'!$D$11,VLOOKUP($A149,EnrollData2324,'2324 Jun 24 Enroll'!D$1,FALSE),'District Calculations'!$D$11)*C149,3)</f>
        <v>0</v>
      </c>
      <c r="E149">
        <f>ROUND(IF(VLOOKUP($A149,EnrollData2324,'2324 Jun 24 Enroll'!E$1,FALSE)='District Calculations'!$D$12,VLOOKUP($A149,EnrollData2324,'2324 Jun 24 Enroll'!E$1,FALSE),'District Calculations'!$D$12)*C149,3)</f>
        <v>59.53</v>
      </c>
      <c r="F149">
        <f>ROUND(IF(VLOOKUP($A149,EnrollData2324,'2324 Jun 24 Enroll'!F$1,FALSE)='District Calculations'!$D$13,VLOOKUP($A149,EnrollData2324,'2324 Jun 24 Enroll'!F$1,FALSE),'District Calculations'!$D$13)*Apport_222A2324s,3)</f>
        <v>10.101000000000001</v>
      </c>
      <c r="G149">
        <f>ROUND(IF(VLOOKUP($A149,EnrollData2324,'2324 Jun 24 Enroll'!G$1,FALSE)='District Calculations'!$D$14,VLOOKUP($A149,EnrollData2324,'2324 Jun 24 Enroll'!G$1,FALSE),'District Calculations'!$D$14)*Apport_210A2324s,3)</f>
        <v>22.395</v>
      </c>
      <c r="H149">
        <f>ROUND(IF(VLOOKUP($A149,EnrollData2324,'2324 Jun 24 Enroll'!H$1,FALSE)='District Calculations'!$D$15,VLOOKUP($A149,EnrollData2324,'2324 Jun 24 Enroll'!H$1,FALSE),'District Calculations'!$D$15)*Apport_213A2324s,3)</f>
        <v>23.091999999999999</v>
      </c>
      <c r="I149">
        <f>ROUND(IF(VLOOKUP($A149,EnrollData2324,'2324 Jun 24 Enroll'!I$1,FALSE)+VLOOKUP($A149,EnrollData2324,'2324 Jun 24 Enroll'!M$1,FALSE)-VLOOKUP($A149,EnrollData2324,'2324 Jun 24 Enroll'!J$1,FALSE)='District Calculations'!$D$16+'District Calculations'!$D$25-'District Calculations'!$D$17,VLOOKUP($A149,EnrollData2324,'2324 Jun 24 Enroll'!I$1,FALSE)+VLOOKUP($A149,EnrollData2324,'2324 Jun 24 Enroll'!M$1,FALSE)-VLOOKUP($A149,EnrollData2324,'2324 Jun 24 Enroll'!J$1,FALSE),'District Calculations'!$D$16+'District Calculations'!$D$25-'District Calculations'!$D$17)*Apport_216A2324s,3)</f>
        <v>58.183999999999997</v>
      </c>
      <c r="J149">
        <f>ROUND(SUM(D149:I149)/(IF(VLOOKUP($A149,EnrollData2324,'2324 Jun 24 Enroll'!M$1,FALSE)='District Calculations'!$D$25,VLOOKUP($A149,EnrollData2324,'2324 Jun 24 Enroll'!M$1,FALSE),'District Calculations'!$D$25)+IF(VLOOKUP($A149,EnrollData2324,'2324 Jun 24 Enroll'!D$1,FALSE)='District Calculations'!$D$11,VLOOKUP($A149,EnrollData2324,'2324 Jun 24 Enroll'!D$1,FALSE),'District Calculations'!$D$11)),5)</f>
        <v>5.5530000000000003E-2</v>
      </c>
      <c r="K149" s="11">
        <f t="shared" si="12"/>
        <v>4.3699999999999998E-3</v>
      </c>
      <c r="L149">
        <f>ROUND(IF(VLOOKUP($A149,EnrollData2324,'2324 Jun 24 Enroll'!D$1,FALSE)='District Calculations'!$D$11,VLOOKUP($A149,EnrollData2324,'2324 Jun 24 Enroll'!D$1,FALSE),'District Calculations'!$D$11)*K149,3)</f>
        <v>0</v>
      </c>
      <c r="M149">
        <f>ROUND(IF(VLOOKUP($A149,EnrollData2324,'2324 Jun 24 Enroll'!E$1,FALSE)='District Calculations'!$D$12,VLOOKUP($A149,EnrollData2324,'2324 Jun 24 Enroll'!E$1,FALSE),'District Calculations'!$D$12)*K149,3)</f>
        <v>3.5419999999999998</v>
      </c>
      <c r="N149">
        <f>ROUND(IF(VLOOKUP($A149,EnrollData2324,'2324 Jun 24 Enroll'!F$1,FALSE)='District Calculations'!$D$13,VLOOKUP($A149,EnrollData2324,'2324 Jun 24 Enroll'!F$1,FALSE),'District Calculations'!$D$13)*Apport_223A2324s,3)</f>
        <v>0.84299999999999997</v>
      </c>
      <c r="O149">
        <f>ROUND(IF(VLOOKUP($A149,EnrollData2324,'2324 Jun 24 Enroll'!G$1,FALSE)='District Calculations'!$D$14,VLOOKUP($A149,EnrollData2324,'2324 Jun 24 Enroll'!G$1,FALSE),'District Calculations'!$D$14)*Apport_211A2324s,3)</f>
        <v>1.87</v>
      </c>
      <c r="P149">
        <f>ROUND(IF(VLOOKUP($A149,EnrollData2324,'2324 Jun 24 Enroll'!H$1,FALSE)='District Calculations'!$D$14,VLOOKUP($A149,EnrollData2324,'2324 Jun 24 Enroll'!H$1,FALSE),'District Calculations'!$D$14)*Apport_214A2324s,3)</f>
        <v>1.8680000000000001</v>
      </c>
      <c r="Q149">
        <f>ROUND(IF(VLOOKUP($A149,EnrollData2324,'2324 Jun 24 Enroll'!I$1,FALSE)+VLOOKUP($A149,EnrollData2324,'2324 Jun 24 Enroll'!M$1,FALSE)-VLOOKUP($A149,EnrollData2324,'2324 Jun 24 Enroll'!J$1,FALSE)='District Calculations'!$D$16+'District Calculations'!$D$25-'District Calculations'!$D$17,VLOOKUP($A149,EnrollData2324,'2324 Jun 24 Enroll'!I$1,FALSE)+VLOOKUP($A149,EnrollData2324,'2324 Jun 24 Enroll'!M$1,FALSE)-VLOOKUP($A149,EnrollData2324,'2324 Jun 24 Enroll'!J$1,FALSE),'District Calculations'!$D$16+'District Calculations'!$D$25-'District Calculations'!$D$17)*Apport_217A2324s,3)</f>
        <v>4.702</v>
      </c>
      <c r="R149">
        <f>ROUND(SUM(L149:Q149)/IF(VLOOKUP($A149,EnrollData2324,'2324 Jun 24 Enroll'!M$1,FALSE)+VLOOKUP($A149,EnrollData2324,'2324 Jun 24 Enroll'!D$1,FALSE)='District Calculations'!$D$25+'District Calculations'!$D$11,VLOOKUP($A149,EnrollData2324,'2324 Jun 24 Enroll'!M$1,FALSE)+VLOOKUP($A149,EnrollData2324,'2324 Jun 24 Enroll'!D$1,FALSE),'District Calculations'!$D$25+'District Calculations'!$D$11),5)</f>
        <v>4.1099999999999999E-3</v>
      </c>
      <c r="S149" s="11">
        <f t="shared" si="13"/>
        <v>1.8689600000000001E-2</v>
      </c>
      <c r="T149">
        <f>ROUND(IF(VLOOKUP($A149,EnrollData2324,'2324 Jun 24 Enroll'!D$1,FALSE)='District Calculations'!$D$11,VLOOKUP($A149,EnrollData2324,'2324 Jun 24 Enroll'!D$1,FALSE),'District Calculations'!$D$11)*S149,3)</f>
        <v>0</v>
      </c>
      <c r="U149">
        <f>ROUND(IF(VLOOKUP($A149,EnrollData2324,'2324 Jun 24 Enroll'!E$1,FALSE)='District Calculations'!$D$12,VLOOKUP($A149,EnrollData2324,'2324 Jun 24 Enroll'!E$1,FALSE),'District Calculations'!$D$12)*S149,3)</f>
        <v>15.148</v>
      </c>
      <c r="V149">
        <f>ROUND(IF(VLOOKUP($A149,EnrollData2324,'2324 Jun 24 Enroll'!F$1,FALSE)='District Calculations'!$D$13,VLOOKUP($A149,EnrollData2324,'2324 Jun 24 Enroll'!F$1,FALSE),'District Calculations'!$D$13)*Apport_224A2324s,3)</f>
        <v>3.7029999999999998</v>
      </c>
      <c r="W149">
        <f>ROUND(IF(VLOOKUP($A149,EnrollData2324,'2324 Jun 24 Enroll'!G$1,FALSE)='District Calculations'!$D$14,VLOOKUP($A149,EnrollData2324,'2324 Jun 24 Enroll'!G$1,FALSE),'District Calculations'!$D$14)*Apport_212A2324s,3)</f>
        <v>8.2089999999999996</v>
      </c>
      <c r="X149">
        <f>ROUND(IF(VLOOKUP($A149,EnrollData2324,'2324 Jun 24 Enroll'!H$1,FALSE)='District Calculations'!$D$14,VLOOKUP($A149,EnrollData2324,'2324 Jun 24 Enroll'!H$1,FALSE),'District Calculations'!$D$14)*Apport_215A2324s,3)</f>
        <v>8.0969999999999995</v>
      </c>
      <c r="Y149">
        <f>ROUND(IF(VLOOKUP($A149,EnrollData2324,'2324 Jun 24 Enroll'!I$1,FALSE)+VLOOKUP($A149,EnrollData2324,'2324 Jun 24 Enroll'!M$1,FALSE)-VLOOKUP($A149,EnrollData2324,'2324 Jun 24 Enroll'!J$1,FALSE)='District Calculations'!$D$16+'District Calculations'!$D$25-'District Calculations'!$D$17,VLOOKUP($A149,EnrollData2324,'2324 Jun 24 Enroll'!I$1,FALSE)+VLOOKUP($A149,EnrollData2324,'2324 Jun 24 Enroll'!M$1,FALSE)-VLOOKUP($A149,EnrollData2324,'2324 Jun 24 Enroll'!J$1,FALSE),'District Calculations'!$D$16+'District Calculations'!$D$25-'District Calculations'!$D$17)*Apport_218A2324s,3)</f>
        <v>20.224</v>
      </c>
      <c r="Z149">
        <f>ROUND(SUM(T149:Y149)/IF(VLOOKUP($A149,EnrollData2324,'2324 Jun 24 Enroll'!M$1,FALSE)+VLOOKUP($A149,EnrollData2324,'2324 Jun 24 Enroll'!D$1,FALSE)='District Calculations'!$D$25+'District Calculations'!$D$11,VLOOKUP($A149,EnrollData2324,'2324 Jun 24 Enroll'!M$1,FALSE)+VLOOKUP($A149,EnrollData2324,'2324 Jun 24 Enroll'!D$1,FALSE),'District Calculations'!$D$25+'District Calculations'!$D$11),5)</f>
        <v>1.7749999999999998E-2</v>
      </c>
      <c r="AA149" s="6" cm="1">
        <f t="array" ref="AA149">ROUND($J149*CIS_Base_Salary2324s*VLOOKUP($A149,EnrollData2324,'2324 Jun 24 Enroll'!S$1,FALSE),2)</f>
        <v>4765.53</v>
      </c>
      <c r="AB149" s="6" cm="1">
        <f t="array" ref="AB149">ROUND($J149*CIS_Inc_Salary2324s*(VLOOKUP($A149,EnrollData2324,'2324 Jun 24 Enroll'!T$1,FALSE)+VLOOKUP($A149,EnrollData2324,'2324 Jun 24 Enroll'!U$1,FALSE)),2)-AA149</f>
        <v>176.32999999999993</v>
      </c>
      <c r="AC149" s="6" cm="1">
        <f t="array" ref="AC149">ROUND($R149*CAS_Base_Salary2324s*VLOOKUP($A149,EnrollData2324,'2324 Jun 24 Enroll'!S$1,FALSE),2)</f>
        <v>523.55999999999995</v>
      </c>
      <c r="AD149" s="6" cm="1">
        <f t="array" ref="AD149">ROUND($R149*CAS_Inc_Salary2324s*VLOOKUP($A149,EnrollData2324,'2324 Jun 24 Enroll'!T$1,FALSE),2)-AC149</f>
        <v>19.380000000000109</v>
      </c>
      <c r="AE149" s="6" cm="1">
        <f t="array" ref="AE149">ROUND($Z149*CLS_Base_Salary2324s*VLOOKUP($A149,EnrollData2324,'2324 Jun 24 Enroll'!S$1,FALSE),2)</f>
        <v>1092.76</v>
      </c>
      <c r="AF149" s="6" cm="1">
        <f t="array" ref="AF149">ROUND($Z149*CLS_Inc_Salary2324s*VLOOKUP($A149,EnrollData2324,'2324 Jun 24 Enroll'!T$1,FALSE),2)-AE149</f>
        <v>40.430000000000064</v>
      </c>
      <c r="AG149" cm="1">
        <f t="array" ref="AG149">ROUND(($J149+$R149)*Apport_124X2324s,2)</f>
        <v>734.29</v>
      </c>
      <c r="AH149" s="69">
        <f t="shared" si="14"/>
        <v>68.700000000000045</v>
      </c>
      <c r="AI149" cm="1">
        <f t="array" ref="AI149">ROUND($Z149*Apport_124X2324s,2)</f>
        <v>218.54</v>
      </c>
      <c r="AJ149" cm="1">
        <f t="array" ref="AJ149">ROUND($Z149*Apport_621X2324s*Apport_125X2324s,2)-AI149</f>
        <v>116.51000000000002</v>
      </c>
      <c r="AK149" cm="1">
        <f t="array" ref="AK149">ROUND((AA149+AC149)*Apport_126X2324s,2)</f>
        <v>950.45</v>
      </c>
      <c r="AL149" cm="1">
        <f t="array" ref="AL149">ROUND((AB149+AD149)*Apport_127X2324s,2)</f>
        <v>33.92</v>
      </c>
      <c r="AM149" cm="1">
        <f t="array" ref="AM149">ROUND(AE149*Apport_128X2324s,2)</f>
        <v>241.06</v>
      </c>
      <c r="AN149" cm="1">
        <f t="array" ref="AN149">ROUND(AF149*Apport_129X2324s,2)</f>
        <v>7.5</v>
      </c>
      <c r="AO149" cm="1">
        <f t="array" ref="AO149">ROUND(($J149*CIS_Inc_Salary2324s*(VLOOKUP($A149,EnrollData2324,'2324 Jun 24 Enroll'!T$1,FALSE)+VLOOKUP($A149,EnrollData2324,'2324 Jun 24 Enroll'!U$1,FALSE))/Apport_613Xpd)*Apport_614Xpd,2)</f>
        <v>82.36</v>
      </c>
      <c r="AP149" cm="1">
        <f t="array" ref="AP149">ROUND(AO149*Apport_127X2324s,2)</f>
        <v>14.27</v>
      </c>
      <c r="AQ149">
        <f t="shared" si="15"/>
        <v>30.93</v>
      </c>
      <c r="AR149" s="6" cm="1">
        <f t="array" ref="AR149">ROUND((VLOOKUP($A149,EnrollData2324,'2324 Jun 24 Enroll'!D$1,FALSE)*Apport_M802324s+VLOOKUP($A149,EnrollData2324,'2324 Jun 24 Enroll'!M$1,FALSE)*Apport_M802324s+(VLOOKUP($A149,EnrollData2324,'2324 Jun 24 Enroll'!P$1,FALSE)+VLOOKUP($A149,EnrollData2324,'2324 Jun 24 Enroll'!Q$1,FALSE)+VLOOKUP($A149,EnrollData2324,'2324 Jun 24 Enroll'!R$1,FALSE)+VLOOKUP($A149,EnrollData2324,'2324 Jun 24 Enroll'!I$1,FALSE)+VLOOKUP($A149,EnrollData2324,'2324 Jun 24 Enroll'!N$1,FALSE)+VLOOKUP($A149,EnrollData2324,'2324 Jun 24 Enroll'!O$1,FALSE)+VLOOKUP($A149,EnrollData2324,'2324 Jun 24 Enroll'!K$1,FALSE)+VLOOKUP($A149,EnrollData2324,'2324 Jun 24 Enroll'!L$1,FALSE))*Apport_M812324s)/(VLOOKUP($A149,EnrollData2324,'2324 Jun 24 Enroll'!M$1,FALSE)+VLOOKUP($A149,EnrollData2324,'2324 Jun 24 Enroll'!D$1,FALSE)),2)</f>
        <v>1567.5</v>
      </c>
      <c r="AS149" s="7">
        <f t="shared" si="16"/>
        <v>10684.020000000002</v>
      </c>
    </row>
    <row r="150" spans="1:45">
      <c r="A150" s="40" t="s">
        <v>1015</v>
      </c>
      <c r="B150" s="40" t="s">
        <v>1016</v>
      </c>
      <c r="C150" s="11">
        <f>ROUND((IFERROR((1/IF(VLOOKUP($A150,EnrollData2324,28,FALSE)='District Calculations'!$D$10,VLOOKUP($A150,EnrollData2324,28,FALSE),'District Calculations'!$D$10))*(1+Apport_Z315),0))+Apport_201A2324s,6)</f>
        <v>7.3449E-2</v>
      </c>
      <c r="D150">
        <f>ROUND(IF(VLOOKUP($A150,EnrollData2324,'2324 Jun 24 Enroll'!D$1,FALSE)='District Calculations'!$D$11,VLOOKUP($A150,EnrollData2324,'2324 Jun 24 Enroll'!D$1,FALSE),'District Calculations'!$D$11)*C150,3)</f>
        <v>0</v>
      </c>
      <c r="E150">
        <f>ROUND(IF(VLOOKUP($A150,EnrollData2324,'2324 Jun 24 Enroll'!E$1,FALSE)='District Calculations'!$D$12,VLOOKUP($A150,EnrollData2324,'2324 Jun 24 Enroll'!E$1,FALSE),'District Calculations'!$D$12)*C150,3)</f>
        <v>59.53</v>
      </c>
      <c r="F150">
        <f>ROUND(IF(VLOOKUP($A150,EnrollData2324,'2324 Jun 24 Enroll'!F$1,FALSE)='District Calculations'!$D$13,VLOOKUP($A150,EnrollData2324,'2324 Jun 24 Enroll'!F$1,FALSE),'District Calculations'!$D$13)*Apport_222A2324s,3)</f>
        <v>10.101000000000001</v>
      </c>
      <c r="G150">
        <f>ROUND(IF(VLOOKUP($A150,EnrollData2324,'2324 Jun 24 Enroll'!G$1,FALSE)='District Calculations'!$D$14,VLOOKUP($A150,EnrollData2324,'2324 Jun 24 Enroll'!G$1,FALSE),'District Calculations'!$D$14)*Apport_210A2324s,3)</f>
        <v>22.395</v>
      </c>
      <c r="H150">
        <f>ROUND(IF(VLOOKUP($A150,EnrollData2324,'2324 Jun 24 Enroll'!H$1,FALSE)='District Calculations'!$D$15,VLOOKUP($A150,EnrollData2324,'2324 Jun 24 Enroll'!H$1,FALSE),'District Calculations'!$D$15)*Apport_213A2324s,3)</f>
        <v>23.091999999999999</v>
      </c>
      <c r="I150">
        <f>ROUND(IF(VLOOKUP($A150,EnrollData2324,'2324 Jun 24 Enroll'!I$1,FALSE)+VLOOKUP($A150,EnrollData2324,'2324 Jun 24 Enroll'!M$1,FALSE)-VLOOKUP($A150,EnrollData2324,'2324 Jun 24 Enroll'!J$1,FALSE)='District Calculations'!$D$16+'District Calculations'!$D$25-'District Calculations'!$D$17,VLOOKUP($A150,EnrollData2324,'2324 Jun 24 Enroll'!I$1,FALSE)+VLOOKUP($A150,EnrollData2324,'2324 Jun 24 Enroll'!M$1,FALSE)-VLOOKUP($A150,EnrollData2324,'2324 Jun 24 Enroll'!J$1,FALSE),'District Calculations'!$D$16+'District Calculations'!$D$25-'District Calculations'!$D$17)*Apport_216A2324s,3)</f>
        <v>58.183999999999997</v>
      </c>
      <c r="J150">
        <f>ROUND(SUM(D150:I150)/(IF(VLOOKUP($A150,EnrollData2324,'2324 Jun 24 Enroll'!M$1,FALSE)='District Calculations'!$D$25,VLOOKUP($A150,EnrollData2324,'2324 Jun 24 Enroll'!M$1,FALSE),'District Calculations'!$D$25)+IF(VLOOKUP($A150,EnrollData2324,'2324 Jun 24 Enroll'!D$1,FALSE)='District Calculations'!$D$11,VLOOKUP($A150,EnrollData2324,'2324 Jun 24 Enroll'!D$1,FALSE),'District Calculations'!$D$11)),5)</f>
        <v>5.5530000000000003E-2</v>
      </c>
      <c r="K150" s="11">
        <f t="shared" si="12"/>
        <v>4.3699999999999998E-3</v>
      </c>
      <c r="L150">
        <f>ROUND(IF(VLOOKUP($A150,EnrollData2324,'2324 Jun 24 Enroll'!D$1,FALSE)='District Calculations'!$D$11,VLOOKUP($A150,EnrollData2324,'2324 Jun 24 Enroll'!D$1,FALSE),'District Calculations'!$D$11)*K150,3)</f>
        <v>0</v>
      </c>
      <c r="M150">
        <f>ROUND(IF(VLOOKUP($A150,EnrollData2324,'2324 Jun 24 Enroll'!E$1,FALSE)='District Calculations'!$D$12,VLOOKUP($A150,EnrollData2324,'2324 Jun 24 Enroll'!E$1,FALSE),'District Calculations'!$D$12)*K150,3)</f>
        <v>3.5419999999999998</v>
      </c>
      <c r="N150">
        <f>ROUND(IF(VLOOKUP($A150,EnrollData2324,'2324 Jun 24 Enroll'!F$1,FALSE)='District Calculations'!$D$13,VLOOKUP($A150,EnrollData2324,'2324 Jun 24 Enroll'!F$1,FALSE),'District Calculations'!$D$13)*Apport_223A2324s,3)</f>
        <v>0.84299999999999997</v>
      </c>
      <c r="O150">
        <f>ROUND(IF(VLOOKUP($A150,EnrollData2324,'2324 Jun 24 Enroll'!G$1,FALSE)='District Calculations'!$D$14,VLOOKUP($A150,EnrollData2324,'2324 Jun 24 Enroll'!G$1,FALSE),'District Calculations'!$D$14)*Apport_211A2324s,3)</f>
        <v>1.87</v>
      </c>
      <c r="P150">
        <f>ROUND(IF(VLOOKUP($A150,EnrollData2324,'2324 Jun 24 Enroll'!H$1,FALSE)='District Calculations'!$D$14,VLOOKUP($A150,EnrollData2324,'2324 Jun 24 Enroll'!H$1,FALSE),'District Calculations'!$D$14)*Apport_214A2324s,3)</f>
        <v>1.8680000000000001</v>
      </c>
      <c r="Q150">
        <f>ROUND(IF(VLOOKUP($A150,EnrollData2324,'2324 Jun 24 Enroll'!I$1,FALSE)+VLOOKUP($A150,EnrollData2324,'2324 Jun 24 Enroll'!M$1,FALSE)-VLOOKUP($A150,EnrollData2324,'2324 Jun 24 Enroll'!J$1,FALSE)='District Calculations'!$D$16+'District Calculations'!$D$25-'District Calculations'!$D$17,VLOOKUP($A150,EnrollData2324,'2324 Jun 24 Enroll'!I$1,FALSE)+VLOOKUP($A150,EnrollData2324,'2324 Jun 24 Enroll'!M$1,FALSE)-VLOOKUP($A150,EnrollData2324,'2324 Jun 24 Enroll'!J$1,FALSE),'District Calculations'!$D$16+'District Calculations'!$D$25-'District Calculations'!$D$17)*Apport_217A2324s,3)</f>
        <v>4.702</v>
      </c>
      <c r="R150">
        <f>ROUND(SUM(L150:Q150)/IF(VLOOKUP($A150,EnrollData2324,'2324 Jun 24 Enroll'!M$1,FALSE)+VLOOKUP($A150,EnrollData2324,'2324 Jun 24 Enroll'!D$1,FALSE)='District Calculations'!$D$25+'District Calculations'!$D$11,VLOOKUP($A150,EnrollData2324,'2324 Jun 24 Enroll'!M$1,FALSE)+VLOOKUP($A150,EnrollData2324,'2324 Jun 24 Enroll'!D$1,FALSE),'District Calculations'!$D$25+'District Calculations'!$D$11),5)</f>
        <v>4.1099999999999999E-3</v>
      </c>
      <c r="S150" s="11">
        <f t="shared" si="13"/>
        <v>1.8689600000000001E-2</v>
      </c>
      <c r="T150">
        <f>ROUND(IF(VLOOKUP($A150,EnrollData2324,'2324 Jun 24 Enroll'!D$1,FALSE)='District Calculations'!$D$11,VLOOKUP($A150,EnrollData2324,'2324 Jun 24 Enroll'!D$1,FALSE),'District Calculations'!$D$11)*S150,3)</f>
        <v>0</v>
      </c>
      <c r="U150">
        <f>ROUND(IF(VLOOKUP($A150,EnrollData2324,'2324 Jun 24 Enroll'!E$1,FALSE)='District Calculations'!$D$12,VLOOKUP($A150,EnrollData2324,'2324 Jun 24 Enroll'!E$1,FALSE),'District Calculations'!$D$12)*S150,3)</f>
        <v>15.148</v>
      </c>
      <c r="V150">
        <f>ROUND(IF(VLOOKUP($A150,EnrollData2324,'2324 Jun 24 Enroll'!F$1,FALSE)='District Calculations'!$D$13,VLOOKUP($A150,EnrollData2324,'2324 Jun 24 Enroll'!F$1,FALSE),'District Calculations'!$D$13)*Apport_224A2324s,3)</f>
        <v>3.7029999999999998</v>
      </c>
      <c r="W150">
        <f>ROUND(IF(VLOOKUP($A150,EnrollData2324,'2324 Jun 24 Enroll'!G$1,FALSE)='District Calculations'!$D$14,VLOOKUP($A150,EnrollData2324,'2324 Jun 24 Enroll'!G$1,FALSE),'District Calculations'!$D$14)*Apport_212A2324s,3)</f>
        <v>8.2089999999999996</v>
      </c>
      <c r="X150">
        <f>ROUND(IF(VLOOKUP($A150,EnrollData2324,'2324 Jun 24 Enroll'!H$1,FALSE)='District Calculations'!$D$14,VLOOKUP($A150,EnrollData2324,'2324 Jun 24 Enroll'!H$1,FALSE),'District Calculations'!$D$14)*Apport_215A2324s,3)</f>
        <v>8.0969999999999995</v>
      </c>
      <c r="Y150">
        <f>ROUND(IF(VLOOKUP($A150,EnrollData2324,'2324 Jun 24 Enroll'!I$1,FALSE)+VLOOKUP($A150,EnrollData2324,'2324 Jun 24 Enroll'!M$1,FALSE)-VLOOKUP($A150,EnrollData2324,'2324 Jun 24 Enroll'!J$1,FALSE)='District Calculations'!$D$16+'District Calculations'!$D$25-'District Calculations'!$D$17,VLOOKUP($A150,EnrollData2324,'2324 Jun 24 Enroll'!I$1,FALSE)+VLOOKUP($A150,EnrollData2324,'2324 Jun 24 Enroll'!M$1,FALSE)-VLOOKUP($A150,EnrollData2324,'2324 Jun 24 Enroll'!J$1,FALSE),'District Calculations'!$D$16+'District Calculations'!$D$25-'District Calculations'!$D$17)*Apport_218A2324s,3)</f>
        <v>20.224</v>
      </c>
      <c r="Z150">
        <f>ROUND(SUM(T150:Y150)/IF(VLOOKUP($A150,EnrollData2324,'2324 Jun 24 Enroll'!M$1,FALSE)+VLOOKUP($A150,EnrollData2324,'2324 Jun 24 Enroll'!D$1,FALSE)='District Calculations'!$D$25+'District Calculations'!$D$11,VLOOKUP($A150,EnrollData2324,'2324 Jun 24 Enroll'!M$1,FALSE)+VLOOKUP($A150,EnrollData2324,'2324 Jun 24 Enroll'!D$1,FALSE),'District Calculations'!$D$25+'District Calculations'!$D$11),5)</f>
        <v>1.7749999999999998E-2</v>
      </c>
      <c r="AA150" s="6" cm="1">
        <f t="array" ref="AA150">ROUND($J150*CIS_Base_Salary2324s*VLOOKUP($A150,EnrollData2324,'2324 Jun 24 Enroll'!S$1,FALSE),2)</f>
        <v>4765.53</v>
      </c>
      <c r="AB150" s="6" cm="1">
        <f t="array" ref="AB150">ROUND($J150*CIS_Inc_Salary2324s*(VLOOKUP($A150,EnrollData2324,'2324 Jun 24 Enroll'!T$1,FALSE)+VLOOKUP($A150,EnrollData2324,'2324 Jun 24 Enroll'!U$1,FALSE)),2)-AA150</f>
        <v>176.32999999999993</v>
      </c>
      <c r="AC150" s="6" cm="1">
        <f t="array" ref="AC150">ROUND($R150*CAS_Base_Salary2324s*VLOOKUP($A150,EnrollData2324,'2324 Jun 24 Enroll'!S$1,FALSE),2)</f>
        <v>523.55999999999995</v>
      </c>
      <c r="AD150" s="6" cm="1">
        <f t="array" ref="AD150">ROUND($R150*CAS_Inc_Salary2324s*VLOOKUP($A150,EnrollData2324,'2324 Jun 24 Enroll'!T$1,FALSE),2)-AC150</f>
        <v>19.380000000000109</v>
      </c>
      <c r="AE150" s="6" cm="1">
        <f t="array" ref="AE150">ROUND($Z150*CLS_Base_Salary2324s*VLOOKUP($A150,EnrollData2324,'2324 Jun 24 Enroll'!S$1,FALSE),2)</f>
        <v>1092.76</v>
      </c>
      <c r="AF150" s="6" cm="1">
        <f t="array" ref="AF150">ROUND($Z150*CLS_Inc_Salary2324s*VLOOKUP($A150,EnrollData2324,'2324 Jun 24 Enroll'!T$1,FALSE),2)-AE150</f>
        <v>40.430000000000064</v>
      </c>
      <c r="AG150" cm="1">
        <f t="array" ref="AG150">ROUND(($J150+$R150)*Apport_124X2324s,2)</f>
        <v>734.29</v>
      </c>
      <c r="AH150" s="69">
        <f t="shared" si="14"/>
        <v>68.700000000000045</v>
      </c>
      <c r="AI150" cm="1">
        <f t="array" ref="AI150">ROUND($Z150*Apport_124X2324s,2)</f>
        <v>218.54</v>
      </c>
      <c r="AJ150" cm="1">
        <f t="array" ref="AJ150">ROUND($Z150*Apport_621X2324s*Apport_125X2324s,2)-AI150</f>
        <v>116.51000000000002</v>
      </c>
      <c r="AK150" cm="1">
        <f t="array" ref="AK150">ROUND((AA150+AC150)*Apport_126X2324s,2)</f>
        <v>950.45</v>
      </c>
      <c r="AL150" cm="1">
        <f t="array" ref="AL150">ROUND((AB150+AD150)*Apport_127X2324s,2)</f>
        <v>33.92</v>
      </c>
      <c r="AM150" cm="1">
        <f t="array" ref="AM150">ROUND(AE150*Apport_128X2324s,2)</f>
        <v>241.06</v>
      </c>
      <c r="AN150" cm="1">
        <f t="array" ref="AN150">ROUND(AF150*Apport_129X2324s,2)</f>
        <v>7.5</v>
      </c>
      <c r="AO150" cm="1">
        <f t="array" ref="AO150">ROUND(($J150*CIS_Inc_Salary2324s*(VLOOKUP($A150,EnrollData2324,'2324 Jun 24 Enroll'!T$1,FALSE)+VLOOKUP($A150,EnrollData2324,'2324 Jun 24 Enroll'!U$1,FALSE))/Apport_613Xpd)*Apport_614Xpd,2)</f>
        <v>82.36</v>
      </c>
      <c r="AP150" cm="1">
        <f t="array" ref="AP150">ROUND(AO150*Apport_127X2324s,2)</f>
        <v>14.27</v>
      </c>
      <c r="AQ150">
        <f t="shared" si="15"/>
        <v>30.93</v>
      </c>
      <c r="AR150" s="6" cm="1">
        <f t="array" ref="AR150">ROUND((VLOOKUP($A150,EnrollData2324,'2324 Jun 24 Enroll'!D$1,FALSE)*Apport_M802324s+VLOOKUP($A150,EnrollData2324,'2324 Jun 24 Enroll'!M$1,FALSE)*Apport_M802324s+(VLOOKUP($A150,EnrollData2324,'2324 Jun 24 Enroll'!P$1,FALSE)+VLOOKUP($A150,EnrollData2324,'2324 Jun 24 Enroll'!Q$1,FALSE)+VLOOKUP($A150,EnrollData2324,'2324 Jun 24 Enroll'!R$1,FALSE)+VLOOKUP($A150,EnrollData2324,'2324 Jun 24 Enroll'!I$1,FALSE)+VLOOKUP($A150,EnrollData2324,'2324 Jun 24 Enroll'!N$1,FALSE)+VLOOKUP($A150,EnrollData2324,'2324 Jun 24 Enroll'!O$1,FALSE)+VLOOKUP($A150,EnrollData2324,'2324 Jun 24 Enroll'!K$1,FALSE)+VLOOKUP($A150,EnrollData2324,'2324 Jun 24 Enroll'!L$1,FALSE))*Apport_M812324s)/(VLOOKUP($A150,EnrollData2324,'2324 Jun 24 Enroll'!M$1,FALSE)+VLOOKUP($A150,EnrollData2324,'2324 Jun 24 Enroll'!D$1,FALSE)),2)</f>
        <v>1504.44</v>
      </c>
      <c r="AS150" s="7">
        <f t="shared" si="16"/>
        <v>10620.960000000003</v>
      </c>
    </row>
    <row r="151" spans="1:45">
      <c r="A151" s="40" t="s">
        <v>901</v>
      </c>
      <c r="B151" s="40" t="s">
        <v>902</v>
      </c>
      <c r="C151" s="11">
        <f>ROUND((IFERROR((1/IF(VLOOKUP($A151,EnrollData2324,28,FALSE)='District Calculations'!$D$10,VLOOKUP($A151,EnrollData2324,28,FALSE),'District Calculations'!$D$10))*(1+Apport_Z315),0))+Apport_201A2324s,6)</f>
        <v>7.3449E-2</v>
      </c>
      <c r="D151">
        <f>ROUND(IF(VLOOKUP($A151,EnrollData2324,'2324 Jun 24 Enroll'!D$1,FALSE)='District Calculations'!$D$11,VLOOKUP($A151,EnrollData2324,'2324 Jun 24 Enroll'!D$1,FALSE),'District Calculations'!$D$11)*C151,3)</f>
        <v>0</v>
      </c>
      <c r="E151">
        <f>ROUND(IF(VLOOKUP($A151,EnrollData2324,'2324 Jun 24 Enroll'!E$1,FALSE)='District Calculations'!$D$12,VLOOKUP($A151,EnrollData2324,'2324 Jun 24 Enroll'!E$1,FALSE),'District Calculations'!$D$12)*C151,3)</f>
        <v>59.53</v>
      </c>
      <c r="F151">
        <f>ROUND(IF(VLOOKUP($A151,EnrollData2324,'2324 Jun 24 Enroll'!F$1,FALSE)='District Calculations'!$D$13,VLOOKUP($A151,EnrollData2324,'2324 Jun 24 Enroll'!F$1,FALSE),'District Calculations'!$D$13)*Apport_222A2324s,3)</f>
        <v>10.101000000000001</v>
      </c>
      <c r="G151">
        <f>ROUND(IF(VLOOKUP($A151,EnrollData2324,'2324 Jun 24 Enroll'!G$1,FALSE)='District Calculations'!$D$14,VLOOKUP($A151,EnrollData2324,'2324 Jun 24 Enroll'!G$1,FALSE),'District Calculations'!$D$14)*Apport_210A2324s,3)</f>
        <v>22.395</v>
      </c>
      <c r="H151">
        <f>ROUND(IF(VLOOKUP($A151,EnrollData2324,'2324 Jun 24 Enroll'!H$1,FALSE)='District Calculations'!$D$15,VLOOKUP($A151,EnrollData2324,'2324 Jun 24 Enroll'!H$1,FALSE),'District Calculations'!$D$15)*Apport_213A2324s,3)</f>
        <v>23.091999999999999</v>
      </c>
      <c r="I151">
        <f>ROUND(IF(VLOOKUP($A151,EnrollData2324,'2324 Jun 24 Enroll'!I$1,FALSE)+VLOOKUP($A151,EnrollData2324,'2324 Jun 24 Enroll'!M$1,FALSE)-VLOOKUP($A151,EnrollData2324,'2324 Jun 24 Enroll'!J$1,FALSE)='District Calculations'!$D$16+'District Calculations'!$D$25-'District Calculations'!$D$17,VLOOKUP($A151,EnrollData2324,'2324 Jun 24 Enroll'!I$1,FALSE)+VLOOKUP($A151,EnrollData2324,'2324 Jun 24 Enroll'!M$1,FALSE)-VLOOKUP($A151,EnrollData2324,'2324 Jun 24 Enroll'!J$1,FALSE),'District Calculations'!$D$16+'District Calculations'!$D$25-'District Calculations'!$D$17)*Apport_216A2324s,3)</f>
        <v>58.183999999999997</v>
      </c>
      <c r="J151">
        <f>ROUND(SUM(D151:I151)/(IF(VLOOKUP($A151,EnrollData2324,'2324 Jun 24 Enroll'!M$1,FALSE)='District Calculations'!$D$25,VLOOKUP($A151,EnrollData2324,'2324 Jun 24 Enroll'!M$1,FALSE),'District Calculations'!$D$25)+IF(VLOOKUP($A151,EnrollData2324,'2324 Jun 24 Enroll'!D$1,FALSE)='District Calculations'!$D$11,VLOOKUP($A151,EnrollData2324,'2324 Jun 24 Enroll'!D$1,FALSE),'District Calculations'!$D$11)),5)</f>
        <v>5.5530000000000003E-2</v>
      </c>
      <c r="K151" s="11">
        <f t="shared" si="12"/>
        <v>4.3699999999999998E-3</v>
      </c>
      <c r="L151">
        <f>ROUND(IF(VLOOKUP($A151,EnrollData2324,'2324 Jun 24 Enroll'!D$1,FALSE)='District Calculations'!$D$11,VLOOKUP($A151,EnrollData2324,'2324 Jun 24 Enroll'!D$1,FALSE),'District Calculations'!$D$11)*K151,3)</f>
        <v>0</v>
      </c>
      <c r="M151">
        <f>ROUND(IF(VLOOKUP($A151,EnrollData2324,'2324 Jun 24 Enroll'!E$1,FALSE)='District Calculations'!$D$12,VLOOKUP($A151,EnrollData2324,'2324 Jun 24 Enroll'!E$1,FALSE),'District Calculations'!$D$12)*K151,3)</f>
        <v>3.5419999999999998</v>
      </c>
      <c r="N151">
        <f>ROUND(IF(VLOOKUP($A151,EnrollData2324,'2324 Jun 24 Enroll'!F$1,FALSE)='District Calculations'!$D$13,VLOOKUP($A151,EnrollData2324,'2324 Jun 24 Enroll'!F$1,FALSE),'District Calculations'!$D$13)*Apport_223A2324s,3)</f>
        <v>0.84299999999999997</v>
      </c>
      <c r="O151">
        <f>ROUND(IF(VLOOKUP($A151,EnrollData2324,'2324 Jun 24 Enroll'!G$1,FALSE)='District Calculations'!$D$14,VLOOKUP($A151,EnrollData2324,'2324 Jun 24 Enroll'!G$1,FALSE),'District Calculations'!$D$14)*Apport_211A2324s,3)</f>
        <v>1.87</v>
      </c>
      <c r="P151">
        <f>ROUND(IF(VLOOKUP($A151,EnrollData2324,'2324 Jun 24 Enroll'!H$1,FALSE)='District Calculations'!$D$14,VLOOKUP($A151,EnrollData2324,'2324 Jun 24 Enroll'!H$1,FALSE),'District Calculations'!$D$14)*Apport_214A2324s,3)</f>
        <v>1.8680000000000001</v>
      </c>
      <c r="Q151">
        <f>ROUND(IF(VLOOKUP($A151,EnrollData2324,'2324 Jun 24 Enroll'!I$1,FALSE)+VLOOKUP($A151,EnrollData2324,'2324 Jun 24 Enroll'!M$1,FALSE)-VLOOKUP($A151,EnrollData2324,'2324 Jun 24 Enroll'!J$1,FALSE)='District Calculations'!$D$16+'District Calculations'!$D$25-'District Calculations'!$D$17,VLOOKUP($A151,EnrollData2324,'2324 Jun 24 Enroll'!I$1,FALSE)+VLOOKUP($A151,EnrollData2324,'2324 Jun 24 Enroll'!M$1,FALSE)-VLOOKUP($A151,EnrollData2324,'2324 Jun 24 Enroll'!J$1,FALSE),'District Calculations'!$D$16+'District Calculations'!$D$25-'District Calculations'!$D$17)*Apport_217A2324s,3)</f>
        <v>4.702</v>
      </c>
      <c r="R151">
        <f>ROUND(SUM(L151:Q151)/IF(VLOOKUP($A151,EnrollData2324,'2324 Jun 24 Enroll'!M$1,FALSE)+VLOOKUP($A151,EnrollData2324,'2324 Jun 24 Enroll'!D$1,FALSE)='District Calculations'!$D$25+'District Calculations'!$D$11,VLOOKUP($A151,EnrollData2324,'2324 Jun 24 Enroll'!M$1,FALSE)+VLOOKUP($A151,EnrollData2324,'2324 Jun 24 Enroll'!D$1,FALSE),'District Calculations'!$D$25+'District Calculations'!$D$11),5)</f>
        <v>4.1099999999999999E-3</v>
      </c>
      <c r="S151" s="11">
        <f t="shared" si="13"/>
        <v>1.8689600000000001E-2</v>
      </c>
      <c r="T151">
        <f>ROUND(IF(VLOOKUP($A151,EnrollData2324,'2324 Jun 24 Enroll'!D$1,FALSE)='District Calculations'!$D$11,VLOOKUP($A151,EnrollData2324,'2324 Jun 24 Enroll'!D$1,FALSE),'District Calculations'!$D$11)*S151,3)</f>
        <v>0</v>
      </c>
      <c r="U151">
        <f>ROUND(IF(VLOOKUP($A151,EnrollData2324,'2324 Jun 24 Enroll'!E$1,FALSE)='District Calculations'!$D$12,VLOOKUP($A151,EnrollData2324,'2324 Jun 24 Enroll'!E$1,FALSE),'District Calculations'!$D$12)*S151,3)</f>
        <v>15.148</v>
      </c>
      <c r="V151">
        <f>ROUND(IF(VLOOKUP($A151,EnrollData2324,'2324 Jun 24 Enroll'!F$1,FALSE)='District Calculations'!$D$13,VLOOKUP($A151,EnrollData2324,'2324 Jun 24 Enroll'!F$1,FALSE),'District Calculations'!$D$13)*Apport_224A2324s,3)</f>
        <v>3.7029999999999998</v>
      </c>
      <c r="W151">
        <f>ROUND(IF(VLOOKUP($A151,EnrollData2324,'2324 Jun 24 Enroll'!G$1,FALSE)='District Calculations'!$D$14,VLOOKUP($A151,EnrollData2324,'2324 Jun 24 Enroll'!G$1,FALSE),'District Calculations'!$D$14)*Apport_212A2324s,3)</f>
        <v>8.2089999999999996</v>
      </c>
      <c r="X151">
        <f>ROUND(IF(VLOOKUP($A151,EnrollData2324,'2324 Jun 24 Enroll'!H$1,FALSE)='District Calculations'!$D$14,VLOOKUP($A151,EnrollData2324,'2324 Jun 24 Enroll'!H$1,FALSE),'District Calculations'!$D$14)*Apport_215A2324s,3)</f>
        <v>8.0969999999999995</v>
      </c>
      <c r="Y151">
        <f>ROUND(IF(VLOOKUP($A151,EnrollData2324,'2324 Jun 24 Enroll'!I$1,FALSE)+VLOOKUP($A151,EnrollData2324,'2324 Jun 24 Enroll'!M$1,FALSE)-VLOOKUP($A151,EnrollData2324,'2324 Jun 24 Enroll'!J$1,FALSE)='District Calculations'!$D$16+'District Calculations'!$D$25-'District Calculations'!$D$17,VLOOKUP($A151,EnrollData2324,'2324 Jun 24 Enroll'!I$1,FALSE)+VLOOKUP($A151,EnrollData2324,'2324 Jun 24 Enroll'!M$1,FALSE)-VLOOKUP($A151,EnrollData2324,'2324 Jun 24 Enroll'!J$1,FALSE),'District Calculations'!$D$16+'District Calculations'!$D$25-'District Calculations'!$D$17)*Apport_218A2324s,3)</f>
        <v>20.224</v>
      </c>
      <c r="Z151">
        <f>ROUND(SUM(T151:Y151)/IF(VLOOKUP($A151,EnrollData2324,'2324 Jun 24 Enroll'!M$1,FALSE)+VLOOKUP($A151,EnrollData2324,'2324 Jun 24 Enroll'!D$1,FALSE)='District Calculations'!$D$25+'District Calculations'!$D$11,VLOOKUP($A151,EnrollData2324,'2324 Jun 24 Enroll'!M$1,FALSE)+VLOOKUP($A151,EnrollData2324,'2324 Jun 24 Enroll'!D$1,FALSE),'District Calculations'!$D$25+'District Calculations'!$D$11),5)</f>
        <v>1.7749999999999998E-2</v>
      </c>
      <c r="AA151" s="6" cm="1">
        <f t="array" ref="AA151">ROUND($J151*CIS_Base_Salary2324s*VLOOKUP($A151,EnrollData2324,'2324 Jun 24 Enroll'!S$1,FALSE),2)</f>
        <v>4765.53</v>
      </c>
      <c r="AB151" s="6" cm="1">
        <f t="array" ref="AB151">ROUND($J151*CIS_Inc_Salary2324s*(VLOOKUP($A151,EnrollData2324,'2324 Jun 24 Enroll'!T$1,FALSE)+VLOOKUP($A151,EnrollData2324,'2324 Jun 24 Enroll'!U$1,FALSE)),2)-AA151</f>
        <v>176.32999999999993</v>
      </c>
      <c r="AC151" s="6" cm="1">
        <f t="array" ref="AC151">ROUND($R151*CAS_Base_Salary2324s*VLOOKUP($A151,EnrollData2324,'2324 Jun 24 Enroll'!S$1,FALSE),2)</f>
        <v>523.55999999999995</v>
      </c>
      <c r="AD151" s="6" cm="1">
        <f t="array" ref="AD151">ROUND($R151*CAS_Inc_Salary2324s*VLOOKUP($A151,EnrollData2324,'2324 Jun 24 Enroll'!T$1,FALSE),2)-AC151</f>
        <v>19.380000000000109</v>
      </c>
      <c r="AE151" s="6" cm="1">
        <f t="array" ref="AE151">ROUND($Z151*CLS_Base_Salary2324s*VLOOKUP($A151,EnrollData2324,'2324 Jun 24 Enroll'!S$1,FALSE),2)</f>
        <v>1092.76</v>
      </c>
      <c r="AF151" s="6" cm="1">
        <f t="array" ref="AF151">ROUND($Z151*CLS_Inc_Salary2324s*VLOOKUP($A151,EnrollData2324,'2324 Jun 24 Enroll'!T$1,FALSE),2)-AE151</f>
        <v>40.430000000000064</v>
      </c>
      <c r="AG151" cm="1">
        <f t="array" ref="AG151">ROUND(($J151+$R151)*Apport_124X2324s,2)</f>
        <v>734.29</v>
      </c>
      <c r="AH151" s="69">
        <f t="shared" si="14"/>
        <v>68.700000000000045</v>
      </c>
      <c r="AI151" cm="1">
        <f t="array" ref="AI151">ROUND($Z151*Apport_124X2324s,2)</f>
        <v>218.54</v>
      </c>
      <c r="AJ151" cm="1">
        <f t="array" ref="AJ151">ROUND($Z151*Apport_621X2324s*Apport_125X2324s,2)-AI151</f>
        <v>116.51000000000002</v>
      </c>
      <c r="AK151" cm="1">
        <f t="array" ref="AK151">ROUND((AA151+AC151)*Apport_126X2324s,2)</f>
        <v>950.45</v>
      </c>
      <c r="AL151" cm="1">
        <f t="array" ref="AL151">ROUND((AB151+AD151)*Apport_127X2324s,2)</f>
        <v>33.92</v>
      </c>
      <c r="AM151" cm="1">
        <f t="array" ref="AM151">ROUND(AE151*Apport_128X2324s,2)</f>
        <v>241.06</v>
      </c>
      <c r="AN151" cm="1">
        <f t="array" ref="AN151">ROUND(AF151*Apport_129X2324s,2)</f>
        <v>7.5</v>
      </c>
      <c r="AO151" cm="1">
        <f t="array" ref="AO151">ROUND(($J151*CIS_Inc_Salary2324s*(VLOOKUP($A151,EnrollData2324,'2324 Jun 24 Enroll'!T$1,FALSE)+VLOOKUP($A151,EnrollData2324,'2324 Jun 24 Enroll'!U$1,FALSE))/Apport_613Xpd)*Apport_614Xpd,2)</f>
        <v>82.36</v>
      </c>
      <c r="AP151" cm="1">
        <f t="array" ref="AP151">ROUND(AO151*Apport_127X2324s,2)</f>
        <v>14.27</v>
      </c>
      <c r="AQ151">
        <f t="shared" si="15"/>
        <v>30.93</v>
      </c>
      <c r="AR151" s="6" cm="1">
        <f t="array" ref="AR151">ROUND((VLOOKUP($A151,EnrollData2324,'2324 Jun 24 Enroll'!D$1,FALSE)*Apport_M802324s+VLOOKUP($A151,EnrollData2324,'2324 Jun 24 Enroll'!M$1,FALSE)*Apport_M802324s+(VLOOKUP($A151,EnrollData2324,'2324 Jun 24 Enroll'!P$1,FALSE)+VLOOKUP($A151,EnrollData2324,'2324 Jun 24 Enroll'!Q$1,FALSE)+VLOOKUP($A151,EnrollData2324,'2324 Jun 24 Enroll'!R$1,FALSE)+VLOOKUP($A151,EnrollData2324,'2324 Jun 24 Enroll'!I$1,FALSE)+VLOOKUP($A151,EnrollData2324,'2324 Jun 24 Enroll'!N$1,FALSE)+VLOOKUP($A151,EnrollData2324,'2324 Jun 24 Enroll'!O$1,FALSE)+VLOOKUP($A151,EnrollData2324,'2324 Jun 24 Enroll'!K$1,FALSE)+VLOOKUP($A151,EnrollData2324,'2324 Jun 24 Enroll'!L$1,FALSE))*Apport_M812324s)/(VLOOKUP($A151,EnrollData2324,'2324 Jun 24 Enroll'!M$1,FALSE)+VLOOKUP($A151,EnrollData2324,'2324 Jun 24 Enroll'!D$1,FALSE)),2)</f>
        <v>1629.14</v>
      </c>
      <c r="AS151" s="7">
        <f t="shared" si="16"/>
        <v>10745.660000000002</v>
      </c>
    </row>
    <row r="152" spans="1:45">
      <c r="A152" s="40" t="s">
        <v>420</v>
      </c>
      <c r="B152" s="40" t="s">
        <v>421</v>
      </c>
      <c r="C152" s="11">
        <f>ROUND((IFERROR((1/IF(VLOOKUP($A152,EnrollData2324,28,FALSE)='District Calculations'!$D$10,VLOOKUP($A152,EnrollData2324,28,FALSE),'District Calculations'!$D$10))*(1+Apport_Z315),0))+Apport_201A2324s,6)</f>
        <v>7.3449E-2</v>
      </c>
      <c r="D152">
        <f>ROUND(IF(VLOOKUP($A152,EnrollData2324,'2324 Jun 24 Enroll'!D$1,FALSE)='District Calculations'!$D$11,VLOOKUP($A152,EnrollData2324,'2324 Jun 24 Enroll'!D$1,FALSE),'District Calculations'!$D$11)*C152,3)</f>
        <v>0</v>
      </c>
      <c r="E152">
        <f>ROUND(IF(VLOOKUP($A152,EnrollData2324,'2324 Jun 24 Enroll'!E$1,FALSE)='District Calculations'!$D$12,VLOOKUP($A152,EnrollData2324,'2324 Jun 24 Enroll'!E$1,FALSE),'District Calculations'!$D$12)*C152,3)</f>
        <v>59.53</v>
      </c>
      <c r="F152">
        <f>ROUND(IF(VLOOKUP($A152,EnrollData2324,'2324 Jun 24 Enroll'!F$1,FALSE)='District Calculations'!$D$13,VLOOKUP($A152,EnrollData2324,'2324 Jun 24 Enroll'!F$1,FALSE),'District Calculations'!$D$13)*Apport_222A2324s,3)</f>
        <v>10.101000000000001</v>
      </c>
      <c r="G152">
        <f>ROUND(IF(VLOOKUP($A152,EnrollData2324,'2324 Jun 24 Enroll'!G$1,FALSE)='District Calculations'!$D$14,VLOOKUP($A152,EnrollData2324,'2324 Jun 24 Enroll'!G$1,FALSE),'District Calculations'!$D$14)*Apport_210A2324s,3)</f>
        <v>22.395</v>
      </c>
      <c r="H152">
        <f>ROUND(IF(VLOOKUP($A152,EnrollData2324,'2324 Jun 24 Enroll'!H$1,FALSE)='District Calculations'!$D$15,VLOOKUP($A152,EnrollData2324,'2324 Jun 24 Enroll'!H$1,FALSE),'District Calculations'!$D$15)*Apport_213A2324s,3)</f>
        <v>23.091999999999999</v>
      </c>
      <c r="I152">
        <f>ROUND(IF(VLOOKUP($A152,EnrollData2324,'2324 Jun 24 Enroll'!I$1,FALSE)+VLOOKUP($A152,EnrollData2324,'2324 Jun 24 Enroll'!M$1,FALSE)-VLOOKUP($A152,EnrollData2324,'2324 Jun 24 Enroll'!J$1,FALSE)='District Calculations'!$D$16+'District Calculations'!$D$25-'District Calculations'!$D$17,VLOOKUP($A152,EnrollData2324,'2324 Jun 24 Enroll'!I$1,FALSE)+VLOOKUP($A152,EnrollData2324,'2324 Jun 24 Enroll'!M$1,FALSE)-VLOOKUP($A152,EnrollData2324,'2324 Jun 24 Enroll'!J$1,FALSE),'District Calculations'!$D$16+'District Calculations'!$D$25-'District Calculations'!$D$17)*Apport_216A2324s,3)</f>
        <v>58.183999999999997</v>
      </c>
      <c r="J152">
        <f>ROUND(SUM(D152:I152)/(IF(VLOOKUP($A152,EnrollData2324,'2324 Jun 24 Enroll'!M$1,FALSE)='District Calculations'!$D$25,VLOOKUP($A152,EnrollData2324,'2324 Jun 24 Enroll'!M$1,FALSE),'District Calculations'!$D$25)+IF(VLOOKUP($A152,EnrollData2324,'2324 Jun 24 Enroll'!D$1,FALSE)='District Calculations'!$D$11,VLOOKUP($A152,EnrollData2324,'2324 Jun 24 Enroll'!D$1,FALSE),'District Calculations'!$D$11)),5)</f>
        <v>5.5530000000000003E-2</v>
      </c>
      <c r="K152" s="11">
        <f t="shared" si="12"/>
        <v>4.3699999999999998E-3</v>
      </c>
      <c r="L152">
        <f>ROUND(IF(VLOOKUP($A152,EnrollData2324,'2324 Jun 24 Enroll'!D$1,FALSE)='District Calculations'!$D$11,VLOOKUP($A152,EnrollData2324,'2324 Jun 24 Enroll'!D$1,FALSE),'District Calculations'!$D$11)*K152,3)</f>
        <v>0</v>
      </c>
      <c r="M152">
        <f>ROUND(IF(VLOOKUP($A152,EnrollData2324,'2324 Jun 24 Enroll'!E$1,FALSE)='District Calculations'!$D$12,VLOOKUP($A152,EnrollData2324,'2324 Jun 24 Enroll'!E$1,FALSE),'District Calculations'!$D$12)*K152,3)</f>
        <v>3.5419999999999998</v>
      </c>
      <c r="N152">
        <f>ROUND(IF(VLOOKUP($A152,EnrollData2324,'2324 Jun 24 Enroll'!F$1,FALSE)='District Calculations'!$D$13,VLOOKUP($A152,EnrollData2324,'2324 Jun 24 Enroll'!F$1,FALSE),'District Calculations'!$D$13)*Apport_223A2324s,3)</f>
        <v>0.84299999999999997</v>
      </c>
      <c r="O152">
        <f>ROUND(IF(VLOOKUP($A152,EnrollData2324,'2324 Jun 24 Enroll'!G$1,FALSE)='District Calculations'!$D$14,VLOOKUP($A152,EnrollData2324,'2324 Jun 24 Enroll'!G$1,FALSE),'District Calculations'!$D$14)*Apport_211A2324s,3)</f>
        <v>1.87</v>
      </c>
      <c r="P152">
        <f>ROUND(IF(VLOOKUP($A152,EnrollData2324,'2324 Jun 24 Enroll'!H$1,FALSE)='District Calculations'!$D$14,VLOOKUP($A152,EnrollData2324,'2324 Jun 24 Enroll'!H$1,FALSE),'District Calculations'!$D$14)*Apport_214A2324s,3)</f>
        <v>1.8680000000000001</v>
      </c>
      <c r="Q152">
        <f>ROUND(IF(VLOOKUP($A152,EnrollData2324,'2324 Jun 24 Enroll'!I$1,FALSE)+VLOOKUP($A152,EnrollData2324,'2324 Jun 24 Enroll'!M$1,FALSE)-VLOOKUP($A152,EnrollData2324,'2324 Jun 24 Enroll'!J$1,FALSE)='District Calculations'!$D$16+'District Calculations'!$D$25-'District Calculations'!$D$17,VLOOKUP($A152,EnrollData2324,'2324 Jun 24 Enroll'!I$1,FALSE)+VLOOKUP($A152,EnrollData2324,'2324 Jun 24 Enroll'!M$1,FALSE)-VLOOKUP($A152,EnrollData2324,'2324 Jun 24 Enroll'!J$1,FALSE),'District Calculations'!$D$16+'District Calculations'!$D$25-'District Calculations'!$D$17)*Apport_217A2324s,3)</f>
        <v>4.702</v>
      </c>
      <c r="R152">
        <f>ROUND(SUM(L152:Q152)/IF(VLOOKUP($A152,EnrollData2324,'2324 Jun 24 Enroll'!M$1,FALSE)+VLOOKUP($A152,EnrollData2324,'2324 Jun 24 Enroll'!D$1,FALSE)='District Calculations'!$D$25+'District Calculations'!$D$11,VLOOKUP($A152,EnrollData2324,'2324 Jun 24 Enroll'!M$1,FALSE)+VLOOKUP($A152,EnrollData2324,'2324 Jun 24 Enroll'!D$1,FALSE),'District Calculations'!$D$25+'District Calculations'!$D$11),5)</f>
        <v>4.1099999999999999E-3</v>
      </c>
      <c r="S152" s="11">
        <f t="shared" si="13"/>
        <v>1.8689600000000001E-2</v>
      </c>
      <c r="T152">
        <f>ROUND(IF(VLOOKUP($A152,EnrollData2324,'2324 Jun 24 Enroll'!D$1,FALSE)='District Calculations'!$D$11,VLOOKUP($A152,EnrollData2324,'2324 Jun 24 Enroll'!D$1,FALSE),'District Calculations'!$D$11)*S152,3)</f>
        <v>0</v>
      </c>
      <c r="U152">
        <f>ROUND(IF(VLOOKUP($A152,EnrollData2324,'2324 Jun 24 Enroll'!E$1,FALSE)='District Calculations'!$D$12,VLOOKUP($A152,EnrollData2324,'2324 Jun 24 Enroll'!E$1,FALSE),'District Calculations'!$D$12)*S152,3)</f>
        <v>15.148</v>
      </c>
      <c r="V152">
        <f>ROUND(IF(VLOOKUP($A152,EnrollData2324,'2324 Jun 24 Enroll'!F$1,FALSE)='District Calculations'!$D$13,VLOOKUP($A152,EnrollData2324,'2324 Jun 24 Enroll'!F$1,FALSE),'District Calculations'!$D$13)*Apport_224A2324s,3)</f>
        <v>3.7029999999999998</v>
      </c>
      <c r="W152">
        <f>ROUND(IF(VLOOKUP($A152,EnrollData2324,'2324 Jun 24 Enroll'!G$1,FALSE)='District Calculations'!$D$14,VLOOKUP($A152,EnrollData2324,'2324 Jun 24 Enroll'!G$1,FALSE),'District Calculations'!$D$14)*Apport_212A2324s,3)</f>
        <v>8.2089999999999996</v>
      </c>
      <c r="X152">
        <f>ROUND(IF(VLOOKUP($A152,EnrollData2324,'2324 Jun 24 Enroll'!H$1,FALSE)='District Calculations'!$D$14,VLOOKUP($A152,EnrollData2324,'2324 Jun 24 Enroll'!H$1,FALSE),'District Calculations'!$D$14)*Apport_215A2324s,3)</f>
        <v>8.0969999999999995</v>
      </c>
      <c r="Y152">
        <f>ROUND(IF(VLOOKUP($A152,EnrollData2324,'2324 Jun 24 Enroll'!I$1,FALSE)+VLOOKUP($A152,EnrollData2324,'2324 Jun 24 Enroll'!M$1,FALSE)-VLOOKUP($A152,EnrollData2324,'2324 Jun 24 Enroll'!J$1,FALSE)='District Calculations'!$D$16+'District Calculations'!$D$25-'District Calculations'!$D$17,VLOOKUP($A152,EnrollData2324,'2324 Jun 24 Enroll'!I$1,FALSE)+VLOOKUP($A152,EnrollData2324,'2324 Jun 24 Enroll'!M$1,FALSE)-VLOOKUP($A152,EnrollData2324,'2324 Jun 24 Enroll'!J$1,FALSE),'District Calculations'!$D$16+'District Calculations'!$D$25-'District Calculations'!$D$17)*Apport_218A2324s,3)</f>
        <v>20.224</v>
      </c>
      <c r="Z152">
        <f>ROUND(SUM(T152:Y152)/IF(VLOOKUP($A152,EnrollData2324,'2324 Jun 24 Enroll'!M$1,FALSE)+VLOOKUP($A152,EnrollData2324,'2324 Jun 24 Enroll'!D$1,FALSE)='District Calculations'!$D$25+'District Calculations'!$D$11,VLOOKUP($A152,EnrollData2324,'2324 Jun 24 Enroll'!M$1,FALSE)+VLOOKUP($A152,EnrollData2324,'2324 Jun 24 Enroll'!D$1,FALSE),'District Calculations'!$D$25+'District Calculations'!$D$11),5)</f>
        <v>1.7749999999999998E-2</v>
      </c>
      <c r="AA152" s="6" cm="1">
        <f t="array" ref="AA152">ROUND($J152*CIS_Base_Salary2324s*VLOOKUP($A152,EnrollData2324,'2324 Jun 24 Enroll'!S$1,FALSE),2)</f>
        <v>4038.59</v>
      </c>
      <c r="AB152" s="6" cm="1">
        <f t="array" ref="AB152">ROUND($J152*CIS_Inc_Salary2324s*(VLOOKUP($A152,EnrollData2324,'2324 Jun 24 Enroll'!T$1,FALSE)+VLOOKUP($A152,EnrollData2324,'2324 Jun 24 Enroll'!U$1,FALSE)),2)-AA152</f>
        <v>316.94999999999982</v>
      </c>
      <c r="AC152" s="6" cm="1">
        <f t="array" ref="AC152">ROUND($R152*CAS_Base_Salary2324s*VLOOKUP($A152,EnrollData2324,'2324 Jun 24 Enroll'!S$1,FALSE),2)</f>
        <v>443.7</v>
      </c>
      <c r="AD152" s="6" cm="1">
        <f t="array" ref="AD152">ROUND($R152*CAS_Inc_Salary2324s*VLOOKUP($A152,EnrollData2324,'2324 Jun 24 Enroll'!T$1,FALSE),2)-AC152</f>
        <v>16.410000000000025</v>
      </c>
      <c r="AE152" s="6" cm="1">
        <f t="array" ref="AE152">ROUND($Z152*CLS_Base_Salary2324s*VLOOKUP($A152,EnrollData2324,'2324 Jun 24 Enroll'!S$1,FALSE),2)</f>
        <v>926.07</v>
      </c>
      <c r="AF152" s="6" cm="1">
        <f t="array" ref="AF152">ROUND($Z152*CLS_Inc_Salary2324s*VLOOKUP($A152,EnrollData2324,'2324 Jun 24 Enroll'!T$1,FALSE),2)-AE152</f>
        <v>34.259999999999991</v>
      </c>
      <c r="AG152" cm="1">
        <f t="array" ref="AG152">ROUND(($J152+$R152)*Apport_124X2324s,2)</f>
        <v>734.29</v>
      </c>
      <c r="AH152" s="69">
        <f t="shared" si="14"/>
        <v>68.700000000000045</v>
      </c>
      <c r="AI152" cm="1">
        <f t="array" ref="AI152">ROUND($Z152*Apport_124X2324s,2)</f>
        <v>218.54</v>
      </c>
      <c r="AJ152" cm="1">
        <f t="array" ref="AJ152">ROUND($Z152*Apport_621X2324s*Apport_125X2324s,2)-AI152</f>
        <v>116.51000000000002</v>
      </c>
      <c r="AK152" cm="1">
        <f t="array" ref="AK152">ROUND((AA152+AC152)*Apport_126X2324s,2)</f>
        <v>805.47</v>
      </c>
      <c r="AL152" cm="1">
        <f t="array" ref="AL152">ROUND((AB152+AD152)*Apport_127X2324s,2)</f>
        <v>57.77</v>
      </c>
      <c r="AM152" cm="1">
        <f t="array" ref="AM152">ROUND(AE152*Apport_128X2324s,2)</f>
        <v>204.29</v>
      </c>
      <c r="AN152" cm="1">
        <f t="array" ref="AN152">ROUND(AF152*Apport_129X2324s,2)</f>
        <v>6.36</v>
      </c>
      <c r="AO152" cm="1">
        <f t="array" ref="AO152">ROUND(($J152*CIS_Inc_Salary2324s*(VLOOKUP($A152,EnrollData2324,'2324 Jun 24 Enroll'!T$1,FALSE)+VLOOKUP($A152,EnrollData2324,'2324 Jun 24 Enroll'!U$1,FALSE))/Apport_613Xpd)*Apport_614Xpd,2)</f>
        <v>72.59</v>
      </c>
      <c r="AP152" cm="1">
        <f t="array" ref="AP152">ROUND(AO152*Apport_127X2324s,2)</f>
        <v>12.58</v>
      </c>
      <c r="AQ152">
        <f t="shared" si="15"/>
        <v>30.93</v>
      </c>
      <c r="AR152" s="6" cm="1">
        <f t="array" ref="AR152">ROUND((VLOOKUP($A152,EnrollData2324,'2324 Jun 24 Enroll'!D$1,FALSE)*Apport_M802324s+VLOOKUP($A152,EnrollData2324,'2324 Jun 24 Enroll'!M$1,FALSE)*Apport_M802324s+(VLOOKUP($A152,EnrollData2324,'2324 Jun 24 Enroll'!P$1,FALSE)+VLOOKUP($A152,EnrollData2324,'2324 Jun 24 Enroll'!Q$1,FALSE)+VLOOKUP($A152,EnrollData2324,'2324 Jun 24 Enroll'!R$1,FALSE)+VLOOKUP($A152,EnrollData2324,'2324 Jun 24 Enroll'!I$1,FALSE)+VLOOKUP($A152,EnrollData2324,'2324 Jun 24 Enroll'!N$1,FALSE)+VLOOKUP($A152,EnrollData2324,'2324 Jun 24 Enroll'!O$1,FALSE)+VLOOKUP($A152,EnrollData2324,'2324 Jun 24 Enroll'!K$1,FALSE)+VLOOKUP($A152,EnrollData2324,'2324 Jun 24 Enroll'!L$1,FALSE))*Apport_M812324s)/(VLOOKUP($A152,EnrollData2324,'2324 Jun 24 Enroll'!M$1,FALSE)+VLOOKUP($A152,EnrollData2324,'2324 Jun 24 Enroll'!D$1,FALSE)),2)</f>
        <v>1504.44</v>
      </c>
      <c r="AS152" s="7">
        <f t="shared" si="16"/>
        <v>9608.4500000000007</v>
      </c>
    </row>
    <row r="153" spans="1:45">
      <c r="A153" s="40" t="s">
        <v>440</v>
      </c>
      <c r="B153" s="40" t="s">
        <v>441</v>
      </c>
      <c r="C153" s="11">
        <f>ROUND((IFERROR((1/IF(VLOOKUP($A153,EnrollData2324,28,FALSE)='District Calculations'!$D$10,VLOOKUP($A153,EnrollData2324,28,FALSE),'District Calculations'!$D$10))*(1+Apport_Z315),0))+Apport_201A2324s,6)</f>
        <v>7.3449E-2</v>
      </c>
      <c r="D153">
        <f>ROUND(IF(VLOOKUP($A153,EnrollData2324,'2324 Jun 24 Enroll'!D$1,FALSE)='District Calculations'!$D$11,VLOOKUP($A153,EnrollData2324,'2324 Jun 24 Enroll'!D$1,FALSE),'District Calculations'!$D$11)*C153,3)</f>
        <v>0</v>
      </c>
      <c r="E153">
        <f>ROUND(IF(VLOOKUP($A153,EnrollData2324,'2324 Jun 24 Enroll'!E$1,FALSE)='District Calculations'!$D$12,VLOOKUP($A153,EnrollData2324,'2324 Jun 24 Enroll'!E$1,FALSE),'District Calculations'!$D$12)*C153,3)</f>
        <v>59.53</v>
      </c>
      <c r="F153">
        <f>ROUND(IF(VLOOKUP($A153,EnrollData2324,'2324 Jun 24 Enroll'!F$1,FALSE)='District Calculations'!$D$13,VLOOKUP($A153,EnrollData2324,'2324 Jun 24 Enroll'!F$1,FALSE),'District Calculations'!$D$13)*Apport_222A2324s,3)</f>
        <v>10.101000000000001</v>
      </c>
      <c r="G153">
        <f>ROUND(IF(VLOOKUP($A153,EnrollData2324,'2324 Jun 24 Enroll'!G$1,FALSE)='District Calculations'!$D$14,VLOOKUP($A153,EnrollData2324,'2324 Jun 24 Enroll'!G$1,FALSE),'District Calculations'!$D$14)*Apport_210A2324s,3)</f>
        <v>22.395</v>
      </c>
      <c r="H153">
        <f>ROUND(IF(VLOOKUP($A153,EnrollData2324,'2324 Jun 24 Enroll'!H$1,FALSE)='District Calculations'!$D$15,VLOOKUP($A153,EnrollData2324,'2324 Jun 24 Enroll'!H$1,FALSE),'District Calculations'!$D$15)*Apport_213A2324s,3)</f>
        <v>23.091999999999999</v>
      </c>
      <c r="I153">
        <f>ROUND(IF(VLOOKUP($A153,EnrollData2324,'2324 Jun 24 Enroll'!I$1,FALSE)+VLOOKUP($A153,EnrollData2324,'2324 Jun 24 Enroll'!M$1,FALSE)-VLOOKUP($A153,EnrollData2324,'2324 Jun 24 Enroll'!J$1,FALSE)='District Calculations'!$D$16+'District Calculations'!$D$25-'District Calculations'!$D$17,VLOOKUP($A153,EnrollData2324,'2324 Jun 24 Enroll'!I$1,FALSE)+VLOOKUP($A153,EnrollData2324,'2324 Jun 24 Enroll'!M$1,FALSE)-VLOOKUP($A153,EnrollData2324,'2324 Jun 24 Enroll'!J$1,FALSE),'District Calculations'!$D$16+'District Calculations'!$D$25-'District Calculations'!$D$17)*Apport_216A2324s,3)</f>
        <v>58.183999999999997</v>
      </c>
      <c r="J153">
        <f>ROUND(SUM(D153:I153)/(IF(VLOOKUP($A153,EnrollData2324,'2324 Jun 24 Enroll'!M$1,FALSE)='District Calculations'!$D$25,VLOOKUP($A153,EnrollData2324,'2324 Jun 24 Enroll'!M$1,FALSE),'District Calculations'!$D$25)+IF(VLOOKUP($A153,EnrollData2324,'2324 Jun 24 Enroll'!D$1,FALSE)='District Calculations'!$D$11,VLOOKUP($A153,EnrollData2324,'2324 Jun 24 Enroll'!D$1,FALSE),'District Calculations'!$D$11)),5)</f>
        <v>5.5530000000000003E-2</v>
      </c>
      <c r="K153" s="11">
        <f t="shared" si="12"/>
        <v>4.3699999999999998E-3</v>
      </c>
      <c r="L153">
        <f>ROUND(IF(VLOOKUP($A153,EnrollData2324,'2324 Jun 24 Enroll'!D$1,FALSE)='District Calculations'!$D$11,VLOOKUP($A153,EnrollData2324,'2324 Jun 24 Enroll'!D$1,FALSE),'District Calculations'!$D$11)*K153,3)</f>
        <v>0</v>
      </c>
      <c r="M153">
        <f>ROUND(IF(VLOOKUP($A153,EnrollData2324,'2324 Jun 24 Enroll'!E$1,FALSE)='District Calculations'!$D$12,VLOOKUP($A153,EnrollData2324,'2324 Jun 24 Enroll'!E$1,FALSE),'District Calculations'!$D$12)*K153,3)</f>
        <v>3.5419999999999998</v>
      </c>
      <c r="N153">
        <f>ROUND(IF(VLOOKUP($A153,EnrollData2324,'2324 Jun 24 Enroll'!F$1,FALSE)='District Calculations'!$D$13,VLOOKUP($A153,EnrollData2324,'2324 Jun 24 Enroll'!F$1,FALSE),'District Calculations'!$D$13)*Apport_223A2324s,3)</f>
        <v>0.84299999999999997</v>
      </c>
      <c r="O153">
        <f>ROUND(IF(VLOOKUP($A153,EnrollData2324,'2324 Jun 24 Enroll'!G$1,FALSE)='District Calculations'!$D$14,VLOOKUP($A153,EnrollData2324,'2324 Jun 24 Enroll'!G$1,FALSE),'District Calculations'!$D$14)*Apport_211A2324s,3)</f>
        <v>1.87</v>
      </c>
      <c r="P153">
        <f>ROUND(IF(VLOOKUP($A153,EnrollData2324,'2324 Jun 24 Enroll'!H$1,FALSE)='District Calculations'!$D$14,VLOOKUP($A153,EnrollData2324,'2324 Jun 24 Enroll'!H$1,FALSE),'District Calculations'!$D$14)*Apport_214A2324s,3)</f>
        <v>1.8680000000000001</v>
      </c>
      <c r="Q153">
        <f>ROUND(IF(VLOOKUP($A153,EnrollData2324,'2324 Jun 24 Enroll'!I$1,FALSE)+VLOOKUP($A153,EnrollData2324,'2324 Jun 24 Enroll'!M$1,FALSE)-VLOOKUP($A153,EnrollData2324,'2324 Jun 24 Enroll'!J$1,FALSE)='District Calculations'!$D$16+'District Calculations'!$D$25-'District Calculations'!$D$17,VLOOKUP($A153,EnrollData2324,'2324 Jun 24 Enroll'!I$1,FALSE)+VLOOKUP($A153,EnrollData2324,'2324 Jun 24 Enroll'!M$1,FALSE)-VLOOKUP($A153,EnrollData2324,'2324 Jun 24 Enroll'!J$1,FALSE),'District Calculations'!$D$16+'District Calculations'!$D$25-'District Calculations'!$D$17)*Apport_217A2324s,3)</f>
        <v>4.702</v>
      </c>
      <c r="R153">
        <f>ROUND(SUM(L153:Q153)/IF(VLOOKUP($A153,EnrollData2324,'2324 Jun 24 Enroll'!M$1,FALSE)+VLOOKUP($A153,EnrollData2324,'2324 Jun 24 Enroll'!D$1,FALSE)='District Calculations'!$D$25+'District Calculations'!$D$11,VLOOKUP($A153,EnrollData2324,'2324 Jun 24 Enroll'!M$1,FALSE)+VLOOKUP($A153,EnrollData2324,'2324 Jun 24 Enroll'!D$1,FALSE),'District Calculations'!$D$25+'District Calculations'!$D$11),5)</f>
        <v>4.1099999999999999E-3</v>
      </c>
      <c r="S153" s="11">
        <f t="shared" si="13"/>
        <v>1.8689600000000001E-2</v>
      </c>
      <c r="T153">
        <f>ROUND(IF(VLOOKUP($A153,EnrollData2324,'2324 Jun 24 Enroll'!D$1,FALSE)='District Calculations'!$D$11,VLOOKUP($A153,EnrollData2324,'2324 Jun 24 Enroll'!D$1,FALSE),'District Calculations'!$D$11)*S153,3)</f>
        <v>0</v>
      </c>
      <c r="U153">
        <f>ROUND(IF(VLOOKUP($A153,EnrollData2324,'2324 Jun 24 Enroll'!E$1,FALSE)='District Calculations'!$D$12,VLOOKUP($A153,EnrollData2324,'2324 Jun 24 Enroll'!E$1,FALSE),'District Calculations'!$D$12)*S153,3)</f>
        <v>15.148</v>
      </c>
      <c r="V153">
        <f>ROUND(IF(VLOOKUP($A153,EnrollData2324,'2324 Jun 24 Enroll'!F$1,FALSE)='District Calculations'!$D$13,VLOOKUP($A153,EnrollData2324,'2324 Jun 24 Enroll'!F$1,FALSE),'District Calculations'!$D$13)*Apport_224A2324s,3)</f>
        <v>3.7029999999999998</v>
      </c>
      <c r="W153">
        <f>ROUND(IF(VLOOKUP($A153,EnrollData2324,'2324 Jun 24 Enroll'!G$1,FALSE)='District Calculations'!$D$14,VLOOKUP($A153,EnrollData2324,'2324 Jun 24 Enroll'!G$1,FALSE),'District Calculations'!$D$14)*Apport_212A2324s,3)</f>
        <v>8.2089999999999996</v>
      </c>
      <c r="X153">
        <f>ROUND(IF(VLOOKUP($A153,EnrollData2324,'2324 Jun 24 Enroll'!H$1,FALSE)='District Calculations'!$D$14,VLOOKUP($A153,EnrollData2324,'2324 Jun 24 Enroll'!H$1,FALSE),'District Calculations'!$D$14)*Apport_215A2324s,3)</f>
        <v>8.0969999999999995</v>
      </c>
      <c r="Y153">
        <f>ROUND(IF(VLOOKUP($A153,EnrollData2324,'2324 Jun 24 Enroll'!I$1,FALSE)+VLOOKUP($A153,EnrollData2324,'2324 Jun 24 Enroll'!M$1,FALSE)-VLOOKUP($A153,EnrollData2324,'2324 Jun 24 Enroll'!J$1,FALSE)='District Calculations'!$D$16+'District Calculations'!$D$25-'District Calculations'!$D$17,VLOOKUP($A153,EnrollData2324,'2324 Jun 24 Enroll'!I$1,FALSE)+VLOOKUP($A153,EnrollData2324,'2324 Jun 24 Enroll'!M$1,FALSE)-VLOOKUP($A153,EnrollData2324,'2324 Jun 24 Enroll'!J$1,FALSE),'District Calculations'!$D$16+'District Calculations'!$D$25-'District Calculations'!$D$17)*Apport_218A2324s,3)</f>
        <v>20.224</v>
      </c>
      <c r="Z153">
        <f>ROUND(SUM(T153:Y153)/IF(VLOOKUP($A153,EnrollData2324,'2324 Jun 24 Enroll'!M$1,FALSE)+VLOOKUP($A153,EnrollData2324,'2324 Jun 24 Enroll'!D$1,FALSE)='District Calculations'!$D$25+'District Calculations'!$D$11,VLOOKUP($A153,EnrollData2324,'2324 Jun 24 Enroll'!M$1,FALSE)+VLOOKUP($A153,EnrollData2324,'2324 Jun 24 Enroll'!D$1,FALSE),'District Calculations'!$D$25+'District Calculations'!$D$11),5)</f>
        <v>1.7749999999999998E-2</v>
      </c>
      <c r="AA153" s="6" cm="1">
        <f t="array" ref="AA153">ROUND($J153*CIS_Base_Salary2324s*VLOOKUP($A153,EnrollData2324,'2324 Jun 24 Enroll'!S$1,FALSE),2)</f>
        <v>4523.22</v>
      </c>
      <c r="AB153" s="6" cm="1">
        <f t="array" ref="AB153">ROUND($J153*CIS_Inc_Salary2324s*(VLOOKUP($A153,EnrollData2324,'2324 Jun 24 Enroll'!T$1,FALSE)+VLOOKUP($A153,EnrollData2324,'2324 Jun 24 Enroll'!U$1,FALSE)),2)-AA153</f>
        <v>167.35999999999967</v>
      </c>
      <c r="AC153" s="6" cm="1">
        <f t="array" ref="AC153">ROUND($R153*CAS_Base_Salary2324s*VLOOKUP($A153,EnrollData2324,'2324 Jun 24 Enroll'!S$1,FALSE),2)</f>
        <v>496.94</v>
      </c>
      <c r="AD153" s="6" cm="1">
        <f t="array" ref="AD153">ROUND($R153*CAS_Inc_Salary2324s*VLOOKUP($A153,EnrollData2324,'2324 Jun 24 Enroll'!T$1,FALSE),2)-AC153</f>
        <v>18.390000000000043</v>
      </c>
      <c r="AE153" s="6" cm="1">
        <f t="array" ref="AE153">ROUND($Z153*CLS_Base_Salary2324s*VLOOKUP($A153,EnrollData2324,'2324 Jun 24 Enroll'!S$1,FALSE),2)</f>
        <v>1037.2</v>
      </c>
      <c r="AF153" s="6" cm="1">
        <f t="array" ref="AF153">ROUND($Z153*CLS_Inc_Salary2324s*VLOOKUP($A153,EnrollData2324,'2324 Jun 24 Enroll'!T$1,FALSE),2)-AE153</f>
        <v>38.369999999999891</v>
      </c>
      <c r="AG153" cm="1">
        <f t="array" ref="AG153">ROUND(($J153+$R153)*Apport_124X2324s,2)</f>
        <v>734.29</v>
      </c>
      <c r="AH153" s="69">
        <f t="shared" si="14"/>
        <v>68.700000000000045</v>
      </c>
      <c r="AI153" cm="1">
        <f t="array" ref="AI153">ROUND($Z153*Apport_124X2324s,2)</f>
        <v>218.54</v>
      </c>
      <c r="AJ153" cm="1">
        <f t="array" ref="AJ153">ROUND($Z153*Apport_621X2324s*Apport_125X2324s,2)-AI153</f>
        <v>116.51000000000002</v>
      </c>
      <c r="AK153" cm="1">
        <f t="array" ref="AK153">ROUND((AA153+AC153)*Apport_126X2324s,2)</f>
        <v>902.12</v>
      </c>
      <c r="AL153" cm="1">
        <f t="array" ref="AL153">ROUND((AB153+AD153)*Apport_127X2324s,2)</f>
        <v>32.19</v>
      </c>
      <c r="AM153" cm="1">
        <f t="array" ref="AM153">ROUND(AE153*Apport_128X2324s,2)</f>
        <v>228.81</v>
      </c>
      <c r="AN153" cm="1">
        <f t="array" ref="AN153">ROUND(AF153*Apport_129X2324s,2)</f>
        <v>7.12</v>
      </c>
      <c r="AO153" cm="1">
        <f t="array" ref="AO153">ROUND(($J153*CIS_Inc_Salary2324s*(VLOOKUP($A153,EnrollData2324,'2324 Jun 24 Enroll'!T$1,FALSE)+VLOOKUP($A153,EnrollData2324,'2324 Jun 24 Enroll'!U$1,FALSE))/Apport_613Xpd)*Apport_614Xpd,2)</f>
        <v>78.180000000000007</v>
      </c>
      <c r="AP153" cm="1">
        <f t="array" ref="AP153">ROUND(AO153*Apport_127X2324s,2)</f>
        <v>13.55</v>
      </c>
      <c r="AQ153">
        <f t="shared" si="15"/>
        <v>30.93</v>
      </c>
      <c r="AR153" s="6" cm="1">
        <f t="array" ref="AR153">ROUND((VLOOKUP($A153,EnrollData2324,'2324 Jun 24 Enroll'!D$1,FALSE)*Apport_M802324s+VLOOKUP($A153,EnrollData2324,'2324 Jun 24 Enroll'!M$1,FALSE)*Apport_M802324s+(VLOOKUP($A153,EnrollData2324,'2324 Jun 24 Enroll'!P$1,FALSE)+VLOOKUP($A153,EnrollData2324,'2324 Jun 24 Enroll'!Q$1,FALSE)+VLOOKUP($A153,EnrollData2324,'2324 Jun 24 Enroll'!R$1,FALSE)+VLOOKUP($A153,EnrollData2324,'2324 Jun 24 Enroll'!I$1,FALSE)+VLOOKUP($A153,EnrollData2324,'2324 Jun 24 Enroll'!N$1,FALSE)+VLOOKUP($A153,EnrollData2324,'2324 Jun 24 Enroll'!O$1,FALSE)+VLOOKUP($A153,EnrollData2324,'2324 Jun 24 Enroll'!K$1,FALSE)+VLOOKUP($A153,EnrollData2324,'2324 Jun 24 Enroll'!L$1,FALSE))*Apport_M812324s)/(VLOOKUP($A153,EnrollData2324,'2324 Jun 24 Enroll'!M$1,FALSE)+VLOOKUP($A153,EnrollData2324,'2324 Jun 24 Enroll'!D$1,FALSE)),2)</f>
        <v>1576.81</v>
      </c>
      <c r="AS153" s="7">
        <f t="shared" si="16"/>
        <v>10289.23</v>
      </c>
    </row>
    <row r="154" spans="1:45">
      <c r="A154" s="40" t="s">
        <v>819</v>
      </c>
      <c r="B154" s="40" t="s">
        <v>820</v>
      </c>
      <c r="C154" s="11">
        <f>ROUND((IFERROR((1/IF(VLOOKUP($A154,EnrollData2324,28,FALSE)='District Calculations'!$D$10,VLOOKUP($A154,EnrollData2324,28,FALSE),'District Calculations'!$D$10))*(1+Apport_Z315),0))+Apport_201A2324s,6)</f>
        <v>7.3449E-2</v>
      </c>
      <c r="D154">
        <f>ROUND(IF(VLOOKUP($A154,EnrollData2324,'2324 Jun 24 Enroll'!D$1,FALSE)='District Calculations'!$D$11,VLOOKUP($A154,EnrollData2324,'2324 Jun 24 Enroll'!D$1,FALSE),'District Calculations'!$D$11)*C154,3)</f>
        <v>0</v>
      </c>
      <c r="E154">
        <f>ROUND(IF(VLOOKUP($A154,EnrollData2324,'2324 Jun 24 Enroll'!E$1,FALSE)='District Calculations'!$D$12,VLOOKUP($A154,EnrollData2324,'2324 Jun 24 Enroll'!E$1,FALSE),'District Calculations'!$D$12)*C154,3)</f>
        <v>59.53</v>
      </c>
      <c r="F154">
        <f>ROUND(IF(VLOOKUP($A154,EnrollData2324,'2324 Jun 24 Enroll'!F$1,FALSE)='District Calculations'!$D$13,VLOOKUP($A154,EnrollData2324,'2324 Jun 24 Enroll'!F$1,FALSE),'District Calculations'!$D$13)*Apport_222A2324s,3)</f>
        <v>10.101000000000001</v>
      </c>
      <c r="G154">
        <f>ROUND(IF(VLOOKUP($A154,EnrollData2324,'2324 Jun 24 Enroll'!G$1,FALSE)='District Calculations'!$D$14,VLOOKUP($A154,EnrollData2324,'2324 Jun 24 Enroll'!G$1,FALSE),'District Calculations'!$D$14)*Apport_210A2324s,3)</f>
        <v>22.395</v>
      </c>
      <c r="H154">
        <f>ROUND(IF(VLOOKUP($A154,EnrollData2324,'2324 Jun 24 Enroll'!H$1,FALSE)='District Calculations'!$D$15,VLOOKUP($A154,EnrollData2324,'2324 Jun 24 Enroll'!H$1,FALSE),'District Calculations'!$D$15)*Apport_213A2324s,3)</f>
        <v>23.091999999999999</v>
      </c>
      <c r="I154">
        <f>ROUND(IF(VLOOKUP($A154,EnrollData2324,'2324 Jun 24 Enroll'!I$1,FALSE)+VLOOKUP($A154,EnrollData2324,'2324 Jun 24 Enroll'!M$1,FALSE)-VLOOKUP($A154,EnrollData2324,'2324 Jun 24 Enroll'!J$1,FALSE)='District Calculations'!$D$16+'District Calculations'!$D$25-'District Calculations'!$D$17,VLOOKUP($A154,EnrollData2324,'2324 Jun 24 Enroll'!I$1,FALSE)+VLOOKUP($A154,EnrollData2324,'2324 Jun 24 Enroll'!M$1,FALSE)-VLOOKUP($A154,EnrollData2324,'2324 Jun 24 Enroll'!J$1,FALSE),'District Calculations'!$D$16+'District Calculations'!$D$25-'District Calculations'!$D$17)*Apport_216A2324s,3)</f>
        <v>58.183999999999997</v>
      </c>
      <c r="J154">
        <f>ROUND(SUM(D154:I154)/(IF(VLOOKUP($A154,EnrollData2324,'2324 Jun 24 Enroll'!M$1,FALSE)='District Calculations'!$D$25,VLOOKUP($A154,EnrollData2324,'2324 Jun 24 Enroll'!M$1,FALSE),'District Calculations'!$D$25)+IF(VLOOKUP($A154,EnrollData2324,'2324 Jun 24 Enroll'!D$1,FALSE)='District Calculations'!$D$11,VLOOKUP($A154,EnrollData2324,'2324 Jun 24 Enroll'!D$1,FALSE),'District Calculations'!$D$11)),5)</f>
        <v>5.5530000000000003E-2</v>
      </c>
      <c r="K154" s="11">
        <f t="shared" si="12"/>
        <v>4.3699999999999998E-3</v>
      </c>
      <c r="L154">
        <f>ROUND(IF(VLOOKUP($A154,EnrollData2324,'2324 Jun 24 Enroll'!D$1,FALSE)='District Calculations'!$D$11,VLOOKUP($A154,EnrollData2324,'2324 Jun 24 Enroll'!D$1,FALSE),'District Calculations'!$D$11)*K154,3)</f>
        <v>0</v>
      </c>
      <c r="M154">
        <f>ROUND(IF(VLOOKUP($A154,EnrollData2324,'2324 Jun 24 Enroll'!E$1,FALSE)='District Calculations'!$D$12,VLOOKUP($A154,EnrollData2324,'2324 Jun 24 Enroll'!E$1,FALSE),'District Calculations'!$D$12)*K154,3)</f>
        <v>3.5419999999999998</v>
      </c>
      <c r="N154">
        <f>ROUND(IF(VLOOKUP($A154,EnrollData2324,'2324 Jun 24 Enroll'!F$1,FALSE)='District Calculations'!$D$13,VLOOKUP($A154,EnrollData2324,'2324 Jun 24 Enroll'!F$1,FALSE),'District Calculations'!$D$13)*Apport_223A2324s,3)</f>
        <v>0.84299999999999997</v>
      </c>
      <c r="O154">
        <f>ROUND(IF(VLOOKUP($A154,EnrollData2324,'2324 Jun 24 Enroll'!G$1,FALSE)='District Calculations'!$D$14,VLOOKUP($A154,EnrollData2324,'2324 Jun 24 Enroll'!G$1,FALSE),'District Calculations'!$D$14)*Apport_211A2324s,3)</f>
        <v>1.87</v>
      </c>
      <c r="P154">
        <f>ROUND(IF(VLOOKUP($A154,EnrollData2324,'2324 Jun 24 Enroll'!H$1,FALSE)='District Calculations'!$D$14,VLOOKUP($A154,EnrollData2324,'2324 Jun 24 Enroll'!H$1,FALSE),'District Calculations'!$D$14)*Apport_214A2324s,3)</f>
        <v>1.8680000000000001</v>
      </c>
      <c r="Q154">
        <f>ROUND(IF(VLOOKUP($A154,EnrollData2324,'2324 Jun 24 Enroll'!I$1,FALSE)+VLOOKUP($A154,EnrollData2324,'2324 Jun 24 Enroll'!M$1,FALSE)-VLOOKUP($A154,EnrollData2324,'2324 Jun 24 Enroll'!J$1,FALSE)='District Calculations'!$D$16+'District Calculations'!$D$25-'District Calculations'!$D$17,VLOOKUP($A154,EnrollData2324,'2324 Jun 24 Enroll'!I$1,FALSE)+VLOOKUP($A154,EnrollData2324,'2324 Jun 24 Enroll'!M$1,FALSE)-VLOOKUP($A154,EnrollData2324,'2324 Jun 24 Enroll'!J$1,FALSE),'District Calculations'!$D$16+'District Calculations'!$D$25-'District Calculations'!$D$17)*Apport_217A2324s,3)</f>
        <v>4.702</v>
      </c>
      <c r="R154">
        <f>ROUND(SUM(L154:Q154)/IF(VLOOKUP($A154,EnrollData2324,'2324 Jun 24 Enroll'!M$1,FALSE)+VLOOKUP($A154,EnrollData2324,'2324 Jun 24 Enroll'!D$1,FALSE)='District Calculations'!$D$25+'District Calculations'!$D$11,VLOOKUP($A154,EnrollData2324,'2324 Jun 24 Enroll'!M$1,FALSE)+VLOOKUP($A154,EnrollData2324,'2324 Jun 24 Enroll'!D$1,FALSE),'District Calculations'!$D$25+'District Calculations'!$D$11),5)</f>
        <v>4.1099999999999999E-3</v>
      </c>
      <c r="S154" s="11">
        <f t="shared" si="13"/>
        <v>1.8689600000000001E-2</v>
      </c>
      <c r="T154">
        <f>ROUND(IF(VLOOKUP($A154,EnrollData2324,'2324 Jun 24 Enroll'!D$1,FALSE)='District Calculations'!$D$11,VLOOKUP($A154,EnrollData2324,'2324 Jun 24 Enroll'!D$1,FALSE),'District Calculations'!$D$11)*S154,3)</f>
        <v>0</v>
      </c>
      <c r="U154">
        <f>ROUND(IF(VLOOKUP($A154,EnrollData2324,'2324 Jun 24 Enroll'!E$1,FALSE)='District Calculations'!$D$12,VLOOKUP($A154,EnrollData2324,'2324 Jun 24 Enroll'!E$1,FALSE),'District Calculations'!$D$12)*S154,3)</f>
        <v>15.148</v>
      </c>
      <c r="V154">
        <f>ROUND(IF(VLOOKUP($A154,EnrollData2324,'2324 Jun 24 Enroll'!F$1,FALSE)='District Calculations'!$D$13,VLOOKUP($A154,EnrollData2324,'2324 Jun 24 Enroll'!F$1,FALSE),'District Calculations'!$D$13)*Apport_224A2324s,3)</f>
        <v>3.7029999999999998</v>
      </c>
      <c r="W154">
        <f>ROUND(IF(VLOOKUP($A154,EnrollData2324,'2324 Jun 24 Enroll'!G$1,FALSE)='District Calculations'!$D$14,VLOOKUP($A154,EnrollData2324,'2324 Jun 24 Enroll'!G$1,FALSE),'District Calculations'!$D$14)*Apport_212A2324s,3)</f>
        <v>8.2089999999999996</v>
      </c>
      <c r="X154">
        <f>ROUND(IF(VLOOKUP($A154,EnrollData2324,'2324 Jun 24 Enroll'!H$1,FALSE)='District Calculations'!$D$14,VLOOKUP($A154,EnrollData2324,'2324 Jun 24 Enroll'!H$1,FALSE),'District Calculations'!$D$14)*Apport_215A2324s,3)</f>
        <v>8.0969999999999995</v>
      </c>
      <c r="Y154">
        <f>ROUND(IF(VLOOKUP($A154,EnrollData2324,'2324 Jun 24 Enroll'!I$1,FALSE)+VLOOKUP($A154,EnrollData2324,'2324 Jun 24 Enroll'!M$1,FALSE)-VLOOKUP($A154,EnrollData2324,'2324 Jun 24 Enroll'!J$1,FALSE)='District Calculations'!$D$16+'District Calculations'!$D$25-'District Calculations'!$D$17,VLOOKUP($A154,EnrollData2324,'2324 Jun 24 Enroll'!I$1,FALSE)+VLOOKUP($A154,EnrollData2324,'2324 Jun 24 Enroll'!M$1,FALSE)-VLOOKUP($A154,EnrollData2324,'2324 Jun 24 Enroll'!J$1,FALSE),'District Calculations'!$D$16+'District Calculations'!$D$25-'District Calculations'!$D$17)*Apport_218A2324s,3)</f>
        <v>20.224</v>
      </c>
      <c r="Z154">
        <f>ROUND(SUM(T154:Y154)/IF(VLOOKUP($A154,EnrollData2324,'2324 Jun 24 Enroll'!M$1,FALSE)+VLOOKUP($A154,EnrollData2324,'2324 Jun 24 Enroll'!D$1,FALSE)='District Calculations'!$D$25+'District Calculations'!$D$11,VLOOKUP($A154,EnrollData2324,'2324 Jun 24 Enroll'!M$1,FALSE)+VLOOKUP($A154,EnrollData2324,'2324 Jun 24 Enroll'!D$1,FALSE),'District Calculations'!$D$25+'District Calculations'!$D$11),5)</f>
        <v>1.7749999999999998E-2</v>
      </c>
      <c r="AA154" s="6" cm="1">
        <f t="array" ref="AA154">ROUND($J154*CIS_Base_Salary2324s*VLOOKUP($A154,EnrollData2324,'2324 Jun 24 Enroll'!S$1,FALSE),2)</f>
        <v>4280.8999999999996</v>
      </c>
      <c r="AB154" s="6" cm="1">
        <f t="array" ref="AB154">ROUND($J154*CIS_Inc_Salary2324s*(VLOOKUP($A154,EnrollData2324,'2324 Jun 24 Enroll'!T$1,FALSE)+VLOOKUP($A154,EnrollData2324,'2324 Jun 24 Enroll'!U$1,FALSE)),2)-AA154</f>
        <v>158.40000000000055</v>
      </c>
      <c r="AC154" s="6" cm="1">
        <f t="array" ref="AC154">ROUND($R154*CAS_Base_Salary2324s*VLOOKUP($A154,EnrollData2324,'2324 Jun 24 Enroll'!S$1,FALSE),2)</f>
        <v>470.32</v>
      </c>
      <c r="AD154" s="6" cm="1">
        <f t="array" ref="AD154">ROUND($R154*CAS_Inc_Salary2324s*VLOOKUP($A154,EnrollData2324,'2324 Jun 24 Enroll'!T$1,FALSE),2)-AC154</f>
        <v>17.400000000000034</v>
      </c>
      <c r="AE154" s="6" cm="1">
        <f t="array" ref="AE154">ROUND($Z154*CLS_Base_Salary2324s*VLOOKUP($A154,EnrollData2324,'2324 Jun 24 Enroll'!S$1,FALSE),2)</f>
        <v>981.63</v>
      </c>
      <c r="AF154" s="6" cm="1">
        <f t="array" ref="AF154">ROUND($Z154*CLS_Inc_Salary2324s*VLOOKUP($A154,EnrollData2324,'2324 Jun 24 Enroll'!T$1,FALSE),2)-AE154</f>
        <v>36.32000000000005</v>
      </c>
      <c r="AG154" cm="1">
        <f t="array" ref="AG154">ROUND(($J154+$R154)*Apport_124X2324s,2)</f>
        <v>734.29</v>
      </c>
      <c r="AH154" s="69">
        <f t="shared" si="14"/>
        <v>68.700000000000045</v>
      </c>
      <c r="AI154" cm="1">
        <f t="array" ref="AI154">ROUND($Z154*Apport_124X2324s,2)</f>
        <v>218.54</v>
      </c>
      <c r="AJ154" cm="1">
        <f t="array" ref="AJ154">ROUND($Z154*Apport_621X2324s*Apport_125X2324s,2)-AI154</f>
        <v>116.51000000000002</v>
      </c>
      <c r="AK154" cm="1">
        <f t="array" ref="AK154">ROUND((AA154+AC154)*Apport_126X2324s,2)</f>
        <v>853.79</v>
      </c>
      <c r="AL154" cm="1">
        <f t="array" ref="AL154">ROUND((AB154+AD154)*Apport_127X2324s,2)</f>
        <v>30.47</v>
      </c>
      <c r="AM154" cm="1">
        <f t="array" ref="AM154">ROUND(AE154*Apport_128X2324s,2)</f>
        <v>216.55</v>
      </c>
      <c r="AN154" cm="1">
        <f t="array" ref="AN154">ROUND(AF154*Apport_129X2324s,2)</f>
        <v>6.74</v>
      </c>
      <c r="AO154" cm="1">
        <f t="array" ref="AO154">ROUND(($J154*CIS_Inc_Salary2324s*(VLOOKUP($A154,EnrollData2324,'2324 Jun 24 Enroll'!T$1,FALSE)+VLOOKUP($A154,EnrollData2324,'2324 Jun 24 Enroll'!U$1,FALSE))/Apport_613Xpd)*Apport_614Xpd,2)</f>
        <v>73.989999999999995</v>
      </c>
      <c r="AP154" cm="1">
        <f t="array" ref="AP154">ROUND(AO154*Apport_127X2324s,2)</f>
        <v>12.82</v>
      </c>
      <c r="AQ154">
        <f t="shared" si="15"/>
        <v>30.93</v>
      </c>
      <c r="AR154" s="6" cm="1">
        <f t="array" ref="AR154">ROUND((VLOOKUP($A154,EnrollData2324,'2324 Jun 24 Enroll'!D$1,FALSE)*Apport_M802324s+VLOOKUP($A154,EnrollData2324,'2324 Jun 24 Enroll'!M$1,FALSE)*Apport_M802324s+(VLOOKUP($A154,EnrollData2324,'2324 Jun 24 Enroll'!P$1,FALSE)+VLOOKUP($A154,EnrollData2324,'2324 Jun 24 Enroll'!Q$1,FALSE)+VLOOKUP($A154,EnrollData2324,'2324 Jun 24 Enroll'!R$1,FALSE)+VLOOKUP($A154,EnrollData2324,'2324 Jun 24 Enroll'!I$1,FALSE)+VLOOKUP($A154,EnrollData2324,'2324 Jun 24 Enroll'!N$1,FALSE)+VLOOKUP($A154,EnrollData2324,'2324 Jun 24 Enroll'!O$1,FALSE)+VLOOKUP($A154,EnrollData2324,'2324 Jun 24 Enroll'!K$1,FALSE)+VLOOKUP($A154,EnrollData2324,'2324 Jun 24 Enroll'!L$1,FALSE))*Apport_M812324s)/(VLOOKUP($A154,EnrollData2324,'2324 Jun 24 Enroll'!M$1,FALSE)+VLOOKUP($A154,EnrollData2324,'2324 Jun 24 Enroll'!D$1,FALSE)),2)</f>
        <v>1539.44</v>
      </c>
      <c r="AS154" s="7">
        <f t="shared" si="16"/>
        <v>9847.74</v>
      </c>
    </row>
    <row r="155" spans="1:45">
      <c r="A155" s="40" t="s">
        <v>444</v>
      </c>
      <c r="B155" s="40" t="s">
        <v>445</v>
      </c>
      <c r="C155" s="11">
        <f>ROUND((IFERROR((1/IF(VLOOKUP($A155,EnrollData2324,28,FALSE)='District Calculations'!$D$10,VLOOKUP($A155,EnrollData2324,28,FALSE),'District Calculations'!$D$10))*(1+Apport_Z315),0))+Apport_201A2324s,6)</f>
        <v>7.3449E-2</v>
      </c>
      <c r="D155">
        <f>ROUND(IF(VLOOKUP($A155,EnrollData2324,'2324 Jun 24 Enroll'!D$1,FALSE)='District Calculations'!$D$11,VLOOKUP($A155,EnrollData2324,'2324 Jun 24 Enroll'!D$1,FALSE),'District Calculations'!$D$11)*C155,3)</f>
        <v>0</v>
      </c>
      <c r="E155">
        <f>ROUND(IF(VLOOKUP($A155,EnrollData2324,'2324 Jun 24 Enroll'!E$1,FALSE)='District Calculations'!$D$12,VLOOKUP($A155,EnrollData2324,'2324 Jun 24 Enroll'!E$1,FALSE),'District Calculations'!$D$12)*C155,3)</f>
        <v>59.53</v>
      </c>
      <c r="F155">
        <f>ROUND(IF(VLOOKUP($A155,EnrollData2324,'2324 Jun 24 Enroll'!F$1,FALSE)='District Calculations'!$D$13,VLOOKUP($A155,EnrollData2324,'2324 Jun 24 Enroll'!F$1,FALSE),'District Calculations'!$D$13)*Apport_222A2324s,3)</f>
        <v>10.101000000000001</v>
      </c>
      <c r="G155">
        <f>ROUND(IF(VLOOKUP($A155,EnrollData2324,'2324 Jun 24 Enroll'!G$1,FALSE)='District Calculations'!$D$14,VLOOKUP($A155,EnrollData2324,'2324 Jun 24 Enroll'!G$1,FALSE),'District Calculations'!$D$14)*Apport_210A2324s,3)</f>
        <v>22.395</v>
      </c>
      <c r="H155">
        <f>ROUND(IF(VLOOKUP($A155,EnrollData2324,'2324 Jun 24 Enroll'!H$1,FALSE)='District Calculations'!$D$15,VLOOKUP($A155,EnrollData2324,'2324 Jun 24 Enroll'!H$1,FALSE),'District Calculations'!$D$15)*Apport_213A2324s,3)</f>
        <v>23.091999999999999</v>
      </c>
      <c r="I155">
        <f>ROUND(IF(VLOOKUP($A155,EnrollData2324,'2324 Jun 24 Enroll'!I$1,FALSE)+VLOOKUP($A155,EnrollData2324,'2324 Jun 24 Enroll'!M$1,FALSE)-VLOOKUP($A155,EnrollData2324,'2324 Jun 24 Enroll'!J$1,FALSE)='District Calculations'!$D$16+'District Calculations'!$D$25-'District Calculations'!$D$17,VLOOKUP($A155,EnrollData2324,'2324 Jun 24 Enroll'!I$1,FALSE)+VLOOKUP($A155,EnrollData2324,'2324 Jun 24 Enroll'!M$1,FALSE)-VLOOKUP($A155,EnrollData2324,'2324 Jun 24 Enroll'!J$1,FALSE),'District Calculations'!$D$16+'District Calculations'!$D$25-'District Calculations'!$D$17)*Apport_216A2324s,3)</f>
        <v>58.183999999999997</v>
      </c>
      <c r="J155">
        <f>ROUND(SUM(D155:I155)/(IF(VLOOKUP($A155,EnrollData2324,'2324 Jun 24 Enroll'!M$1,FALSE)='District Calculations'!$D$25,VLOOKUP($A155,EnrollData2324,'2324 Jun 24 Enroll'!M$1,FALSE),'District Calculations'!$D$25)+IF(VLOOKUP($A155,EnrollData2324,'2324 Jun 24 Enroll'!D$1,FALSE)='District Calculations'!$D$11,VLOOKUP($A155,EnrollData2324,'2324 Jun 24 Enroll'!D$1,FALSE),'District Calculations'!$D$11)),5)</f>
        <v>5.5530000000000003E-2</v>
      </c>
      <c r="K155" s="11">
        <f t="shared" si="12"/>
        <v>4.3699999999999998E-3</v>
      </c>
      <c r="L155">
        <f>ROUND(IF(VLOOKUP($A155,EnrollData2324,'2324 Jun 24 Enroll'!D$1,FALSE)='District Calculations'!$D$11,VLOOKUP($A155,EnrollData2324,'2324 Jun 24 Enroll'!D$1,FALSE),'District Calculations'!$D$11)*K155,3)</f>
        <v>0</v>
      </c>
      <c r="M155">
        <f>ROUND(IF(VLOOKUP($A155,EnrollData2324,'2324 Jun 24 Enroll'!E$1,FALSE)='District Calculations'!$D$12,VLOOKUP($A155,EnrollData2324,'2324 Jun 24 Enroll'!E$1,FALSE),'District Calculations'!$D$12)*K155,3)</f>
        <v>3.5419999999999998</v>
      </c>
      <c r="N155">
        <f>ROUND(IF(VLOOKUP($A155,EnrollData2324,'2324 Jun 24 Enroll'!F$1,FALSE)='District Calculations'!$D$13,VLOOKUP($A155,EnrollData2324,'2324 Jun 24 Enroll'!F$1,FALSE),'District Calculations'!$D$13)*Apport_223A2324s,3)</f>
        <v>0.84299999999999997</v>
      </c>
      <c r="O155">
        <f>ROUND(IF(VLOOKUP($A155,EnrollData2324,'2324 Jun 24 Enroll'!G$1,FALSE)='District Calculations'!$D$14,VLOOKUP($A155,EnrollData2324,'2324 Jun 24 Enroll'!G$1,FALSE),'District Calculations'!$D$14)*Apport_211A2324s,3)</f>
        <v>1.87</v>
      </c>
      <c r="P155">
        <f>ROUND(IF(VLOOKUP($A155,EnrollData2324,'2324 Jun 24 Enroll'!H$1,FALSE)='District Calculations'!$D$14,VLOOKUP($A155,EnrollData2324,'2324 Jun 24 Enroll'!H$1,FALSE),'District Calculations'!$D$14)*Apport_214A2324s,3)</f>
        <v>1.8680000000000001</v>
      </c>
      <c r="Q155">
        <f>ROUND(IF(VLOOKUP($A155,EnrollData2324,'2324 Jun 24 Enroll'!I$1,FALSE)+VLOOKUP($A155,EnrollData2324,'2324 Jun 24 Enroll'!M$1,FALSE)-VLOOKUP($A155,EnrollData2324,'2324 Jun 24 Enroll'!J$1,FALSE)='District Calculations'!$D$16+'District Calculations'!$D$25-'District Calculations'!$D$17,VLOOKUP($A155,EnrollData2324,'2324 Jun 24 Enroll'!I$1,FALSE)+VLOOKUP($A155,EnrollData2324,'2324 Jun 24 Enroll'!M$1,FALSE)-VLOOKUP($A155,EnrollData2324,'2324 Jun 24 Enroll'!J$1,FALSE),'District Calculations'!$D$16+'District Calculations'!$D$25-'District Calculations'!$D$17)*Apport_217A2324s,3)</f>
        <v>4.702</v>
      </c>
      <c r="R155">
        <f>ROUND(SUM(L155:Q155)/IF(VLOOKUP($A155,EnrollData2324,'2324 Jun 24 Enroll'!M$1,FALSE)+VLOOKUP($A155,EnrollData2324,'2324 Jun 24 Enroll'!D$1,FALSE)='District Calculations'!$D$25+'District Calculations'!$D$11,VLOOKUP($A155,EnrollData2324,'2324 Jun 24 Enroll'!M$1,FALSE)+VLOOKUP($A155,EnrollData2324,'2324 Jun 24 Enroll'!D$1,FALSE),'District Calculations'!$D$25+'District Calculations'!$D$11),5)</f>
        <v>4.1099999999999999E-3</v>
      </c>
      <c r="S155" s="11">
        <f t="shared" si="13"/>
        <v>1.8689600000000001E-2</v>
      </c>
      <c r="T155">
        <f>ROUND(IF(VLOOKUP($A155,EnrollData2324,'2324 Jun 24 Enroll'!D$1,FALSE)='District Calculations'!$D$11,VLOOKUP($A155,EnrollData2324,'2324 Jun 24 Enroll'!D$1,FALSE),'District Calculations'!$D$11)*S155,3)</f>
        <v>0</v>
      </c>
      <c r="U155">
        <f>ROUND(IF(VLOOKUP($A155,EnrollData2324,'2324 Jun 24 Enroll'!E$1,FALSE)='District Calculations'!$D$12,VLOOKUP($A155,EnrollData2324,'2324 Jun 24 Enroll'!E$1,FALSE),'District Calculations'!$D$12)*S155,3)</f>
        <v>15.148</v>
      </c>
      <c r="V155">
        <f>ROUND(IF(VLOOKUP($A155,EnrollData2324,'2324 Jun 24 Enroll'!F$1,FALSE)='District Calculations'!$D$13,VLOOKUP($A155,EnrollData2324,'2324 Jun 24 Enroll'!F$1,FALSE),'District Calculations'!$D$13)*Apport_224A2324s,3)</f>
        <v>3.7029999999999998</v>
      </c>
      <c r="W155">
        <f>ROUND(IF(VLOOKUP($A155,EnrollData2324,'2324 Jun 24 Enroll'!G$1,FALSE)='District Calculations'!$D$14,VLOOKUP($A155,EnrollData2324,'2324 Jun 24 Enroll'!G$1,FALSE),'District Calculations'!$D$14)*Apport_212A2324s,3)</f>
        <v>8.2089999999999996</v>
      </c>
      <c r="X155">
        <f>ROUND(IF(VLOOKUP($A155,EnrollData2324,'2324 Jun 24 Enroll'!H$1,FALSE)='District Calculations'!$D$14,VLOOKUP($A155,EnrollData2324,'2324 Jun 24 Enroll'!H$1,FALSE),'District Calculations'!$D$14)*Apport_215A2324s,3)</f>
        <v>8.0969999999999995</v>
      </c>
      <c r="Y155">
        <f>ROUND(IF(VLOOKUP($A155,EnrollData2324,'2324 Jun 24 Enroll'!I$1,FALSE)+VLOOKUP($A155,EnrollData2324,'2324 Jun 24 Enroll'!M$1,FALSE)-VLOOKUP($A155,EnrollData2324,'2324 Jun 24 Enroll'!J$1,FALSE)='District Calculations'!$D$16+'District Calculations'!$D$25-'District Calculations'!$D$17,VLOOKUP($A155,EnrollData2324,'2324 Jun 24 Enroll'!I$1,FALSE)+VLOOKUP($A155,EnrollData2324,'2324 Jun 24 Enroll'!M$1,FALSE)-VLOOKUP($A155,EnrollData2324,'2324 Jun 24 Enroll'!J$1,FALSE),'District Calculations'!$D$16+'District Calculations'!$D$25-'District Calculations'!$D$17)*Apport_218A2324s,3)</f>
        <v>20.224</v>
      </c>
      <c r="Z155">
        <f>ROUND(SUM(T155:Y155)/IF(VLOOKUP($A155,EnrollData2324,'2324 Jun 24 Enroll'!M$1,FALSE)+VLOOKUP($A155,EnrollData2324,'2324 Jun 24 Enroll'!D$1,FALSE)='District Calculations'!$D$25+'District Calculations'!$D$11,VLOOKUP($A155,EnrollData2324,'2324 Jun 24 Enroll'!M$1,FALSE)+VLOOKUP($A155,EnrollData2324,'2324 Jun 24 Enroll'!D$1,FALSE),'District Calculations'!$D$25+'District Calculations'!$D$11),5)</f>
        <v>1.7749999999999998E-2</v>
      </c>
      <c r="AA155" s="6" cm="1">
        <f t="array" ref="AA155">ROUND($J155*CIS_Base_Salary2324s*VLOOKUP($A155,EnrollData2324,'2324 Jun 24 Enroll'!S$1,FALSE),2)</f>
        <v>4038.59</v>
      </c>
      <c r="AB155" s="6" cm="1">
        <f t="array" ref="AB155">ROUND($J155*CIS_Inc_Salary2324s*(VLOOKUP($A155,EnrollData2324,'2324 Jun 24 Enroll'!T$1,FALSE)+VLOOKUP($A155,EnrollData2324,'2324 Jun 24 Enroll'!U$1,FALSE)),2)-AA155</f>
        <v>149.43000000000029</v>
      </c>
      <c r="AC155" s="6" cm="1">
        <f t="array" ref="AC155">ROUND($R155*CAS_Base_Salary2324s*VLOOKUP($A155,EnrollData2324,'2324 Jun 24 Enroll'!S$1,FALSE),2)</f>
        <v>443.7</v>
      </c>
      <c r="AD155" s="6" cm="1">
        <f t="array" ref="AD155">ROUND($R155*CAS_Inc_Salary2324s*VLOOKUP($A155,EnrollData2324,'2324 Jun 24 Enroll'!T$1,FALSE),2)-AC155</f>
        <v>16.410000000000025</v>
      </c>
      <c r="AE155" s="6" cm="1">
        <f t="array" ref="AE155">ROUND($Z155*CLS_Base_Salary2324s*VLOOKUP($A155,EnrollData2324,'2324 Jun 24 Enroll'!S$1,FALSE),2)</f>
        <v>926.07</v>
      </c>
      <c r="AF155" s="6" cm="1">
        <f t="array" ref="AF155">ROUND($Z155*CLS_Inc_Salary2324s*VLOOKUP($A155,EnrollData2324,'2324 Jun 24 Enroll'!T$1,FALSE),2)-AE155</f>
        <v>34.259999999999991</v>
      </c>
      <c r="AG155" cm="1">
        <f t="array" ref="AG155">ROUND(($J155+$R155)*Apport_124X2324s,2)</f>
        <v>734.29</v>
      </c>
      <c r="AH155" s="69">
        <f t="shared" si="14"/>
        <v>68.700000000000045</v>
      </c>
      <c r="AI155" cm="1">
        <f t="array" ref="AI155">ROUND($Z155*Apport_124X2324s,2)</f>
        <v>218.54</v>
      </c>
      <c r="AJ155" cm="1">
        <f t="array" ref="AJ155">ROUND($Z155*Apport_621X2324s*Apport_125X2324s,2)-AI155</f>
        <v>116.51000000000002</v>
      </c>
      <c r="AK155" cm="1">
        <f t="array" ref="AK155">ROUND((AA155+AC155)*Apport_126X2324s,2)</f>
        <v>805.47</v>
      </c>
      <c r="AL155" cm="1">
        <f t="array" ref="AL155">ROUND((AB155+AD155)*Apport_127X2324s,2)</f>
        <v>28.74</v>
      </c>
      <c r="AM155" cm="1">
        <f t="array" ref="AM155">ROUND(AE155*Apport_128X2324s,2)</f>
        <v>204.29</v>
      </c>
      <c r="AN155" cm="1">
        <f t="array" ref="AN155">ROUND(AF155*Apport_129X2324s,2)</f>
        <v>6.36</v>
      </c>
      <c r="AO155" cm="1">
        <f t="array" ref="AO155">ROUND(($J155*CIS_Inc_Salary2324s*(VLOOKUP($A155,EnrollData2324,'2324 Jun 24 Enroll'!T$1,FALSE)+VLOOKUP($A155,EnrollData2324,'2324 Jun 24 Enroll'!U$1,FALSE))/Apport_613Xpd)*Apport_614Xpd,2)</f>
        <v>69.8</v>
      </c>
      <c r="AP155" cm="1">
        <f t="array" ref="AP155">ROUND(AO155*Apport_127X2324s,2)</f>
        <v>12.1</v>
      </c>
      <c r="AQ155">
        <f t="shared" si="15"/>
        <v>30.93</v>
      </c>
      <c r="AR155" s="6" cm="1">
        <f t="array" ref="AR155">ROUND((VLOOKUP($A155,EnrollData2324,'2324 Jun 24 Enroll'!D$1,FALSE)*Apport_M802324s+VLOOKUP($A155,EnrollData2324,'2324 Jun 24 Enroll'!M$1,FALSE)*Apport_M802324s+(VLOOKUP($A155,EnrollData2324,'2324 Jun 24 Enroll'!P$1,FALSE)+VLOOKUP($A155,EnrollData2324,'2324 Jun 24 Enroll'!Q$1,FALSE)+VLOOKUP($A155,EnrollData2324,'2324 Jun 24 Enroll'!R$1,FALSE)+VLOOKUP($A155,EnrollData2324,'2324 Jun 24 Enroll'!I$1,FALSE)+VLOOKUP($A155,EnrollData2324,'2324 Jun 24 Enroll'!N$1,FALSE)+VLOOKUP($A155,EnrollData2324,'2324 Jun 24 Enroll'!O$1,FALSE)+VLOOKUP($A155,EnrollData2324,'2324 Jun 24 Enroll'!K$1,FALSE)+VLOOKUP($A155,EnrollData2324,'2324 Jun 24 Enroll'!L$1,FALSE))*Apport_M812324s)/(VLOOKUP($A155,EnrollData2324,'2324 Jun 24 Enroll'!M$1,FALSE)+VLOOKUP($A155,EnrollData2324,'2324 Jun 24 Enroll'!D$1,FALSE)),2)</f>
        <v>1569.82</v>
      </c>
      <c r="AS155" s="7">
        <f t="shared" si="16"/>
        <v>9474.01</v>
      </c>
    </row>
    <row r="156" spans="1:45">
      <c r="A156" s="40" t="s">
        <v>532</v>
      </c>
      <c r="B156" s="40" t="s">
        <v>533</v>
      </c>
      <c r="C156" s="11">
        <f>ROUND((IFERROR((1/IF(VLOOKUP($A156,EnrollData2324,28,FALSE)='District Calculations'!$D$10,VLOOKUP($A156,EnrollData2324,28,FALSE),'District Calculations'!$D$10))*(1+Apport_Z315),0))+Apport_201A2324s,6)</f>
        <v>7.3449E-2</v>
      </c>
      <c r="D156">
        <f>ROUND(IF(VLOOKUP($A156,EnrollData2324,'2324 Jun 24 Enroll'!D$1,FALSE)='District Calculations'!$D$11,VLOOKUP($A156,EnrollData2324,'2324 Jun 24 Enroll'!D$1,FALSE),'District Calculations'!$D$11)*C156,3)</f>
        <v>0</v>
      </c>
      <c r="E156">
        <f>ROUND(IF(VLOOKUP($A156,EnrollData2324,'2324 Jun 24 Enroll'!E$1,FALSE)='District Calculations'!$D$12,VLOOKUP($A156,EnrollData2324,'2324 Jun 24 Enroll'!E$1,FALSE),'District Calculations'!$D$12)*C156,3)</f>
        <v>59.53</v>
      </c>
      <c r="F156">
        <f>ROUND(IF(VLOOKUP($A156,EnrollData2324,'2324 Jun 24 Enroll'!F$1,FALSE)='District Calculations'!$D$13,VLOOKUP($A156,EnrollData2324,'2324 Jun 24 Enroll'!F$1,FALSE),'District Calculations'!$D$13)*Apport_222A2324s,3)</f>
        <v>10.101000000000001</v>
      </c>
      <c r="G156">
        <f>ROUND(IF(VLOOKUP($A156,EnrollData2324,'2324 Jun 24 Enroll'!G$1,FALSE)='District Calculations'!$D$14,VLOOKUP($A156,EnrollData2324,'2324 Jun 24 Enroll'!G$1,FALSE),'District Calculations'!$D$14)*Apport_210A2324s,3)</f>
        <v>22.395</v>
      </c>
      <c r="H156">
        <f>ROUND(IF(VLOOKUP($A156,EnrollData2324,'2324 Jun 24 Enroll'!H$1,FALSE)='District Calculations'!$D$15,VLOOKUP($A156,EnrollData2324,'2324 Jun 24 Enroll'!H$1,FALSE),'District Calculations'!$D$15)*Apport_213A2324s,3)</f>
        <v>23.091999999999999</v>
      </c>
      <c r="I156">
        <f>ROUND(IF(VLOOKUP($A156,EnrollData2324,'2324 Jun 24 Enroll'!I$1,FALSE)+VLOOKUP($A156,EnrollData2324,'2324 Jun 24 Enroll'!M$1,FALSE)-VLOOKUP($A156,EnrollData2324,'2324 Jun 24 Enroll'!J$1,FALSE)='District Calculations'!$D$16+'District Calculations'!$D$25-'District Calculations'!$D$17,VLOOKUP($A156,EnrollData2324,'2324 Jun 24 Enroll'!I$1,FALSE)+VLOOKUP($A156,EnrollData2324,'2324 Jun 24 Enroll'!M$1,FALSE)-VLOOKUP($A156,EnrollData2324,'2324 Jun 24 Enroll'!J$1,FALSE),'District Calculations'!$D$16+'District Calculations'!$D$25-'District Calculations'!$D$17)*Apport_216A2324s,3)</f>
        <v>58.183999999999997</v>
      </c>
      <c r="J156">
        <f>ROUND(SUM(D156:I156)/(IF(VLOOKUP($A156,EnrollData2324,'2324 Jun 24 Enroll'!M$1,FALSE)='District Calculations'!$D$25,VLOOKUP($A156,EnrollData2324,'2324 Jun 24 Enroll'!M$1,FALSE),'District Calculations'!$D$25)+IF(VLOOKUP($A156,EnrollData2324,'2324 Jun 24 Enroll'!D$1,FALSE)='District Calculations'!$D$11,VLOOKUP($A156,EnrollData2324,'2324 Jun 24 Enroll'!D$1,FALSE),'District Calculations'!$D$11)),5)</f>
        <v>5.5530000000000003E-2</v>
      </c>
      <c r="K156" s="11">
        <f t="shared" si="12"/>
        <v>4.3699999999999998E-3</v>
      </c>
      <c r="L156">
        <f>ROUND(IF(VLOOKUP($A156,EnrollData2324,'2324 Jun 24 Enroll'!D$1,FALSE)='District Calculations'!$D$11,VLOOKUP($A156,EnrollData2324,'2324 Jun 24 Enroll'!D$1,FALSE),'District Calculations'!$D$11)*K156,3)</f>
        <v>0</v>
      </c>
      <c r="M156">
        <f>ROUND(IF(VLOOKUP($A156,EnrollData2324,'2324 Jun 24 Enroll'!E$1,FALSE)='District Calculations'!$D$12,VLOOKUP($A156,EnrollData2324,'2324 Jun 24 Enroll'!E$1,FALSE),'District Calculations'!$D$12)*K156,3)</f>
        <v>3.5419999999999998</v>
      </c>
      <c r="N156">
        <f>ROUND(IF(VLOOKUP($A156,EnrollData2324,'2324 Jun 24 Enroll'!F$1,FALSE)='District Calculations'!$D$13,VLOOKUP($A156,EnrollData2324,'2324 Jun 24 Enroll'!F$1,FALSE),'District Calculations'!$D$13)*Apport_223A2324s,3)</f>
        <v>0.84299999999999997</v>
      </c>
      <c r="O156">
        <f>ROUND(IF(VLOOKUP($A156,EnrollData2324,'2324 Jun 24 Enroll'!G$1,FALSE)='District Calculations'!$D$14,VLOOKUP($A156,EnrollData2324,'2324 Jun 24 Enroll'!G$1,FALSE),'District Calculations'!$D$14)*Apport_211A2324s,3)</f>
        <v>1.87</v>
      </c>
      <c r="P156">
        <f>ROUND(IF(VLOOKUP($A156,EnrollData2324,'2324 Jun 24 Enroll'!H$1,FALSE)='District Calculations'!$D$14,VLOOKUP($A156,EnrollData2324,'2324 Jun 24 Enroll'!H$1,FALSE),'District Calculations'!$D$14)*Apport_214A2324s,3)</f>
        <v>1.8680000000000001</v>
      </c>
      <c r="Q156">
        <f>ROUND(IF(VLOOKUP($A156,EnrollData2324,'2324 Jun 24 Enroll'!I$1,FALSE)+VLOOKUP($A156,EnrollData2324,'2324 Jun 24 Enroll'!M$1,FALSE)-VLOOKUP($A156,EnrollData2324,'2324 Jun 24 Enroll'!J$1,FALSE)='District Calculations'!$D$16+'District Calculations'!$D$25-'District Calculations'!$D$17,VLOOKUP($A156,EnrollData2324,'2324 Jun 24 Enroll'!I$1,FALSE)+VLOOKUP($A156,EnrollData2324,'2324 Jun 24 Enroll'!M$1,FALSE)-VLOOKUP($A156,EnrollData2324,'2324 Jun 24 Enroll'!J$1,FALSE),'District Calculations'!$D$16+'District Calculations'!$D$25-'District Calculations'!$D$17)*Apport_217A2324s,3)</f>
        <v>4.702</v>
      </c>
      <c r="R156">
        <f>ROUND(SUM(L156:Q156)/IF(VLOOKUP($A156,EnrollData2324,'2324 Jun 24 Enroll'!M$1,FALSE)+VLOOKUP($A156,EnrollData2324,'2324 Jun 24 Enroll'!D$1,FALSE)='District Calculations'!$D$25+'District Calculations'!$D$11,VLOOKUP($A156,EnrollData2324,'2324 Jun 24 Enroll'!M$1,FALSE)+VLOOKUP($A156,EnrollData2324,'2324 Jun 24 Enroll'!D$1,FALSE),'District Calculations'!$D$25+'District Calculations'!$D$11),5)</f>
        <v>4.1099999999999999E-3</v>
      </c>
      <c r="S156" s="11">
        <f t="shared" si="13"/>
        <v>1.8689600000000001E-2</v>
      </c>
      <c r="T156">
        <f>ROUND(IF(VLOOKUP($A156,EnrollData2324,'2324 Jun 24 Enroll'!D$1,FALSE)='District Calculations'!$D$11,VLOOKUP($A156,EnrollData2324,'2324 Jun 24 Enroll'!D$1,FALSE),'District Calculations'!$D$11)*S156,3)</f>
        <v>0</v>
      </c>
      <c r="U156">
        <f>ROUND(IF(VLOOKUP($A156,EnrollData2324,'2324 Jun 24 Enroll'!E$1,FALSE)='District Calculations'!$D$12,VLOOKUP($A156,EnrollData2324,'2324 Jun 24 Enroll'!E$1,FALSE),'District Calculations'!$D$12)*S156,3)</f>
        <v>15.148</v>
      </c>
      <c r="V156">
        <f>ROUND(IF(VLOOKUP($A156,EnrollData2324,'2324 Jun 24 Enroll'!F$1,FALSE)='District Calculations'!$D$13,VLOOKUP($A156,EnrollData2324,'2324 Jun 24 Enroll'!F$1,FALSE),'District Calculations'!$D$13)*Apport_224A2324s,3)</f>
        <v>3.7029999999999998</v>
      </c>
      <c r="W156">
        <f>ROUND(IF(VLOOKUP($A156,EnrollData2324,'2324 Jun 24 Enroll'!G$1,FALSE)='District Calculations'!$D$14,VLOOKUP($A156,EnrollData2324,'2324 Jun 24 Enroll'!G$1,FALSE),'District Calculations'!$D$14)*Apport_212A2324s,3)</f>
        <v>8.2089999999999996</v>
      </c>
      <c r="X156">
        <f>ROUND(IF(VLOOKUP($A156,EnrollData2324,'2324 Jun 24 Enroll'!H$1,FALSE)='District Calculations'!$D$14,VLOOKUP($A156,EnrollData2324,'2324 Jun 24 Enroll'!H$1,FALSE),'District Calculations'!$D$14)*Apport_215A2324s,3)</f>
        <v>8.0969999999999995</v>
      </c>
      <c r="Y156">
        <f>ROUND(IF(VLOOKUP($A156,EnrollData2324,'2324 Jun 24 Enroll'!I$1,FALSE)+VLOOKUP($A156,EnrollData2324,'2324 Jun 24 Enroll'!M$1,FALSE)-VLOOKUP($A156,EnrollData2324,'2324 Jun 24 Enroll'!J$1,FALSE)='District Calculations'!$D$16+'District Calculations'!$D$25-'District Calculations'!$D$17,VLOOKUP($A156,EnrollData2324,'2324 Jun 24 Enroll'!I$1,FALSE)+VLOOKUP($A156,EnrollData2324,'2324 Jun 24 Enroll'!M$1,FALSE)-VLOOKUP($A156,EnrollData2324,'2324 Jun 24 Enroll'!J$1,FALSE),'District Calculations'!$D$16+'District Calculations'!$D$25-'District Calculations'!$D$17)*Apport_218A2324s,3)</f>
        <v>20.224</v>
      </c>
      <c r="Z156">
        <f>ROUND(SUM(T156:Y156)/IF(VLOOKUP($A156,EnrollData2324,'2324 Jun 24 Enroll'!M$1,FALSE)+VLOOKUP($A156,EnrollData2324,'2324 Jun 24 Enroll'!D$1,FALSE)='District Calculations'!$D$25+'District Calculations'!$D$11,VLOOKUP($A156,EnrollData2324,'2324 Jun 24 Enroll'!M$1,FALSE)+VLOOKUP($A156,EnrollData2324,'2324 Jun 24 Enroll'!D$1,FALSE),'District Calculations'!$D$25+'District Calculations'!$D$11),5)</f>
        <v>1.7749999999999998E-2</v>
      </c>
      <c r="AA156" s="6" cm="1">
        <f t="array" ref="AA156">ROUND($J156*CIS_Base_Salary2324s*VLOOKUP($A156,EnrollData2324,'2324 Jun 24 Enroll'!S$1,FALSE),2)</f>
        <v>4038.59</v>
      </c>
      <c r="AB156" s="6" cm="1">
        <f t="array" ref="AB156">ROUND($J156*CIS_Inc_Salary2324s*(VLOOKUP($A156,EnrollData2324,'2324 Jun 24 Enroll'!T$1,FALSE)+VLOOKUP($A156,EnrollData2324,'2324 Jun 24 Enroll'!U$1,FALSE)),2)-AA156</f>
        <v>149.43000000000029</v>
      </c>
      <c r="AC156" s="6" cm="1">
        <f t="array" ref="AC156">ROUND($R156*CAS_Base_Salary2324s*VLOOKUP($A156,EnrollData2324,'2324 Jun 24 Enroll'!S$1,FALSE),2)</f>
        <v>443.7</v>
      </c>
      <c r="AD156" s="6" cm="1">
        <f t="array" ref="AD156">ROUND($R156*CAS_Inc_Salary2324s*VLOOKUP($A156,EnrollData2324,'2324 Jun 24 Enroll'!T$1,FALSE),2)-AC156</f>
        <v>16.410000000000025</v>
      </c>
      <c r="AE156" s="6" cm="1">
        <f t="array" ref="AE156">ROUND($Z156*CLS_Base_Salary2324s*VLOOKUP($A156,EnrollData2324,'2324 Jun 24 Enroll'!S$1,FALSE),2)</f>
        <v>926.07</v>
      </c>
      <c r="AF156" s="6" cm="1">
        <f t="array" ref="AF156">ROUND($Z156*CLS_Inc_Salary2324s*VLOOKUP($A156,EnrollData2324,'2324 Jun 24 Enroll'!T$1,FALSE),2)-AE156</f>
        <v>34.259999999999991</v>
      </c>
      <c r="AG156" cm="1">
        <f t="array" ref="AG156">ROUND(($J156+$R156)*Apport_124X2324s,2)</f>
        <v>734.29</v>
      </c>
      <c r="AH156" s="69">
        <f t="shared" si="14"/>
        <v>68.700000000000045</v>
      </c>
      <c r="AI156" cm="1">
        <f t="array" ref="AI156">ROUND($Z156*Apport_124X2324s,2)</f>
        <v>218.54</v>
      </c>
      <c r="AJ156" cm="1">
        <f t="array" ref="AJ156">ROUND($Z156*Apport_621X2324s*Apport_125X2324s,2)-AI156</f>
        <v>116.51000000000002</v>
      </c>
      <c r="AK156" cm="1">
        <f t="array" ref="AK156">ROUND((AA156+AC156)*Apport_126X2324s,2)</f>
        <v>805.47</v>
      </c>
      <c r="AL156" cm="1">
        <f t="array" ref="AL156">ROUND((AB156+AD156)*Apport_127X2324s,2)</f>
        <v>28.74</v>
      </c>
      <c r="AM156" cm="1">
        <f t="array" ref="AM156">ROUND(AE156*Apport_128X2324s,2)</f>
        <v>204.29</v>
      </c>
      <c r="AN156" cm="1">
        <f t="array" ref="AN156">ROUND(AF156*Apport_129X2324s,2)</f>
        <v>6.36</v>
      </c>
      <c r="AO156" cm="1">
        <f t="array" ref="AO156">ROUND(($J156*CIS_Inc_Salary2324s*(VLOOKUP($A156,EnrollData2324,'2324 Jun 24 Enroll'!T$1,FALSE)+VLOOKUP($A156,EnrollData2324,'2324 Jun 24 Enroll'!U$1,FALSE))/Apport_613Xpd)*Apport_614Xpd,2)</f>
        <v>69.8</v>
      </c>
      <c r="AP156" cm="1">
        <f t="array" ref="AP156">ROUND(AO156*Apport_127X2324s,2)</f>
        <v>12.1</v>
      </c>
      <c r="AQ156">
        <f t="shared" si="15"/>
        <v>30.93</v>
      </c>
      <c r="AR156" s="6" cm="1">
        <f t="array" ref="AR156">ROUND((VLOOKUP($A156,EnrollData2324,'2324 Jun 24 Enroll'!D$1,FALSE)*Apport_M802324s+VLOOKUP($A156,EnrollData2324,'2324 Jun 24 Enroll'!M$1,FALSE)*Apport_M802324s+(VLOOKUP($A156,EnrollData2324,'2324 Jun 24 Enroll'!P$1,FALSE)+VLOOKUP($A156,EnrollData2324,'2324 Jun 24 Enroll'!Q$1,FALSE)+VLOOKUP($A156,EnrollData2324,'2324 Jun 24 Enroll'!R$1,FALSE)+VLOOKUP($A156,EnrollData2324,'2324 Jun 24 Enroll'!I$1,FALSE)+VLOOKUP($A156,EnrollData2324,'2324 Jun 24 Enroll'!N$1,FALSE)+VLOOKUP($A156,EnrollData2324,'2324 Jun 24 Enroll'!O$1,FALSE)+VLOOKUP($A156,EnrollData2324,'2324 Jun 24 Enroll'!K$1,FALSE)+VLOOKUP($A156,EnrollData2324,'2324 Jun 24 Enroll'!L$1,FALSE))*Apport_M812324s)/(VLOOKUP($A156,EnrollData2324,'2324 Jun 24 Enroll'!M$1,FALSE)+VLOOKUP($A156,EnrollData2324,'2324 Jun 24 Enroll'!D$1,FALSE)),2)</f>
        <v>1568.5</v>
      </c>
      <c r="AS156" s="7">
        <f t="shared" si="16"/>
        <v>9472.69</v>
      </c>
    </row>
    <row r="157" spans="1:45">
      <c r="A157" s="40" t="s">
        <v>386</v>
      </c>
      <c r="B157" s="40" t="s">
        <v>387</v>
      </c>
      <c r="C157" s="11">
        <f>ROUND((IFERROR((1/IF(VLOOKUP($A157,EnrollData2324,28,FALSE)='District Calculations'!$D$10,VLOOKUP($A157,EnrollData2324,28,FALSE),'District Calculations'!$D$10))*(1+Apport_Z315),0))+Apport_201A2324s,6)</f>
        <v>7.3449E-2</v>
      </c>
      <c r="D157">
        <f>ROUND(IF(VLOOKUP($A157,EnrollData2324,'2324 Jun 24 Enroll'!D$1,FALSE)='District Calculations'!$D$11,VLOOKUP($A157,EnrollData2324,'2324 Jun 24 Enroll'!D$1,FALSE),'District Calculations'!$D$11)*C157,3)</f>
        <v>0</v>
      </c>
      <c r="E157">
        <f>ROUND(IF(VLOOKUP($A157,EnrollData2324,'2324 Jun 24 Enroll'!E$1,FALSE)='District Calculations'!$D$12,VLOOKUP($A157,EnrollData2324,'2324 Jun 24 Enroll'!E$1,FALSE),'District Calculations'!$D$12)*C157,3)</f>
        <v>59.53</v>
      </c>
      <c r="F157">
        <f>ROUND(IF(VLOOKUP($A157,EnrollData2324,'2324 Jun 24 Enroll'!F$1,FALSE)='District Calculations'!$D$13,VLOOKUP($A157,EnrollData2324,'2324 Jun 24 Enroll'!F$1,FALSE),'District Calculations'!$D$13)*Apport_222A2324s,3)</f>
        <v>10.101000000000001</v>
      </c>
      <c r="G157">
        <f>ROUND(IF(VLOOKUP($A157,EnrollData2324,'2324 Jun 24 Enroll'!G$1,FALSE)='District Calculations'!$D$14,VLOOKUP($A157,EnrollData2324,'2324 Jun 24 Enroll'!G$1,FALSE),'District Calculations'!$D$14)*Apport_210A2324s,3)</f>
        <v>22.395</v>
      </c>
      <c r="H157">
        <f>ROUND(IF(VLOOKUP($A157,EnrollData2324,'2324 Jun 24 Enroll'!H$1,FALSE)='District Calculations'!$D$15,VLOOKUP($A157,EnrollData2324,'2324 Jun 24 Enroll'!H$1,FALSE),'District Calculations'!$D$15)*Apport_213A2324s,3)</f>
        <v>23.091999999999999</v>
      </c>
      <c r="I157">
        <f>ROUND(IF(VLOOKUP($A157,EnrollData2324,'2324 Jun 24 Enroll'!I$1,FALSE)+VLOOKUP($A157,EnrollData2324,'2324 Jun 24 Enroll'!M$1,FALSE)-VLOOKUP($A157,EnrollData2324,'2324 Jun 24 Enroll'!J$1,FALSE)='District Calculations'!$D$16+'District Calculations'!$D$25-'District Calculations'!$D$17,VLOOKUP($A157,EnrollData2324,'2324 Jun 24 Enroll'!I$1,FALSE)+VLOOKUP($A157,EnrollData2324,'2324 Jun 24 Enroll'!M$1,FALSE)-VLOOKUP($A157,EnrollData2324,'2324 Jun 24 Enroll'!J$1,FALSE),'District Calculations'!$D$16+'District Calculations'!$D$25-'District Calculations'!$D$17)*Apport_216A2324s,3)</f>
        <v>58.183999999999997</v>
      </c>
      <c r="J157">
        <f>ROUND(SUM(D157:I157)/(IF(VLOOKUP($A157,EnrollData2324,'2324 Jun 24 Enroll'!M$1,FALSE)='District Calculations'!$D$25,VLOOKUP($A157,EnrollData2324,'2324 Jun 24 Enroll'!M$1,FALSE),'District Calculations'!$D$25)+IF(VLOOKUP($A157,EnrollData2324,'2324 Jun 24 Enroll'!D$1,FALSE)='District Calculations'!$D$11,VLOOKUP($A157,EnrollData2324,'2324 Jun 24 Enroll'!D$1,FALSE),'District Calculations'!$D$11)),5)</f>
        <v>5.5530000000000003E-2</v>
      </c>
      <c r="K157" s="11">
        <f t="shared" si="12"/>
        <v>4.3699999999999998E-3</v>
      </c>
      <c r="L157">
        <f>ROUND(IF(VLOOKUP($A157,EnrollData2324,'2324 Jun 24 Enroll'!D$1,FALSE)='District Calculations'!$D$11,VLOOKUP($A157,EnrollData2324,'2324 Jun 24 Enroll'!D$1,FALSE),'District Calculations'!$D$11)*K157,3)</f>
        <v>0</v>
      </c>
      <c r="M157">
        <f>ROUND(IF(VLOOKUP($A157,EnrollData2324,'2324 Jun 24 Enroll'!E$1,FALSE)='District Calculations'!$D$12,VLOOKUP($A157,EnrollData2324,'2324 Jun 24 Enroll'!E$1,FALSE),'District Calculations'!$D$12)*K157,3)</f>
        <v>3.5419999999999998</v>
      </c>
      <c r="N157">
        <f>ROUND(IF(VLOOKUP($A157,EnrollData2324,'2324 Jun 24 Enroll'!F$1,FALSE)='District Calculations'!$D$13,VLOOKUP($A157,EnrollData2324,'2324 Jun 24 Enroll'!F$1,FALSE),'District Calculations'!$D$13)*Apport_223A2324s,3)</f>
        <v>0.84299999999999997</v>
      </c>
      <c r="O157">
        <f>ROUND(IF(VLOOKUP($A157,EnrollData2324,'2324 Jun 24 Enroll'!G$1,FALSE)='District Calculations'!$D$14,VLOOKUP($A157,EnrollData2324,'2324 Jun 24 Enroll'!G$1,FALSE),'District Calculations'!$D$14)*Apport_211A2324s,3)</f>
        <v>1.87</v>
      </c>
      <c r="P157">
        <f>ROUND(IF(VLOOKUP($A157,EnrollData2324,'2324 Jun 24 Enroll'!H$1,FALSE)='District Calculations'!$D$14,VLOOKUP($A157,EnrollData2324,'2324 Jun 24 Enroll'!H$1,FALSE),'District Calculations'!$D$14)*Apport_214A2324s,3)</f>
        <v>1.8680000000000001</v>
      </c>
      <c r="Q157">
        <f>ROUND(IF(VLOOKUP($A157,EnrollData2324,'2324 Jun 24 Enroll'!I$1,FALSE)+VLOOKUP($A157,EnrollData2324,'2324 Jun 24 Enroll'!M$1,FALSE)-VLOOKUP($A157,EnrollData2324,'2324 Jun 24 Enroll'!J$1,FALSE)='District Calculations'!$D$16+'District Calculations'!$D$25-'District Calculations'!$D$17,VLOOKUP($A157,EnrollData2324,'2324 Jun 24 Enroll'!I$1,FALSE)+VLOOKUP($A157,EnrollData2324,'2324 Jun 24 Enroll'!M$1,FALSE)-VLOOKUP($A157,EnrollData2324,'2324 Jun 24 Enroll'!J$1,FALSE),'District Calculations'!$D$16+'District Calculations'!$D$25-'District Calculations'!$D$17)*Apport_217A2324s,3)</f>
        <v>4.702</v>
      </c>
      <c r="R157">
        <f>ROUND(SUM(L157:Q157)/IF(VLOOKUP($A157,EnrollData2324,'2324 Jun 24 Enroll'!M$1,FALSE)+VLOOKUP($A157,EnrollData2324,'2324 Jun 24 Enroll'!D$1,FALSE)='District Calculations'!$D$25+'District Calculations'!$D$11,VLOOKUP($A157,EnrollData2324,'2324 Jun 24 Enroll'!M$1,FALSE)+VLOOKUP($A157,EnrollData2324,'2324 Jun 24 Enroll'!D$1,FALSE),'District Calculations'!$D$25+'District Calculations'!$D$11),5)</f>
        <v>4.1099999999999999E-3</v>
      </c>
      <c r="S157" s="11">
        <f t="shared" si="13"/>
        <v>1.8689600000000001E-2</v>
      </c>
      <c r="T157">
        <f>ROUND(IF(VLOOKUP($A157,EnrollData2324,'2324 Jun 24 Enroll'!D$1,FALSE)='District Calculations'!$D$11,VLOOKUP($A157,EnrollData2324,'2324 Jun 24 Enroll'!D$1,FALSE),'District Calculations'!$D$11)*S157,3)</f>
        <v>0</v>
      </c>
      <c r="U157">
        <f>ROUND(IF(VLOOKUP($A157,EnrollData2324,'2324 Jun 24 Enroll'!E$1,FALSE)='District Calculations'!$D$12,VLOOKUP($A157,EnrollData2324,'2324 Jun 24 Enroll'!E$1,FALSE),'District Calculations'!$D$12)*S157,3)</f>
        <v>15.148</v>
      </c>
      <c r="V157">
        <f>ROUND(IF(VLOOKUP($A157,EnrollData2324,'2324 Jun 24 Enroll'!F$1,FALSE)='District Calculations'!$D$13,VLOOKUP($A157,EnrollData2324,'2324 Jun 24 Enroll'!F$1,FALSE),'District Calculations'!$D$13)*Apport_224A2324s,3)</f>
        <v>3.7029999999999998</v>
      </c>
      <c r="W157">
        <f>ROUND(IF(VLOOKUP($A157,EnrollData2324,'2324 Jun 24 Enroll'!G$1,FALSE)='District Calculations'!$D$14,VLOOKUP($A157,EnrollData2324,'2324 Jun 24 Enroll'!G$1,FALSE),'District Calculations'!$D$14)*Apport_212A2324s,3)</f>
        <v>8.2089999999999996</v>
      </c>
      <c r="X157">
        <f>ROUND(IF(VLOOKUP($A157,EnrollData2324,'2324 Jun 24 Enroll'!H$1,FALSE)='District Calculations'!$D$14,VLOOKUP($A157,EnrollData2324,'2324 Jun 24 Enroll'!H$1,FALSE),'District Calculations'!$D$14)*Apport_215A2324s,3)</f>
        <v>8.0969999999999995</v>
      </c>
      <c r="Y157">
        <f>ROUND(IF(VLOOKUP($A157,EnrollData2324,'2324 Jun 24 Enroll'!I$1,FALSE)+VLOOKUP($A157,EnrollData2324,'2324 Jun 24 Enroll'!M$1,FALSE)-VLOOKUP($A157,EnrollData2324,'2324 Jun 24 Enroll'!J$1,FALSE)='District Calculations'!$D$16+'District Calculations'!$D$25-'District Calculations'!$D$17,VLOOKUP($A157,EnrollData2324,'2324 Jun 24 Enroll'!I$1,FALSE)+VLOOKUP($A157,EnrollData2324,'2324 Jun 24 Enroll'!M$1,FALSE)-VLOOKUP($A157,EnrollData2324,'2324 Jun 24 Enroll'!J$1,FALSE),'District Calculations'!$D$16+'District Calculations'!$D$25-'District Calculations'!$D$17)*Apport_218A2324s,3)</f>
        <v>20.224</v>
      </c>
      <c r="Z157">
        <f>ROUND(SUM(T157:Y157)/IF(VLOOKUP($A157,EnrollData2324,'2324 Jun 24 Enroll'!M$1,FALSE)+VLOOKUP($A157,EnrollData2324,'2324 Jun 24 Enroll'!D$1,FALSE)='District Calculations'!$D$25+'District Calculations'!$D$11,VLOOKUP($A157,EnrollData2324,'2324 Jun 24 Enroll'!M$1,FALSE)+VLOOKUP($A157,EnrollData2324,'2324 Jun 24 Enroll'!D$1,FALSE),'District Calculations'!$D$25+'District Calculations'!$D$11),5)</f>
        <v>1.7749999999999998E-2</v>
      </c>
      <c r="AA157" s="6" cm="1">
        <f t="array" ref="AA157">ROUND($J157*CIS_Base_Salary2324s*VLOOKUP($A157,EnrollData2324,'2324 Jun 24 Enroll'!S$1,FALSE),2)</f>
        <v>4280.8999999999996</v>
      </c>
      <c r="AB157" s="6" cm="1">
        <f t="array" ref="AB157">ROUND($J157*CIS_Inc_Salary2324s*(VLOOKUP($A157,EnrollData2324,'2324 Jun 24 Enroll'!T$1,FALSE)+VLOOKUP($A157,EnrollData2324,'2324 Jun 24 Enroll'!U$1,FALSE)),2)-AA157</f>
        <v>158.40000000000055</v>
      </c>
      <c r="AC157" s="6" cm="1">
        <f t="array" ref="AC157">ROUND($R157*CAS_Base_Salary2324s*VLOOKUP($A157,EnrollData2324,'2324 Jun 24 Enroll'!S$1,FALSE),2)</f>
        <v>470.32</v>
      </c>
      <c r="AD157" s="6" cm="1">
        <f t="array" ref="AD157">ROUND($R157*CAS_Inc_Salary2324s*VLOOKUP($A157,EnrollData2324,'2324 Jun 24 Enroll'!T$1,FALSE),2)-AC157</f>
        <v>17.400000000000034</v>
      </c>
      <c r="AE157" s="6" cm="1">
        <f t="array" ref="AE157">ROUND($Z157*CLS_Base_Salary2324s*VLOOKUP($A157,EnrollData2324,'2324 Jun 24 Enroll'!S$1,FALSE),2)</f>
        <v>981.63</v>
      </c>
      <c r="AF157" s="6" cm="1">
        <f t="array" ref="AF157">ROUND($Z157*CLS_Inc_Salary2324s*VLOOKUP($A157,EnrollData2324,'2324 Jun 24 Enroll'!T$1,FALSE),2)-AE157</f>
        <v>36.32000000000005</v>
      </c>
      <c r="AG157" cm="1">
        <f t="array" ref="AG157">ROUND(($J157+$R157)*Apport_124X2324s,2)</f>
        <v>734.29</v>
      </c>
      <c r="AH157" s="69">
        <f t="shared" si="14"/>
        <v>68.700000000000045</v>
      </c>
      <c r="AI157" cm="1">
        <f t="array" ref="AI157">ROUND($Z157*Apport_124X2324s,2)</f>
        <v>218.54</v>
      </c>
      <c r="AJ157" cm="1">
        <f t="array" ref="AJ157">ROUND($Z157*Apport_621X2324s*Apport_125X2324s,2)-AI157</f>
        <v>116.51000000000002</v>
      </c>
      <c r="AK157" cm="1">
        <f t="array" ref="AK157">ROUND((AA157+AC157)*Apport_126X2324s,2)</f>
        <v>853.79</v>
      </c>
      <c r="AL157" cm="1">
        <f t="array" ref="AL157">ROUND((AB157+AD157)*Apport_127X2324s,2)</f>
        <v>30.47</v>
      </c>
      <c r="AM157" cm="1">
        <f t="array" ref="AM157">ROUND(AE157*Apport_128X2324s,2)</f>
        <v>216.55</v>
      </c>
      <c r="AN157" cm="1">
        <f t="array" ref="AN157">ROUND(AF157*Apport_129X2324s,2)</f>
        <v>6.74</v>
      </c>
      <c r="AO157" cm="1">
        <f t="array" ref="AO157">ROUND(($J157*CIS_Inc_Salary2324s*(VLOOKUP($A157,EnrollData2324,'2324 Jun 24 Enroll'!T$1,FALSE)+VLOOKUP($A157,EnrollData2324,'2324 Jun 24 Enroll'!U$1,FALSE))/Apport_613Xpd)*Apport_614Xpd,2)</f>
        <v>73.989999999999995</v>
      </c>
      <c r="AP157" cm="1">
        <f t="array" ref="AP157">ROUND(AO157*Apport_127X2324s,2)</f>
        <v>12.82</v>
      </c>
      <c r="AQ157">
        <f t="shared" si="15"/>
        <v>30.93</v>
      </c>
      <c r="AR157" s="6" cm="1">
        <f t="array" ref="AR157">ROUND((VLOOKUP($A157,EnrollData2324,'2324 Jun 24 Enroll'!D$1,FALSE)*Apport_M802324s+VLOOKUP($A157,EnrollData2324,'2324 Jun 24 Enroll'!M$1,FALSE)*Apport_M802324s+(VLOOKUP($A157,EnrollData2324,'2324 Jun 24 Enroll'!P$1,FALSE)+VLOOKUP($A157,EnrollData2324,'2324 Jun 24 Enroll'!Q$1,FALSE)+VLOOKUP($A157,EnrollData2324,'2324 Jun 24 Enroll'!R$1,FALSE)+VLOOKUP($A157,EnrollData2324,'2324 Jun 24 Enroll'!I$1,FALSE)+VLOOKUP($A157,EnrollData2324,'2324 Jun 24 Enroll'!N$1,FALSE)+VLOOKUP($A157,EnrollData2324,'2324 Jun 24 Enroll'!O$1,FALSE)+VLOOKUP($A157,EnrollData2324,'2324 Jun 24 Enroll'!K$1,FALSE)+VLOOKUP($A157,EnrollData2324,'2324 Jun 24 Enroll'!L$1,FALSE))*Apport_M812324s)/(VLOOKUP($A157,EnrollData2324,'2324 Jun 24 Enroll'!M$1,FALSE)+VLOOKUP($A157,EnrollData2324,'2324 Jun 24 Enroll'!D$1,FALSE)),2)</f>
        <v>1567.12</v>
      </c>
      <c r="AS157" s="7">
        <f t="shared" si="16"/>
        <v>9875.4199999999983</v>
      </c>
    </row>
    <row r="158" spans="1:45">
      <c r="A158" s="40" t="s">
        <v>616</v>
      </c>
      <c r="B158" s="40" t="s">
        <v>617</v>
      </c>
      <c r="C158" s="11">
        <f>ROUND((IFERROR((1/IF(VLOOKUP($A158,EnrollData2324,28,FALSE)='District Calculations'!$D$10,VLOOKUP($A158,EnrollData2324,28,FALSE),'District Calculations'!$D$10))*(1+Apport_Z315),0))+Apport_201A2324s,6)</f>
        <v>7.3449E-2</v>
      </c>
      <c r="D158">
        <f>ROUND(IF(VLOOKUP($A158,EnrollData2324,'2324 Jun 24 Enroll'!D$1,FALSE)='District Calculations'!$D$11,VLOOKUP($A158,EnrollData2324,'2324 Jun 24 Enroll'!D$1,FALSE),'District Calculations'!$D$11)*C158,3)</f>
        <v>0</v>
      </c>
      <c r="E158">
        <f>ROUND(IF(VLOOKUP($A158,EnrollData2324,'2324 Jun 24 Enroll'!E$1,FALSE)='District Calculations'!$D$12,VLOOKUP($A158,EnrollData2324,'2324 Jun 24 Enroll'!E$1,FALSE),'District Calculations'!$D$12)*C158,3)</f>
        <v>59.53</v>
      </c>
      <c r="F158">
        <f>ROUND(IF(VLOOKUP($A158,EnrollData2324,'2324 Jun 24 Enroll'!F$1,FALSE)='District Calculations'!$D$13,VLOOKUP($A158,EnrollData2324,'2324 Jun 24 Enroll'!F$1,FALSE),'District Calculations'!$D$13)*Apport_222A2324s,3)</f>
        <v>10.101000000000001</v>
      </c>
      <c r="G158">
        <f>ROUND(IF(VLOOKUP($A158,EnrollData2324,'2324 Jun 24 Enroll'!G$1,FALSE)='District Calculations'!$D$14,VLOOKUP($A158,EnrollData2324,'2324 Jun 24 Enroll'!G$1,FALSE),'District Calculations'!$D$14)*Apport_210A2324s,3)</f>
        <v>22.395</v>
      </c>
      <c r="H158">
        <f>ROUND(IF(VLOOKUP($A158,EnrollData2324,'2324 Jun 24 Enroll'!H$1,FALSE)='District Calculations'!$D$15,VLOOKUP($A158,EnrollData2324,'2324 Jun 24 Enroll'!H$1,FALSE),'District Calculations'!$D$15)*Apport_213A2324s,3)</f>
        <v>23.091999999999999</v>
      </c>
      <c r="I158">
        <f>ROUND(IF(VLOOKUP($A158,EnrollData2324,'2324 Jun 24 Enroll'!I$1,FALSE)+VLOOKUP($A158,EnrollData2324,'2324 Jun 24 Enroll'!M$1,FALSE)-VLOOKUP($A158,EnrollData2324,'2324 Jun 24 Enroll'!J$1,FALSE)='District Calculations'!$D$16+'District Calculations'!$D$25-'District Calculations'!$D$17,VLOOKUP($A158,EnrollData2324,'2324 Jun 24 Enroll'!I$1,FALSE)+VLOOKUP($A158,EnrollData2324,'2324 Jun 24 Enroll'!M$1,FALSE)-VLOOKUP($A158,EnrollData2324,'2324 Jun 24 Enroll'!J$1,FALSE),'District Calculations'!$D$16+'District Calculations'!$D$25-'District Calculations'!$D$17)*Apport_216A2324s,3)</f>
        <v>58.183999999999997</v>
      </c>
      <c r="J158">
        <f>ROUND(SUM(D158:I158)/(IF(VLOOKUP($A158,EnrollData2324,'2324 Jun 24 Enroll'!M$1,FALSE)='District Calculations'!$D$25,VLOOKUP($A158,EnrollData2324,'2324 Jun 24 Enroll'!M$1,FALSE),'District Calculations'!$D$25)+IF(VLOOKUP($A158,EnrollData2324,'2324 Jun 24 Enroll'!D$1,FALSE)='District Calculations'!$D$11,VLOOKUP($A158,EnrollData2324,'2324 Jun 24 Enroll'!D$1,FALSE),'District Calculations'!$D$11)),5)</f>
        <v>5.5530000000000003E-2</v>
      </c>
      <c r="K158" s="11">
        <f t="shared" si="12"/>
        <v>4.3699999999999998E-3</v>
      </c>
      <c r="L158">
        <f>ROUND(IF(VLOOKUP($A158,EnrollData2324,'2324 Jun 24 Enroll'!D$1,FALSE)='District Calculations'!$D$11,VLOOKUP($A158,EnrollData2324,'2324 Jun 24 Enroll'!D$1,FALSE),'District Calculations'!$D$11)*K158,3)</f>
        <v>0</v>
      </c>
      <c r="M158">
        <f>ROUND(IF(VLOOKUP($A158,EnrollData2324,'2324 Jun 24 Enroll'!E$1,FALSE)='District Calculations'!$D$12,VLOOKUP($A158,EnrollData2324,'2324 Jun 24 Enroll'!E$1,FALSE),'District Calculations'!$D$12)*K158,3)</f>
        <v>3.5419999999999998</v>
      </c>
      <c r="N158">
        <f>ROUND(IF(VLOOKUP($A158,EnrollData2324,'2324 Jun 24 Enroll'!F$1,FALSE)='District Calculations'!$D$13,VLOOKUP($A158,EnrollData2324,'2324 Jun 24 Enroll'!F$1,FALSE),'District Calculations'!$D$13)*Apport_223A2324s,3)</f>
        <v>0.84299999999999997</v>
      </c>
      <c r="O158">
        <f>ROUND(IF(VLOOKUP($A158,EnrollData2324,'2324 Jun 24 Enroll'!G$1,FALSE)='District Calculations'!$D$14,VLOOKUP($A158,EnrollData2324,'2324 Jun 24 Enroll'!G$1,FALSE),'District Calculations'!$D$14)*Apport_211A2324s,3)</f>
        <v>1.87</v>
      </c>
      <c r="P158">
        <f>ROUND(IF(VLOOKUP($A158,EnrollData2324,'2324 Jun 24 Enroll'!H$1,FALSE)='District Calculations'!$D$14,VLOOKUP($A158,EnrollData2324,'2324 Jun 24 Enroll'!H$1,FALSE),'District Calculations'!$D$14)*Apport_214A2324s,3)</f>
        <v>1.8680000000000001</v>
      </c>
      <c r="Q158">
        <f>ROUND(IF(VLOOKUP($A158,EnrollData2324,'2324 Jun 24 Enroll'!I$1,FALSE)+VLOOKUP($A158,EnrollData2324,'2324 Jun 24 Enroll'!M$1,FALSE)-VLOOKUP($A158,EnrollData2324,'2324 Jun 24 Enroll'!J$1,FALSE)='District Calculations'!$D$16+'District Calculations'!$D$25-'District Calculations'!$D$17,VLOOKUP($A158,EnrollData2324,'2324 Jun 24 Enroll'!I$1,FALSE)+VLOOKUP($A158,EnrollData2324,'2324 Jun 24 Enroll'!M$1,FALSE)-VLOOKUP($A158,EnrollData2324,'2324 Jun 24 Enroll'!J$1,FALSE),'District Calculations'!$D$16+'District Calculations'!$D$25-'District Calculations'!$D$17)*Apport_217A2324s,3)</f>
        <v>4.702</v>
      </c>
      <c r="R158">
        <f>ROUND(SUM(L158:Q158)/IF(VLOOKUP($A158,EnrollData2324,'2324 Jun 24 Enroll'!M$1,FALSE)+VLOOKUP($A158,EnrollData2324,'2324 Jun 24 Enroll'!D$1,FALSE)='District Calculations'!$D$25+'District Calculations'!$D$11,VLOOKUP($A158,EnrollData2324,'2324 Jun 24 Enroll'!M$1,FALSE)+VLOOKUP($A158,EnrollData2324,'2324 Jun 24 Enroll'!D$1,FALSE),'District Calculations'!$D$25+'District Calculations'!$D$11),5)</f>
        <v>4.1099999999999999E-3</v>
      </c>
      <c r="S158" s="11">
        <f t="shared" si="13"/>
        <v>1.8689600000000001E-2</v>
      </c>
      <c r="T158">
        <f>ROUND(IF(VLOOKUP($A158,EnrollData2324,'2324 Jun 24 Enroll'!D$1,FALSE)='District Calculations'!$D$11,VLOOKUP($A158,EnrollData2324,'2324 Jun 24 Enroll'!D$1,FALSE),'District Calculations'!$D$11)*S158,3)</f>
        <v>0</v>
      </c>
      <c r="U158">
        <f>ROUND(IF(VLOOKUP($A158,EnrollData2324,'2324 Jun 24 Enroll'!E$1,FALSE)='District Calculations'!$D$12,VLOOKUP($A158,EnrollData2324,'2324 Jun 24 Enroll'!E$1,FALSE),'District Calculations'!$D$12)*S158,3)</f>
        <v>15.148</v>
      </c>
      <c r="V158">
        <f>ROUND(IF(VLOOKUP($A158,EnrollData2324,'2324 Jun 24 Enroll'!F$1,FALSE)='District Calculations'!$D$13,VLOOKUP($A158,EnrollData2324,'2324 Jun 24 Enroll'!F$1,FALSE),'District Calculations'!$D$13)*Apport_224A2324s,3)</f>
        <v>3.7029999999999998</v>
      </c>
      <c r="W158">
        <f>ROUND(IF(VLOOKUP($A158,EnrollData2324,'2324 Jun 24 Enroll'!G$1,FALSE)='District Calculations'!$D$14,VLOOKUP($A158,EnrollData2324,'2324 Jun 24 Enroll'!G$1,FALSE),'District Calculations'!$D$14)*Apport_212A2324s,3)</f>
        <v>8.2089999999999996</v>
      </c>
      <c r="X158">
        <f>ROUND(IF(VLOOKUP($A158,EnrollData2324,'2324 Jun 24 Enroll'!H$1,FALSE)='District Calculations'!$D$14,VLOOKUP($A158,EnrollData2324,'2324 Jun 24 Enroll'!H$1,FALSE),'District Calculations'!$D$14)*Apport_215A2324s,3)</f>
        <v>8.0969999999999995</v>
      </c>
      <c r="Y158">
        <f>ROUND(IF(VLOOKUP($A158,EnrollData2324,'2324 Jun 24 Enroll'!I$1,FALSE)+VLOOKUP($A158,EnrollData2324,'2324 Jun 24 Enroll'!M$1,FALSE)-VLOOKUP($A158,EnrollData2324,'2324 Jun 24 Enroll'!J$1,FALSE)='District Calculations'!$D$16+'District Calculations'!$D$25-'District Calculations'!$D$17,VLOOKUP($A158,EnrollData2324,'2324 Jun 24 Enroll'!I$1,FALSE)+VLOOKUP($A158,EnrollData2324,'2324 Jun 24 Enroll'!M$1,FALSE)-VLOOKUP($A158,EnrollData2324,'2324 Jun 24 Enroll'!J$1,FALSE),'District Calculations'!$D$16+'District Calculations'!$D$25-'District Calculations'!$D$17)*Apport_218A2324s,3)</f>
        <v>20.224</v>
      </c>
      <c r="Z158">
        <f>ROUND(SUM(T158:Y158)/IF(VLOOKUP($A158,EnrollData2324,'2324 Jun 24 Enroll'!M$1,FALSE)+VLOOKUP($A158,EnrollData2324,'2324 Jun 24 Enroll'!D$1,FALSE)='District Calculations'!$D$25+'District Calculations'!$D$11,VLOOKUP($A158,EnrollData2324,'2324 Jun 24 Enroll'!M$1,FALSE)+VLOOKUP($A158,EnrollData2324,'2324 Jun 24 Enroll'!D$1,FALSE),'District Calculations'!$D$25+'District Calculations'!$D$11),5)</f>
        <v>1.7749999999999998E-2</v>
      </c>
      <c r="AA158" s="6" cm="1">
        <f t="array" ref="AA158">ROUND($J158*CIS_Base_Salary2324s*VLOOKUP($A158,EnrollData2324,'2324 Jun 24 Enroll'!S$1,FALSE),2)</f>
        <v>4038.59</v>
      </c>
      <c r="AB158" s="6" cm="1">
        <f t="array" ref="AB158">ROUND($J158*CIS_Inc_Salary2324s*(VLOOKUP($A158,EnrollData2324,'2324 Jun 24 Enroll'!T$1,FALSE)+VLOOKUP($A158,EnrollData2324,'2324 Jun 24 Enroll'!U$1,FALSE)),2)-AA158</f>
        <v>149.43000000000029</v>
      </c>
      <c r="AC158" s="6" cm="1">
        <f t="array" ref="AC158">ROUND($R158*CAS_Base_Salary2324s*VLOOKUP($A158,EnrollData2324,'2324 Jun 24 Enroll'!S$1,FALSE),2)</f>
        <v>443.7</v>
      </c>
      <c r="AD158" s="6" cm="1">
        <f t="array" ref="AD158">ROUND($R158*CAS_Inc_Salary2324s*VLOOKUP($A158,EnrollData2324,'2324 Jun 24 Enroll'!T$1,FALSE),2)-AC158</f>
        <v>16.410000000000025</v>
      </c>
      <c r="AE158" s="6" cm="1">
        <f t="array" ref="AE158">ROUND($Z158*CLS_Base_Salary2324s*VLOOKUP($A158,EnrollData2324,'2324 Jun 24 Enroll'!S$1,FALSE),2)</f>
        <v>926.07</v>
      </c>
      <c r="AF158" s="6" cm="1">
        <f t="array" ref="AF158">ROUND($Z158*CLS_Inc_Salary2324s*VLOOKUP($A158,EnrollData2324,'2324 Jun 24 Enroll'!T$1,FALSE),2)-AE158</f>
        <v>34.259999999999991</v>
      </c>
      <c r="AG158" cm="1">
        <f t="array" ref="AG158">ROUND(($J158+$R158)*Apport_124X2324s,2)</f>
        <v>734.29</v>
      </c>
      <c r="AH158" s="69">
        <f t="shared" si="14"/>
        <v>68.700000000000045</v>
      </c>
      <c r="AI158" cm="1">
        <f t="array" ref="AI158">ROUND($Z158*Apport_124X2324s,2)</f>
        <v>218.54</v>
      </c>
      <c r="AJ158" cm="1">
        <f t="array" ref="AJ158">ROUND($Z158*Apport_621X2324s*Apport_125X2324s,2)-AI158</f>
        <v>116.51000000000002</v>
      </c>
      <c r="AK158" cm="1">
        <f t="array" ref="AK158">ROUND((AA158+AC158)*Apport_126X2324s,2)</f>
        <v>805.47</v>
      </c>
      <c r="AL158" cm="1">
        <f t="array" ref="AL158">ROUND((AB158+AD158)*Apport_127X2324s,2)</f>
        <v>28.74</v>
      </c>
      <c r="AM158" cm="1">
        <f t="array" ref="AM158">ROUND(AE158*Apport_128X2324s,2)</f>
        <v>204.29</v>
      </c>
      <c r="AN158" cm="1">
        <f t="array" ref="AN158">ROUND(AF158*Apport_129X2324s,2)</f>
        <v>6.36</v>
      </c>
      <c r="AO158" cm="1">
        <f t="array" ref="AO158">ROUND(($J158*CIS_Inc_Salary2324s*(VLOOKUP($A158,EnrollData2324,'2324 Jun 24 Enroll'!T$1,FALSE)+VLOOKUP($A158,EnrollData2324,'2324 Jun 24 Enroll'!U$1,FALSE))/Apport_613Xpd)*Apport_614Xpd,2)</f>
        <v>69.8</v>
      </c>
      <c r="AP158" cm="1">
        <f t="array" ref="AP158">ROUND(AO158*Apport_127X2324s,2)</f>
        <v>12.1</v>
      </c>
      <c r="AQ158">
        <f t="shared" si="15"/>
        <v>30.93</v>
      </c>
      <c r="AR158" s="6" cm="1">
        <f t="array" ref="AR158">ROUND((VLOOKUP($A158,EnrollData2324,'2324 Jun 24 Enroll'!D$1,FALSE)*Apport_M802324s+VLOOKUP($A158,EnrollData2324,'2324 Jun 24 Enroll'!M$1,FALSE)*Apport_M802324s+(VLOOKUP($A158,EnrollData2324,'2324 Jun 24 Enroll'!P$1,FALSE)+VLOOKUP($A158,EnrollData2324,'2324 Jun 24 Enroll'!Q$1,FALSE)+VLOOKUP($A158,EnrollData2324,'2324 Jun 24 Enroll'!R$1,FALSE)+VLOOKUP($A158,EnrollData2324,'2324 Jun 24 Enroll'!I$1,FALSE)+VLOOKUP($A158,EnrollData2324,'2324 Jun 24 Enroll'!N$1,FALSE)+VLOOKUP($A158,EnrollData2324,'2324 Jun 24 Enroll'!O$1,FALSE)+VLOOKUP($A158,EnrollData2324,'2324 Jun 24 Enroll'!K$1,FALSE)+VLOOKUP($A158,EnrollData2324,'2324 Jun 24 Enroll'!L$1,FALSE))*Apport_M812324s)/(VLOOKUP($A158,EnrollData2324,'2324 Jun 24 Enroll'!M$1,FALSE)+VLOOKUP($A158,EnrollData2324,'2324 Jun 24 Enroll'!D$1,FALSE)),2)</f>
        <v>1574.54</v>
      </c>
      <c r="AS158" s="7">
        <f t="shared" si="16"/>
        <v>9478.73</v>
      </c>
    </row>
    <row r="159" spans="1:45">
      <c r="A159" s="40" t="s">
        <v>456</v>
      </c>
      <c r="B159" s="40" t="s">
        <v>457</v>
      </c>
      <c r="C159" s="11">
        <f>ROUND((IFERROR((1/IF(VLOOKUP($A159,EnrollData2324,28,FALSE)='District Calculations'!$D$10,VLOOKUP($A159,EnrollData2324,28,FALSE),'District Calculations'!$D$10))*(1+Apport_Z315),0))+Apport_201A2324s,6)</f>
        <v>7.3449E-2</v>
      </c>
      <c r="D159">
        <f>ROUND(IF(VLOOKUP($A159,EnrollData2324,'2324 Jun 24 Enroll'!D$1,FALSE)='District Calculations'!$D$11,VLOOKUP($A159,EnrollData2324,'2324 Jun 24 Enroll'!D$1,FALSE),'District Calculations'!$D$11)*C159,3)</f>
        <v>0</v>
      </c>
      <c r="E159">
        <f>ROUND(IF(VLOOKUP($A159,EnrollData2324,'2324 Jun 24 Enroll'!E$1,FALSE)='District Calculations'!$D$12,VLOOKUP($A159,EnrollData2324,'2324 Jun 24 Enroll'!E$1,FALSE),'District Calculations'!$D$12)*C159,3)</f>
        <v>59.53</v>
      </c>
      <c r="F159">
        <f>ROUND(IF(VLOOKUP($A159,EnrollData2324,'2324 Jun 24 Enroll'!F$1,FALSE)='District Calculations'!$D$13,VLOOKUP($A159,EnrollData2324,'2324 Jun 24 Enroll'!F$1,FALSE),'District Calculations'!$D$13)*Apport_222A2324s,3)</f>
        <v>10.101000000000001</v>
      </c>
      <c r="G159">
        <f>ROUND(IF(VLOOKUP($A159,EnrollData2324,'2324 Jun 24 Enroll'!G$1,FALSE)='District Calculations'!$D$14,VLOOKUP($A159,EnrollData2324,'2324 Jun 24 Enroll'!G$1,FALSE),'District Calculations'!$D$14)*Apport_210A2324s,3)</f>
        <v>22.395</v>
      </c>
      <c r="H159">
        <f>ROUND(IF(VLOOKUP($A159,EnrollData2324,'2324 Jun 24 Enroll'!H$1,FALSE)='District Calculations'!$D$15,VLOOKUP($A159,EnrollData2324,'2324 Jun 24 Enroll'!H$1,FALSE),'District Calculations'!$D$15)*Apport_213A2324s,3)</f>
        <v>23.091999999999999</v>
      </c>
      <c r="I159">
        <f>ROUND(IF(VLOOKUP($A159,EnrollData2324,'2324 Jun 24 Enroll'!I$1,FALSE)+VLOOKUP($A159,EnrollData2324,'2324 Jun 24 Enroll'!M$1,FALSE)-VLOOKUP($A159,EnrollData2324,'2324 Jun 24 Enroll'!J$1,FALSE)='District Calculations'!$D$16+'District Calculations'!$D$25-'District Calculations'!$D$17,VLOOKUP($A159,EnrollData2324,'2324 Jun 24 Enroll'!I$1,FALSE)+VLOOKUP($A159,EnrollData2324,'2324 Jun 24 Enroll'!M$1,FALSE)-VLOOKUP($A159,EnrollData2324,'2324 Jun 24 Enroll'!J$1,FALSE),'District Calculations'!$D$16+'District Calculations'!$D$25-'District Calculations'!$D$17)*Apport_216A2324s,3)</f>
        <v>58.183999999999997</v>
      </c>
      <c r="J159">
        <f>ROUND(SUM(D159:I159)/(IF(VLOOKUP($A159,EnrollData2324,'2324 Jun 24 Enroll'!M$1,FALSE)='District Calculations'!$D$25,VLOOKUP($A159,EnrollData2324,'2324 Jun 24 Enroll'!M$1,FALSE),'District Calculations'!$D$25)+IF(VLOOKUP($A159,EnrollData2324,'2324 Jun 24 Enroll'!D$1,FALSE)='District Calculations'!$D$11,VLOOKUP($A159,EnrollData2324,'2324 Jun 24 Enroll'!D$1,FALSE),'District Calculations'!$D$11)),5)</f>
        <v>5.5530000000000003E-2</v>
      </c>
      <c r="K159" s="11">
        <f t="shared" si="12"/>
        <v>4.3699999999999998E-3</v>
      </c>
      <c r="L159">
        <f>ROUND(IF(VLOOKUP($A159,EnrollData2324,'2324 Jun 24 Enroll'!D$1,FALSE)='District Calculations'!$D$11,VLOOKUP($A159,EnrollData2324,'2324 Jun 24 Enroll'!D$1,FALSE),'District Calculations'!$D$11)*K159,3)</f>
        <v>0</v>
      </c>
      <c r="M159">
        <f>ROUND(IF(VLOOKUP($A159,EnrollData2324,'2324 Jun 24 Enroll'!E$1,FALSE)='District Calculations'!$D$12,VLOOKUP($A159,EnrollData2324,'2324 Jun 24 Enroll'!E$1,FALSE),'District Calculations'!$D$12)*K159,3)</f>
        <v>3.5419999999999998</v>
      </c>
      <c r="N159">
        <f>ROUND(IF(VLOOKUP($A159,EnrollData2324,'2324 Jun 24 Enroll'!F$1,FALSE)='District Calculations'!$D$13,VLOOKUP($A159,EnrollData2324,'2324 Jun 24 Enroll'!F$1,FALSE),'District Calculations'!$D$13)*Apport_223A2324s,3)</f>
        <v>0.84299999999999997</v>
      </c>
      <c r="O159">
        <f>ROUND(IF(VLOOKUP($A159,EnrollData2324,'2324 Jun 24 Enroll'!G$1,FALSE)='District Calculations'!$D$14,VLOOKUP($A159,EnrollData2324,'2324 Jun 24 Enroll'!G$1,FALSE),'District Calculations'!$D$14)*Apport_211A2324s,3)</f>
        <v>1.87</v>
      </c>
      <c r="P159">
        <f>ROUND(IF(VLOOKUP($A159,EnrollData2324,'2324 Jun 24 Enroll'!H$1,FALSE)='District Calculations'!$D$14,VLOOKUP($A159,EnrollData2324,'2324 Jun 24 Enroll'!H$1,FALSE),'District Calculations'!$D$14)*Apport_214A2324s,3)</f>
        <v>1.8680000000000001</v>
      </c>
      <c r="Q159">
        <f>ROUND(IF(VLOOKUP($A159,EnrollData2324,'2324 Jun 24 Enroll'!I$1,FALSE)+VLOOKUP($A159,EnrollData2324,'2324 Jun 24 Enroll'!M$1,FALSE)-VLOOKUP($A159,EnrollData2324,'2324 Jun 24 Enroll'!J$1,FALSE)='District Calculations'!$D$16+'District Calculations'!$D$25-'District Calculations'!$D$17,VLOOKUP($A159,EnrollData2324,'2324 Jun 24 Enroll'!I$1,FALSE)+VLOOKUP($A159,EnrollData2324,'2324 Jun 24 Enroll'!M$1,FALSE)-VLOOKUP($A159,EnrollData2324,'2324 Jun 24 Enroll'!J$1,FALSE),'District Calculations'!$D$16+'District Calculations'!$D$25-'District Calculations'!$D$17)*Apport_217A2324s,3)</f>
        <v>4.702</v>
      </c>
      <c r="R159">
        <f>ROUND(SUM(L159:Q159)/IF(VLOOKUP($A159,EnrollData2324,'2324 Jun 24 Enroll'!M$1,FALSE)+VLOOKUP($A159,EnrollData2324,'2324 Jun 24 Enroll'!D$1,FALSE)='District Calculations'!$D$25+'District Calculations'!$D$11,VLOOKUP($A159,EnrollData2324,'2324 Jun 24 Enroll'!M$1,FALSE)+VLOOKUP($A159,EnrollData2324,'2324 Jun 24 Enroll'!D$1,FALSE),'District Calculations'!$D$25+'District Calculations'!$D$11),5)</f>
        <v>4.1099999999999999E-3</v>
      </c>
      <c r="S159" s="11">
        <f t="shared" si="13"/>
        <v>1.8689600000000001E-2</v>
      </c>
      <c r="T159">
        <f>ROUND(IF(VLOOKUP($A159,EnrollData2324,'2324 Jun 24 Enroll'!D$1,FALSE)='District Calculations'!$D$11,VLOOKUP($A159,EnrollData2324,'2324 Jun 24 Enroll'!D$1,FALSE),'District Calculations'!$D$11)*S159,3)</f>
        <v>0</v>
      </c>
      <c r="U159">
        <f>ROUND(IF(VLOOKUP($A159,EnrollData2324,'2324 Jun 24 Enroll'!E$1,FALSE)='District Calculations'!$D$12,VLOOKUP($A159,EnrollData2324,'2324 Jun 24 Enroll'!E$1,FALSE),'District Calculations'!$D$12)*S159,3)</f>
        <v>15.148</v>
      </c>
      <c r="V159">
        <f>ROUND(IF(VLOOKUP($A159,EnrollData2324,'2324 Jun 24 Enroll'!F$1,FALSE)='District Calculations'!$D$13,VLOOKUP($A159,EnrollData2324,'2324 Jun 24 Enroll'!F$1,FALSE),'District Calculations'!$D$13)*Apport_224A2324s,3)</f>
        <v>3.7029999999999998</v>
      </c>
      <c r="W159">
        <f>ROUND(IF(VLOOKUP($A159,EnrollData2324,'2324 Jun 24 Enroll'!G$1,FALSE)='District Calculations'!$D$14,VLOOKUP($A159,EnrollData2324,'2324 Jun 24 Enroll'!G$1,FALSE),'District Calculations'!$D$14)*Apport_212A2324s,3)</f>
        <v>8.2089999999999996</v>
      </c>
      <c r="X159">
        <f>ROUND(IF(VLOOKUP($A159,EnrollData2324,'2324 Jun 24 Enroll'!H$1,FALSE)='District Calculations'!$D$14,VLOOKUP($A159,EnrollData2324,'2324 Jun 24 Enroll'!H$1,FALSE),'District Calculations'!$D$14)*Apport_215A2324s,3)</f>
        <v>8.0969999999999995</v>
      </c>
      <c r="Y159">
        <f>ROUND(IF(VLOOKUP($A159,EnrollData2324,'2324 Jun 24 Enroll'!I$1,FALSE)+VLOOKUP($A159,EnrollData2324,'2324 Jun 24 Enroll'!M$1,FALSE)-VLOOKUP($A159,EnrollData2324,'2324 Jun 24 Enroll'!J$1,FALSE)='District Calculations'!$D$16+'District Calculations'!$D$25-'District Calculations'!$D$17,VLOOKUP($A159,EnrollData2324,'2324 Jun 24 Enroll'!I$1,FALSE)+VLOOKUP($A159,EnrollData2324,'2324 Jun 24 Enroll'!M$1,FALSE)-VLOOKUP($A159,EnrollData2324,'2324 Jun 24 Enroll'!J$1,FALSE),'District Calculations'!$D$16+'District Calculations'!$D$25-'District Calculations'!$D$17)*Apport_218A2324s,3)</f>
        <v>20.224</v>
      </c>
      <c r="Z159">
        <f>ROUND(SUM(T159:Y159)/IF(VLOOKUP($A159,EnrollData2324,'2324 Jun 24 Enroll'!M$1,FALSE)+VLOOKUP($A159,EnrollData2324,'2324 Jun 24 Enroll'!D$1,FALSE)='District Calculations'!$D$25+'District Calculations'!$D$11,VLOOKUP($A159,EnrollData2324,'2324 Jun 24 Enroll'!M$1,FALSE)+VLOOKUP($A159,EnrollData2324,'2324 Jun 24 Enroll'!D$1,FALSE),'District Calculations'!$D$25+'District Calculations'!$D$11),5)</f>
        <v>1.7749999999999998E-2</v>
      </c>
      <c r="AA159" s="6" cm="1">
        <f t="array" ref="AA159">ROUND($J159*CIS_Base_Salary2324s*VLOOKUP($A159,EnrollData2324,'2324 Jun 24 Enroll'!S$1,FALSE),2)</f>
        <v>4038.59</v>
      </c>
      <c r="AB159" s="6" cm="1">
        <f t="array" ref="AB159">ROUND($J159*CIS_Inc_Salary2324s*(VLOOKUP($A159,EnrollData2324,'2324 Jun 24 Enroll'!T$1,FALSE)+VLOOKUP($A159,EnrollData2324,'2324 Jun 24 Enroll'!U$1,FALSE)),2)-AA159</f>
        <v>149.43000000000029</v>
      </c>
      <c r="AC159" s="6" cm="1">
        <f t="array" ref="AC159">ROUND($R159*CAS_Base_Salary2324s*VLOOKUP($A159,EnrollData2324,'2324 Jun 24 Enroll'!S$1,FALSE),2)</f>
        <v>443.7</v>
      </c>
      <c r="AD159" s="6" cm="1">
        <f t="array" ref="AD159">ROUND($R159*CAS_Inc_Salary2324s*VLOOKUP($A159,EnrollData2324,'2324 Jun 24 Enroll'!T$1,FALSE),2)-AC159</f>
        <v>16.410000000000025</v>
      </c>
      <c r="AE159" s="6" cm="1">
        <f t="array" ref="AE159">ROUND($Z159*CLS_Base_Salary2324s*VLOOKUP($A159,EnrollData2324,'2324 Jun 24 Enroll'!S$1,FALSE),2)</f>
        <v>926.07</v>
      </c>
      <c r="AF159" s="6" cm="1">
        <f t="array" ref="AF159">ROUND($Z159*CLS_Inc_Salary2324s*VLOOKUP($A159,EnrollData2324,'2324 Jun 24 Enroll'!T$1,FALSE),2)-AE159</f>
        <v>34.259999999999991</v>
      </c>
      <c r="AG159" cm="1">
        <f t="array" ref="AG159">ROUND(($J159+$R159)*Apport_124X2324s,2)</f>
        <v>734.29</v>
      </c>
      <c r="AH159" s="69">
        <f t="shared" si="14"/>
        <v>68.700000000000045</v>
      </c>
      <c r="AI159" cm="1">
        <f t="array" ref="AI159">ROUND($Z159*Apport_124X2324s,2)</f>
        <v>218.54</v>
      </c>
      <c r="AJ159" cm="1">
        <f t="array" ref="AJ159">ROUND($Z159*Apport_621X2324s*Apport_125X2324s,2)-AI159</f>
        <v>116.51000000000002</v>
      </c>
      <c r="AK159" cm="1">
        <f t="array" ref="AK159">ROUND((AA159+AC159)*Apport_126X2324s,2)</f>
        <v>805.47</v>
      </c>
      <c r="AL159" cm="1">
        <f t="array" ref="AL159">ROUND((AB159+AD159)*Apport_127X2324s,2)</f>
        <v>28.74</v>
      </c>
      <c r="AM159" cm="1">
        <f t="array" ref="AM159">ROUND(AE159*Apport_128X2324s,2)</f>
        <v>204.29</v>
      </c>
      <c r="AN159" cm="1">
        <f t="array" ref="AN159">ROUND(AF159*Apport_129X2324s,2)</f>
        <v>6.36</v>
      </c>
      <c r="AO159" cm="1">
        <f t="array" ref="AO159">ROUND(($J159*CIS_Inc_Salary2324s*(VLOOKUP($A159,EnrollData2324,'2324 Jun 24 Enroll'!T$1,FALSE)+VLOOKUP($A159,EnrollData2324,'2324 Jun 24 Enroll'!U$1,FALSE))/Apport_613Xpd)*Apport_614Xpd,2)</f>
        <v>69.8</v>
      </c>
      <c r="AP159" cm="1">
        <f t="array" ref="AP159">ROUND(AO159*Apport_127X2324s,2)</f>
        <v>12.1</v>
      </c>
      <c r="AQ159">
        <f t="shared" si="15"/>
        <v>30.93</v>
      </c>
      <c r="AR159" s="6" cm="1">
        <f t="array" ref="AR159">ROUND((VLOOKUP($A159,EnrollData2324,'2324 Jun 24 Enroll'!D$1,FALSE)*Apport_M802324s+VLOOKUP($A159,EnrollData2324,'2324 Jun 24 Enroll'!M$1,FALSE)*Apport_M802324s+(VLOOKUP($A159,EnrollData2324,'2324 Jun 24 Enroll'!P$1,FALSE)+VLOOKUP($A159,EnrollData2324,'2324 Jun 24 Enroll'!Q$1,FALSE)+VLOOKUP($A159,EnrollData2324,'2324 Jun 24 Enroll'!R$1,FALSE)+VLOOKUP($A159,EnrollData2324,'2324 Jun 24 Enroll'!I$1,FALSE)+VLOOKUP($A159,EnrollData2324,'2324 Jun 24 Enroll'!N$1,FALSE)+VLOOKUP($A159,EnrollData2324,'2324 Jun 24 Enroll'!O$1,FALSE)+VLOOKUP($A159,EnrollData2324,'2324 Jun 24 Enroll'!K$1,FALSE)+VLOOKUP($A159,EnrollData2324,'2324 Jun 24 Enroll'!L$1,FALSE))*Apport_M812324s)/(VLOOKUP($A159,EnrollData2324,'2324 Jun 24 Enroll'!M$1,FALSE)+VLOOKUP($A159,EnrollData2324,'2324 Jun 24 Enroll'!D$1,FALSE)),2)</f>
        <v>1504.44</v>
      </c>
      <c r="AS159" s="7">
        <f t="shared" si="16"/>
        <v>9408.630000000001</v>
      </c>
    </row>
    <row r="160" spans="1:45">
      <c r="A160" s="40" t="s">
        <v>602</v>
      </c>
      <c r="B160" s="40" t="s">
        <v>603</v>
      </c>
      <c r="C160" s="11">
        <f>ROUND((IFERROR((1/IF(VLOOKUP($A160,EnrollData2324,28,FALSE)='District Calculations'!$D$10,VLOOKUP($A160,EnrollData2324,28,FALSE),'District Calculations'!$D$10))*(1+Apport_Z315),0))+Apport_201A2324s,6)</f>
        <v>7.3449E-2</v>
      </c>
      <c r="D160">
        <f>ROUND(IF(VLOOKUP($A160,EnrollData2324,'2324 Jun 24 Enroll'!D$1,FALSE)='District Calculations'!$D$11,VLOOKUP($A160,EnrollData2324,'2324 Jun 24 Enroll'!D$1,FALSE),'District Calculations'!$D$11)*C160,3)</f>
        <v>0</v>
      </c>
      <c r="E160">
        <f>ROUND(IF(VLOOKUP($A160,EnrollData2324,'2324 Jun 24 Enroll'!E$1,FALSE)='District Calculations'!$D$12,VLOOKUP($A160,EnrollData2324,'2324 Jun 24 Enroll'!E$1,FALSE),'District Calculations'!$D$12)*C160,3)</f>
        <v>59.53</v>
      </c>
      <c r="F160">
        <f>ROUND(IF(VLOOKUP($A160,EnrollData2324,'2324 Jun 24 Enroll'!F$1,FALSE)='District Calculations'!$D$13,VLOOKUP($A160,EnrollData2324,'2324 Jun 24 Enroll'!F$1,FALSE),'District Calculations'!$D$13)*Apport_222A2324s,3)</f>
        <v>10.101000000000001</v>
      </c>
      <c r="G160">
        <f>ROUND(IF(VLOOKUP($A160,EnrollData2324,'2324 Jun 24 Enroll'!G$1,FALSE)='District Calculations'!$D$14,VLOOKUP($A160,EnrollData2324,'2324 Jun 24 Enroll'!G$1,FALSE),'District Calculations'!$D$14)*Apport_210A2324s,3)</f>
        <v>22.395</v>
      </c>
      <c r="H160">
        <f>ROUND(IF(VLOOKUP($A160,EnrollData2324,'2324 Jun 24 Enroll'!H$1,FALSE)='District Calculations'!$D$15,VLOOKUP($A160,EnrollData2324,'2324 Jun 24 Enroll'!H$1,FALSE),'District Calculations'!$D$15)*Apport_213A2324s,3)</f>
        <v>23.091999999999999</v>
      </c>
      <c r="I160">
        <f>ROUND(IF(VLOOKUP($A160,EnrollData2324,'2324 Jun 24 Enroll'!I$1,FALSE)+VLOOKUP($A160,EnrollData2324,'2324 Jun 24 Enroll'!M$1,FALSE)-VLOOKUP($A160,EnrollData2324,'2324 Jun 24 Enroll'!J$1,FALSE)='District Calculations'!$D$16+'District Calculations'!$D$25-'District Calculations'!$D$17,VLOOKUP($A160,EnrollData2324,'2324 Jun 24 Enroll'!I$1,FALSE)+VLOOKUP($A160,EnrollData2324,'2324 Jun 24 Enroll'!M$1,FALSE)-VLOOKUP($A160,EnrollData2324,'2324 Jun 24 Enroll'!J$1,FALSE),'District Calculations'!$D$16+'District Calculations'!$D$25-'District Calculations'!$D$17)*Apport_216A2324s,3)</f>
        <v>58.183999999999997</v>
      </c>
      <c r="J160">
        <f>ROUND(SUM(D160:I160)/(IF(VLOOKUP($A160,EnrollData2324,'2324 Jun 24 Enroll'!M$1,FALSE)='District Calculations'!$D$25,VLOOKUP($A160,EnrollData2324,'2324 Jun 24 Enroll'!M$1,FALSE),'District Calculations'!$D$25)+IF(VLOOKUP($A160,EnrollData2324,'2324 Jun 24 Enroll'!D$1,FALSE)='District Calculations'!$D$11,VLOOKUP($A160,EnrollData2324,'2324 Jun 24 Enroll'!D$1,FALSE),'District Calculations'!$D$11)),5)</f>
        <v>5.5530000000000003E-2</v>
      </c>
      <c r="K160" s="11">
        <f t="shared" si="12"/>
        <v>4.3699999999999998E-3</v>
      </c>
      <c r="L160">
        <f>ROUND(IF(VLOOKUP($A160,EnrollData2324,'2324 Jun 24 Enroll'!D$1,FALSE)='District Calculations'!$D$11,VLOOKUP($A160,EnrollData2324,'2324 Jun 24 Enroll'!D$1,FALSE),'District Calculations'!$D$11)*K160,3)</f>
        <v>0</v>
      </c>
      <c r="M160">
        <f>ROUND(IF(VLOOKUP($A160,EnrollData2324,'2324 Jun 24 Enroll'!E$1,FALSE)='District Calculations'!$D$12,VLOOKUP($A160,EnrollData2324,'2324 Jun 24 Enroll'!E$1,FALSE),'District Calculations'!$D$12)*K160,3)</f>
        <v>3.5419999999999998</v>
      </c>
      <c r="N160">
        <f>ROUND(IF(VLOOKUP($A160,EnrollData2324,'2324 Jun 24 Enroll'!F$1,FALSE)='District Calculations'!$D$13,VLOOKUP($A160,EnrollData2324,'2324 Jun 24 Enroll'!F$1,FALSE),'District Calculations'!$D$13)*Apport_223A2324s,3)</f>
        <v>0.84299999999999997</v>
      </c>
      <c r="O160">
        <f>ROUND(IF(VLOOKUP($A160,EnrollData2324,'2324 Jun 24 Enroll'!G$1,FALSE)='District Calculations'!$D$14,VLOOKUP($A160,EnrollData2324,'2324 Jun 24 Enroll'!G$1,FALSE),'District Calculations'!$D$14)*Apport_211A2324s,3)</f>
        <v>1.87</v>
      </c>
      <c r="P160">
        <f>ROUND(IF(VLOOKUP($A160,EnrollData2324,'2324 Jun 24 Enroll'!H$1,FALSE)='District Calculations'!$D$14,VLOOKUP($A160,EnrollData2324,'2324 Jun 24 Enroll'!H$1,FALSE),'District Calculations'!$D$14)*Apport_214A2324s,3)</f>
        <v>1.8680000000000001</v>
      </c>
      <c r="Q160">
        <f>ROUND(IF(VLOOKUP($A160,EnrollData2324,'2324 Jun 24 Enroll'!I$1,FALSE)+VLOOKUP($A160,EnrollData2324,'2324 Jun 24 Enroll'!M$1,FALSE)-VLOOKUP($A160,EnrollData2324,'2324 Jun 24 Enroll'!J$1,FALSE)='District Calculations'!$D$16+'District Calculations'!$D$25-'District Calculations'!$D$17,VLOOKUP($A160,EnrollData2324,'2324 Jun 24 Enroll'!I$1,FALSE)+VLOOKUP($A160,EnrollData2324,'2324 Jun 24 Enroll'!M$1,FALSE)-VLOOKUP($A160,EnrollData2324,'2324 Jun 24 Enroll'!J$1,FALSE),'District Calculations'!$D$16+'District Calculations'!$D$25-'District Calculations'!$D$17)*Apport_217A2324s,3)</f>
        <v>4.702</v>
      </c>
      <c r="R160">
        <f>ROUND(SUM(L160:Q160)/IF(VLOOKUP($A160,EnrollData2324,'2324 Jun 24 Enroll'!M$1,FALSE)+VLOOKUP($A160,EnrollData2324,'2324 Jun 24 Enroll'!D$1,FALSE)='District Calculations'!$D$25+'District Calculations'!$D$11,VLOOKUP($A160,EnrollData2324,'2324 Jun 24 Enroll'!M$1,FALSE)+VLOOKUP($A160,EnrollData2324,'2324 Jun 24 Enroll'!D$1,FALSE),'District Calculations'!$D$25+'District Calculations'!$D$11),5)</f>
        <v>4.1099999999999999E-3</v>
      </c>
      <c r="S160" s="11">
        <f t="shared" si="13"/>
        <v>1.8689600000000001E-2</v>
      </c>
      <c r="T160">
        <f>ROUND(IF(VLOOKUP($A160,EnrollData2324,'2324 Jun 24 Enroll'!D$1,FALSE)='District Calculations'!$D$11,VLOOKUP($A160,EnrollData2324,'2324 Jun 24 Enroll'!D$1,FALSE),'District Calculations'!$D$11)*S160,3)</f>
        <v>0</v>
      </c>
      <c r="U160">
        <f>ROUND(IF(VLOOKUP($A160,EnrollData2324,'2324 Jun 24 Enroll'!E$1,FALSE)='District Calculations'!$D$12,VLOOKUP($A160,EnrollData2324,'2324 Jun 24 Enroll'!E$1,FALSE),'District Calculations'!$D$12)*S160,3)</f>
        <v>15.148</v>
      </c>
      <c r="V160">
        <f>ROUND(IF(VLOOKUP($A160,EnrollData2324,'2324 Jun 24 Enroll'!F$1,FALSE)='District Calculations'!$D$13,VLOOKUP($A160,EnrollData2324,'2324 Jun 24 Enroll'!F$1,FALSE),'District Calculations'!$D$13)*Apport_224A2324s,3)</f>
        <v>3.7029999999999998</v>
      </c>
      <c r="W160">
        <f>ROUND(IF(VLOOKUP($A160,EnrollData2324,'2324 Jun 24 Enroll'!G$1,FALSE)='District Calculations'!$D$14,VLOOKUP($A160,EnrollData2324,'2324 Jun 24 Enroll'!G$1,FALSE),'District Calculations'!$D$14)*Apport_212A2324s,3)</f>
        <v>8.2089999999999996</v>
      </c>
      <c r="X160">
        <f>ROUND(IF(VLOOKUP($A160,EnrollData2324,'2324 Jun 24 Enroll'!H$1,FALSE)='District Calculations'!$D$14,VLOOKUP($A160,EnrollData2324,'2324 Jun 24 Enroll'!H$1,FALSE),'District Calculations'!$D$14)*Apport_215A2324s,3)</f>
        <v>8.0969999999999995</v>
      </c>
      <c r="Y160">
        <f>ROUND(IF(VLOOKUP($A160,EnrollData2324,'2324 Jun 24 Enroll'!I$1,FALSE)+VLOOKUP($A160,EnrollData2324,'2324 Jun 24 Enroll'!M$1,FALSE)-VLOOKUP($A160,EnrollData2324,'2324 Jun 24 Enroll'!J$1,FALSE)='District Calculations'!$D$16+'District Calculations'!$D$25-'District Calculations'!$D$17,VLOOKUP($A160,EnrollData2324,'2324 Jun 24 Enroll'!I$1,FALSE)+VLOOKUP($A160,EnrollData2324,'2324 Jun 24 Enroll'!M$1,FALSE)-VLOOKUP($A160,EnrollData2324,'2324 Jun 24 Enroll'!J$1,FALSE),'District Calculations'!$D$16+'District Calculations'!$D$25-'District Calculations'!$D$17)*Apport_218A2324s,3)</f>
        <v>20.224</v>
      </c>
      <c r="Z160">
        <f>ROUND(SUM(T160:Y160)/IF(VLOOKUP($A160,EnrollData2324,'2324 Jun 24 Enroll'!M$1,FALSE)+VLOOKUP($A160,EnrollData2324,'2324 Jun 24 Enroll'!D$1,FALSE)='District Calculations'!$D$25+'District Calculations'!$D$11,VLOOKUP($A160,EnrollData2324,'2324 Jun 24 Enroll'!M$1,FALSE)+VLOOKUP($A160,EnrollData2324,'2324 Jun 24 Enroll'!D$1,FALSE),'District Calculations'!$D$25+'District Calculations'!$D$11),5)</f>
        <v>1.7749999999999998E-2</v>
      </c>
      <c r="AA160" s="6" cm="1">
        <f t="array" ref="AA160">ROUND($J160*CIS_Base_Salary2324s*VLOOKUP($A160,EnrollData2324,'2324 Jun 24 Enroll'!S$1,FALSE),2)</f>
        <v>4038.59</v>
      </c>
      <c r="AB160" s="6" cm="1">
        <f t="array" ref="AB160">ROUND($J160*CIS_Inc_Salary2324s*(VLOOKUP($A160,EnrollData2324,'2324 Jun 24 Enroll'!T$1,FALSE)+VLOOKUP($A160,EnrollData2324,'2324 Jun 24 Enroll'!U$1,FALSE)),2)-AA160</f>
        <v>149.43000000000029</v>
      </c>
      <c r="AC160" s="6" cm="1">
        <f t="array" ref="AC160">ROUND($R160*CAS_Base_Salary2324s*VLOOKUP($A160,EnrollData2324,'2324 Jun 24 Enroll'!S$1,FALSE),2)</f>
        <v>443.7</v>
      </c>
      <c r="AD160" s="6" cm="1">
        <f t="array" ref="AD160">ROUND($R160*CAS_Inc_Salary2324s*VLOOKUP($A160,EnrollData2324,'2324 Jun 24 Enroll'!T$1,FALSE),2)-AC160</f>
        <v>16.410000000000025</v>
      </c>
      <c r="AE160" s="6" cm="1">
        <f t="array" ref="AE160">ROUND($Z160*CLS_Base_Salary2324s*VLOOKUP($A160,EnrollData2324,'2324 Jun 24 Enroll'!S$1,FALSE),2)</f>
        <v>926.07</v>
      </c>
      <c r="AF160" s="6" cm="1">
        <f t="array" ref="AF160">ROUND($Z160*CLS_Inc_Salary2324s*VLOOKUP($A160,EnrollData2324,'2324 Jun 24 Enroll'!T$1,FALSE),2)-AE160</f>
        <v>34.259999999999991</v>
      </c>
      <c r="AG160" cm="1">
        <f t="array" ref="AG160">ROUND(($J160+$R160)*Apport_124X2324s,2)</f>
        <v>734.29</v>
      </c>
      <c r="AH160" s="69">
        <f t="shared" si="14"/>
        <v>68.700000000000045</v>
      </c>
      <c r="AI160" cm="1">
        <f t="array" ref="AI160">ROUND($Z160*Apport_124X2324s,2)</f>
        <v>218.54</v>
      </c>
      <c r="AJ160" cm="1">
        <f t="array" ref="AJ160">ROUND($Z160*Apport_621X2324s*Apport_125X2324s,2)-AI160</f>
        <v>116.51000000000002</v>
      </c>
      <c r="AK160" cm="1">
        <f t="array" ref="AK160">ROUND((AA160+AC160)*Apport_126X2324s,2)</f>
        <v>805.47</v>
      </c>
      <c r="AL160" cm="1">
        <f t="array" ref="AL160">ROUND((AB160+AD160)*Apport_127X2324s,2)</f>
        <v>28.74</v>
      </c>
      <c r="AM160" cm="1">
        <f t="array" ref="AM160">ROUND(AE160*Apport_128X2324s,2)</f>
        <v>204.29</v>
      </c>
      <c r="AN160" cm="1">
        <f t="array" ref="AN160">ROUND(AF160*Apport_129X2324s,2)</f>
        <v>6.36</v>
      </c>
      <c r="AO160" cm="1">
        <f t="array" ref="AO160">ROUND(($J160*CIS_Inc_Salary2324s*(VLOOKUP($A160,EnrollData2324,'2324 Jun 24 Enroll'!T$1,FALSE)+VLOOKUP($A160,EnrollData2324,'2324 Jun 24 Enroll'!U$1,FALSE))/Apport_613Xpd)*Apport_614Xpd,2)</f>
        <v>69.8</v>
      </c>
      <c r="AP160" cm="1">
        <f t="array" ref="AP160">ROUND(AO160*Apport_127X2324s,2)</f>
        <v>12.1</v>
      </c>
      <c r="AQ160">
        <f t="shared" si="15"/>
        <v>30.93</v>
      </c>
      <c r="AR160" s="6" cm="1">
        <f t="array" ref="AR160">ROUND((VLOOKUP($A160,EnrollData2324,'2324 Jun 24 Enroll'!D$1,FALSE)*Apport_M802324s+VLOOKUP($A160,EnrollData2324,'2324 Jun 24 Enroll'!M$1,FALSE)*Apport_M802324s+(VLOOKUP($A160,EnrollData2324,'2324 Jun 24 Enroll'!P$1,FALSE)+VLOOKUP($A160,EnrollData2324,'2324 Jun 24 Enroll'!Q$1,FALSE)+VLOOKUP($A160,EnrollData2324,'2324 Jun 24 Enroll'!R$1,FALSE)+VLOOKUP($A160,EnrollData2324,'2324 Jun 24 Enroll'!I$1,FALSE)+VLOOKUP($A160,EnrollData2324,'2324 Jun 24 Enroll'!N$1,FALSE)+VLOOKUP($A160,EnrollData2324,'2324 Jun 24 Enroll'!O$1,FALSE)+VLOOKUP($A160,EnrollData2324,'2324 Jun 24 Enroll'!K$1,FALSE)+VLOOKUP($A160,EnrollData2324,'2324 Jun 24 Enroll'!L$1,FALSE))*Apport_M812324s)/(VLOOKUP($A160,EnrollData2324,'2324 Jun 24 Enroll'!M$1,FALSE)+VLOOKUP($A160,EnrollData2324,'2324 Jun 24 Enroll'!D$1,FALSE)),2)</f>
        <v>1572.19</v>
      </c>
      <c r="AS160" s="7">
        <f t="shared" si="16"/>
        <v>9476.380000000001</v>
      </c>
    </row>
    <row r="161" spans="1:45">
      <c r="A161" s="40" t="s">
        <v>598</v>
      </c>
      <c r="B161" s="40" t="s">
        <v>599</v>
      </c>
      <c r="C161" s="11">
        <f>ROUND((IFERROR((1/IF(VLOOKUP($A161,EnrollData2324,28,FALSE)='District Calculations'!$D$10,VLOOKUP($A161,EnrollData2324,28,FALSE),'District Calculations'!$D$10))*(1+Apport_Z315),0))+Apport_201A2324s,6)</f>
        <v>7.3449E-2</v>
      </c>
      <c r="D161">
        <f>ROUND(IF(VLOOKUP($A161,EnrollData2324,'2324 Jun 24 Enroll'!D$1,FALSE)='District Calculations'!$D$11,VLOOKUP($A161,EnrollData2324,'2324 Jun 24 Enroll'!D$1,FALSE),'District Calculations'!$D$11)*C161,3)</f>
        <v>0</v>
      </c>
      <c r="E161">
        <f>ROUND(IF(VLOOKUP($A161,EnrollData2324,'2324 Jun 24 Enroll'!E$1,FALSE)='District Calculations'!$D$12,VLOOKUP($A161,EnrollData2324,'2324 Jun 24 Enroll'!E$1,FALSE),'District Calculations'!$D$12)*C161,3)</f>
        <v>59.53</v>
      </c>
      <c r="F161">
        <f>ROUND(IF(VLOOKUP($A161,EnrollData2324,'2324 Jun 24 Enroll'!F$1,FALSE)='District Calculations'!$D$13,VLOOKUP($A161,EnrollData2324,'2324 Jun 24 Enroll'!F$1,FALSE),'District Calculations'!$D$13)*Apport_222A2324s,3)</f>
        <v>10.101000000000001</v>
      </c>
      <c r="G161">
        <f>ROUND(IF(VLOOKUP($A161,EnrollData2324,'2324 Jun 24 Enroll'!G$1,FALSE)='District Calculations'!$D$14,VLOOKUP($A161,EnrollData2324,'2324 Jun 24 Enroll'!G$1,FALSE),'District Calculations'!$D$14)*Apport_210A2324s,3)</f>
        <v>22.395</v>
      </c>
      <c r="H161">
        <f>ROUND(IF(VLOOKUP($A161,EnrollData2324,'2324 Jun 24 Enroll'!H$1,FALSE)='District Calculations'!$D$15,VLOOKUP($A161,EnrollData2324,'2324 Jun 24 Enroll'!H$1,FALSE),'District Calculations'!$D$15)*Apport_213A2324s,3)</f>
        <v>23.091999999999999</v>
      </c>
      <c r="I161">
        <f>ROUND(IF(VLOOKUP($A161,EnrollData2324,'2324 Jun 24 Enroll'!I$1,FALSE)+VLOOKUP($A161,EnrollData2324,'2324 Jun 24 Enroll'!M$1,FALSE)-VLOOKUP($A161,EnrollData2324,'2324 Jun 24 Enroll'!J$1,FALSE)='District Calculations'!$D$16+'District Calculations'!$D$25-'District Calculations'!$D$17,VLOOKUP($A161,EnrollData2324,'2324 Jun 24 Enroll'!I$1,FALSE)+VLOOKUP($A161,EnrollData2324,'2324 Jun 24 Enroll'!M$1,FALSE)-VLOOKUP($A161,EnrollData2324,'2324 Jun 24 Enroll'!J$1,FALSE),'District Calculations'!$D$16+'District Calculations'!$D$25-'District Calculations'!$D$17)*Apport_216A2324s,3)</f>
        <v>58.183999999999997</v>
      </c>
      <c r="J161">
        <f>ROUND(SUM(D161:I161)/(IF(VLOOKUP($A161,EnrollData2324,'2324 Jun 24 Enroll'!M$1,FALSE)='District Calculations'!$D$25,VLOOKUP($A161,EnrollData2324,'2324 Jun 24 Enroll'!M$1,FALSE),'District Calculations'!$D$25)+IF(VLOOKUP($A161,EnrollData2324,'2324 Jun 24 Enroll'!D$1,FALSE)='District Calculations'!$D$11,VLOOKUP($A161,EnrollData2324,'2324 Jun 24 Enroll'!D$1,FALSE),'District Calculations'!$D$11)),5)</f>
        <v>5.5530000000000003E-2</v>
      </c>
      <c r="K161" s="11">
        <f t="shared" si="12"/>
        <v>4.3699999999999998E-3</v>
      </c>
      <c r="L161">
        <f>ROUND(IF(VLOOKUP($A161,EnrollData2324,'2324 Jun 24 Enroll'!D$1,FALSE)='District Calculations'!$D$11,VLOOKUP($A161,EnrollData2324,'2324 Jun 24 Enroll'!D$1,FALSE),'District Calculations'!$D$11)*K161,3)</f>
        <v>0</v>
      </c>
      <c r="M161">
        <f>ROUND(IF(VLOOKUP($A161,EnrollData2324,'2324 Jun 24 Enroll'!E$1,FALSE)='District Calculations'!$D$12,VLOOKUP($A161,EnrollData2324,'2324 Jun 24 Enroll'!E$1,FALSE),'District Calculations'!$D$12)*K161,3)</f>
        <v>3.5419999999999998</v>
      </c>
      <c r="N161">
        <f>ROUND(IF(VLOOKUP($A161,EnrollData2324,'2324 Jun 24 Enroll'!F$1,FALSE)='District Calculations'!$D$13,VLOOKUP($A161,EnrollData2324,'2324 Jun 24 Enroll'!F$1,FALSE),'District Calculations'!$D$13)*Apport_223A2324s,3)</f>
        <v>0.84299999999999997</v>
      </c>
      <c r="O161">
        <f>ROUND(IF(VLOOKUP($A161,EnrollData2324,'2324 Jun 24 Enroll'!G$1,FALSE)='District Calculations'!$D$14,VLOOKUP($A161,EnrollData2324,'2324 Jun 24 Enroll'!G$1,FALSE),'District Calculations'!$D$14)*Apport_211A2324s,3)</f>
        <v>1.87</v>
      </c>
      <c r="P161">
        <f>ROUND(IF(VLOOKUP($A161,EnrollData2324,'2324 Jun 24 Enroll'!H$1,FALSE)='District Calculations'!$D$14,VLOOKUP($A161,EnrollData2324,'2324 Jun 24 Enroll'!H$1,FALSE),'District Calculations'!$D$14)*Apport_214A2324s,3)</f>
        <v>1.8680000000000001</v>
      </c>
      <c r="Q161">
        <f>ROUND(IF(VLOOKUP($A161,EnrollData2324,'2324 Jun 24 Enroll'!I$1,FALSE)+VLOOKUP($A161,EnrollData2324,'2324 Jun 24 Enroll'!M$1,FALSE)-VLOOKUP($A161,EnrollData2324,'2324 Jun 24 Enroll'!J$1,FALSE)='District Calculations'!$D$16+'District Calculations'!$D$25-'District Calculations'!$D$17,VLOOKUP($A161,EnrollData2324,'2324 Jun 24 Enroll'!I$1,FALSE)+VLOOKUP($A161,EnrollData2324,'2324 Jun 24 Enroll'!M$1,FALSE)-VLOOKUP($A161,EnrollData2324,'2324 Jun 24 Enroll'!J$1,FALSE),'District Calculations'!$D$16+'District Calculations'!$D$25-'District Calculations'!$D$17)*Apport_217A2324s,3)</f>
        <v>4.702</v>
      </c>
      <c r="R161">
        <f>ROUND(SUM(L161:Q161)/IF(VLOOKUP($A161,EnrollData2324,'2324 Jun 24 Enroll'!M$1,FALSE)+VLOOKUP($A161,EnrollData2324,'2324 Jun 24 Enroll'!D$1,FALSE)='District Calculations'!$D$25+'District Calculations'!$D$11,VLOOKUP($A161,EnrollData2324,'2324 Jun 24 Enroll'!M$1,FALSE)+VLOOKUP($A161,EnrollData2324,'2324 Jun 24 Enroll'!D$1,FALSE),'District Calculations'!$D$25+'District Calculations'!$D$11),5)</f>
        <v>4.1099999999999999E-3</v>
      </c>
      <c r="S161" s="11">
        <f t="shared" si="13"/>
        <v>1.8689600000000001E-2</v>
      </c>
      <c r="T161">
        <f>ROUND(IF(VLOOKUP($A161,EnrollData2324,'2324 Jun 24 Enroll'!D$1,FALSE)='District Calculations'!$D$11,VLOOKUP($A161,EnrollData2324,'2324 Jun 24 Enroll'!D$1,FALSE),'District Calculations'!$D$11)*S161,3)</f>
        <v>0</v>
      </c>
      <c r="U161">
        <f>ROUND(IF(VLOOKUP($A161,EnrollData2324,'2324 Jun 24 Enroll'!E$1,FALSE)='District Calculations'!$D$12,VLOOKUP($A161,EnrollData2324,'2324 Jun 24 Enroll'!E$1,FALSE),'District Calculations'!$D$12)*S161,3)</f>
        <v>15.148</v>
      </c>
      <c r="V161">
        <f>ROUND(IF(VLOOKUP($A161,EnrollData2324,'2324 Jun 24 Enroll'!F$1,FALSE)='District Calculations'!$D$13,VLOOKUP($A161,EnrollData2324,'2324 Jun 24 Enroll'!F$1,FALSE),'District Calculations'!$D$13)*Apport_224A2324s,3)</f>
        <v>3.7029999999999998</v>
      </c>
      <c r="W161">
        <f>ROUND(IF(VLOOKUP($A161,EnrollData2324,'2324 Jun 24 Enroll'!G$1,FALSE)='District Calculations'!$D$14,VLOOKUP($A161,EnrollData2324,'2324 Jun 24 Enroll'!G$1,FALSE),'District Calculations'!$D$14)*Apport_212A2324s,3)</f>
        <v>8.2089999999999996</v>
      </c>
      <c r="X161">
        <f>ROUND(IF(VLOOKUP($A161,EnrollData2324,'2324 Jun 24 Enroll'!H$1,FALSE)='District Calculations'!$D$14,VLOOKUP($A161,EnrollData2324,'2324 Jun 24 Enroll'!H$1,FALSE),'District Calculations'!$D$14)*Apport_215A2324s,3)</f>
        <v>8.0969999999999995</v>
      </c>
      <c r="Y161">
        <f>ROUND(IF(VLOOKUP($A161,EnrollData2324,'2324 Jun 24 Enroll'!I$1,FALSE)+VLOOKUP($A161,EnrollData2324,'2324 Jun 24 Enroll'!M$1,FALSE)-VLOOKUP($A161,EnrollData2324,'2324 Jun 24 Enroll'!J$1,FALSE)='District Calculations'!$D$16+'District Calculations'!$D$25-'District Calculations'!$D$17,VLOOKUP($A161,EnrollData2324,'2324 Jun 24 Enroll'!I$1,FALSE)+VLOOKUP($A161,EnrollData2324,'2324 Jun 24 Enroll'!M$1,FALSE)-VLOOKUP($A161,EnrollData2324,'2324 Jun 24 Enroll'!J$1,FALSE),'District Calculations'!$D$16+'District Calculations'!$D$25-'District Calculations'!$D$17)*Apport_218A2324s,3)</f>
        <v>20.224</v>
      </c>
      <c r="Z161">
        <f>ROUND(SUM(T161:Y161)/IF(VLOOKUP($A161,EnrollData2324,'2324 Jun 24 Enroll'!M$1,FALSE)+VLOOKUP($A161,EnrollData2324,'2324 Jun 24 Enroll'!D$1,FALSE)='District Calculations'!$D$25+'District Calculations'!$D$11,VLOOKUP($A161,EnrollData2324,'2324 Jun 24 Enroll'!M$1,FALSE)+VLOOKUP($A161,EnrollData2324,'2324 Jun 24 Enroll'!D$1,FALSE),'District Calculations'!$D$25+'District Calculations'!$D$11),5)</f>
        <v>1.7749999999999998E-2</v>
      </c>
      <c r="AA161" s="6" cm="1">
        <f t="array" ref="AA161">ROUND($J161*CIS_Base_Salary2324s*VLOOKUP($A161,EnrollData2324,'2324 Jun 24 Enroll'!S$1,FALSE),2)</f>
        <v>4038.59</v>
      </c>
      <c r="AB161" s="6" cm="1">
        <f t="array" ref="AB161">ROUND($J161*CIS_Inc_Salary2324s*(VLOOKUP($A161,EnrollData2324,'2324 Jun 24 Enroll'!T$1,FALSE)+VLOOKUP($A161,EnrollData2324,'2324 Jun 24 Enroll'!U$1,FALSE)),2)-AA161</f>
        <v>149.43000000000029</v>
      </c>
      <c r="AC161" s="6" cm="1">
        <f t="array" ref="AC161">ROUND($R161*CAS_Base_Salary2324s*VLOOKUP($A161,EnrollData2324,'2324 Jun 24 Enroll'!S$1,FALSE),2)</f>
        <v>443.7</v>
      </c>
      <c r="AD161" s="6" cm="1">
        <f t="array" ref="AD161">ROUND($R161*CAS_Inc_Salary2324s*VLOOKUP($A161,EnrollData2324,'2324 Jun 24 Enroll'!T$1,FALSE),2)-AC161</f>
        <v>16.410000000000025</v>
      </c>
      <c r="AE161" s="6" cm="1">
        <f t="array" ref="AE161">ROUND($Z161*CLS_Base_Salary2324s*VLOOKUP($A161,EnrollData2324,'2324 Jun 24 Enroll'!S$1,FALSE),2)</f>
        <v>926.07</v>
      </c>
      <c r="AF161" s="6" cm="1">
        <f t="array" ref="AF161">ROUND($Z161*CLS_Inc_Salary2324s*VLOOKUP($A161,EnrollData2324,'2324 Jun 24 Enroll'!T$1,FALSE),2)-AE161</f>
        <v>34.259999999999991</v>
      </c>
      <c r="AG161" cm="1">
        <f t="array" ref="AG161">ROUND(($J161+$R161)*Apport_124X2324s,2)</f>
        <v>734.29</v>
      </c>
      <c r="AH161" s="69">
        <f t="shared" si="14"/>
        <v>68.700000000000045</v>
      </c>
      <c r="AI161" cm="1">
        <f t="array" ref="AI161">ROUND($Z161*Apport_124X2324s,2)</f>
        <v>218.54</v>
      </c>
      <c r="AJ161" cm="1">
        <f t="array" ref="AJ161">ROUND($Z161*Apport_621X2324s*Apport_125X2324s,2)-AI161</f>
        <v>116.51000000000002</v>
      </c>
      <c r="AK161" cm="1">
        <f t="array" ref="AK161">ROUND((AA161+AC161)*Apport_126X2324s,2)</f>
        <v>805.47</v>
      </c>
      <c r="AL161" cm="1">
        <f t="array" ref="AL161">ROUND((AB161+AD161)*Apport_127X2324s,2)</f>
        <v>28.74</v>
      </c>
      <c r="AM161" cm="1">
        <f t="array" ref="AM161">ROUND(AE161*Apport_128X2324s,2)</f>
        <v>204.29</v>
      </c>
      <c r="AN161" cm="1">
        <f t="array" ref="AN161">ROUND(AF161*Apport_129X2324s,2)</f>
        <v>6.36</v>
      </c>
      <c r="AO161" cm="1">
        <f t="array" ref="AO161">ROUND(($J161*CIS_Inc_Salary2324s*(VLOOKUP($A161,EnrollData2324,'2324 Jun 24 Enroll'!T$1,FALSE)+VLOOKUP($A161,EnrollData2324,'2324 Jun 24 Enroll'!U$1,FALSE))/Apport_613Xpd)*Apport_614Xpd,2)</f>
        <v>69.8</v>
      </c>
      <c r="AP161" cm="1">
        <f t="array" ref="AP161">ROUND(AO161*Apport_127X2324s,2)</f>
        <v>12.1</v>
      </c>
      <c r="AQ161">
        <f t="shared" si="15"/>
        <v>30.93</v>
      </c>
      <c r="AR161" s="6" cm="1">
        <f t="array" ref="AR161">ROUND((VLOOKUP($A161,EnrollData2324,'2324 Jun 24 Enroll'!D$1,FALSE)*Apport_M802324s+VLOOKUP($A161,EnrollData2324,'2324 Jun 24 Enroll'!M$1,FALSE)*Apport_M802324s+(VLOOKUP($A161,EnrollData2324,'2324 Jun 24 Enroll'!P$1,FALSE)+VLOOKUP($A161,EnrollData2324,'2324 Jun 24 Enroll'!Q$1,FALSE)+VLOOKUP($A161,EnrollData2324,'2324 Jun 24 Enroll'!R$1,FALSE)+VLOOKUP($A161,EnrollData2324,'2324 Jun 24 Enroll'!I$1,FALSE)+VLOOKUP($A161,EnrollData2324,'2324 Jun 24 Enroll'!N$1,FALSE)+VLOOKUP($A161,EnrollData2324,'2324 Jun 24 Enroll'!O$1,FALSE)+VLOOKUP($A161,EnrollData2324,'2324 Jun 24 Enroll'!K$1,FALSE)+VLOOKUP($A161,EnrollData2324,'2324 Jun 24 Enroll'!L$1,FALSE))*Apport_M812324s)/(VLOOKUP($A161,EnrollData2324,'2324 Jun 24 Enroll'!M$1,FALSE)+VLOOKUP($A161,EnrollData2324,'2324 Jun 24 Enroll'!D$1,FALSE)),2)</f>
        <v>1563.58</v>
      </c>
      <c r="AS161" s="7">
        <f t="shared" si="16"/>
        <v>9467.77</v>
      </c>
    </row>
    <row r="162" spans="1:45">
      <c r="A162" s="40" t="s">
        <v>317</v>
      </c>
      <c r="B162" s="40" t="s">
        <v>318</v>
      </c>
      <c r="C162" s="11">
        <f>ROUND((IFERROR((1/IF(VLOOKUP($A162,EnrollData2324,28,FALSE)='District Calculations'!$D$10,VLOOKUP($A162,EnrollData2324,28,FALSE),'District Calculations'!$D$10))*(1+Apport_Z315),0))+Apport_201A2324s,6)</f>
        <v>7.3449E-2</v>
      </c>
      <c r="D162">
        <f>ROUND(IF(VLOOKUP($A162,EnrollData2324,'2324 Jun 24 Enroll'!D$1,FALSE)='District Calculations'!$D$11,VLOOKUP($A162,EnrollData2324,'2324 Jun 24 Enroll'!D$1,FALSE),'District Calculations'!$D$11)*C162,3)</f>
        <v>0</v>
      </c>
      <c r="E162">
        <f>ROUND(IF(VLOOKUP($A162,EnrollData2324,'2324 Jun 24 Enroll'!E$1,FALSE)='District Calculations'!$D$12,VLOOKUP($A162,EnrollData2324,'2324 Jun 24 Enroll'!E$1,FALSE),'District Calculations'!$D$12)*C162,3)</f>
        <v>59.53</v>
      </c>
      <c r="F162">
        <f>ROUND(IF(VLOOKUP($A162,EnrollData2324,'2324 Jun 24 Enroll'!F$1,FALSE)='District Calculations'!$D$13,VLOOKUP($A162,EnrollData2324,'2324 Jun 24 Enroll'!F$1,FALSE),'District Calculations'!$D$13)*Apport_222A2324s,3)</f>
        <v>10.101000000000001</v>
      </c>
      <c r="G162">
        <f>ROUND(IF(VLOOKUP($A162,EnrollData2324,'2324 Jun 24 Enroll'!G$1,FALSE)='District Calculations'!$D$14,VLOOKUP($A162,EnrollData2324,'2324 Jun 24 Enroll'!G$1,FALSE),'District Calculations'!$D$14)*Apport_210A2324s,3)</f>
        <v>22.395</v>
      </c>
      <c r="H162">
        <f>ROUND(IF(VLOOKUP($A162,EnrollData2324,'2324 Jun 24 Enroll'!H$1,FALSE)='District Calculations'!$D$15,VLOOKUP($A162,EnrollData2324,'2324 Jun 24 Enroll'!H$1,FALSE),'District Calculations'!$D$15)*Apport_213A2324s,3)</f>
        <v>23.091999999999999</v>
      </c>
      <c r="I162">
        <f>ROUND(IF(VLOOKUP($A162,EnrollData2324,'2324 Jun 24 Enroll'!I$1,FALSE)+VLOOKUP($A162,EnrollData2324,'2324 Jun 24 Enroll'!M$1,FALSE)-VLOOKUP($A162,EnrollData2324,'2324 Jun 24 Enroll'!J$1,FALSE)='District Calculations'!$D$16+'District Calculations'!$D$25-'District Calculations'!$D$17,VLOOKUP($A162,EnrollData2324,'2324 Jun 24 Enroll'!I$1,FALSE)+VLOOKUP($A162,EnrollData2324,'2324 Jun 24 Enroll'!M$1,FALSE)-VLOOKUP($A162,EnrollData2324,'2324 Jun 24 Enroll'!J$1,FALSE),'District Calculations'!$D$16+'District Calculations'!$D$25-'District Calculations'!$D$17)*Apport_216A2324s,3)</f>
        <v>58.183999999999997</v>
      </c>
      <c r="J162">
        <f>ROUND(SUM(D162:I162)/(IF(VLOOKUP($A162,EnrollData2324,'2324 Jun 24 Enroll'!M$1,FALSE)='District Calculations'!$D$25,VLOOKUP($A162,EnrollData2324,'2324 Jun 24 Enroll'!M$1,FALSE),'District Calculations'!$D$25)+IF(VLOOKUP($A162,EnrollData2324,'2324 Jun 24 Enroll'!D$1,FALSE)='District Calculations'!$D$11,VLOOKUP($A162,EnrollData2324,'2324 Jun 24 Enroll'!D$1,FALSE),'District Calculations'!$D$11)),5)</f>
        <v>5.5530000000000003E-2</v>
      </c>
      <c r="K162" s="11">
        <f t="shared" si="12"/>
        <v>4.3699999999999998E-3</v>
      </c>
      <c r="L162">
        <f>ROUND(IF(VLOOKUP($A162,EnrollData2324,'2324 Jun 24 Enroll'!D$1,FALSE)='District Calculations'!$D$11,VLOOKUP($A162,EnrollData2324,'2324 Jun 24 Enroll'!D$1,FALSE),'District Calculations'!$D$11)*K162,3)</f>
        <v>0</v>
      </c>
      <c r="M162">
        <f>ROUND(IF(VLOOKUP($A162,EnrollData2324,'2324 Jun 24 Enroll'!E$1,FALSE)='District Calculations'!$D$12,VLOOKUP($A162,EnrollData2324,'2324 Jun 24 Enroll'!E$1,FALSE),'District Calculations'!$D$12)*K162,3)</f>
        <v>3.5419999999999998</v>
      </c>
      <c r="N162">
        <f>ROUND(IF(VLOOKUP($A162,EnrollData2324,'2324 Jun 24 Enroll'!F$1,FALSE)='District Calculations'!$D$13,VLOOKUP($A162,EnrollData2324,'2324 Jun 24 Enroll'!F$1,FALSE),'District Calculations'!$D$13)*Apport_223A2324s,3)</f>
        <v>0.84299999999999997</v>
      </c>
      <c r="O162">
        <f>ROUND(IF(VLOOKUP($A162,EnrollData2324,'2324 Jun 24 Enroll'!G$1,FALSE)='District Calculations'!$D$14,VLOOKUP($A162,EnrollData2324,'2324 Jun 24 Enroll'!G$1,FALSE),'District Calculations'!$D$14)*Apport_211A2324s,3)</f>
        <v>1.87</v>
      </c>
      <c r="P162">
        <f>ROUND(IF(VLOOKUP($A162,EnrollData2324,'2324 Jun 24 Enroll'!H$1,FALSE)='District Calculations'!$D$14,VLOOKUP($A162,EnrollData2324,'2324 Jun 24 Enroll'!H$1,FALSE),'District Calculations'!$D$14)*Apport_214A2324s,3)</f>
        <v>1.8680000000000001</v>
      </c>
      <c r="Q162">
        <f>ROUND(IF(VLOOKUP($A162,EnrollData2324,'2324 Jun 24 Enroll'!I$1,FALSE)+VLOOKUP($A162,EnrollData2324,'2324 Jun 24 Enroll'!M$1,FALSE)-VLOOKUP($A162,EnrollData2324,'2324 Jun 24 Enroll'!J$1,FALSE)='District Calculations'!$D$16+'District Calculations'!$D$25-'District Calculations'!$D$17,VLOOKUP($A162,EnrollData2324,'2324 Jun 24 Enroll'!I$1,FALSE)+VLOOKUP($A162,EnrollData2324,'2324 Jun 24 Enroll'!M$1,FALSE)-VLOOKUP($A162,EnrollData2324,'2324 Jun 24 Enroll'!J$1,FALSE),'District Calculations'!$D$16+'District Calculations'!$D$25-'District Calculations'!$D$17)*Apport_217A2324s,3)</f>
        <v>4.702</v>
      </c>
      <c r="R162">
        <f>ROUND(SUM(L162:Q162)/IF(VLOOKUP($A162,EnrollData2324,'2324 Jun 24 Enroll'!M$1,FALSE)+VLOOKUP($A162,EnrollData2324,'2324 Jun 24 Enroll'!D$1,FALSE)='District Calculations'!$D$25+'District Calculations'!$D$11,VLOOKUP($A162,EnrollData2324,'2324 Jun 24 Enroll'!M$1,FALSE)+VLOOKUP($A162,EnrollData2324,'2324 Jun 24 Enroll'!D$1,FALSE),'District Calculations'!$D$25+'District Calculations'!$D$11),5)</f>
        <v>4.1099999999999999E-3</v>
      </c>
      <c r="S162" s="11">
        <f t="shared" si="13"/>
        <v>1.8689600000000001E-2</v>
      </c>
      <c r="T162">
        <f>ROUND(IF(VLOOKUP($A162,EnrollData2324,'2324 Jun 24 Enroll'!D$1,FALSE)='District Calculations'!$D$11,VLOOKUP($A162,EnrollData2324,'2324 Jun 24 Enroll'!D$1,FALSE),'District Calculations'!$D$11)*S162,3)</f>
        <v>0</v>
      </c>
      <c r="U162">
        <f>ROUND(IF(VLOOKUP($A162,EnrollData2324,'2324 Jun 24 Enroll'!E$1,FALSE)='District Calculations'!$D$12,VLOOKUP($A162,EnrollData2324,'2324 Jun 24 Enroll'!E$1,FALSE),'District Calculations'!$D$12)*S162,3)</f>
        <v>15.148</v>
      </c>
      <c r="V162">
        <f>ROUND(IF(VLOOKUP($A162,EnrollData2324,'2324 Jun 24 Enroll'!F$1,FALSE)='District Calculations'!$D$13,VLOOKUP($A162,EnrollData2324,'2324 Jun 24 Enroll'!F$1,FALSE),'District Calculations'!$D$13)*Apport_224A2324s,3)</f>
        <v>3.7029999999999998</v>
      </c>
      <c r="W162">
        <f>ROUND(IF(VLOOKUP($A162,EnrollData2324,'2324 Jun 24 Enroll'!G$1,FALSE)='District Calculations'!$D$14,VLOOKUP($A162,EnrollData2324,'2324 Jun 24 Enroll'!G$1,FALSE),'District Calculations'!$D$14)*Apport_212A2324s,3)</f>
        <v>8.2089999999999996</v>
      </c>
      <c r="X162">
        <f>ROUND(IF(VLOOKUP($A162,EnrollData2324,'2324 Jun 24 Enroll'!H$1,FALSE)='District Calculations'!$D$14,VLOOKUP($A162,EnrollData2324,'2324 Jun 24 Enroll'!H$1,FALSE),'District Calculations'!$D$14)*Apport_215A2324s,3)</f>
        <v>8.0969999999999995</v>
      </c>
      <c r="Y162">
        <f>ROUND(IF(VLOOKUP($A162,EnrollData2324,'2324 Jun 24 Enroll'!I$1,FALSE)+VLOOKUP($A162,EnrollData2324,'2324 Jun 24 Enroll'!M$1,FALSE)-VLOOKUP($A162,EnrollData2324,'2324 Jun 24 Enroll'!J$1,FALSE)='District Calculations'!$D$16+'District Calculations'!$D$25-'District Calculations'!$D$17,VLOOKUP($A162,EnrollData2324,'2324 Jun 24 Enroll'!I$1,FALSE)+VLOOKUP($A162,EnrollData2324,'2324 Jun 24 Enroll'!M$1,FALSE)-VLOOKUP($A162,EnrollData2324,'2324 Jun 24 Enroll'!J$1,FALSE),'District Calculations'!$D$16+'District Calculations'!$D$25-'District Calculations'!$D$17)*Apport_218A2324s,3)</f>
        <v>20.224</v>
      </c>
      <c r="Z162">
        <f>ROUND(SUM(T162:Y162)/IF(VLOOKUP($A162,EnrollData2324,'2324 Jun 24 Enroll'!M$1,FALSE)+VLOOKUP($A162,EnrollData2324,'2324 Jun 24 Enroll'!D$1,FALSE)='District Calculations'!$D$25+'District Calculations'!$D$11,VLOOKUP($A162,EnrollData2324,'2324 Jun 24 Enroll'!M$1,FALSE)+VLOOKUP($A162,EnrollData2324,'2324 Jun 24 Enroll'!D$1,FALSE),'District Calculations'!$D$25+'District Calculations'!$D$11),5)</f>
        <v>1.7749999999999998E-2</v>
      </c>
      <c r="AA162" s="6" cm="1">
        <f t="array" ref="AA162">ROUND($J162*CIS_Base_Salary2324s*VLOOKUP($A162,EnrollData2324,'2324 Jun 24 Enroll'!S$1,FALSE),2)</f>
        <v>4038.59</v>
      </c>
      <c r="AB162" s="6" cm="1">
        <f t="array" ref="AB162">ROUND($J162*CIS_Inc_Salary2324s*(VLOOKUP($A162,EnrollData2324,'2324 Jun 24 Enroll'!T$1,FALSE)+VLOOKUP($A162,EnrollData2324,'2324 Jun 24 Enroll'!U$1,FALSE)),2)-AA162</f>
        <v>316.94999999999982</v>
      </c>
      <c r="AC162" s="6" cm="1">
        <f t="array" ref="AC162">ROUND($R162*CAS_Base_Salary2324s*VLOOKUP($A162,EnrollData2324,'2324 Jun 24 Enroll'!S$1,FALSE),2)</f>
        <v>443.7</v>
      </c>
      <c r="AD162" s="6" cm="1">
        <f t="array" ref="AD162">ROUND($R162*CAS_Inc_Salary2324s*VLOOKUP($A162,EnrollData2324,'2324 Jun 24 Enroll'!T$1,FALSE),2)-AC162</f>
        <v>16.410000000000025</v>
      </c>
      <c r="AE162" s="6" cm="1">
        <f t="array" ref="AE162">ROUND($Z162*CLS_Base_Salary2324s*VLOOKUP($A162,EnrollData2324,'2324 Jun 24 Enroll'!S$1,FALSE),2)</f>
        <v>926.07</v>
      </c>
      <c r="AF162" s="6" cm="1">
        <f t="array" ref="AF162">ROUND($Z162*CLS_Inc_Salary2324s*VLOOKUP($A162,EnrollData2324,'2324 Jun 24 Enroll'!T$1,FALSE),2)-AE162</f>
        <v>34.259999999999991</v>
      </c>
      <c r="AG162" cm="1">
        <f t="array" ref="AG162">ROUND(($J162+$R162)*Apport_124X2324s,2)</f>
        <v>734.29</v>
      </c>
      <c r="AH162" s="69">
        <f t="shared" si="14"/>
        <v>68.700000000000045</v>
      </c>
      <c r="AI162" cm="1">
        <f t="array" ref="AI162">ROUND($Z162*Apport_124X2324s,2)</f>
        <v>218.54</v>
      </c>
      <c r="AJ162" cm="1">
        <f t="array" ref="AJ162">ROUND($Z162*Apport_621X2324s*Apport_125X2324s,2)-AI162</f>
        <v>116.51000000000002</v>
      </c>
      <c r="AK162" cm="1">
        <f t="array" ref="AK162">ROUND((AA162+AC162)*Apport_126X2324s,2)</f>
        <v>805.47</v>
      </c>
      <c r="AL162" cm="1">
        <f t="array" ref="AL162">ROUND((AB162+AD162)*Apport_127X2324s,2)</f>
        <v>57.77</v>
      </c>
      <c r="AM162" cm="1">
        <f t="array" ref="AM162">ROUND(AE162*Apport_128X2324s,2)</f>
        <v>204.29</v>
      </c>
      <c r="AN162" cm="1">
        <f t="array" ref="AN162">ROUND(AF162*Apport_129X2324s,2)</f>
        <v>6.36</v>
      </c>
      <c r="AO162" cm="1">
        <f t="array" ref="AO162">ROUND(($J162*CIS_Inc_Salary2324s*(VLOOKUP($A162,EnrollData2324,'2324 Jun 24 Enroll'!T$1,FALSE)+VLOOKUP($A162,EnrollData2324,'2324 Jun 24 Enroll'!U$1,FALSE))/Apport_613Xpd)*Apport_614Xpd,2)</f>
        <v>72.59</v>
      </c>
      <c r="AP162" cm="1">
        <f t="array" ref="AP162">ROUND(AO162*Apport_127X2324s,2)</f>
        <v>12.58</v>
      </c>
      <c r="AQ162">
        <f t="shared" si="15"/>
        <v>30.93</v>
      </c>
      <c r="AR162" s="6" cm="1">
        <f t="array" ref="AR162">ROUND((VLOOKUP($A162,EnrollData2324,'2324 Jun 24 Enroll'!D$1,FALSE)*Apport_M802324s+VLOOKUP($A162,EnrollData2324,'2324 Jun 24 Enroll'!M$1,FALSE)*Apport_M802324s+(VLOOKUP($A162,EnrollData2324,'2324 Jun 24 Enroll'!P$1,FALSE)+VLOOKUP($A162,EnrollData2324,'2324 Jun 24 Enroll'!Q$1,FALSE)+VLOOKUP($A162,EnrollData2324,'2324 Jun 24 Enroll'!R$1,FALSE)+VLOOKUP($A162,EnrollData2324,'2324 Jun 24 Enroll'!I$1,FALSE)+VLOOKUP($A162,EnrollData2324,'2324 Jun 24 Enroll'!N$1,FALSE)+VLOOKUP($A162,EnrollData2324,'2324 Jun 24 Enroll'!O$1,FALSE)+VLOOKUP($A162,EnrollData2324,'2324 Jun 24 Enroll'!K$1,FALSE)+VLOOKUP($A162,EnrollData2324,'2324 Jun 24 Enroll'!L$1,FALSE))*Apport_M812324s)/(VLOOKUP($A162,EnrollData2324,'2324 Jun 24 Enroll'!M$1,FALSE)+VLOOKUP($A162,EnrollData2324,'2324 Jun 24 Enroll'!D$1,FALSE)),2)</f>
        <v>1577.76</v>
      </c>
      <c r="AS162" s="7">
        <f t="shared" si="16"/>
        <v>9681.77</v>
      </c>
    </row>
    <row r="163" spans="1:45">
      <c r="A163" s="40" t="s">
        <v>883</v>
      </c>
      <c r="B163" s="40" t="s">
        <v>884</v>
      </c>
      <c r="C163" s="11">
        <f>ROUND((IFERROR((1/IF(VLOOKUP($A163,EnrollData2324,28,FALSE)='District Calculations'!$D$10,VLOOKUP($A163,EnrollData2324,28,FALSE),'District Calculations'!$D$10))*(1+Apport_Z315),0))+Apport_201A2324s,6)</f>
        <v>7.3449E-2</v>
      </c>
      <c r="D163">
        <f>ROUND(IF(VLOOKUP($A163,EnrollData2324,'2324 Jun 24 Enroll'!D$1,FALSE)='District Calculations'!$D$11,VLOOKUP($A163,EnrollData2324,'2324 Jun 24 Enroll'!D$1,FALSE),'District Calculations'!$D$11)*C163,3)</f>
        <v>0</v>
      </c>
      <c r="E163">
        <f>ROUND(IF(VLOOKUP($A163,EnrollData2324,'2324 Jun 24 Enroll'!E$1,FALSE)='District Calculations'!$D$12,VLOOKUP($A163,EnrollData2324,'2324 Jun 24 Enroll'!E$1,FALSE),'District Calculations'!$D$12)*C163,3)</f>
        <v>59.53</v>
      </c>
      <c r="F163">
        <f>ROUND(IF(VLOOKUP($A163,EnrollData2324,'2324 Jun 24 Enroll'!F$1,FALSE)='District Calculations'!$D$13,VLOOKUP($A163,EnrollData2324,'2324 Jun 24 Enroll'!F$1,FALSE),'District Calculations'!$D$13)*Apport_222A2324s,3)</f>
        <v>10.101000000000001</v>
      </c>
      <c r="G163">
        <f>ROUND(IF(VLOOKUP($A163,EnrollData2324,'2324 Jun 24 Enroll'!G$1,FALSE)='District Calculations'!$D$14,VLOOKUP($A163,EnrollData2324,'2324 Jun 24 Enroll'!G$1,FALSE),'District Calculations'!$D$14)*Apport_210A2324s,3)</f>
        <v>22.395</v>
      </c>
      <c r="H163">
        <f>ROUND(IF(VLOOKUP($A163,EnrollData2324,'2324 Jun 24 Enroll'!H$1,FALSE)='District Calculations'!$D$15,VLOOKUP($A163,EnrollData2324,'2324 Jun 24 Enroll'!H$1,FALSE),'District Calculations'!$D$15)*Apport_213A2324s,3)</f>
        <v>23.091999999999999</v>
      </c>
      <c r="I163">
        <f>ROUND(IF(VLOOKUP($A163,EnrollData2324,'2324 Jun 24 Enroll'!I$1,FALSE)+VLOOKUP($A163,EnrollData2324,'2324 Jun 24 Enroll'!M$1,FALSE)-VLOOKUP($A163,EnrollData2324,'2324 Jun 24 Enroll'!J$1,FALSE)='District Calculations'!$D$16+'District Calculations'!$D$25-'District Calculations'!$D$17,VLOOKUP($A163,EnrollData2324,'2324 Jun 24 Enroll'!I$1,FALSE)+VLOOKUP($A163,EnrollData2324,'2324 Jun 24 Enroll'!M$1,FALSE)-VLOOKUP($A163,EnrollData2324,'2324 Jun 24 Enroll'!J$1,FALSE),'District Calculations'!$D$16+'District Calculations'!$D$25-'District Calculations'!$D$17)*Apport_216A2324s,3)</f>
        <v>58.183999999999997</v>
      </c>
      <c r="J163">
        <f>ROUND(SUM(D163:I163)/(IF(VLOOKUP($A163,EnrollData2324,'2324 Jun 24 Enroll'!M$1,FALSE)='District Calculations'!$D$25,VLOOKUP($A163,EnrollData2324,'2324 Jun 24 Enroll'!M$1,FALSE),'District Calculations'!$D$25)+IF(VLOOKUP($A163,EnrollData2324,'2324 Jun 24 Enroll'!D$1,FALSE)='District Calculations'!$D$11,VLOOKUP($A163,EnrollData2324,'2324 Jun 24 Enroll'!D$1,FALSE),'District Calculations'!$D$11)),5)</f>
        <v>5.5530000000000003E-2</v>
      </c>
      <c r="K163" s="11">
        <f t="shared" ref="K163:K226" si="17">ROUND(((($C163+Apport_203A2324s+Apport_202A2324s)*Apport_557X)*Apport_558X)+Apport_202A2324s,6)</f>
        <v>4.3699999999999998E-3</v>
      </c>
      <c r="L163">
        <f>ROUND(IF(VLOOKUP($A163,EnrollData2324,'2324 Jun 24 Enroll'!D$1,FALSE)='District Calculations'!$D$11,VLOOKUP($A163,EnrollData2324,'2324 Jun 24 Enroll'!D$1,FALSE),'District Calculations'!$D$11)*K163,3)</f>
        <v>0</v>
      </c>
      <c r="M163">
        <f>ROUND(IF(VLOOKUP($A163,EnrollData2324,'2324 Jun 24 Enroll'!E$1,FALSE)='District Calculations'!$D$12,VLOOKUP($A163,EnrollData2324,'2324 Jun 24 Enroll'!E$1,FALSE),'District Calculations'!$D$12)*K163,3)</f>
        <v>3.5419999999999998</v>
      </c>
      <c r="N163">
        <f>ROUND(IF(VLOOKUP($A163,EnrollData2324,'2324 Jun 24 Enroll'!F$1,FALSE)='District Calculations'!$D$13,VLOOKUP($A163,EnrollData2324,'2324 Jun 24 Enroll'!F$1,FALSE),'District Calculations'!$D$13)*Apport_223A2324s,3)</f>
        <v>0.84299999999999997</v>
      </c>
      <c r="O163">
        <f>ROUND(IF(VLOOKUP($A163,EnrollData2324,'2324 Jun 24 Enroll'!G$1,FALSE)='District Calculations'!$D$14,VLOOKUP($A163,EnrollData2324,'2324 Jun 24 Enroll'!G$1,FALSE),'District Calculations'!$D$14)*Apport_211A2324s,3)</f>
        <v>1.87</v>
      </c>
      <c r="P163">
        <f>ROUND(IF(VLOOKUP($A163,EnrollData2324,'2324 Jun 24 Enroll'!H$1,FALSE)='District Calculations'!$D$14,VLOOKUP($A163,EnrollData2324,'2324 Jun 24 Enroll'!H$1,FALSE),'District Calculations'!$D$14)*Apport_214A2324s,3)</f>
        <v>1.8680000000000001</v>
      </c>
      <c r="Q163">
        <f>ROUND(IF(VLOOKUP($A163,EnrollData2324,'2324 Jun 24 Enroll'!I$1,FALSE)+VLOOKUP($A163,EnrollData2324,'2324 Jun 24 Enroll'!M$1,FALSE)-VLOOKUP($A163,EnrollData2324,'2324 Jun 24 Enroll'!J$1,FALSE)='District Calculations'!$D$16+'District Calculations'!$D$25-'District Calculations'!$D$17,VLOOKUP($A163,EnrollData2324,'2324 Jun 24 Enroll'!I$1,FALSE)+VLOOKUP($A163,EnrollData2324,'2324 Jun 24 Enroll'!M$1,FALSE)-VLOOKUP($A163,EnrollData2324,'2324 Jun 24 Enroll'!J$1,FALSE),'District Calculations'!$D$16+'District Calculations'!$D$25-'District Calculations'!$D$17)*Apport_217A2324s,3)</f>
        <v>4.702</v>
      </c>
      <c r="R163">
        <f>ROUND(SUM(L163:Q163)/IF(VLOOKUP($A163,EnrollData2324,'2324 Jun 24 Enroll'!M$1,FALSE)+VLOOKUP($A163,EnrollData2324,'2324 Jun 24 Enroll'!D$1,FALSE)='District Calculations'!$D$25+'District Calculations'!$D$11,VLOOKUP($A163,EnrollData2324,'2324 Jun 24 Enroll'!M$1,FALSE)+VLOOKUP($A163,EnrollData2324,'2324 Jun 24 Enroll'!D$1,FALSE),'District Calculations'!$D$25+'District Calculations'!$D$11),5)</f>
        <v>4.1099999999999999E-3</v>
      </c>
      <c r="S163" s="11">
        <f t="shared" ref="S163:S226" si="18">ROUND(((($C163+Apport_203A2324s+Apport_202A2324s)*Apport_557X)*Apport_559X)+Apport_203A2324s,7)</f>
        <v>1.8689600000000001E-2</v>
      </c>
      <c r="T163">
        <f>ROUND(IF(VLOOKUP($A163,EnrollData2324,'2324 Jun 24 Enroll'!D$1,FALSE)='District Calculations'!$D$11,VLOOKUP($A163,EnrollData2324,'2324 Jun 24 Enroll'!D$1,FALSE),'District Calculations'!$D$11)*S163,3)</f>
        <v>0</v>
      </c>
      <c r="U163">
        <f>ROUND(IF(VLOOKUP($A163,EnrollData2324,'2324 Jun 24 Enroll'!E$1,FALSE)='District Calculations'!$D$12,VLOOKUP($A163,EnrollData2324,'2324 Jun 24 Enroll'!E$1,FALSE),'District Calculations'!$D$12)*S163,3)</f>
        <v>15.148</v>
      </c>
      <c r="V163">
        <f>ROUND(IF(VLOOKUP($A163,EnrollData2324,'2324 Jun 24 Enroll'!F$1,FALSE)='District Calculations'!$D$13,VLOOKUP($A163,EnrollData2324,'2324 Jun 24 Enroll'!F$1,FALSE),'District Calculations'!$D$13)*Apport_224A2324s,3)</f>
        <v>3.7029999999999998</v>
      </c>
      <c r="W163">
        <f>ROUND(IF(VLOOKUP($A163,EnrollData2324,'2324 Jun 24 Enroll'!G$1,FALSE)='District Calculations'!$D$14,VLOOKUP($A163,EnrollData2324,'2324 Jun 24 Enroll'!G$1,FALSE),'District Calculations'!$D$14)*Apport_212A2324s,3)</f>
        <v>8.2089999999999996</v>
      </c>
      <c r="X163">
        <f>ROUND(IF(VLOOKUP($A163,EnrollData2324,'2324 Jun 24 Enroll'!H$1,FALSE)='District Calculations'!$D$14,VLOOKUP($A163,EnrollData2324,'2324 Jun 24 Enroll'!H$1,FALSE),'District Calculations'!$D$14)*Apport_215A2324s,3)</f>
        <v>8.0969999999999995</v>
      </c>
      <c r="Y163">
        <f>ROUND(IF(VLOOKUP($A163,EnrollData2324,'2324 Jun 24 Enroll'!I$1,FALSE)+VLOOKUP($A163,EnrollData2324,'2324 Jun 24 Enroll'!M$1,FALSE)-VLOOKUP($A163,EnrollData2324,'2324 Jun 24 Enroll'!J$1,FALSE)='District Calculations'!$D$16+'District Calculations'!$D$25-'District Calculations'!$D$17,VLOOKUP($A163,EnrollData2324,'2324 Jun 24 Enroll'!I$1,FALSE)+VLOOKUP($A163,EnrollData2324,'2324 Jun 24 Enroll'!M$1,FALSE)-VLOOKUP($A163,EnrollData2324,'2324 Jun 24 Enroll'!J$1,FALSE),'District Calculations'!$D$16+'District Calculations'!$D$25-'District Calculations'!$D$17)*Apport_218A2324s,3)</f>
        <v>20.224</v>
      </c>
      <c r="Z163">
        <f>ROUND(SUM(T163:Y163)/IF(VLOOKUP($A163,EnrollData2324,'2324 Jun 24 Enroll'!M$1,FALSE)+VLOOKUP($A163,EnrollData2324,'2324 Jun 24 Enroll'!D$1,FALSE)='District Calculations'!$D$25+'District Calculations'!$D$11,VLOOKUP($A163,EnrollData2324,'2324 Jun 24 Enroll'!M$1,FALSE)+VLOOKUP($A163,EnrollData2324,'2324 Jun 24 Enroll'!D$1,FALSE),'District Calculations'!$D$25+'District Calculations'!$D$11),5)</f>
        <v>1.7749999999999998E-2</v>
      </c>
      <c r="AA163" s="6" cm="1">
        <f t="array" ref="AA163">ROUND($J163*CIS_Base_Salary2324s*VLOOKUP($A163,EnrollData2324,'2324 Jun 24 Enroll'!S$1,FALSE),2)</f>
        <v>4038.59</v>
      </c>
      <c r="AB163" s="6" cm="1">
        <f t="array" ref="AB163">ROUND($J163*CIS_Inc_Salary2324s*(VLOOKUP($A163,EnrollData2324,'2324 Jun 24 Enroll'!T$1,FALSE)+VLOOKUP($A163,EnrollData2324,'2324 Jun 24 Enroll'!U$1,FALSE)),2)-AA163</f>
        <v>233.1899999999996</v>
      </c>
      <c r="AC163" s="6" cm="1">
        <f t="array" ref="AC163">ROUND($R163*CAS_Base_Salary2324s*VLOOKUP($A163,EnrollData2324,'2324 Jun 24 Enroll'!S$1,FALSE),2)</f>
        <v>443.7</v>
      </c>
      <c r="AD163" s="6" cm="1">
        <f t="array" ref="AD163">ROUND($R163*CAS_Inc_Salary2324s*VLOOKUP($A163,EnrollData2324,'2324 Jun 24 Enroll'!T$1,FALSE),2)-AC163</f>
        <v>16.410000000000025</v>
      </c>
      <c r="AE163" s="6" cm="1">
        <f t="array" ref="AE163">ROUND($Z163*CLS_Base_Salary2324s*VLOOKUP($A163,EnrollData2324,'2324 Jun 24 Enroll'!S$1,FALSE),2)</f>
        <v>926.07</v>
      </c>
      <c r="AF163" s="6" cm="1">
        <f t="array" ref="AF163">ROUND($Z163*CLS_Inc_Salary2324s*VLOOKUP($A163,EnrollData2324,'2324 Jun 24 Enroll'!T$1,FALSE),2)-AE163</f>
        <v>34.259999999999991</v>
      </c>
      <c r="AG163" cm="1">
        <f t="array" ref="AG163">ROUND(($J163+$R163)*Apport_124X2324s,2)</f>
        <v>734.29</v>
      </c>
      <c r="AH163" s="69">
        <f t="shared" ref="AH163:AH226" si="19">ROUND(($J163+$R163)*Apport_621X2324s*Apport_125XC2324s,2)-AG163</f>
        <v>68.700000000000045</v>
      </c>
      <c r="AI163" cm="1">
        <f t="array" ref="AI163">ROUND($Z163*Apport_124X2324s,2)</f>
        <v>218.54</v>
      </c>
      <c r="AJ163" cm="1">
        <f t="array" ref="AJ163">ROUND($Z163*Apport_621X2324s*Apport_125X2324s,2)-AI163</f>
        <v>116.51000000000002</v>
      </c>
      <c r="AK163" cm="1">
        <f t="array" ref="AK163">ROUND((AA163+AC163)*Apport_126X2324s,2)</f>
        <v>805.47</v>
      </c>
      <c r="AL163" cm="1">
        <f t="array" ref="AL163">ROUND((AB163+AD163)*Apport_127X2324s,2)</f>
        <v>43.26</v>
      </c>
      <c r="AM163" cm="1">
        <f t="array" ref="AM163">ROUND(AE163*Apport_128X2324s,2)</f>
        <v>204.29</v>
      </c>
      <c r="AN163" cm="1">
        <f t="array" ref="AN163">ROUND(AF163*Apport_129X2324s,2)</f>
        <v>6.36</v>
      </c>
      <c r="AO163" cm="1">
        <f t="array" ref="AO163">ROUND(($J163*CIS_Inc_Salary2324s*(VLOOKUP($A163,EnrollData2324,'2324 Jun 24 Enroll'!T$1,FALSE)+VLOOKUP($A163,EnrollData2324,'2324 Jun 24 Enroll'!U$1,FALSE))/Apport_613Xpd)*Apport_614Xpd,2)</f>
        <v>71.2</v>
      </c>
      <c r="AP163" cm="1">
        <f t="array" ref="AP163">ROUND(AO163*Apport_127X2324s,2)</f>
        <v>12.34</v>
      </c>
      <c r="AQ163">
        <f t="shared" ref="AQ163:AQ226" si="20">ROUND((J163*Apport_581X)*(Apport_116X*Apport_132X),2)</f>
        <v>30.93</v>
      </c>
      <c r="AR163" s="6" cm="1">
        <f t="array" ref="AR163">ROUND((VLOOKUP($A163,EnrollData2324,'2324 Jun 24 Enroll'!D$1,FALSE)*Apport_M802324s+VLOOKUP($A163,EnrollData2324,'2324 Jun 24 Enroll'!M$1,FALSE)*Apport_M802324s+(VLOOKUP($A163,EnrollData2324,'2324 Jun 24 Enroll'!P$1,FALSE)+VLOOKUP($A163,EnrollData2324,'2324 Jun 24 Enroll'!Q$1,FALSE)+VLOOKUP($A163,EnrollData2324,'2324 Jun 24 Enroll'!R$1,FALSE)+VLOOKUP($A163,EnrollData2324,'2324 Jun 24 Enroll'!I$1,FALSE)+VLOOKUP($A163,EnrollData2324,'2324 Jun 24 Enroll'!N$1,FALSE)+VLOOKUP($A163,EnrollData2324,'2324 Jun 24 Enroll'!O$1,FALSE)+VLOOKUP($A163,EnrollData2324,'2324 Jun 24 Enroll'!K$1,FALSE)+VLOOKUP($A163,EnrollData2324,'2324 Jun 24 Enroll'!L$1,FALSE))*Apport_M812324s)/(VLOOKUP($A163,EnrollData2324,'2324 Jun 24 Enroll'!M$1,FALSE)+VLOOKUP($A163,EnrollData2324,'2324 Jun 24 Enroll'!D$1,FALSE)),2)</f>
        <v>1564.82</v>
      </c>
      <c r="AS163" s="7">
        <f t="shared" si="16"/>
        <v>9568.93</v>
      </c>
    </row>
    <row r="164" spans="1:45">
      <c r="A164" s="40" t="s">
        <v>345</v>
      </c>
      <c r="B164" s="40" t="s">
        <v>346</v>
      </c>
      <c r="C164" s="11">
        <f>ROUND((IFERROR((1/IF(VLOOKUP($A164,EnrollData2324,28,FALSE)='District Calculations'!$D$10,VLOOKUP($A164,EnrollData2324,28,FALSE),'District Calculations'!$D$10))*(1+Apport_Z315),0))+Apport_201A2324s,6)</f>
        <v>7.3449E-2</v>
      </c>
      <c r="D164">
        <f>ROUND(IF(VLOOKUP($A164,EnrollData2324,'2324 Jun 24 Enroll'!D$1,FALSE)='District Calculations'!$D$11,VLOOKUP($A164,EnrollData2324,'2324 Jun 24 Enroll'!D$1,FALSE),'District Calculations'!$D$11)*C164,3)</f>
        <v>0</v>
      </c>
      <c r="E164">
        <f>ROUND(IF(VLOOKUP($A164,EnrollData2324,'2324 Jun 24 Enroll'!E$1,FALSE)='District Calculations'!$D$12,VLOOKUP($A164,EnrollData2324,'2324 Jun 24 Enroll'!E$1,FALSE),'District Calculations'!$D$12)*C164,3)</f>
        <v>59.53</v>
      </c>
      <c r="F164">
        <f>ROUND(IF(VLOOKUP($A164,EnrollData2324,'2324 Jun 24 Enroll'!F$1,FALSE)='District Calculations'!$D$13,VLOOKUP($A164,EnrollData2324,'2324 Jun 24 Enroll'!F$1,FALSE),'District Calculations'!$D$13)*Apport_222A2324s,3)</f>
        <v>10.101000000000001</v>
      </c>
      <c r="G164">
        <f>ROUND(IF(VLOOKUP($A164,EnrollData2324,'2324 Jun 24 Enroll'!G$1,FALSE)='District Calculations'!$D$14,VLOOKUP($A164,EnrollData2324,'2324 Jun 24 Enroll'!G$1,FALSE),'District Calculations'!$D$14)*Apport_210A2324s,3)</f>
        <v>22.395</v>
      </c>
      <c r="H164">
        <f>ROUND(IF(VLOOKUP($A164,EnrollData2324,'2324 Jun 24 Enroll'!H$1,FALSE)='District Calculations'!$D$15,VLOOKUP($A164,EnrollData2324,'2324 Jun 24 Enroll'!H$1,FALSE),'District Calculations'!$D$15)*Apport_213A2324s,3)</f>
        <v>23.091999999999999</v>
      </c>
      <c r="I164">
        <f>ROUND(IF(VLOOKUP($A164,EnrollData2324,'2324 Jun 24 Enroll'!I$1,FALSE)+VLOOKUP($A164,EnrollData2324,'2324 Jun 24 Enroll'!M$1,FALSE)-VLOOKUP($A164,EnrollData2324,'2324 Jun 24 Enroll'!J$1,FALSE)='District Calculations'!$D$16+'District Calculations'!$D$25-'District Calculations'!$D$17,VLOOKUP($A164,EnrollData2324,'2324 Jun 24 Enroll'!I$1,FALSE)+VLOOKUP($A164,EnrollData2324,'2324 Jun 24 Enroll'!M$1,FALSE)-VLOOKUP($A164,EnrollData2324,'2324 Jun 24 Enroll'!J$1,FALSE),'District Calculations'!$D$16+'District Calculations'!$D$25-'District Calculations'!$D$17)*Apport_216A2324s,3)</f>
        <v>58.183999999999997</v>
      </c>
      <c r="J164">
        <f>ROUND(SUM(D164:I164)/(IF(VLOOKUP($A164,EnrollData2324,'2324 Jun 24 Enroll'!M$1,FALSE)='District Calculations'!$D$25,VLOOKUP($A164,EnrollData2324,'2324 Jun 24 Enroll'!M$1,FALSE),'District Calculations'!$D$25)+IF(VLOOKUP($A164,EnrollData2324,'2324 Jun 24 Enroll'!D$1,FALSE)='District Calculations'!$D$11,VLOOKUP($A164,EnrollData2324,'2324 Jun 24 Enroll'!D$1,FALSE),'District Calculations'!$D$11)),5)</f>
        <v>5.5530000000000003E-2</v>
      </c>
      <c r="K164" s="11">
        <f t="shared" si="17"/>
        <v>4.3699999999999998E-3</v>
      </c>
      <c r="L164">
        <f>ROUND(IF(VLOOKUP($A164,EnrollData2324,'2324 Jun 24 Enroll'!D$1,FALSE)='District Calculations'!$D$11,VLOOKUP($A164,EnrollData2324,'2324 Jun 24 Enroll'!D$1,FALSE),'District Calculations'!$D$11)*K164,3)</f>
        <v>0</v>
      </c>
      <c r="M164">
        <f>ROUND(IF(VLOOKUP($A164,EnrollData2324,'2324 Jun 24 Enroll'!E$1,FALSE)='District Calculations'!$D$12,VLOOKUP($A164,EnrollData2324,'2324 Jun 24 Enroll'!E$1,FALSE),'District Calculations'!$D$12)*K164,3)</f>
        <v>3.5419999999999998</v>
      </c>
      <c r="N164">
        <f>ROUND(IF(VLOOKUP($A164,EnrollData2324,'2324 Jun 24 Enroll'!F$1,FALSE)='District Calculations'!$D$13,VLOOKUP($A164,EnrollData2324,'2324 Jun 24 Enroll'!F$1,FALSE),'District Calculations'!$D$13)*Apport_223A2324s,3)</f>
        <v>0.84299999999999997</v>
      </c>
      <c r="O164">
        <f>ROUND(IF(VLOOKUP($A164,EnrollData2324,'2324 Jun 24 Enroll'!G$1,FALSE)='District Calculations'!$D$14,VLOOKUP($A164,EnrollData2324,'2324 Jun 24 Enroll'!G$1,FALSE),'District Calculations'!$D$14)*Apport_211A2324s,3)</f>
        <v>1.87</v>
      </c>
      <c r="P164">
        <f>ROUND(IF(VLOOKUP($A164,EnrollData2324,'2324 Jun 24 Enroll'!H$1,FALSE)='District Calculations'!$D$14,VLOOKUP($A164,EnrollData2324,'2324 Jun 24 Enroll'!H$1,FALSE),'District Calculations'!$D$14)*Apport_214A2324s,3)</f>
        <v>1.8680000000000001</v>
      </c>
      <c r="Q164">
        <f>ROUND(IF(VLOOKUP($A164,EnrollData2324,'2324 Jun 24 Enroll'!I$1,FALSE)+VLOOKUP($A164,EnrollData2324,'2324 Jun 24 Enroll'!M$1,FALSE)-VLOOKUP($A164,EnrollData2324,'2324 Jun 24 Enroll'!J$1,FALSE)='District Calculations'!$D$16+'District Calculations'!$D$25-'District Calculations'!$D$17,VLOOKUP($A164,EnrollData2324,'2324 Jun 24 Enroll'!I$1,FALSE)+VLOOKUP($A164,EnrollData2324,'2324 Jun 24 Enroll'!M$1,FALSE)-VLOOKUP($A164,EnrollData2324,'2324 Jun 24 Enroll'!J$1,FALSE),'District Calculations'!$D$16+'District Calculations'!$D$25-'District Calculations'!$D$17)*Apport_217A2324s,3)</f>
        <v>4.702</v>
      </c>
      <c r="R164">
        <f>ROUND(SUM(L164:Q164)/IF(VLOOKUP($A164,EnrollData2324,'2324 Jun 24 Enroll'!M$1,FALSE)+VLOOKUP($A164,EnrollData2324,'2324 Jun 24 Enroll'!D$1,FALSE)='District Calculations'!$D$25+'District Calculations'!$D$11,VLOOKUP($A164,EnrollData2324,'2324 Jun 24 Enroll'!M$1,FALSE)+VLOOKUP($A164,EnrollData2324,'2324 Jun 24 Enroll'!D$1,FALSE),'District Calculations'!$D$25+'District Calculations'!$D$11),5)</f>
        <v>4.1099999999999999E-3</v>
      </c>
      <c r="S164" s="11">
        <f t="shared" si="18"/>
        <v>1.8689600000000001E-2</v>
      </c>
      <c r="T164">
        <f>ROUND(IF(VLOOKUP($A164,EnrollData2324,'2324 Jun 24 Enroll'!D$1,FALSE)='District Calculations'!$D$11,VLOOKUP($A164,EnrollData2324,'2324 Jun 24 Enroll'!D$1,FALSE),'District Calculations'!$D$11)*S164,3)</f>
        <v>0</v>
      </c>
      <c r="U164">
        <f>ROUND(IF(VLOOKUP($A164,EnrollData2324,'2324 Jun 24 Enroll'!E$1,FALSE)='District Calculations'!$D$12,VLOOKUP($A164,EnrollData2324,'2324 Jun 24 Enroll'!E$1,FALSE),'District Calculations'!$D$12)*S164,3)</f>
        <v>15.148</v>
      </c>
      <c r="V164">
        <f>ROUND(IF(VLOOKUP($A164,EnrollData2324,'2324 Jun 24 Enroll'!F$1,FALSE)='District Calculations'!$D$13,VLOOKUP($A164,EnrollData2324,'2324 Jun 24 Enroll'!F$1,FALSE),'District Calculations'!$D$13)*Apport_224A2324s,3)</f>
        <v>3.7029999999999998</v>
      </c>
      <c r="W164">
        <f>ROUND(IF(VLOOKUP($A164,EnrollData2324,'2324 Jun 24 Enroll'!G$1,FALSE)='District Calculations'!$D$14,VLOOKUP($A164,EnrollData2324,'2324 Jun 24 Enroll'!G$1,FALSE),'District Calculations'!$D$14)*Apport_212A2324s,3)</f>
        <v>8.2089999999999996</v>
      </c>
      <c r="X164">
        <f>ROUND(IF(VLOOKUP($A164,EnrollData2324,'2324 Jun 24 Enroll'!H$1,FALSE)='District Calculations'!$D$14,VLOOKUP($A164,EnrollData2324,'2324 Jun 24 Enroll'!H$1,FALSE),'District Calculations'!$D$14)*Apport_215A2324s,3)</f>
        <v>8.0969999999999995</v>
      </c>
      <c r="Y164">
        <f>ROUND(IF(VLOOKUP($A164,EnrollData2324,'2324 Jun 24 Enroll'!I$1,FALSE)+VLOOKUP($A164,EnrollData2324,'2324 Jun 24 Enroll'!M$1,FALSE)-VLOOKUP($A164,EnrollData2324,'2324 Jun 24 Enroll'!J$1,FALSE)='District Calculations'!$D$16+'District Calculations'!$D$25-'District Calculations'!$D$17,VLOOKUP($A164,EnrollData2324,'2324 Jun 24 Enroll'!I$1,FALSE)+VLOOKUP($A164,EnrollData2324,'2324 Jun 24 Enroll'!M$1,FALSE)-VLOOKUP($A164,EnrollData2324,'2324 Jun 24 Enroll'!J$1,FALSE),'District Calculations'!$D$16+'District Calculations'!$D$25-'District Calculations'!$D$17)*Apport_218A2324s,3)</f>
        <v>20.224</v>
      </c>
      <c r="Z164">
        <f>ROUND(SUM(T164:Y164)/IF(VLOOKUP($A164,EnrollData2324,'2324 Jun 24 Enroll'!M$1,FALSE)+VLOOKUP($A164,EnrollData2324,'2324 Jun 24 Enroll'!D$1,FALSE)='District Calculations'!$D$25+'District Calculations'!$D$11,VLOOKUP($A164,EnrollData2324,'2324 Jun 24 Enroll'!M$1,FALSE)+VLOOKUP($A164,EnrollData2324,'2324 Jun 24 Enroll'!D$1,FALSE),'District Calculations'!$D$25+'District Calculations'!$D$11),5)</f>
        <v>1.7749999999999998E-2</v>
      </c>
      <c r="AA164" s="6" cm="1">
        <f t="array" ref="AA164">ROUND($J164*CIS_Base_Salary2324s*VLOOKUP($A164,EnrollData2324,'2324 Jun 24 Enroll'!S$1,FALSE),2)</f>
        <v>4038.59</v>
      </c>
      <c r="AB164" s="6" cm="1">
        <f t="array" ref="AB164">ROUND($J164*CIS_Inc_Salary2324s*(VLOOKUP($A164,EnrollData2324,'2324 Jun 24 Enroll'!T$1,FALSE)+VLOOKUP($A164,EnrollData2324,'2324 Jun 24 Enroll'!U$1,FALSE)),2)-AA164</f>
        <v>149.43000000000029</v>
      </c>
      <c r="AC164" s="6" cm="1">
        <f t="array" ref="AC164">ROUND($R164*CAS_Base_Salary2324s*VLOOKUP($A164,EnrollData2324,'2324 Jun 24 Enroll'!S$1,FALSE),2)</f>
        <v>443.7</v>
      </c>
      <c r="AD164" s="6" cm="1">
        <f t="array" ref="AD164">ROUND($R164*CAS_Inc_Salary2324s*VLOOKUP($A164,EnrollData2324,'2324 Jun 24 Enroll'!T$1,FALSE),2)-AC164</f>
        <v>16.410000000000025</v>
      </c>
      <c r="AE164" s="6" cm="1">
        <f t="array" ref="AE164">ROUND($Z164*CLS_Base_Salary2324s*VLOOKUP($A164,EnrollData2324,'2324 Jun 24 Enroll'!S$1,FALSE),2)</f>
        <v>926.07</v>
      </c>
      <c r="AF164" s="6" cm="1">
        <f t="array" ref="AF164">ROUND($Z164*CLS_Inc_Salary2324s*VLOOKUP($A164,EnrollData2324,'2324 Jun 24 Enroll'!T$1,FALSE),2)-AE164</f>
        <v>34.259999999999991</v>
      </c>
      <c r="AG164" cm="1">
        <f t="array" ref="AG164">ROUND(($J164+$R164)*Apport_124X2324s,2)</f>
        <v>734.29</v>
      </c>
      <c r="AH164" s="69">
        <f t="shared" si="19"/>
        <v>68.700000000000045</v>
      </c>
      <c r="AI164" cm="1">
        <f t="array" ref="AI164">ROUND($Z164*Apport_124X2324s,2)</f>
        <v>218.54</v>
      </c>
      <c r="AJ164" cm="1">
        <f t="array" ref="AJ164">ROUND($Z164*Apport_621X2324s*Apport_125X2324s,2)-AI164</f>
        <v>116.51000000000002</v>
      </c>
      <c r="AK164" cm="1">
        <f t="array" ref="AK164">ROUND((AA164+AC164)*Apport_126X2324s,2)</f>
        <v>805.47</v>
      </c>
      <c r="AL164" cm="1">
        <f t="array" ref="AL164">ROUND((AB164+AD164)*Apport_127X2324s,2)</f>
        <v>28.74</v>
      </c>
      <c r="AM164" cm="1">
        <f t="array" ref="AM164">ROUND(AE164*Apport_128X2324s,2)</f>
        <v>204.29</v>
      </c>
      <c r="AN164" cm="1">
        <f t="array" ref="AN164">ROUND(AF164*Apport_129X2324s,2)</f>
        <v>6.36</v>
      </c>
      <c r="AO164" cm="1">
        <f t="array" ref="AO164">ROUND(($J164*CIS_Inc_Salary2324s*(VLOOKUP($A164,EnrollData2324,'2324 Jun 24 Enroll'!T$1,FALSE)+VLOOKUP($A164,EnrollData2324,'2324 Jun 24 Enroll'!U$1,FALSE))/Apport_613Xpd)*Apport_614Xpd,2)</f>
        <v>69.8</v>
      </c>
      <c r="AP164" cm="1">
        <f t="array" ref="AP164">ROUND(AO164*Apport_127X2324s,2)</f>
        <v>12.1</v>
      </c>
      <c r="AQ164">
        <f t="shared" si="20"/>
        <v>30.93</v>
      </c>
      <c r="AR164" s="6" cm="1">
        <f t="array" ref="AR164">ROUND((VLOOKUP($A164,EnrollData2324,'2324 Jun 24 Enroll'!D$1,FALSE)*Apport_M802324s+VLOOKUP($A164,EnrollData2324,'2324 Jun 24 Enroll'!M$1,FALSE)*Apport_M802324s+(VLOOKUP($A164,EnrollData2324,'2324 Jun 24 Enroll'!P$1,FALSE)+VLOOKUP($A164,EnrollData2324,'2324 Jun 24 Enroll'!Q$1,FALSE)+VLOOKUP($A164,EnrollData2324,'2324 Jun 24 Enroll'!R$1,FALSE)+VLOOKUP($A164,EnrollData2324,'2324 Jun 24 Enroll'!I$1,FALSE)+VLOOKUP($A164,EnrollData2324,'2324 Jun 24 Enroll'!N$1,FALSE)+VLOOKUP($A164,EnrollData2324,'2324 Jun 24 Enroll'!O$1,FALSE)+VLOOKUP($A164,EnrollData2324,'2324 Jun 24 Enroll'!K$1,FALSE)+VLOOKUP($A164,EnrollData2324,'2324 Jun 24 Enroll'!L$1,FALSE))*Apport_M812324s)/(VLOOKUP($A164,EnrollData2324,'2324 Jun 24 Enroll'!M$1,FALSE)+VLOOKUP($A164,EnrollData2324,'2324 Jun 24 Enroll'!D$1,FALSE)),2)</f>
        <v>1653.86</v>
      </c>
      <c r="AS164" s="7">
        <f t="shared" si="16"/>
        <v>9558.0500000000011</v>
      </c>
    </row>
    <row r="165" spans="1:45">
      <c r="A165" s="40" t="s">
        <v>821</v>
      </c>
      <c r="B165" s="40" t="s">
        <v>822</v>
      </c>
      <c r="C165" s="11">
        <f>ROUND((IFERROR((1/IF(VLOOKUP($A165,EnrollData2324,28,FALSE)='District Calculations'!$D$10,VLOOKUP($A165,EnrollData2324,28,FALSE),'District Calculations'!$D$10))*(1+Apport_Z315),0))+Apport_201A2324s,6)</f>
        <v>7.3449E-2</v>
      </c>
      <c r="D165">
        <f>ROUND(IF(VLOOKUP($A165,EnrollData2324,'2324 Jun 24 Enroll'!D$1,FALSE)='District Calculations'!$D$11,VLOOKUP($A165,EnrollData2324,'2324 Jun 24 Enroll'!D$1,FALSE),'District Calculations'!$D$11)*C165,3)</f>
        <v>0</v>
      </c>
      <c r="E165">
        <f>ROUND(IF(VLOOKUP($A165,EnrollData2324,'2324 Jun 24 Enroll'!E$1,FALSE)='District Calculations'!$D$12,VLOOKUP($A165,EnrollData2324,'2324 Jun 24 Enroll'!E$1,FALSE),'District Calculations'!$D$12)*C165,3)</f>
        <v>59.53</v>
      </c>
      <c r="F165">
        <f>ROUND(IF(VLOOKUP($A165,EnrollData2324,'2324 Jun 24 Enroll'!F$1,FALSE)='District Calculations'!$D$13,VLOOKUP($A165,EnrollData2324,'2324 Jun 24 Enroll'!F$1,FALSE),'District Calculations'!$D$13)*Apport_222A2324s,3)</f>
        <v>10.101000000000001</v>
      </c>
      <c r="G165">
        <f>ROUND(IF(VLOOKUP($A165,EnrollData2324,'2324 Jun 24 Enroll'!G$1,FALSE)='District Calculations'!$D$14,VLOOKUP($A165,EnrollData2324,'2324 Jun 24 Enroll'!G$1,FALSE),'District Calculations'!$D$14)*Apport_210A2324s,3)</f>
        <v>22.395</v>
      </c>
      <c r="H165">
        <f>ROUND(IF(VLOOKUP($A165,EnrollData2324,'2324 Jun 24 Enroll'!H$1,FALSE)='District Calculations'!$D$15,VLOOKUP($A165,EnrollData2324,'2324 Jun 24 Enroll'!H$1,FALSE),'District Calculations'!$D$15)*Apport_213A2324s,3)</f>
        <v>23.091999999999999</v>
      </c>
      <c r="I165">
        <f>ROUND(IF(VLOOKUP($A165,EnrollData2324,'2324 Jun 24 Enroll'!I$1,FALSE)+VLOOKUP($A165,EnrollData2324,'2324 Jun 24 Enroll'!M$1,FALSE)-VLOOKUP($A165,EnrollData2324,'2324 Jun 24 Enroll'!J$1,FALSE)='District Calculations'!$D$16+'District Calculations'!$D$25-'District Calculations'!$D$17,VLOOKUP($A165,EnrollData2324,'2324 Jun 24 Enroll'!I$1,FALSE)+VLOOKUP($A165,EnrollData2324,'2324 Jun 24 Enroll'!M$1,FALSE)-VLOOKUP($A165,EnrollData2324,'2324 Jun 24 Enroll'!J$1,FALSE),'District Calculations'!$D$16+'District Calculations'!$D$25-'District Calculations'!$D$17)*Apport_216A2324s,3)</f>
        <v>58.183999999999997</v>
      </c>
      <c r="J165">
        <f>ROUND(SUM(D165:I165)/(IF(VLOOKUP($A165,EnrollData2324,'2324 Jun 24 Enroll'!M$1,FALSE)='District Calculations'!$D$25,VLOOKUP($A165,EnrollData2324,'2324 Jun 24 Enroll'!M$1,FALSE),'District Calculations'!$D$25)+IF(VLOOKUP($A165,EnrollData2324,'2324 Jun 24 Enroll'!D$1,FALSE)='District Calculations'!$D$11,VLOOKUP($A165,EnrollData2324,'2324 Jun 24 Enroll'!D$1,FALSE),'District Calculations'!$D$11)),5)</f>
        <v>5.5530000000000003E-2</v>
      </c>
      <c r="K165" s="11">
        <f t="shared" si="17"/>
        <v>4.3699999999999998E-3</v>
      </c>
      <c r="L165">
        <f>ROUND(IF(VLOOKUP($A165,EnrollData2324,'2324 Jun 24 Enroll'!D$1,FALSE)='District Calculations'!$D$11,VLOOKUP($A165,EnrollData2324,'2324 Jun 24 Enroll'!D$1,FALSE),'District Calculations'!$D$11)*K165,3)</f>
        <v>0</v>
      </c>
      <c r="M165">
        <f>ROUND(IF(VLOOKUP($A165,EnrollData2324,'2324 Jun 24 Enroll'!E$1,FALSE)='District Calculations'!$D$12,VLOOKUP($A165,EnrollData2324,'2324 Jun 24 Enroll'!E$1,FALSE),'District Calculations'!$D$12)*K165,3)</f>
        <v>3.5419999999999998</v>
      </c>
      <c r="N165">
        <f>ROUND(IF(VLOOKUP($A165,EnrollData2324,'2324 Jun 24 Enroll'!F$1,FALSE)='District Calculations'!$D$13,VLOOKUP($A165,EnrollData2324,'2324 Jun 24 Enroll'!F$1,FALSE),'District Calculations'!$D$13)*Apport_223A2324s,3)</f>
        <v>0.84299999999999997</v>
      </c>
      <c r="O165">
        <f>ROUND(IF(VLOOKUP($A165,EnrollData2324,'2324 Jun 24 Enroll'!G$1,FALSE)='District Calculations'!$D$14,VLOOKUP($A165,EnrollData2324,'2324 Jun 24 Enroll'!G$1,FALSE),'District Calculations'!$D$14)*Apport_211A2324s,3)</f>
        <v>1.87</v>
      </c>
      <c r="P165">
        <f>ROUND(IF(VLOOKUP($A165,EnrollData2324,'2324 Jun 24 Enroll'!H$1,FALSE)='District Calculations'!$D$14,VLOOKUP($A165,EnrollData2324,'2324 Jun 24 Enroll'!H$1,FALSE),'District Calculations'!$D$14)*Apport_214A2324s,3)</f>
        <v>1.8680000000000001</v>
      </c>
      <c r="Q165">
        <f>ROUND(IF(VLOOKUP($A165,EnrollData2324,'2324 Jun 24 Enroll'!I$1,FALSE)+VLOOKUP($A165,EnrollData2324,'2324 Jun 24 Enroll'!M$1,FALSE)-VLOOKUP($A165,EnrollData2324,'2324 Jun 24 Enroll'!J$1,FALSE)='District Calculations'!$D$16+'District Calculations'!$D$25-'District Calculations'!$D$17,VLOOKUP($A165,EnrollData2324,'2324 Jun 24 Enroll'!I$1,FALSE)+VLOOKUP($A165,EnrollData2324,'2324 Jun 24 Enroll'!M$1,FALSE)-VLOOKUP($A165,EnrollData2324,'2324 Jun 24 Enroll'!J$1,FALSE),'District Calculations'!$D$16+'District Calculations'!$D$25-'District Calculations'!$D$17)*Apport_217A2324s,3)</f>
        <v>4.702</v>
      </c>
      <c r="R165">
        <f>ROUND(SUM(L165:Q165)/IF(VLOOKUP($A165,EnrollData2324,'2324 Jun 24 Enroll'!M$1,FALSE)+VLOOKUP($A165,EnrollData2324,'2324 Jun 24 Enroll'!D$1,FALSE)='District Calculations'!$D$25+'District Calculations'!$D$11,VLOOKUP($A165,EnrollData2324,'2324 Jun 24 Enroll'!M$1,FALSE)+VLOOKUP($A165,EnrollData2324,'2324 Jun 24 Enroll'!D$1,FALSE),'District Calculations'!$D$25+'District Calculations'!$D$11),5)</f>
        <v>4.1099999999999999E-3</v>
      </c>
      <c r="S165" s="11">
        <f t="shared" si="18"/>
        <v>1.8689600000000001E-2</v>
      </c>
      <c r="T165">
        <f>ROUND(IF(VLOOKUP($A165,EnrollData2324,'2324 Jun 24 Enroll'!D$1,FALSE)='District Calculations'!$D$11,VLOOKUP($A165,EnrollData2324,'2324 Jun 24 Enroll'!D$1,FALSE),'District Calculations'!$D$11)*S165,3)</f>
        <v>0</v>
      </c>
      <c r="U165">
        <f>ROUND(IF(VLOOKUP($A165,EnrollData2324,'2324 Jun 24 Enroll'!E$1,FALSE)='District Calculations'!$D$12,VLOOKUP($A165,EnrollData2324,'2324 Jun 24 Enroll'!E$1,FALSE),'District Calculations'!$D$12)*S165,3)</f>
        <v>15.148</v>
      </c>
      <c r="V165">
        <f>ROUND(IF(VLOOKUP($A165,EnrollData2324,'2324 Jun 24 Enroll'!F$1,FALSE)='District Calculations'!$D$13,VLOOKUP($A165,EnrollData2324,'2324 Jun 24 Enroll'!F$1,FALSE),'District Calculations'!$D$13)*Apport_224A2324s,3)</f>
        <v>3.7029999999999998</v>
      </c>
      <c r="W165">
        <f>ROUND(IF(VLOOKUP($A165,EnrollData2324,'2324 Jun 24 Enroll'!G$1,FALSE)='District Calculations'!$D$14,VLOOKUP($A165,EnrollData2324,'2324 Jun 24 Enroll'!G$1,FALSE),'District Calculations'!$D$14)*Apport_212A2324s,3)</f>
        <v>8.2089999999999996</v>
      </c>
      <c r="X165">
        <f>ROUND(IF(VLOOKUP($A165,EnrollData2324,'2324 Jun 24 Enroll'!H$1,FALSE)='District Calculations'!$D$14,VLOOKUP($A165,EnrollData2324,'2324 Jun 24 Enroll'!H$1,FALSE),'District Calculations'!$D$14)*Apport_215A2324s,3)</f>
        <v>8.0969999999999995</v>
      </c>
      <c r="Y165">
        <f>ROUND(IF(VLOOKUP($A165,EnrollData2324,'2324 Jun 24 Enroll'!I$1,FALSE)+VLOOKUP($A165,EnrollData2324,'2324 Jun 24 Enroll'!M$1,FALSE)-VLOOKUP($A165,EnrollData2324,'2324 Jun 24 Enroll'!J$1,FALSE)='District Calculations'!$D$16+'District Calculations'!$D$25-'District Calculations'!$D$17,VLOOKUP($A165,EnrollData2324,'2324 Jun 24 Enroll'!I$1,FALSE)+VLOOKUP($A165,EnrollData2324,'2324 Jun 24 Enroll'!M$1,FALSE)-VLOOKUP($A165,EnrollData2324,'2324 Jun 24 Enroll'!J$1,FALSE),'District Calculations'!$D$16+'District Calculations'!$D$25-'District Calculations'!$D$17)*Apport_218A2324s,3)</f>
        <v>20.224</v>
      </c>
      <c r="Z165">
        <f>ROUND(SUM(T165:Y165)/IF(VLOOKUP($A165,EnrollData2324,'2324 Jun 24 Enroll'!M$1,FALSE)+VLOOKUP($A165,EnrollData2324,'2324 Jun 24 Enroll'!D$1,FALSE)='District Calculations'!$D$25+'District Calculations'!$D$11,VLOOKUP($A165,EnrollData2324,'2324 Jun 24 Enroll'!M$1,FALSE)+VLOOKUP($A165,EnrollData2324,'2324 Jun 24 Enroll'!D$1,FALSE),'District Calculations'!$D$25+'District Calculations'!$D$11),5)</f>
        <v>1.7749999999999998E-2</v>
      </c>
      <c r="AA165" s="6" cm="1">
        <f t="array" ref="AA165">ROUND($J165*CIS_Base_Salary2324s*VLOOKUP($A165,EnrollData2324,'2324 Jun 24 Enroll'!S$1,FALSE),2)</f>
        <v>4038.59</v>
      </c>
      <c r="AB165" s="6" cm="1">
        <f t="array" ref="AB165">ROUND($J165*CIS_Inc_Salary2324s*(VLOOKUP($A165,EnrollData2324,'2324 Jun 24 Enroll'!T$1,FALSE)+VLOOKUP($A165,EnrollData2324,'2324 Jun 24 Enroll'!U$1,FALSE)),2)-AA165</f>
        <v>233.1899999999996</v>
      </c>
      <c r="AC165" s="6" cm="1">
        <f t="array" ref="AC165">ROUND($R165*CAS_Base_Salary2324s*VLOOKUP($A165,EnrollData2324,'2324 Jun 24 Enroll'!S$1,FALSE),2)</f>
        <v>443.7</v>
      </c>
      <c r="AD165" s="6" cm="1">
        <f t="array" ref="AD165">ROUND($R165*CAS_Inc_Salary2324s*VLOOKUP($A165,EnrollData2324,'2324 Jun 24 Enroll'!T$1,FALSE),2)-AC165</f>
        <v>16.410000000000025</v>
      </c>
      <c r="AE165" s="6" cm="1">
        <f t="array" ref="AE165">ROUND($Z165*CLS_Base_Salary2324s*VLOOKUP($A165,EnrollData2324,'2324 Jun 24 Enroll'!S$1,FALSE),2)</f>
        <v>926.07</v>
      </c>
      <c r="AF165" s="6" cm="1">
        <f t="array" ref="AF165">ROUND($Z165*CLS_Inc_Salary2324s*VLOOKUP($A165,EnrollData2324,'2324 Jun 24 Enroll'!T$1,FALSE),2)-AE165</f>
        <v>34.259999999999991</v>
      </c>
      <c r="AG165" cm="1">
        <f t="array" ref="AG165">ROUND(($J165+$R165)*Apport_124X2324s,2)</f>
        <v>734.29</v>
      </c>
      <c r="AH165" s="69">
        <f t="shared" si="19"/>
        <v>68.700000000000045</v>
      </c>
      <c r="AI165" cm="1">
        <f t="array" ref="AI165">ROUND($Z165*Apport_124X2324s,2)</f>
        <v>218.54</v>
      </c>
      <c r="AJ165" cm="1">
        <f t="array" ref="AJ165">ROUND($Z165*Apport_621X2324s*Apport_125X2324s,2)-AI165</f>
        <v>116.51000000000002</v>
      </c>
      <c r="AK165" cm="1">
        <f t="array" ref="AK165">ROUND((AA165+AC165)*Apport_126X2324s,2)</f>
        <v>805.47</v>
      </c>
      <c r="AL165" cm="1">
        <f t="array" ref="AL165">ROUND((AB165+AD165)*Apport_127X2324s,2)</f>
        <v>43.26</v>
      </c>
      <c r="AM165" cm="1">
        <f t="array" ref="AM165">ROUND(AE165*Apport_128X2324s,2)</f>
        <v>204.29</v>
      </c>
      <c r="AN165" cm="1">
        <f t="array" ref="AN165">ROUND(AF165*Apport_129X2324s,2)</f>
        <v>6.36</v>
      </c>
      <c r="AO165" cm="1">
        <f t="array" ref="AO165">ROUND(($J165*CIS_Inc_Salary2324s*(VLOOKUP($A165,EnrollData2324,'2324 Jun 24 Enroll'!T$1,FALSE)+VLOOKUP($A165,EnrollData2324,'2324 Jun 24 Enroll'!U$1,FALSE))/Apport_613Xpd)*Apport_614Xpd,2)</f>
        <v>71.2</v>
      </c>
      <c r="AP165" cm="1">
        <f t="array" ref="AP165">ROUND(AO165*Apport_127X2324s,2)</f>
        <v>12.34</v>
      </c>
      <c r="AQ165">
        <f t="shared" si="20"/>
        <v>30.93</v>
      </c>
      <c r="AR165" s="6" cm="1">
        <f t="array" ref="AR165">ROUND((VLOOKUP($A165,EnrollData2324,'2324 Jun 24 Enroll'!D$1,FALSE)*Apport_M802324s+VLOOKUP($A165,EnrollData2324,'2324 Jun 24 Enroll'!M$1,FALSE)*Apport_M802324s+(VLOOKUP($A165,EnrollData2324,'2324 Jun 24 Enroll'!P$1,FALSE)+VLOOKUP($A165,EnrollData2324,'2324 Jun 24 Enroll'!Q$1,FALSE)+VLOOKUP($A165,EnrollData2324,'2324 Jun 24 Enroll'!R$1,FALSE)+VLOOKUP($A165,EnrollData2324,'2324 Jun 24 Enroll'!I$1,FALSE)+VLOOKUP($A165,EnrollData2324,'2324 Jun 24 Enroll'!N$1,FALSE)+VLOOKUP($A165,EnrollData2324,'2324 Jun 24 Enroll'!O$1,FALSE)+VLOOKUP($A165,EnrollData2324,'2324 Jun 24 Enroll'!K$1,FALSE)+VLOOKUP($A165,EnrollData2324,'2324 Jun 24 Enroll'!L$1,FALSE))*Apport_M812324s)/(VLOOKUP($A165,EnrollData2324,'2324 Jun 24 Enroll'!M$1,FALSE)+VLOOKUP($A165,EnrollData2324,'2324 Jun 24 Enroll'!D$1,FALSE)),2)</f>
        <v>1569.68</v>
      </c>
      <c r="AS165" s="7">
        <f t="shared" si="16"/>
        <v>9573.7899999999991</v>
      </c>
    </row>
    <row r="166" spans="1:45">
      <c r="A166" s="40" t="s">
        <v>659</v>
      </c>
      <c r="B166" s="40" t="s">
        <v>660</v>
      </c>
      <c r="C166" s="11">
        <f>ROUND((IFERROR((1/IF(VLOOKUP($A166,EnrollData2324,28,FALSE)='District Calculations'!$D$10,VLOOKUP($A166,EnrollData2324,28,FALSE),'District Calculations'!$D$10))*(1+Apport_Z315),0))+Apport_201A2324s,6)</f>
        <v>7.3449E-2</v>
      </c>
      <c r="D166">
        <f>ROUND(IF(VLOOKUP($A166,EnrollData2324,'2324 Jun 24 Enroll'!D$1,FALSE)='District Calculations'!$D$11,VLOOKUP($A166,EnrollData2324,'2324 Jun 24 Enroll'!D$1,FALSE),'District Calculations'!$D$11)*C166,3)</f>
        <v>0</v>
      </c>
      <c r="E166">
        <f>ROUND(IF(VLOOKUP($A166,EnrollData2324,'2324 Jun 24 Enroll'!E$1,FALSE)='District Calculations'!$D$12,VLOOKUP($A166,EnrollData2324,'2324 Jun 24 Enroll'!E$1,FALSE),'District Calculations'!$D$12)*C166,3)</f>
        <v>59.53</v>
      </c>
      <c r="F166">
        <f>ROUND(IF(VLOOKUP($A166,EnrollData2324,'2324 Jun 24 Enroll'!F$1,FALSE)='District Calculations'!$D$13,VLOOKUP($A166,EnrollData2324,'2324 Jun 24 Enroll'!F$1,FALSE),'District Calculations'!$D$13)*Apport_222A2324s,3)</f>
        <v>10.101000000000001</v>
      </c>
      <c r="G166">
        <f>ROUND(IF(VLOOKUP($A166,EnrollData2324,'2324 Jun 24 Enroll'!G$1,FALSE)='District Calculations'!$D$14,VLOOKUP($A166,EnrollData2324,'2324 Jun 24 Enroll'!G$1,FALSE),'District Calculations'!$D$14)*Apport_210A2324s,3)</f>
        <v>22.395</v>
      </c>
      <c r="H166">
        <f>ROUND(IF(VLOOKUP($A166,EnrollData2324,'2324 Jun 24 Enroll'!H$1,FALSE)='District Calculations'!$D$15,VLOOKUP($A166,EnrollData2324,'2324 Jun 24 Enroll'!H$1,FALSE),'District Calculations'!$D$15)*Apport_213A2324s,3)</f>
        <v>23.091999999999999</v>
      </c>
      <c r="I166">
        <f>ROUND(IF(VLOOKUP($A166,EnrollData2324,'2324 Jun 24 Enroll'!I$1,FALSE)+VLOOKUP($A166,EnrollData2324,'2324 Jun 24 Enroll'!M$1,FALSE)-VLOOKUP($A166,EnrollData2324,'2324 Jun 24 Enroll'!J$1,FALSE)='District Calculations'!$D$16+'District Calculations'!$D$25-'District Calculations'!$D$17,VLOOKUP($A166,EnrollData2324,'2324 Jun 24 Enroll'!I$1,FALSE)+VLOOKUP($A166,EnrollData2324,'2324 Jun 24 Enroll'!M$1,FALSE)-VLOOKUP($A166,EnrollData2324,'2324 Jun 24 Enroll'!J$1,FALSE),'District Calculations'!$D$16+'District Calculations'!$D$25-'District Calculations'!$D$17)*Apport_216A2324s,3)</f>
        <v>58.183999999999997</v>
      </c>
      <c r="J166">
        <f>ROUND(SUM(D166:I166)/(IF(VLOOKUP($A166,EnrollData2324,'2324 Jun 24 Enroll'!M$1,FALSE)='District Calculations'!$D$25,VLOOKUP($A166,EnrollData2324,'2324 Jun 24 Enroll'!M$1,FALSE),'District Calculations'!$D$25)+IF(VLOOKUP($A166,EnrollData2324,'2324 Jun 24 Enroll'!D$1,FALSE)='District Calculations'!$D$11,VLOOKUP($A166,EnrollData2324,'2324 Jun 24 Enroll'!D$1,FALSE),'District Calculations'!$D$11)),5)</f>
        <v>5.5530000000000003E-2</v>
      </c>
      <c r="K166" s="11">
        <f t="shared" si="17"/>
        <v>4.3699999999999998E-3</v>
      </c>
      <c r="L166">
        <f>ROUND(IF(VLOOKUP($A166,EnrollData2324,'2324 Jun 24 Enroll'!D$1,FALSE)='District Calculations'!$D$11,VLOOKUP($A166,EnrollData2324,'2324 Jun 24 Enroll'!D$1,FALSE),'District Calculations'!$D$11)*K166,3)</f>
        <v>0</v>
      </c>
      <c r="M166">
        <f>ROUND(IF(VLOOKUP($A166,EnrollData2324,'2324 Jun 24 Enroll'!E$1,FALSE)='District Calculations'!$D$12,VLOOKUP($A166,EnrollData2324,'2324 Jun 24 Enroll'!E$1,FALSE),'District Calculations'!$D$12)*K166,3)</f>
        <v>3.5419999999999998</v>
      </c>
      <c r="N166">
        <f>ROUND(IF(VLOOKUP($A166,EnrollData2324,'2324 Jun 24 Enroll'!F$1,FALSE)='District Calculations'!$D$13,VLOOKUP($A166,EnrollData2324,'2324 Jun 24 Enroll'!F$1,FALSE),'District Calculations'!$D$13)*Apport_223A2324s,3)</f>
        <v>0.84299999999999997</v>
      </c>
      <c r="O166">
        <f>ROUND(IF(VLOOKUP($A166,EnrollData2324,'2324 Jun 24 Enroll'!G$1,FALSE)='District Calculations'!$D$14,VLOOKUP($A166,EnrollData2324,'2324 Jun 24 Enroll'!G$1,FALSE),'District Calculations'!$D$14)*Apport_211A2324s,3)</f>
        <v>1.87</v>
      </c>
      <c r="P166">
        <f>ROUND(IF(VLOOKUP($A166,EnrollData2324,'2324 Jun 24 Enroll'!H$1,FALSE)='District Calculations'!$D$14,VLOOKUP($A166,EnrollData2324,'2324 Jun 24 Enroll'!H$1,FALSE),'District Calculations'!$D$14)*Apport_214A2324s,3)</f>
        <v>1.8680000000000001</v>
      </c>
      <c r="Q166">
        <f>ROUND(IF(VLOOKUP($A166,EnrollData2324,'2324 Jun 24 Enroll'!I$1,FALSE)+VLOOKUP($A166,EnrollData2324,'2324 Jun 24 Enroll'!M$1,FALSE)-VLOOKUP($A166,EnrollData2324,'2324 Jun 24 Enroll'!J$1,FALSE)='District Calculations'!$D$16+'District Calculations'!$D$25-'District Calculations'!$D$17,VLOOKUP($A166,EnrollData2324,'2324 Jun 24 Enroll'!I$1,FALSE)+VLOOKUP($A166,EnrollData2324,'2324 Jun 24 Enroll'!M$1,FALSE)-VLOOKUP($A166,EnrollData2324,'2324 Jun 24 Enroll'!J$1,FALSE),'District Calculations'!$D$16+'District Calculations'!$D$25-'District Calculations'!$D$17)*Apport_217A2324s,3)</f>
        <v>4.702</v>
      </c>
      <c r="R166">
        <f>ROUND(SUM(L166:Q166)/IF(VLOOKUP($A166,EnrollData2324,'2324 Jun 24 Enroll'!M$1,FALSE)+VLOOKUP($A166,EnrollData2324,'2324 Jun 24 Enroll'!D$1,FALSE)='District Calculations'!$D$25+'District Calculations'!$D$11,VLOOKUP($A166,EnrollData2324,'2324 Jun 24 Enroll'!M$1,FALSE)+VLOOKUP($A166,EnrollData2324,'2324 Jun 24 Enroll'!D$1,FALSE),'District Calculations'!$D$25+'District Calculations'!$D$11),5)</f>
        <v>4.1099999999999999E-3</v>
      </c>
      <c r="S166" s="11">
        <f t="shared" si="18"/>
        <v>1.8689600000000001E-2</v>
      </c>
      <c r="T166">
        <f>ROUND(IF(VLOOKUP($A166,EnrollData2324,'2324 Jun 24 Enroll'!D$1,FALSE)='District Calculations'!$D$11,VLOOKUP($A166,EnrollData2324,'2324 Jun 24 Enroll'!D$1,FALSE),'District Calculations'!$D$11)*S166,3)</f>
        <v>0</v>
      </c>
      <c r="U166">
        <f>ROUND(IF(VLOOKUP($A166,EnrollData2324,'2324 Jun 24 Enroll'!E$1,FALSE)='District Calculations'!$D$12,VLOOKUP($A166,EnrollData2324,'2324 Jun 24 Enroll'!E$1,FALSE),'District Calculations'!$D$12)*S166,3)</f>
        <v>15.148</v>
      </c>
      <c r="V166">
        <f>ROUND(IF(VLOOKUP($A166,EnrollData2324,'2324 Jun 24 Enroll'!F$1,FALSE)='District Calculations'!$D$13,VLOOKUP($A166,EnrollData2324,'2324 Jun 24 Enroll'!F$1,FALSE),'District Calculations'!$D$13)*Apport_224A2324s,3)</f>
        <v>3.7029999999999998</v>
      </c>
      <c r="W166">
        <f>ROUND(IF(VLOOKUP($A166,EnrollData2324,'2324 Jun 24 Enroll'!G$1,FALSE)='District Calculations'!$D$14,VLOOKUP($A166,EnrollData2324,'2324 Jun 24 Enroll'!G$1,FALSE),'District Calculations'!$D$14)*Apport_212A2324s,3)</f>
        <v>8.2089999999999996</v>
      </c>
      <c r="X166">
        <f>ROUND(IF(VLOOKUP($A166,EnrollData2324,'2324 Jun 24 Enroll'!H$1,FALSE)='District Calculations'!$D$14,VLOOKUP($A166,EnrollData2324,'2324 Jun 24 Enroll'!H$1,FALSE),'District Calculations'!$D$14)*Apport_215A2324s,3)</f>
        <v>8.0969999999999995</v>
      </c>
      <c r="Y166">
        <f>ROUND(IF(VLOOKUP($A166,EnrollData2324,'2324 Jun 24 Enroll'!I$1,FALSE)+VLOOKUP($A166,EnrollData2324,'2324 Jun 24 Enroll'!M$1,FALSE)-VLOOKUP($A166,EnrollData2324,'2324 Jun 24 Enroll'!J$1,FALSE)='District Calculations'!$D$16+'District Calculations'!$D$25-'District Calculations'!$D$17,VLOOKUP($A166,EnrollData2324,'2324 Jun 24 Enroll'!I$1,FALSE)+VLOOKUP($A166,EnrollData2324,'2324 Jun 24 Enroll'!M$1,FALSE)-VLOOKUP($A166,EnrollData2324,'2324 Jun 24 Enroll'!J$1,FALSE),'District Calculations'!$D$16+'District Calculations'!$D$25-'District Calculations'!$D$17)*Apport_218A2324s,3)</f>
        <v>20.224</v>
      </c>
      <c r="Z166">
        <f>ROUND(SUM(T166:Y166)/IF(VLOOKUP($A166,EnrollData2324,'2324 Jun 24 Enroll'!M$1,FALSE)+VLOOKUP($A166,EnrollData2324,'2324 Jun 24 Enroll'!D$1,FALSE)='District Calculations'!$D$25+'District Calculations'!$D$11,VLOOKUP($A166,EnrollData2324,'2324 Jun 24 Enroll'!M$1,FALSE)+VLOOKUP($A166,EnrollData2324,'2324 Jun 24 Enroll'!D$1,FALSE),'District Calculations'!$D$25+'District Calculations'!$D$11),5)</f>
        <v>1.7749999999999998E-2</v>
      </c>
      <c r="AA166" s="6" cm="1">
        <f t="array" ref="AA166">ROUND($J166*CIS_Base_Salary2324s*VLOOKUP($A166,EnrollData2324,'2324 Jun 24 Enroll'!S$1,FALSE),2)</f>
        <v>4038.59</v>
      </c>
      <c r="AB166" s="6" cm="1">
        <f t="array" ref="AB166">ROUND($J166*CIS_Inc_Salary2324s*(VLOOKUP($A166,EnrollData2324,'2324 Jun 24 Enroll'!T$1,FALSE)+VLOOKUP($A166,EnrollData2324,'2324 Jun 24 Enroll'!U$1,FALSE)),2)-AA166</f>
        <v>149.43000000000029</v>
      </c>
      <c r="AC166" s="6" cm="1">
        <f t="array" ref="AC166">ROUND($R166*CAS_Base_Salary2324s*VLOOKUP($A166,EnrollData2324,'2324 Jun 24 Enroll'!S$1,FALSE),2)</f>
        <v>443.7</v>
      </c>
      <c r="AD166" s="6" cm="1">
        <f t="array" ref="AD166">ROUND($R166*CAS_Inc_Salary2324s*VLOOKUP($A166,EnrollData2324,'2324 Jun 24 Enroll'!T$1,FALSE),2)-AC166</f>
        <v>16.410000000000025</v>
      </c>
      <c r="AE166" s="6" cm="1">
        <f t="array" ref="AE166">ROUND($Z166*CLS_Base_Salary2324s*VLOOKUP($A166,EnrollData2324,'2324 Jun 24 Enroll'!S$1,FALSE),2)</f>
        <v>926.07</v>
      </c>
      <c r="AF166" s="6" cm="1">
        <f t="array" ref="AF166">ROUND($Z166*CLS_Inc_Salary2324s*VLOOKUP($A166,EnrollData2324,'2324 Jun 24 Enroll'!T$1,FALSE),2)-AE166</f>
        <v>34.259999999999991</v>
      </c>
      <c r="AG166" cm="1">
        <f t="array" ref="AG166">ROUND(($J166+$R166)*Apport_124X2324s,2)</f>
        <v>734.29</v>
      </c>
      <c r="AH166" s="69">
        <f t="shared" si="19"/>
        <v>68.700000000000045</v>
      </c>
      <c r="AI166" cm="1">
        <f t="array" ref="AI166">ROUND($Z166*Apport_124X2324s,2)</f>
        <v>218.54</v>
      </c>
      <c r="AJ166" cm="1">
        <f t="array" ref="AJ166">ROUND($Z166*Apport_621X2324s*Apport_125X2324s,2)-AI166</f>
        <v>116.51000000000002</v>
      </c>
      <c r="AK166" cm="1">
        <f t="array" ref="AK166">ROUND((AA166+AC166)*Apport_126X2324s,2)</f>
        <v>805.47</v>
      </c>
      <c r="AL166" cm="1">
        <f t="array" ref="AL166">ROUND((AB166+AD166)*Apport_127X2324s,2)</f>
        <v>28.74</v>
      </c>
      <c r="AM166" cm="1">
        <f t="array" ref="AM166">ROUND(AE166*Apport_128X2324s,2)</f>
        <v>204.29</v>
      </c>
      <c r="AN166" cm="1">
        <f t="array" ref="AN166">ROUND(AF166*Apport_129X2324s,2)</f>
        <v>6.36</v>
      </c>
      <c r="AO166" cm="1">
        <f t="array" ref="AO166">ROUND(($J166*CIS_Inc_Salary2324s*(VLOOKUP($A166,EnrollData2324,'2324 Jun 24 Enroll'!T$1,FALSE)+VLOOKUP($A166,EnrollData2324,'2324 Jun 24 Enroll'!U$1,FALSE))/Apport_613Xpd)*Apport_614Xpd,2)</f>
        <v>69.8</v>
      </c>
      <c r="AP166" cm="1">
        <f t="array" ref="AP166">ROUND(AO166*Apport_127X2324s,2)</f>
        <v>12.1</v>
      </c>
      <c r="AQ166">
        <f t="shared" si="20"/>
        <v>30.93</v>
      </c>
      <c r="AR166" s="6" cm="1">
        <f t="array" ref="AR166">ROUND((VLOOKUP($A166,EnrollData2324,'2324 Jun 24 Enroll'!D$1,FALSE)*Apport_M802324s+VLOOKUP($A166,EnrollData2324,'2324 Jun 24 Enroll'!M$1,FALSE)*Apport_M802324s+(VLOOKUP($A166,EnrollData2324,'2324 Jun 24 Enroll'!P$1,FALSE)+VLOOKUP($A166,EnrollData2324,'2324 Jun 24 Enroll'!Q$1,FALSE)+VLOOKUP($A166,EnrollData2324,'2324 Jun 24 Enroll'!R$1,FALSE)+VLOOKUP($A166,EnrollData2324,'2324 Jun 24 Enroll'!I$1,FALSE)+VLOOKUP($A166,EnrollData2324,'2324 Jun 24 Enroll'!N$1,FALSE)+VLOOKUP($A166,EnrollData2324,'2324 Jun 24 Enroll'!O$1,FALSE)+VLOOKUP($A166,EnrollData2324,'2324 Jun 24 Enroll'!K$1,FALSE)+VLOOKUP($A166,EnrollData2324,'2324 Jun 24 Enroll'!L$1,FALSE))*Apport_M812324s)/(VLOOKUP($A166,EnrollData2324,'2324 Jun 24 Enroll'!M$1,FALSE)+VLOOKUP($A166,EnrollData2324,'2324 Jun 24 Enroll'!D$1,FALSE)),2)</f>
        <v>1566.42</v>
      </c>
      <c r="AS166" s="7">
        <f t="shared" ref="AS166:AS230" si="21">SUM(AA166:AR166)</f>
        <v>9470.61</v>
      </c>
    </row>
    <row r="167" spans="1:45">
      <c r="A167" s="40" t="s">
        <v>687</v>
      </c>
      <c r="B167" s="40" t="s">
        <v>688</v>
      </c>
      <c r="C167" s="11">
        <f>ROUND((IFERROR((1/IF(VLOOKUP($A167,EnrollData2324,28,FALSE)='District Calculations'!$D$10,VLOOKUP($A167,EnrollData2324,28,FALSE),'District Calculations'!$D$10))*(1+Apport_Z315),0))+Apport_201A2324s,6)</f>
        <v>7.3449E-2</v>
      </c>
      <c r="D167">
        <f>ROUND(IF(VLOOKUP($A167,EnrollData2324,'2324 Jun 24 Enroll'!D$1,FALSE)='District Calculations'!$D$11,VLOOKUP($A167,EnrollData2324,'2324 Jun 24 Enroll'!D$1,FALSE),'District Calculations'!$D$11)*C167,3)</f>
        <v>0</v>
      </c>
      <c r="E167">
        <f>ROUND(IF(VLOOKUP($A167,EnrollData2324,'2324 Jun 24 Enroll'!E$1,FALSE)='District Calculations'!$D$12,VLOOKUP($A167,EnrollData2324,'2324 Jun 24 Enroll'!E$1,FALSE),'District Calculations'!$D$12)*C167,3)</f>
        <v>59.53</v>
      </c>
      <c r="F167">
        <f>ROUND(IF(VLOOKUP($A167,EnrollData2324,'2324 Jun 24 Enroll'!F$1,FALSE)='District Calculations'!$D$13,VLOOKUP($A167,EnrollData2324,'2324 Jun 24 Enroll'!F$1,FALSE),'District Calculations'!$D$13)*Apport_222A2324s,3)</f>
        <v>10.101000000000001</v>
      </c>
      <c r="G167">
        <f>ROUND(IF(VLOOKUP($A167,EnrollData2324,'2324 Jun 24 Enroll'!G$1,FALSE)='District Calculations'!$D$14,VLOOKUP($A167,EnrollData2324,'2324 Jun 24 Enroll'!G$1,FALSE),'District Calculations'!$D$14)*Apport_210A2324s,3)</f>
        <v>22.395</v>
      </c>
      <c r="H167">
        <f>ROUND(IF(VLOOKUP($A167,EnrollData2324,'2324 Jun 24 Enroll'!H$1,FALSE)='District Calculations'!$D$15,VLOOKUP($A167,EnrollData2324,'2324 Jun 24 Enroll'!H$1,FALSE),'District Calculations'!$D$15)*Apport_213A2324s,3)</f>
        <v>23.091999999999999</v>
      </c>
      <c r="I167">
        <f>ROUND(IF(VLOOKUP($A167,EnrollData2324,'2324 Jun 24 Enroll'!I$1,FALSE)+VLOOKUP($A167,EnrollData2324,'2324 Jun 24 Enroll'!M$1,FALSE)-VLOOKUP($A167,EnrollData2324,'2324 Jun 24 Enroll'!J$1,FALSE)='District Calculations'!$D$16+'District Calculations'!$D$25-'District Calculations'!$D$17,VLOOKUP($A167,EnrollData2324,'2324 Jun 24 Enroll'!I$1,FALSE)+VLOOKUP($A167,EnrollData2324,'2324 Jun 24 Enroll'!M$1,FALSE)-VLOOKUP($A167,EnrollData2324,'2324 Jun 24 Enroll'!J$1,FALSE),'District Calculations'!$D$16+'District Calculations'!$D$25-'District Calculations'!$D$17)*Apport_216A2324s,3)</f>
        <v>58.183999999999997</v>
      </c>
      <c r="J167">
        <f>ROUND(SUM(D167:I167)/(IF(VLOOKUP($A167,EnrollData2324,'2324 Jun 24 Enroll'!M$1,FALSE)='District Calculations'!$D$25,VLOOKUP($A167,EnrollData2324,'2324 Jun 24 Enroll'!M$1,FALSE),'District Calculations'!$D$25)+IF(VLOOKUP($A167,EnrollData2324,'2324 Jun 24 Enroll'!D$1,FALSE)='District Calculations'!$D$11,VLOOKUP($A167,EnrollData2324,'2324 Jun 24 Enroll'!D$1,FALSE),'District Calculations'!$D$11)),5)</f>
        <v>5.5530000000000003E-2</v>
      </c>
      <c r="K167" s="11">
        <f t="shared" si="17"/>
        <v>4.3699999999999998E-3</v>
      </c>
      <c r="L167">
        <f>ROUND(IF(VLOOKUP($A167,EnrollData2324,'2324 Jun 24 Enroll'!D$1,FALSE)='District Calculations'!$D$11,VLOOKUP($A167,EnrollData2324,'2324 Jun 24 Enroll'!D$1,FALSE),'District Calculations'!$D$11)*K167,3)</f>
        <v>0</v>
      </c>
      <c r="M167">
        <f>ROUND(IF(VLOOKUP($A167,EnrollData2324,'2324 Jun 24 Enroll'!E$1,FALSE)='District Calculations'!$D$12,VLOOKUP($A167,EnrollData2324,'2324 Jun 24 Enroll'!E$1,FALSE),'District Calculations'!$D$12)*K167,3)</f>
        <v>3.5419999999999998</v>
      </c>
      <c r="N167">
        <f>ROUND(IF(VLOOKUP($A167,EnrollData2324,'2324 Jun 24 Enroll'!F$1,FALSE)='District Calculations'!$D$13,VLOOKUP($A167,EnrollData2324,'2324 Jun 24 Enroll'!F$1,FALSE),'District Calculations'!$D$13)*Apport_223A2324s,3)</f>
        <v>0.84299999999999997</v>
      </c>
      <c r="O167">
        <f>ROUND(IF(VLOOKUP($A167,EnrollData2324,'2324 Jun 24 Enroll'!G$1,FALSE)='District Calculations'!$D$14,VLOOKUP($A167,EnrollData2324,'2324 Jun 24 Enroll'!G$1,FALSE),'District Calculations'!$D$14)*Apport_211A2324s,3)</f>
        <v>1.87</v>
      </c>
      <c r="P167">
        <f>ROUND(IF(VLOOKUP($A167,EnrollData2324,'2324 Jun 24 Enroll'!H$1,FALSE)='District Calculations'!$D$14,VLOOKUP($A167,EnrollData2324,'2324 Jun 24 Enroll'!H$1,FALSE),'District Calculations'!$D$14)*Apport_214A2324s,3)</f>
        <v>1.8680000000000001</v>
      </c>
      <c r="Q167">
        <f>ROUND(IF(VLOOKUP($A167,EnrollData2324,'2324 Jun 24 Enroll'!I$1,FALSE)+VLOOKUP($A167,EnrollData2324,'2324 Jun 24 Enroll'!M$1,FALSE)-VLOOKUP($A167,EnrollData2324,'2324 Jun 24 Enroll'!J$1,FALSE)='District Calculations'!$D$16+'District Calculations'!$D$25-'District Calculations'!$D$17,VLOOKUP($A167,EnrollData2324,'2324 Jun 24 Enroll'!I$1,FALSE)+VLOOKUP($A167,EnrollData2324,'2324 Jun 24 Enroll'!M$1,FALSE)-VLOOKUP($A167,EnrollData2324,'2324 Jun 24 Enroll'!J$1,FALSE),'District Calculations'!$D$16+'District Calculations'!$D$25-'District Calculations'!$D$17)*Apport_217A2324s,3)</f>
        <v>4.702</v>
      </c>
      <c r="R167">
        <f>ROUND(SUM(L167:Q167)/IF(VLOOKUP($A167,EnrollData2324,'2324 Jun 24 Enroll'!M$1,FALSE)+VLOOKUP($A167,EnrollData2324,'2324 Jun 24 Enroll'!D$1,FALSE)='District Calculations'!$D$25+'District Calculations'!$D$11,VLOOKUP($A167,EnrollData2324,'2324 Jun 24 Enroll'!M$1,FALSE)+VLOOKUP($A167,EnrollData2324,'2324 Jun 24 Enroll'!D$1,FALSE),'District Calculations'!$D$25+'District Calculations'!$D$11),5)</f>
        <v>4.1099999999999999E-3</v>
      </c>
      <c r="S167" s="11">
        <f t="shared" si="18"/>
        <v>1.8689600000000001E-2</v>
      </c>
      <c r="T167">
        <f>ROUND(IF(VLOOKUP($A167,EnrollData2324,'2324 Jun 24 Enroll'!D$1,FALSE)='District Calculations'!$D$11,VLOOKUP($A167,EnrollData2324,'2324 Jun 24 Enroll'!D$1,FALSE),'District Calculations'!$D$11)*S167,3)</f>
        <v>0</v>
      </c>
      <c r="U167">
        <f>ROUND(IF(VLOOKUP($A167,EnrollData2324,'2324 Jun 24 Enroll'!E$1,FALSE)='District Calculations'!$D$12,VLOOKUP($A167,EnrollData2324,'2324 Jun 24 Enroll'!E$1,FALSE),'District Calculations'!$D$12)*S167,3)</f>
        <v>15.148</v>
      </c>
      <c r="V167">
        <f>ROUND(IF(VLOOKUP($A167,EnrollData2324,'2324 Jun 24 Enroll'!F$1,FALSE)='District Calculations'!$D$13,VLOOKUP($A167,EnrollData2324,'2324 Jun 24 Enroll'!F$1,FALSE),'District Calculations'!$D$13)*Apport_224A2324s,3)</f>
        <v>3.7029999999999998</v>
      </c>
      <c r="W167">
        <f>ROUND(IF(VLOOKUP($A167,EnrollData2324,'2324 Jun 24 Enroll'!G$1,FALSE)='District Calculations'!$D$14,VLOOKUP($A167,EnrollData2324,'2324 Jun 24 Enroll'!G$1,FALSE),'District Calculations'!$D$14)*Apport_212A2324s,3)</f>
        <v>8.2089999999999996</v>
      </c>
      <c r="X167">
        <f>ROUND(IF(VLOOKUP($A167,EnrollData2324,'2324 Jun 24 Enroll'!H$1,FALSE)='District Calculations'!$D$14,VLOOKUP($A167,EnrollData2324,'2324 Jun 24 Enroll'!H$1,FALSE),'District Calculations'!$D$14)*Apport_215A2324s,3)</f>
        <v>8.0969999999999995</v>
      </c>
      <c r="Y167">
        <f>ROUND(IF(VLOOKUP($A167,EnrollData2324,'2324 Jun 24 Enroll'!I$1,FALSE)+VLOOKUP($A167,EnrollData2324,'2324 Jun 24 Enroll'!M$1,FALSE)-VLOOKUP($A167,EnrollData2324,'2324 Jun 24 Enroll'!J$1,FALSE)='District Calculations'!$D$16+'District Calculations'!$D$25-'District Calculations'!$D$17,VLOOKUP($A167,EnrollData2324,'2324 Jun 24 Enroll'!I$1,FALSE)+VLOOKUP($A167,EnrollData2324,'2324 Jun 24 Enroll'!M$1,FALSE)-VLOOKUP($A167,EnrollData2324,'2324 Jun 24 Enroll'!J$1,FALSE),'District Calculations'!$D$16+'District Calculations'!$D$25-'District Calculations'!$D$17)*Apport_218A2324s,3)</f>
        <v>20.224</v>
      </c>
      <c r="Z167">
        <f>ROUND(SUM(T167:Y167)/IF(VLOOKUP($A167,EnrollData2324,'2324 Jun 24 Enroll'!M$1,FALSE)+VLOOKUP($A167,EnrollData2324,'2324 Jun 24 Enroll'!D$1,FALSE)='District Calculations'!$D$25+'District Calculations'!$D$11,VLOOKUP($A167,EnrollData2324,'2324 Jun 24 Enroll'!M$1,FALSE)+VLOOKUP($A167,EnrollData2324,'2324 Jun 24 Enroll'!D$1,FALSE),'District Calculations'!$D$25+'District Calculations'!$D$11),5)</f>
        <v>1.7749999999999998E-2</v>
      </c>
      <c r="AA167" s="6" cm="1">
        <f t="array" ref="AA167">ROUND($J167*CIS_Base_Salary2324s*VLOOKUP($A167,EnrollData2324,'2324 Jun 24 Enroll'!S$1,FALSE),2)</f>
        <v>4038.59</v>
      </c>
      <c r="AB167" s="6" cm="1">
        <f t="array" ref="AB167">ROUND($J167*CIS_Inc_Salary2324s*(VLOOKUP($A167,EnrollData2324,'2324 Jun 24 Enroll'!T$1,FALSE)+VLOOKUP($A167,EnrollData2324,'2324 Jun 24 Enroll'!U$1,FALSE)),2)-AA167</f>
        <v>316.94999999999982</v>
      </c>
      <c r="AC167" s="6" cm="1">
        <f t="array" ref="AC167">ROUND($R167*CAS_Base_Salary2324s*VLOOKUP($A167,EnrollData2324,'2324 Jun 24 Enroll'!S$1,FALSE),2)</f>
        <v>443.7</v>
      </c>
      <c r="AD167" s="6" cm="1">
        <f t="array" ref="AD167">ROUND($R167*CAS_Inc_Salary2324s*VLOOKUP($A167,EnrollData2324,'2324 Jun 24 Enroll'!T$1,FALSE),2)-AC167</f>
        <v>16.410000000000025</v>
      </c>
      <c r="AE167" s="6" cm="1">
        <f t="array" ref="AE167">ROUND($Z167*CLS_Base_Salary2324s*VLOOKUP($A167,EnrollData2324,'2324 Jun 24 Enroll'!S$1,FALSE),2)</f>
        <v>926.07</v>
      </c>
      <c r="AF167" s="6" cm="1">
        <f t="array" ref="AF167">ROUND($Z167*CLS_Inc_Salary2324s*VLOOKUP($A167,EnrollData2324,'2324 Jun 24 Enroll'!T$1,FALSE),2)-AE167</f>
        <v>34.259999999999991</v>
      </c>
      <c r="AG167" cm="1">
        <f t="array" ref="AG167">ROUND(($J167+$R167)*Apport_124X2324s,2)</f>
        <v>734.29</v>
      </c>
      <c r="AH167" s="69">
        <f t="shared" si="19"/>
        <v>68.700000000000045</v>
      </c>
      <c r="AI167" cm="1">
        <f t="array" ref="AI167">ROUND($Z167*Apport_124X2324s,2)</f>
        <v>218.54</v>
      </c>
      <c r="AJ167" cm="1">
        <f t="array" ref="AJ167">ROUND($Z167*Apport_621X2324s*Apport_125X2324s,2)-AI167</f>
        <v>116.51000000000002</v>
      </c>
      <c r="AK167" cm="1">
        <f t="array" ref="AK167">ROUND((AA167+AC167)*Apport_126X2324s,2)</f>
        <v>805.47</v>
      </c>
      <c r="AL167" cm="1">
        <f t="array" ref="AL167">ROUND((AB167+AD167)*Apport_127X2324s,2)</f>
        <v>57.77</v>
      </c>
      <c r="AM167" cm="1">
        <f t="array" ref="AM167">ROUND(AE167*Apport_128X2324s,2)</f>
        <v>204.29</v>
      </c>
      <c r="AN167" cm="1">
        <f t="array" ref="AN167">ROUND(AF167*Apport_129X2324s,2)</f>
        <v>6.36</v>
      </c>
      <c r="AO167" cm="1">
        <f t="array" ref="AO167">ROUND(($J167*CIS_Inc_Salary2324s*(VLOOKUP($A167,EnrollData2324,'2324 Jun 24 Enroll'!T$1,FALSE)+VLOOKUP($A167,EnrollData2324,'2324 Jun 24 Enroll'!U$1,FALSE))/Apport_613Xpd)*Apport_614Xpd,2)</f>
        <v>72.59</v>
      </c>
      <c r="AP167" cm="1">
        <f t="array" ref="AP167">ROUND(AO167*Apport_127X2324s,2)</f>
        <v>12.58</v>
      </c>
      <c r="AQ167">
        <f t="shared" si="20"/>
        <v>30.93</v>
      </c>
      <c r="AR167" s="6" cm="1">
        <f t="array" ref="AR167">ROUND((VLOOKUP($A167,EnrollData2324,'2324 Jun 24 Enroll'!D$1,FALSE)*Apport_M802324s+VLOOKUP($A167,EnrollData2324,'2324 Jun 24 Enroll'!M$1,FALSE)*Apport_M802324s+(VLOOKUP($A167,EnrollData2324,'2324 Jun 24 Enroll'!P$1,FALSE)+VLOOKUP($A167,EnrollData2324,'2324 Jun 24 Enroll'!Q$1,FALSE)+VLOOKUP($A167,EnrollData2324,'2324 Jun 24 Enroll'!R$1,FALSE)+VLOOKUP($A167,EnrollData2324,'2324 Jun 24 Enroll'!I$1,FALSE)+VLOOKUP($A167,EnrollData2324,'2324 Jun 24 Enroll'!N$1,FALSE)+VLOOKUP($A167,EnrollData2324,'2324 Jun 24 Enroll'!O$1,FALSE)+VLOOKUP($A167,EnrollData2324,'2324 Jun 24 Enroll'!K$1,FALSE)+VLOOKUP($A167,EnrollData2324,'2324 Jun 24 Enroll'!L$1,FALSE))*Apport_M812324s)/(VLOOKUP($A167,EnrollData2324,'2324 Jun 24 Enroll'!M$1,FALSE)+VLOOKUP($A167,EnrollData2324,'2324 Jun 24 Enroll'!D$1,FALSE)),2)</f>
        <v>1560.04</v>
      </c>
      <c r="AS167" s="7">
        <f t="shared" si="21"/>
        <v>9664.0499999999993</v>
      </c>
    </row>
    <row r="168" spans="1:45">
      <c r="A168" s="40" t="s">
        <v>376</v>
      </c>
      <c r="B168" s="40" t="s">
        <v>377</v>
      </c>
      <c r="C168" s="11">
        <f>ROUND((IFERROR((1/IF(VLOOKUP($A168,EnrollData2324,28,FALSE)='District Calculations'!$D$10,VLOOKUP($A168,EnrollData2324,28,FALSE),'District Calculations'!$D$10))*(1+Apport_Z315),0))+Apport_201A2324s,6)</f>
        <v>7.3449E-2</v>
      </c>
      <c r="D168">
        <f>ROUND(IF(VLOOKUP($A168,EnrollData2324,'2324 Jun 24 Enroll'!D$1,FALSE)='District Calculations'!$D$11,VLOOKUP($A168,EnrollData2324,'2324 Jun 24 Enroll'!D$1,FALSE),'District Calculations'!$D$11)*C168,3)</f>
        <v>0</v>
      </c>
      <c r="E168">
        <f>ROUND(IF(VLOOKUP($A168,EnrollData2324,'2324 Jun 24 Enroll'!E$1,FALSE)='District Calculations'!$D$12,VLOOKUP($A168,EnrollData2324,'2324 Jun 24 Enroll'!E$1,FALSE),'District Calculations'!$D$12)*C168,3)</f>
        <v>59.53</v>
      </c>
      <c r="F168">
        <f>ROUND(IF(VLOOKUP($A168,EnrollData2324,'2324 Jun 24 Enroll'!F$1,FALSE)='District Calculations'!$D$13,VLOOKUP($A168,EnrollData2324,'2324 Jun 24 Enroll'!F$1,FALSE),'District Calculations'!$D$13)*Apport_222A2324s,3)</f>
        <v>10.101000000000001</v>
      </c>
      <c r="G168">
        <f>ROUND(IF(VLOOKUP($A168,EnrollData2324,'2324 Jun 24 Enroll'!G$1,FALSE)='District Calculations'!$D$14,VLOOKUP($A168,EnrollData2324,'2324 Jun 24 Enroll'!G$1,FALSE),'District Calculations'!$D$14)*Apport_210A2324s,3)</f>
        <v>22.395</v>
      </c>
      <c r="H168">
        <f>ROUND(IF(VLOOKUP($A168,EnrollData2324,'2324 Jun 24 Enroll'!H$1,FALSE)='District Calculations'!$D$15,VLOOKUP($A168,EnrollData2324,'2324 Jun 24 Enroll'!H$1,FALSE),'District Calculations'!$D$15)*Apport_213A2324s,3)</f>
        <v>23.091999999999999</v>
      </c>
      <c r="I168">
        <f>ROUND(IF(VLOOKUP($A168,EnrollData2324,'2324 Jun 24 Enroll'!I$1,FALSE)+VLOOKUP($A168,EnrollData2324,'2324 Jun 24 Enroll'!M$1,FALSE)-VLOOKUP($A168,EnrollData2324,'2324 Jun 24 Enroll'!J$1,FALSE)='District Calculations'!$D$16+'District Calculations'!$D$25-'District Calculations'!$D$17,VLOOKUP($A168,EnrollData2324,'2324 Jun 24 Enroll'!I$1,FALSE)+VLOOKUP($A168,EnrollData2324,'2324 Jun 24 Enroll'!M$1,FALSE)-VLOOKUP($A168,EnrollData2324,'2324 Jun 24 Enroll'!J$1,FALSE),'District Calculations'!$D$16+'District Calculations'!$D$25-'District Calculations'!$D$17)*Apport_216A2324s,3)</f>
        <v>58.183999999999997</v>
      </c>
      <c r="J168">
        <f>ROUND(SUM(D168:I168)/(IF(VLOOKUP($A168,EnrollData2324,'2324 Jun 24 Enroll'!M$1,FALSE)='District Calculations'!$D$25,VLOOKUP($A168,EnrollData2324,'2324 Jun 24 Enroll'!M$1,FALSE),'District Calculations'!$D$25)+IF(VLOOKUP($A168,EnrollData2324,'2324 Jun 24 Enroll'!D$1,FALSE)='District Calculations'!$D$11,VLOOKUP($A168,EnrollData2324,'2324 Jun 24 Enroll'!D$1,FALSE),'District Calculations'!$D$11)),5)</f>
        <v>5.5530000000000003E-2</v>
      </c>
      <c r="K168" s="11">
        <f t="shared" si="17"/>
        <v>4.3699999999999998E-3</v>
      </c>
      <c r="L168">
        <f>ROUND(IF(VLOOKUP($A168,EnrollData2324,'2324 Jun 24 Enroll'!D$1,FALSE)='District Calculations'!$D$11,VLOOKUP($A168,EnrollData2324,'2324 Jun 24 Enroll'!D$1,FALSE),'District Calculations'!$D$11)*K168,3)</f>
        <v>0</v>
      </c>
      <c r="M168">
        <f>ROUND(IF(VLOOKUP($A168,EnrollData2324,'2324 Jun 24 Enroll'!E$1,FALSE)='District Calculations'!$D$12,VLOOKUP($A168,EnrollData2324,'2324 Jun 24 Enroll'!E$1,FALSE),'District Calculations'!$D$12)*K168,3)</f>
        <v>3.5419999999999998</v>
      </c>
      <c r="N168">
        <f>ROUND(IF(VLOOKUP($A168,EnrollData2324,'2324 Jun 24 Enroll'!F$1,FALSE)='District Calculations'!$D$13,VLOOKUP($A168,EnrollData2324,'2324 Jun 24 Enroll'!F$1,FALSE),'District Calculations'!$D$13)*Apport_223A2324s,3)</f>
        <v>0.84299999999999997</v>
      </c>
      <c r="O168">
        <f>ROUND(IF(VLOOKUP($A168,EnrollData2324,'2324 Jun 24 Enroll'!G$1,FALSE)='District Calculations'!$D$14,VLOOKUP($A168,EnrollData2324,'2324 Jun 24 Enroll'!G$1,FALSE),'District Calculations'!$D$14)*Apport_211A2324s,3)</f>
        <v>1.87</v>
      </c>
      <c r="P168">
        <f>ROUND(IF(VLOOKUP($A168,EnrollData2324,'2324 Jun 24 Enroll'!H$1,FALSE)='District Calculations'!$D$14,VLOOKUP($A168,EnrollData2324,'2324 Jun 24 Enroll'!H$1,FALSE),'District Calculations'!$D$14)*Apport_214A2324s,3)</f>
        <v>1.8680000000000001</v>
      </c>
      <c r="Q168">
        <f>ROUND(IF(VLOOKUP($A168,EnrollData2324,'2324 Jun 24 Enroll'!I$1,FALSE)+VLOOKUP($A168,EnrollData2324,'2324 Jun 24 Enroll'!M$1,FALSE)-VLOOKUP($A168,EnrollData2324,'2324 Jun 24 Enroll'!J$1,FALSE)='District Calculations'!$D$16+'District Calculations'!$D$25-'District Calculations'!$D$17,VLOOKUP($A168,EnrollData2324,'2324 Jun 24 Enroll'!I$1,FALSE)+VLOOKUP($A168,EnrollData2324,'2324 Jun 24 Enroll'!M$1,FALSE)-VLOOKUP($A168,EnrollData2324,'2324 Jun 24 Enroll'!J$1,FALSE),'District Calculations'!$D$16+'District Calculations'!$D$25-'District Calculations'!$D$17)*Apport_217A2324s,3)</f>
        <v>4.702</v>
      </c>
      <c r="R168">
        <f>ROUND(SUM(L168:Q168)/IF(VLOOKUP($A168,EnrollData2324,'2324 Jun 24 Enroll'!M$1,FALSE)+VLOOKUP($A168,EnrollData2324,'2324 Jun 24 Enroll'!D$1,FALSE)='District Calculations'!$D$25+'District Calculations'!$D$11,VLOOKUP($A168,EnrollData2324,'2324 Jun 24 Enroll'!M$1,FALSE)+VLOOKUP($A168,EnrollData2324,'2324 Jun 24 Enroll'!D$1,FALSE),'District Calculations'!$D$25+'District Calculations'!$D$11),5)</f>
        <v>4.1099999999999999E-3</v>
      </c>
      <c r="S168" s="11">
        <f t="shared" si="18"/>
        <v>1.8689600000000001E-2</v>
      </c>
      <c r="T168">
        <f>ROUND(IF(VLOOKUP($A168,EnrollData2324,'2324 Jun 24 Enroll'!D$1,FALSE)='District Calculations'!$D$11,VLOOKUP($A168,EnrollData2324,'2324 Jun 24 Enroll'!D$1,FALSE),'District Calculations'!$D$11)*S168,3)</f>
        <v>0</v>
      </c>
      <c r="U168">
        <f>ROUND(IF(VLOOKUP($A168,EnrollData2324,'2324 Jun 24 Enroll'!E$1,FALSE)='District Calculations'!$D$12,VLOOKUP($A168,EnrollData2324,'2324 Jun 24 Enroll'!E$1,FALSE),'District Calculations'!$D$12)*S168,3)</f>
        <v>15.148</v>
      </c>
      <c r="V168">
        <f>ROUND(IF(VLOOKUP($A168,EnrollData2324,'2324 Jun 24 Enroll'!F$1,FALSE)='District Calculations'!$D$13,VLOOKUP($A168,EnrollData2324,'2324 Jun 24 Enroll'!F$1,FALSE),'District Calculations'!$D$13)*Apport_224A2324s,3)</f>
        <v>3.7029999999999998</v>
      </c>
      <c r="W168">
        <f>ROUND(IF(VLOOKUP($A168,EnrollData2324,'2324 Jun 24 Enroll'!G$1,FALSE)='District Calculations'!$D$14,VLOOKUP($A168,EnrollData2324,'2324 Jun 24 Enroll'!G$1,FALSE),'District Calculations'!$D$14)*Apport_212A2324s,3)</f>
        <v>8.2089999999999996</v>
      </c>
      <c r="X168">
        <f>ROUND(IF(VLOOKUP($A168,EnrollData2324,'2324 Jun 24 Enroll'!H$1,FALSE)='District Calculations'!$D$14,VLOOKUP($A168,EnrollData2324,'2324 Jun 24 Enroll'!H$1,FALSE),'District Calculations'!$D$14)*Apport_215A2324s,3)</f>
        <v>8.0969999999999995</v>
      </c>
      <c r="Y168">
        <f>ROUND(IF(VLOOKUP($A168,EnrollData2324,'2324 Jun 24 Enroll'!I$1,FALSE)+VLOOKUP($A168,EnrollData2324,'2324 Jun 24 Enroll'!M$1,FALSE)-VLOOKUP($A168,EnrollData2324,'2324 Jun 24 Enroll'!J$1,FALSE)='District Calculations'!$D$16+'District Calculations'!$D$25-'District Calculations'!$D$17,VLOOKUP($A168,EnrollData2324,'2324 Jun 24 Enroll'!I$1,FALSE)+VLOOKUP($A168,EnrollData2324,'2324 Jun 24 Enroll'!M$1,FALSE)-VLOOKUP($A168,EnrollData2324,'2324 Jun 24 Enroll'!J$1,FALSE),'District Calculations'!$D$16+'District Calculations'!$D$25-'District Calculations'!$D$17)*Apport_218A2324s,3)</f>
        <v>20.224</v>
      </c>
      <c r="Z168">
        <f>ROUND(SUM(T168:Y168)/IF(VLOOKUP($A168,EnrollData2324,'2324 Jun 24 Enroll'!M$1,FALSE)+VLOOKUP($A168,EnrollData2324,'2324 Jun 24 Enroll'!D$1,FALSE)='District Calculations'!$D$25+'District Calculations'!$D$11,VLOOKUP($A168,EnrollData2324,'2324 Jun 24 Enroll'!M$1,FALSE)+VLOOKUP($A168,EnrollData2324,'2324 Jun 24 Enroll'!D$1,FALSE),'District Calculations'!$D$25+'District Calculations'!$D$11),5)</f>
        <v>1.7749999999999998E-2</v>
      </c>
      <c r="AA168" s="6" cm="1">
        <f t="array" ref="AA168">ROUND($J168*CIS_Base_Salary2324s*VLOOKUP($A168,EnrollData2324,'2324 Jun 24 Enroll'!S$1,FALSE),2)</f>
        <v>4038.59</v>
      </c>
      <c r="AB168" s="6" cm="1">
        <f t="array" ref="AB168">ROUND($J168*CIS_Inc_Salary2324s*(VLOOKUP($A168,EnrollData2324,'2324 Jun 24 Enroll'!T$1,FALSE)+VLOOKUP($A168,EnrollData2324,'2324 Jun 24 Enroll'!U$1,FALSE)),2)-AA168</f>
        <v>316.94999999999982</v>
      </c>
      <c r="AC168" s="6" cm="1">
        <f t="array" ref="AC168">ROUND($R168*CAS_Base_Salary2324s*VLOOKUP($A168,EnrollData2324,'2324 Jun 24 Enroll'!S$1,FALSE),2)</f>
        <v>443.7</v>
      </c>
      <c r="AD168" s="6" cm="1">
        <f t="array" ref="AD168">ROUND($R168*CAS_Inc_Salary2324s*VLOOKUP($A168,EnrollData2324,'2324 Jun 24 Enroll'!T$1,FALSE),2)-AC168</f>
        <v>16.410000000000025</v>
      </c>
      <c r="AE168" s="6" cm="1">
        <f t="array" ref="AE168">ROUND($Z168*CLS_Base_Salary2324s*VLOOKUP($A168,EnrollData2324,'2324 Jun 24 Enroll'!S$1,FALSE),2)</f>
        <v>926.07</v>
      </c>
      <c r="AF168" s="6" cm="1">
        <f t="array" ref="AF168">ROUND($Z168*CLS_Inc_Salary2324s*VLOOKUP($A168,EnrollData2324,'2324 Jun 24 Enroll'!T$1,FALSE),2)-AE168</f>
        <v>34.259999999999991</v>
      </c>
      <c r="AG168" cm="1">
        <f t="array" ref="AG168">ROUND(($J168+$R168)*Apport_124X2324s,2)</f>
        <v>734.29</v>
      </c>
      <c r="AH168" s="69">
        <f t="shared" si="19"/>
        <v>68.700000000000045</v>
      </c>
      <c r="AI168" cm="1">
        <f t="array" ref="AI168">ROUND($Z168*Apport_124X2324s,2)</f>
        <v>218.54</v>
      </c>
      <c r="AJ168" cm="1">
        <f t="array" ref="AJ168">ROUND($Z168*Apport_621X2324s*Apport_125X2324s,2)-AI168</f>
        <v>116.51000000000002</v>
      </c>
      <c r="AK168" cm="1">
        <f t="array" ref="AK168">ROUND((AA168+AC168)*Apport_126X2324s,2)</f>
        <v>805.47</v>
      </c>
      <c r="AL168" cm="1">
        <f t="array" ref="AL168">ROUND((AB168+AD168)*Apport_127X2324s,2)</f>
        <v>57.77</v>
      </c>
      <c r="AM168" cm="1">
        <f t="array" ref="AM168">ROUND(AE168*Apport_128X2324s,2)</f>
        <v>204.29</v>
      </c>
      <c r="AN168" cm="1">
        <f t="array" ref="AN168">ROUND(AF168*Apport_129X2324s,2)</f>
        <v>6.36</v>
      </c>
      <c r="AO168" cm="1">
        <f t="array" ref="AO168">ROUND(($J168*CIS_Inc_Salary2324s*(VLOOKUP($A168,EnrollData2324,'2324 Jun 24 Enroll'!T$1,FALSE)+VLOOKUP($A168,EnrollData2324,'2324 Jun 24 Enroll'!U$1,FALSE))/Apport_613Xpd)*Apport_614Xpd,2)</f>
        <v>72.59</v>
      </c>
      <c r="AP168" cm="1">
        <f t="array" ref="AP168">ROUND(AO168*Apport_127X2324s,2)</f>
        <v>12.58</v>
      </c>
      <c r="AQ168">
        <f t="shared" si="20"/>
        <v>30.93</v>
      </c>
      <c r="AR168" s="6" cm="1">
        <f t="array" ref="AR168">ROUND((VLOOKUP($A168,EnrollData2324,'2324 Jun 24 Enroll'!D$1,FALSE)*Apport_M802324s+VLOOKUP($A168,EnrollData2324,'2324 Jun 24 Enroll'!M$1,FALSE)*Apport_M802324s+(VLOOKUP($A168,EnrollData2324,'2324 Jun 24 Enroll'!P$1,FALSE)+VLOOKUP($A168,EnrollData2324,'2324 Jun 24 Enroll'!Q$1,FALSE)+VLOOKUP($A168,EnrollData2324,'2324 Jun 24 Enroll'!R$1,FALSE)+VLOOKUP($A168,EnrollData2324,'2324 Jun 24 Enroll'!I$1,FALSE)+VLOOKUP($A168,EnrollData2324,'2324 Jun 24 Enroll'!N$1,FALSE)+VLOOKUP($A168,EnrollData2324,'2324 Jun 24 Enroll'!O$1,FALSE)+VLOOKUP($A168,EnrollData2324,'2324 Jun 24 Enroll'!K$1,FALSE)+VLOOKUP($A168,EnrollData2324,'2324 Jun 24 Enroll'!L$1,FALSE))*Apport_M812324s)/(VLOOKUP($A168,EnrollData2324,'2324 Jun 24 Enroll'!M$1,FALSE)+VLOOKUP($A168,EnrollData2324,'2324 Jun 24 Enroll'!D$1,FALSE)),2)</f>
        <v>1572.94</v>
      </c>
      <c r="AS168" s="7">
        <f t="shared" si="21"/>
        <v>9676.9500000000007</v>
      </c>
    </row>
    <row r="169" spans="1:45">
      <c r="A169" s="40" t="s">
        <v>871</v>
      </c>
      <c r="B169" s="40" t="s">
        <v>872</v>
      </c>
      <c r="C169" s="11">
        <f>ROUND((IFERROR((1/IF(VLOOKUP($A169,EnrollData2324,28,FALSE)='District Calculations'!$D$10,VLOOKUP($A169,EnrollData2324,28,FALSE),'District Calculations'!$D$10))*(1+Apport_Z315),0))+Apport_201A2324s,6)</f>
        <v>7.3449E-2</v>
      </c>
      <c r="D169">
        <f>ROUND(IF(VLOOKUP($A169,EnrollData2324,'2324 Jun 24 Enroll'!D$1,FALSE)='District Calculations'!$D$11,VLOOKUP($A169,EnrollData2324,'2324 Jun 24 Enroll'!D$1,FALSE),'District Calculations'!$D$11)*C169,3)</f>
        <v>0</v>
      </c>
      <c r="E169">
        <f>ROUND(IF(VLOOKUP($A169,EnrollData2324,'2324 Jun 24 Enroll'!E$1,FALSE)='District Calculations'!$D$12,VLOOKUP($A169,EnrollData2324,'2324 Jun 24 Enroll'!E$1,FALSE),'District Calculations'!$D$12)*C169,3)</f>
        <v>59.53</v>
      </c>
      <c r="F169">
        <f>ROUND(IF(VLOOKUP($A169,EnrollData2324,'2324 Jun 24 Enroll'!F$1,FALSE)='District Calculations'!$D$13,VLOOKUP($A169,EnrollData2324,'2324 Jun 24 Enroll'!F$1,FALSE),'District Calculations'!$D$13)*Apport_222A2324s,3)</f>
        <v>10.101000000000001</v>
      </c>
      <c r="G169">
        <f>ROUND(IF(VLOOKUP($A169,EnrollData2324,'2324 Jun 24 Enroll'!G$1,FALSE)='District Calculations'!$D$14,VLOOKUP($A169,EnrollData2324,'2324 Jun 24 Enroll'!G$1,FALSE),'District Calculations'!$D$14)*Apport_210A2324s,3)</f>
        <v>22.395</v>
      </c>
      <c r="H169">
        <f>ROUND(IF(VLOOKUP($A169,EnrollData2324,'2324 Jun 24 Enroll'!H$1,FALSE)='District Calculations'!$D$15,VLOOKUP($A169,EnrollData2324,'2324 Jun 24 Enroll'!H$1,FALSE),'District Calculations'!$D$15)*Apport_213A2324s,3)</f>
        <v>23.091999999999999</v>
      </c>
      <c r="I169">
        <f>ROUND(IF(VLOOKUP($A169,EnrollData2324,'2324 Jun 24 Enroll'!I$1,FALSE)+VLOOKUP($A169,EnrollData2324,'2324 Jun 24 Enroll'!M$1,FALSE)-VLOOKUP($A169,EnrollData2324,'2324 Jun 24 Enroll'!J$1,FALSE)='District Calculations'!$D$16+'District Calculations'!$D$25-'District Calculations'!$D$17,VLOOKUP($A169,EnrollData2324,'2324 Jun 24 Enroll'!I$1,FALSE)+VLOOKUP($A169,EnrollData2324,'2324 Jun 24 Enroll'!M$1,FALSE)-VLOOKUP($A169,EnrollData2324,'2324 Jun 24 Enroll'!J$1,FALSE),'District Calculations'!$D$16+'District Calculations'!$D$25-'District Calculations'!$D$17)*Apport_216A2324s,3)</f>
        <v>58.183999999999997</v>
      </c>
      <c r="J169">
        <f>ROUND(SUM(D169:I169)/(IF(VLOOKUP($A169,EnrollData2324,'2324 Jun 24 Enroll'!M$1,FALSE)='District Calculations'!$D$25,VLOOKUP($A169,EnrollData2324,'2324 Jun 24 Enroll'!M$1,FALSE),'District Calculations'!$D$25)+IF(VLOOKUP($A169,EnrollData2324,'2324 Jun 24 Enroll'!D$1,FALSE)='District Calculations'!$D$11,VLOOKUP($A169,EnrollData2324,'2324 Jun 24 Enroll'!D$1,FALSE),'District Calculations'!$D$11)),5)</f>
        <v>5.5530000000000003E-2</v>
      </c>
      <c r="K169" s="11">
        <f t="shared" si="17"/>
        <v>4.3699999999999998E-3</v>
      </c>
      <c r="L169">
        <f>ROUND(IF(VLOOKUP($A169,EnrollData2324,'2324 Jun 24 Enroll'!D$1,FALSE)='District Calculations'!$D$11,VLOOKUP($A169,EnrollData2324,'2324 Jun 24 Enroll'!D$1,FALSE),'District Calculations'!$D$11)*K169,3)</f>
        <v>0</v>
      </c>
      <c r="M169">
        <f>ROUND(IF(VLOOKUP($A169,EnrollData2324,'2324 Jun 24 Enroll'!E$1,FALSE)='District Calculations'!$D$12,VLOOKUP($A169,EnrollData2324,'2324 Jun 24 Enroll'!E$1,FALSE),'District Calculations'!$D$12)*K169,3)</f>
        <v>3.5419999999999998</v>
      </c>
      <c r="N169">
        <f>ROUND(IF(VLOOKUP($A169,EnrollData2324,'2324 Jun 24 Enroll'!F$1,FALSE)='District Calculations'!$D$13,VLOOKUP($A169,EnrollData2324,'2324 Jun 24 Enroll'!F$1,FALSE),'District Calculations'!$D$13)*Apport_223A2324s,3)</f>
        <v>0.84299999999999997</v>
      </c>
      <c r="O169">
        <f>ROUND(IF(VLOOKUP($A169,EnrollData2324,'2324 Jun 24 Enroll'!G$1,FALSE)='District Calculations'!$D$14,VLOOKUP($A169,EnrollData2324,'2324 Jun 24 Enroll'!G$1,FALSE),'District Calculations'!$D$14)*Apport_211A2324s,3)</f>
        <v>1.87</v>
      </c>
      <c r="P169">
        <f>ROUND(IF(VLOOKUP($A169,EnrollData2324,'2324 Jun 24 Enroll'!H$1,FALSE)='District Calculations'!$D$14,VLOOKUP($A169,EnrollData2324,'2324 Jun 24 Enroll'!H$1,FALSE),'District Calculations'!$D$14)*Apport_214A2324s,3)</f>
        <v>1.8680000000000001</v>
      </c>
      <c r="Q169">
        <f>ROUND(IF(VLOOKUP($A169,EnrollData2324,'2324 Jun 24 Enroll'!I$1,FALSE)+VLOOKUP($A169,EnrollData2324,'2324 Jun 24 Enroll'!M$1,FALSE)-VLOOKUP($A169,EnrollData2324,'2324 Jun 24 Enroll'!J$1,FALSE)='District Calculations'!$D$16+'District Calculations'!$D$25-'District Calculations'!$D$17,VLOOKUP($A169,EnrollData2324,'2324 Jun 24 Enroll'!I$1,FALSE)+VLOOKUP($A169,EnrollData2324,'2324 Jun 24 Enroll'!M$1,FALSE)-VLOOKUP($A169,EnrollData2324,'2324 Jun 24 Enroll'!J$1,FALSE),'District Calculations'!$D$16+'District Calculations'!$D$25-'District Calculations'!$D$17)*Apport_217A2324s,3)</f>
        <v>4.702</v>
      </c>
      <c r="R169">
        <f>ROUND(SUM(L169:Q169)/IF(VLOOKUP($A169,EnrollData2324,'2324 Jun 24 Enroll'!M$1,FALSE)+VLOOKUP($A169,EnrollData2324,'2324 Jun 24 Enroll'!D$1,FALSE)='District Calculations'!$D$25+'District Calculations'!$D$11,VLOOKUP($A169,EnrollData2324,'2324 Jun 24 Enroll'!M$1,FALSE)+VLOOKUP($A169,EnrollData2324,'2324 Jun 24 Enroll'!D$1,FALSE),'District Calculations'!$D$25+'District Calculations'!$D$11),5)</f>
        <v>4.1099999999999999E-3</v>
      </c>
      <c r="S169" s="11">
        <f t="shared" si="18"/>
        <v>1.8689600000000001E-2</v>
      </c>
      <c r="T169">
        <f>ROUND(IF(VLOOKUP($A169,EnrollData2324,'2324 Jun 24 Enroll'!D$1,FALSE)='District Calculations'!$D$11,VLOOKUP($A169,EnrollData2324,'2324 Jun 24 Enroll'!D$1,FALSE),'District Calculations'!$D$11)*S169,3)</f>
        <v>0</v>
      </c>
      <c r="U169">
        <f>ROUND(IF(VLOOKUP($A169,EnrollData2324,'2324 Jun 24 Enroll'!E$1,FALSE)='District Calculations'!$D$12,VLOOKUP($A169,EnrollData2324,'2324 Jun 24 Enroll'!E$1,FALSE),'District Calculations'!$D$12)*S169,3)</f>
        <v>15.148</v>
      </c>
      <c r="V169">
        <f>ROUND(IF(VLOOKUP($A169,EnrollData2324,'2324 Jun 24 Enroll'!F$1,FALSE)='District Calculations'!$D$13,VLOOKUP($A169,EnrollData2324,'2324 Jun 24 Enroll'!F$1,FALSE),'District Calculations'!$D$13)*Apport_224A2324s,3)</f>
        <v>3.7029999999999998</v>
      </c>
      <c r="W169">
        <f>ROUND(IF(VLOOKUP($A169,EnrollData2324,'2324 Jun 24 Enroll'!G$1,FALSE)='District Calculations'!$D$14,VLOOKUP($A169,EnrollData2324,'2324 Jun 24 Enroll'!G$1,FALSE),'District Calculations'!$D$14)*Apport_212A2324s,3)</f>
        <v>8.2089999999999996</v>
      </c>
      <c r="X169">
        <f>ROUND(IF(VLOOKUP($A169,EnrollData2324,'2324 Jun 24 Enroll'!H$1,FALSE)='District Calculations'!$D$14,VLOOKUP($A169,EnrollData2324,'2324 Jun 24 Enroll'!H$1,FALSE),'District Calculations'!$D$14)*Apport_215A2324s,3)</f>
        <v>8.0969999999999995</v>
      </c>
      <c r="Y169">
        <f>ROUND(IF(VLOOKUP($A169,EnrollData2324,'2324 Jun 24 Enroll'!I$1,FALSE)+VLOOKUP($A169,EnrollData2324,'2324 Jun 24 Enroll'!M$1,FALSE)-VLOOKUP($A169,EnrollData2324,'2324 Jun 24 Enroll'!J$1,FALSE)='District Calculations'!$D$16+'District Calculations'!$D$25-'District Calculations'!$D$17,VLOOKUP($A169,EnrollData2324,'2324 Jun 24 Enroll'!I$1,FALSE)+VLOOKUP($A169,EnrollData2324,'2324 Jun 24 Enroll'!M$1,FALSE)-VLOOKUP($A169,EnrollData2324,'2324 Jun 24 Enroll'!J$1,FALSE),'District Calculations'!$D$16+'District Calculations'!$D$25-'District Calculations'!$D$17)*Apport_218A2324s,3)</f>
        <v>20.224</v>
      </c>
      <c r="Z169">
        <f>ROUND(SUM(T169:Y169)/IF(VLOOKUP($A169,EnrollData2324,'2324 Jun 24 Enroll'!M$1,FALSE)+VLOOKUP($A169,EnrollData2324,'2324 Jun 24 Enroll'!D$1,FALSE)='District Calculations'!$D$25+'District Calculations'!$D$11,VLOOKUP($A169,EnrollData2324,'2324 Jun 24 Enroll'!M$1,FALSE)+VLOOKUP($A169,EnrollData2324,'2324 Jun 24 Enroll'!D$1,FALSE),'District Calculations'!$D$25+'District Calculations'!$D$11),5)</f>
        <v>1.7749999999999998E-2</v>
      </c>
      <c r="AA169" s="6" cm="1">
        <f t="array" ref="AA169">ROUND($J169*CIS_Base_Salary2324s*VLOOKUP($A169,EnrollData2324,'2324 Jun 24 Enroll'!S$1,FALSE),2)</f>
        <v>4038.59</v>
      </c>
      <c r="AB169" s="6" cm="1">
        <f t="array" ref="AB169">ROUND($J169*CIS_Inc_Salary2324s*(VLOOKUP($A169,EnrollData2324,'2324 Jun 24 Enroll'!T$1,FALSE)+VLOOKUP($A169,EnrollData2324,'2324 Jun 24 Enroll'!U$1,FALSE)),2)-AA169</f>
        <v>149.43000000000029</v>
      </c>
      <c r="AC169" s="6" cm="1">
        <f t="array" ref="AC169">ROUND($R169*CAS_Base_Salary2324s*VLOOKUP($A169,EnrollData2324,'2324 Jun 24 Enroll'!S$1,FALSE),2)</f>
        <v>443.7</v>
      </c>
      <c r="AD169" s="6" cm="1">
        <f t="array" ref="AD169">ROUND($R169*CAS_Inc_Salary2324s*VLOOKUP($A169,EnrollData2324,'2324 Jun 24 Enroll'!T$1,FALSE),2)-AC169</f>
        <v>16.410000000000025</v>
      </c>
      <c r="AE169" s="6" cm="1">
        <f t="array" ref="AE169">ROUND($Z169*CLS_Base_Salary2324s*VLOOKUP($A169,EnrollData2324,'2324 Jun 24 Enroll'!S$1,FALSE),2)</f>
        <v>926.07</v>
      </c>
      <c r="AF169" s="6" cm="1">
        <f t="array" ref="AF169">ROUND($Z169*CLS_Inc_Salary2324s*VLOOKUP($A169,EnrollData2324,'2324 Jun 24 Enroll'!T$1,FALSE),2)-AE169</f>
        <v>34.259999999999991</v>
      </c>
      <c r="AG169" cm="1">
        <f t="array" ref="AG169">ROUND(($J169+$R169)*Apport_124X2324s,2)</f>
        <v>734.29</v>
      </c>
      <c r="AH169" s="69">
        <f t="shared" si="19"/>
        <v>68.700000000000045</v>
      </c>
      <c r="AI169" cm="1">
        <f t="array" ref="AI169">ROUND($Z169*Apport_124X2324s,2)</f>
        <v>218.54</v>
      </c>
      <c r="AJ169" cm="1">
        <f t="array" ref="AJ169">ROUND($Z169*Apport_621X2324s*Apport_125X2324s,2)-AI169</f>
        <v>116.51000000000002</v>
      </c>
      <c r="AK169" cm="1">
        <f t="array" ref="AK169">ROUND((AA169+AC169)*Apport_126X2324s,2)</f>
        <v>805.47</v>
      </c>
      <c r="AL169" cm="1">
        <f t="array" ref="AL169">ROUND((AB169+AD169)*Apport_127X2324s,2)</f>
        <v>28.74</v>
      </c>
      <c r="AM169" cm="1">
        <f t="array" ref="AM169">ROUND(AE169*Apport_128X2324s,2)</f>
        <v>204.29</v>
      </c>
      <c r="AN169" cm="1">
        <f t="array" ref="AN169">ROUND(AF169*Apport_129X2324s,2)</f>
        <v>6.36</v>
      </c>
      <c r="AO169" cm="1">
        <f t="array" ref="AO169">ROUND(($J169*CIS_Inc_Salary2324s*(VLOOKUP($A169,EnrollData2324,'2324 Jun 24 Enroll'!T$1,FALSE)+VLOOKUP($A169,EnrollData2324,'2324 Jun 24 Enroll'!U$1,FALSE))/Apport_613Xpd)*Apport_614Xpd,2)</f>
        <v>69.8</v>
      </c>
      <c r="AP169" cm="1">
        <f t="array" ref="AP169">ROUND(AO169*Apport_127X2324s,2)</f>
        <v>12.1</v>
      </c>
      <c r="AQ169">
        <f t="shared" si="20"/>
        <v>30.93</v>
      </c>
      <c r="AR169" s="6" cm="1">
        <f t="array" ref="AR169">ROUND((VLOOKUP($A169,EnrollData2324,'2324 Jun 24 Enroll'!D$1,FALSE)*Apport_M802324s+VLOOKUP($A169,EnrollData2324,'2324 Jun 24 Enroll'!M$1,FALSE)*Apport_M802324s+(VLOOKUP($A169,EnrollData2324,'2324 Jun 24 Enroll'!P$1,FALSE)+VLOOKUP($A169,EnrollData2324,'2324 Jun 24 Enroll'!Q$1,FALSE)+VLOOKUP($A169,EnrollData2324,'2324 Jun 24 Enroll'!R$1,FALSE)+VLOOKUP($A169,EnrollData2324,'2324 Jun 24 Enroll'!I$1,FALSE)+VLOOKUP($A169,EnrollData2324,'2324 Jun 24 Enroll'!N$1,FALSE)+VLOOKUP($A169,EnrollData2324,'2324 Jun 24 Enroll'!O$1,FALSE)+VLOOKUP($A169,EnrollData2324,'2324 Jun 24 Enroll'!K$1,FALSE)+VLOOKUP($A169,EnrollData2324,'2324 Jun 24 Enroll'!L$1,FALSE))*Apport_M812324s)/(VLOOKUP($A169,EnrollData2324,'2324 Jun 24 Enroll'!M$1,FALSE)+VLOOKUP($A169,EnrollData2324,'2324 Jun 24 Enroll'!D$1,FALSE)),2)</f>
        <v>1562.89</v>
      </c>
      <c r="AS169" s="7">
        <f t="shared" si="21"/>
        <v>9467.08</v>
      </c>
    </row>
    <row r="170" spans="1:45">
      <c r="A170" s="40" t="s">
        <v>374</v>
      </c>
      <c r="B170" s="40" t="s">
        <v>375</v>
      </c>
      <c r="C170" s="11">
        <f>ROUND((IFERROR((1/IF(VLOOKUP($A170,EnrollData2324,28,FALSE)='District Calculations'!$D$10,VLOOKUP($A170,EnrollData2324,28,FALSE),'District Calculations'!$D$10))*(1+Apport_Z315),0))+Apport_201A2324s,6)</f>
        <v>7.3449E-2</v>
      </c>
      <c r="D170">
        <f>ROUND(IF(VLOOKUP($A170,EnrollData2324,'2324 Jun 24 Enroll'!D$1,FALSE)='District Calculations'!$D$11,VLOOKUP($A170,EnrollData2324,'2324 Jun 24 Enroll'!D$1,FALSE),'District Calculations'!$D$11)*C170,3)</f>
        <v>0</v>
      </c>
      <c r="E170">
        <f>ROUND(IF(VLOOKUP($A170,EnrollData2324,'2324 Jun 24 Enroll'!E$1,FALSE)='District Calculations'!$D$12,VLOOKUP($A170,EnrollData2324,'2324 Jun 24 Enroll'!E$1,FALSE),'District Calculations'!$D$12)*C170,3)</f>
        <v>59.53</v>
      </c>
      <c r="F170">
        <f>ROUND(IF(VLOOKUP($A170,EnrollData2324,'2324 Jun 24 Enroll'!F$1,FALSE)='District Calculations'!$D$13,VLOOKUP($A170,EnrollData2324,'2324 Jun 24 Enroll'!F$1,FALSE),'District Calculations'!$D$13)*Apport_222A2324s,3)</f>
        <v>10.101000000000001</v>
      </c>
      <c r="G170">
        <f>ROUND(IF(VLOOKUP($A170,EnrollData2324,'2324 Jun 24 Enroll'!G$1,FALSE)='District Calculations'!$D$14,VLOOKUP($A170,EnrollData2324,'2324 Jun 24 Enroll'!G$1,FALSE),'District Calculations'!$D$14)*Apport_210A2324s,3)</f>
        <v>22.395</v>
      </c>
      <c r="H170">
        <f>ROUND(IF(VLOOKUP($A170,EnrollData2324,'2324 Jun 24 Enroll'!H$1,FALSE)='District Calculations'!$D$15,VLOOKUP($A170,EnrollData2324,'2324 Jun 24 Enroll'!H$1,FALSE),'District Calculations'!$D$15)*Apport_213A2324s,3)</f>
        <v>23.091999999999999</v>
      </c>
      <c r="I170">
        <f>ROUND(IF(VLOOKUP($A170,EnrollData2324,'2324 Jun 24 Enroll'!I$1,FALSE)+VLOOKUP($A170,EnrollData2324,'2324 Jun 24 Enroll'!M$1,FALSE)-VLOOKUP($A170,EnrollData2324,'2324 Jun 24 Enroll'!J$1,FALSE)='District Calculations'!$D$16+'District Calculations'!$D$25-'District Calculations'!$D$17,VLOOKUP($A170,EnrollData2324,'2324 Jun 24 Enroll'!I$1,FALSE)+VLOOKUP($A170,EnrollData2324,'2324 Jun 24 Enroll'!M$1,FALSE)-VLOOKUP($A170,EnrollData2324,'2324 Jun 24 Enroll'!J$1,FALSE),'District Calculations'!$D$16+'District Calculations'!$D$25-'District Calculations'!$D$17)*Apport_216A2324s,3)</f>
        <v>58.183999999999997</v>
      </c>
      <c r="J170">
        <f>ROUND(SUM(D170:I170)/(IF(VLOOKUP($A170,EnrollData2324,'2324 Jun 24 Enroll'!M$1,FALSE)='District Calculations'!$D$25,VLOOKUP($A170,EnrollData2324,'2324 Jun 24 Enroll'!M$1,FALSE),'District Calculations'!$D$25)+IF(VLOOKUP($A170,EnrollData2324,'2324 Jun 24 Enroll'!D$1,FALSE)='District Calculations'!$D$11,VLOOKUP($A170,EnrollData2324,'2324 Jun 24 Enroll'!D$1,FALSE),'District Calculations'!$D$11)),5)</f>
        <v>5.5530000000000003E-2</v>
      </c>
      <c r="K170" s="11">
        <f t="shared" si="17"/>
        <v>4.3699999999999998E-3</v>
      </c>
      <c r="L170">
        <f>ROUND(IF(VLOOKUP($A170,EnrollData2324,'2324 Jun 24 Enroll'!D$1,FALSE)='District Calculations'!$D$11,VLOOKUP($A170,EnrollData2324,'2324 Jun 24 Enroll'!D$1,FALSE),'District Calculations'!$D$11)*K170,3)</f>
        <v>0</v>
      </c>
      <c r="M170">
        <f>ROUND(IF(VLOOKUP($A170,EnrollData2324,'2324 Jun 24 Enroll'!E$1,FALSE)='District Calculations'!$D$12,VLOOKUP($A170,EnrollData2324,'2324 Jun 24 Enroll'!E$1,FALSE),'District Calculations'!$D$12)*K170,3)</f>
        <v>3.5419999999999998</v>
      </c>
      <c r="N170">
        <f>ROUND(IF(VLOOKUP($A170,EnrollData2324,'2324 Jun 24 Enroll'!F$1,FALSE)='District Calculations'!$D$13,VLOOKUP($A170,EnrollData2324,'2324 Jun 24 Enroll'!F$1,FALSE),'District Calculations'!$D$13)*Apport_223A2324s,3)</f>
        <v>0.84299999999999997</v>
      </c>
      <c r="O170">
        <f>ROUND(IF(VLOOKUP($A170,EnrollData2324,'2324 Jun 24 Enroll'!G$1,FALSE)='District Calculations'!$D$14,VLOOKUP($A170,EnrollData2324,'2324 Jun 24 Enroll'!G$1,FALSE),'District Calculations'!$D$14)*Apport_211A2324s,3)</f>
        <v>1.87</v>
      </c>
      <c r="P170">
        <f>ROUND(IF(VLOOKUP($A170,EnrollData2324,'2324 Jun 24 Enroll'!H$1,FALSE)='District Calculations'!$D$14,VLOOKUP($A170,EnrollData2324,'2324 Jun 24 Enroll'!H$1,FALSE),'District Calculations'!$D$14)*Apport_214A2324s,3)</f>
        <v>1.8680000000000001</v>
      </c>
      <c r="Q170">
        <f>ROUND(IF(VLOOKUP($A170,EnrollData2324,'2324 Jun 24 Enroll'!I$1,FALSE)+VLOOKUP($A170,EnrollData2324,'2324 Jun 24 Enroll'!M$1,FALSE)-VLOOKUP($A170,EnrollData2324,'2324 Jun 24 Enroll'!J$1,FALSE)='District Calculations'!$D$16+'District Calculations'!$D$25-'District Calculations'!$D$17,VLOOKUP($A170,EnrollData2324,'2324 Jun 24 Enroll'!I$1,FALSE)+VLOOKUP($A170,EnrollData2324,'2324 Jun 24 Enroll'!M$1,FALSE)-VLOOKUP($A170,EnrollData2324,'2324 Jun 24 Enroll'!J$1,FALSE),'District Calculations'!$D$16+'District Calculations'!$D$25-'District Calculations'!$D$17)*Apport_217A2324s,3)</f>
        <v>4.702</v>
      </c>
      <c r="R170">
        <f>ROUND(SUM(L170:Q170)/IF(VLOOKUP($A170,EnrollData2324,'2324 Jun 24 Enroll'!M$1,FALSE)+VLOOKUP($A170,EnrollData2324,'2324 Jun 24 Enroll'!D$1,FALSE)='District Calculations'!$D$25+'District Calculations'!$D$11,VLOOKUP($A170,EnrollData2324,'2324 Jun 24 Enroll'!M$1,FALSE)+VLOOKUP($A170,EnrollData2324,'2324 Jun 24 Enroll'!D$1,FALSE),'District Calculations'!$D$25+'District Calculations'!$D$11),5)</f>
        <v>4.1099999999999999E-3</v>
      </c>
      <c r="S170" s="11">
        <f t="shared" si="18"/>
        <v>1.8689600000000001E-2</v>
      </c>
      <c r="T170">
        <f>ROUND(IF(VLOOKUP($A170,EnrollData2324,'2324 Jun 24 Enroll'!D$1,FALSE)='District Calculations'!$D$11,VLOOKUP($A170,EnrollData2324,'2324 Jun 24 Enroll'!D$1,FALSE),'District Calculations'!$D$11)*S170,3)</f>
        <v>0</v>
      </c>
      <c r="U170">
        <f>ROUND(IF(VLOOKUP($A170,EnrollData2324,'2324 Jun 24 Enroll'!E$1,FALSE)='District Calculations'!$D$12,VLOOKUP($A170,EnrollData2324,'2324 Jun 24 Enroll'!E$1,FALSE),'District Calculations'!$D$12)*S170,3)</f>
        <v>15.148</v>
      </c>
      <c r="V170">
        <f>ROUND(IF(VLOOKUP($A170,EnrollData2324,'2324 Jun 24 Enroll'!F$1,FALSE)='District Calculations'!$D$13,VLOOKUP($A170,EnrollData2324,'2324 Jun 24 Enroll'!F$1,FALSE),'District Calculations'!$D$13)*Apport_224A2324s,3)</f>
        <v>3.7029999999999998</v>
      </c>
      <c r="W170">
        <f>ROUND(IF(VLOOKUP($A170,EnrollData2324,'2324 Jun 24 Enroll'!G$1,FALSE)='District Calculations'!$D$14,VLOOKUP($A170,EnrollData2324,'2324 Jun 24 Enroll'!G$1,FALSE),'District Calculations'!$D$14)*Apport_212A2324s,3)</f>
        <v>8.2089999999999996</v>
      </c>
      <c r="X170">
        <f>ROUND(IF(VLOOKUP($A170,EnrollData2324,'2324 Jun 24 Enroll'!H$1,FALSE)='District Calculations'!$D$14,VLOOKUP($A170,EnrollData2324,'2324 Jun 24 Enroll'!H$1,FALSE),'District Calculations'!$D$14)*Apport_215A2324s,3)</f>
        <v>8.0969999999999995</v>
      </c>
      <c r="Y170">
        <f>ROUND(IF(VLOOKUP($A170,EnrollData2324,'2324 Jun 24 Enroll'!I$1,FALSE)+VLOOKUP($A170,EnrollData2324,'2324 Jun 24 Enroll'!M$1,FALSE)-VLOOKUP($A170,EnrollData2324,'2324 Jun 24 Enroll'!J$1,FALSE)='District Calculations'!$D$16+'District Calculations'!$D$25-'District Calculations'!$D$17,VLOOKUP($A170,EnrollData2324,'2324 Jun 24 Enroll'!I$1,FALSE)+VLOOKUP($A170,EnrollData2324,'2324 Jun 24 Enroll'!M$1,FALSE)-VLOOKUP($A170,EnrollData2324,'2324 Jun 24 Enroll'!J$1,FALSE),'District Calculations'!$D$16+'District Calculations'!$D$25-'District Calculations'!$D$17)*Apport_218A2324s,3)</f>
        <v>20.224</v>
      </c>
      <c r="Z170">
        <f>ROUND(SUM(T170:Y170)/IF(VLOOKUP($A170,EnrollData2324,'2324 Jun 24 Enroll'!M$1,FALSE)+VLOOKUP($A170,EnrollData2324,'2324 Jun 24 Enroll'!D$1,FALSE)='District Calculations'!$D$25+'District Calculations'!$D$11,VLOOKUP($A170,EnrollData2324,'2324 Jun 24 Enroll'!M$1,FALSE)+VLOOKUP($A170,EnrollData2324,'2324 Jun 24 Enroll'!D$1,FALSE),'District Calculations'!$D$25+'District Calculations'!$D$11),5)</f>
        <v>1.7749999999999998E-2</v>
      </c>
      <c r="AA170" s="6" cm="1">
        <f t="array" ref="AA170">ROUND($J170*CIS_Base_Salary2324s*VLOOKUP($A170,EnrollData2324,'2324 Jun 24 Enroll'!S$1,FALSE),2)</f>
        <v>4038.59</v>
      </c>
      <c r="AB170" s="6" cm="1">
        <f t="array" ref="AB170">ROUND($J170*CIS_Inc_Salary2324s*(VLOOKUP($A170,EnrollData2324,'2324 Jun 24 Enroll'!T$1,FALSE)+VLOOKUP($A170,EnrollData2324,'2324 Jun 24 Enroll'!U$1,FALSE)),2)-AA170</f>
        <v>149.43000000000029</v>
      </c>
      <c r="AC170" s="6" cm="1">
        <f t="array" ref="AC170">ROUND($R170*CAS_Base_Salary2324s*VLOOKUP($A170,EnrollData2324,'2324 Jun 24 Enroll'!S$1,FALSE),2)</f>
        <v>443.7</v>
      </c>
      <c r="AD170" s="6" cm="1">
        <f t="array" ref="AD170">ROUND($R170*CAS_Inc_Salary2324s*VLOOKUP($A170,EnrollData2324,'2324 Jun 24 Enroll'!T$1,FALSE),2)-AC170</f>
        <v>16.410000000000025</v>
      </c>
      <c r="AE170" s="6" cm="1">
        <f t="array" ref="AE170">ROUND($Z170*CLS_Base_Salary2324s*VLOOKUP($A170,EnrollData2324,'2324 Jun 24 Enroll'!S$1,FALSE),2)</f>
        <v>926.07</v>
      </c>
      <c r="AF170" s="6" cm="1">
        <f t="array" ref="AF170">ROUND($Z170*CLS_Inc_Salary2324s*VLOOKUP($A170,EnrollData2324,'2324 Jun 24 Enroll'!T$1,FALSE),2)-AE170</f>
        <v>34.259999999999991</v>
      </c>
      <c r="AG170" cm="1">
        <f t="array" ref="AG170">ROUND(($J170+$R170)*Apport_124X2324s,2)</f>
        <v>734.29</v>
      </c>
      <c r="AH170" s="69">
        <f t="shared" si="19"/>
        <v>68.700000000000045</v>
      </c>
      <c r="AI170" cm="1">
        <f t="array" ref="AI170">ROUND($Z170*Apport_124X2324s,2)</f>
        <v>218.54</v>
      </c>
      <c r="AJ170" cm="1">
        <f t="array" ref="AJ170">ROUND($Z170*Apport_621X2324s*Apport_125X2324s,2)-AI170</f>
        <v>116.51000000000002</v>
      </c>
      <c r="AK170" cm="1">
        <f t="array" ref="AK170">ROUND((AA170+AC170)*Apport_126X2324s,2)</f>
        <v>805.47</v>
      </c>
      <c r="AL170" cm="1">
        <f t="array" ref="AL170">ROUND((AB170+AD170)*Apport_127X2324s,2)</f>
        <v>28.74</v>
      </c>
      <c r="AM170" cm="1">
        <f t="array" ref="AM170">ROUND(AE170*Apport_128X2324s,2)</f>
        <v>204.29</v>
      </c>
      <c r="AN170" cm="1">
        <f t="array" ref="AN170">ROUND(AF170*Apport_129X2324s,2)</f>
        <v>6.36</v>
      </c>
      <c r="AO170" cm="1">
        <f t="array" ref="AO170">ROUND(($J170*CIS_Inc_Salary2324s*(VLOOKUP($A170,EnrollData2324,'2324 Jun 24 Enroll'!T$1,FALSE)+VLOOKUP($A170,EnrollData2324,'2324 Jun 24 Enroll'!U$1,FALSE))/Apport_613Xpd)*Apport_614Xpd,2)</f>
        <v>69.8</v>
      </c>
      <c r="AP170" cm="1">
        <f t="array" ref="AP170">ROUND(AO170*Apport_127X2324s,2)</f>
        <v>12.1</v>
      </c>
      <c r="AQ170">
        <f t="shared" si="20"/>
        <v>30.93</v>
      </c>
      <c r="AR170" s="6" cm="1">
        <f t="array" ref="AR170">ROUND((VLOOKUP($A170,EnrollData2324,'2324 Jun 24 Enroll'!D$1,FALSE)*Apport_M802324s+VLOOKUP($A170,EnrollData2324,'2324 Jun 24 Enroll'!M$1,FALSE)*Apport_M802324s+(VLOOKUP($A170,EnrollData2324,'2324 Jun 24 Enroll'!P$1,FALSE)+VLOOKUP($A170,EnrollData2324,'2324 Jun 24 Enroll'!Q$1,FALSE)+VLOOKUP($A170,EnrollData2324,'2324 Jun 24 Enroll'!R$1,FALSE)+VLOOKUP($A170,EnrollData2324,'2324 Jun 24 Enroll'!I$1,FALSE)+VLOOKUP($A170,EnrollData2324,'2324 Jun 24 Enroll'!N$1,FALSE)+VLOOKUP($A170,EnrollData2324,'2324 Jun 24 Enroll'!O$1,FALSE)+VLOOKUP($A170,EnrollData2324,'2324 Jun 24 Enroll'!K$1,FALSE)+VLOOKUP($A170,EnrollData2324,'2324 Jun 24 Enroll'!L$1,FALSE))*Apport_M812324s)/(VLOOKUP($A170,EnrollData2324,'2324 Jun 24 Enroll'!M$1,FALSE)+VLOOKUP($A170,EnrollData2324,'2324 Jun 24 Enroll'!D$1,FALSE)),2)</f>
        <v>1566.08</v>
      </c>
      <c r="AS170" s="7">
        <f t="shared" si="21"/>
        <v>9470.27</v>
      </c>
    </row>
    <row r="171" spans="1:45">
      <c r="A171" s="40" t="s">
        <v>783</v>
      </c>
      <c r="B171" s="40" t="s">
        <v>784</v>
      </c>
      <c r="C171" s="11">
        <f>ROUND((IFERROR((1/IF(VLOOKUP($A171,EnrollData2324,28,FALSE)='District Calculations'!$D$10,VLOOKUP($A171,EnrollData2324,28,FALSE),'District Calculations'!$D$10))*(1+Apport_Z315),0))+Apport_201A2324s,6)</f>
        <v>7.3449E-2</v>
      </c>
      <c r="D171">
        <f>ROUND(IF(VLOOKUP($A171,EnrollData2324,'2324 Jun 24 Enroll'!D$1,FALSE)='District Calculations'!$D$11,VLOOKUP($A171,EnrollData2324,'2324 Jun 24 Enroll'!D$1,FALSE),'District Calculations'!$D$11)*C171,3)</f>
        <v>0</v>
      </c>
      <c r="E171">
        <f>ROUND(IF(VLOOKUP($A171,EnrollData2324,'2324 Jun 24 Enroll'!E$1,FALSE)='District Calculations'!$D$12,VLOOKUP($A171,EnrollData2324,'2324 Jun 24 Enroll'!E$1,FALSE),'District Calculations'!$D$12)*C171,3)</f>
        <v>59.53</v>
      </c>
      <c r="F171">
        <f>ROUND(IF(VLOOKUP($A171,EnrollData2324,'2324 Jun 24 Enroll'!F$1,FALSE)='District Calculations'!$D$13,VLOOKUP($A171,EnrollData2324,'2324 Jun 24 Enroll'!F$1,FALSE),'District Calculations'!$D$13)*Apport_222A2324s,3)</f>
        <v>10.101000000000001</v>
      </c>
      <c r="G171">
        <f>ROUND(IF(VLOOKUP($A171,EnrollData2324,'2324 Jun 24 Enroll'!G$1,FALSE)='District Calculations'!$D$14,VLOOKUP($A171,EnrollData2324,'2324 Jun 24 Enroll'!G$1,FALSE),'District Calculations'!$D$14)*Apport_210A2324s,3)</f>
        <v>22.395</v>
      </c>
      <c r="H171">
        <f>ROUND(IF(VLOOKUP($A171,EnrollData2324,'2324 Jun 24 Enroll'!H$1,FALSE)='District Calculations'!$D$15,VLOOKUP($A171,EnrollData2324,'2324 Jun 24 Enroll'!H$1,FALSE),'District Calculations'!$D$15)*Apport_213A2324s,3)</f>
        <v>23.091999999999999</v>
      </c>
      <c r="I171">
        <f>ROUND(IF(VLOOKUP($A171,EnrollData2324,'2324 Jun 24 Enroll'!I$1,FALSE)+VLOOKUP($A171,EnrollData2324,'2324 Jun 24 Enroll'!M$1,FALSE)-VLOOKUP($A171,EnrollData2324,'2324 Jun 24 Enroll'!J$1,FALSE)='District Calculations'!$D$16+'District Calculations'!$D$25-'District Calculations'!$D$17,VLOOKUP($A171,EnrollData2324,'2324 Jun 24 Enroll'!I$1,FALSE)+VLOOKUP($A171,EnrollData2324,'2324 Jun 24 Enroll'!M$1,FALSE)-VLOOKUP($A171,EnrollData2324,'2324 Jun 24 Enroll'!J$1,FALSE),'District Calculations'!$D$16+'District Calculations'!$D$25-'District Calculations'!$D$17)*Apport_216A2324s,3)</f>
        <v>58.183999999999997</v>
      </c>
      <c r="J171">
        <f>ROUND(SUM(D171:I171)/(IF(VLOOKUP($A171,EnrollData2324,'2324 Jun 24 Enroll'!M$1,FALSE)='District Calculations'!$D$25,VLOOKUP($A171,EnrollData2324,'2324 Jun 24 Enroll'!M$1,FALSE),'District Calculations'!$D$25)+IF(VLOOKUP($A171,EnrollData2324,'2324 Jun 24 Enroll'!D$1,FALSE)='District Calculations'!$D$11,VLOOKUP($A171,EnrollData2324,'2324 Jun 24 Enroll'!D$1,FALSE),'District Calculations'!$D$11)),5)</f>
        <v>5.5530000000000003E-2</v>
      </c>
      <c r="K171" s="11">
        <f t="shared" si="17"/>
        <v>4.3699999999999998E-3</v>
      </c>
      <c r="L171">
        <f>ROUND(IF(VLOOKUP($A171,EnrollData2324,'2324 Jun 24 Enroll'!D$1,FALSE)='District Calculations'!$D$11,VLOOKUP($A171,EnrollData2324,'2324 Jun 24 Enroll'!D$1,FALSE),'District Calculations'!$D$11)*K171,3)</f>
        <v>0</v>
      </c>
      <c r="M171">
        <f>ROUND(IF(VLOOKUP($A171,EnrollData2324,'2324 Jun 24 Enroll'!E$1,FALSE)='District Calculations'!$D$12,VLOOKUP($A171,EnrollData2324,'2324 Jun 24 Enroll'!E$1,FALSE),'District Calculations'!$D$12)*K171,3)</f>
        <v>3.5419999999999998</v>
      </c>
      <c r="N171">
        <f>ROUND(IF(VLOOKUP($A171,EnrollData2324,'2324 Jun 24 Enroll'!F$1,FALSE)='District Calculations'!$D$13,VLOOKUP($A171,EnrollData2324,'2324 Jun 24 Enroll'!F$1,FALSE),'District Calculations'!$D$13)*Apport_223A2324s,3)</f>
        <v>0.84299999999999997</v>
      </c>
      <c r="O171">
        <f>ROUND(IF(VLOOKUP($A171,EnrollData2324,'2324 Jun 24 Enroll'!G$1,FALSE)='District Calculations'!$D$14,VLOOKUP($A171,EnrollData2324,'2324 Jun 24 Enroll'!G$1,FALSE),'District Calculations'!$D$14)*Apport_211A2324s,3)</f>
        <v>1.87</v>
      </c>
      <c r="P171">
        <f>ROUND(IF(VLOOKUP($A171,EnrollData2324,'2324 Jun 24 Enroll'!H$1,FALSE)='District Calculations'!$D$14,VLOOKUP($A171,EnrollData2324,'2324 Jun 24 Enroll'!H$1,FALSE),'District Calculations'!$D$14)*Apport_214A2324s,3)</f>
        <v>1.8680000000000001</v>
      </c>
      <c r="Q171">
        <f>ROUND(IF(VLOOKUP($A171,EnrollData2324,'2324 Jun 24 Enroll'!I$1,FALSE)+VLOOKUP($A171,EnrollData2324,'2324 Jun 24 Enroll'!M$1,FALSE)-VLOOKUP($A171,EnrollData2324,'2324 Jun 24 Enroll'!J$1,FALSE)='District Calculations'!$D$16+'District Calculations'!$D$25-'District Calculations'!$D$17,VLOOKUP($A171,EnrollData2324,'2324 Jun 24 Enroll'!I$1,FALSE)+VLOOKUP($A171,EnrollData2324,'2324 Jun 24 Enroll'!M$1,FALSE)-VLOOKUP($A171,EnrollData2324,'2324 Jun 24 Enroll'!J$1,FALSE),'District Calculations'!$D$16+'District Calculations'!$D$25-'District Calculations'!$D$17)*Apport_217A2324s,3)</f>
        <v>4.702</v>
      </c>
      <c r="R171">
        <f>ROUND(SUM(L171:Q171)/IF(VLOOKUP($A171,EnrollData2324,'2324 Jun 24 Enroll'!M$1,FALSE)+VLOOKUP($A171,EnrollData2324,'2324 Jun 24 Enroll'!D$1,FALSE)='District Calculations'!$D$25+'District Calculations'!$D$11,VLOOKUP($A171,EnrollData2324,'2324 Jun 24 Enroll'!M$1,FALSE)+VLOOKUP($A171,EnrollData2324,'2324 Jun 24 Enroll'!D$1,FALSE),'District Calculations'!$D$25+'District Calculations'!$D$11),5)</f>
        <v>4.1099999999999999E-3</v>
      </c>
      <c r="S171" s="11">
        <f t="shared" si="18"/>
        <v>1.8689600000000001E-2</v>
      </c>
      <c r="T171">
        <f>ROUND(IF(VLOOKUP($A171,EnrollData2324,'2324 Jun 24 Enroll'!D$1,FALSE)='District Calculations'!$D$11,VLOOKUP($A171,EnrollData2324,'2324 Jun 24 Enroll'!D$1,FALSE),'District Calculations'!$D$11)*S171,3)</f>
        <v>0</v>
      </c>
      <c r="U171">
        <f>ROUND(IF(VLOOKUP($A171,EnrollData2324,'2324 Jun 24 Enroll'!E$1,FALSE)='District Calculations'!$D$12,VLOOKUP($A171,EnrollData2324,'2324 Jun 24 Enroll'!E$1,FALSE),'District Calculations'!$D$12)*S171,3)</f>
        <v>15.148</v>
      </c>
      <c r="V171">
        <f>ROUND(IF(VLOOKUP($A171,EnrollData2324,'2324 Jun 24 Enroll'!F$1,FALSE)='District Calculations'!$D$13,VLOOKUP($A171,EnrollData2324,'2324 Jun 24 Enroll'!F$1,FALSE),'District Calculations'!$D$13)*Apport_224A2324s,3)</f>
        <v>3.7029999999999998</v>
      </c>
      <c r="W171">
        <f>ROUND(IF(VLOOKUP($A171,EnrollData2324,'2324 Jun 24 Enroll'!G$1,FALSE)='District Calculations'!$D$14,VLOOKUP($A171,EnrollData2324,'2324 Jun 24 Enroll'!G$1,FALSE),'District Calculations'!$D$14)*Apport_212A2324s,3)</f>
        <v>8.2089999999999996</v>
      </c>
      <c r="X171">
        <f>ROUND(IF(VLOOKUP($A171,EnrollData2324,'2324 Jun 24 Enroll'!H$1,FALSE)='District Calculations'!$D$14,VLOOKUP($A171,EnrollData2324,'2324 Jun 24 Enroll'!H$1,FALSE),'District Calculations'!$D$14)*Apport_215A2324s,3)</f>
        <v>8.0969999999999995</v>
      </c>
      <c r="Y171">
        <f>ROUND(IF(VLOOKUP($A171,EnrollData2324,'2324 Jun 24 Enroll'!I$1,FALSE)+VLOOKUP($A171,EnrollData2324,'2324 Jun 24 Enroll'!M$1,FALSE)-VLOOKUP($A171,EnrollData2324,'2324 Jun 24 Enroll'!J$1,FALSE)='District Calculations'!$D$16+'District Calculations'!$D$25-'District Calculations'!$D$17,VLOOKUP($A171,EnrollData2324,'2324 Jun 24 Enroll'!I$1,FALSE)+VLOOKUP($A171,EnrollData2324,'2324 Jun 24 Enroll'!M$1,FALSE)-VLOOKUP($A171,EnrollData2324,'2324 Jun 24 Enroll'!J$1,FALSE),'District Calculations'!$D$16+'District Calculations'!$D$25-'District Calculations'!$D$17)*Apport_218A2324s,3)</f>
        <v>20.224</v>
      </c>
      <c r="Z171">
        <f>ROUND(SUM(T171:Y171)/IF(VLOOKUP($A171,EnrollData2324,'2324 Jun 24 Enroll'!M$1,FALSE)+VLOOKUP($A171,EnrollData2324,'2324 Jun 24 Enroll'!D$1,FALSE)='District Calculations'!$D$25+'District Calculations'!$D$11,VLOOKUP($A171,EnrollData2324,'2324 Jun 24 Enroll'!M$1,FALSE)+VLOOKUP($A171,EnrollData2324,'2324 Jun 24 Enroll'!D$1,FALSE),'District Calculations'!$D$25+'District Calculations'!$D$11),5)</f>
        <v>1.7749999999999998E-2</v>
      </c>
      <c r="AA171" s="6" cm="1">
        <f t="array" ref="AA171">ROUND($J171*CIS_Base_Salary2324s*VLOOKUP($A171,EnrollData2324,'2324 Jun 24 Enroll'!S$1,FALSE),2)</f>
        <v>4038.59</v>
      </c>
      <c r="AB171" s="6" cm="1">
        <f t="array" ref="AB171">ROUND($J171*CIS_Inc_Salary2324s*(VLOOKUP($A171,EnrollData2324,'2324 Jun 24 Enroll'!T$1,FALSE)+VLOOKUP($A171,EnrollData2324,'2324 Jun 24 Enroll'!U$1,FALSE)),2)-AA171</f>
        <v>149.43000000000029</v>
      </c>
      <c r="AC171" s="6" cm="1">
        <f t="array" ref="AC171">ROUND($R171*CAS_Base_Salary2324s*VLOOKUP($A171,EnrollData2324,'2324 Jun 24 Enroll'!S$1,FALSE),2)</f>
        <v>443.7</v>
      </c>
      <c r="AD171" s="6" cm="1">
        <f t="array" ref="AD171">ROUND($R171*CAS_Inc_Salary2324s*VLOOKUP($A171,EnrollData2324,'2324 Jun 24 Enroll'!T$1,FALSE),2)-AC171</f>
        <v>16.410000000000025</v>
      </c>
      <c r="AE171" s="6" cm="1">
        <f t="array" ref="AE171">ROUND($Z171*CLS_Base_Salary2324s*VLOOKUP($A171,EnrollData2324,'2324 Jun 24 Enroll'!S$1,FALSE),2)</f>
        <v>926.07</v>
      </c>
      <c r="AF171" s="6" cm="1">
        <f t="array" ref="AF171">ROUND($Z171*CLS_Inc_Salary2324s*VLOOKUP($A171,EnrollData2324,'2324 Jun 24 Enroll'!T$1,FALSE),2)-AE171</f>
        <v>34.259999999999991</v>
      </c>
      <c r="AG171" cm="1">
        <f t="array" ref="AG171">ROUND(($J171+$R171)*Apport_124X2324s,2)</f>
        <v>734.29</v>
      </c>
      <c r="AH171" s="69">
        <f t="shared" si="19"/>
        <v>68.700000000000045</v>
      </c>
      <c r="AI171" cm="1">
        <f t="array" ref="AI171">ROUND($Z171*Apport_124X2324s,2)</f>
        <v>218.54</v>
      </c>
      <c r="AJ171" cm="1">
        <f t="array" ref="AJ171">ROUND($Z171*Apport_621X2324s*Apport_125X2324s,2)-AI171</f>
        <v>116.51000000000002</v>
      </c>
      <c r="AK171" cm="1">
        <f t="array" ref="AK171">ROUND((AA171+AC171)*Apport_126X2324s,2)</f>
        <v>805.47</v>
      </c>
      <c r="AL171" cm="1">
        <f t="array" ref="AL171">ROUND((AB171+AD171)*Apport_127X2324s,2)</f>
        <v>28.74</v>
      </c>
      <c r="AM171" cm="1">
        <f t="array" ref="AM171">ROUND(AE171*Apport_128X2324s,2)</f>
        <v>204.29</v>
      </c>
      <c r="AN171" cm="1">
        <f t="array" ref="AN171">ROUND(AF171*Apport_129X2324s,2)</f>
        <v>6.36</v>
      </c>
      <c r="AO171" cm="1">
        <f t="array" ref="AO171">ROUND(($J171*CIS_Inc_Salary2324s*(VLOOKUP($A171,EnrollData2324,'2324 Jun 24 Enroll'!T$1,FALSE)+VLOOKUP($A171,EnrollData2324,'2324 Jun 24 Enroll'!U$1,FALSE))/Apport_613Xpd)*Apport_614Xpd,2)</f>
        <v>69.8</v>
      </c>
      <c r="AP171" cm="1">
        <f t="array" ref="AP171">ROUND(AO171*Apport_127X2324s,2)</f>
        <v>12.1</v>
      </c>
      <c r="AQ171">
        <f t="shared" si="20"/>
        <v>30.93</v>
      </c>
      <c r="AR171" s="6" cm="1">
        <f t="array" ref="AR171">ROUND((VLOOKUP($A171,EnrollData2324,'2324 Jun 24 Enroll'!D$1,FALSE)*Apport_M802324s+VLOOKUP($A171,EnrollData2324,'2324 Jun 24 Enroll'!M$1,FALSE)*Apport_M802324s+(VLOOKUP($A171,EnrollData2324,'2324 Jun 24 Enroll'!P$1,FALSE)+VLOOKUP($A171,EnrollData2324,'2324 Jun 24 Enroll'!Q$1,FALSE)+VLOOKUP($A171,EnrollData2324,'2324 Jun 24 Enroll'!R$1,FALSE)+VLOOKUP($A171,EnrollData2324,'2324 Jun 24 Enroll'!I$1,FALSE)+VLOOKUP($A171,EnrollData2324,'2324 Jun 24 Enroll'!N$1,FALSE)+VLOOKUP($A171,EnrollData2324,'2324 Jun 24 Enroll'!O$1,FALSE)+VLOOKUP($A171,EnrollData2324,'2324 Jun 24 Enroll'!K$1,FALSE)+VLOOKUP($A171,EnrollData2324,'2324 Jun 24 Enroll'!L$1,FALSE))*Apport_M812324s)/(VLOOKUP($A171,EnrollData2324,'2324 Jun 24 Enroll'!M$1,FALSE)+VLOOKUP($A171,EnrollData2324,'2324 Jun 24 Enroll'!D$1,FALSE)),2)</f>
        <v>1587.41</v>
      </c>
      <c r="AS171" s="7">
        <f t="shared" si="21"/>
        <v>9491.6</v>
      </c>
    </row>
    <row r="172" spans="1:45">
      <c r="A172" s="40" t="s">
        <v>719</v>
      </c>
      <c r="B172" s="40" t="s">
        <v>720</v>
      </c>
      <c r="C172" s="11">
        <f>ROUND((IFERROR((1/IF(VLOOKUP($A172,EnrollData2324,28,FALSE)='District Calculations'!$D$10,VLOOKUP($A172,EnrollData2324,28,FALSE),'District Calculations'!$D$10))*(1+Apport_Z315),0))+Apport_201A2324s,6)</f>
        <v>7.3449E-2</v>
      </c>
      <c r="D172">
        <f>ROUND(IF(VLOOKUP($A172,EnrollData2324,'2324 Jun 24 Enroll'!D$1,FALSE)='District Calculations'!$D$11,VLOOKUP($A172,EnrollData2324,'2324 Jun 24 Enroll'!D$1,FALSE),'District Calculations'!$D$11)*C172,3)</f>
        <v>0</v>
      </c>
      <c r="E172">
        <f>ROUND(IF(VLOOKUP($A172,EnrollData2324,'2324 Jun 24 Enroll'!E$1,FALSE)='District Calculations'!$D$12,VLOOKUP($A172,EnrollData2324,'2324 Jun 24 Enroll'!E$1,FALSE),'District Calculations'!$D$12)*C172,3)</f>
        <v>59.53</v>
      </c>
      <c r="F172">
        <f>ROUND(IF(VLOOKUP($A172,EnrollData2324,'2324 Jun 24 Enroll'!F$1,FALSE)='District Calculations'!$D$13,VLOOKUP($A172,EnrollData2324,'2324 Jun 24 Enroll'!F$1,FALSE),'District Calculations'!$D$13)*Apport_222A2324s,3)</f>
        <v>10.101000000000001</v>
      </c>
      <c r="G172">
        <f>ROUND(IF(VLOOKUP($A172,EnrollData2324,'2324 Jun 24 Enroll'!G$1,FALSE)='District Calculations'!$D$14,VLOOKUP($A172,EnrollData2324,'2324 Jun 24 Enroll'!G$1,FALSE),'District Calculations'!$D$14)*Apport_210A2324s,3)</f>
        <v>22.395</v>
      </c>
      <c r="H172">
        <f>ROUND(IF(VLOOKUP($A172,EnrollData2324,'2324 Jun 24 Enroll'!H$1,FALSE)='District Calculations'!$D$15,VLOOKUP($A172,EnrollData2324,'2324 Jun 24 Enroll'!H$1,FALSE),'District Calculations'!$D$15)*Apport_213A2324s,3)</f>
        <v>23.091999999999999</v>
      </c>
      <c r="I172">
        <f>ROUND(IF(VLOOKUP($A172,EnrollData2324,'2324 Jun 24 Enroll'!I$1,FALSE)+VLOOKUP($A172,EnrollData2324,'2324 Jun 24 Enroll'!M$1,FALSE)-VLOOKUP($A172,EnrollData2324,'2324 Jun 24 Enroll'!J$1,FALSE)='District Calculations'!$D$16+'District Calculations'!$D$25-'District Calculations'!$D$17,VLOOKUP($A172,EnrollData2324,'2324 Jun 24 Enroll'!I$1,FALSE)+VLOOKUP($A172,EnrollData2324,'2324 Jun 24 Enroll'!M$1,FALSE)-VLOOKUP($A172,EnrollData2324,'2324 Jun 24 Enroll'!J$1,FALSE),'District Calculations'!$D$16+'District Calculations'!$D$25-'District Calculations'!$D$17)*Apport_216A2324s,3)</f>
        <v>58.183999999999997</v>
      </c>
      <c r="J172">
        <f>ROUND(SUM(D172:I172)/(IF(VLOOKUP($A172,EnrollData2324,'2324 Jun 24 Enroll'!M$1,FALSE)='District Calculations'!$D$25,VLOOKUP($A172,EnrollData2324,'2324 Jun 24 Enroll'!M$1,FALSE),'District Calculations'!$D$25)+IF(VLOOKUP($A172,EnrollData2324,'2324 Jun 24 Enroll'!D$1,FALSE)='District Calculations'!$D$11,VLOOKUP($A172,EnrollData2324,'2324 Jun 24 Enroll'!D$1,FALSE),'District Calculations'!$D$11)),5)</f>
        <v>5.5530000000000003E-2</v>
      </c>
      <c r="K172" s="11">
        <f t="shared" si="17"/>
        <v>4.3699999999999998E-3</v>
      </c>
      <c r="L172">
        <f>ROUND(IF(VLOOKUP($A172,EnrollData2324,'2324 Jun 24 Enroll'!D$1,FALSE)='District Calculations'!$D$11,VLOOKUP($A172,EnrollData2324,'2324 Jun 24 Enroll'!D$1,FALSE),'District Calculations'!$D$11)*K172,3)</f>
        <v>0</v>
      </c>
      <c r="M172">
        <f>ROUND(IF(VLOOKUP($A172,EnrollData2324,'2324 Jun 24 Enroll'!E$1,FALSE)='District Calculations'!$D$12,VLOOKUP($A172,EnrollData2324,'2324 Jun 24 Enroll'!E$1,FALSE),'District Calculations'!$D$12)*K172,3)</f>
        <v>3.5419999999999998</v>
      </c>
      <c r="N172">
        <f>ROUND(IF(VLOOKUP($A172,EnrollData2324,'2324 Jun 24 Enroll'!F$1,FALSE)='District Calculations'!$D$13,VLOOKUP($A172,EnrollData2324,'2324 Jun 24 Enroll'!F$1,FALSE),'District Calculations'!$D$13)*Apport_223A2324s,3)</f>
        <v>0.84299999999999997</v>
      </c>
      <c r="O172">
        <f>ROUND(IF(VLOOKUP($A172,EnrollData2324,'2324 Jun 24 Enroll'!G$1,FALSE)='District Calculations'!$D$14,VLOOKUP($A172,EnrollData2324,'2324 Jun 24 Enroll'!G$1,FALSE),'District Calculations'!$D$14)*Apport_211A2324s,3)</f>
        <v>1.87</v>
      </c>
      <c r="P172">
        <f>ROUND(IF(VLOOKUP($A172,EnrollData2324,'2324 Jun 24 Enroll'!H$1,FALSE)='District Calculations'!$D$14,VLOOKUP($A172,EnrollData2324,'2324 Jun 24 Enroll'!H$1,FALSE),'District Calculations'!$D$14)*Apport_214A2324s,3)</f>
        <v>1.8680000000000001</v>
      </c>
      <c r="Q172">
        <f>ROUND(IF(VLOOKUP($A172,EnrollData2324,'2324 Jun 24 Enroll'!I$1,FALSE)+VLOOKUP($A172,EnrollData2324,'2324 Jun 24 Enroll'!M$1,FALSE)-VLOOKUP($A172,EnrollData2324,'2324 Jun 24 Enroll'!J$1,FALSE)='District Calculations'!$D$16+'District Calculations'!$D$25-'District Calculations'!$D$17,VLOOKUP($A172,EnrollData2324,'2324 Jun 24 Enroll'!I$1,FALSE)+VLOOKUP($A172,EnrollData2324,'2324 Jun 24 Enroll'!M$1,FALSE)-VLOOKUP($A172,EnrollData2324,'2324 Jun 24 Enroll'!J$1,FALSE),'District Calculations'!$D$16+'District Calculations'!$D$25-'District Calculations'!$D$17)*Apport_217A2324s,3)</f>
        <v>4.702</v>
      </c>
      <c r="R172">
        <f>ROUND(SUM(L172:Q172)/IF(VLOOKUP($A172,EnrollData2324,'2324 Jun 24 Enroll'!M$1,FALSE)+VLOOKUP($A172,EnrollData2324,'2324 Jun 24 Enroll'!D$1,FALSE)='District Calculations'!$D$25+'District Calculations'!$D$11,VLOOKUP($A172,EnrollData2324,'2324 Jun 24 Enroll'!M$1,FALSE)+VLOOKUP($A172,EnrollData2324,'2324 Jun 24 Enroll'!D$1,FALSE),'District Calculations'!$D$25+'District Calculations'!$D$11),5)</f>
        <v>4.1099999999999999E-3</v>
      </c>
      <c r="S172" s="11">
        <f t="shared" si="18"/>
        <v>1.8689600000000001E-2</v>
      </c>
      <c r="T172">
        <f>ROUND(IF(VLOOKUP($A172,EnrollData2324,'2324 Jun 24 Enroll'!D$1,FALSE)='District Calculations'!$D$11,VLOOKUP($A172,EnrollData2324,'2324 Jun 24 Enroll'!D$1,FALSE),'District Calculations'!$D$11)*S172,3)</f>
        <v>0</v>
      </c>
      <c r="U172">
        <f>ROUND(IF(VLOOKUP($A172,EnrollData2324,'2324 Jun 24 Enroll'!E$1,FALSE)='District Calculations'!$D$12,VLOOKUP($A172,EnrollData2324,'2324 Jun 24 Enroll'!E$1,FALSE),'District Calculations'!$D$12)*S172,3)</f>
        <v>15.148</v>
      </c>
      <c r="V172">
        <f>ROUND(IF(VLOOKUP($A172,EnrollData2324,'2324 Jun 24 Enroll'!F$1,FALSE)='District Calculations'!$D$13,VLOOKUP($A172,EnrollData2324,'2324 Jun 24 Enroll'!F$1,FALSE),'District Calculations'!$D$13)*Apport_224A2324s,3)</f>
        <v>3.7029999999999998</v>
      </c>
      <c r="W172">
        <f>ROUND(IF(VLOOKUP($A172,EnrollData2324,'2324 Jun 24 Enroll'!G$1,FALSE)='District Calculations'!$D$14,VLOOKUP($A172,EnrollData2324,'2324 Jun 24 Enroll'!G$1,FALSE),'District Calculations'!$D$14)*Apport_212A2324s,3)</f>
        <v>8.2089999999999996</v>
      </c>
      <c r="X172">
        <f>ROUND(IF(VLOOKUP($A172,EnrollData2324,'2324 Jun 24 Enroll'!H$1,FALSE)='District Calculations'!$D$14,VLOOKUP($A172,EnrollData2324,'2324 Jun 24 Enroll'!H$1,FALSE),'District Calculations'!$D$14)*Apport_215A2324s,3)</f>
        <v>8.0969999999999995</v>
      </c>
      <c r="Y172">
        <f>ROUND(IF(VLOOKUP($A172,EnrollData2324,'2324 Jun 24 Enroll'!I$1,FALSE)+VLOOKUP($A172,EnrollData2324,'2324 Jun 24 Enroll'!M$1,FALSE)-VLOOKUP($A172,EnrollData2324,'2324 Jun 24 Enroll'!J$1,FALSE)='District Calculations'!$D$16+'District Calculations'!$D$25-'District Calculations'!$D$17,VLOOKUP($A172,EnrollData2324,'2324 Jun 24 Enroll'!I$1,FALSE)+VLOOKUP($A172,EnrollData2324,'2324 Jun 24 Enroll'!M$1,FALSE)-VLOOKUP($A172,EnrollData2324,'2324 Jun 24 Enroll'!J$1,FALSE),'District Calculations'!$D$16+'District Calculations'!$D$25-'District Calculations'!$D$17)*Apport_218A2324s,3)</f>
        <v>20.224</v>
      </c>
      <c r="Z172">
        <f>ROUND(SUM(T172:Y172)/IF(VLOOKUP($A172,EnrollData2324,'2324 Jun 24 Enroll'!M$1,FALSE)+VLOOKUP($A172,EnrollData2324,'2324 Jun 24 Enroll'!D$1,FALSE)='District Calculations'!$D$25+'District Calculations'!$D$11,VLOOKUP($A172,EnrollData2324,'2324 Jun 24 Enroll'!M$1,FALSE)+VLOOKUP($A172,EnrollData2324,'2324 Jun 24 Enroll'!D$1,FALSE),'District Calculations'!$D$25+'District Calculations'!$D$11),5)</f>
        <v>1.7749999999999998E-2</v>
      </c>
      <c r="AA172" s="6" cm="1">
        <f t="array" ref="AA172">ROUND($J172*CIS_Base_Salary2324s*VLOOKUP($A172,EnrollData2324,'2324 Jun 24 Enroll'!S$1,FALSE),2)</f>
        <v>4038.59</v>
      </c>
      <c r="AB172" s="6" cm="1">
        <f t="array" ref="AB172">ROUND($J172*CIS_Inc_Salary2324s*(VLOOKUP($A172,EnrollData2324,'2324 Jun 24 Enroll'!T$1,FALSE)+VLOOKUP($A172,EnrollData2324,'2324 Jun 24 Enroll'!U$1,FALSE)),2)-AA172</f>
        <v>149.43000000000029</v>
      </c>
      <c r="AC172" s="6" cm="1">
        <f t="array" ref="AC172">ROUND($R172*CAS_Base_Salary2324s*VLOOKUP($A172,EnrollData2324,'2324 Jun 24 Enroll'!S$1,FALSE),2)</f>
        <v>443.7</v>
      </c>
      <c r="AD172" s="6" cm="1">
        <f t="array" ref="AD172">ROUND($R172*CAS_Inc_Salary2324s*VLOOKUP($A172,EnrollData2324,'2324 Jun 24 Enroll'!T$1,FALSE),2)-AC172</f>
        <v>16.410000000000025</v>
      </c>
      <c r="AE172" s="6" cm="1">
        <f t="array" ref="AE172">ROUND($Z172*CLS_Base_Salary2324s*VLOOKUP($A172,EnrollData2324,'2324 Jun 24 Enroll'!S$1,FALSE),2)</f>
        <v>926.07</v>
      </c>
      <c r="AF172" s="6" cm="1">
        <f t="array" ref="AF172">ROUND($Z172*CLS_Inc_Salary2324s*VLOOKUP($A172,EnrollData2324,'2324 Jun 24 Enroll'!T$1,FALSE),2)-AE172</f>
        <v>34.259999999999991</v>
      </c>
      <c r="AG172" cm="1">
        <f t="array" ref="AG172">ROUND(($J172+$R172)*Apport_124X2324s,2)</f>
        <v>734.29</v>
      </c>
      <c r="AH172" s="69">
        <f t="shared" si="19"/>
        <v>68.700000000000045</v>
      </c>
      <c r="AI172" cm="1">
        <f t="array" ref="AI172">ROUND($Z172*Apport_124X2324s,2)</f>
        <v>218.54</v>
      </c>
      <c r="AJ172" cm="1">
        <f t="array" ref="AJ172">ROUND($Z172*Apport_621X2324s*Apport_125X2324s,2)-AI172</f>
        <v>116.51000000000002</v>
      </c>
      <c r="AK172" cm="1">
        <f t="array" ref="AK172">ROUND((AA172+AC172)*Apport_126X2324s,2)</f>
        <v>805.47</v>
      </c>
      <c r="AL172" cm="1">
        <f t="array" ref="AL172">ROUND((AB172+AD172)*Apport_127X2324s,2)</f>
        <v>28.74</v>
      </c>
      <c r="AM172" cm="1">
        <f t="array" ref="AM172">ROUND(AE172*Apport_128X2324s,2)</f>
        <v>204.29</v>
      </c>
      <c r="AN172" cm="1">
        <f t="array" ref="AN172">ROUND(AF172*Apport_129X2324s,2)</f>
        <v>6.36</v>
      </c>
      <c r="AO172" cm="1">
        <f t="array" ref="AO172">ROUND(($J172*CIS_Inc_Salary2324s*(VLOOKUP($A172,EnrollData2324,'2324 Jun 24 Enroll'!T$1,FALSE)+VLOOKUP($A172,EnrollData2324,'2324 Jun 24 Enroll'!U$1,FALSE))/Apport_613Xpd)*Apport_614Xpd,2)</f>
        <v>69.8</v>
      </c>
      <c r="AP172" cm="1">
        <f t="array" ref="AP172">ROUND(AO172*Apport_127X2324s,2)</f>
        <v>12.1</v>
      </c>
      <c r="AQ172">
        <f t="shared" si="20"/>
        <v>30.93</v>
      </c>
      <c r="AR172" s="6" cm="1">
        <f t="array" ref="AR172">ROUND((VLOOKUP($A172,EnrollData2324,'2324 Jun 24 Enroll'!D$1,FALSE)*Apport_M802324s+VLOOKUP($A172,EnrollData2324,'2324 Jun 24 Enroll'!M$1,FALSE)*Apport_M802324s+(VLOOKUP($A172,EnrollData2324,'2324 Jun 24 Enroll'!P$1,FALSE)+VLOOKUP($A172,EnrollData2324,'2324 Jun 24 Enroll'!Q$1,FALSE)+VLOOKUP($A172,EnrollData2324,'2324 Jun 24 Enroll'!R$1,FALSE)+VLOOKUP($A172,EnrollData2324,'2324 Jun 24 Enroll'!I$1,FALSE)+VLOOKUP($A172,EnrollData2324,'2324 Jun 24 Enroll'!N$1,FALSE)+VLOOKUP($A172,EnrollData2324,'2324 Jun 24 Enroll'!O$1,FALSE)+VLOOKUP($A172,EnrollData2324,'2324 Jun 24 Enroll'!K$1,FALSE)+VLOOKUP($A172,EnrollData2324,'2324 Jun 24 Enroll'!L$1,FALSE))*Apport_M812324s)/(VLOOKUP($A172,EnrollData2324,'2324 Jun 24 Enroll'!M$1,FALSE)+VLOOKUP($A172,EnrollData2324,'2324 Jun 24 Enroll'!D$1,FALSE)),2)</f>
        <v>1575.65</v>
      </c>
      <c r="AS172" s="7">
        <f t="shared" si="21"/>
        <v>9479.84</v>
      </c>
    </row>
    <row r="173" spans="1:45">
      <c r="A173" s="40" t="s">
        <v>319</v>
      </c>
      <c r="B173" s="40" t="s">
        <v>320</v>
      </c>
      <c r="C173" s="11">
        <f>ROUND((IFERROR((1/IF(VLOOKUP($A173,EnrollData2324,28,FALSE)='District Calculations'!$D$10,VLOOKUP($A173,EnrollData2324,28,FALSE),'District Calculations'!$D$10))*(1+Apport_Z315),0))+Apport_201A2324s,6)</f>
        <v>7.3449E-2</v>
      </c>
      <c r="D173">
        <f>ROUND(IF(VLOOKUP($A173,EnrollData2324,'2324 Jun 24 Enroll'!D$1,FALSE)='District Calculations'!$D$11,VLOOKUP($A173,EnrollData2324,'2324 Jun 24 Enroll'!D$1,FALSE),'District Calculations'!$D$11)*C173,3)</f>
        <v>0</v>
      </c>
      <c r="E173">
        <f>ROUND(IF(VLOOKUP($A173,EnrollData2324,'2324 Jun 24 Enroll'!E$1,FALSE)='District Calculations'!$D$12,VLOOKUP($A173,EnrollData2324,'2324 Jun 24 Enroll'!E$1,FALSE),'District Calculations'!$D$12)*C173,3)</f>
        <v>59.53</v>
      </c>
      <c r="F173">
        <f>ROUND(IF(VLOOKUP($A173,EnrollData2324,'2324 Jun 24 Enroll'!F$1,FALSE)='District Calculations'!$D$13,VLOOKUP($A173,EnrollData2324,'2324 Jun 24 Enroll'!F$1,FALSE),'District Calculations'!$D$13)*Apport_222A2324s,3)</f>
        <v>10.101000000000001</v>
      </c>
      <c r="G173">
        <f>ROUND(IF(VLOOKUP($A173,EnrollData2324,'2324 Jun 24 Enroll'!G$1,FALSE)='District Calculations'!$D$14,VLOOKUP($A173,EnrollData2324,'2324 Jun 24 Enroll'!G$1,FALSE),'District Calculations'!$D$14)*Apport_210A2324s,3)</f>
        <v>22.395</v>
      </c>
      <c r="H173">
        <f>ROUND(IF(VLOOKUP($A173,EnrollData2324,'2324 Jun 24 Enroll'!H$1,FALSE)='District Calculations'!$D$15,VLOOKUP($A173,EnrollData2324,'2324 Jun 24 Enroll'!H$1,FALSE),'District Calculations'!$D$15)*Apport_213A2324s,3)</f>
        <v>23.091999999999999</v>
      </c>
      <c r="I173">
        <f>ROUND(IF(VLOOKUP($A173,EnrollData2324,'2324 Jun 24 Enroll'!I$1,FALSE)+VLOOKUP($A173,EnrollData2324,'2324 Jun 24 Enroll'!M$1,FALSE)-VLOOKUP($A173,EnrollData2324,'2324 Jun 24 Enroll'!J$1,FALSE)='District Calculations'!$D$16+'District Calculations'!$D$25-'District Calculations'!$D$17,VLOOKUP($A173,EnrollData2324,'2324 Jun 24 Enroll'!I$1,FALSE)+VLOOKUP($A173,EnrollData2324,'2324 Jun 24 Enroll'!M$1,FALSE)-VLOOKUP($A173,EnrollData2324,'2324 Jun 24 Enroll'!J$1,FALSE),'District Calculations'!$D$16+'District Calculations'!$D$25-'District Calculations'!$D$17)*Apport_216A2324s,3)</f>
        <v>58.183999999999997</v>
      </c>
      <c r="J173">
        <f>ROUND(SUM(D173:I173)/(IF(VLOOKUP($A173,EnrollData2324,'2324 Jun 24 Enroll'!M$1,FALSE)='District Calculations'!$D$25,VLOOKUP($A173,EnrollData2324,'2324 Jun 24 Enroll'!M$1,FALSE),'District Calculations'!$D$25)+IF(VLOOKUP($A173,EnrollData2324,'2324 Jun 24 Enroll'!D$1,FALSE)='District Calculations'!$D$11,VLOOKUP($A173,EnrollData2324,'2324 Jun 24 Enroll'!D$1,FALSE),'District Calculations'!$D$11)),5)</f>
        <v>5.5530000000000003E-2</v>
      </c>
      <c r="K173" s="11">
        <f t="shared" si="17"/>
        <v>4.3699999999999998E-3</v>
      </c>
      <c r="L173">
        <f>ROUND(IF(VLOOKUP($A173,EnrollData2324,'2324 Jun 24 Enroll'!D$1,FALSE)='District Calculations'!$D$11,VLOOKUP($A173,EnrollData2324,'2324 Jun 24 Enroll'!D$1,FALSE),'District Calculations'!$D$11)*K173,3)</f>
        <v>0</v>
      </c>
      <c r="M173">
        <f>ROUND(IF(VLOOKUP($A173,EnrollData2324,'2324 Jun 24 Enroll'!E$1,FALSE)='District Calculations'!$D$12,VLOOKUP($A173,EnrollData2324,'2324 Jun 24 Enroll'!E$1,FALSE),'District Calculations'!$D$12)*K173,3)</f>
        <v>3.5419999999999998</v>
      </c>
      <c r="N173">
        <f>ROUND(IF(VLOOKUP($A173,EnrollData2324,'2324 Jun 24 Enroll'!F$1,FALSE)='District Calculations'!$D$13,VLOOKUP($A173,EnrollData2324,'2324 Jun 24 Enroll'!F$1,FALSE),'District Calculations'!$D$13)*Apport_223A2324s,3)</f>
        <v>0.84299999999999997</v>
      </c>
      <c r="O173">
        <f>ROUND(IF(VLOOKUP($A173,EnrollData2324,'2324 Jun 24 Enroll'!G$1,FALSE)='District Calculations'!$D$14,VLOOKUP($A173,EnrollData2324,'2324 Jun 24 Enroll'!G$1,FALSE),'District Calculations'!$D$14)*Apport_211A2324s,3)</f>
        <v>1.87</v>
      </c>
      <c r="P173">
        <f>ROUND(IF(VLOOKUP($A173,EnrollData2324,'2324 Jun 24 Enroll'!H$1,FALSE)='District Calculations'!$D$14,VLOOKUP($A173,EnrollData2324,'2324 Jun 24 Enroll'!H$1,FALSE),'District Calculations'!$D$14)*Apport_214A2324s,3)</f>
        <v>1.8680000000000001</v>
      </c>
      <c r="Q173">
        <f>ROUND(IF(VLOOKUP($A173,EnrollData2324,'2324 Jun 24 Enroll'!I$1,FALSE)+VLOOKUP($A173,EnrollData2324,'2324 Jun 24 Enroll'!M$1,FALSE)-VLOOKUP($A173,EnrollData2324,'2324 Jun 24 Enroll'!J$1,FALSE)='District Calculations'!$D$16+'District Calculations'!$D$25-'District Calculations'!$D$17,VLOOKUP($A173,EnrollData2324,'2324 Jun 24 Enroll'!I$1,FALSE)+VLOOKUP($A173,EnrollData2324,'2324 Jun 24 Enroll'!M$1,FALSE)-VLOOKUP($A173,EnrollData2324,'2324 Jun 24 Enroll'!J$1,FALSE),'District Calculations'!$D$16+'District Calculations'!$D$25-'District Calculations'!$D$17)*Apport_217A2324s,3)</f>
        <v>4.702</v>
      </c>
      <c r="R173">
        <f>ROUND(SUM(L173:Q173)/IF(VLOOKUP($A173,EnrollData2324,'2324 Jun 24 Enroll'!M$1,FALSE)+VLOOKUP($A173,EnrollData2324,'2324 Jun 24 Enroll'!D$1,FALSE)='District Calculations'!$D$25+'District Calculations'!$D$11,VLOOKUP($A173,EnrollData2324,'2324 Jun 24 Enroll'!M$1,FALSE)+VLOOKUP($A173,EnrollData2324,'2324 Jun 24 Enroll'!D$1,FALSE),'District Calculations'!$D$25+'District Calculations'!$D$11),5)</f>
        <v>4.1099999999999999E-3</v>
      </c>
      <c r="S173" s="11">
        <f t="shared" si="18"/>
        <v>1.8689600000000001E-2</v>
      </c>
      <c r="T173">
        <f>ROUND(IF(VLOOKUP($A173,EnrollData2324,'2324 Jun 24 Enroll'!D$1,FALSE)='District Calculations'!$D$11,VLOOKUP($A173,EnrollData2324,'2324 Jun 24 Enroll'!D$1,FALSE),'District Calculations'!$D$11)*S173,3)</f>
        <v>0</v>
      </c>
      <c r="U173">
        <f>ROUND(IF(VLOOKUP($A173,EnrollData2324,'2324 Jun 24 Enroll'!E$1,FALSE)='District Calculations'!$D$12,VLOOKUP($A173,EnrollData2324,'2324 Jun 24 Enroll'!E$1,FALSE),'District Calculations'!$D$12)*S173,3)</f>
        <v>15.148</v>
      </c>
      <c r="V173">
        <f>ROUND(IF(VLOOKUP($A173,EnrollData2324,'2324 Jun 24 Enroll'!F$1,FALSE)='District Calculations'!$D$13,VLOOKUP($A173,EnrollData2324,'2324 Jun 24 Enroll'!F$1,FALSE),'District Calculations'!$D$13)*Apport_224A2324s,3)</f>
        <v>3.7029999999999998</v>
      </c>
      <c r="W173">
        <f>ROUND(IF(VLOOKUP($A173,EnrollData2324,'2324 Jun 24 Enroll'!G$1,FALSE)='District Calculations'!$D$14,VLOOKUP($A173,EnrollData2324,'2324 Jun 24 Enroll'!G$1,FALSE),'District Calculations'!$D$14)*Apport_212A2324s,3)</f>
        <v>8.2089999999999996</v>
      </c>
      <c r="X173">
        <f>ROUND(IF(VLOOKUP($A173,EnrollData2324,'2324 Jun 24 Enroll'!H$1,FALSE)='District Calculations'!$D$14,VLOOKUP($A173,EnrollData2324,'2324 Jun 24 Enroll'!H$1,FALSE),'District Calculations'!$D$14)*Apport_215A2324s,3)</f>
        <v>8.0969999999999995</v>
      </c>
      <c r="Y173">
        <f>ROUND(IF(VLOOKUP($A173,EnrollData2324,'2324 Jun 24 Enroll'!I$1,FALSE)+VLOOKUP($A173,EnrollData2324,'2324 Jun 24 Enroll'!M$1,FALSE)-VLOOKUP($A173,EnrollData2324,'2324 Jun 24 Enroll'!J$1,FALSE)='District Calculations'!$D$16+'District Calculations'!$D$25-'District Calculations'!$D$17,VLOOKUP($A173,EnrollData2324,'2324 Jun 24 Enroll'!I$1,FALSE)+VLOOKUP($A173,EnrollData2324,'2324 Jun 24 Enroll'!M$1,FALSE)-VLOOKUP($A173,EnrollData2324,'2324 Jun 24 Enroll'!J$1,FALSE),'District Calculations'!$D$16+'District Calculations'!$D$25-'District Calculations'!$D$17)*Apport_218A2324s,3)</f>
        <v>20.224</v>
      </c>
      <c r="Z173">
        <f>ROUND(SUM(T173:Y173)/IF(VLOOKUP($A173,EnrollData2324,'2324 Jun 24 Enroll'!M$1,FALSE)+VLOOKUP($A173,EnrollData2324,'2324 Jun 24 Enroll'!D$1,FALSE)='District Calculations'!$D$25+'District Calculations'!$D$11,VLOOKUP($A173,EnrollData2324,'2324 Jun 24 Enroll'!M$1,FALSE)+VLOOKUP($A173,EnrollData2324,'2324 Jun 24 Enroll'!D$1,FALSE),'District Calculations'!$D$25+'District Calculations'!$D$11),5)</f>
        <v>1.7749999999999998E-2</v>
      </c>
      <c r="AA173" s="6" cm="1">
        <f t="array" ref="AA173">ROUND($J173*CIS_Base_Salary2324s*VLOOKUP($A173,EnrollData2324,'2324 Jun 24 Enroll'!S$1,FALSE),2)</f>
        <v>4038.59</v>
      </c>
      <c r="AB173" s="6" cm="1">
        <f t="array" ref="AB173">ROUND($J173*CIS_Inc_Salary2324s*(VLOOKUP($A173,EnrollData2324,'2324 Jun 24 Enroll'!T$1,FALSE)+VLOOKUP($A173,EnrollData2324,'2324 Jun 24 Enroll'!U$1,FALSE)),2)-AA173</f>
        <v>233.1899999999996</v>
      </c>
      <c r="AC173" s="6" cm="1">
        <f t="array" ref="AC173">ROUND($R173*CAS_Base_Salary2324s*VLOOKUP($A173,EnrollData2324,'2324 Jun 24 Enroll'!S$1,FALSE),2)</f>
        <v>443.7</v>
      </c>
      <c r="AD173" s="6" cm="1">
        <f t="array" ref="AD173">ROUND($R173*CAS_Inc_Salary2324s*VLOOKUP($A173,EnrollData2324,'2324 Jun 24 Enroll'!T$1,FALSE),2)-AC173</f>
        <v>16.410000000000025</v>
      </c>
      <c r="AE173" s="6" cm="1">
        <f t="array" ref="AE173">ROUND($Z173*CLS_Base_Salary2324s*VLOOKUP($A173,EnrollData2324,'2324 Jun 24 Enroll'!S$1,FALSE),2)</f>
        <v>926.07</v>
      </c>
      <c r="AF173" s="6" cm="1">
        <f t="array" ref="AF173">ROUND($Z173*CLS_Inc_Salary2324s*VLOOKUP($A173,EnrollData2324,'2324 Jun 24 Enroll'!T$1,FALSE),2)-AE173</f>
        <v>34.259999999999991</v>
      </c>
      <c r="AG173" cm="1">
        <f t="array" ref="AG173">ROUND(($J173+$R173)*Apport_124X2324s,2)</f>
        <v>734.29</v>
      </c>
      <c r="AH173" s="69">
        <f t="shared" si="19"/>
        <v>68.700000000000045</v>
      </c>
      <c r="AI173" cm="1">
        <f t="array" ref="AI173">ROUND($Z173*Apport_124X2324s,2)</f>
        <v>218.54</v>
      </c>
      <c r="AJ173" cm="1">
        <f t="array" ref="AJ173">ROUND($Z173*Apport_621X2324s*Apport_125X2324s,2)-AI173</f>
        <v>116.51000000000002</v>
      </c>
      <c r="AK173" cm="1">
        <f t="array" ref="AK173">ROUND((AA173+AC173)*Apport_126X2324s,2)</f>
        <v>805.47</v>
      </c>
      <c r="AL173" cm="1">
        <f t="array" ref="AL173">ROUND((AB173+AD173)*Apport_127X2324s,2)</f>
        <v>43.26</v>
      </c>
      <c r="AM173" cm="1">
        <f t="array" ref="AM173">ROUND(AE173*Apport_128X2324s,2)</f>
        <v>204.29</v>
      </c>
      <c r="AN173" cm="1">
        <f t="array" ref="AN173">ROUND(AF173*Apport_129X2324s,2)</f>
        <v>6.36</v>
      </c>
      <c r="AO173" cm="1">
        <f t="array" ref="AO173">ROUND(($J173*CIS_Inc_Salary2324s*(VLOOKUP($A173,EnrollData2324,'2324 Jun 24 Enroll'!T$1,FALSE)+VLOOKUP($A173,EnrollData2324,'2324 Jun 24 Enroll'!U$1,FALSE))/Apport_613Xpd)*Apport_614Xpd,2)</f>
        <v>71.2</v>
      </c>
      <c r="AP173" cm="1">
        <f t="array" ref="AP173">ROUND(AO173*Apport_127X2324s,2)</f>
        <v>12.34</v>
      </c>
      <c r="AQ173">
        <f t="shared" si="20"/>
        <v>30.93</v>
      </c>
      <c r="AR173" s="6" cm="1">
        <f t="array" ref="AR173">ROUND((VLOOKUP($A173,EnrollData2324,'2324 Jun 24 Enroll'!D$1,FALSE)*Apport_M802324s+VLOOKUP($A173,EnrollData2324,'2324 Jun 24 Enroll'!M$1,FALSE)*Apport_M802324s+(VLOOKUP($A173,EnrollData2324,'2324 Jun 24 Enroll'!P$1,FALSE)+VLOOKUP($A173,EnrollData2324,'2324 Jun 24 Enroll'!Q$1,FALSE)+VLOOKUP($A173,EnrollData2324,'2324 Jun 24 Enroll'!R$1,FALSE)+VLOOKUP($A173,EnrollData2324,'2324 Jun 24 Enroll'!I$1,FALSE)+VLOOKUP($A173,EnrollData2324,'2324 Jun 24 Enroll'!N$1,FALSE)+VLOOKUP($A173,EnrollData2324,'2324 Jun 24 Enroll'!O$1,FALSE)+VLOOKUP($A173,EnrollData2324,'2324 Jun 24 Enroll'!K$1,FALSE)+VLOOKUP($A173,EnrollData2324,'2324 Jun 24 Enroll'!L$1,FALSE))*Apport_M812324s)/(VLOOKUP($A173,EnrollData2324,'2324 Jun 24 Enroll'!M$1,FALSE)+VLOOKUP($A173,EnrollData2324,'2324 Jun 24 Enroll'!D$1,FALSE)),2)</f>
        <v>1551.28</v>
      </c>
      <c r="AS173" s="7">
        <f t="shared" si="21"/>
        <v>9555.39</v>
      </c>
    </row>
    <row r="174" spans="1:45">
      <c r="A174" s="40" t="s">
        <v>414</v>
      </c>
      <c r="B174" s="40" t="s">
        <v>415</v>
      </c>
      <c r="C174" s="11">
        <f>ROUND((IFERROR((1/IF(VLOOKUP($A174,EnrollData2324,28,FALSE)='District Calculations'!$D$10,VLOOKUP($A174,EnrollData2324,28,FALSE),'District Calculations'!$D$10))*(1+Apport_Z315),0))+Apport_201A2324s,6)</f>
        <v>7.3449E-2</v>
      </c>
      <c r="D174">
        <f>ROUND(IF(VLOOKUP($A174,EnrollData2324,'2324 Jun 24 Enroll'!D$1,FALSE)='District Calculations'!$D$11,VLOOKUP($A174,EnrollData2324,'2324 Jun 24 Enroll'!D$1,FALSE),'District Calculations'!$D$11)*C174,3)</f>
        <v>0</v>
      </c>
      <c r="E174">
        <f>ROUND(IF(VLOOKUP($A174,EnrollData2324,'2324 Jun 24 Enroll'!E$1,FALSE)='District Calculations'!$D$12,VLOOKUP($A174,EnrollData2324,'2324 Jun 24 Enroll'!E$1,FALSE),'District Calculations'!$D$12)*C174,3)</f>
        <v>59.53</v>
      </c>
      <c r="F174">
        <f>ROUND(IF(VLOOKUP($A174,EnrollData2324,'2324 Jun 24 Enroll'!F$1,FALSE)='District Calculations'!$D$13,VLOOKUP($A174,EnrollData2324,'2324 Jun 24 Enroll'!F$1,FALSE),'District Calculations'!$D$13)*Apport_222A2324s,3)</f>
        <v>10.101000000000001</v>
      </c>
      <c r="G174">
        <f>ROUND(IF(VLOOKUP($A174,EnrollData2324,'2324 Jun 24 Enroll'!G$1,FALSE)='District Calculations'!$D$14,VLOOKUP($A174,EnrollData2324,'2324 Jun 24 Enroll'!G$1,FALSE),'District Calculations'!$D$14)*Apport_210A2324s,3)</f>
        <v>22.395</v>
      </c>
      <c r="H174">
        <f>ROUND(IF(VLOOKUP($A174,EnrollData2324,'2324 Jun 24 Enroll'!H$1,FALSE)='District Calculations'!$D$15,VLOOKUP($A174,EnrollData2324,'2324 Jun 24 Enroll'!H$1,FALSE),'District Calculations'!$D$15)*Apport_213A2324s,3)</f>
        <v>23.091999999999999</v>
      </c>
      <c r="I174">
        <f>ROUND(IF(VLOOKUP($A174,EnrollData2324,'2324 Jun 24 Enroll'!I$1,FALSE)+VLOOKUP($A174,EnrollData2324,'2324 Jun 24 Enroll'!M$1,FALSE)-VLOOKUP($A174,EnrollData2324,'2324 Jun 24 Enroll'!J$1,FALSE)='District Calculations'!$D$16+'District Calculations'!$D$25-'District Calculations'!$D$17,VLOOKUP($A174,EnrollData2324,'2324 Jun 24 Enroll'!I$1,FALSE)+VLOOKUP($A174,EnrollData2324,'2324 Jun 24 Enroll'!M$1,FALSE)-VLOOKUP($A174,EnrollData2324,'2324 Jun 24 Enroll'!J$1,FALSE),'District Calculations'!$D$16+'District Calculations'!$D$25-'District Calculations'!$D$17)*Apport_216A2324s,3)</f>
        <v>58.183999999999997</v>
      </c>
      <c r="J174">
        <f>ROUND(SUM(D174:I174)/(IF(VLOOKUP($A174,EnrollData2324,'2324 Jun 24 Enroll'!M$1,FALSE)='District Calculations'!$D$25,VLOOKUP($A174,EnrollData2324,'2324 Jun 24 Enroll'!M$1,FALSE),'District Calculations'!$D$25)+IF(VLOOKUP($A174,EnrollData2324,'2324 Jun 24 Enroll'!D$1,FALSE)='District Calculations'!$D$11,VLOOKUP($A174,EnrollData2324,'2324 Jun 24 Enroll'!D$1,FALSE),'District Calculations'!$D$11)),5)</f>
        <v>5.5530000000000003E-2</v>
      </c>
      <c r="K174" s="11">
        <f t="shared" si="17"/>
        <v>4.3699999999999998E-3</v>
      </c>
      <c r="L174">
        <f>ROUND(IF(VLOOKUP($A174,EnrollData2324,'2324 Jun 24 Enroll'!D$1,FALSE)='District Calculations'!$D$11,VLOOKUP($A174,EnrollData2324,'2324 Jun 24 Enroll'!D$1,FALSE),'District Calculations'!$D$11)*K174,3)</f>
        <v>0</v>
      </c>
      <c r="M174">
        <f>ROUND(IF(VLOOKUP($A174,EnrollData2324,'2324 Jun 24 Enroll'!E$1,FALSE)='District Calculations'!$D$12,VLOOKUP($A174,EnrollData2324,'2324 Jun 24 Enroll'!E$1,FALSE),'District Calculations'!$D$12)*K174,3)</f>
        <v>3.5419999999999998</v>
      </c>
      <c r="N174">
        <f>ROUND(IF(VLOOKUP($A174,EnrollData2324,'2324 Jun 24 Enroll'!F$1,FALSE)='District Calculations'!$D$13,VLOOKUP($A174,EnrollData2324,'2324 Jun 24 Enroll'!F$1,FALSE),'District Calculations'!$D$13)*Apport_223A2324s,3)</f>
        <v>0.84299999999999997</v>
      </c>
      <c r="O174">
        <f>ROUND(IF(VLOOKUP($A174,EnrollData2324,'2324 Jun 24 Enroll'!G$1,FALSE)='District Calculations'!$D$14,VLOOKUP($A174,EnrollData2324,'2324 Jun 24 Enroll'!G$1,FALSE),'District Calculations'!$D$14)*Apport_211A2324s,3)</f>
        <v>1.87</v>
      </c>
      <c r="P174">
        <f>ROUND(IF(VLOOKUP($A174,EnrollData2324,'2324 Jun 24 Enroll'!H$1,FALSE)='District Calculations'!$D$14,VLOOKUP($A174,EnrollData2324,'2324 Jun 24 Enroll'!H$1,FALSE),'District Calculations'!$D$14)*Apport_214A2324s,3)</f>
        <v>1.8680000000000001</v>
      </c>
      <c r="Q174">
        <f>ROUND(IF(VLOOKUP($A174,EnrollData2324,'2324 Jun 24 Enroll'!I$1,FALSE)+VLOOKUP($A174,EnrollData2324,'2324 Jun 24 Enroll'!M$1,FALSE)-VLOOKUP($A174,EnrollData2324,'2324 Jun 24 Enroll'!J$1,FALSE)='District Calculations'!$D$16+'District Calculations'!$D$25-'District Calculations'!$D$17,VLOOKUP($A174,EnrollData2324,'2324 Jun 24 Enroll'!I$1,FALSE)+VLOOKUP($A174,EnrollData2324,'2324 Jun 24 Enroll'!M$1,FALSE)-VLOOKUP($A174,EnrollData2324,'2324 Jun 24 Enroll'!J$1,FALSE),'District Calculations'!$D$16+'District Calculations'!$D$25-'District Calculations'!$D$17)*Apport_217A2324s,3)</f>
        <v>4.702</v>
      </c>
      <c r="R174">
        <f>ROUND(SUM(L174:Q174)/IF(VLOOKUP($A174,EnrollData2324,'2324 Jun 24 Enroll'!M$1,FALSE)+VLOOKUP($A174,EnrollData2324,'2324 Jun 24 Enroll'!D$1,FALSE)='District Calculations'!$D$25+'District Calculations'!$D$11,VLOOKUP($A174,EnrollData2324,'2324 Jun 24 Enroll'!M$1,FALSE)+VLOOKUP($A174,EnrollData2324,'2324 Jun 24 Enroll'!D$1,FALSE),'District Calculations'!$D$25+'District Calculations'!$D$11),5)</f>
        <v>4.1099999999999999E-3</v>
      </c>
      <c r="S174" s="11">
        <f t="shared" si="18"/>
        <v>1.8689600000000001E-2</v>
      </c>
      <c r="T174">
        <f>ROUND(IF(VLOOKUP($A174,EnrollData2324,'2324 Jun 24 Enroll'!D$1,FALSE)='District Calculations'!$D$11,VLOOKUP($A174,EnrollData2324,'2324 Jun 24 Enroll'!D$1,FALSE),'District Calculations'!$D$11)*S174,3)</f>
        <v>0</v>
      </c>
      <c r="U174">
        <f>ROUND(IF(VLOOKUP($A174,EnrollData2324,'2324 Jun 24 Enroll'!E$1,FALSE)='District Calculations'!$D$12,VLOOKUP($A174,EnrollData2324,'2324 Jun 24 Enroll'!E$1,FALSE),'District Calculations'!$D$12)*S174,3)</f>
        <v>15.148</v>
      </c>
      <c r="V174">
        <f>ROUND(IF(VLOOKUP($A174,EnrollData2324,'2324 Jun 24 Enroll'!F$1,FALSE)='District Calculations'!$D$13,VLOOKUP($A174,EnrollData2324,'2324 Jun 24 Enroll'!F$1,FALSE),'District Calculations'!$D$13)*Apport_224A2324s,3)</f>
        <v>3.7029999999999998</v>
      </c>
      <c r="W174">
        <f>ROUND(IF(VLOOKUP($A174,EnrollData2324,'2324 Jun 24 Enroll'!G$1,FALSE)='District Calculations'!$D$14,VLOOKUP($A174,EnrollData2324,'2324 Jun 24 Enroll'!G$1,FALSE),'District Calculations'!$D$14)*Apport_212A2324s,3)</f>
        <v>8.2089999999999996</v>
      </c>
      <c r="X174">
        <f>ROUND(IF(VLOOKUP($A174,EnrollData2324,'2324 Jun 24 Enroll'!H$1,FALSE)='District Calculations'!$D$14,VLOOKUP($A174,EnrollData2324,'2324 Jun 24 Enroll'!H$1,FALSE),'District Calculations'!$D$14)*Apport_215A2324s,3)</f>
        <v>8.0969999999999995</v>
      </c>
      <c r="Y174">
        <f>ROUND(IF(VLOOKUP($A174,EnrollData2324,'2324 Jun 24 Enroll'!I$1,FALSE)+VLOOKUP($A174,EnrollData2324,'2324 Jun 24 Enroll'!M$1,FALSE)-VLOOKUP($A174,EnrollData2324,'2324 Jun 24 Enroll'!J$1,FALSE)='District Calculations'!$D$16+'District Calculations'!$D$25-'District Calculations'!$D$17,VLOOKUP($A174,EnrollData2324,'2324 Jun 24 Enroll'!I$1,FALSE)+VLOOKUP($A174,EnrollData2324,'2324 Jun 24 Enroll'!M$1,FALSE)-VLOOKUP($A174,EnrollData2324,'2324 Jun 24 Enroll'!J$1,FALSE),'District Calculations'!$D$16+'District Calculations'!$D$25-'District Calculations'!$D$17)*Apport_218A2324s,3)</f>
        <v>20.224</v>
      </c>
      <c r="Z174">
        <f>ROUND(SUM(T174:Y174)/IF(VLOOKUP($A174,EnrollData2324,'2324 Jun 24 Enroll'!M$1,FALSE)+VLOOKUP($A174,EnrollData2324,'2324 Jun 24 Enroll'!D$1,FALSE)='District Calculations'!$D$25+'District Calculations'!$D$11,VLOOKUP($A174,EnrollData2324,'2324 Jun 24 Enroll'!M$1,FALSE)+VLOOKUP($A174,EnrollData2324,'2324 Jun 24 Enroll'!D$1,FALSE),'District Calculations'!$D$25+'District Calculations'!$D$11),5)</f>
        <v>1.7749999999999998E-2</v>
      </c>
      <c r="AA174" s="6" cm="1">
        <f t="array" ref="AA174">ROUND($J174*CIS_Base_Salary2324s*VLOOKUP($A174,EnrollData2324,'2324 Jun 24 Enroll'!S$1,FALSE),2)</f>
        <v>4038.59</v>
      </c>
      <c r="AB174" s="6" cm="1">
        <f t="array" ref="AB174">ROUND($J174*CIS_Inc_Salary2324s*(VLOOKUP($A174,EnrollData2324,'2324 Jun 24 Enroll'!T$1,FALSE)+VLOOKUP($A174,EnrollData2324,'2324 Jun 24 Enroll'!U$1,FALSE)),2)-AA174</f>
        <v>233.1899999999996</v>
      </c>
      <c r="AC174" s="6" cm="1">
        <f t="array" ref="AC174">ROUND($R174*CAS_Base_Salary2324s*VLOOKUP($A174,EnrollData2324,'2324 Jun 24 Enroll'!S$1,FALSE),2)</f>
        <v>443.7</v>
      </c>
      <c r="AD174" s="6" cm="1">
        <f t="array" ref="AD174">ROUND($R174*CAS_Inc_Salary2324s*VLOOKUP($A174,EnrollData2324,'2324 Jun 24 Enroll'!T$1,FALSE),2)-AC174</f>
        <v>16.410000000000025</v>
      </c>
      <c r="AE174" s="6" cm="1">
        <f t="array" ref="AE174">ROUND($Z174*CLS_Base_Salary2324s*VLOOKUP($A174,EnrollData2324,'2324 Jun 24 Enroll'!S$1,FALSE),2)</f>
        <v>926.07</v>
      </c>
      <c r="AF174" s="6" cm="1">
        <f t="array" ref="AF174">ROUND($Z174*CLS_Inc_Salary2324s*VLOOKUP($A174,EnrollData2324,'2324 Jun 24 Enroll'!T$1,FALSE),2)-AE174</f>
        <v>34.259999999999991</v>
      </c>
      <c r="AG174" cm="1">
        <f t="array" ref="AG174">ROUND(($J174+$R174)*Apport_124X2324s,2)</f>
        <v>734.29</v>
      </c>
      <c r="AH174" s="69">
        <f t="shared" si="19"/>
        <v>68.700000000000045</v>
      </c>
      <c r="AI174" cm="1">
        <f t="array" ref="AI174">ROUND($Z174*Apport_124X2324s,2)</f>
        <v>218.54</v>
      </c>
      <c r="AJ174" cm="1">
        <f t="array" ref="AJ174">ROUND($Z174*Apport_621X2324s*Apport_125X2324s,2)-AI174</f>
        <v>116.51000000000002</v>
      </c>
      <c r="AK174" cm="1">
        <f t="array" ref="AK174">ROUND((AA174+AC174)*Apport_126X2324s,2)</f>
        <v>805.47</v>
      </c>
      <c r="AL174" cm="1">
        <f t="array" ref="AL174">ROUND((AB174+AD174)*Apport_127X2324s,2)</f>
        <v>43.26</v>
      </c>
      <c r="AM174" cm="1">
        <f t="array" ref="AM174">ROUND(AE174*Apport_128X2324s,2)</f>
        <v>204.29</v>
      </c>
      <c r="AN174" cm="1">
        <f t="array" ref="AN174">ROUND(AF174*Apport_129X2324s,2)</f>
        <v>6.36</v>
      </c>
      <c r="AO174" cm="1">
        <f t="array" ref="AO174">ROUND(($J174*CIS_Inc_Salary2324s*(VLOOKUP($A174,EnrollData2324,'2324 Jun 24 Enroll'!T$1,FALSE)+VLOOKUP($A174,EnrollData2324,'2324 Jun 24 Enroll'!U$1,FALSE))/Apport_613Xpd)*Apport_614Xpd,2)</f>
        <v>71.2</v>
      </c>
      <c r="AP174" cm="1">
        <f t="array" ref="AP174">ROUND(AO174*Apport_127X2324s,2)</f>
        <v>12.34</v>
      </c>
      <c r="AQ174">
        <f t="shared" si="20"/>
        <v>30.93</v>
      </c>
      <c r="AR174" s="6" cm="1">
        <f t="array" ref="AR174">ROUND((VLOOKUP($A174,EnrollData2324,'2324 Jun 24 Enroll'!D$1,FALSE)*Apport_M802324s+VLOOKUP($A174,EnrollData2324,'2324 Jun 24 Enroll'!M$1,FALSE)*Apport_M802324s+(VLOOKUP($A174,EnrollData2324,'2324 Jun 24 Enroll'!P$1,FALSE)+VLOOKUP($A174,EnrollData2324,'2324 Jun 24 Enroll'!Q$1,FALSE)+VLOOKUP($A174,EnrollData2324,'2324 Jun 24 Enroll'!R$1,FALSE)+VLOOKUP($A174,EnrollData2324,'2324 Jun 24 Enroll'!I$1,FALSE)+VLOOKUP($A174,EnrollData2324,'2324 Jun 24 Enroll'!N$1,FALSE)+VLOOKUP($A174,EnrollData2324,'2324 Jun 24 Enroll'!O$1,FALSE)+VLOOKUP($A174,EnrollData2324,'2324 Jun 24 Enroll'!K$1,FALSE)+VLOOKUP($A174,EnrollData2324,'2324 Jun 24 Enroll'!L$1,FALSE))*Apport_M812324s)/(VLOOKUP($A174,EnrollData2324,'2324 Jun 24 Enroll'!M$1,FALSE)+VLOOKUP($A174,EnrollData2324,'2324 Jun 24 Enroll'!D$1,FALSE)),2)</f>
        <v>1573.01</v>
      </c>
      <c r="AS174" s="7">
        <f t="shared" si="21"/>
        <v>9577.119999999999</v>
      </c>
    </row>
    <row r="175" spans="1:45">
      <c r="A175" s="40" t="s">
        <v>653</v>
      </c>
      <c r="B175" s="40" t="s">
        <v>654</v>
      </c>
      <c r="C175" s="11">
        <f>ROUND((IFERROR((1/IF(VLOOKUP($A175,EnrollData2324,28,FALSE)='District Calculations'!$D$10,VLOOKUP($A175,EnrollData2324,28,FALSE),'District Calculations'!$D$10))*(1+Apport_Z315),0))+Apport_201A2324s,6)</f>
        <v>7.3449E-2</v>
      </c>
      <c r="D175">
        <f>ROUND(IF(VLOOKUP($A175,EnrollData2324,'2324 Jun 24 Enroll'!D$1,FALSE)='District Calculations'!$D$11,VLOOKUP($A175,EnrollData2324,'2324 Jun 24 Enroll'!D$1,FALSE),'District Calculations'!$D$11)*C175,3)</f>
        <v>0</v>
      </c>
      <c r="E175">
        <f>ROUND(IF(VLOOKUP($A175,EnrollData2324,'2324 Jun 24 Enroll'!E$1,FALSE)='District Calculations'!$D$12,VLOOKUP($A175,EnrollData2324,'2324 Jun 24 Enroll'!E$1,FALSE),'District Calculations'!$D$12)*C175,3)</f>
        <v>59.53</v>
      </c>
      <c r="F175">
        <f>ROUND(IF(VLOOKUP($A175,EnrollData2324,'2324 Jun 24 Enroll'!F$1,FALSE)='District Calculations'!$D$13,VLOOKUP($A175,EnrollData2324,'2324 Jun 24 Enroll'!F$1,FALSE),'District Calculations'!$D$13)*Apport_222A2324s,3)</f>
        <v>10.101000000000001</v>
      </c>
      <c r="G175">
        <f>ROUND(IF(VLOOKUP($A175,EnrollData2324,'2324 Jun 24 Enroll'!G$1,FALSE)='District Calculations'!$D$14,VLOOKUP($A175,EnrollData2324,'2324 Jun 24 Enroll'!G$1,FALSE),'District Calculations'!$D$14)*Apport_210A2324s,3)</f>
        <v>22.395</v>
      </c>
      <c r="H175">
        <f>ROUND(IF(VLOOKUP($A175,EnrollData2324,'2324 Jun 24 Enroll'!H$1,FALSE)='District Calculations'!$D$15,VLOOKUP($A175,EnrollData2324,'2324 Jun 24 Enroll'!H$1,FALSE),'District Calculations'!$D$15)*Apport_213A2324s,3)</f>
        <v>23.091999999999999</v>
      </c>
      <c r="I175">
        <f>ROUND(IF(VLOOKUP($A175,EnrollData2324,'2324 Jun 24 Enroll'!I$1,FALSE)+VLOOKUP($A175,EnrollData2324,'2324 Jun 24 Enroll'!M$1,FALSE)-VLOOKUP($A175,EnrollData2324,'2324 Jun 24 Enroll'!J$1,FALSE)='District Calculations'!$D$16+'District Calculations'!$D$25-'District Calculations'!$D$17,VLOOKUP($A175,EnrollData2324,'2324 Jun 24 Enroll'!I$1,FALSE)+VLOOKUP($A175,EnrollData2324,'2324 Jun 24 Enroll'!M$1,FALSE)-VLOOKUP($A175,EnrollData2324,'2324 Jun 24 Enroll'!J$1,FALSE),'District Calculations'!$D$16+'District Calculations'!$D$25-'District Calculations'!$D$17)*Apport_216A2324s,3)</f>
        <v>58.183999999999997</v>
      </c>
      <c r="J175">
        <f>ROUND(SUM(D175:I175)/(IF(VLOOKUP($A175,EnrollData2324,'2324 Jun 24 Enroll'!M$1,FALSE)='District Calculations'!$D$25,VLOOKUP($A175,EnrollData2324,'2324 Jun 24 Enroll'!M$1,FALSE),'District Calculations'!$D$25)+IF(VLOOKUP($A175,EnrollData2324,'2324 Jun 24 Enroll'!D$1,FALSE)='District Calculations'!$D$11,VLOOKUP($A175,EnrollData2324,'2324 Jun 24 Enroll'!D$1,FALSE),'District Calculations'!$D$11)),5)</f>
        <v>5.5530000000000003E-2</v>
      </c>
      <c r="K175" s="11">
        <f t="shared" si="17"/>
        <v>4.3699999999999998E-3</v>
      </c>
      <c r="L175">
        <f>ROUND(IF(VLOOKUP($A175,EnrollData2324,'2324 Jun 24 Enroll'!D$1,FALSE)='District Calculations'!$D$11,VLOOKUP($A175,EnrollData2324,'2324 Jun 24 Enroll'!D$1,FALSE),'District Calculations'!$D$11)*K175,3)</f>
        <v>0</v>
      </c>
      <c r="M175">
        <f>ROUND(IF(VLOOKUP($A175,EnrollData2324,'2324 Jun 24 Enroll'!E$1,FALSE)='District Calculations'!$D$12,VLOOKUP($A175,EnrollData2324,'2324 Jun 24 Enroll'!E$1,FALSE),'District Calculations'!$D$12)*K175,3)</f>
        <v>3.5419999999999998</v>
      </c>
      <c r="N175">
        <f>ROUND(IF(VLOOKUP($A175,EnrollData2324,'2324 Jun 24 Enroll'!F$1,FALSE)='District Calculations'!$D$13,VLOOKUP($A175,EnrollData2324,'2324 Jun 24 Enroll'!F$1,FALSE),'District Calculations'!$D$13)*Apport_223A2324s,3)</f>
        <v>0.84299999999999997</v>
      </c>
      <c r="O175">
        <f>ROUND(IF(VLOOKUP($A175,EnrollData2324,'2324 Jun 24 Enroll'!G$1,FALSE)='District Calculations'!$D$14,VLOOKUP($A175,EnrollData2324,'2324 Jun 24 Enroll'!G$1,FALSE),'District Calculations'!$D$14)*Apport_211A2324s,3)</f>
        <v>1.87</v>
      </c>
      <c r="P175">
        <f>ROUND(IF(VLOOKUP($A175,EnrollData2324,'2324 Jun 24 Enroll'!H$1,FALSE)='District Calculations'!$D$14,VLOOKUP($A175,EnrollData2324,'2324 Jun 24 Enroll'!H$1,FALSE),'District Calculations'!$D$14)*Apport_214A2324s,3)</f>
        <v>1.8680000000000001</v>
      </c>
      <c r="Q175">
        <f>ROUND(IF(VLOOKUP($A175,EnrollData2324,'2324 Jun 24 Enroll'!I$1,FALSE)+VLOOKUP($A175,EnrollData2324,'2324 Jun 24 Enroll'!M$1,FALSE)-VLOOKUP($A175,EnrollData2324,'2324 Jun 24 Enroll'!J$1,FALSE)='District Calculations'!$D$16+'District Calculations'!$D$25-'District Calculations'!$D$17,VLOOKUP($A175,EnrollData2324,'2324 Jun 24 Enroll'!I$1,FALSE)+VLOOKUP($A175,EnrollData2324,'2324 Jun 24 Enroll'!M$1,FALSE)-VLOOKUP($A175,EnrollData2324,'2324 Jun 24 Enroll'!J$1,FALSE),'District Calculations'!$D$16+'District Calculations'!$D$25-'District Calculations'!$D$17)*Apport_217A2324s,3)</f>
        <v>4.702</v>
      </c>
      <c r="R175">
        <f>ROUND(SUM(L175:Q175)/IF(VLOOKUP($A175,EnrollData2324,'2324 Jun 24 Enroll'!M$1,FALSE)+VLOOKUP($A175,EnrollData2324,'2324 Jun 24 Enroll'!D$1,FALSE)='District Calculations'!$D$25+'District Calculations'!$D$11,VLOOKUP($A175,EnrollData2324,'2324 Jun 24 Enroll'!M$1,FALSE)+VLOOKUP($A175,EnrollData2324,'2324 Jun 24 Enroll'!D$1,FALSE),'District Calculations'!$D$25+'District Calculations'!$D$11),5)</f>
        <v>4.1099999999999999E-3</v>
      </c>
      <c r="S175" s="11">
        <f t="shared" si="18"/>
        <v>1.8689600000000001E-2</v>
      </c>
      <c r="T175">
        <f>ROUND(IF(VLOOKUP($A175,EnrollData2324,'2324 Jun 24 Enroll'!D$1,FALSE)='District Calculations'!$D$11,VLOOKUP($A175,EnrollData2324,'2324 Jun 24 Enroll'!D$1,FALSE),'District Calculations'!$D$11)*S175,3)</f>
        <v>0</v>
      </c>
      <c r="U175">
        <f>ROUND(IF(VLOOKUP($A175,EnrollData2324,'2324 Jun 24 Enroll'!E$1,FALSE)='District Calculations'!$D$12,VLOOKUP($A175,EnrollData2324,'2324 Jun 24 Enroll'!E$1,FALSE),'District Calculations'!$D$12)*S175,3)</f>
        <v>15.148</v>
      </c>
      <c r="V175">
        <f>ROUND(IF(VLOOKUP($A175,EnrollData2324,'2324 Jun 24 Enroll'!F$1,FALSE)='District Calculations'!$D$13,VLOOKUP($A175,EnrollData2324,'2324 Jun 24 Enroll'!F$1,FALSE),'District Calculations'!$D$13)*Apport_224A2324s,3)</f>
        <v>3.7029999999999998</v>
      </c>
      <c r="W175">
        <f>ROUND(IF(VLOOKUP($A175,EnrollData2324,'2324 Jun 24 Enroll'!G$1,FALSE)='District Calculations'!$D$14,VLOOKUP($A175,EnrollData2324,'2324 Jun 24 Enroll'!G$1,FALSE),'District Calculations'!$D$14)*Apport_212A2324s,3)</f>
        <v>8.2089999999999996</v>
      </c>
      <c r="X175">
        <f>ROUND(IF(VLOOKUP($A175,EnrollData2324,'2324 Jun 24 Enroll'!H$1,FALSE)='District Calculations'!$D$14,VLOOKUP($A175,EnrollData2324,'2324 Jun 24 Enroll'!H$1,FALSE),'District Calculations'!$D$14)*Apport_215A2324s,3)</f>
        <v>8.0969999999999995</v>
      </c>
      <c r="Y175">
        <f>ROUND(IF(VLOOKUP($A175,EnrollData2324,'2324 Jun 24 Enroll'!I$1,FALSE)+VLOOKUP($A175,EnrollData2324,'2324 Jun 24 Enroll'!M$1,FALSE)-VLOOKUP($A175,EnrollData2324,'2324 Jun 24 Enroll'!J$1,FALSE)='District Calculations'!$D$16+'District Calculations'!$D$25-'District Calculations'!$D$17,VLOOKUP($A175,EnrollData2324,'2324 Jun 24 Enroll'!I$1,FALSE)+VLOOKUP($A175,EnrollData2324,'2324 Jun 24 Enroll'!M$1,FALSE)-VLOOKUP($A175,EnrollData2324,'2324 Jun 24 Enroll'!J$1,FALSE),'District Calculations'!$D$16+'District Calculations'!$D$25-'District Calculations'!$D$17)*Apport_218A2324s,3)</f>
        <v>20.224</v>
      </c>
      <c r="Z175">
        <f>ROUND(SUM(T175:Y175)/IF(VLOOKUP($A175,EnrollData2324,'2324 Jun 24 Enroll'!M$1,FALSE)+VLOOKUP($A175,EnrollData2324,'2324 Jun 24 Enroll'!D$1,FALSE)='District Calculations'!$D$25+'District Calculations'!$D$11,VLOOKUP($A175,EnrollData2324,'2324 Jun 24 Enroll'!M$1,FALSE)+VLOOKUP($A175,EnrollData2324,'2324 Jun 24 Enroll'!D$1,FALSE),'District Calculations'!$D$25+'District Calculations'!$D$11),5)</f>
        <v>1.7749999999999998E-2</v>
      </c>
      <c r="AA175" s="6" cm="1">
        <f t="array" ref="AA175">ROUND($J175*CIS_Base_Salary2324s*VLOOKUP($A175,EnrollData2324,'2324 Jun 24 Enroll'!S$1,FALSE),2)</f>
        <v>4099.16</v>
      </c>
      <c r="AB175" s="6" cm="1">
        <f t="array" ref="AB175">ROUND($J175*CIS_Inc_Salary2324s*(VLOOKUP($A175,EnrollData2324,'2324 Jun 24 Enroll'!T$1,FALSE)+VLOOKUP($A175,EnrollData2324,'2324 Jun 24 Enroll'!U$1,FALSE)),2)-AA175</f>
        <v>319.19999999999982</v>
      </c>
      <c r="AC175" s="6" cm="1">
        <f t="array" ref="AC175">ROUND($R175*CAS_Base_Salary2324s*VLOOKUP($A175,EnrollData2324,'2324 Jun 24 Enroll'!S$1,FALSE),2)</f>
        <v>450.35</v>
      </c>
      <c r="AD175" s="6" cm="1">
        <f t="array" ref="AD175">ROUND($R175*CAS_Inc_Salary2324s*VLOOKUP($A175,EnrollData2324,'2324 Jun 24 Enroll'!T$1,FALSE),2)-AC175</f>
        <v>16.669999999999959</v>
      </c>
      <c r="AE175" s="6" cm="1">
        <f t="array" ref="AE175">ROUND($Z175*CLS_Base_Salary2324s*VLOOKUP($A175,EnrollData2324,'2324 Jun 24 Enroll'!S$1,FALSE),2)</f>
        <v>939.96</v>
      </c>
      <c r="AF175" s="6" cm="1">
        <f t="array" ref="AF175">ROUND($Z175*CLS_Inc_Salary2324s*VLOOKUP($A175,EnrollData2324,'2324 Jun 24 Enroll'!T$1,FALSE),2)-AE175</f>
        <v>34.769999999999982</v>
      </c>
      <c r="AG175" cm="1">
        <f t="array" ref="AG175">ROUND(($J175+$R175)*Apport_124X2324s,2)</f>
        <v>734.29</v>
      </c>
      <c r="AH175" s="69">
        <f t="shared" si="19"/>
        <v>68.700000000000045</v>
      </c>
      <c r="AI175" cm="1">
        <f t="array" ref="AI175">ROUND($Z175*Apport_124X2324s,2)</f>
        <v>218.54</v>
      </c>
      <c r="AJ175" cm="1">
        <f t="array" ref="AJ175">ROUND($Z175*Apport_621X2324s*Apport_125X2324s,2)-AI175</f>
        <v>116.51000000000002</v>
      </c>
      <c r="AK175" cm="1">
        <f t="array" ref="AK175">ROUND((AA175+AC175)*Apport_126X2324s,2)</f>
        <v>817.55</v>
      </c>
      <c r="AL175" cm="1">
        <f t="array" ref="AL175">ROUND((AB175+AD175)*Apport_127X2324s,2)</f>
        <v>58.21</v>
      </c>
      <c r="AM175" cm="1">
        <f t="array" ref="AM175">ROUND(AE175*Apport_128X2324s,2)</f>
        <v>207.36</v>
      </c>
      <c r="AN175" cm="1">
        <f t="array" ref="AN175">ROUND(AF175*Apport_129X2324s,2)</f>
        <v>6.45</v>
      </c>
      <c r="AO175" cm="1">
        <f t="array" ref="AO175">ROUND(($J175*CIS_Inc_Salary2324s*(VLOOKUP($A175,EnrollData2324,'2324 Jun 24 Enroll'!T$1,FALSE)+VLOOKUP($A175,EnrollData2324,'2324 Jun 24 Enroll'!U$1,FALSE))/Apport_613Xpd)*Apport_614Xpd,2)</f>
        <v>73.64</v>
      </c>
      <c r="AP175" cm="1">
        <f t="array" ref="AP175">ROUND(AO175*Apport_127X2324s,2)</f>
        <v>12.76</v>
      </c>
      <c r="AQ175">
        <f t="shared" si="20"/>
        <v>30.93</v>
      </c>
      <c r="AR175" s="6" cm="1">
        <f t="array" ref="AR175">ROUND((VLOOKUP($A175,EnrollData2324,'2324 Jun 24 Enroll'!D$1,FALSE)*Apport_M802324s+VLOOKUP($A175,EnrollData2324,'2324 Jun 24 Enroll'!M$1,FALSE)*Apport_M802324s+(VLOOKUP($A175,EnrollData2324,'2324 Jun 24 Enroll'!P$1,FALSE)+VLOOKUP($A175,EnrollData2324,'2324 Jun 24 Enroll'!Q$1,FALSE)+VLOOKUP($A175,EnrollData2324,'2324 Jun 24 Enroll'!R$1,FALSE)+VLOOKUP($A175,EnrollData2324,'2324 Jun 24 Enroll'!I$1,FALSE)+VLOOKUP($A175,EnrollData2324,'2324 Jun 24 Enroll'!N$1,FALSE)+VLOOKUP($A175,EnrollData2324,'2324 Jun 24 Enroll'!O$1,FALSE)+VLOOKUP($A175,EnrollData2324,'2324 Jun 24 Enroll'!K$1,FALSE)+VLOOKUP($A175,EnrollData2324,'2324 Jun 24 Enroll'!L$1,FALSE))*Apport_M812324s)/(VLOOKUP($A175,EnrollData2324,'2324 Jun 24 Enroll'!M$1,FALSE)+VLOOKUP($A175,EnrollData2324,'2324 Jun 24 Enroll'!D$1,FALSE)),2)</f>
        <v>1567.5</v>
      </c>
      <c r="AS175" s="7">
        <f t="shared" si="21"/>
        <v>9772.5500000000011</v>
      </c>
    </row>
    <row r="176" spans="1:45">
      <c r="A176" s="40" t="s">
        <v>877</v>
      </c>
      <c r="B176" s="40" t="s">
        <v>878</v>
      </c>
      <c r="C176" s="11">
        <f>ROUND((IFERROR((1/IF(VLOOKUP($A176,EnrollData2324,28,FALSE)='District Calculations'!$D$10,VLOOKUP($A176,EnrollData2324,28,FALSE),'District Calculations'!$D$10))*(1+Apport_Z315),0))+Apport_201A2324s,6)</f>
        <v>7.3449E-2</v>
      </c>
      <c r="D176">
        <f>ROUND(IF(VLOOKUP($A176,EnrollData2324,'2324 Jun 24 Enroll'!D$1,FALSE)='District Calculations'!$D$11,VLOOKUP($A176,EnrollData2324,'2324 Jun 24 Enroll'!D$1,FALSE),'District Calculations'!$D$11)*C176,3)</f>
        <v>0</v>
      </c>
      <c r="E176">
        <f>ROUND(IF(VLOOKUP($A176,EnrollData2324,'2324 Jun 24 Enroll'!E$1,FALSE)='District Calculations'!$D$12,VLOOKUP($A176,EnrollData2324,'2324 Jun 24 Enroll'!E$1,FALSE),'District Calculations'!$D$12)*C176,3)</f>
        <v>59.53</v>
      </c>
      <c r="F176">
        <f>ROUND(IF(VLOOKUP($A176,EnrollData2324,'2324 Jun 24 Enroll'!F$1,FALSE)='District Calculations'!$D$13,VLOOKUP($A176,EnrollData2324,'2324 Jun 24 Enroll'!F$1,FALSE),'District Calculations'!$D$13)*Apport_222A2324s,3)</f>
        <v>10.101000000000001</v>
      </c>
      <c r="G176">
        <f>ROUND(IF(VLOOKUP($A176,EnrollData2324,'2324 Jun 24 Enroll'!G$1,FALSE)='District Calculations'!$D$14,VLOOKUP($A176,EnrollData2324,'2324 Jun 24 Enroll'!G$1,FALSE),'District Calculations'!$D$14)*Apport_210A2324s,3)</f>
        <v>22.395</v>
      </c>
      <c r="H176">
        <f>ROUND(IF(VLOOKUP($A176,EnrollData2324,'2324 Jun 24 Enroll'!H$1,FALSE)='District Calculations'!$D$15,VLOOKUP($A176,EnrollData2324,'2324 Jun 24 Enroll'!H$1,FALSE),'District Calculations'!$D$15)*Apport_213A2324s,3)</f>
        <v>23.091999999999999</v>
      </c>
      <c r="I176">
        <f>ROUND(IF(VLOOKUP($A176,EnrollData2324,'2324 Jun 24 Enroll'!I$1,FALSE)+VLOOKUP($A176,EnrollData2324,'2324 Jun 24 Enroll'!M$1,FALSE)-VLOOKUP($A176,EnrollData2324,'2324 Jun 24 Enroll'!J$1,FALSE)='District Calculations'!$D$16+'District Calculations'!$D$25-'District Calculations'!$D$17,VLOOKUP($A176,EnrollData2324,'2324 Jun 24 Enroll'!I$1,FALSE)+VLOOKUP($A176,EnrollData2324,'2324 Jun 24 Enroll'!M$1,FALSE)-VLOOKUP($A176,EnrollData2324,'2324 Jun 24 Enroll'!J$1,FALSE),'District Calculations'!$D$16+'District Calculations'!$D$25-'District Calculations'!$D$17)*Apport_216A2324s,3)</f>
        <v>58.183999999999997</v>
      </c>
      <c r="J176">
        <f>ROUND(SUM(D176:I176)/(IF(VLOOKUP($A176,EnrollData2324,'2324 Jun 24 Enroll'!M$1,FALSE)='District Calculations'!$D$25,VLOOKUP($A176,EnrollData2324,'2324 Jun 24 Enroll'!M$1,FALSE),'District Calculations'!$D$25)+IF(VLOOKUP($A176,EnrollData2324,'2324 Jun 24 Enroll'!D$1,FALSE)='District Calculations'!$D$11,VLOOKUP($A176,EnrollData2324,'2324 Jun 24 Enroll'!D$1,FALSE),'District Calculations'!$D$11)),5)</f>
        <v>5.5530000000000003E-2</v>
      </c>
      <c r="K176" s="11">
        <f t="shared" si="17"/>
        <v>4.3699999999999998E-3</v>
      </c>
      <c r="L176">
        <f>ROUND(IF(VLOOKUP($A176,EnrollData2324,'2324 Jun 24 Enroll'!D$1,FALSE)='District Calculations'!$D$11,VLOOKUP($A176,EnrollData2324,'2324 Jun 24 Enroll'!D$1,FALSE),'District Calculations'!$D$11)*K176,3)</f>
        <v>0</v>
      </c>
      <c r="M176">
        <f>ROUND(IF(VLOOKUP($A176,EnrollData2324,'2324 Jun 24 Enroll'!E$1,FALSE)='District Calculations'!$D$12,VLOOKUP($A176,EnrollData2324,'2324 Jun 24 Enroll'!E$1,FALSE),'District Calculations'!$D$12)*K176,3)</f>
        <v>3.5419999999999998</v>
      </c>
      <c r="N176">
        <f>ROUND(IF(VLOOKUP($A176,EnrollData2324,'2324 Jun 24 Enroll'!F$1,FALSE)='District Calculations'!$D$13,VLOOKUP($A176,EnrollData2324,'2324 Jun 24 Enroll'!F$1,FALSE),'District Calculations'!$D$13)*Apport_223A2324s,3)</f>
        <v>0.84299999999999997</v>
      </c>
      <c r="O176">
        <f>ROUND(IF(VLOOKUP($A176,EnrollData2324,'2324 Jun 24 Enroll'!G$1,FALSE)='District Calculations'!$D$14,VLOOKUP($A176,EnrollData2324,'2324 Jun 24 Enroll'!G$1,FALSE),'District Calculations'!$D$14)*Apport_211A2324s,3)</f>
        <v>1.87</v>
      </c>
      <c r="P176">
        <f>ROUND(IF(VLOOKUP($A176,EnrollData2324,'2324 Jun 24 Enroll'!H$1,FALSE)='District Calculations'!$D$14,VLOOKUP($A176,EnrollData2324,'2324 Jun 24 Enroll'!H$1,FALSE),'District Calculations'!$D$14)*Apport_214A2324s,3)</f>
        <v>1.8680000000000001</v>
      </c>
      <c r="Q176">
        <f>ROUND(IF(VLOOKUP($A176,EnrollData2324,'2324 Jun 24 Enroll'!I$1,FALSE)+VLOOKUP($A176,EnrollData2324,'2324 Jun 24 Enroll'!M$1,FALSE)-VLOOKUP($A176,EnrollData2324,'2324 Jun 24 Enroll'!J$1,FALSE)='District Calculations'!$D$16+'District Calculations'!$D$25-'District Calculations'!$D$17,VLOOKUP($A176,EnrollData2324,'2324 Jun 24 Enroll'!I$1,FALSE)+VLOOKUP($A176,EnrollData2324,'2324 Jun 24 Enroll'!M$1,FALSE)-VLOOKUP($A176,EnrollData2324,'2324 Jun 24 Enroll'!J$1,FALSE),'District Calculations'!$D$16+'District Calculations'!$D$25-'District Calculations'!$D$17)*Apport_217A2324s,3)</f>
        <v>4.702</v>
      </c>
      <c r="R176">
        <f>ROUND(SUM(L176:Q176)/IF(VLOOKUP($A176,EnrollData2324,'2324 Jun 24 Enroll'!M$1,FALSE)+VLOOKUP($A176,EnrollData2324,'2324 Jun 24 Enroll'!D$1,FALSE)='District Calculations'!$D$25+'District Calculations'!$D$11,VLOOKUP($A176,EnrollData2324,'2324 Jun 24 Enroll'!M$1,FALSE)+VLOOKUP($A176,EnrollData2324,'2324 Jun 24 Enroll'!D$1,FALSE),'District Calculations'!$D$25+'District Calculations'!$D$11),5)</f>
        <v>4.1099999999999999E-3</v>
      </c>
      <c r="S176" s="11">
        <f t="shared" si="18"/>
        <v>1.8689600000000001E-2</v>
      </c>
      <c r="T176">
        <f>ROUND(IF(VLOOKUP($A176,EnrollData2324,'2324 Jun 24 Enroll'!D$1,FALSE)='District Calculations'!$D$11,VLOOKUP($A176,EnrollData2324,'2324 Jun 24 Enroll'!D$1,FALSE),'District Calculations'!$D$11)*S176,3)</f>
        <v>0</v>
      </c>
      <c r="U176">
        <f>ROUND(IF(VLOOKUP($A176,EnrollData2324,'2324 Jun 24 Enroll'!E$1,FALSE)='District Calculations'!$D$12,VLOOKUP($A176,EnrollData2324,'2324 Jun 24 Enroll'!E$1,FALSE),'District Calculations'!$D$12)*S176,3)</f>
        <v>15.148</v>
      </c>
      <c r="V176">
        <f>ROUND(IF(VLOOKUP($A176,EnrollData2324,'2324 Jun 24 Enroll'!F$1,FALSE)='District Calculations'!$D$13,VLOOKUP($A176,EnrollData2324,'2324 Jun 24 Enroll'!F$1,FALSE),'District Calculations'!$D$13)*Apport_224A2324s,3)</f>
        <v>3.7029999999999998</v>
      </c>
      <c r="W176">
        <f>ROUND(IF(VLOOKUP($A176,EnrollData2324,'2324 Jun 24 Enroll'!G$1,FALSE)='District Calculations'!$D$14,VLOOKUP($A176,EnrollData2324,'2324 Jun 24 Enroll'!G$1,FALSE),'District Calculations'!$D$14)*Apport_212A2324s,3)</f>
        <v>8.2089999999999996</v>
      </c>
      <c r="X176">
        <f>ROUND(IF(VLOOKUP($A176,EnrollData2324,'2324 Jun 24 Enroll'!H$1,FALSE)='District Calculations'!$D$14,VLOOKUP($A176,EnrollData2324,'2324 Jun 24 Enroll'!H$1,FALSE),'District Calculations'!$D$14)*Apport_215A2324s,3)</f>
        <v>8.0969999999999995</v>
      </c>
      <c r="Y176">
        <f>ROUND(IF(VLOOKUP($A176,EnrollData2324,'2324 Jun 24 Enroll'!I$1,FALSE)+VLOOKUP($A176,EnrollData2324,'2324 Jun 24 Enroll'!M$1,FALSE)-VLOOKUP($A176,EnrollData2324,'2324 Jun 24 Enroll'!J$1,FALSE)='District Calculations'!$D$16+'District Calculations'!$D$25-'District Calculations'!$D$17,VLOOKUP($A176,EnrollData2324,'2324 Jun 24 Enroll'!I$1,FALSE)+VLOOKUP($A176,EnrollData2324,'2324 Jun 24 Enroll'!M$1,FALSE)-VLOOKUP($A176,EnrollData2324,'2324 Jun 24 Enroll'!J$1,FALSE),'District Calculations'!$D$16+'District Calculations'!$D$25-'District Calculations'!$D$17)*Apport_218A2324s,3)</f>
        <v>20.224</v>
      </c>
      <c r="Z176">
        <f>ROUND(SUM(T176:Y176)/IF(VLOOKUP($A176,EnrollData2324,'2324 Jun 24 Enroll'!M$1,FALSE)+VLOOKUP($A176,EnrollData2324,'2324 Jun 24 Enroll'!D$1,FALSE)='District Calculations'!$D$25+'District Calculations'!$D$11,VLOOKUP($A176,EnrollData2324,'2324 Jun 24 Enroll'!M$1,FALSE)+VLOOKUP($A176,EnrollData2324,'2324 Jun 24 Enroll'!D$1,FALSE),'District Calculations'!$D$25+'District Calculations'!$D$11),5)</f>
        <v>1.7749999999999998E-2</v>
      </c>
      <c r="AA176" s="6" cm="1">
        <f t="array" ref="AA176">ROUND($J176*CIS_Base_Salary2324s*VLOOKUP($A176,EnrollData2324,'2324 Jun 24 Enroll'!S$1,FALSE),2)</f>
        <v>4038.59</v>
      </c>
      <c r="AB176" s="6" cm="1">
        <f t="array" ref="AB176">ROUND($J176*CIS_Inc_Salary2324s*(VLOOKUP($A176,EnrollData2324,'2324 Jun 24 Enroll'!T$1,FALSE)+VLOOKUP($A176,EnrollData2324,'2324 Jun 24 Enroll'!U$1,FALSE)),2)-AA176</f>
        <v>149.43000000000029</v>
      </c>
      <c r="AC176" s="6" cm="1">
        <f t="array" ref="AC176">ROUND($R176*CAS_Base_Salary2324s*VLOOKUP($A176,EnrollData2324,'2324 Jun 24 Enroll'!S$1,FALSE),2)</f>
        <v>443.7</v>
      </c>
      <c r="AD176" s="6" cm="1">
        <f t="array" ref="AD176">ROUND($R176*CAS_Inc_Salary2324s*VLOOKUP($A176,EnrollData2324,'2324 Jun 24 Enroll'!T$1,FALSE),2)-AC176</f>
        <v>16.410000000000025</v>
      </c>
      <c r="AE176" s="6" cm="1">
        <f t="array" ref="AE176">ROUND($Z176*CLS_Base_Salary2324s*VLOOKUP($A176,EnrollData2324,'2324 Jun 24 Enroll'!S$1,FALSE),2)</f>
        <v>926.07</v>
      </c>
      <c r="AF176" s="6" cm="1">
        <f t="array" ref="AF176">ROUND($Z176*CLS_Inc_Salary2324s*VLOOKUP($A176,EnrollData2324,'2324 Jun 24 Enroll'!T$1,FALSE),2)-AE176</f>
        <v>34.259999999999991</v>
      </c>
      <c r="AG176" cm="1">
        <f t="array" ref="AG176">ROUND(($J176+$R176)*Apport_124X2324s,2)</f>
        <v>734.29</v>
      </c>
      <c r="AH176" s="69">
        <f t="shared" si="19"/>
        <v>68.700000000000045</v>
      </c>
      <c r="AI176" cm="1">
        <f t="array" ref="AI176">ROUND($Z176*Apport_124X2324s,2)</f>
        <v>218.54</v>
      </c>
      <c r="AJ176" cm="1">
        <f t="array" ref="AJ176">ROUND($Z176*Apport_621X2324s*Apport_125X2324s,2)-AI176</f>
        <v>116.51000000000002</v>
      </c>
      <c r="AK176" cm="1">
        <f t="array" ref="AK176">ROUND((AA176+AC176)*Apport_126X2324s,2)</f>
        <v>805.47</v>
      </c>
      <c r="AL176" cm="1">
        <f t="array" ref="AL176">ROUND((AB176+AD176)*Apport_127X2324s,2)</f>
        <v>28.74</v>
      </c>
      <c r="AM176" cm="1">
        <f t="array" ref="AM176">ROUND(AE176*Apport_128X2324s,2)</f>
        <v>204.29</v>
      </c>
      <c r="AN176" cm="1">
        <f t="array" ref="AN176">ROUND(AF176*Apport_129X2324s,2)</f>
        <v>6.36</v>
      </c>
      <c r="AO176" cm="1">
        <f t="array" ref="AO176">ROUND(($J176*CIS_Inc_Salary2324s*(VLOOKUP($A176,EnrollData2324,'2324 Jun 24 Enroll'!T$1,FALSE)+VLOOKUP($A176,EnrollData2324,'2324 Jun 24 Enroll'!U$1,FALSE))/Apport_613Xpd)*Apport_614Xpd,2)</f>
        <v>69.8</v>
      </c>
      <c r="AP176" cm="1">
        <f t="array" ref="AP176">ROUND(AO176*Apport_127X2324s,2)</f>
        <v>12.1</v>
      </c>
      <c r="AQ176">
        <f t="shared" si="20"/>
        <v>30.93</v>
      </c>
      <c r="AR176" s="6" cm="1">
        <f t="array" ref="AR176">ROUND((VLOOKUP($A176,EnrollData2324,'2324 Jun 24 Enroll'!D$1,FALSE)*Apport_M802324s+VLOOKUP($A176,EnrollData2324,'2324 Jun 24 Enroll'!M$1,FALSE)*Apport_M802324s+(VLOOKUP($A176,EnrollData2324,'2324 Jun 24 Enroll'!P$1,FALSE)+VLOOKUP($A176,EnrollData2324,'2324 Jun 24 Enroll'!Q$1,FALSE)+VLOOKUP($A176,EnrollData2324,'2324 Jun 24 Enroll'!R$1,FALSE)+VLOOKUP($A176,EnrollData2324,'2324 Jun 24 Enroll'!I$1,FALSE)+VLOOKUP($A176,EnrollData2324,'2324 Jun 24 Enroll'!N$1,FALSE)+VLOOKUP($A176,EnrollData2324,'2324 Jun 24 Enroll'!O$1,FALSE)+VLOOKUP($A176,EnrollData2324,'2324 Jun 24 Enroll'!K$1,FALSE)+VLOOKUP($A176,EnrollData2324,'2324 Jun 24 Enroll'!L$1,FALSE))*Apport_M812324s)/(VLOOKUP($A176,EnrollData2324,'2324 Jun 24 Enroll'!M$1,FALSE)+VLOOKUP($A176,EnrollData2324,'2324 Jun 24 Enroll'!D$1,FALSE)),2)</f>
        <v>1579.84</v>
      </c>
      <c r="AS176" s="7">
        <f t="shared" si="21"/>
        <v>9484.0300000000007</v>
      </c>
    </row>
    <row r="177" spans="1:45">
      <c r="A177" s="40" t="s">
        <v>498</v>
      </c>
      <c r="B177" s="40" t="s">
        <v>499</v>
      </c>
      <c r="C177" s="11">
        <f>ROUND((IFERROR((1/IF(VLOOKUP($A177,EnrollData2324,28,FALSE)='District Calculations'!$D$10,VLOOKUP($A177,EnrollData2324,28,FALSE),'District Calculations'!$D$10))*(1+Apport_Z315),0))+Apport_201A2324s,6)</f>
        <v>7.3449E-2</v>
      </c>
      <c r="D177">
        <f>ROUND(IF(VLOOKUP($A177,EnrollData2324,'2324 Jun 24 Enroll'!D$1,FALSE)='District Calculations'!$D$11,VLOOKUP($A177,EnrollData2324,'2324 Jun 24 Enroll'!D$1,FALSE),'District Calculations'!$D$11)*C177,3)</f>
        <v>0</v>
      </c>
      <c r="E177">
        <f>ROUND(IF(VLOOKUP($A177,EnrollData2324,'2324 Jun 24 Enroll'!E$1,FALSE)='District Calculations'!$D$12,VLOOKUP($A177,EnrollData2324,'2324 Jun 24 Enroll'!E$1,FALSE),'District Calculations'!$D$12)*C177,3)</f>
        <v>59.53</v>
      </c>
      <c r="F177">
        <f>ROUND(IF(VLOOKUP($A177,EnrollData2324,'2324 Jun 24 Enroll'!F$1,FALSE)='District Calculations'!$D$13,VLOOKUP($A177,EnrollData2324,'2324 Jun 24 Enroll'!F$1,FALSE),'District Calculations'!$D$13)*Apport_222A2324s,3)</f>
        <v>10.101000000000001</v>
      </c>
      <c r="G177">
        <f>ROUND(IF(VLOOKUP($A177,EnrollData2324,'2324 Jun 24 Enroll'!G$1,FALSE)='District Calculations'!$D$14,VLOOKUP($A177,EnrollData2324,'2324 Jun 24 Enroll'!G$1,FALSE),'District Calculations'!$D$14)*Apport_210A2324s,3)</f>
        <v>22.395</v>
      </c>
      <c r="H177">
        <f>ROUND(IF(VLOOKUP($A177,EnrollData2324,'2324 Jun 24 Enroll'!H$1,FALSE)='District Calculations'!$D$15,VLOOKUP($A177,EnrollData2324,'2324 Jun 24 Enroll'!H$1,FALSE),'District Calculations'!$D$15)*Apport_213A2324s,3)</f>
        <v>23.091999999999999</v>
      </c>
      <c r="I177">
        <f>ROUND(IF(VLOOKUP($A177,EnrollData2324,'2324 Jun 24 Enroll'!I$1,FALSE)+VLOOKUP($A177,EnrollData2324,'2324 Jun 24 Enroll'!M$1,FALSE)-VLOOKUP($A177,EnrollData2324,'2324 Jun 24 Enroll'!J$1,FALSE)='District Calculations'!$D$16+'District Calculations'!$D$25-'District Calculations'!$D$17,VLOOKUP($A177,EnrollData2324,'2324 Jun 24 Enroll'!I$1,FALSE)+VLOOKUP($A177,EnrollData2324,'2324 Jun 24 Enroll'!M$1,FALSE)-VLOOKUP($A177,EnrollData2324,'2324 Jun 24 Enroll'!J$1,FALSE),'District Calculations'!$D$16+'District Calculations'!$D$25-'District Calculations'!$D$17)*Apport_216A2324s,3)</f>
        <v>58.183999999999997</v>
      </c>
      <c r="J177">
        <f>ROUND(SUM(D177:I177)/(IF(VLOOKUP($A177,EnrollData2324,'2324 Jun 24 Enroll'!M$1,FALSE)='District Calculations'!$D$25,VLOOKUP($A177,EnrollData2324,'2324 Jun 24 Enroll'!M$1,FALSE),'District Calculations'!$D$25)+IF(VLOOKUP($A177,EnrollData2324,'2324 Jun 24 Enroll'!D$1,FALSE)='District Calculations'!$D$11,VLOOKUP($A177,EnrollData2324,'2324 Jun 24 Enroll'!D$1,FALSE),'District Calculations'!$D$11)),5)</f>
        <v>5.5530000000000003E-2</v>
      </c>
      <c r="K177" s="11">
        <f t="shared" si="17"/>
        <v>4.3699999999999998E-3</v>
      </c>
      <c r="L177">
        <f>ROUND(IF(VLOOKUP($A177,EnrollData2324,'2324 Jun 24 Enroll'!D$1,FALSE)='District Calculations'!$D$11,VLOOKUP($A177,EnrollData2324,'2324 Jun 24 Enroll'!D$1,FALSE),'District Calculations'!$D$11)*K177,3)</f>
        <v>0</v>
      </c>
      <c r="M177">
        <f>ROUND(IF(VLOOKUP($A177,EnrollData2324,'2324 Jun 24 Enroll'!E$1,FALSE)='District Calculations'!$D$12,VLOOKUP($A177,EnrollData2324,'2324 Jun 24 Enroll'!E$1,FALSE),'District Calculations'!$D$12)*K177,3)</f>
        <v>3.5419999999999998</v>
      </c>
      <c r="N177">
        <f>ROUND(IF(VLOOKUP($A177,EnrollData2324,'2324 Jun 24 Enroll'!F$1,FALSE)='District Calculations'!$D$13,VLOOKUP($A177,EnrollData2324,'2324 Jun 24 Enroll'!F$1,FALSE),'District Calculations'!$D$13)*Apport_223A2324s,3)</f>
        <v>0.84299999999999997</v>
      </c>
      <c r="O177">
        <f>ROUND(IF(VLOOKUP($A177,EnrollData2324,'2324 Jun 24 Enroll'!G$1,FALSE)='District Calculations'!$D$14,VLOOKUP($A177,EnrollData2324,'2324 Jun 24 Enroll'!G$1,FALSE),'District Calculations'!$D$14)*Apport_211A2324s,3)</f>
        <v>1.87</v>
      </c>
      <c r="P177">
        <f>ROUND(IF(VLOOKUP($A177,EnrollData2324,'2324 Jun 24 Enroll'!H$1,FALSE)='District Calculations'!$D$14,VLOOKUP($A177,EnrollData2324,'2324 Jun 24 Enroll'!H$1,FALSE),'District Calculations'!$D$14)*Apport_214A2324s,3)</f>
        <v>1.8680000000000001</v>
      </c>
      <c r="Q177">
        <f>ROUND(IF(VLOOKUP($A177,EnrollData2324,'2324 Jun 24 Enroll'!I$1,FALSE)+VLOOKUP($A177,EnrollData2324,'2324 Jun 24 Enroll'!M$1,FALSE)-VLOOKUP($A177,EnrollData2324,'2324 Jun 24 Enroll'!J$1,FALSE)='District Calculations'!$D$16+'District Calculations'!$D$25-'District Calculations'!$D$17,VLOOKUP($A177,EnrollData2324,'2324 Jun 24 Enroll'!I$1,FALSE)+VLOOKUP($A177,EnrollData2324,'2324 Jun 24 Enroll'!M$1,FALSE)-VLOOKUP($A177,EnrollData2324,'2324 Jun 24 Enroll'!J$1,FALSE),'District Calculations'!$D$16+'District Calculations'!$D$25-'District Calculations'!$D$17)*Apport_217A2324s,3)</f>
        <v>4.702</v>
      </c>
      <c r="R177">
        <f>ROUND(SUM(L177:Q177)/IF(VLOOKUP($A177,EnrollData2324,'2324 Jun 24 Enroll'!M$1,FALSE)+VLOOKUP($A177,EnrollData2324,'2324 Jun 24 Enroll'!D$1,FALSE)='District Calculations'!$D$25+'District Calculations'!$D$11,VLOOKUP($A177,EnrollData2324,'2324 Jun 24 Enroll'!M$1,FALSE)+VLOOKUP($A177,EnrollData2324,'2324 Jun 24 Enroll'!D$1,FALSE),'District Calculations'!$D$25+'District Calculations'!$D$11),5)</f>
        <v>4.1099999999999999E-3</v>
      </c>
      <c r="S177" s="11">
        <f t="shared" si="18"/>
        <v>1.8689600000000001E-2</v>
      </c>
      <c r="T177">
        <f>ROUND(IF(VLOOKUP($A177,EnrollData2324,'2324 Jun 24 Enroll'!D$1,FALSE)='District Calculations'!$D$11,VLOOKUP($A177,EnrollData2324,'2324 Jun 24 Enroll'!D$1,FALSE),'District Calculations'!$D$11)*S177,3)</f>
        <v>0</v>
      </c>
      <c r="U177">
        <f>ROUND(IF(VLOOKUP($A177,EnrollData2324,'2324 Jun 24 Enroll'!E$1,FALSE)='District Calculations'!$D$12,VLOOKUP($A177,EnrollData2324,'2324 Jun 24 Enroll'!E$1,FALSE),'District Calculations'!$D$12)*S177,3)</f>
        <v>15.148</v>
      </c>
      <c r="V177">
        <f>ROUND(IF(VLOOKUP($A177,EnrollData2324,'2324 Jun 24 Enroll'!F$1,FALSE)='District Calculations'!$D$13,VLOOKUP($A177,EnrollData2324,'2324 Jun 24 Enroll'!F$1,FALSE),'District Calculations'!$D$13)*Apport_224A2324s,3)</f>
        <v>3.7029999999999998</v>
      </c>
      <c r="W177">
        <f>ROUND(IF(VLOOKUP($A177,EnrollData2324,'2324 Jun 24 Enroll'!G$1,FALSE)='District Calculations'!$D$14,VLOOKUP($A177,EnrollData2324,'2324 Jun 24 Enroll'!G$1,FALSE),'District Calculations'!$D$14)*Apport_212A2324s,3)</f>
        <v>8.2089999999999996</v>
      </c>
      <c r="X177">
        <f>ROUND(IF(VLOOKUP($A177,EnrollData2324,'2324 Jun 24 Enroll'!H$1,FALSE)='District Calculations'!$D$14,VLOOKUP($A177,EnrollData2324,'2324 Jun 24 Enroll'!H$1,FALSE),'District Calculations'!$D$14)*Apport_215A2324s,3)</f>
        <v>8.0969999999999995</v>
      </c>
      <c r="Y177">
        <f>ROUND(IF(VLOOKUP($A177,EnrollData2324,'2324 Jun 24 Enroll'!I$1,FALSE)+VLOOKUP($A177,EnrollData2324,'2324 Jun 24 Enroll'!M$1,FALSE)-VLOOKUP($A177,EnrollData2324,'2324 Jun 24 Enroll'!J$1,FALSE)='District Calculations'!$D$16+'District Calculations'!$D$25-'District Calculations'!$D$17,VLOOKUP($A177,EnrollData2324,'2324 Jun 24 Enroll'!I$1,FALSE)+VLOOKUP($A177,EnrollData2324,'2324 Jun 24 Enroll'!M$1,FALSE)-VLOOKUP($A177,EnrollData2324,'2324 Jun 24 Enroll'!J$1,FALSE),'District Calculations'!$D$16+'District Calculations'!$D$25-'District Calculations'!$D$17)*Apport_218A2324s,3)</f>
        <v>20.224</v>
      </c>
      <c r="Z177">
        <f>ROUND(SUM(T177:Y177)/IF(VLOOKUP($A177,EnrollData2324,'2324 Jun 24 Enroll'!M$1,FALSE)+VLOOKUP($A177,EnrollData2324,'2324 Jun 24 Enroll'!D$1,FALSE)='District Calculations'!$D$25+'District Calculations'!$D$11,VLOOKUP($A177,EnrollData2324,'2324 Jun 24 Enroll'!M$1,FALSE)+VLOOKUP($A177,EnrollData2324,'2324 Jun 24 Enroll'!D$1,FALSE),'District Calculations'!$D$25+'District Calculations'!$D$11),5)</f>
        <v>1.7749999999999998E-2</v>
      </c>
      <c r="AA177" s="6" cm="1">
        <f t="array" ref="AA177">ROUND($J177*CIS_Base_Salary2324s*VLOOKUP($A177,EnrollData2324,'2324 Jun 24 Enroll'!S$1,FALSE),2)</f>
        <v>4038.59</v>
      </c>
      <c r="AB177" s="6" cm="1">
        <f t="array" ref="AB177">ROUND($J177*CIS_Inc_Salary2324s*(VLOOKUP($A177,EnrollData2324,'2324 Jun 24 Enroll'!T$1,FALSE)+VLOOKUP($A177,EnrollData2324,'2324 Jun 24 Enroll'!U$1,FALSE)),2)-AA177</f>
        <v>316.94999999999982</v>
      </c>
      <c r="AC177" s="6" cm="1">
        <f t="array" ref="AC177">ROUND($R177*CAS_Base_Salary2324s*VLOOKUP($A177,EnrollData2324,'2324 Jun 24 Enroll'!S$1,FALSE),2)</f>
        <v>443.7</v>
      </c>
      <c r="AD177" s="6" cm="1">
        <f t="array" ref="AD177">ROUND($R177*CAS_Inc_Salary2324s*VLOOKUP($A177,EnrollData2324,'2324 Jun 24 Enroll'!T$1,FALSE),2)-AC177</f>
        <v>16.410000000000025</v>
      </c>
      <c r="AE177" s="6" cm="1">
        <f t="array" ref="AE177">ROUND($Z177*CLS_Base_Salary2324s*VLOOKUP($A177,EnrollData2324,'2324 Jun 24 Enroll'!S$1,FALSE),2)</f>
        <v>926.07</v>
      </c>
      <c r="AF177" s="6" cm="1">
        <f t="array" ref="AF177">ROUND($Z177*CLS_Inc_Salary2324s*VLOOKUP($A177,EnrollData2324,'2324 Jun 24 Enroll'!T$1,FALSE),2)-AE177</f>
        <v>34.259999999999991</v>
      </c>
      <c r="AG177" cm="1">
        <f t="array" ref="AG177">ROUND(($J177+$R177)*Apport_124X2324s,2)</f>
        <v>734.29</v>
      </c>
      <c r="AH177" s="69">
        <f t="shared" si="19"/>
        <v>68.700000000000045</v>
      </c>
      <c r="AI177" cm="1">
        <f t="array" ref="AI177">ROUND($Z177*Apport_124X2324s,2)</f>
        <v>218.54</v>
      </c>
      <c r="AJ177" cm="1">
        <f t="array" ref="AJ177">ROUND($Z177*Apport_621X2324s*Apport_125X2324s,2)-AI177</f>
        <v>116.51000000000002</v>
      </c>
      <c r="AK177" cm="1">
        <f t="array" ref="AK177">ROUND((AA177+AC177)*Apport_126X2324s,2)</f>
        <v>805.47</v>
      </c>
      <c r="AL177" cm="1">
        <f t="array" ref="AL177">ROUND((AB177+AD177)*Apport_127X2324s,2)</f>
        <v>57.77</v>
      </c>
      <c r="AM177" cm="1">
        <f t="array" ref="AM177">ROUND(AE177*Apport_128X2324s,2)</f>
        <v>204.29</v>
      </c>
      <c r="AN177" cm="1">
        <f t="array" ref="AN177">ROUND(AF177*Apport_129X2324s,2)</f>
        <v>6.36</v>
      </c>
      <c r="AO177" cm="1">
        <f t="array" ref="AO177">ROUND(($J177*CIS_Inc_Salary2324s*(VLOOKUP($A177,EnrollData2324,'2324 Jun 24 Enroll'!T$1,FALSE)+VLOOKUP($A177,EnrollData2324,'2324 Jun 24 Enroll'!U$1,FALSE))/Apport_613Xpd)*Apport_614Xpd,2)</f>
        <v>72.59</v>
      </c>
      <c r="AP177" cm="1">
        <f t="array" ref="AP177">ROUND(AO177*Apport_127X2324s,2)</f>
        <v>12.58</v>
      </c>
      <c r="AQ177">
        <f t="shared" si="20"/>
        <v>30.93</v>
      </c>
      <c r="AR177" s="6" cm="1">
        <f t="array" ref="AR177">ROUND((VLOOKUP($A177,EnrollData2324,'2324 Jun 24 Enroll'!D$1,FALSE)*Apport_M802324s+VLOOKUP($A177,EnrollData2324,'2324 Jun 24 Enroll'!M$1,FALSE)*Apport_M802324s+(VLOOKUP($A177,EnrollData2324,'2324 Jun 24 Enroll'!P$1,FALSE)+VLOOKUP($A177,EnrollData2324,'2324 Jun 24 Enroll'!Q$1,FALSE)+VLOOKUP($A177,EnrollData2324,'2324 Jun 24 Enroll'!R$1,FALSE)+VLOOKUP($A177,EnrollData2324,'2324 Jun 24 Enroll'!I$1,FALSE)+VLOOKUP($A177,EnrollData2324,'2324 Jun 24 Enroll'!N$1,FALSE)+VLOOKUP($A177,EnrollData2324,'2324 Jun 24 Enroll'!O$1,FALSE)+VLOOKUP($A177,EnrollData2324,'2324 Jun 24 Enroll'!K$1,FALSE)+VLOOKUP($A177,EnrollData2324,'2324 Jun 24 Enroll'!L$1,FALSE))*Apport_M812324s)/(VLOOKUP($A177,EnrollData2324,'2324 Jun 24 Enroll'!M$1,FALSE)+VLOOKUP($A177,EnrollData2324,'2324 Jun 24 Enroll'!D$1,FALSE)),2)</f>
        <v>1546.15</v>
      </c>
      <c r="AS177" s="7">
        <f t="shared" si="21"/>
        <v>9650.16</v>
      </c>
    </row>
    <row r="178" spans="1:45">
      <c r="A178" s="40" t="s">
        <v>424</v>
      </c>
      <c r="B178" s="40" t="s">
        <v>425</v>
      </c>
      <c r="C178" s="11">
        <f>ROUND((IFERROR((1/IF(VLOOKUP($A178,EnrollData2324,28,FALSE)='District Calculations'!$D$10,VLOOKUP($A178,EnrollData2324,28,FALSE),'District Calculations'!$D$10))*(1+Apport_Z315),0))+Apport_201A2324s,6)</f>
        <v>7.3449E-2</v>
      </c>
      <c r="D178">
        <f>ROUND(IF(VLOOKUP($A178,EnrollData2324,'2324 Jun 24 Enroll'!D$1,FALSE)='District Calculations'!$D$11,VLOOKUP($A178,EnrollData2324,'2324 Jun 24 Enroll'!D$1,FALSE),'District Calculations'!$D$11)*C178,3)</f>
        <v>0</v>
      </c>
      <c r="E178">
        <f>ROUND(IF(VLOOKUP($A178,EnrollData2324,'2324 Jun 24 Enroll'!E$1,FALSE)='District Calculations'!$D$12,VLOOKUP($A178,EnrollData2324,'2324 Jun 24 Enroll'!E$1,FALSE),'District Calculations'!$D$12)*C178,3)</f>
        <v>59.53</v>
      </c>
      <c r="F178">
        <f>ROUND(IF(VLOOKUP($A178,EnrollData2324,'2324 Jun 24 Enroll'!F$1,FALSE)='District Calculations'!$D$13,VLOOKUP($A178,EnrollData2324,'2324 Jun 24 Enroll'!F$1,FALSE),'District Calculations'!$D$13)*Apport_222A2324s,3)</f>
        <v>10.101000000000001</v>
      </c>
      <c r="G178">
        <f>ROUND(IF(VLOOKUP($A178,EnrollData2324,'2324 Jun 24 Enroll'!G$1,FALSE)='District Calculations'!$D$14,VLOOKUP($A178,EnrollData2324,'2324 Jun 24 Enroll'!G$1,FALSE),'District Calculations'!$D$14)*Apport_210A2324s,3)</f>
        <v>22.395</v>
      </c>
      <c r="H178">
        <f>ROUND(IF(VLOOKUP($A178,EnrollData2324,'2324 Jun 24 Enroll'!H$1,FALSE)='District Calculations'!$D$15,VLOOKUP($A178,EnrollData2324,'2324 Jun 24 Enroll'!H$1,FALSE),'District Calculations'!$D$15)*Apport_213A2324s,3)</f>
        <v>23.091999999999999</v>
      </c>
      <c r="I178">
        <f>ROUND(IF(VLOOKUP($A178,EnrollData2324,'2324 Jun 24 Enroll'!I$1,FALSE)+VLOOKUP($A178,EnrollData2324,'2324 Jun 24 Enroll'!M$1,FALSE)-VLOOKUP($A178,EnrollData2324,'2324 Jun 24 Enroll'!J$1,FALSE)='District Calculations'!$D$16+'District Calculations'!$D$25-'District Calculations'!$D$17,VLOOKUP($A178,EnrollData2324,'2324 Jun 24 Enroll'!I$1,FALSE)+VLOOKUP($A178,EnrollData2324,'2324 Jun 24 Enroll'!M$1,FALSE)-VLOOKUP($A178,EnrollData2324,'2324 Jun 24 Enroll'!J$1,FALSE),'District Calculations'!$D$16+'District Calculations'!$D$25-'District Calculations'!$D$17)*Apport_216A2324s,3)</f>
        <v>58.183999999999997</v>
      </c>
      <c r="J178">
        <f>ROUND(SUM(D178:I178)/(IF(VLOOKUP($A178,EnrollData2324,'2324 Jun 24 Enroll'!M$1,FALSE)='District Calculations'!$D$25,VLOOKUP($A178,EnrollData2324,'2324 Jun 24 Enroll'!M$1,FALSE),'District Calculations'!$D$25)+IF(VLOOKUP($A178,EnrollData2324,'2324 Jun 24 Enroll'!D$1,FALSE)='District Calculations'!$D$11,VLOOKUP($A178,EnrollData2324,'2324 Jun 24 Enroll'!D$1,FALSE),'District Calculations'!$D$11)),5)</f>
        <v>5.5530000000000003E-2</v>
      </c>
      <c r="K178" s="11">
        <f t="shared" si="17"/>
        <v>4.3699999999999998E-3</v>
      </c>
      <c r="L178">
        <f>ROUND(IF(VLOOKUP($A178,EnrollData2324,'2324 Jun 24 Enroll'!D$1,FALSE)='District Calculations'!$D$11,VLOOKUP($A178,EnrollData2324,'2324 Jun 24 Enroll'!D$1,FALSE),'District Calculations'!$D$11)*K178,3)</f>
        <v>0</v>
      </c>
      <c r="M178">
        <f>ROUND(IF(VLOOKUP($A178,EnrollData2324,'2324 Jun 24 Enroll'!E$1,FALSE)='District Calculations'!$D$12,VLOOKUP($A178,EnrollData2324,'2324 Jun 24 Enroll'!E$1,FALSE),'District Calculations'!$D$12)*K178,3)</f>
        <v>3.5419999999999998</v>
      </c>
      <c r="N178">
        <f>ROUND(IF(VLOOKUP($A178,EnrollData2324,'2324 Jun 24 Enroll'!F$1,FALSE)='District Calculations'!$D$13,VLOOKUP($A178,EnrollData2324,'2324 Jun 24 Enroll'!F$1,FALSE),'District Calculations'!$D$13)*Apport_223A2324s,3)</f>
        <v>0.84299999999999997</v>
      </c>
      <c r="O178">
        <f>ROUND(IF(VLOOKUP($A178,EnrollData2324,'2324 Jun 24 Enroll'!G$1,FALSE)='District Calculations'!$D$14,VLOOKUP($A178,EnrollData2324,'2324 Jun 24 Enroll'!G$1,FALSE),'District Calculations'!$D$14)*Apport_211A2324s,3)</f>
        <v>1.87</v>
      </c>
      <c r="P178">
        <f>ROUND(IF(VLOOKUP($A178,EnrollData2324,'2324 Jun 24 Enroll'!H$1,FALSE)='District Calculations'!$D$14,VLOOKUP($A178,EnrollData2324,'2324 Jun 24 Enroll'!H$1,FALSE),'District Calculations'!$D$14)*Apport_214A2324s,3)</f>
        <v>1.8680000000000001</v>
      </c>
      <c r="Q178">
        <f>ROUND(IF(VLOOKUP($A178,EnrollData2324,'2324 Jun 24 Enroll'!I$1,FALSE)+VLOOKUP($A178,EnrollData2324,'2324 Jun 24 Enroll'!M$1,FALSE)-VLOOKUP($A178,EnrollData2324,'2324 Jun 24 Enroll'!J$1,FALSE)='District Calculations'!$D$16+'District Calculations'!$D$25-'District Calculations'!$D$17,VLOOKUP($A178,EnrollData2324,'2324 Jun 24 Enroll'!I$1,FALSE)+VLOOKUP($A178,EnrollData2324,'2324 Jun 24 Enroll'!M$1,FALSE)-VLOOKUP($A178,EnrollData2324,'2324 Jun 24 Enroll'!J$1,FALSE),'District Calculations'!$D$16+'District Calculations'!$D$25-'District Calculations'!$D$17)*Apport_217A2324s,3)</f>
        <v>4.702</v>
      </c>
      <c r="R178">
        <f>ROUND(SUM(L178:Q178)/IF(VLOOKUP($A178,EnrollData2324,'2324 Jun 24 Enroll'!M$1,FALSE)+VLOOKUP($A178,EnrollData2324,'2324 Jun 24 Enroll'!D$1,FALSE)='District Calculations'!$D$25+'District Calculations'!$D$11,VLOOKUP($A178,EnrollData2324,'2324 Jun 24 Enroll'!M$1,FALSE)+VLOOKUP($A178,EnrollData2324,'2324 Jun 24 Enroll'!D$1,FALSE),'District Calculations'!$D$25+'District Calculations'!$D$11),5)</f>
        <v>4.1099999999999999E-3</v>
      </c>
      <c r="S178" s="11">
        <f t="shared" si="18"/>
        <v>1.8689600000000001E-2</v>
      </c>
      <c r="T178">
        <f>ROUND(IF(VLOOKUP($A178,EnrollData2324,'2324 Jun 24 Enroll'!D$1,FALSE)='District Calculations'!$D$11,VLOOKUP($A178,EnrollData2324,'2324 Jun 24 Enroll'!D$1,FALSE),'District Calculations'!$D$11)*S178,3)</f>
        <v>0</v>
      </c>
      <c r="U178">
        <f>ROUND(IF(VLOOKUP($A178,EnrollData2324,'2324 Jun 24 Enroll'!E$1,FALSE)='District Calculations'!$D$12,VLOOKUP($A178,EnrollData2324,'2324 Jun 24 Enroll'!E$1,FALSE),'District Calculations'!$D$12)*S178,3)</f>
        <v>15.148</v>
      </c>
      <c r="V178">
        <f>ROUND(IF(VLOOKUP($A178,EnrollData2324,'2324 Jun 24 Enroll'!F$1,FALSE)='District Calculations'!$D$13,VLOOKUP($A178,EnrollData2324,'2324 Jun 24 Enroll'!F$1,FALSE),'District Calculations'!$D$13)*Apport_224A2324s,3)</f>
        <v>3.7029999999999998</v>
      </c>
      <c r="W178">
        <f>ROUND(IF(VLOOKUP($A178,EnrollData2324,'2324 Jun 24 Enroll'!G$1,FALSE)='District Calculations'!$D$14,VLOOKUP($A178,EnrollData2324,'2324 Jun 24 Enroll'!G$1,FALSE),'District Calculations'!$D$14)*Apport_212A2324s,3)</f>
        <v>8.2089999999999996</v>
      </c>
      <c r="X178">
        <f>ROUND(IF(VLOOKUP($A178,EnrollData2324,'2324 Jun 24 Enroll'!H$1,FALSE)='District Calculations'!$D$14,VLOOKUP($A178,EnrollData2324,'2324 Jun 24 Enroll'!H$1,FALSE),'District Calculations'!$D$14)*Apport_215A2324s,3)</f>
        <v>8.0969999999999995</v>
      </c>
      <c r="Y178">
        <f>ROUND(IF(VLOOKUP($A178,EnrollData2324,'2324 Jun 24 Enroll'!I$1,FALSE)+VLOOKUP($A178,EnrollData2324,'2324 Jun 24 Enroll'!M$1,FALSE)-VLOOKUP($A178,EnrollData2324,'2324 Jun 24 Enroll'!J$1,FALSE)='District Calculations'!$D$16+'District Calculations'!$D$25-'District Calculations'!$D$17,VLOOKUP($A178,EnrollData2324,'2324 Jun 24 Enroll'!I$1,FALSE)+VLOOKUP($A178,EnrollData2324,'2324 Jun 24 Enroll'!M$1,FALSE)-VLOOKUP($A178,EnrollData2324,'2324 Jun 24 Enroll'!J$1,FALSE),'District Calculations'!$D$16+'District Calculations'!$D$25-'District Calculations'!$D$17)*Apport_218A2324s,3)</f>
        <v>20.224</v>
      </c>
      <c r="Z178">
        <f>ROUND(SUM(T178:Y178)/IF(VLOOKUP($A178,EnrollData2324,'2324 Jun 24 Enroll'!M$1,FALSE)+VLOOKUP($A178,EnrollData2324,'2324 Jun 24 Enroll'!D$1,FALSE)='District Calculations'!$D$25+'District Calculations'!$D$11,VLOOKUP($A178,EnrollData2324,'2324 Jun 24 Enroll'!M$1,FALSE)+VLOOKUP($A178,EnrollData2324,'2324 Jun 24 Enroll'!D$1,FALSE),'District Calculations'!$D$25+'District Calculations'!$D$11),5)</f>
        <v>1.7749999999999998E-2</v>
      </c>
      <c r="AA178" s="6" cm="1">
        <f t="array" ref="AA178">ROUND($J178*CIS_Base_Salary2324s*VLOOKUP($A178,EnrollData2324,'2324 Jun 24 Enroll'!S$1,FALSE),2)</f>
        <v>4038.59</v>
      </c>
      <c r="AB178" s="6" cm="1">
        <f t="array" ref="AB178">ROUND($J178*CIS_Inc_Salary2324s*(VLOOKUP($A178,EnrollData2324,'2324 Jun 24 Enroll'!T$1,FALSE)+VLOOKUP($A178,EnrollData2324,'2324 Jun 24 Enroll'!U$1,FALSE)),2)-AA178</f>
        <v>149.43000000000029</v>
      </c>
      <c r="AC178" s="6" cm="1">
        <f t="array" ref="AC178">ROUND($R178*CAS_Base_Salary2324s*VLOOKUP($A178,EnrollData2324,'2324 Jun 24 Enroll'!S$1,FALSE),2)</f>
        <v>443.7</v>
      </c>
      <c r="AD178" s="6" cm="1">
        <f t="array" ref="AD178">ROUND($R178*CAS_Inc_Salary2324s*VLOOKUP($A178,EnrollData2324,'2324 Jun 24 Enroll'!T$1,FALSE),2)-AC178</f>
        <v>16.410000000000025</v>
      </c>
      <c r="AE178" s="6" cm="1">
        <f t="array" ref="AE178">ROUND($Z178*CLS_Base_Salary2324s*VLOOKUP($A178,EnrollData2324,'2324 Jun 24 Enroll'!S$1,FALSE),2)</f>
        <v>926.07</v>
      </c>
      <c r="AF178" s="6" cm="1">
        <f t="array" ref="AF178">ROUND($Z178*CLS_Inc_Salary2324s*VLOOKUP($A178,EnrollData2324,'2324 Jun 24 Enroll'!T$1,FALSE),2)-AE178</f>
        <v>34.259999999999991</v>
      </c>
      <c r="AG178" cm="1">
        <f t="array" ref="AG178">ROUND(($J178+$R178)*Apport_124X2324s,2)</f>
        <v>734.29</v>
      </c>
      <c r="AH178" s="69">
        <f t="shared" si="19"/>
        <v>68.700000000000045</v>
      </c>
      <c r="AI178" cm="1">
        <f t="array" ref="AI178">ROUND($Z178*Apport_124X2324s,2)</f>
        <v>218.54</v>
      </c>
      <c r="AJ178" cm="1">
        <f t="array" ref="AJ178">ROUND($Z178*Apport_621X2324s*Apport_125X2324s,2)-AI178</f>
        <v>116.51000000000002</v>
      </c>
      <c r="AK178" cm="1">
        <f t="array" ref="AK178">ROUND((AA178+AC178)*Apport_126X2324s,2)</f>
        <v>805.47</v>
      </c>
      <c r="AL178" cm="1">
        <f t="array" ref="AL178">ROUND((AB178+AD178)*Apport_127X2324s,2)</f>
        <v>28.74</v>
      </c>
      <c r="AM178" cm="1">
        <f t="array" ref="AM178">ROUND(AE178*Apport_128X2324s,2)</f>
        <v>204.29</v>
      </c>
      <c r="AN178" cm="1">
        <f t="array" ref="AN178">ROUND(AF178*Apport_129X2324s,2)</f>
        <v>6.36</v>
      </c>
      <c r="AO178" cm="1">
        <f t="array" ref="AO178">ROUND(($J178*CIS_Inc_Salary2324s*(VLOOKUP($A178,EnrollData2324,'2324 Jun 24 Enroll'!T$1,FALSE)+VLOOKUP($A178,EnrollData2324,'2324 Jun 24 Enroll'!U$1,FALSE))/Apport_613Xpd)*Apport_614Xpd,2)</f>
        <v>69.8</v>
      </c>
      <c r="AP178" cm="1">
        <f t="array" ref="AP178">ROUND(AO178*Apport_127X2324s,2)</f>
        <v>12.1</v>
      </c>
      <c r="AQ178">
        <f t="shared" si="20"/>
        <v>30.93</v>
      </c>
      <c r="AR178" s="6" cm="1">
        <f t="array" ref="AR178">ROUND((VLOOKUP($A178,EnrollData2324,'2324 Jun 24 Enroll'!D$1,FALSE)*Apport_M802324s+VLOOKUP($A178,EnrollData2324,'2324 Jun 24 Enroll'!M$1,FALSE)*Apport_M802324s+(VLOOKUP($A178,EnrollData2324,'2324 Jun 24 Enroll'!P$1,FALSE)+VLOOKUP($A178,EnrollData2324,'2324 Jun 24 Enroll'!Q$1,FALSE)+VLOOKUP($A178,EnrollData2324,'2324 Jun 24 Enroll'!R$1,FALSE)+VLOOKUP($A178,EnrollData2324,'2324 Jun 24 Enroll'!I$1,FALSE)+VLOOKUP($A178,EnrollData2324,'2324 Jun 24 Enroll'!N$1,FALSE)+VLOOKUP($A178,EnrollData2324,'2324 Jun 24 Enroll'!O$1,FALSE)+VLOOKUP($A178,EnrollData2324,'2324 Jun 24 Enroll'!K$1,FALSE)+VLOOKUP($A178,EnrollData2324,'2324 Jun 24 Enroll'!L$1,FALSE))*Apport_M812324s)/(VLOOKUP($A178,EnrollData2324,'2324 Jun 24 Enroll'!M$1,FALSE)+VLOOKUP($A178,EnrollData2324,'2324 Jun 24 Enroll'!D$1,FALSE)),2)</f>
        <v>1564.85</v>
      </c>
      <c r="AS178" s="7">
        <f t="shared" si="21"/>
        <v>9469.0400000000009</v>
      </c>
    </row>
    <row r="179" spans="1:45">
      <c r="A179" s="40" t="s">
        <v>779</v>
      </c>
      <c r="B179" s="40" t="s">
        <v>780</v>
      </c>
      <c r="C179" s="11">
        <f>ROUND((IFERROR((1/IF(VLOOKUP($A179,EnrollData2324,28,FALSE)='District Calculations'!$D$10,VLOOKUP($A179,EnrollData2324,28,FALSE),'District Calculations'!$D$10))*(1+Apport_Z315),0))+Apport_201A2324s,6)</f>
        <v>7.3449E-2</v>
      </c>
      <c r="D179">
        <f>ROUND(IF(VLOOKUP($A179,EnrollData2324,'2324 Jun 24 Enroll'!D$1,FALSE)='District Calculations'!$D$11,VLOOKUP($A179,EnrollData2324,'2324 Jun 24 Enroll'!D$1,FALSE),'District Calculations'!$D$11)*C179,3)</f>
        <v>0</v>
      </c>
      <c r="E179">
        <f>ROUND(IF(VLOOKUP($A179,EnrollData2324,'2324 Jun 24 Enroll'!E$1,FALSE)='District Calculations'!$D$12,VLOOKUP($A179,EnrollData2324,'2324 Jun 24 Enroll'!E$1,FALSE),'District Calculations'!$D$12)*C179,3)</f>
        <v>59.53</v>
      </c>
      <c r="F179">
        <f>ROUND(IF(VLOOKUP($A179,EnrollData2324,'2324 Jun 24 Enroll'!F$1,FALSE)='District Calculations'!$D$13,VLOOKUP($A179,EnrollData2324,'2324 Jun 24 Enroll'!F$1,FALSE),'District Calculations'!$D$13)*Apport_222A2324s,3)</f>
        <v>10.101000000000001</v>
      </c>
      <c r="G179">
        <f>ROUND(IF(VLOOKUP($A179,EnrollData2324,'2324 Jun 24 Enroll'!G$1,FALSE)='District Calculations'!$D$14,VLOOKUP($A179,EnrollData2324,'2324 Jun 24 Enroll'!G$1,FALSE),'District Calculations'!$D$14)*Apport_210A2324s,3)</f>
        <v>22.395</v>
      </c>
      <c r="H179">
        <f>ROUND(IF(VLOOKUP($A179,EnrollData2324,'2324 Jun 24 Enroll'!H$1,FALSE)='District Calculations'!$D$15,VLOOKUP($A179,EnrollData2324,'2324 Jun 24 Enroll'!H$1,FALSE),'District Calculations'!$D$15)*Apport_213A2324s,3)</f>
        <v>23.091999999999999</v>
      </c>
      <c r="I179">
        <f>ROUND(IF(VLOOKUP($A179,EnrollData2324,'2324 Jun 24 Enroll'!I$1,FALSE)+VLOOKUP($A179,EnrollData2324,'2324 Jun 24 Enroll'!M$1,FALSE)-VLOOKUP($A179,EnrollData2324,'2324 Jun 24 Enroll'!J$1,FALSE)='District Calculations'!$D$16+'District Calculations'!$D$25-'District Calculations'!$D$17,VLOOKUP($A179,EnrollData2324,'2324 Jun 24 Enroll'!I$1,FALSE)+VLOOKUP($A179,EnrollData2324,'2324 Jun 24 Enroll'!M$1,FALSE)-VLOOKUP($A179,EnrollData2324,'2324 Jun 24 Enroll'!J$1,FALSE),'District Calculations'!$D$16+'District Calculations'!$D$25-'District Calculations'!$D$17)*Apport_216A2324s,3)</f>
        <v>58.183999999999997</v>
      </c>
      <c r="J179">
        <f>ROUND(SUM(D179:I179)/(IF(VLOOKUP($A179,EnrollData2324,'2324 Jun 24 Enroll'!M$1,FALSE)='District Calculations'!$D$25,VLOOKUP($A179,EnrollData2324,'2324 Jun 24 Enroll'!M$1,FALSE),'District Calculations'!$D$25)+IF(VLOOKUP($A179,EnrollData2324,'2324 Jun 24 Enroll'!D$1,FALSE)='District Calculations'!$D$11,VLOOKUP($A179,EnrollData2324,'2324 Jun 24 Enroll'!D$1,FALSE),'District Calculations'!$D$11)),5)</f>
        <v>5.5530000000000003E-2</v>
      </c>
      <c r="K179" s="11">
        <f t="shared" si="17"/>
        <v>4.3699999999999998E-3</v>
      </c>
      <c r="L179">
        <f>ROUND(IF(VLOOKUP($A179,EnrollData2324,'2324 Jun 24 Enroll'!D$1,FALSE)='District Calculations'!$D$11,VLOOKUP($A179,EnrollData2324,'2324 Jun 24 Enroll'!D$1,FALSE),'District Calculations'!$D$11)*K179,3)</f>
        <v>0</v>
      </c>
      <c r="M179">
        <f>ROUND(IF(VLOOKUP($A179,EnrollData2324,'2324 Jun 24 Enroll'!E$1,FALSE)='District Calculations'!$D$12,VLOOKUP($A179,EnrollData2324,'2324 Jun 24 Enroll'!E$1,FALSE),'District Calculations'!$D$12)*K179,3)</f>
        <v>3.5419999999999998</v>
      </c>
      <c r="N179">
        <f>ROUND(IF(VLOOKUP($A179,EnrollData2324,'2324 Jun 24 Enroll'!F$1,FALSE)='District Calculations'!$D$13,VLOOKUP($A179,EnrollData2324,'2324 Jun 24 Enroll'!F$1,FALSE),'District Calculations'!$D$13)*Apport_223A2324s,3)</f>
        <v>0.84299999999999997</v>
      </c>
      <c r="O179">
        <f>ROUND(IF(VLOOKUP($A179,EnrollData2324,'2324 Jun 24 Enroll'!G$1,FALSE)='District Calculations'!$D$14,VLOOKUP($A179,EnrollData2324,'2324 Jun 24 Enroll'!G$1,FALSE),'District Calculations'!$D$14)*Apport_211A2324s,3)</f>
        <v>1.87</v>
      </c>
      <c r="P179">
        <f>ROUND(IF(VLOOKUP($A179,EnrollData2324,'2324 Jun 24 Enroll'!H$1,FALSE)='District Calculations'!$D$14,VLOOKUP($A179,EnrollData2324,'2324 Jun 24 Enroll'!H$1,FALSE),'District Calculations'!$D$14)*Apport_214A2324s,3)</f>
        <v>1.8680000000000001</v>
      </c>
      <c r="Q179">
        <f>ROUND(IF(VLOOKUP($A179,EnrollData2324,'2324 Jun 24 Enroll'!I$1,FALSE)+VLOOKUP($A179,EnrollData2324,'2324 Jun 24 Enroll'!M$1,FALSE)-VLOOKUP($A179,EnrollData2324,'2324 Jun 24 Enroll'!J$1,FALSE)='District Calculations'!$D$16+'District Calculations'!$D$25-'District Calculations'!$D$17,VLOOKUP($A179,EnrollData2324,'2324 Jun 24 Enroll'!I$1,FALSE)+VLOOKUP($A179,EnrollData2324,'2324 Jun 24 Enroll'!M$1,FALSE)-VLOOKUP($A179,EnrollData2324,'2324 Jun 24 Enroll'!J$1,FALSE),'District Calculations'!$D$16+'District Calculations'!$D$25-'District Calculations'!$D$17)*Apport_217A2324s,3)</f>
        <v>4.702</v>
      </c>
      <c r="R179">
        <f>ROUND(SUM(L179:Q179)/IF(VLOOKUP($A179,EnrollData2324,'2324 Jun 24 Enroll'!M$1,FALSE)+VLOOKUP($A179,EnrollData2324,'2324 Jun 24 Enroll'!D$1,FALSE)='District Calculations'!$D$25+'District Calculations'!$D$11,VLOOKUP($A179,EnrollData2324,'2324 Jun 24 Enroll'!M$1,FALSE)+VLOOKUP($A179,EnrollData2324,'2324 Jun 24 Enroll'!D$1,FALSE),'District Calculations'!$D$25+'District Calculations'!$D$11),5)</f>
        <v>4.1099999999999999E-3</v>
      </c>
      <c r="S179" s="11">
        <f t="shared" si="18"/>
        <v>1.8689600000000001E-2</v>
      </c>
      <c r="T179">
        <f>ROUND(IF(VLOOKUP($A179,EnrollData2324,'2324 Jun 24 Enroll'!D$1,FALSE)='District Calculations'!$D$11,VLOOKUP($A179,EnrollData2324,'2324 Jun 24 Enroll'!D$1,FALSE),'District Calculations'!$D$11)*S179,3)</f>
        <v>0</v>
      </c>
      <c r="U179">
        <f>ROUND(IF(VLOOKUP($A179,EnrollData2324,'2324 Jun 24 Enroll'!E$1,FALSE)='District Calculations'!$D$12,VLOOKUP($A179,EnrollData2324,'2324 Jun 24 Enroll'!E$1,FALSE),'District Calculations'!$D$12)*S179,3)</f>
        <v>15.148</v>
      </c>
      <c r="V179">
        <f>ROUND(IF(VLOOKUP($A179,EnrollData2324,'2324 Jun 24 Enroll'!F$1,FALSE)='District Calculations'!$D$13,VLOOKUP($A179,EnrollData2324,'2324 Jun 24 Enroll'!F$1,FALSE),'District Calculations'!$D$13)*Apport_224A2324s,3)</f>
        <v>3.7029999999999998</v>
      </c>
      <c r="W179">
        <f>ROUND(IF(VLOOKUP($A179,EnrollData2324,'2324 Jun 24 Enroll'!G$1,FALSE)='District Calculations'!$D$14,VLOOKUP($A179,EnrollData2324,'2324 Jun 24 Enroll'!G$1,FALSE),'District Calculations'!$D$14)*Apport_212A2324s,3)</f>
        <v>8.2089999999999996</v>
      </c>
      <c r="X179">
        <f>ROUND(IF(VLOOKUP($A179,EnrollData2324,'2324 Jun 24 Enroll'!H$1,FALSE)='District Calculations'!$D$14,VLOOKUP($A179,EnrollData2324,'2324 Jun 24 Enroll'!H$1,FALSE),'District Calculations'!$D$14)*Apport_215A2324s,3)</f>
        <v>8.0969999999999995</v>
      </c>
      <c r="Y179">
        <f>ROUND(IF(VLOOKUP($A179,EnrollData2324,'2324 Jun 24 Enroll'!I$1,FALSE)+VLOOKUP($A179,EnrollData2324,'2324 Jun 24 Enroll'!M$1,FALSE)-VLOOKUP($A179,EnrollData2324,'2324 Jun 24 Enroll'!J$1,FALSE)='District Calculations'!$D$16+'District Calculations'!$D$25-'District Calculations'!$D$17,VLOOKUP($A179,EnrollData2324,'2324 Jun 24 Enroll'!I$1,FALSE)+VLOOKUP($A179,EnrollData2324,'2324 Jun 24 Enroll'!M$1,FALSE)-VLOOKUP($A179,EnrollData2324,'2324 Jun 24 Enroll'!J$1,FALSE),'District Calculations'!$D$16+'District Calculations'!$D$25-'District Calculations'!$D$17)*Apport_218A2324s,3)</f>
        <v>20.224</v>
      </c>
      <c r="Z179">
        <f>ROUND(SUM(T179:Y179)/IF(VLOOKUP($A179,EnrollData2324,'2324 Jun 24 Enroll'!M$1,FALSE)+VLOOKUP($A179,EnrollData2324,'2324 Jun 24 Enroll'!D$1,FALSE)='District Calculations'!$D$25+'District Calculations'!$D$11,VLOOKUP($A179,EnrollData2324,'2324 Jun 24 Enroll'!M$1,FALSE)+VLOOKUP($A179,EnrollData2324,'2324 Jun 24 Enroll'!D$1,FALSE),'District Calculations'!$D$25+'District Calculations'!$D$11),5)</f>
        <v>1.7749999999999998E-2</v>
      </c>
      <c r="AA179" s="6" cm="1">
        <f t="array" ref="AA179">ROUND($J179*CIS_Base_Salary2324s*VLOOKUP($A179,EnrollData2324,'2324 Jun 24 Enroll'!S$1,FALSE),2)</f>
        <v>4038.59</v>
      </c>
      <c r="AB179" s="6" cm="1">
        <f t="array" ref="AB179">ROUND($J179*CIS_Inc_Salary2324s*(VLOOKUP($A179,EnrollData2324,'2324 Jun 24 Enroll'!T$1,FALSE)+VLOOKUP($A179,EnrollData2324,'2324 Jun 24 Enroll'!U$1,FALSE)),2)-AA179</f>
        <v>149.43000000000029</v>
      </c>
      <c r="AC179" s="6" cm="1">
        <f t="array" ref="AC179">ROUND($R179*CAS_Base_Salary2324s*VLOOKUP($A179,EnrollData2324,'2324 Jun 24 Enroll'!S$1,FALSE),2)</f>
        <v>443.7</v>
      </c>
      <c r="AD179" s="6" cm="1">
        <f t="array" ref="AD179">ROUND($R179*CAS_Inc_Salary2324s*VLOOKUP($A179,EnrollData2324,'2324 Jun 24 Enroll'!T$1,FALSE),2)-AC179</f>
        <v>16.410000000000025</v>
      </c>
      <c r="AE179" s="6" cm="1">
        <f t="array" ref="AE179">ROUND($Z179*CLS_Base_Salary2324s*VLOOKUP($A179,EnrollData2324,'2324 Jun 24 Enroll'!S$1,FALSE),2)</f>
        <v>926.07</v>
      </c>
      <c r="AF179" s="6" cm="1">
        <f t="array" ref="AF179">ROUND($Z179*CLS_Inc_Salary2324s*VLOOKUP($A179,EnrollData2324,'2324 Jun 24 Enroll'!T$1,FALSE),2)-AE179</f>
        <v>34.259999999999991</v>
      </c>
      <c r="AG179" cm="1">
        <f t="array" ref="AG179">ROUND(($J179+$R179)*Apport_124X2324s,2)</f>
        <v>734.29</v>
      </c>
      <c r="AH179" s="69">
        <f t="shared" si="19"/>
        <v>68.700000000000045</v>
      </c>
      <c r="AI179" cm="1">
        <f t="array" ref="AI179">ROUND($Z179*Apport_124X2324s,2)</f>
        <v>218.54</v>
      </c>
      <c r="AJ179" cm="1">
        <f t="array" ref="AJ179">ROUND($Z179*Apport_621X2324s*Apport_125X2324s,2)-AI179</f>
        <v>116.51000000000002</v>
      </c>
      <c r="AK179" cm="1">
        <f t="array" ref="AK179">ROUND((AA179+AC179)*Apport_126X2324s,2)</f>
        <v>805.47</v>
      </c>
      <c r="AL179" cm="1">
        <f t="array" ref="AL179">ROUND((AB179+AD179)*Apport_127X2324s,2)</f>
        <v>28.74</v>
      </c>
      <c r="AM179" cm="1">
        <f t="array" ref="AM179">ROUND(AE179*Apport_128X2324s,2)</f>
        <v>204.29</v>
      </c>
      <c r="AN179" cm="1">
        <f t="array" ref="AN179">ROUND(AF179*Apport_129X2324s,2)</f>
        <v>6.36</v>
      </c>
      <c r="AO179" cm="1">
        <f t="array" ref="AO179">ROUND(($J179*CIS_Inc_Salary2324s*(VLOOKUP($A179,EnrollData2324,'2324 Jun 24 Enroll'!T$1,FALSE)+VLOOKUP($A179,EnrollData2324,'2324 Jun 24 Enroll'!U$1,FALSE))/Apport_613Xpd)*Apport_614Xpd,2)</f>
        <v>69.8</v>
      </c>
      <c r="AP179" cm="1">
        <f t="array" ref="AP179">ROUND(AO179*Apport_127X2324s,2)</f>
        <v>12.1</v>
      </c>
      <c r="AQ179">
        <f t="shared" si="20"/>
        <v>30.93</v>
      </c>
      <c r="AR179" s="6" cm="1">
        <f t="array" ref="AR179">ROUND((VLOOKUP($A179,EnrollData2324,'2324 Jun 24 Enroll'!D$1,FALSE)*Apport_M802324s+VLOOKUP($A179,EnrollData2324,'2324 Jun 24 Enroll'!M$1,FALSE)*Apport_M802324s+(VLOOKUP($A179,EnrollData2324,'2324 Jun 24 Enroll'!P$1,FALSE)+VLOOKUP($A179,EnrollData2324,'2324 Jun 24 Enroll'!Q$1,FALSE)+VLOOKUP($A179,EnrollData2324,'2324 Jun 24 Enroll'!R$1,FALSE)+VLOOKUP($A179,EnrollData2324,'2324 Jun 24 Enroll'!I$1,FALSE)+VLOOKUP($A179,EnrollData2324,'2324 Jun 24 Enroll'!N$1,FALSE)+VLOOKUP($A179,EnrollData2324,'2324 Jun 24 Enroll'!O$1,FALSE)+VLOOKUP($A179,EnrollData2324,'2324 Jun 24 Enroll'!K$1,FALSE)+VLOOKUP($A179,EnrollData2324,'2324 Jun 24 Enroll'!L$1,FALSE))*Apport_M812324s)/(VLOOKUP($A179,EnrollData2324,'2324 Jun 24 Enroll'!M$1,FALSE)+VLOOKUP($A179,EnrollData2324,'2324 Jun 24 Enroll'!D$1,FALSE)),2)</f>
        <v>1504.44</v>
      </c>
      <c r="AS179" s="7">
        <f t="shared" si="21"/>
        <v>9408.630000000001</v>
      </c>
    </row>
    <row r="180" spans="1:45">
      <c r="A180" s="40" t="s">
        <v>490</v>
      </c>
      <c r="B180" s="40" t="s">
        <v>491</v>
      </c>
      <c r="C180" s="11">
        <f>ROUND((IFERROR((1/IF(VLOOKUP($A180,EnrollData2324,28,FALSE)='District Calculations'!$D$10,VLOOKUP($A180,EnrollData2324,28,FALSE),'District Calculations'!$D$10))*(1+Apport_Z315),0))+Apport_201A2324s,6)</f>
        <v>7.3449E-2</v>
      </c>
      <c r="D180">
        <f>ROUND(IF(VLOOKUP($A180,EnrollData2324,'2324 Jun 24 Enroll'!D$1,FALSE)='District Calculations'!$D$11,VLOOKUP($A180,EnrollData2324,'2324 Jun 24 Enroll'!D$1,FALSE),'District Calculations'!$D$11)*C180,3)</f>
        <v>0</v>
      </c>
      <c r="E180">
        <f>ROUND(IF(VLOOKUP($A180,EnrollData2324,'2324 Jun 24 Enroll'!E$1,FALSE)='District Calculations'!$D$12,VLOOKUP($A180,EnrollData2324,'2324 Jun 24 Enroll'!E$1,FALSE),'District Calculations'!$D$12)*C180,3)</f>
        <v>59.53</v>
      </c>
      <c r="F180">
        <f>ROUND(IF(VLOOKUP($A180,EnrollData2324,'2324 Jun 24 Enroll'!F$1,FALSE)='District Calculations'!$D$13,VLOOKUP($A180,EnrollData2324,'2324 Jun 24 Enroll'!F$1,FALSE),'District Calculations'!$D$13)*Apport_222A2324s,3)</f>
        <v>10.101000000000001</v>
      </c>
      <c r="G180">
        <f>ROUND(IF(VLOOKUP($A180,EnrollData2324,'2324 Jun 24 Enroll'!G$1,FALSE)='District Calculations'!$D$14,VLOOKUP($A180,EnrollData2324,'2324 Jun 24 Enroll'!G$1,FALSE),'District Calculations'!$D$14)*Apport_210A2324s,3)</f>
        <v>22.395</v>
      </c>
      <c r="H180">
        <f>ROUND(IF(VLOOKUP($A180,EnrollData2324,'2324 Jun 24 Enroll'!H$1,FALSE)='District Calculations'!$D$15,VLOOKUP($A180,EnrollData2324,'2324 Jun 24 Enroll'!H$1,FALSE),'District Calculations'!$D$15)*Apport_213A2324s,3)</f>
        <v>23.091999999999999</v>
      </c>
      <c r="I180">
        <f>ROUND(IF(VLOOKUP($A180,EnrollData2324,'2324 Jun 24 Enroll'!I$1,FALSE)+VLOOKUP($A180,EnrollData2324,'2324 Jun 24 Enroll'!M$1,FALSE)-VLOOKUP($A180,EnrollData2324,'2324 Jun 24 Enroll'!J$1,FALSE)='District Calculations'!$D$16+'District Calculations'!$D$25-'District Calculations'!$D$17,VLOOKUP($A180,EnrollData2324,'2324 Jun 24 Enroll'!I$1,FALSE)+VLOOKUP($A180,EnrollData2324,'2324 Jun 24 Enroll'!M$1,FALSE)-VLOOKUP($A180,EnrollData2324,'2324 Jun 24 Enroll'!J$1,FALSE),'District Calculations'!$D$16+'District Calculations'!$D$25-'District Calculations'!$D$17)*Apport_216A2324s,3)</f>
        <v>58.183999999999997</v>
      </c>
      <c r="J180">
        <f>ROUND(SUM(D180:I180)/(IF(VLOOKUP($A180,EnrollData2324,'2324 Jun 24 Enroll'!M$1,FALSE)='District Calculations'!$D$25,VLOOKUP($A180,EnrollData2324,'2324 Jun 24 Enroll'!M$1,FALSE),'District Calculations'!$D$25)+IF(VLOOKUP($A180,EnrollData2324,'2324 Jun 24 Enroll'!D$1,FALSE)='District Calculations'!$D$11,VLOOKUP($A180,EnrollData2324,'2324 Jun 24 Enroll'!D$1,FALSE),'District Calculations'!$D$11)),5)</f>
        <v>5.5530000000000003E-2</v>
      </c>
      <c r="K180" s="11">
        <f t="shared" si="17"/>
        <v>4.3699999999999998E-3</v>
      </c>
      <c r="L180">
        <f>ROUND(IF(VLOOKUP($A180,EnrollData2324,'2324 Jun 24 Enroll'!D$1,FALSE)='District Calculations'!$D$11,VLOOKUP($A180,EnrollData2324,'2324 Jun 24 Enroll'!D$1,FALSE),'District Calculations'!$D$11)*K180,3)</f>
        <v>0</v>
      </c>
      <c r="M180">
        <f>ROUND(IF(VLOOKUP($A180,EnrollData2324,'2324 Jun 24 Enroll'!E$1,FALSE)='District Calculations'!$D$12,VLOOKUP($A180,EnrollData2324,'2324 Jun 24 Enroll'!E$1,FALSE),'District Calculations'!$D$12)*K180,3)</f>
        <v>3.5419999999999998</v>
      </c>
      <c r="N180">
        <f>ROUND(IF(VLOOKUP($A180,EnrollData2324,'2324 Jun 24 Enroll'!F$1,FALSE)='District Calculations'!$D$13,VLOOKUP($A180,EnrollData2324,'2324 Jun 24 Enroll'!F$1,FALSE),'District Calculations'!$D$13)*Apport_223A2324s,3)</f>
        <v>0.84299999999999997</v>
      </c>
      <c r="O180">
        <f>ROUND(IF(VLOOKUP($A180,EnrollData2324,'2324 Jun 24 Enroll'!G$1,FALSE)='District Calculations'!$D$14,VLOOKUP($A180,EnrollData2324,'2324 Jun 24 Enroll'!G$1,FALSE),'District Calculations'!$D$14)*Apport_211A2324s,3)</f>
        <v>1.87</v>
      </c>
      <c r="P180">
        <f>ROUND(IF(VLOOKUP($A180,EnrollData2324,'2324 Jun 24 Enroll'!H$1,FALSE)='District Calculations'!$D$14,VLOOKUP($A180,EnrollData2324,'2324 Jun 24 Enroll'!H$1,FALSE),'District Calculations'!$D$14)*Apport_214A2324s,3)</f>
        <v>1.8680000000000001</v>
      </c>
      <c r="Q180">
        <f>ROUND(IF(VLOOKUP($A180,EnrollData2324,'2324 Jun 24 Enroll'!I$1,FALSE)+VLOOKUP($A180,EnrollData2324,'2324 Jun 24 Enroll'!M$1,FALSE)-VLOOKUP($A180,EnrollData2324,'2324 Jun 24 Enroll'!J$1,FALSE)='District Calculations'!$D$16+'District Calculations'!$D$25-'District Calculations'!$D$17,VLOOKUP($A180,EnrollData2324,'2324 Jun 24 Enroll'!I$1,FALSE)+VLOOKUP($A180,EnrollData2324,'2324 Jun 24 Enroll'!M$1,FALSE)-VLOOKUP($A180,EnrollData2324,'2324 Jun 24 Enroll'!J$1,FALSE),'District Calculations'!$D$16+'District Calculations'!$D$25-'District Calculations'!$D$17)*Apport_217A2324s,3)</f>
        <v>4.702</v>
      </c>
      <c r="R180">
        <f>ROUND(SUM(L180:Q180)/IF(VLOOKUP($A180,EnrollData2324,'2324 Jun 24 Enroll'!M$1,FALSE)+VLOOKUP($A180,EnrollData2324,'2324 Jun 24 Enroll'!D$1,FALSE)='District Calculations'!$D$25+'District Calculations'!$D$11,VLOOKUP($A180,EnrollData2324,'2324 Jun 24 Enroll'!M$1,FALSE)+VLOOKUP($A180,EnrollData2324,'2324 Jun 24 Enroll'!D$1,FALSE),'District Calculations'!$D$25+'District Calculations'!$D$11),5)</f>
        <v>4.1099999999999999E-3</v>
      </c>
      <c r="S180" s="11">
        <f t="shared" si="18"/>
        <v>1.8689600000000001E-2</v>
      </c>
      <c r="T180">
        <f>ROUND(IF(VLOOKUP($A180,EnrollData2324,'2324 Jun 24 Enroll'!D$1,FALSE)='District Calculations'!$D$11,VLOOKUP($A180,EnrollData2324,'2324 Jun 24 Enroll'!D$1,FALSE),'District Calculations'!$D$11)*S180,3)</f>
        <v>0</v>
      </c>
      <c r="U180">
        <f>ROUND(IF(VLOOKUP($A180,EnrollData2324,'2324 Jun 24 Enroll'!E$1,FALSE)='District Calculations'!$D$12,VLOOKUP($A180,EnrollData2324,'2324 Jun 24 Enroll'!E$1,FALSE),'District Calculations'!$D$12)*S180,3)</f>
        <v>15.148</v>
      </c>
      <c r="V180">
        <f>ROUND(IF(VLOOKUP($A180,EnrollData2324,'2324 Jun 24 Enroll'!F$1,FALSE)='District Calculations'!$D$13,VLOOKUP($A180,EnrollData2324,'2324 Jun 24 Enroll'!F$1,FALSE),'District Calculations'!$D$13)*Apport_224A2324s,3)</f>
        <v>3.7029999999999998</v>
      </c>
      <c r="W180">
        <f>ROUND(IF(VLOOKUP($A180,EnrollData2324,'2324 Jun 24 Enroll'!G$1,FALSE)='District Calculations'!$D$14,VLOOKUP($A180,EnrollData2324,'2324 Jun 24 Enroll'!G$1,FALSE),'District Calculations'!$D$14)*Apport_212A2324s,3)</f>
        <v>8.2089999999999996</v>
      </c>
      <c r="X180">
        <f>ROUND(IF(VLOOKUP($A180,EnrollData2324,'2324 Jun 24 Enroll'!H$1,FALSE)='District Calculations'!$D$14,VLOOKUP($A180,EnrollData2324,'2324 Jun 24 Enroll'!H$1,FALSE),'District Calculations'!$D$14)*Apport_215A2324s,3)</f>
        <v>8.0969999999999995</v>
      </c>
      <c r="Y180">
        <f>ROUND(IF(VLOOKUP($A180,EnrollData2324,'2324 Jun 24 Enroll'!I$1,FALSE)+VLOOKUP($A180,EnrollData2324,'2324 Jun 24 Enroll'!M$1,FALSE)-VLOOKUP($A180,EnrollData2324,'2324 Jun 24 Enroll'!J$1,FALSE)='District Calculations'!$D$16+'District Calculations'!$D$25-'District Calculations'!$D$17,VLOOKUP($A180,EnrollData2324,'2324 Jun 24 Enroll'!I$1,FALSE)+VLOOKUP($A180,EnrollData2324,'2324 Jun 24 Enroll'!M$1,FALSE)-VLOOKUP($A180,EnrollData2324,'2324 Jun 24 Enroll'!J$1,FALSE),'District Calculations'!$D$16+'District Calculations'!$D$25-'District Calculations'!$D$17)*Apport_218A2324s,3)</f>
        <v>20.224</v>
      </c>
      <c r="Z180">
        <f>ROUND(SUM(T180:Y180)/IF(VLOOKUP($A180,EnrollData2324,'2324 Jun 24 Enroll'!M$1,FALSE)+VLOOKUP($A180,EnrollData2324,'2324 Jun 24 Enroll'!D$1,FALSE)='District Calculations'!$D$25+'District Calculations'!$D$11,VLOOKUP($A180,EnrollData2324,'2324 Jun 24 Enroll'!M$1,FALSE)+VLOOKUP($A180,EnrollData2324,'2324 Jun 24 Enroll'!D$1,FALSE),'District Calculations'!$D$25+'District Calculations'!$D$11),5)</f>
        <v>1.7749999999999998E-2</v>
      </c>
      <c r="AA180" s="6" cm="1">
        <f t="array" ref="AA180">ROUND($J180*CIS_Base_Salary2324s*VLOOKUP($A180,EnrollData2324,'2324 Jun 24 Enroll'!S$1,FALSE),2)</f>
        <v>4280.8999999999996</v>
      </c>
      <c r="AB180" s="6" cm="1">
        <f t="array" ref="AB180">ROUND($J180*CIS_Inc_Salary2324s*(VLOOKUP($A180,EnrollData2324,'2324 Jun 24 Enroll'!T$1,FALSE)+VLOOKUP($A180,EnrollData2324,'2324 Jun 24 Enroll'!U$1,FALSE)),2)-AA180</f>
        <v>158.40000000000055</v>
      </c>
      <c r="AC180" s="6" cm="1">
        <f t="array" ref="AC180">ROUND($R180*CAS_Base_Salary2324s*VLOOKUP($A180,EnrollData2324,'2324 Jun 24 Enroll'!S$1,FALSE),2)</f>
        <v>470.32</v>
      </c>
      <c r="AD180" s="6" cm="1">
        <f t="array" ref="AD180">ROUND($R180*CAS_Inc_Salary2324s*VLOOKUP($A180,EnrollData2324,'2324 Jun 24 Enroll'!T$1,FALSE),2)-AC180</f>
        <v>17.400000000000034</v>
      </c>
      <c r="AE180" s="6" cm="1">
        <f t="array" ref="AE180">ROUND($Z180*CLS_Base_Salary2324s*VLOOKUP($A180,EnrollData2324,'2324 Jun 24 Enroll'!S$1,FALSE),2)</f>
        <v>981.63</v>
      </c>
      <c r="AF180" s="6" cm="1">
        <f t="array" ref="AF180">ROUND($Z180*CLS_Inc_Salary2324s*VLOOKUP($A180,EnrollData2324,'2324 Jun 24 Enroll'!T$1,FALSE),2)-AE180</f>
        <v>36.32000000000005</v>
      </c>
      <c r="AG180" cm="1">
        <f t="array" ref="AG180">ROUND(($J180+$R180)*Apport_124X2324s,2)</f>
        <v>734.29</v>
      </c>
      <c r="AH180" s="69">
        <f t="shared" si="19"/>
        <v>68.700000000000045</v>
      </c>
      <c r="AI180" cm="1">
        <f t="array" ref="AI180">ROUND($Z180*Apport_124X2324s,2)</f>
        <v>218.54</v>
      </c>
      <c r="AJ180" cm="1">
        <f t="array" ref="AJ180">ROUND($Z180*Apport_621X2324s*Apport_125X2324s,2)-AI180</f>
        <v>116.51000000000002</v>
      </c>
      <c r="AK180" cm="1">
        <f t="array" ref="AK180">ROUND((AA180+AC180)*Apport_126X2324s,2)</f>
        <v>853.79</v>
      </c>
      <c r="AL180" cm="1">
        <f t="array" ref="AL180">ROUND((AB180+AD180)*Apport_127X2324s,2)</f>
        <v>30.47</v>
      </c>
      <c r="AM180" cm="1">
        <f t="array" ref="AM180">ROUND(AE180*Apport_128X2324s,2)</f>
        <v>216.55</v>
      </c>
      <c r="AN180" cm="1">
        <f t="array" ref="AN180">ROUND(AF180*Apport_129X2324s,2)</f>
        <v>6.74</v>
      </c>
      <c r="AO180" cm="1">
        <f t="array" ref="AO180">ROUND(($J180*CIS_Inc_Salary2324s*(VLOOKUP($A180,EnrollData2324,'2324 Jun 24 Enroll'!T$1,FALSE)+VLOOKUP($A180,EnrollData2324,'2324 Jun 24 Enroll'!U$1,FALSE))/Apport_613Xpd)*Apport_614Xpd,2)</f>
        <v>73.989999999999995</v>
      </c>
      <c r="AP180" cm="1">
        <f t="array" ref="AP180">ROUND(AO180*Apport_127X2324s,2)</f>
        <v>12.82</v>
      </c>
      <c r="AQ180">
        <f t="shared" si="20"/>
        <v>30.93</v>
      </c>
      <c r="AR180" s="6" cm="1">
        <f t="array" ref="AR180">ROUND((VLOOKUP($A180,EnrollData2324,'2324 Jun 24 Enroll'!D$1,FALSE)*Apport_M802324s+VLOOKUP($A180,EnrollData2324,'2324 Jun 24 Enroll'!M$1,FALSE)*Apport_M802324s+(VLOOKUP($A180,EnrollData2324,'2324 Jun 24 Enroll'!P$1,FALSE)+VLOOKUP($A180,EnrollData2324,'2324 Jun 24 Enroll'!Q$1,FALSE)+VLOOKUP($A180,EnrollData2324,'2324 Jun 24 Enroll'!R$1,FALSE)+VLOOKUP($A180,EnrollData2324,'2324 Jun 24 Enroll'!I$1,FALSE)+VLOOKUP($A180,EnrollData2324,'2324 Jun 24 Enroll'!N$1,FALSE)+VLOOKUP($A180,EnrollData2324,'2324 Jun 24 Enroll'!O$1,FALSE)+VLOOKUP($A180,EnrollData2324,'2324 Jun 24 Enroll'!K$1,FALSE)+VLOOKUP($A180,EnrollData2324,'2324 Jun 24 Enroll'!L$1,FALSE))*Apport_M812324s)/(VLOOKUP($A180,EnrollData2324,'2324 Jun 24 Enroll'!M$1,FALSE)+VLOOKUP($A180,EnrollData2324,'2324 Jun 24 Enroll'!D$1,FALSE)),2)</f>
        <v>1504.44</v>
      </c>
      <c r="AS180" s="7">
        <f t="shared" si="21"/>
        <v>9812.74</v>
      </c>
    </row>
    <row r="181" spans="1:45">
      <c r="A181" s="40" t="s">
        <v>759</v>
      </c>
      <c r="B181" s="40" t="s">
        <v>760</v>
      </c>
      <c r="C181" s="11">
        <f>ROUND((IFERROR((1/IF(VLOOKUP($A181,EnrollData2324,28,FALSE)='District Calculations'!$D$10,VLOOKUP($A181,EnrollData2324,28,FALSE),'District Calculations'!$D$10))*(1+Apport_Z315),0))+Apport_201A2324s,6)</f>
        <v>7.3449E-2</v>
      </c>
      <c r="D181">
        <f>ROUND(IF(VLOOKUP($A181,EnrollData2324,'2324 Jun 24 Enroll'!D$1,FALSE)='District Calculations'!$D$11,VLOOKUP($A181,EnrollData2324,'2324 Jun 24 Enroll'!D$1,FALSE),'District Calculations'!$D$11)*C181,3)</f>
        <v>0</v>
      </c>
      <c r="E181">
        <f>ROUND(IF(VLOOKUP($A181,EnrollData2324,'2324 Jun 24 Enroll'!E$1,FALSE)='District Calculations'!$D$12,VLOOKUP($A181,EnrollData2324,'2324 Jun 24 Enroll'!E$1,FALSE),'District Calculations'!$D$12)*C181,3)</f>
        <v>59.53</v>
      </c>
      <c r="F181">
        <f>ROUND(IF(VLOOKUP($A181,EnrollData2324,'2324 Jun 24 Enroll'!F$1,FALSE)='District Calculations'!$D$13,VLOOKUP($A181,EnrollData2324,'2324 Jun 24 Enroll'!F$1,FALSE),'District Calculations'!$D$13)*Apport_222A2324s,3)</f>
        <v>10.101000000000001</v>
      </c>
      <c r="G181">
        <f>ROUND(IF(VLOOKUP($A181,EnrollData2324,'2324 Jun 24 Enroll'!G$1,FALSE)='District Calculations'!$D$14,VLOOKUP($A181,EnrollData2324,'2324 Jun 24 Enroll'!G$1,FALSE),'District Calculations'!$D$14)*Apport_210A2324s,3)</f>
        <v>22.395</v>
      </c>
      <c r="H181">
        <f>ROUND(IF(VLOOKUP($A181,EnrollData2324,'2324 Jun 24 Enroll'!H$1,FALSE)='District Calculations'!$D$15,VLOOKUP($A181,EnrollData2324,'2324 Jun 24 Enroll'!H$1,FALSE),'District Calculations'!$D$15)*Apport_213A2324s,3)</f>
        <v>23.091999999999999</v>
      </c>
      <c r="I181">
        <f>ROUND(IF(VLOOKUP($A181,EnrollData2324,'2324 Jun 24 Enroll'!I$1,FALSE)+VLOOKUP($A181,EnrollData2324,'2324 Jun 24 Enroll'!M$1,FALSE)-VLOOKUP($A181,EnrollData2324,'2324 Jun 24 Enroll'!J$1,FALSE)='District Calculations'!$D$16+'District Calculations'!$D$25-'District Calculations'!$D$17,VLOOKUP($A181,EnrollData2324,'2324 Jun 24 Enroll'!I$1,FALSE)+VLOOKUP($A181,EnrollData2324,'2324 Jun 24 Enroll'!M$1,FALSE)-VLOOKUP($A181,EnrollData2324,'2324 Jun 24 Enroll'!J$1,FALSE),'District Calculations'!$D$16+'District Calculations'!$D$25-'District Calculations'!$D$17)*Apport_216A2324s,3)</f>
        <v>58.183999999999997</v>
      </c>
      <c r="J181">
        <f>ROUND(SUM(D181:I181)/(IF(VLOOKUP($A181,EnrollData2324,'2324 Jun 24 Enroll'!M$1,FALSE)='District Calculations'!$D$25,VLOOKUP($A181,EnrollData2324,'2324 Jun 24 Enroll'!M$1,FALSE),'District Calculations'!$D$25)+IF(VLOOKUP($A181,EnrollData2324,'2324 Jun 24 Enroll'!D$1,FALSE)='District Calculations'!$D$11,VLOOKUP($A181,EnrollData2324,'2324 Jun 24 Enroll'!D$1,FALSE),'District Calculations'!$D$11)),5)</f>
        <v>5.5530000000000003E-2</v>
      </c>
      <c r="K181" s="11">
        <f t="shared" si="17"/>
        <v>4.3699999999999998E-3</v>
      </c>
      <c r="L181">
        <f>ROUND(IF(VLOOKUP($A181,EnrollData2324,'2324 Jun 24 Enroll'!D$1,FALSE)='District Calculations'!$D$11,VLOOKUP($A181,EnrollData2324,'2324 Jun 24 Enroll'!D$1,FALSE),'District Calculations'!$D$11)*K181,3)</f>
        <v>0</v>
      </c>
      <c r="M181">
        <f>ROUND(IF(VLOOKUP($A181,EnrollData2324,'2324 Jun 24 Enroll'!E$1,FALSE)='District Calculations'!$D$12,VLOOKUP($A181,EnrollData2324,'2324 Jun 24 Enroll'!E$1,FALSE),'District Calculations'!$D$12)*K181,3)</f>
        <v>3.5419999999999998</v>
      </c>
      <c r="N181">
        <f>ROUND(IF(VLOOKUP($A181,EnrollData2324,'2324 Jun 24 Enroll'!F$1,FALSE)='District Calculations'!$D$13,VLOOKUP($A181,EnrollData2324,'2324 Jun 24 Enroll'!F$1,FALSE),'District Calculations'!$D$13)*Apport_223A2324s,3)</f>
        <v>0.84299999999999997</v>
      </c>
      <c r="O181">
        <f>ROUND(IF(VLOOKUP($A181,EnrollData2324,'2324 Jun 24 Enroll'!G$1,FALSE)='District Calculations'!$D$14,VLOOKUP($A181,EnrollData2324,'2324 Jun 24 Enroll'!G$1,FALSE),'District Calculations'!$D$14)*Apport_211A2324s,3)</f>
        <v>1.87</v>
      </c>
      <c r="P181">
        <f>ROUND(IF(VLOOKUP($A181,EnrollData2324,'2324 Jun 24 Enroll'!H$1,FALSE)='District Calculations'!$D$14,VLOOKUP($A181,EnrollData2324,'2324 Jun 24 Enroll'!H$1,FALSE),'District Calculations'!$D$14)*Apport_214A2324s,3)</f>
        <v>1.8680000000000001</v>
      </c>
      <c r="Q181">
        <f>ROUND(IF(VLOOKUP($A181,EnrollData2324,'2324 Jun 24 Enroll'!I$1,FALSE)+VLOOKUP($A181,EnrollData2324,'2324 Jun 24 Enroll'!M$1,FALSE)-VLOOKUP($A181,EnrollData2324,'2324 Jun 24 Enroll'!J$1,FALSE)='District Calculations'!$D$16+'District Calculations'!$D$25-'District Calculations'!$D$17,VLOOKUP($A181,EnrollData2324,'2324 Jun 24 Enroll'!I$1,FALSE)+VLOOKUP($A181,EnrollData2324,'2324 Jun 24 Enroll'!M$1,FALSE)-VLOOKUP($A181,EnrollData2324,'2324 Jun 24 Enroll'!J$1,FALSE),'District Calculations'!$D$16+'District Calculations'!$D$25-'District Calculations'!$D$17)*Apport_217A2324s,3)</f>
        <v>4.702</v>
      </c>
      <c r="R181">
        <f>ROUND(SUM(L181:Q181)/IF(VLOOKUP($A181,EnrollData2324,'2324 Jun 24 Enroll'!M$1,FALSE)+VLOOKUP($A181,EnrollData2324,'2324 Jun 24 Enroll'!D$1,FALSE)='District Calculations'!$D$25+'District Calculations'!$D$11,VLOOKUP($A181,EnrollData2324,'2324 Jun 24 Enroll'!M$1,FALSE)+VLOOKUP($A181,EnrollData2324,'2324 Jun 24 Enroll'!D$1,FALSE),'District Calculations'!$D$25+'District Calculations'!$D$11),5)</f>
        <v>4.1099999999999999E-3</v>
      </c>
      <c r="S181" s="11">
        <f t="shared" si="18"/>
        <v>1.8689600000000001E-2</v>
      </c>
      <c r="T181">
        <f>ROUND(IF(VLOOKUP($A181,EnrollData2324,'2324 Jun 24 Enroll'!D$1,FALSE)='District Calculations'!$D$11,VLOOKUP($A181,EnrollData2324,'2324 Jun 24 Enroll'!D$1,FALSE),'District Calculations'!$D$11)*S181,3)</f>
        <v>0</v>
      </c>
      <c r="U181">
        <f>ROUND(IF(VLOOKUP($A181,EnrollData2324,'2324 Jun 24 Enroll'!E$1,FALSE)='District Calculations'!$D$12,VLOOKUP($A181,EnrollData2324,'2324 Jun 24 Enroll'!E$1,FALSE),'District Calculations'!$D$12)*S181,3)</f>
        <v>15.148</v>
      </c>
      <c r="V181">
        <f>ROUND(IF(VLOOKUP($A181,EnrollData2324,'2324 Jun 24 Enroll'!F$1,FALSE)='District Calculations'!$D$13,VLOOKUP($A181,EnrollData2324,'2324 Jun 24 Enroll'!F$1,FALSE),'District Calculations'!$D$13)*Apport_224A2324s,3)</f>
        <v>3.7029999999999998</v>
      </c>
      <c r="W181">
        <f>ROUND(IF(VLOOKUP($A181,EnrollData2324,'2324 Jun 24 Enroll'!G$1,FALSE)='District Calculations'!$D$14,VLOOKUP($A181,EnrollData2324,'2324 Jun 24 Enroll'!G$1,FALSE),'District Calculations'!$D$14)*Apport_212A2324s,3)</f>
        <v>8.2089999999999996</v>
      </c>
      <c r="X181">
        <f>ROUND(IF(VLOOKUP($A181,EnrollData2324,'2324 Jun 24 Enroll'!H$1,FALSE)='District Calculations'!$D$14,VLOOKUP($A181,EnrollData2324,'2324 Jun 24 Enroll'!H$1,FALSE),'District Calculations'!$D$14)*Apport_215A2324s,3)</f>
        <v>8.0969999999999995</v>
      </c>
      <c r="Y181">
        <f>ROUND(IF(VLOOKUP($A181,EnrollData2324,'2324 Jun 24 Enroll'!I$1,FALSE)+VLOOKUP($A181,EnrollData2324,'2324 Jun 24 Enroll'!M$1,FALSE)-VLOOKUP($A181,EnrollData2324,'2324 Jun 24 Enroll'!J$1,FALSE)='District Calculations'!$D$16+'District Calculations'!$D$25-'District Calculations'!$D$17,VLOOKUP($A181,EnrollData2324,'2324 Jun 24 Enroll'!I$1,FALSE)+VLOOKUP($A181,EnrollData2324,'2324 Jun 24 Enroll'!M$1,FALSE)-VLOOKUP($A181,EnrollData2324,'2324 Jun 24 Enroll'!J$1,FALSE),'District Calculations'!$D$16+'District Calculations'!$D$25-'District Calculations'!$D$17)*Apport_218A2324s,3)</f>
        <v>20.224</v>
      </c>
      <c r="Z181">
        <f>ROUND(SUM(T181:Y181)/IF(VLOOKUP($A181,EnrollData2324,'2324 Jun 24 Enroll'!M$1,FALSE)+VLOOKUP($A181,EnrollData2324,'2324 Jun 24 Enroll'!D$1,FALSE)='District Calculations'!$D$25+'District Calculations'!$D$11,VLOOKUP($A181,EnrollData2324,'2324 Jun 24 Enroll'!M$1,FALSE)+VLOOKUP($A181,EnrollData2324,'2324 Jun 24 Enroll'!D$1,FALSE),'District Calculations'!$D$25+'District Calculations'!$D$11),5)</f>
        <v>1.7749999999999998E-2</v>
      </c>
      <c r="AA181" s="6" cm="1">
        <f t="array" ref="AA181">ROUND($J181*CIS_Base_Salary2324s*VLOOKUP($A181,EnrollData2324,'2324 Jun 24 Enroll'!S$1,FALSE),2)</f>
        <v>4038.59</v>
      </c>
      <c r="AB181" s="6" cm="1">
        <f t="array" ref="AB181">ROUND($J181*CIS_Inc_Salary2324s*(VLOOKUP($A181,EnrollData2324,'2324 Jun 24 Enroll'!T$1,FALSE)+VLOOKUP($A181,EnrollData2324,'2324 Jun 24 Enroll'!U$1,FALSE)),2)-AA181</f>
        <v>149.43000000000029</v>
      </c>
      <c r="AC181" s="6" cm="1">
        <f t="array" ref="AC181">ROUND($R181*CAS_Base_Salary2324s*VLOOKUP($A181,EnrollData2324,'2324 Jun 24 Enroll'!S$1,FALSE),2)</f>
        <v>443.7</v>
      </c>
      <c r="AD181" s="6" cm="1">
        <f t="array" ref="AD181">ROUND($R181*CAS_Inc_Salary2324s*VLOOKUP($A181,EnrollData2324,'2324 Jun 24 Enroll'!T$1,FALSE),2)-AC181</f>
        <v>16.410000000000025</v>
      </c>
      <c r="AE181" s="6" cm="1">
        <f t="array" ref="AE181">ROUND($Z181*CLS_Base_Salary2324s*VLOOKUP($A181,EnrollData2324,'2324 Jun 24 Enroll'!S$1,FALSE),2)</f>
        <v>926.07</v>
      </c>
      <c r="AF181" s="6" cm="1">
        <f t="array" ref="AF181">ROUND($Z181*CLS_Inc_Salary2324s*VLOOKUP($A181,EnrollData2324,'2324 Jun 24 Enroll'!T$1,FALSE),2)-AE181</f>
        <v>34.259999999999991</v>
      </c>
      <c r="AG181" cm="1">
        <f t="array" ref="AG181">ROUND(($J181+$R181)*Apport_124X2324s,2)</f>
        <v>734.29</v>
      </c>
      <c r="AH181" s="69">
        <f t="shared" si="19"/>
        <v>68.700000000000045</v>
      </c>
      <c r="AI181" cm="1">
        <f t="array" ref="AI181">ROUND($Z181*Apport_124X2324s,2)</f>
        <v>218.54</v>
      </c>
      <c r="AJ181" cm="1">
        <f t="array" ref="AJ181">ROUND($Z181*Apport_621X2324s*Apport_125X2324s,2)-AI181</f>
        <v>116.51000000000002</v>
      </c>
      <c r="AK181" cm="1">
        <f t="array" ref="AK181">ROUND((AA181+AC181)*Apport_126X2324s,2)</f>
        <v>805.47</v>
      </c>
      <c r="AL181" cm="1">
        <f t="array" ref="AL181">ROUND((AB181+AD181)*Apport_127X2324s,2)</f>
        <v>28.74</v>
      </c>
      <c r="AM181" cm="1">
        <f t="array" ref="AM181">ROUND(AE181*Apport_128X2324s,2)</f>
        <v>204.29</v>
      </c>
      <c r="AN181" cm="1">
        <f t="array" ref="AN181">ROUND(AF181*Apport_129X2324s,2)</f>
        <v>6.36</v>
      </c>
      <c r="AO181" cm="1">
        <f t="array" ref="AO181">ROUND(($J181*CIS_Inc_Salary2324s*(VLOOKUP($A181,EnrollData2324,'2324 Jun 24 Enroll'!T$1,FALSE)+VLOOKUP($A181,EnrollData2324,'2324 Jun 24 Enroll'!U$1,FALSE))/Apport_613Xpd)*Apport_614Xpd,2)</f>
        <v>69.8</v>
      </c>
      <c r="AP181" cm="1">
        <f t="array" ref="AP181">ROUND(AO181*Apport_127X2324s,2)</f>
        <v>12.1</v>
      </c>
      <c r="AQ181">
        <f t="shared" si="20"/>
        <v>30.93</v>
      </c>
      <c r="AR181" s="6" cm="1">
        <f t="array" ref="AR181">ROUND((VLOOKUP($A181,EnrollData2324,'2324 Jun 24 Enroll'!D$1,FALSE)*Apport_M802324s+VLOOKUP($A181,EnrollData2324,'2324 Jun 24 Enroll'!M$1,FALSE)*Apport_M802324s+(VLOOKUP($A181,EnrollData2324,'2324 Jun 24 Enroll'!P$1,FALSE)+VLOOKUP($A181,EnrollData2324,'2324 Jun 24 Enroll'!Q$1,FALSE)+VLOOKUP($A181,EnrollData2324,'2324 Jun 24 Enroll'!R$1,FALSE)+VLOOKUP($A181,EnrollData2324,'2324 Jun 24 Enroll'!I$1,FALSE)+VLOOKUP($A181,EnrollData2324,'2324 Jun 24 Enroll'!N$1,FALSE)+VLOOKUP($A181,EnrollData2324,'2324 Jun 24 Enroll'!O$1,FALSE)+VLOOKUP($A181,EnrollData2324,'2324 Jun 24 Enroll'!K$1,FALSE)+VLOOKUP($A181,EnrollData2324,'2324 Jun 24 Enroll'!L$1,FALSE))*Apport_M812324s)/(VLOOKUP($A181,EnrollData2324,'2324 Jun 24 Enroll'!M$1,FALSE)+VLOOKUP($A181,EnrollData2324,'2324 Jun 24 Enroll'!D$1,FALSE)),2)</f>
        <v>1585.47</v>
      </c>
      <c r="AS181" s="7">
        <f t="shared" si="21"/>
        <v>9489.66</v>
      </c>
    </row>
    <row r="182" spans="1:45">
      <c r="A182" s="40" t="s">
        <v>574</v>
      </c>
      <c r="B182" s="40" t="s">
        <v>575</v>
      </c>
      <c r="C182" s="11">
        <f>ROUND((IFERROR((1/IF(VLOOKUP($A182,EnrollData2324,28,FALSE)='District Calculations'!$D$10,VLOOKUP($A182,EnrollData2324,28,FALSE),'District Calculations'!$D$10))*(1+Apport_Z315),0))+Apport_201A2324s,6)</f>
        <v>7.3449E-2</v>
      </c>
      <c r="D182">
        <f>ROUND(IF(VLOOKUP($A182,EnrollData2324,'2324 Jun 24 Enroll'!D$1,FALSE)='District Calculations'!$D$11,VLOOKUP($A182,EnrollData2324,'2324 Jun 24 Enroll'!D$1,FALSE),'District Calculations'!$D$11)*C182,3)</f>
        <v>0</v>
      </c>
      <c r="E182">
        <f>ROUND(IF(VLOOKUP($A182,EnrollData2324,'2324 Jun 24 Enroll'!E$1,FALSE)='District Calculations'!$D$12,VLOOKUP($A182,EnrollData2324,'2324 Jun 24 Enroll'!E$1,FALSE),'District Calculations'!$D$12)*C182,3)</f>
        <v>59.53</v>
      </c>
      <c r="F182">
        <f>ROUND(IF(VLOOKUP($A182,EnrollData2324,'2324 Jun 24 Enroll'!F$1,FALSE)='District Calculations'!$D$13,VLOOKUP($A182,EnrollData2324,'2324 Jun 24 Enroll'!F$1,FALSE),'District Calculations'!$D$13)*Apport_222A2324s,3)</f>
        <v>10.101000000000001</v>
      </c>
      <c r="G182">
        <f>ROUND(IF(VLOOKUP($A182,EnrollData2324,'2324 Jun 24 Enroll'!G$1,FALSE)='District Calculations'!$D$14,VLOOKUP($A182,EnrollData2324,'2324 Jun 24 Enroll'!G$1,FALSE),'District Calculations'!$D$14)*Apport_210A2324s,3)</f>
        <v>22.395</v>
      </c>
      <c r="H182">
        <f>ROUND(IF(VLOOKUP($A182,EnrollData2324,'2324 Jun 24 Enroll'!H$1,FALSE)='District Calculations'!$D$15,VLOOKUP($A182,EnrollData2324,'2324 Jun 24 Enroll'!H$1,FALSE),'District Calculations'!$D$15)*Apport_213A2324s,3)</f>
        <v>23.091999999999999</v>
      </c>
      <c r="I182">
        <f>ROUND(IF(VLOOKUP($A182,EnrollData2324,'2324 Jun 24 Enroll'!I$1,FALSE)+VLOOKUP($A182,EnrollData2324,'2324 Jun 24 Enroll'!M$1,FALSE)-VLOOKUP($A182,EnrollData2324,'2324 Jun 24 Enroll'!J$1,FALSE)='District Calculations'!$D$16+'District Calculations'!$D$25-'District Calculations'!$D$17,VLOOKUP($A182,EnrollData2324,'2324 Jun 24 Enroll'!I$1,FALSE)+VLOOKUP($A182,EnrollData2324,'2324 Jun 24 Enroll'!M$1,FALSE)-VLOOKUP($A182,EnrollData2324,'2324 Jun 24 Enroll'!J$1,FALSE),'District Calculations'!$D$16+'District Calculations'!$D$25-'District Calculations'!$D$17)*Apport_216A2324s,3)</f>
        <v>58.183999999999997</v>
      </c>
      <c r="J182">
        <f>ROUND(SUM(D182:I182)/(IF(VLOOKUP($A182,EnrollData2324,'2324 Jun 24 Enroll'!M$1,FALSE)='District Calculations'!$D$25,VLOOKUP($A182,EnrollData2324,'2324 Jun 24 Enroll'!M$1,FALSE),'District Calculations'!$D$25)+IF(VLOOKUP($A182,EnrollData2324,'2324 Jun 24 Enroll'!D$1,FALSE)='District Calculations'!$D$11,VLOOKUP($A182,EnrollData2324,'2324 Jun 24 Enroll'!D$1,FALSE),'District Calculations'!$D$11)),5)</f>
        <v>5.5530000000000003E-2</v>
      </c>
      <c r="K182" s="11">
        <f t="shared" si="17"/>
        <v>4.3699999999999998E-3</v>
      </c>
      <c r="L182">
        <f>ROUND(IF(VLOOKUP($A182,EnrollData2324,'2324 Jun 24 Enroll'!D$1,FALSE)='District Calculations'!$D$11,VLOOKUP($A182,EnrollData2324,'2324 Jun 24 Enroll'!D$1,FALSE),'District Calculations'!$D$11)*K182,3)</f>
        <v>0</v>
      </c>
      <c r="M182">
        <f>ROUND(IF(VLOOKUP($A182,EnrollData2324,'2324 Jun 24 Enroll'!E$1,FALSE)='District Calculations'!$D$12,VLOOKUP($A182,EnrollData2324,'2324 Jun 24 Enroll'!E$1,FALSE),'District Calculations'!$D$12)*K182,3)</f>
        <v>3.5419999999999998</v>
      </c>
      <c r="N182">
        <f>ROUND(IF(VLOOKUP($A182,EnrollData2324,'2324 Jun 24 Enroll'!F$1,FALSE)='District Calculations'!$D$13,VLOOKUP($A182,EnrollData2324,'2324 Jun 24 Enroll'!F$1,FALSE),'District Calculations'!$D$13)*Apport_223A2324s,3)</f>
        <v>0.84299999999999997</v>
      </c>
      <c r="O182">
        <f>ROUND(IF(VLOOKUP($A182,EnrollData2324,'2324 Jun 24 Enroll'!G$1,FALSE)='District Calculations'!$D$14,VLOOKUP($A182,EnrollData2324,'2324 Jun 24 Enroll'!G$1,FALSE),'District Calculations'!$D$14)*Apport_211A2324s,3)</f>
        <v>1.87</v>
      </c>
      <c r="P182">
        <f>ROUND(IF(VLOOKUP($A182,EnrollData2324,'2324 Jun 24 Enroll'!H$1,FALSE)='District Calculations'!$D$14,VLOOKUP($A182,EnrollData2324,'2324 Jun 24 Enroll'!H$1,FALSE),'District Calculations'!$D$14)*Apport_214A2324s,3)</f>
        <v>1.8680000000000001</v>
      </c>
      <c r="Q182">
        <f>ROUND(IF(VLOOKUP($A182,EnrollData2324,'2324 Jun 24 Enroll'!I$1,FALSE)+VLOOKUP($A182,EnrollData2324,'2324 Jun 24 Enroll'!M$1,FALSE)-VLOOKUP($A182,EnrollData2324,'2324 Jun 24 Enroll'!J$1,FALSE)='District Calculations'!$D$16+'District Calculations'!$D$25-'District Calculations'!$D$17,VLOOKUP($A182,EnrollData2324,'2324 Jun 24 Enroll'!I$1,FALSE)+VLOOKUP($A182,EnrollData2324,'2324 Jun 24 Enroll'!M$1,FALSE)-VLOOKUP($A182,EnrollData2324,'2324 Jun 24 Enroll'!J$1,FALSE),'District Calculations'!$D$16+'District Calculations'!$D$25-'District Calculations'!$D$17)*Apport_217A2324s,3)</f>
        <v>4.702</v>
      </c>
      <c r="R182">
        <f>ROUND(SUM(L182:Q182)/IF(VLOOKUP($A182,EnrollData2324,'2324 Jun 24 Enroll'!M$1,FALSE)+VLOOKUP($A182,EnrollData2324,'2324 Jun 24 Enroll'!D$1,FALSE)='District Calculations'!$D$25+'District Calculations'!$D$11,VLOOKUP($A182,EnrollData2324,'2324 Jun 24 Enroll'!M$1,FALSE)+VLOOKUP($A182,EnrollData2324,'2324 Jun 24 Enroll'!D$1,FALSE),'District Calculations'!$D$25+'District Calculations'!$D$11),5)</f>
        <v>4.1099999999999999E-3</v>
      </c>
      <c r="S182" s="11">
        <f t="shared" si="18"/>
        <v>1.8689600000000001E-2</v>
      </c>
      <c r="T182">
        <f>ROUND(IF(VLOOKUP($A182,EnrollData2324,'2324 Jun 24 Enroll'!D$1,FALSE)='District Calculations'!$D$11,VLOOKUP($A182,EnrollData2324,'2324 Jun 24 Enroll'!D$1,FALSE),'District Calculations'!$D$11)*S182,3)</f>
        <v>0</v>
      </c>
      <c r="U182">
        <f>ROUND(IF(VLOOKUP($A182,EnrollData2324,'2324 Jun 24 Enroll'!E$1,FALSE)='District Calculations'!$D$12,VLOOKUP($A182,EnrollData2324,'2324 Jun 24 Enroll'!E$1,FALSE),'District Calculations'!$D$12)*S182,3)</f>
        <v>15.148</v>
      </c>
      <c r="V182">
        <f>ROUND(IF(VLOOKUP($A182,EnrollData2324,'2324 Jun 24 Enroll'!F$1,FALSE)='District Calculations'!$D$13,VLOOKUP($A182,EnrollData2324,'2324 Jun 24 Enroll'!F$1,FALSE),'District Calculations'!$D$13)*Apport_224A2324s,3)</f>
        <v>3.7029999999999998</v>
      </c>
      <c r="W182">
        <f>ROUND(IF(VLOOKUP($A182,EnrollData2324,'2324 Jun 24 Enroll'!G$1,FALSE)='District Calculations'!$D$14,VLOOKUP($A182,EnrollData2324,'2324 Jun 24 Enroll'!G$1,FALSE),'District Calculations'!$D$14)*Apport_212A2324s,3)</f>
        <v>8.2089999999999996</v>
      </c>
      <c r="X182">
        <f>ROUND(IF(VLOOKUP($A182,EnrollData2324,'2324 Jun 24 Enroll'!H$1,FALSE)='District Calculations'!$D$14,VLOOKUP($A182,EnrollData2324,'2324 Jun 24 Enroll'!H$1,FALSE),'District Calculations'!$D$14)*Apport_215A2324s,3)</f>
        <v>8.0969999999999995</v>
      </c>
      <c r="Y182">
        <f>ROUND(IF(VLOOKUP($A182,EnrollData2324,'2324 Jun 24 Enroll'!I$1,FALSE)+VLOOKUP($A182,EnrollData2324,'2324 Jun 24 Enroll'!M$1,FALSE)-VLOOKUP($A182,EnrollData2324,'2324 Jun 24 Enroll'!J$1,FALSE)='District Calculations'!$D$16+'District Calculations'!$D$25-'District Calculations'!$D$17,VLOOKUP($A182,EnrollData2324,'2324 Jun 24 Enroll'!I$1,FALSE)+VLOOKUP($A182,EnrollData2324,'2324 Jun 24 Enroll'!M$1,FALSE)-VLOOKUP($A182,EnrollData2324,'2324 Jun 24 Enroll'!J$1,FALSE),'District Calculations'!$D$16+'District Calculations'!$D$25-'District Calculations'!$D$17)*Apport_218A2324s,3)</f>
        <v>20.224</v>
      </c>
      <c r="Z182">
        <f>ROUND(SUM(T182:Y182)/IF(VLOOKUP($A182,EnrollData2324,'2324 Jun 24 Enroll'!M$1,FALSE)+VLOOKUP($A182,EnrollData2324,'2324 Jun 24 Enroll'!D$1,FALSE)='District Calculations'!$D$25+'District Calculations'!$D$11,VLOOKUP($A182,EnrollData2324,'2324 Jun 24 Enroll'!M$1,FALSE)+VLOOKUP($A182,EnrollData2324,'2324 Jun 24 Enroll'!D$1,FALSE),'District Calculations'!$D$25+'District Calculations'!$D$11),5)</f>
        <v>1.7749999999999998E-2</v>
      </c>
      <c r="AA182" s="6" cm="1">
        <f t="array" ref="AA182">ROUND($J182*CIS_Base_Salary2324s*VLOOKUP($A182,EnrollData2324,'2324 Jun 24 Enroll'!S$1,FALSE),2)</f>
        <v>4038.59</v>
      </c>
      <c r="AB182" s="6" cm="1">
        <f t="array" ref="AB182">ROUND($J182*CIS_Inc_Salary2324s*(VLOOKUP($A182,EnrollData2324,'2324 Jun 24 Enroll'!T$1,FALSE)+VLOOKUP($A182,EnrollData2324,'2324 Jun 24 Enroll'!U$1,FALSE)),2)-AA182</f>
        <v>149.43000000000029</v>
      </c>
      <c r="AC182" s="6" cm="1">
        <f t="array" ref="AC182">ROUND($R182*CAS_Base_Salary2324s*VLOOKUP($A182,EnrollData2324,'2324 Jun 24 Enroll'!S$1,FALSE),2)</f>
        <v>443.7</v>
      </c>
      <c r="AD182" s="6" cm="1">
        <f t="array" ref="AD182">ROUND($R182*CAS_Inc_Salary2324s*VLOOKUP($A182,EnrollData2324,'2324 Jun 24 Enroll'!T$1,FALSE),2)-AC182</f>
        <v>16.410000000000025</v>
      </c>
      <c r="AE182" s="6" cm="1">
        <f t="array" ref="AE182">ROUND($Z182*CLS_Base_Salary2324s*VLOOKUP($A182,EnrollData2324,'2324 Jun 24 Enroll'!S$1,FALSE),2)</f>
        <v>926.07</v>
      </c>
      <c r="AF182" s="6" cm="1">
        <f t="array" ref="AF182">ROUND($Z182*CLS_Inc_Salary2324s*VLOOKUP($A182,EnrollData2324,'2324 Jun 24 Enroll'!T$1,FALSE),2)-AE182</f>
        <v>34.259999999999991</v>
      </c>
      <c r="AG182" cm="1">
        <f t="array" ref="AG182">ROUND(($J182+$R182)*Apport_124X2324s,2)</f>
        <v>734.29</v>
      </c>
      <c r="AH182" s="69">
        <f t="shared" si="19"/>
        <v>68.700000000000045</v>
      </c>
      <c r="AI182" cm="1">
        <f t="array" ref="AI182">ROUND($Z182*Apport_124X2324s,2)</f>
        <v>218.54</v>
      </c>
      <c r="AJ182" cm="1">
        <f t="array" ref="AJ182">ROUND($Z182*Apport_621X2324s*Apport_125X2324s,2)-AI182</f>
        <v>116.51000000000002</v>
      </c>
      <c r="AK182" cm="1">
        <f t="array" ref="AK182">ROUND((AA182+AC182)*Apport_126X2324s,2)</f>
        <v>805.47</v>
      </c>
      <c r="AL182" cm="1">
        <f t="array" ref="AL182">ROUND((AB182+AD182)*Apport_127X2324s,2)</f>
        <v>28.74</v>
      </c>
      <c r="AM182" cm="1">
        <f t="array" ref="AM182">ROUND(AE182*Apport_128X2324s,2)</f>
        <v>204.29</v>
      </c>
      <c r="AN182" cm="1">
        <f t="array" ref="AN182">ROUND(AF182*Apport_129X2324s,2)</f>
        <v>6.36</v>
      </c>
      <c r="AO182" cm="1">
        <f t="array" ref="AO182">ROUND(($J182*CIS_Inc_Salary2324s*(VLOOKUP($A182,EnrollData2324,'2324 Jun 24 Enroll'!T$1,FALSE)+VLOOKUP($A182,EnrollData2324,'2324 Jun 24 Enroll'!U$1,FALSE))/Apport_613Xpd)*Apport_614Xpd,2)</f>
        <v>69.8</v>
      </c>
      <c r="AP182" cm="1">
        <f t="array" ref="AP182">ROUND(AO182*Apport_127X2324s,2)</f>
        <v>12.1</v>
      </c>
      <c r="AQ182">
        <f t="shared" si="20"/>
        <v>30.93</v>
      </c>
      <c r="AR182" s="6" cm="1">
        <f t="array" ref="AR182">ROUND((VLOOKUP($A182,EnrollData2324,'2324 Jun 24 Enroll'!D$1,FALSE)*Apport_M802324s+VLOOKUP($A182,EnrollData2324,'2324 Jun 24 Enroll'!M$1,FALSE)*Apport_M802324s+(VLOOKUP($A182,EnrollData2324,'2324 Jun 24 Enroll'!P$1,FALSE)+VLOOKUP($A182,EnrollData2324,'2324 Jun 24 Enroll'!Q$1,FALSE)+VLOOKUP($A182,EnrollData2324,'2324 Jun 24 Enroll'!R$1,FALSE)+VLOOKUP($A182,EnrollData2324,'2324 Jun 24 Enroll'!I$1,FALSE)+VLOOKUP($A182,EnrollData2324,'2324 Jun 24 Enroll'!N$1,FALSE)+VLOOKUP($A182,EnrollData2324,'2324 Jun 24 Enroll'!O$1,FALSE)+VLOOKUP($A182,EnrollData2324,'2324 Jun 24 Enroll'!K$1,FALSE)+VLOOKUP($A182,EnrollData2324,'2324 Jun 24 Enroll'!L$1,FALSE))*Apport_M812324s)/(VLOOKUP($A182,EnrollData2324,'2324 Jun 24 Enroll'!M$1,FALSE)+VLOOKUP($A182,EnrollData2324,'2324 Jun 24 Enroll'!D$1,FALSE)),2)</f>
        <v>1674.51</v>
      </c>
      <c r="AS182" s="7">
        <f t="shared" si="21"/>
        <v>9578.7000000000007</v>
      </c>
    </row>
    <row r="183" spans="1:45">
      <c r="A183" s="40" t="s">
        <v>691</v>
      </c>
      <c r="B183" s="40" t="s">
        <v>692</v>
      </c>
      <c r="C183" s="11">
        <f>ROUND((IFERROR((1/IF(VLOOKUP($A183,EnrollData2324,28,FALSE)='District Calculations'!$D$10,VLOOKUP($A183,EnrollData2324,28,FALSE),'District Calculations'!$D$10))*(1+Apport_Z315),0))+Apport_201A2324s,6)</f>
        <v>7.3449E-2</v>
      </c>
      <c r="D183">
        <f>ROUND(IF(VLOOKUP($A183,EnrollData2324,'2324 Jun 24 Enroll'!D$1,FALSE)='District Calculations'!$D$11,VLOOKUP($A183,EnrollData2324,'2324 Jun 24 Enroll'!D$1,FALSE),'District Calculations'!$D$11)*C183,3)</f>
        <v>0</v>
      </c>
      <c r="E183">
        <f>ROUND(IF(VLOOKUP($A183,EnrollData2324,'2324 Jun 24 Enroll'!E$1,FALSE)='District Calculations'!$D$12,VLOOKUP($A183,EnrollData2324,'2324 Jun 24 Enroll'!E$1,FALSE),'District Calculations'!$D$12)*C183,3)</f>
        <v>59.53</v>
      </c>
      <c r="F183">
        <f>ROUND(IF(VLOOKUP($A183,EnrollData2324,'2324 Jun 24 Enroll'!F$1,FALSE)='District Calculations'!$D$13,VLOOKUP($A183,EnrollData2324,'2324 Jun 24 Enroll'!F$1,FALSE),'District Calculations'!$D$13)*Apport_222A2324s,3)</f>
        <v>10.101000000000001</v>
      </c>
      <c r="G183">
        <f>ROUND(IF(VLOOKUP($A183,EnrollData2324,'2324 Jun 24 Enroll'!G$1,FALSE)='District Calculations'!$D$14,VLOOKUP($A183,EnrollData2324,'2324 Jun 24 Enroll'!G$1,FALSE),'District Calculations'!$D$14)*Apport_210A2324s,3)</f>
        <v>22.395</v>
      </c>
      <c r="H183">
        <f>ROUND(IF(VLOOKUP($A183,EnrollData2324,'2324 Jun 24 Enroll'!H$1,FALSE)='District Calculations'!$D$15,VLOOKUP($A183,EnrollData2324,'2324 Jun 24 Enroll'!H$1,FALSE),'District Calculations'!$D$15)*Apport_213A2324s,3)</f>
        <v>23.091999999999999</v>
      </c>
      <c r="I183">
        <f>ROUND(IF(VLOOKUP($A183,EnrollData2324,'2324 Jun 24 Enroll'!I$1,FALSE)+VLOOKUP($A183,EnrollData2324,'2324 Jun 24 Enroll'!M$1,FALSE)-VLOOKUP($A183,EnrollData2324,'2324 Jun 24 Enroll'!J$1,FALSE)='District Calculations'!$D$16+'District Calculations'!$D$25-'District Calculations'!$D$17,VLOOKUP($A183,EnrollData2324,'2324 Jun 24 Enroll'!I$1,FALSE)+VLOOKUP($A183,EnrollData2324,'2324 Jun 24 Enroll'!M$1,FALSE)-VLOOKUP($A183,EnrollData2324,'2324 Jun 24 Enroll'!J$1,FALSE),'District Calculations'!$D$16+'District Calculations'!$D$25-'District Calculations'!$D$17)*Apport_216A2324s,3)</f>
        <v>58.183999999999997</v>
      </c>
      <c r="J183">
        <f>ROUND(SUM(D183:I183)/(IF(VLOOKUP($A183,EnrollData2324,'2324 Jun 24 Enroll'!M$1,FALSE)='District Calculations'!$D$25,VLOOKUP($A183,EnrollData2324,'2324 Jun 24 Enroll'!M$1,FALSE),'District Calculations'!$D$25)+IF(VLOOKUP($A183,EnrollData2324,'2324 Jun 24 Enroll'!D$1,FALSE)='District Calculations'!$D$11,VLOOKUP($A183,EnrollData2324,'2324 Jun 24 Enroll'!D$1,FALSE),'District Calculations'!$D$11)),5)</f>
        <v>5.5530000000000003E-2</v>
      </c>
      <c r="K183" s="11">
        <f t="shared" si="17"/>
        <v>4.3699999999999998E-3</v>
      </c>
      <c r="L183">
        <f>ROUND(IF(VLOOKUP($A183,EnrollData2324,'2324 Jun 24 Enroll'!D$1,FALSE)='District Calculations'!$D$11,VLOOKUP($A183,EnrollData2324,'2324 Jun 24 Enroll'!D$1,FALSE),'District Calculations'!$D$11)*K183,3)</f>
        <v>0</v>
      </c>
      <c r="M183">
        <f>ROUND(IF(VLOOKUP($A183,EnrollData2324,'2324 Jun 24 Enroll'!E$1,FALSE)='District Calculations'!$D$12,VLOOKUP($A183,EnrollData2324,'2324 Jun 24 Enroll'!E$1,FALSE),'District Calculations'!$D$12)*K183,3)</f>
        <v>3.5419999999999998</v>
      </c>
      <c r="N183">
        <f>ROUND(IF(VLOOKUP($A183,EnrollData2324,'2324 Jun 24 Enroll'!F$1,FALSE)='District Calculations'!$D$13,VLOOKUP($A183,EnrollData2324,'2324 Jun 24 Enroll'!F$1,FALSE),'District Calculations'!$D$13)*Apport_223A2324s,3)</f>
        <v>0.84299999999999997</v>
      </c>
      <c r="O183">
        <f>ROUND(IF(VLOOKUP($A183,EnrollData2324,'2324 Jun 24 Enroll'!G$1,FALSE)='District Calculations'!$D$14,VLOOKUP($A183,EnrollData2324,'2324 Jun 24 Enroll'!G$1,FALSE),'District Calculations'!$D$14)*Apport_211A2324s,3)</f>
        <v>1.87</v>
      </c>
      <c r="P183">
        <f>ROUND(IF(VLOOKUP($A183,EnrollData2324,'2324 Jun 24 Enroll'!H$1,FALSE)='District Calculations'!$D$14,VLOOKUP($A183,EnrollData2324,'2324 Jun 24 Enroll'!H$1,FALSE),'District Calculations'!$D$14)*Apport_214A2324s,3)</f>
        <v>1.8680000000000001</v>
      </c>
      <c r="Q183">
        <f>ROUND(IF(VLOOKUP($A183,EnrollData2324,'2324 Jun 24 Enroll'!I$1,FALSE)+VLOOKUP($A183,EnrollData2324,'2324 Jun 24 Enroll'!M$1,FALSE)-VLOOKUP($A183,EnrollData2324,'2324 Jun 24 Enroll'!J$1,FALSE)='District Calculations'!$D$16+'District Calculations'!$D$25-'District Calculations'!$D$17,VLOOKUP($A183,EnrollData2324,'2324 Jun 24 Enroll'!I$1,FALSE)+VLOOKUP($A183,EnrollData2324,'2324 Jun 24 Enroll'!M$1,FALSE)-VLOOKUP($A183,EnrollData2324,'2324 Jun 24 Enroll'!J$1,FALSE),'District Calculations'!$D$16+'District Calculations'!$D$25-'District Calculations'!$D$17)*Apport_217A2324s,3)</f>
        <v>4.702</v>
      </c>
      <c r="R183">
        <f>ROUND(SUM(L183:Q183)/IF(VLOOKUP($A183,EnrollData2324,'2324 Jun 24 Enroll'!M$1,FALSE)+VLOOKUP($A183,EnrollData2324,'2324 Jun 24 Enroll'!D$1,FALSE)='District Calculations'!$D$25+'District Calculations'!$D$11,VLOOKUP($A183,EnrollData2324,'2324 Jun 24 Enroll'!M$1,FALSE)+VLOOKUP($A183,EnrollData2324,'2324 Jun 24 Enroll'!D$1,FALSE),'District Calculations'!$D$25+'District Calculations'!$D$11),5)</f>
        <v>4.1099999999999999E-3</v>
      </c>
      <c r="S183" s="11">
        <f t="shared" si="18"/>
        <v>1.8689600000000001E-2</v>
      </c>
      <c r="T183">
        <f>ROUND(IF(VLOOKUP($A183,EnrollData2324,'2324 Jun 24 Enroll'!D$1,FALSE)='District Calculations'!$D$11,VLOOKUP($A183,EnrollData2324,'2324 Jun 24 Enroll'!D$1,FALSE),'District Calculations'!$D$11)*S183,3)</f>
        <v>0</v>
      </c>
      <c r="U183">
        <f>ROUND(IF(VLOOKUP($A183,EnrollData2324,'2324 Jun 24 Enroll'!E$1,FALSE)='District Calculations'!$D$12,VLOOKUP($A183,EnrollData2324,'2324 Jun 24 Enroll'!E$1,FALSE),'District Calculations'!$D$12)*S183,3)</f>
        <v>15.148</v>
      </c>
      <c r="V183">
        <f>ROUND(IF(VLOOKUP($A183,EnrollData2324,'2324 Jun 24 Enroll'!F$1,FALSE)='District Calculations'!$D$13,VLOOKUP($A183,EnrollData2324,'2324 Jun 24 Enroll'!F$1,FALSE),'District Calculations'!$D$13)*Apport_224A2324s,3)</f>
        <v>3.7029999999999998</v>
      </c>
      <c r="W183">
        <f>ROUND(IF(VLOOKUP($A183,EnrollData2324,'2324 Jun 24 Enroll'!G$1,FALSE)='District Calculations'!$D$14,VLOOKUP($A183,EnrollData2324,'2324 Jun 24 Enroll'!G$1,FALSE),'District Calculations'!$D$14)*Apport_212A2324s,3)</f>
        <v>8.2089999999999996</v>
      </c>
      <c r="X183">
        <f>ROUND(IF(VLOOKUP($A183,EnrollData2324,'2324 Jun 24 Enroll'!H$1,FALSE)='District Calculations'!$D$14,VLOOKUP($A183,EnrollData2324,'2324 Jun 24 Enroll'!H$1,FALSE),'District Calculations'!$D$14)*Apport_215A2324s,3)</f>
        <v>8.0969999999999995</v>
      </c>
      <c r="Y183">
        <f>ROUND(IF(VLOOKUP($A183,EnrollData2324,'2324 Jun 24 Enroll'!I$1,FALSE)+VLOOKUP($A183,EnrollData2324,'2324 Jun 24 Enroll'!M$1,FALSE)-VLOOKUP($A183,EnrollData2324,'2324 Jun 24 Enroll'!J$1,FALSE)='District Calculations'!$D$16+'District Calculations'!$D$25-'District Calculations'!$D$17,VLOOKUP($A183,EnrollData2324,'2324 Jun 24 Enroll'!I$1,FALSE)+VLOOKUP($A183,EnrollData2324,'2324 Jun 24 Enroll'!M$1,FALSE)-VLOOKUP($A183,EnrollData2324,'2324 Jun 24 Enroll'!J$1,FALSE),'District Calculations'!$D$16+'District Calculations'!$D$25-'District Calculations'!$D$17)*Apport_218A2324s,3)</f>
        <v>20.224</v>
      </c>
      <c r="Z183">
        <f>ROUND(SUM(T183:Y183)/IF(VLOOKUP($A183,EnrollData2324,'2324 Jun 24 Enroll'!M$1,FALSE)+VLOOKUP($A183,EnrollData2324,'2324 Jun 24 Enroll'!D$1,FALSE)='District Calculations'!$D$25+'District Calculations'!$D$11,VLOOKUP($A183,EnrollData2324,'2324 Jun 24 Enroll'!M$1,FALSE)+VLOOKUP($A183,EnrollData2324,'2324 Jun 24 Enroll'!D$1,FALSE),'District Calculations'!$D$25+'District Calculations'!$D$11),5)</f>
        <v>1.7749999999999998E-2</v>
      </c>
      <c r="AA183" s="6" cm="1">
        <f t="array" ref="AA183">ROUND($J183*CIS_Base_Salary2324s*VLOOKUP($A183,EnrollData2324,'2324 Jun 24 Enroll'!S$1,FALSE),2)</f>
        <v>4280.8999999999996</v>
      </c>
      <c r="AB183" s="6" cm="1">
        <f t="array" ref="AB183">ROUND($J183*CIS_Inc_Salary2324s*(VLOOKUP($A183,EnrollData2324,'2324 Jun 24 Enroll'!T$1,FALSE)+VLOOKUP($A183,EnrollData2324,'2324 Jun 24 Enroll'!U$1,FALSE)),2)-AA183</f>
        <v>158.40000000000055</v>
      </c>
      <c r="AC183" s="6" cm="1">
        <f t="array" ref="AC183">ROUND($R183*CAS_Base_Salary2324s*VLOOKUP($A183,EnrollData2324,'2324 Jun 24 Enroll'!S$1,FALSE),2)</f>
        <v>470.32</v>
      </c>
      <c r="AD183" s="6" cm="1">
        <f t="array" ref="AD183">ROUND($R183*CAS_Inc_Salary2324s*VLOOKUP($A183,EnrollData2324,'2324 Jun 24 Enroll'!T$1,FALSE),2)-AC183</f>
        <v>17.400000000000034</v>
      </c>
      <c r="AE183" s="6" cm="1">
        <f t="array" ref="AE183">ROUND($Z183*CLS_Base_Salary2324s*VLOOKUP($A183,EnrollData2324,'2324 Jun 24 Enroll'!S$1,FALSE),2)</f>
        <v>981.63</v>
      </c>
      <c r="AF183" s="6" cm="1">
        <f t="array" ref="AF183">ROUND($Z183*CLS_Inc_Salary2324s*VLOOKUP($A183,EnrollData2324,'2324 Jun 24 Enroll'!T$1,FALSE),2)-AE183</f>
        <v>36.32000000000005</v>
      </c>
      <c r="AG183" cm="1">
        <f t="array" ref="AG183">ROUND(($J183+$R183)*Apport_124X2324s,2)</f>
        <v>734.29</v>
      </c>
      <c r="AH183" s="69">
        <f t="shared" si="19"/>
        <v>68.700000000000045</v>
      </c>
      <c r="AI183" cm="1">
        <f t="array" ref="AI183">ROUND($Z183*Apport_124X2324s,2)</f>
        <v>218.54</v>
      </c>
      <c r="AJ183" cm="1">
        <f t="array" ref="AJ183">ROUND($Z183*Apport_621X2324s*Apport_125X2324s,2)-AI183</f>
        <v>116.51000000000002</v>
      </c>
      <c r="AK183" cm="1">
        <f t="array" ref="AK183">ROUND((AA183+AC183)*Apport_126X2324s,2)</f>
        <v>853.79</v>
      </c>
      <c r="AL183" cm="1">
        <f t="array" ref="AL183">ROUND((AB183+AD183)*Apport_127X2324s,2)</f>
        <v>30.47</v>
      </c>
      <c r="AM183" cm="1">
        <f t="array" ref="AM183">ROUND(AE183*Apport_128X2324s,2)</f>
        <v>216.55</v>
      </c>
      <c r="AN183" cm="1">
        <f t="array" ref="AN183">ROUND(AF183*Apport_129X2324s,2)</f>
        <v>6.74</v>
      </c>
      <c r="AO183" cm="1">
        <f t="array" ref="AO183">ROUND(($J183*CIS_Inc_Salary2324s*(VLOOKUP($A183,EnrollData2324,'2324 Jun 24 Enroll'!T$1,FALSE)+VLOOKUP($A183,EnrollData2324,'2324 Jun 24 Enroll'!U$1,FALSE))/Apport_613Xpd)*Apport_614Xpd,2)</f>
        <v>73.989999999999995</v>
      </c>
      <c r="AP183" cm="1">
        <f t="array" ref="AP183">ROUND(AO183*Apport_127X2324s,2)</f>
        <v>12.82</v>
      </c>
      <c r="AQ183">
        <f t="shared" si="20"/>
        <v>30.93</v>
      </c>
      <c r="AR183" s="6" cm="1">
        <f t="array" ref="AR183">ROUND((VLOOKUP($A183,EnrollData2324,'2324 Jun 24 Enroll'!D$1,FALSE)*Apport_M802324s+VLOOKUP($A183,EnrollData2324,'2324 Jun 24 Enroll'!M$1,FALSE)*Apport_M802324s+(VLOOKUP($A183,EnrollData2324,'2324 Jun 24 Enroll'!P$1,FALSE)+VLOOKUP($A183,EnrollData2324,'2324 Jun 24 Enroll'!Q$1,FALSE)+VLOOKUP($A183,EnrollData2324,'2324 Jun 24 Enroll'!R$1,FALSE)+VLOOKUP($A183,EnrollData2324,'2324 Jun 24 Enroll'!I$1,FALSE)+VLOOKUP($A183,EnrollData2324,'2324 Jun 24 Enroll'!N$1,FALSE)+VLOOKUP($A183,EnrollData2324,'2324 Jun 24 Enroll'!O$1,FALSE)+VLOOKUP($A183,EnrollData2324,'2324 Jun 24 Enroll'!K$1,FALSE)+VLOOKUP($A183,EnrollData2324,'2324 Jun 24 Enroll'!L$1,FALSE))*Apport_M812324s)/(VLOOKUP($A183,EnrollData2324,'2324 Jun 24 Enroll'!M$1,FALSE)+VLOOKUP($A183,EnrollData2324,'2324 Jun 24 Enroll'!D$1,FALSE)),2)</f>
        <v>1504.44</v>
      </c>
      <c r="AS183" s="7">
        <f t="shared" si="21"/>
        <v>9812.74</v>
      </c>
    </row>
    <row r="184" spans="1:45">
      <c r="A184" s="40" t="s">
        <v>633</v>
      </c>
      <c r="B184" s="40" t="s">
        <v>634</v>
      </c>
      <c r="C184" s="11">
        <f>ROUND((IFERROR((1/IF(VLOOKUP($A184,EnrollData2324,28,FALSE)='District Calculations'!$D$10,VLOOKUP($A184,EnrollData2324,28,FALSE),'District Calculations'!$D$10))*(1+Apport_Z315),0))+Apport_201A2324s,6)</f>
        <v>7.3449E-2</v>
      </c>
      <c r="D184">
        <f>ROUND(IF(VLOOKUP($A184,EnrollData2324,'2324 Jun 24 Enroll'!D$1,FALSE)='District Calculations'!$D$11,VLOOKUP($A184,EnrollData2324,'2324 Jun 24 Enroll'!D$1,FALSE),'District Calculations'!$D$11)*C184,3)</f>
        <v>0</v>
      </c>
      <c r="E184">
        <f>ROUND(IF(VLOOKUP($A184,EnrollData2324,'2324 Jun 24 Enroll'!E$1,FALSE)='District Calculations'!$D$12,VLOOKUP($A184,EnrollData2324,'2324 Jun 24 Enroll'!E$1,FALSE),'District Calculations'!$D$12)*C184,3)</f>
        <v>59.53</v>
      </c>
      <c r="F184">
        <f>ROUND(IF(VLOOKUP($A184,EnrollData2324,'2324 Jun 24 Enroll'!F$1,FALSE)='District Calculations'!$D$13,VLOOKUP($A184,EnrollData2324,'2324 Jun 24 Enroll'!F$1,FALSE),'District Calculations'!$D$13)*Apport_222A2324s,3)</f>
        <v>10.101000000000001</v>
      </c>
      <c r="G184">
        <f>ROUND(IF(VLOOKUP($A184,EnrollData2324,'2324 Jun 24 Enroll'!G$1,FALSE)='District Calculations'!$D$14,VLOOKUP($A184,EnrollData2324,'2324 Jun 24 Enroll'!G$1,FALSE),'District Calculations'!$D$14)*Apport_210A2324s,3)</f>
        <v>22.395</v>
      </c>
      <c r="H184">
        <f>ROUND(IF(VLOOKUP($A184,EnrollData2324,'2324 Jun 24 Enroll'!H$1,FALSE)='District Calculations'!$D$15,VLOOKUP($A184,EnrollData2324,'2324 Jun 24 Enroll'!H$1,FALSE),'District Calculations'!$D$15)*Apport_213A2324s,3)</f>
        <v>23.091999999999999</v>
      </c>
      <c r="I184">
        <f>ROUND(IF(VLOOKUP($A184,EnrollData2324,'2324 Jun 24 Enroll'!I$1,FALSE)+VLOOKUP($A184,EnrollData2324,'2324 Jun 24 Enroll'!M$1,FALSE)-VLOOKUP($A184,EnrollData2324,'2324 Jun 24 Enroll'!J$1,FALSE)='District Calculations'!$D$16+'District Calculations'!$D$25-'District Calculations'!$D$17,VLOOKUP($A184,EnrollData2324,'2324 Jun 24 Enroll'!I$1,FALSE)+VLOOKUP($A184,EnrollData2324,'2324 Jun 24 Enroll'!M$1,FALSE)-VLOOKUP($A184,EnrollData2324,'2324 Jun 24 Enroll'!J$1,FALSE),'District Calculations'!$D$16+'District Calculations'!$D$25-'District Calculations'!$D$17)*Apport_216A2324s,3)</f>
        <v>58.183999999999997</v>
      </c>
      <c r="J184">
        <f>ROUND(SUM(D184:I184)/(IF(VLOOKUP($A184,EnrollData2324,'2324 Jun 24 Enroll'!M$1,FALSE)='District Calculations'!$D$25,VLOOKUP($A184,EnrollData2324,'2324 Jun 24 Enroll'!M$1,FALSE),'District Calculations'!$D$25)+IF(VLOOKUP($A184,EnrollData2324,'2324 Jun 24 Enroll'!D$1,FALSE)='District Calculations'!$D$11,VLOOKUP($A184,EnrollData2324,'2324 Jun 24 Enroll'!D$1,FALSE),'District Calculations'!$D$11)),5)</f>
        <v>5.5530000000000003E-2</v>
      </c>
      <c r="K184" s="11">
        <f t="shared" si="17"/>
        <v>4.3699999999999998E-3</v>
      </c>
      <c r="L184">
        <f>ROUND(IF(VLOOKUP($A184,EnrollData2324,'2324 Jun 24 Enroll'!D$1,FALSE)='District Calculations'!$D$11,VLOOKUP($A184,EnrollData2324,'2324 Jun 24 Enroll'!D$1,FALSE),'District Calculations'!$D$11)*K184,3)</f>
        <v>0</v>
      </c>
      <c r="M184">
        <f>ROUND(IF(VLOOKUP($A184,EnrollData2324,'2324 Jun 24 Enroll'!E$1,FALSE)='District Calculations'!$D$12,VLOOKUP($A184,EnrollData2324,'2324 Jun 24 Enroll'!E$1,FALSE),'District Calculations'!$D$12)*K184,3)</f>
        <v>3.5419999999999998</v>
      </c>
      <c r="N184">
        <f>ROUND(IF(VLOOKUP($A184,EnrollData2324,'2324 Jun 24 Enroll'!F$1,FALSE)='District Calculations'!$D$13,VLOOKUP($A184,EnrollData2324,'2324 Jun 24 Enroll'!F$1,FALSE),'District Calculations'!$D$13)*Apport_223A2324s,3)</f>
        <v>0.84299999999999997</v>
      </c>
      <c r="O184">
        <f>ROUND(IF(VLOOKUP($A184,EnrollData2324,'2324 Jun 24 Enroll'!G$1,FALSE)='District Calculations'!$D$14,VLOOKUP($A184,EnrollData2324,'2324 Jun 24 Enroll'!G$1,FALSE),'District Calculations'!$D$14)*Apport_211A2324s,3)</f>
        <v>1.87</v>
      </c>
      <c r="P184">
        <f>ROUND(IF(VLOOKUP($A184,EnrollData2324,'2324 Jun 24 Enroll'!H$1,FALSE)='District Calculations'!$D$14,VLOOKUP($A184,EnrollData2324,'2324 Jun 24 Enroll'!H$1,FALSE),'District Calculations'!$D$14)*Apport_214A2324s,3)</f>
        <v>1.8680000000000001</v>
      </c>
      <c r="Q184">
        <f>ROUND(IF(VLOOKUP($A184,EnrollData2324,'2324 Jun 24 Enroll'!I$1,FALSE)+VLOOKUP($A184,EnrollData2324,'2324 Jun 24 Enroll'!M$1,FALSE)-VLOOKUP($A184,EnrollData2324,'2324 Jun 24 Enroll'!J$1,FALSE)='District Calculations'!$D$16+'District Calculations'!$D$25-'District Calculations'!$D$17,VLOOKUP($A184,EnrollData2324,'2324 Jun 24 Enroll'!I$1,FALSE)+VLOOKUP($A184,EnrollData2324,'2324 Jun 24 Enroll'!M$1,FALSE)-VLOOKUP($A184,EnrollData2324,'2324 Jun 24 Enroll'!J$1,FALSE),'District Calculations'!$D$16+'District Calculations'!$D$25-'District Calculations'!$D$17)*Apport_217A2324s,3)</f>
        <v>4.702</v>
      </c>
      <c r="R184">
        <f>ROUND(SUM(L184:Q184)/IF(VLOOKUP($A184,EnrollData2324,'2324 Jun 24 Enroll'!M$1,FALSE)+VLOOKUP($A184,EnrollData2324,'2324 Jun 24 Enroll'!D$1,FALSE)='District Calculations'!$D$25+'District Calculations'!$D$11,VLOOKUP($A184,EnrollData2324,'2324 Jun 24 Enroll'!M$1,FALSE)+VLOOKUP($A184,EnrollData2324,'2324 Jun 24 Enroll'!D$1,FALSE),'District Calculations'!$D$25+'District Calculations'!$D$11),5)</f>
        <v>4.1099999999999999E-3</v>
      </c>
      <c r="S184" s="11">
        <f t="shared" si="18"/>
        <v>1.8689600000000001E-2</v>
      </c>
      <c r="T184">
        <f>ROUND(IF(VLOOKUP($A184,EnrollData2324,'2324 Jun 24 Enroll'!D$1,FALSE)='District Calculations'!$D$11,VLOOKUP($A184,EnrollData2324,'2324 Jun 24 Enroll'!D$1,FALSE),'District Calculations'!$D$11)*S184,3)</f>
        <v>0</v>
      </c>
      <c r="U184">
        <f>ROUND(IF(VLOOKUP($A184,EnrollData2324,'2324 Jun 24 Enroll'!E$1,FALSE)='District Calculations'!$D$12,VLOOKUP($A184,EnrollData2324,'2324 Jun 24 Enroll'!E$1,FALSE),'District Calculations'!$D$12)*S184,3)</f>
        <v>15.148</v>
      </c>
      <c r="V184">
        <f>ROUND(IF(VLOOKUP($A184,EnrollData2324,'2324 Jun 24 Enroll'!F$1,FALSE)='District Calculations'!$D$13,VLOOKUP($A184,EnrollData2324,'2324 Jun 24 Enroll'!F$1,FALSE),'District Calculations'!$D$13)*Apport_224A2324s,3)</f>
        <v>3.7029999999999998</v>
      </c>
      <c r="W184">
        <f>ROUND(IF(VLOOKUP($A184,EnrollData2324,'2324 Jun 24 Enroll'!G$1,FALSE)='District Calculations'!$D$14,VLOOKUP($A184,EnrollData2324,'2324 Jun 24 Enroll'!G$1,FALSE),'District Calculations'!$D$14)*Apport_212A2324s,3)</f>
        <v>8.2089999999999996</v>
      </c>
      <c r="X184">
        <f>ROUND(IF(VLOOKUP($A184,EnrollData2324,'2324 Jun 24 Enroll'!H$1,FALSE)='District Calculations'!$D$14,VLOOKUP($A184,EnrollData2324,'2324 Jun 24 Enroll'!H$1,FALSE),'District Calculations'!$D$14)*Apport_215A2324s,3)</f>
        <v>8.0969999999999995</v>
      </c>
      <c r="Y184">
        <f>ROUND(IF(VLOOKUP($A184,EnrollData2324,'2324 Jun 24 Enroll'!I$1,FALSE)+VLOOKUP($A184,EnrollData2324,'2324 Jun 24 Enroll'!M$1,FALSE)-VLOOKUP($A184,EnrollData2324,'2324 Jun 24 Enroll'!J$1,FALSE)='District Calculations'!$D$16+'District Calculations'!$D$25-'District Calculations'!$D$17,VLOOKUP($A184,EnrollData2324,'2324 Jun 24 Enroll'!I$1,FALSE)+VLOOKUP($A184,EnrollData2324,'2324 Jun 24 Enroll'!M$1,FALSE)-VLOOKUP($A184,EnrollData2324,'2324 Jun 24 Enroll'!J$1,FALSE),'District Calculations'!$D$16+'District Calculations'!$D$25-'District Calculations'!$D$17)*Apport_218A2324s,3)</f>
        <v>20.224</v>
      </c>
      <c r="Z184">
        <f>ROUND(SUM(T184:Y184)/IF(VLOOKUP($A184,EnrollData2324,'2324 Jun 24 Enroll'!M$1,FALSE)+VLOOKUP($A184,EnrollData2324,'2324 Jun 24 Enroll'!D$1,FALSE)='District Calculations'!$D$25+'District Calculations'!$D$11,VLOOKUP($A184,EnrollData2324,'2324 Jun 24 Enroll'!M$1,FALSE)+VLOOKUP($A184,EnrollData2324,'2324 Jun 24 Enroll'!D$1,FALSE),'District Calculations'!$D$25+'District Calculations'!$D$11),5)</f>
        <v>1.7749999999999998E-2</v>
      </c>
      <c r="AA184" s="6" cm="1">
        <f t="array" ref="AA184">ROUND($J184*CIS_Base_Salary2324s*VLOOKUP($A184,EnrollData2324,'2324 Jun 24 Enroll'!S$1,FALSE),2)</f>
        <v>4523.22</v>
      </c>
      <c r="AB184" s="6" cm="1">
        <f t="array" ref="AB184">ROUND($J184*CIS_Inc_Salary2324s*(VLOOKUP($A184,EnrollData2324,'2324 Jun 24 Enroll'!T$1,FALSE)+VLOOKUP($A184,EnrollData2324,'2324 Jun 24 Enroll'!U$1,FALSE)),2)-AA184</f>
        <v>167.35999999999967</v>
      </c>
      <c r="AC184" s="6" cm="1">
        <f t="array" ref="AC184">ROUND($R184*CAS_Base_Salary2324s*VLOOKUP($A184,EnrollData2324,'2324 Jun 24 Enroll'!S$1,FALSE),2)</f>
        <v>496.94</v>
      </c>
      <c r="AD184" s="6" cm="1">
        <f t="array" ref="AD184">ROUND($R184*CAS_Inc_Salary2324s*VLOOKUP($A184,EnrollData2324,'2324 Jun 24 Enroll'!T$1,FALSE),2)-AC184</f>
        <v>18.390000000000043</v>
      </c>
      <c r="AE184" s="6" cm="1">
        <f t="array" ref="AE184">ROUND($Z184*CLS_Base_Salary2324s*VLOOKUP($A184,EnrollData2324,'2324 Jun 24 Enroll'!S$1,FALSE),2)</f>
        <v>1037.2</v>
      </c>
      <c r="AF184" s="6" cm="1">
        <f t="array" ref="AF184">ROUND($Z184*CLS_Inc_Salary2324s*VLOOKUP($A184,EnrollData2324,'2324 Jun 24 Enroll'!T$1,FALSE),2)-AE184</f>
        <v>38.369999999999891</v>
      </c>
      <c r="AG184" cm="1">
        <f t="array" ref="AG184">ROUND(($J184+$R184)*Apport_124X2324s,2)</f>
        <v>734.29</v>
      </c>
      <c r="AH184" s="69">
        <f t="shared" si="19"/>
        <v>68.700000000000045</v>
      </c>
      <c r="AI184" cm="1">
        <f t="array" ref="AI184">ROUND($Z184*Apport_124X2324s,2)</f>
        <v>218.54</v>
      </c>
      <c r="AJ184" cm="1">
        <f t="array" ref="AJ184">ROUND($Z184*Apport_621X2324s*Apport_125X2324s,2)-AI184</f>
        <v>116.51000000000002</v>
      </c>
      <c r="AK184" cm="1">
        <f t="array" ref="AK184">ROUND((AA184+AC184)*Apport_126X2324s,2)</f>
        <v>902.12</v>
      </c>
      <c r="AL184" cm="1">
        <f t="array" ref="AL184">ROUND((AB184+AD184)*Apport_127X2324s,2)</f>
        <v>32.19</v>
      </c>
      <c r="AM184" cm="1">
        <f t="array" ref="AM184">ROUND(AE184*Apport_128X2324s,2)</f>
        <v>228.81</v>
      </c>
      <c r="AN184" cm="1">
        <f t="array" ref="AN184">ROUND(AF184*Apport_129X2324s,2)</f>
        <v>7.12</v>
      </c>
      <c r="AO184" cm="1">
        <f t="array" ref="AO184">ROUND(($J184*CIS_Inc_Salary2324s*(VLOOKUP($A184,EnrollData2324,'2324 Jun 24 Enroll'!T$1,FALSE)+VLOOKUP($A184,EnrollData2324,'2324 Jun 24 Enroll'!U$1,FALSE))/Apport_613Xpd)*Apport_614Xpd,2)</f>
        <v>78.180000000000007</v>
      </c>
      <c r="AP184" cm="1">
        <f t="array" ref="AP184">ROUND(AO184*Apport_127X2324s,2)</f>
        <v>13.55</v>
      </c>
      <c r="AQ184">
        <f t="shared" si="20"/>
        <v>30.93</v>
      </c>
      <c r="AR184" s="6" cm="1">
        <f t="array" ref="AR184">ROUND((VLOOKUP($A184,EnrollData2324,'2324 Jun 24 Enroll'!D$1,FALSE)*Apport_M802324s+VLOOKUP($A184,EnrollData2324,'2324 Jun 24 Enroll'!M$1,FALSE)*Apport_M802324s+(VLOOKUP($A184,EnrollData2324,'2324 Jun 24 Enroll'!P$1,FALSE)+VLOOKUP($A184,EnrollData2324,'2324 Jun 24 Enroll'!Q$1,FALSE)+VLOOKUP($A184,EnrollData2324,'2324 Jun 24 Enroll'!R$1,FALSE)+VLOOKUP($A184,EnrollData2324,'2324 Jun 24 Enroll'!I$1,FALSE)+VLOOKUP($A184,EnrollData2324,'2324 Jun 24 Enroll'!N$1,FALSE)+VLOOKUP($A184,EnrollData2324,'2324 Jun 24 Enroll'!O$1,FALSE)+VLOOKUP($A184,EnrollData2324,'2324 Jun 24 Enroll'!K$1,FALSE)+VLOOKUP($A184,EnrollData2324,'2324 Jun 24 Enroll'!L$1,FALSE))*Apport_M812324s)/(VLOOKUP($A184,EnrollData2324,'2324 Jun 24 Enroll'!M$1,FALSE)+VLOOKUP($A184,EnrollData2324,'2324 Jun 24 Enroll'!D$1,FALSE)),2)</f>
        <v>1576.95</v>
      </c>
      <c r="AS184" s="7">
        <f t="shared" si="21"/>
        <v>10289.370000000001</v>
      </c>
    </row>
    <row r="185" spans="1:45">
      <c r="A185" s="40" t="s">
        <v>506</v>
      </c>
      <c r="B185" s="40" t="s">
        <v>507</v>
      </c>
      <c r="C185" s="11">
        <f>ROUND((IFERROR((1/IF(VLOOKUP($A185,EnrollData2324,28,FALSE)='District Calculations'!$D$10,VLOOKUP($A185,EnrollData2324,28,FALSE),'District Calculations'!$D$10))*(1+Apport_Z315),0))+Apport_201A2324s,6)</f>
        <v>7.3449E-2</v>
      </c>
      <c r="D185">
        <f>ROUND(IF(VLOOKUP($A185,EnrollData2324,'2324 Jun 24 Enroll'!D$1,FALSE)='District Calculations'!$D$11,VLOOKUP($A185,EnrollData2324,'2324 Jun 24 Enroll'!D$1,FALSE),'District Calculations'!$D$11)*C185,3)</f>
        <v>0</v>
      </c>
      <c r="E185">
        <f>ROUND(IF(VLOOKUP($A185,EnrollData2324,'2324 Jun 24 Enroll'!E$1,FALSE)='District Calculations'!$D$12,VLOOKUP($A185,EnrollData2324,'2324 Jun 24 Enroll'!E$1,FALSE),'District Calculations'!$D$12)*C185,3)</f>
        <v>59.53</v>
      </c>
      <c r="F185">
        <f>ROUND(IF(VLOOKUP($A185,EnrollData2324,'2324 Jun 24 Enroll'!F$1,FALSE)='District Calculations'!$D$13,VLOOKUP($A185,EnrollData2324,'2324 Jun 24 Enroll'!F$1,FALSE),'District Calculations'!$D$13)*Apport_222A2324s,3)</f>
        <v>10.101000000000001</v>
      </c>
      <c r="G185">
        <f>ROUND(IF(VLOOKUP($A185,EnrollData2324,'2324 Jun 24 Enroll'!G$1,FALSE)='District Calculations'!$D$14,VLOOKUP($A185,EnrollData2324,'2324 Jun 24 Enroll'!G$1,FALSE),'District Calculations'!$D$14)*Apport_210A2324s,3)</f>
        <v>22.395</v>
      </c>
      <c r="H185">
        <f>ROUND(IF(VLOOKUP($A185,EnrollData2324,'2324 Jun 24 Enroll'!H$1,FALSE)='District Calculations'!$D$15,VLOOKUP($A185,EnrollData2324,'2324 Jun 24 Enroll'!H$1,FALSE),'District Calculations'!$D$15)*Apport_213A2324s,3)</f>
        <v>23.091999999999999</v>
      </c>
      <c r="I185">
        <f>ROUND(IF(VLOOKUP($A185,EnrollData2324,'2324 Jun 24 Enroll'!I$1,FALSE)+VLOOKUP($A185,EnrollData2324,'2324 Jun 24 Enroll'!M$1,FALSE)-VLOOKUP($A185,EnrollData2324,'2324 Jun 24 Enroll'!J$1,FALSE)='District Calculations'!$D$16+'District Calculations'!$D$25-'District Calculations'!$D$17,VLOOKUP($A185,EnrollData2324,'2324 Jun 24 Enroll'!I$1,FALSE)+VLOOKUP($A185,EnrollData2324,'2324 Jun 24 Enroll'!M$1,FALSE)-VLOOKUP($A185,EnrollData2324,'2324 Jun 24 Enroll'!J$1,FALSE),'District Calculations'!$D$16+'District Calculations'!$D$25-'District Calculations'!$D$17)*Apport_216A2324s,3)</f>
        <v>58.183999999999997</v>
      </c>
      <c r="J185">
        <f>ROUND(SUM(D185:I185)/(IF(VLOOKUP($A185,EnrollData2324,'2324 Jun 24 Enroll'!M$1,FALSE)='District Calculations'!$D$25,VLOOKUP($A185,EnrollData2324,'2324 Jun 24 Enroll'!M$1,FALSE),'District Calculations'!$D$25)+IF(VLOOKUP($A185,EnrollData2324,'2324 Jun 24 Enroll'!D$1,FALSE)='District Calculations'!$D$11,VLOOKUP($A185,EnrollData2324,'2324 Jun 24 Enroll'!D$1,FALSE),'District Calculations'!$D$11)),5)</f>
        <v>5.5530000000000003E-2</v>
      </c>
      <c r="K185" s="11">
        <f t="shared" si="17"/>
        <v>4.3699999999999998E-3</v>
      </c>
      <c r="L185">
        <f>ROUND(IF(VLOOKUP($A185,EnrollData2324,'2324 Jun 24 Enroll'!D$1,FALSE)='District Calculations'!$D$11,VLOOKUP($A185,EnrollData2324,'2324 Jun 24 Enroll'!D$1,FALSE),'District Calculations'!$D$11)*K185,3)</f>
        <v>0</v>
      </c>
      <c r="M185">
        <f>ROUND(IF(VLOOKUP($A185,EnrollData2324,'2324 Jun 24 Enroll'!E$1,FALSE)='District Calculations'!$D$12,VLOOKUP($A185,EnrollData2324,'2324 Jun 24 Enroll'!E$1,FALSE),'District Calculations'!$D$12)*K185,3)</f>
        <v>3.5419999999999998</v>
      </c>
      <c r="N185">
        <f>ROUND(IF(VLOOKUP($A185,EnrollData2324,'2324 Jun 24 Enroll'!F$1,FALSE)='District Calculations'!$D$13,VLOOKUP($A185,EnrollData2324,'2324 Jun 24 Enroll'!F$1,FALSE),'District Calculations'!$D$13)*Apport_223A2324s,3)</f>
        <v>0.84299999999999997</v>
      </c>
      <c r="O185">
        <f>ROUND(IF(VLOOKUP($A185,EnrollData2324,'2324 Jun 24 Enroll'!G$1,FALSE)='District Calculations'!$D$14,VLOOKUP($A185,EnrollData2324,'2324 Jun 24 Enroll'!G$1,FALSE),'District Calculations'!$D$14)*Apport_211A2324s,3)</f>
        <v>1.87</v>
      </c>
      <c r="P185">
        <f>ROUND(IF(VLOOKUP($A185,EnrollData2324,'2324 Jun 24 Enroll'!H$1,FALSE)='District Calculations'!$D$14,VLOOKUP($A185,EnrollData2324,'2324 Jun 24 Enroll'!H$1,FALSE),'District Calculations'!$D$14)*Apport_214A2324s,3)</f>
        <v>1.8680000000000001</v>
      </c>
      <c r="Q185">
        <f>ROUND(IF(VLOOKUP($A185,EnrollData2324,'2324 Jun 24 Enroll'!I$1,FALSE)+VLOOKUP($A185,EnrollData2324,'2324 Jun 24 Enroll'!M$1,FALSE)-VLOOKUP($A185,EnrollData2324,'2324 Jun 24 Enroll'!J$1,FALSE)='District Calculations'!$D$16+'District Calculations'!$D$25-'District Calculations'!$D$17,VLOOKUP($A185,EnrollData2324,'2324 Jun 24 Enroll'!I$1,FALSE)+VLOOKUP($A185,EnrollData2324,'2324 Jun 24 Enroll'!M$1,FALSE)-VLOOKUP($A185,EnrollData2324,'2324 Jun 24 Enroll'!J$1,FALSE),'District Calculations'!$D$16+'District Calculations'!$D$25-'District Calculations'!$D$17)*Apport_217A2324s,3)</f>
        <v>4.702</v>
      </c>
      <c r="R185">
        <f>ROUND(SUM(L185:Q185)/IF(VLOOKUP($A185,EnrollData2324,'2324 Jun 24 Enroll'!M$1,FALSE)+VLOOKUP($A185,EnrollData2324,'2324 Jun 24 Enroll'!D$1,FALSE)='District Calculations'!$D$25+'District Calculations'!$D$11,VLOOKUP($A185,EnrollData2324,'2324 Jun 24 Enroll'!M$1,FALSE)+VLOOKUP($A185,EnrollData2324,'2324 Jun 24 Enroll'!D$1,FALSE),'District Calculations'!$D$25+'District Calculations'!$D$11),5)</f>
        <v>4.1099999999999999E-3</v>
      </c>
      <c r="S185" s="11">
        <f t="shared" si="18"/>
        <v>1.8689600000000001E-2</v>
      </c>
      <c r="T185">
        <f>ROUND(IF(VLOOKUP($A185,EnrollData2324,'2324 Jun 24 Enroll'!D$1,FALSE)='District Calculations'!$D$11,VLOOKUP($A185,EnrollData2324,'2324 Jun 24 Enroll'!D$1,FALSE),'District Calculations'!$D$11)*S185,3)</f>
        <v>0</v>
      </c>
      <c r="U185">
        <f>ROUND(IF(VLOOKUP($A185,EnrollData2324,'2324 Jun 24 Enroll'!E$1,FALSE)='District Calculations'!$D$12,VLOOKUP($A185,EnrollData2324,'2324 Jun 24 Enroll'!E$1,FALSE),'District Calculations'!$D$12)*S185,3)</f>
        <v>15.148</v>
      </c>
      <c r="V185">
        <f>ROUND(IF(VLOOKUP($A185,EnrollData2324,'2324 Jun 24 Enroll'!F$1,FALSE)='District Calculations'!$D$13,VLOOKUP($A185,EnrollData2324,'2324 Jun 24 Enroll'!F$1,FALSE),'District Calculations'!$D$13)*Apport_224A2324s,3)</f>
        <v>3.7029999999999998</v>
      </c>
      <c r="W185">
        <f>ROUND(IF(VLOOKUP($A185,EnrollData2324,'2324 Jun 24 Enroll'!G$1,FALSE)='District Calculations'!$D$14,VLOOKUP($A185,EnrollData2324,'2324 Jun 24 Enroll'!G$1,FALSE),'District Calculations'!$D$14)*Apport_212A2324s,3)</f>
        <v>8.2089999999999996</v>
      </c>
      <c r="X185">
        <f>ROUND(IF(VLOOKUP($A185,EnrollData2324,'2324 Jun 24 Enroll'!H$1,FALSE)='District Calculations'!$D$14,VLOOKUP($A185,EnrollData2324,'2324 Jun 24 Enroll'!H$1,FALSE),'District Calculations'!$D$14)*Apport_215A2324s,3)</f>
        <v>8.0969999999999995</v>
      </c>
      <c r="Y185">
        <f>ROUND(IF(VLOOKUP($A185,EnrollData2324,'2324 Jun 24 Enroll'!I$1,FALSE)+VLOOKUP($A185,EnrollData2324,'2324 Jun 24 Enroll'!M$1,FALSE)-VLOOKUP($A185,EnrollData2324,'2324 Jun 24 Enroll'!J$1,FALSE)='District Calculations'!$D$16+'District Calculations'!$D$25-'District Calculations'!$D$17,VLOOKUP($A185,EnrollData2324,'2324 Jun 24 Enroll'!I$1,FALSE)+VLOOKUP($A185,EnrollData2324,'2324 Jun 24 Enroll'!M$1,FALSE)-VLOOKUP($A185,EnrollData2324,'2324 Jun 24 Enroll'!J$1,FALSE),'District Calculations'!$D$16+'District Calculations'!$D$25-'District Calculations'!$D$17)*Apport_218A2324s,3)</f>
        <v>20.224</v>
      </c>
      <c r="Z185">
        <f>ROUND(SUM(T185:Y185)/IF(VLOOKUP($A185,EnrollData2324,'2324 Jun 24 Enroll'!M$1,FALSE)+VLOOKUP($A185,EnrollData2324,'2324 Jun 24 Enroll'!D$1,FALSE)='District Calculations'!$D$25+'District Calculations'!$D$11,VLOOKUP($A185,EnrollData2324,'2324 Jun 24 Enroll'!M$1,FALSE)+VLOOKUP($A185,EnrollData2324,'2324 Jun 24 Enroll'!D$1,FALSE),'District Calculations'!$D$25+'District Calculations'!$D$11),5)</f>
        <v>1.7749999999999998E-2</v>
      </c>
      <c r="AA185" s="6" cm="1">
        <f t="array" ref="AA185">ROUND($J185*CIS_Base_Salary2324s*VLOOKUP($A185,EnrollData2324,'2324 Jun 24 Enroll'!S$1,FALSE),2)</f>
        <v>4038.59</v>
      </c>
      <c r="AB185" s="6" cm="1">
        <f t="array" ref="AB185">ROUND($J185*CIS_Inc_Salary2324s*(VLOOKUP($A185,EnrollData2324,'2324 Jun 24 Enroll'!T$1,FALSE)+VLOOKUP($A185,EnrollData2324,'2324 Jun 24 Enroll'!U$1,FALSE)),2)-AA185</f>
        <v>149.43000000000029</v>
      </c>
      <c r="AC185" s="6" cm="1">
        <f t="array" ref="AC185">ROUND($R185*CAS_Base_Salary2324s*VLOOKUP($A185,EnrollData2324,'2324 Jun 24 Enroll'!S$1,FALSE),2)</f>
        <v>443.7</v>
      </c>
      <c r="AD185" s="6" cm="1">
        <f t="array" ref="AD185">ROUND($R185*CAS_Inc_Salary2324s*VLOOKUP($A185,EnrollData2324,'2324 Jun 24 Enroll'!T$1,FALSE),2)-AC185</f>
        <v>16.410000000000025</v>
      </c>
      <c r="AE185" s="6" cm="1">
        <f t="array" ref="AE185">ROUND($Z185*CLS_Base_Salary2324s*VLOOKUP($A185,EnrollData2324,'2324 Jun 24 Enroll'!S$1,FALSE),2)</f>
        <v>926.07</v>
      </c>
      <c r="AF185" s="6" cm="1">
        <f t="array" ref="AF185">ROUND($Z185*CLS_Inc_Salary2324s*VLOOKUP($A185,EnrollData2324,'2324 Jun 24 Enroll'!T$1,FALSE),2)-AE185</f>
        <v>34.259999999999991</v>
      </c>
      <c r="AG185" cm="1">
        <f t="array" ref="AG185">ROUND(($J185+$R185)*Apport_124X2324s,2)</f>
        <v>734.29</v>
      </c>
      <c r="AH185" s="69">
        <f t="shared" si="19"/>
        <v>68.700000000000045</v>
      </c>
      <c r="AI185" cm="1">
        <f t="array" ref="AI185">ROUND($Z185*Apport_124X2324s,2)</f>
        <v>218.54</v>
      </c>
      <c r="AJ185" cm="1">
        <f t="array" ref="AJ185">ROUND($Z185*Apport_621X2324s*Apport_125X2324s,2)-AI185</f>
        <v>116.51000000000002</v>
      </c>
      <c r="AK185" cm="1">
        <f t="array" ref="AK185">ROUND((AA185+AC185)*Apport_126X2324s,2)</f>
        <v>805.47</v>
      </c>
      <c r="AL185" cm="1">
        <f t="array" ref="AL185">ROUND((AB185+AD185)*Apport_127X2324s,2)</f>
        <v>28.74</v>
      </c>
      <c r="AM185" cm="1">
        <f t="array" ref="AM185">ROUND(AE185*Apport_128X2324s,2)</f>
        <v>204.29</v>
      </c>
      <c r="AN185" cm="1">
        <f t="array" ref="AN185">ROUND(AF185*Apport_129X2324s,2)</f>
        <v>6.36</v>
      </c>
      <c r="AO185" cm="1">
        <f t="array" ref="AO185">ROUND(($J185*CIS_Inc_Salary2324s*(VLOOKUP($A185,EnrollData2324,'2324 Jun 24 Enroll'!T$1,FALSE)+VLOOKUP($A185,EnrollData2324,'2324 Jun 24 Enroll'!U$1,FALSE))/Apport_613Xpd)*Apport_614Xpd,2)</f>
        <v>69.8</v>
      </c>
      <c r="AP185" cm="1">
        <f t="array" ref="AP185">ROUND(AO185*Apport_127X2324s,2)</f>
        <v>12.1</v>
      </c>
      <c r="AQ185">
        <f t="shared" si="20"/>
        <v>30.93</v>
      </c>
      <c r="AR185" s="6" cm="1">
        <f t="array" ref="AR185">ROUND((VLOOKUP($A185,EnrollData2324,'2324 Jun 24 Enroll'!D$1,FALSE)*Apport_M802324s+VLOOKUP($A185,EnrollData2324,'2324 Jun 24 Enroll'!M$1,FALSE)*Apport_M802324s+(VLOOKUP($A185,EnrollData2324,'2324 Jun 24 Enroll'!P$1,FALSE)+VLOOKUP($A185,EnrollData2324,'2324 Jun 24 Enroll'!Q$1,FALSE)+VLOOKUP($A185,EnrollData2324,'2324 Jun 24 Enroll'!R$1,FALSE)+VLOOKUP($A185,EnrollData2324,'2324 Jun 24 Enroll'!I$1,FALSE)+VLOOKUP($A185,EnrollData2324,'2324 Jun 24 Enroll'!N$1,FALSE)+VLOOKUP($A185,EnrollData2324,'2324 Jun 24 Enroll'!O$1,FALSE)+VLOOKUP($A185,EnrollData2324,'2324 Jun 24 Enroll'!K$1,FALSE)+VLOOKUP($A185,EnrollData2324,'2324 Jun 24 Enroll'!L$1,FALSE))*Apport_M812324s)/(VLOOKUP($A185,EnrollData2324,'2324 Jun 24 Enroll'!M$1,FALSE)+VLOOKUP($A185,EnrollData2324,'2324 Jun 24 Enroll'!D$1,FALSE)),2)</f>
        <v>1504.44</v>
      </c>
      <c r="AS185" s="7">
        <f t="shared" si="21"/>
        <v>9408.630000000001</v>
      </c>
    </row>
    <row r="186" spans="1:45">
      <c r="A186" s="40" t="s">
        <v>620</v>
      </c>
      <c r="B186" s="40" t="s">
        <v>1032</v>
      </c>
      <c r="C186" s="11">
        <f>ROUND((IFERROR((1/IF(VLOOKUP($A186,EnrollData2324,28,FALSE)='District Calculations'!$D$10,VLOOKUP($A186,EnrollData2324,28,FALSE),'District Calculations'!$D$10))*(1+Apport_Z315),0))+Apport_201A2324s,6)</f>
        <v>7.3449E-2</v>
      </c>
      <c r="D186">
        <f>ROUND(IF(VLOOKUP($A186,EnrollData2324,'2324 Jun 24 Enroll'!D$1,FALSE)='District Calculations'!$D$11,VLOOKUP($A186,EnrollData2324,'2324 Jun 24 Enroll'!D$1,FALSE),'District Calculations'!$D$11)*C186,3)</f>
        <v>0</v>
      </c>
      <c r="E186">
        <f>ROUND(IF(VLOOKUP($A186,EnrollData2324,'2324 Jun 24 Enroll'!E$1,FALSE)='District Calculations'!$D$12,VLOOKUP($A186,EnrollData2324,'2324 Jun 24 Enroll'!E$1,FALSE),'District Calculations'!$D$12)*C186,3)</f>
        <v>59.53</v>
      </c>
      <c r="F186">
        <f>ROUND(IF(VLOOKUP($A186,EnrollData2324,'2324 Jun 24 Enroll'!F$1,FALSE)='District Calculations'!$D$13,VLOOKUP($A186,EnrollData2324,'2324 Jun 24 Enroll'!F$1,FALSE),'District Calculations'!$D$13)*Apport_222A2324s,3)</f>
        <v>10.101000000000001</v>
      </c>
      <c r="G186">
        <f>ROUND(IF(VLOOKUP($A186,EnrollData2324,'2324 Jun 24 Enroll'!G$1,FALSE)='District Calculations'!$D$14,VLOOKUP($A186,EnrollData2324,'2324 Jun 24 Enroll'!G$1,FALSE),'District Calculations'!$D$14)*Apport_210A2324s,3)</f>
        <v>22.395</v>
      </c>
      <c r="H186">
        <f>ROUND(IF(VLOOKUP($A186,EnrollData2324,'2324 Jun 24 Enroll'!H$1,FALSE)='District Calculations'!$D$15,VLOOKUP($A186,EnrollData2324,'2324 Jun 24 Enroll'!H$1,FALSE),'District Calculations'!$D$15)*Apport_213A2324s,3)</f>
        <v>23.091999999999999</v>
      </c>
      <c r="I186">
        <f>ROUND(IF(VLOOKUP($A186,EnrollData2324,'2324 Jun 24 Enroll'!I$1,FALSE)+VLOOKUP($A186,EnrollData2324,'2324 Jun 24 Enroll'!M$1,FALSE)-VLOOKUP($A186,EnrollData2324,'2324 Jun 24 Enroll'!J$1,FALSE)='District Calculations'!$D$16+'District Calculations'!$D$25-'District Calculations'!$D$17,VLOOKUP($A186,EnrollData2324,'2324 Jun 24 Enroll'!I$1,FALSE)+VLOOKUP($A186,EnrollData2324,'2324 Jun 24 Enroll'!M$1,FALSE)-VLOOKUP($A186,EnrollData2324,'2324 Jun 24 Enroll'!J$1,FALSE),'District Calculations'!$D$16+'District Calculations'!$D$25-'District Calculations'!$D$17)*Apport_216A2324s,3)</f>
        <v>58.183999999999997</v>
      </c>
      <c r="J186">
        <f>ROUND(SUM(D186:I186)/(IF(VLOOKUP($A186,EnrollData2324,'2324 Jun 24 Enroll'!M$1,FALSE)='District Calculations'!$D$25,VLOOKUP($A186,EnrollData2324,'2324 Jun 24 Enroll'!M$1,FALSE),'District Calculations'!$D$25)+IF(VLOOKUP($A186,EnrollData2324,'2324 Jun 24 Enroll'!D$1,FALSE)='District Calculations'!$D$11,VLOOKUP($A186,EnrollData2324,'2324 Jun 24 Enroll'!D$1,FALSE),'District Calculations'!$D$11)),5)</f>
        <v>5.5530000000000003E-2</v>
      </c>
      <c r="K186" s="11">
        <f t="shared" si="17"/>
        <v>4.3699999999999998E-3</v>
      </c>
      <c r="L186">
        <f>ROUND(IF(VLOOKUP($A186,EnrollData2324,'2324 Jun 24 Enroll'!D$1,FALSE)='District Calculations'!$D$11,VLOOKUP($A186,EnrollData2324,'2324 Jun 24 Enroll'!D$1,FALSE),'District Calculations'!$D$11)*K186,3)</f>
        <v>0</v>
      </c>
      <c r="M186">
        <f>ROUND(IF(VLOOKUP($A186,EnrollData2324,'2324 Jun 24 Enroll'!E$1,FALSE)='District Calculations'!$D$12,VLOOKUP($A186,EnrollData2324,'2324 Jun 24 Enroll'!E$1,FALSE),'District Calculations'!$D$12)*K186,3)</f>
        <v>3.5419999999999998</v>
      </c>
      <c r="N186">
        <f>ROUND(IF(VLOOKUP($A186,EnrollData2324,'2324 Jun 24 Enroll'!F$1,FALSE)='District Calculations'!$D$13,VLOOKUP($A186,EnrollData2324,'2324 Jun 24 Enroll'!F$1,FALSE),'District Calculations'!$D$13)*Apport_223A2324s,3)</f>
        <v>0.84299999999999997</v>
      </c>
      <c r="O186">
        <f>ROUND(IF(VLOOKUP($A186,EnrollData2324,'2324 Jun 24 Enroll'!G$1,FALSE)='District Calculations'!$D$14,VLOOKUP($A186,EnrollData2324,'2324 Jun 24 Enroll'!G$1,FALSE),'District Calculations'!$D$14)*Apport_211A2324s,3)</f>
        <v>1.87</v>
      </c>
      <c r="P186">
        <f>ROUND(IF(VLOOKUP($A186,EnrollData2324,'2324 Jun 24 Enroll'!H$1,FALSE)='District Calculations'!$D$14,VLOOKUP($A186,EnrollData2324,'2324 Jun 24 Enroll'!H$1,FALSE),'District Calculations'!$D$14)*Apport_214A2324s,3)</f>
        <v>1.8680000000000001</v>
      </c>
      <c r="Q186">
        <f>ROUND(IF(VLOOKUP($A186,EnrollData2324,'2324 Jun 24 Enroll'!I$1,FALSE)+VLOOKUP($A186,EnrollData2324,'2324 Jun 24 Enroll'!M$1,FALSE)-VLOOKUP($A186,EnrollData2324,'2324 Jun 24 Enroll'!J$1,FALSE)='District Calculations'!$D$16+'District Calculations'!$D$25-'District Calculations'!$D$17,VLOOKUP($A186,EnrollData2324,'2324 Jun 24 Enroll'!I$1,FALSE)+VLOOKUP($A186,EnrollData2324,'2324 Jun 24 Enroll'!M$1,FALSE)-VLOOKUP($A186,EnrollData2324,'2324 Jun 24 Enroll'!J$1,FALSE),'District Calculations'!$D$16+'District Calculations'!$D$25-'District Calculations'!$D$17)*Apport_217A2324s,3)</f>
        <v>4.702</v>
      </c>
      <c r="R186">
        <f>ROUND(SUM(L186:Q186)/IF(VLOOKUP($A186,EnrollData2324,'2324 Jun 24 Enroll'!M$1,FALSE)+VLOOKUP($A186,EnrollData2324,'2324 Jun 24 Enroll'!D$1,FALSE)='District Calculations'!$D$25+'District Calculations'!$D$11,VLOOKUP($A186,EnrollData2324,'2324 Jun 24 Enroll'!M$1,FALSE)+VLOOKUP($A186,EnrollData2324,'2324 Jun 24 Enroll'!D$1,FALSE),'District Calculations'!$D$25+'District Calculations'!$D$11),5)</f>
        <v>4.1099999999999999E-3</v>
      </c>
      <c r="S186" s="11">
        <f t="shared" si="18"/>
        <v>1.8689600000000001E-2</v>
      </c>
      <c r="T186">
        <f>ROUND(IF(VLOOKUP($A186,EnrollData2324,'2324 Jun 24 Enroll'!D$1,FALSE)='District Calculations'!$D$11,VLOOKUP($A186,EnrollData2324,'2324 Jun 24 Enroll'!D$1,FALSE),'District Calculations'!$D$11)*S186,3)</f>
        <v>0</v>
      </c>
      <c r="U186">
        <f>ROUND(IF(VLOOKUP($A186,EnrollData2324,'2324 Jun 24 Enroll'!E$1,FALSE)='District Calculations'!$D$12,VLOOKUP($A186,EnrollData2324,'2324 Jun 24 Enroll'!E$1,FALSE),'District Calculations'!$D$12)*S186,3)</f>
        <v>15.148</v>
      </c>
      <c r="V186">
        <f>ROUND(IF(VLOOKUP($A186,EnrollData2324,'2324 Jun 24 Enroll'!F$1,FALSE)='District Calculations'!$D$13,VLOOKUP($A186,EnrollData2324,'2324 Jun 24 Enroll'!F$1,FALSE),'District Calculations'!$D$13)*Apport_224A2324s,3)</f>
        <v>3.7029999999999998</v>
      </c>
      <c r="W186">
        <f>ROUND(IF(VLOOKUP($A186,EnrollData2324,'2324 Jun 24 Enroll'!G$1,FALSE)='District Calculations'!$D$14,VLOOKUP($A186,EnrollData2324,'2324 Jun 24 Enroll'!G$1,FALSE),'District Calculations'!$D$14)*Apport_212A2324s,3)</f>
        <v>8.2089999999999996</v>
      </c>
      <c r="X186">
        <f>ROUND(IF(VLOOKUP($A186,EnrollData2324,'2324 Jun 24 Enroll'!H$1,FALSE)='District Calculations'!$D$14,VLOOKUP($A186,EnrollData2324,'2324 Jun 24 Enroll'!H$1,FALSE),'District Calculations'!$D$14)*Apport_215A2324s,3)</f>
        <v>8.0969999999999995</v>
      </c>
      <c r="Y186">
        <f>ROUND(IF(VLOOKUP($A186,EnrollData2324,'2324 Jun 24 Enroll'!I$1,FALSE)+VLOOKUP($A186,EnrollData2324,'2324 Jun 24 Enroll'!M$1,FALSE)-VLOOKUP($A186,EnrollData2324,'2324 Jun 24 Enroll'!J$1,FALSE)='District Calculations'!$D$16+'District Calculations'!$D$25-'District Calculations'!$D$17,VLOOKUP($A186,EnrollData2324,'2324 Jun 24 Enroll'!I$1,FALSE)+VLOOKUP($A186,EnrollData2324,'2324 Jun 24 Enroll'!M$1,FALSE)-VLOOKUP($A186,EnrollData2324,'2324 Jun 24 Enroll'!J$1,FALSE),'District Calculations'!$D$16+'District Calculations'!$D$25-'District Calculations'!$D$17)*Apport_218A2324s,3)</f>
        <v>20.224</v>
      </c>
      <c r="Z186">
        <f>ROUND(SUM(T186:Y186)/IF(VLOOKUP($A186,EnrollData2324,'2324 Jun 24 Enroll'!M$1,FALSE)+VLOOKUP($A186,EnrollData2324,'2324 Jun 24 Enroll'!D$1,FALSE)='District Calculations'!$D$25+'District Calculations'!$D$11,VLOOKUP($A186,EnrollData2324,'2324 Jun 24 Enroll'!M$1,FALSE)+VLOOKUP($A186,EnrollData2324,'2324 Jun 24 Enroll'!D$1,FALSE),'District Calculations'!$D$25+'District Calculations'!$D$11),5)</f>
        <v>1.7749999999999998E-2</v>
      </c>
      <c r="AA186" s="6" cm="1">
        <f t="array" ref="AA186">ROUND($J186*CIS_Base_Salary2324s*VLOOKUP($A186,EnrollData2324,'2324 Jun 24 Enroll'!S$1,FALSE),2)</f>
        <v>4038.59</v>
      </c>
      <c r="AB186" s="6" cm="1">
        <f t="array" ref="AB186">ROUND($J186*CIS_Inc_Salary2324s*(VLOOKUP($A186,EnrollData2324,'2324 Jun 24 Enroll'!T$1,FALSE)+VLOOKUP($A186,EnrollData2324,'2324 Jun 24 Enroll'!U$1,FALSE)),2)-AA186</f>
        <v>149.43000000000029</v>
      </c>
      <c r="AC186" s="6" cm="1">
        <f t="array" ref="AC186">ROUND($R186*CAS_Base_Salary2324s*VLOOKUP($A186,EnrollData2324,'2324 Jun 24 Enroll'!S$1,FALSE),2)</f>
        <v>443.7</v>
      </c>
      <c r="AD186" s="6" cm="1">
        <f t="array" ref="AD186">ROUND($R186*CAS_Inc_Salary2324s*VLOOKUP($A186,EnrollData2324,'2324 Jun 24 Enroll'!T$1,FALSE),2)-AC186</f>
        <v>16.410000000000025</v>
      </c>
      <c r="AE186" s="6" cm="1">
        <f t="array" ref="AE186">ROUND($Z186*CLS_Base_Salary2324s*VLOOKUP($A186,EnrollData2324,'2324 Jun 24 Enroll'!S$1,FALSE),2)</f>
        <v>926.07</v>
      </c>
      <c r="AF186" s="6" cm="1">
        <f t="array" ref="AF186">ROUND($Z186*CLS_Inc_Salary2324s*VLOOKUP($A186,EnrollData2324,'2324 Jun 24 Enroll'!T$1,FALSE),2)-AE186</f>
        <v>34.259999999999991</v>
      </c>
      <c r="AG186" cm="1">
        <f t="array" ref="AG186">ROUND(($J186+$R186)*Apport_124X2324s,2)</f>
        <v>734.29</v>
      </c>
      <c r="AH186" s="69">
        <f t="shared" si="19"/>
        <v>68.700000000000045</v>
      </c>
      <c r="AI186" cm="1">
        <f t="array" ref="AI186">ROUND($Z186*Apport_124X2324s,2)</f>
        <v>218.54</v>
      </c>
      <c r="AJ186" cm="1">
        <f t="array" ref="AJ186">ROUND($Z186*Apport_621X2324s*Apport_125X2324s,2)-AI186</f>
        <v>116.51000000000002</v>
      </c>
      <c r="AK186" cm="1">
        <f t="array" ref="AK186">ROUND((AA186+AC186)*Apport_126X2324s,2)</f>
        <v>805.47</v>
      </c>
      <c r="AL186" cm="1">
        <f t="array" ref="AL186">ROUND((AB186+AD186)*Apport_127X2324s,2)</f>
        <v>28.74</v>
      </c>
      <c r="AM186" cm="1">
        <f t="array" ref="AM186">ROUND(AE186*Apport_128X2324s,2)</f>
        <v>204.29</v>
      </c>
      <c r="AN186" cm="1">
        <f t="array" ref="AN186">ROUND(AF186*Apport_129X2324s,2)</f>
        <v>6.36</v>
      </c>
      <c r="AO186" cm="1">
        <f t="array" ref="AO186">ROUND(($J186*CIS_Inc_Salary2324s*(VLOOKUP($A186,EnrollData2324,'2324 Jun 24 Enroll'!T$1,FALSE)+VLOOKUP($A186,EnrollData2324,'2324 Jun 24 Enroll'!U$1,FALSE))/Apport_613Xpd)*Apport_614Xpd,2)</f>
        <v>69.8</v>
      </c>
      <c r="AP186" cm="1">
        <f t="array" ref="AP186">ROUND(AO186*Apport_127X2324s,2)</f>
        <v>12.1</v>
      </c>
      <c r="AQ186">
        <f t="shared" si="20"/>
        <v>30.93</v>
      </c>
      <c r="AR186" s="6" cm="1">
        <f t="array" ref="AR186">ROUND((VLOOKUP($A186,EnrollData2324,'2324 Jun 24 Enroll'!D$1,FALSE)*Apport_M802324s+VLOOKUP($A186,EnrollData2324,'2324 Jun 24 Enroll'!M$1,FALSE)*Apport_M802324s+(VLOOKUP($A186,EnrollData2324,'2324 Jun 24 Enroll'!P$1,FALSE)+VLOOKUP($A186,EnrollData2324,'2324 Jun 24 Enroll'!Q$1,FALSE)+VLOOKUP($A186,EnrollData2324,'2324 Jun 24 Enroll'!R$1,FALSE)+VLOOKUP($A186,EnrollData2324,'2324 Jun 24 Enroll'!I$1,FALSE)+VLOOKUP($A186,EnrollData2324,'2324 Jun 24 Enroll'!N$1,FALSE)+VLOOKUP($A186,EnrollData2324,'2324 Jun 24 Enroll'!O$1,FALSE)+VLOOKUP($A186,EnrollData2324,'2324 Jun 24 Enroll'!K$1,FALSE)+VLOOKUP($A186,EnrollData2324,'2324 Jun 24 Enroll'!L$1,FALSE))*Apport_M812324s)/(VLOOKUP($A186,EnrollData2324,'2324 Jun 24 Enroll'!M$1,FALSE)+VLOOKUP($A186,EnrollData2324,'2324 Jun 24 Enroll'!D$1,FALSE)),2)</f>
        <v>1516.72</v>
      </c>
      <c r="AS186" s="7">
        <f t="shared" si="21"/>
        <v>9420.91</v>
      </c>
    </row>
    <row r="187" spans="1:45">
      <c r="A187" s="40" t="s">
        <v>657</v>
      </c>
      <c r="B187" s="40" t="s">
        <v>658</v>
      </c>
      <c r="C187" s="11">
        <f>ROUND((IFERROR((1/IF(VLOOKUP($A187,EnrollData2324,28,FALSE)='District Calculations'!$D$10,VLOOKUP($A187,EnrollData2324,28,FALSE),'District Calculations'!$D$10))*(1+Apport_Z315),0))+Apport_201A2324s,6)</f>
        <v>7.3449E-2</v>
      </c>
      <c r="D187">
        <f>ROUND(IF(VLOOKUP($A187,EnrollData2324,'2324 Jun 24 Enroll'!D$1,FALSE)='District Calculations'!$D$11,VLOOKUP($A187,EnrollData2324,'2324 Jun 24 Enroll'!D$1,FALSE),'District Calculations'!$D$11)*C187,3)</f>
        <v>0</v>
      </c>
      <c r="E187">
        <f>ROUND(IF(VLOOKUP($A187,EnrollData2324,'2324 Jun 24 Enroll'!E$1,FALSE)='District Calculations'!$D$12,VLOOKUP($A187,EnrollData2324,'2324 Jun 24 Enroll'!E$1,FALSE),'District Calculations'!$D$12)*C187,3)</f>
        <v>59.53</v>
      </c>
      <c r="F187">
        <f>ROUND(IF(VLOOKUP($A187,EnrollData2324,'2324 Jun 24 Enroll'!F$1,FALSE)='District Calculations'!$D$13,VLOOKUP($A187,EnrollData2324,'2324 Jun 24 Enroll'!F$1,FALSE),'District Calculations'!$D$13)*Apport_222A2324s,3)</f>
        <v>10.101000000000001</v>
      </c>
      <c r="G187">
        <f>ROUND(IF(VLOOKUP($A187,EnrollData2324,'2324 Jun 24 Enroll'!G$1,FALSE)='District Calculations'!$D$14,VLOOKUP($A187,EnrollData2324,'2324 Jun 24 Enroll'!G$1,FALSE),'District Calculations'!$D$14)*Apport_210A2324s,3)</f>
        <v>22.395</v>
      </c>
      <c r="H187">
        <f>ROUND(IF(VLOOKUP($A187,EnrollData2324,'2324 Jun 24 Enroll'!H$1,FALSE)='District Calculations'!$D$15,VLOOKUP($A187,EnrollData2324,'2324 Jun 24 Enroll'!H$1,FALSE),'District Calculations'!$D$15)*Apport_213A2324s,3)</f>
        <v>23.091999999999999</v>
      </c>
      <c r="I187">
        <f>ROUND(IF(VLOOKUP($A187,EnrollData2324,'2324 Jun 24 Enroll'!I$1,FALSE)+VLOOKUP($A187,EnrollData2324,'2324 Jun 24 Enroll'!M$1,FALSE)-VLOOKUP($A187,EnrollData2324,'2324 Jun 24 Enroll'!J$1,FALSE)='District Calculations'!$D$16+'District Calculations'!$D$25-'District Calculations'!$D$17,VLOOKUP($A187,EnrollData2324,'2324 Jun 24 Enroll'!I$1,FALSE)+VLOOKUP($A187,EnrollData2324,'2324 Jun 24 Enroll'!M$1,FALSE)-VLOOKUP($A187,EnrollData2324,'2324 Jun 24 Enroll'!J$1,FALSE),'District Calculations'!$D$16+'District Calculations'!$D$25-'District Calculations'!$D$17)*Apport_216A2324s,3)</f>
        <v>58.183999999999997</v>
      </c>
      <c r="J187">
        <f>ROUND(SUM(D187:I187)/(IF(VLOOKUP($A187,EnrollData2324,'2324 Jun 24 Enroll'!M$1,FALSE)='District Calculations'!$D$25,VLOOKUP($A187,EnrollData2324,'2324 Jun 24 Enroll'!M$1,FALSE),'District Calculations'!$D$25)+IF(VLOOKUP($A187,EnrollData2324,'2324 Jun 24 Enroll'!D$1,FALSE)='District Calculations'!$D$11,VLOOKUP($A187,EnrollData2324,'2324 Jun 24 Enroll'!D$1,FALSE),'District Calculations'!$D$11)),5)</f>
        <v>5.5530000000000003E-2</v>
      </c>
      <c r="K187" s="11">
        <f t="shared" si="17"/>
        <v>4.3699999999999998E-3</v>
      </c>
      <c r="L187">
        <f>ROUND(IF(VLOOKUP($A187,EnrollData2324,'2324 Jun 24 Enroll'!D$1,FALSE)='District Calculations'!$D$11,VLOOKUP($A187,EnrollData2324,'2324 Jun 24 Enroll'!D$1,FALSE),'District Calculations'!$D$11)*K187,3)</f>
        <v>0</v>
      </c>
      <c r="M187">
        <f>ROUND(IF(VLOOKUP($A187,EnrollData2324,'2324 Jun 24 Enroll'!E$1,FALSE)='District Calculations'!$D$12,VLOOKUP($A187,EnrollData2324,'2324 Jun 24 Enroll'!E$1,FALSE),'District Calculations'!$D$12)*K187,3)</f>
        <v>3.5419999999999998</v>
      </c>
      <c r="N187">
        <f>ROUND(IF(VLOOKUP($A187,EnrollData2324,'2324 Jun 24 Enroll'!F$1,FALSE)='District Calculations'!$D$13,VLOOKUP($A187,EnrollData2324,'2324 Jun 24 Enroll'!F$1,FALSE),'District Calculations'!$D$13)*Apport_223A2324s,3)</f>
        <v>0.84299999999999997</v>
      </c>
      <c r="O187">
        <f>ROUND(IF(VLOOKUP($A187,EnrollData2324,'2324 Jun 24 Enroll'!G$1,FALSE)='District Calculations'!$D$14,VLOOKUP($A187,EnrollData2324,'2324 Jun 24 Enroll'!G$1,FALSE),'District Calculations'!$D$14)*Apport_211A2324s,3)</f>
        <v>1.87</v>
      </c>
      <c r="P187">
        <f>ROUND(IF(VLOOKUP($A187,EnrollData2324,'2324 Jun 24 Enroll'!H$1,FALSE)='District Calculations'!$D$14,VLOOKUP($A187,EnrollData2324,'2324 Jun 24 Enroll'!H$1,FALSE),'District Calculations'!$D$14)*Apport_214A2324s,3)</f>
        <v>1.8680000000000001</v>
      </c>
      <c r="Q187">
        <f>ROUND(IF(VLOOKUP($A187,EnrollData2324,'2324 Jun 24 Enroll'!I$1,FALSE)+VLOOKUP($A187,EnrollData2324,'2324 Jun 24 Enroll'!M$1,FALSE)-VLOOKUP($A187,EnrollData2324,'2324 Jun 24 Enroll'!J$1,FALSE)='District Calculations'!$D$16+'District Calculations'!$D$25-'District Calculations'!$D$17,VLOOKUP($A187,EnrollData2324,'2324 Jun 24 Enroll'!I$1,FALSE)+VLOOKUP($A187,EnrollData2324,'2324 Jun 24 Enroll'!M$1,FALSE)-VLOOKUP($A187,EnrollData2324,'2324 Jun 24 Enroll'!J$1,FALSE),'District Calculations'!$D$16+'District Calculations'!$D$25-'District Calculations'!$D$17)*Apport_217A2324s,3)</f>
        <v>4.702</v>
      </c>
      <c r="R187">
        <f>ROUND(SUM(L187:Q187)/IF(VLOOKUP($A187,EnrollData2324,'2324 Jun 24 Enroll'!M$1,FALSE)+VLOOKUP($A187,EnrollData2324,'2324 Jun 24 Enroll'!D$1,FALSE)='District Calculations'!$D$25+'District Calculations'!$D$11,VLOOKUP($A187,EnrollData2324,'2324 Jun 24 Enroll'!M$1,FALSE)+VLOOKUP($A187,EnrollData2324,'2324 Jun 24 Enroll'!D$1,FALSE),'District Calculations'!$D$25+'District Calculations'!$D$11),5)</f>
        <v>4.1099999999999999E-3</v>
      </c>
      <c r="S187" s="11">
        <f t="shared" si="18"/>
        <v>1.8689600000000001E-2</v>
      </c>
      <c r="T187">
        <f>ROUND(IF(VLOOKUP($A187,EnrollData2324,'2324 Jun 24 Enroll'!D$1,FALSE)='District Calculations'!$D$11,VLOOKUP($A187,EnrollData2324,'2324 Jun 24 Enroll'!D$1,FALSE),'District Calculations'!$D$11)*S187,3)</f>
        <v>0</v>
      </c>
      <c r="U187">
        <f>ROUND(IF(VLOOKUP($A187,EnrollData2324,'2324 Jun 24 Enroll'!E$1,FALSE)='District Calculations'!$D$12,VLOOKUP($A187,EnrollData2324,'2324 Jun 24 Enroll'!E$1,FALSE),'District Calculations'!$D$12)*S187,3)</f>
        <v>15.148</v>
      </c>
      <c r="V187">
        <f>ROUND(IF(VLOOKUP($A187,EnrollData2324,'2324 Jun 24 Enroll'!F$1,FALSE)='District Calculations'!$D$13,VLOOKUP($A187,EnrollData2324,'2324 Jun 24 Enroll'!F$1,FALSE),'District Calculations'!$D$13)*Apport_224A2324s,3)</f>
        <v>3.7029999999999998</v>
      </c>
      <c r="W187">
        <f>ROUND(IF(VLOOKUP($A187,EnrollData2324,'2324 Jun 24 Enroll'!G$1,FALSE)='District Calculations'!$D$14,VLOOKUP($A187,EnrollData2324,'2324 Jun 24 Enroll'!G$1,FALSE),'District Calculations'!$D$14)*Apport_212A2324s,3)</f>
        <v>8.2089999999999996</v>
      </c>
      <c r="X187">
        <f>ROUND(IF(VLOOKUP($A187,EnrollData2324,'2324 Jun 24 Enroll'!H$1,FALSE)='District Calculations'!$D$14,VLOOKUP($A187,EnrollData2324,'2324 Jun 24 Enroll'!H$1,FALSE),'District Calculations'!$D$14)*Apport_215A2324s,3)</f>
        <v>8.0969999999999995</v>
      </c>
      <c r="Y187">
        <f>ROUND(IF(VLOOKUP($A187,EnrollData2324,'2324 Jun 24 Enroll'!I$1,FALSE)+VLOOKUP($A187,EnrollData2324,'2324 Jun 24 Enroll'!M$1,FALSE)-VLOOKUP($A187,EnrollData2324,'2324 Jun 24 Enroll'!J$1,FALSE)='District Calculations'!$D$16+'District Calculations'!$D$25-'District Calculations'!$D$17,VLOOKUP($A187,EnrollData2324,'2324 Jun 24 Enroll'!I$1,FALSE)+VLOOKUP($A187,EnrollData2324,'2324 Jun 24 Enroll'!M$1,FALSE)-VLOOKUP($A187,EnrollData2324,'2324 Jun 24 Enroll'!J$1,FALSE),'District Calculations'!$D$16+'District Calculations'!$D$25-'District Calculations'!$D$17)*Apport_218A2324s,3)</f>
        <v>20.224</v>
      </c>
      <c r="Z187">
        <f>ROUND(SUM(T187:Y187)/IF(VLOOKUP($A187,EnrollData2324,'2324 Jun 24 Enroll'!M$1,FALSE)+VLOOKUP($A187,EnrollData2324,'2324 Jun 24 Enroll'!D$1,FALSE)='District Calculations'!$D$25+'District Calculations'!$D$11,VLOOKUP($A187,EnrollData2324,'2324 Jun 24 Enroll'!M$1,FALSE)+VLOOKUP($A187,EnrollData2324,'2324 Jun 24 Enroll'!D$1,FALSE),'District Calculations'!$D$25+'District Calculations'!$D$11),5)</f>
        <v>1.7749999999999998E-2</v>
      </c>
      <c r="AA187" s="6" cm="1">
        <f t="array" ref="AA187">ROUND($J187*CIS_Base_Salary2324s*VLOOKUP($A187,EnrollData2324,'2324 Jun 24 Enroll'!S$1,FALSE),2)</f>
        <v>4038.59</v>
      </c>
      <c r="AB187" s="6" cm="1">
        <f t="array" ref="AB187">ROUND($J187*CIS_Inc_Salary2324s*(VLOOKUP($A187,EnrollData2324,'2324 Jun 24 Enroll'!T$1,FALSE)+VLOOKUP($A187,EnrollData2324,'2324 Jun 24 Enroll'!U$1,FALSE)),2)-AA187</f>
        <v>149.43000000000029</v>
      </c>
      <c r="AC187" s="6" cm="1">
        <f t="array" ref="AC187">ROUND($R187*CAS_Base_Salary2324s*VLOOKUP($A187,EnrollData2324,'2324 Jun 24 Enroll'!S$1,FALSE),2)</f>
        <v>443.7</v>
      </c>
      <c r="AD187" s="6" cm="1">
        <f t="array" ref="AD187">ROUND($R187*CAS_Inc_Salary2324s*VLOOKUP($A187,EnrollData2324,'2324 Jun 24 Enroll'!T$1,FALSE),2)-AC187</f>
        <v>16.410000000000025</v>
      </c>
      <c r="AE187" s="6" cm="1">
        <f t="array" ref="AE187">ROUND($Z187*CLS_Base_Salary2324s*VLOOKUP($A187,EnrollData2324,'2324 Jun 24 Enroll'!S$1,FALSE),2)</f>
        <v>926.07</v>
      </c>
      <c r="AF187" s="6" cm="1">
        <f t="array" ref="AF187">ROUND($Z187*CLS_Inc_Salary2324s*VLOOKUP($A187,EnrollData2324,'2324 Jun 24 Enroll'!T$1,FALSE),2)-AE187</f>
        <v>34.259999999999991</v>
      </c>
      <c r="AG187" cm="1">
        <f t="array" ref="AG187">ROUND(($J187+$R187)*Apport_124X2324s,2)</f>
        <v>734.29</v>
      </c>
      <c r="AH187" s="69">
        <f t="shared" si="19"/>
        <v>68.700000000000045</v>
      </c>
      <c r="AI187" cm="1">
        <f t="array" ref="AI187">ROUND($Z187*Apport_124X2324s,2)</f>
        <v>218.54</v>
      </c>
      <c r="AJ187" cm="1">
        <f t="array" ref="AJ187">ROUND($Z187*Apport_621X2324s*Apport_125X2324s,2)-AI187</f>
        <v>116.51000000000002</v>
      </c>
      <c r="AK187" cm="1">
        <f t="array" ref="AK187">ROUND((AA187+AC187)*Apport_126X2324s,2)</f>
        <v>805.47</v>
      </c>
      <c r="AL187" cm="1">
        <f t="array" ref="AL187">ROUND((AB187+AD187)*Apport_127X2324s,2)</f>
        <v>28.74</v>
      </c>
      <c r="AM187" cm="1">
        <f t="array" ref="AM187">ROUND(AE187*Apport_128X2324s,2)</f>
        <v>204.29</v>
      </c>
      <c r="AN187" cm="1">
        <f t="array" ref="AN187">ROUND(AF187*Apport_129X2324s,2)</f>
        <v>6.36</v>
      </c>
      <c r="AO187" cm="1">
        <f t="array" ref="AO187">ROUND(($J187*CIS_Inc_Salary2324s*(VLOOKUP($A187,EnrollData2324,'2324 Jun 24 Enroll'!T$1,FALSE)+VLOOKUP($A187,EnrollData2324,'2324 Jun 24 Enroll'!U$1,FALSE))/Apport_613Xpd)*Apport_614Xpd,2)</f>
        <v>69.8</v>
      </c>
      <c r="AP187" cm="1">
        <f t="array" ref="AP187">ROUND(AO187*Apport_127X2324s,2)</f>
        <v>12.1</v>
      </c>
      <c r="AQ187">
        <f t="shared" si="20"/>
        <v>30.93</v>
      </c>
      <c r="AR187" s="6" cm="1">
        <f t="array" ref="AR187">ROUND((VLOOKUP($A187,EnrollData2324,'2324 Jun 24 Enroll'!D$1,FALSE)*Apport_M802324s+VLOOKUP($A187,EnrollData2324,'2324 Jun 24 Enroll'!M$1,FALSE)*Apport_M802324s+(VLOOKUP($A187,EnrollData2324,'2324 Jun 24 Enroll'!P$1,FALSE)+VLOOKUP($A187,EnrollData2324,'2324 Jun 24 Enroll'!Q$1,FALSE)+VLOOKUP($A187,EnrollData2324,'2324 Jun 24 Enroll'!R$1,FALSE)+VLOOKUP($A187,EnrollData2324,'2324 Jun 24 Enroll'!I$1,FALSE)+VLOOKUP($A187,EnrollData2324,'2324 Jun 24 Enroll'!N$1,FALSE)+VLOOKUP($A187,EnrollData2324,'2324 Jun 24 Enroll'!O$1,FALSE)+VLOOKUP($A187,EnrollData2324,'2324 Jun 24 Enroll'!K$1,FALSE)+VLOOKUP($A187,EnrollData2324,'2324 Jun 24 Enroll'!L$1,FALSE))*Apport_M812324s)/(VLOOKUP($A187,EnrollData2324,'2324 Jun 24 Enroll'!M$1,FALSE)+VLOOKUP($A187,EnrollData2324,'2324 Jun 24 Enroll'!D$1,FALSE)),2)</f>
        <v>1669.99</v>
      </c>
      <c r="AS187" s="7">
        <f t="shared" si="21"/>
        <v>9574.18</v>
      </c>
    </row>
    <row r="188" spans="1:45">
      <c r="A188" s="40" t="s">
        <v>655</v>
      </c>
      <c r="B188" s="40" t="s">
        <v>656</v>
      </c>
      <c r="C188" s="11">
        <f>ROUND((IFERROR((1/IF(VLOOKUP($A188,EnrollData2324,28,FALSE)='District Calculations'!$D$10,VLOOKUP($A188,EnrollData2324,28,FALSE),'District Calculations'!$D$10))*(1+Apport_Z315),0))+Apport_201A2324s,6)</f>
        <v>7.3449E-2</v>
      </c>
      <c r="D188">
        <f>ROUND(IF(VLOOKUP($A188,EnrollData2324,'2324 Jun 24 Enroll'!D$1,FALSE)='District Calculations'!$D$11,VLOOKUP($A188,EnrollData2324,'2324 Jun 24 Enroll'!D$1,FALSE),'District Calculations'!$D$11)*C188,3)</f>
        <v>0</v>
      </c>
      <c r="E188">
        <f>ROUND(IF(VLOOKUP($A188,EnrollData2324,'2324 Jun 24 Enroll'!E$1,FALSE)='District Calculations'!$D$12,VLOOKUP($A188,EnrollData2324,'2324 Jun 24 Enroll'!E$1,FALSE),'District Calculations'!$D$12)*C188,3)</f>
        <v>59.53</v>
      </c>
      <c r="F188">
        <f>ROUND(IF(VLOOKUP($A188,EnrollData2324,'2324 Jun 24 Enroll'!F$1,FALSE)='District Calculations'!$D$13,VLOOKUP($A188,EnrollData2324,'2324 Jun 24 Enroll'!F$1,FALSE),'District Calculations'!$D$13)*Apport_222A2324s,3)</f>
        <v>10.101000000000001</v>
      </c>
      <c r="G188">
        <f>ROUND(IF(VLOOKUP($A188,EnrollData2324,'2324 Jun 24 Enroll'!G$1,FALSE)='District Calculations'!$D$14,VLOOKUP($A188,EnrollData2324,'2324 Jun 24 Enroll'!G$1,FALSE),'District Calculations'!$D$14)*Apport_210A2324s,3)</f>
        <v>22.395</v>
      </c>
      <c r="H188">
        <f>ROUND(IF(VLOOKUP($A188,EnrollData2324,'2324 Jun 24 Enroll'!H$1,FALSE)='District Calculations'!$D$15,VLOOKUP($A188,EnrollData2324,'2324 Jun 24 Enroll'!H$1,FALSE),'District Calculations'!$D$15)*Apport_213A2324s,3)</f>
        <v>23.091999999999999</v>
      </c>
      <c r="I188">
        <f>ROUND(IF(VLOOKUP($A188,EnrollData2324,'2324 Jun 24 Enroll'!I$1,FALSE)+VLOOKUP($A188,EnrollData2324,'2324 Jun 24 Enroll'!M$1,FALSE)-VLOOKUP($A188,EnrollData2324,'2324 Jun 24 Enroll'!J$1,FALSE)='District Calculations'!$D$16+'District Calculations'!$D$25-'District Calculations'!$D$17,VLOOKUP($A188,EnrollData2324,'2324 Jun 24 Enroll'!I$1,FALSE)+VLOOKUP($A188,EnrollData2324,'2324 Jun 24 Enroll'!M$1,FALSE)-VLOOKUP($A188,EnrollData2324,'2324 Jun 24 Enroll'!J$1,FALSE),'District Calculations'!$D$16+'District Calculations'!$D$25-'District Calculations'!$D$17)*Apport_216A2324s,3)</f>
        <v>58.183999999999997</v>
      </c>
      <c r="J188">
        <f>ROUND(SUM(D188:I188)/(IF(VLOOKUP($A188,EnrollData2324,'2324 Jun 24 Enroll'!M$1,FALSE)='District Calculations'!$D$25,VLOOKUP($A188,EnrollData2324,'2324 Jun 24 Enroll'!M$1,FALSE),'District Calculations'!$D$25)+IF(VLOOKUP($A188,EnrollData2324,'2324 Jun 24 Enroll'!D$1,FALSE)='District Calculations'!$D$11,VLOOKUP($A188,EnrollData2324,'2324 Jun 24 Enroll'!D$1,FALSE),'District Calculations'!$D$11)),5)</f>
        <v>5.5530000000000003E-2</v>
      </c>
      <c r="K188" s="11">
        <f t="shared" si="17"/>
        <v>4.3699999999999998E-3</v>
      </c>
      <c r="L188">
        <f>ROUND(IF(VLOOKUP($A188,EnrollData2324,'2324 Jun 24 Enroll'!D$1,FALSE)='District Calculations'!$D$11,VLOOKUP($A188,EnrollData2324,'2324 Jun 24 Enroll'!D$1,FALSE),'District Calculations'!$D$11)*K188,3)</f>
        <v>0</v>
      </c>
      <c r="M188">
        <f>ROUND(IF(VLOOKUP($A188,EnrollData2324,'2324 Jun 24 Enroll'!E$1,FALSE)='District Calculations'!$D$12,VLOOKUP($A188,EnrollData2324,'2324 Jun 24 Enroll'!E$1,FALSE),'District Calculations'!$D$12)*K188,3)</f>
        <v>3.5419999999999998</v>
      </c>
      <c r="N188">
        <f>ROUND(IF(VLOOKUP($A188,EnrollData2324,'2324 Jun 24 Enroll'!F$1,FALSE)='District Calculations'!$D$13,VLOOKUP($A188,EnrollData2324,'2324 Jun 24 Enroll'!F$1,FALSE),'District Calculations'!$D$13)*Apport_223A2324s,3)</f>
        <v>0.84299999999999997</v>
      </c>
      <c r="O188">
        <f>ROUND(IF(VLOOKUP($A188,EnrollData2324,'2324 Jun 24 Enroll'!G$1,FALSE)='District Calculations'!$D$14,VLOOKUP($A188,EnrollData2324,'2324 Jun 24 Enroll'!G$1,FALSE),'District Calculations'!$D$14)*Apport_211A2324s,3)</f>
        <v>1.87</v>
      </c>
      <c r="P188">
        <f>ROUND(IF(VLOOKUP($A188,EnrollData2324,'2324 Jun 24 Enroll'!H$1,FALSE)='District Calculations'!$D$14,VLOOKUP($A188,EnrollData2324,'2324 Jun 24 Enroll'!H$1,FALSE),'District Calculations'!$D$14)*Apport_214A2324s,3)</f>
        <v>1.8680000000000001</v>
      </c>
      <c r="Q188">
        <f>ROUND(IF(VLOOKUP($A188,EnrollData2324,'2324 Jun 24 Enroll'!I$1,FALSE)+VLOOKUP($A188,EnrollData2324,'2324 Jun 24 Enroll'!M$1,FALSE)-VLOOKUP($A188,EnrollData2324,'2324 Jun 24 Enroll'!J$1,FALSE)='District Calculations'!$D$16+'District Calculations'!$D$25-'District Calculations'!$D$17,VLOOKUP($A188,EnrollData2324,'2324 Jun 24 Enroll'!I$1,FALSE)+VLOOKUP($A188,EnrollData2324,'2324 Jun 24 Enroll'!M$1,FALSE)-VLOOKUP($A188,EnrollData2324,'2324 Jun 24 Enroll'!J$1,FALSE),'District Calculations'!$D$16+'District Calculations'!$D$25-'District Calculations'!$D$17)*Apport_217A2324s,3)</f>
        <v>4.702</v>
      </c>
      <c r="R188">
        <f>ROUND(SUM(L188:Q188)/IF(VLOOKUP($A188,EnrollData2324,'2324 Jun 24 Enroll'!M$1,FALSE)+VLOOKUP($A188,EnrollData2324,'2324 Jun 24 Enroll'!D$1,FALSE)='District Calculations'!$D$25+'District Calculations'!$D$11,VLOOKUP($A188,EnrollData2324,'2324 Jun 24 Enroll'!M$1,FALSE)+VLOOKUP($A188,EnrollData2324,'2324 Jun 24 Enroll'!D$1,FALSE),'District Calculations'!$D$25+'District Calculations'!$D$11),5)</f>
        <v>4.1099999999999999E-3</v>
      </c>
      <c r="S188" s="11">
        <f t="shared" si="18"/>
        <v>1.8689600000000001E-2</v>
      </c>
      <c r="T188">
        <f>ROUND(IF(VLOOKUP($A188,EnrollData2324,'2324 Jun 24 Enroll'!D$1,FALSE)='District Calculations'!$D$11,VLOOKUP($A188,EnrollData2324,'2324 Jun 24 Enroll'!D$1,FALSE),'District Calculations'!$D$11)*S188,3)</f>
        <v>0</v>
      </c>
      <c r="U188">
        <f>ROUND(IF(VLOOKUP($A188,EnrollData2324,'2324 Jun 24 Enroll'!E$1,FALSE)='District Calculations'!$D$12,VLOOKUP($A188,EnrollData2324,'2324 Jun 24 Enroll'!E$1,FALSE),'District Calculations'!$D$12)*S188,3)</f>
        <v>15.148</v>
      </c>
      <c r="V188">
        <f>ROUND(IF(VLOOKUP($A188,EnrollData2324,'2324 Jun 24 Enroll'!F$1,FALSE)='District Calculations'!$D$13,VLOOKUP($A188,EnrollData2324,'2324 Jun 24 Enroll'!F$1,FALSE),'District Calculations'!$D$13)*Apport_224A2324s,3)</f>
        <v>3.7029999999999998</v>
      </c>
      <c r="W188">
        <f>ROUND(IF(VLOOKUP($A188,EnrollData2324,'2324 Jun 24 Enroll'!G$1,FALSE)='District Calculations'!$D$14,VLOOKUP($A188,EnrollData2324,'2324 Jun 24 Enroll'!G$1,FALSE),'District Calculations'!$D$14)*Apport_212A2324s,3)</f>
        <v>8.2089999999999996</v>
      </c>
      <c r="X188">
        <f>ROUND(IF(VLOOKUP($A188,EnrollData2324,'2324 Jun 24 Enroll'!H$1,FALSE)='District Calculations'!$D$14,VLOOKUP($A188,EnrollData2324,'2324 Jun 24 Enroll'!H$1,FALSE),'District Calculations'!$D$14)*Apport_215A2324s,3)</f>
        <v>8.0969999999999995</v>
      </c>
      <c r="Y188">
        <f>ROUND(IF(VLOOKUP($A188,EnrollData2324,'2324 Jun 24 Enroll'!I$1,FALSE)+VLOOKUP($A188,EnrollData2324,'2324 Jun 24 Enroll'!M$1,FALSE)-VLOOKUP($A188,EnrollData2324,'2324 Jun 24 Enroll'!J$1,FALSE)='District Calculations'!$D$16+'District Calculations'!$D$25-'District Calculations'!$D$17,VLOOKUP($A188,EnrollData2324,'2324 Jun 24 Enroll'!I$1,FALSE)+VLOOKUP($A188,EnrollData2324,'2324 Jun 24 Enroll'!M$1,FALSE)-VLOOKUP($A188,EnrollData2324,'2324 Jun 24 Enroll'!J$1,FALSE),'District Calculations'!$D$16+'District Calculations'!$D$25-'District Calculations'!$D$17)*Apport_218A2324s,3)</f>
        <v>20.224</v>
      </c>
      <c r="Z188">
        <f>ROUND(SUM(T188:Y188)/IF(VLOOKUP($A188,EnrollData2324,'2324 Jun 24 Enroll'!M$1,FALSE)+VLOOKUP($A188,EnrollData2324,'2324 Jun 24 Enroll'!D$1,FALSE)='District Calculations'!$D$25+'District Calculations'!$D$11,VLOOKUP($A188,EnrollData2324,'2324 Jun 24 Enroll'!M$1,FALSE)+VLOOKUP($A188,EnrollData2324,'2324 Jun 24 Enroll'!D$1,FALSE),'District Calculations'!$D$25+'District Calculations'!$D$11),5)</f>
        <v>1.7749999999999998E-2</v>
      </c>
      <c r="AA188" s="6" cm="1">
        <f t="array" ref="AA188">ROUND($J188*CIS_Base_Salary2324s*VLOOKUP($A188,EnrollData2324,'2324 Jun 24 Enroll'!S$1,FALSE),2)</f>
        <v>4038.59</v>
      </c>
      <c r="AB188" s="6" cm="1">
        <f t="array" ref="AB188">ROUND($J188*CIS_Inc_Salary2324s*(VLOOKUP($A188,EnrollData2324,'2324 Jun 24 Enroll'!T$1,FALSE)+VLOOKUP($A188,EnrollData2324,'2324 Jun 24 Enroll'!U$1,FALSE)),2)-AA188</f>
        <v>233.1899999999996</v>
      </c>
      <c r="AC188" s="6" cm="1">
        <f t="array" ref="AC188">ROUND($R188*CAS_Base_Salary2324s*VLOOKUP($A188,EnrollData2324,'2324 Jun 24 Enroll'!S$1,FALSE),2)</f>
        <v>443.7</v>
      </c>
      <c r="AD188" s="6" cm="1">
        <f t="array" ref="AD188">ROUND($R188*CAS_Inc_Salary2324s*VLOOKUP($A188,EnrollData2324,'2324 Jun 24 Enroll'!T$1,FALSE),2)-AC188</f>
        <v>16.410000000000025</v>
      </c>
      <c r="AE188" s="6" cm="1">
        <f t="array" ref="AE188">ROUND($Z188*CLS_Base_Salary2324s*VLOOKUP($A188,EnrollData2324,'2324 Jun 24 Enroll'!S$1,FALSE),2)</f>
        <v>926.07</v>
      </c>
      <c r="AF188" s="6" cm="1">
        <f t="array" ref="AF188">ROUND($Z188*CLS_Inc_Salary2324s*VLOOKUP($A188,EnrollData2324,'2324 Jun 24 Enroll'!T$1,FALSE),2)-AE188</f>
        <v>34.259999999999991</v>
      </c>
      <c r="AG188" cm="1">
        <f t="array" ref="AG188">ROUND(($J188+$R188)*Apport_124X2324s,2)</f>
        <v>734.29</v>
      </c>
      <c r="AH188" s="69">
        <f t="shared" si="19"/>
        <v>68.700000000000045</v>
      </c>
      <c r="AI188" cm="1">
        <f t="array" ref="AI188">ROUND($Z188*Apport_124X2324s,2)</f>
        <v>218.54</v>
      </c>
      <c r="AJ188" cm="1">
        <f t="array" ref="AJ188">ROUND($Z188*Apport_621X2324s*Apport_125X2324s,2)-AI188</f>
        <v>116.51000000000002</v>
      </c>
      <c r="AK188" cm="1">
        <f t="array" ref="AK188">ROUND((AA188+AC188)*Apport_126X2324s,2)</f>
        <v>805.47</v>
      </c>
      <c r="AL188" cm="1">
        <f t="array" ref="AL188">ROUND((AB188+AD188)*Apport_127X2324s,2)</f>
        <v>43.26</v>
      </c>
      <c r="AM188" cm="1">
        <f t="array" ref="AM188">ROUND(AE188*Apport_128X2324s,2)</f>
        <v>204.29</v>
      </c>
      <c r="AN188" cm="1">
        <f t="array" ref="AN188">ROUND(AF188*Apport_129X2324s,2)</f>
        <v>6.36</v>
      </c>
      <c r="AO188" cm="1">
        <f t="array" ref="AO188">ROUND(($J188*CIS_Inc_Salary2324s*(VLOOKUP($A188,EnrollData2324,'2324 Jun 24 Enroll'!T$1,FALSE)+VLOOKUP($A188,EnrollData2324,'2324 Jun 24 Enroll'!U$1,FALSE))/Apport_613Xpd)*Apport_614Xpd,2)</f>
        <v>71.2</v>
      </c>
      <c r="AP188" cm="1">
        <f t="array" ref="AP188">ROUND(AO188*Apport_127X2324s,2)</f>
        <v>12.34</v>
      </c>
      <c r="AQ188">
        <f t="shared" si="20"/>
        <v>30.93</v>
      </c>
      <c r="AR188" s="6" cm="1">
        <f t="array" ref="AR188">ROUND((VLOOKUP($A188,EnrollData2324,'2324 Jun 24 Enroll'!D$1,FALSE)*Apport_M802324s+VLOOKUP($A188,EnrollData2324,'2324 Jun 24 Enroll'!M$1,FALSE)*Apport_M802324s+(VLOOKUP($A188,EnrollData2324,'2324 Jun 24 Enroll'!P$1,FALSE)+VLOOKUP($A188,EnrollData2324,'2324 Jun 24 Enroll'!Q$1,FALSE)+VLOOKUP($A188,EnrollData2324,'2324 Jun 24 Enroll'!R$1,FALSE)+VLOOKUP($A188,EnrollData2324,'2324 Jun 24 Enroll'!I$1,FALSE)+VLOOKUP($A188,EnrollData2324,'2324 Jun 24 Enroll'!N$1,FALSE)+VLOOKUP($A188,EnrollData2324,'2324 Jun 24 Enroll'!O$1,FALSE)+VLOOKUP($A188,EnrollData2324,'2324 Jun 24 Enroll'!K$1,FALSE)+VLOOKUP($A188,EnrollData2324,'2324 Jun 24 Enroll'!L$1,FALSE))*Apport_M812324s)/(VLOOKUP($A188,EnrollData2324,'2324 Jun 24 Enroll'!M$1,FALSE)+VLOOKUP($A188,EnrollData2324,'2324 Jun 24 Enroll'!D$1,FALSE)),2)</f>
        <v>1579.47</v>
      </c>
      <c r="AS188" s="7">
        <f t="shared" si="21"/>
        <v>9583.58</v>
      </c>
    </row>
    <row r="189" spans="1:45">
      <c r="A189" s="40" t="s">
        <v>349</v>
      </c>
      <c r="B189" s="40" t="s">
        <v>350</v>
      </c>
      <c r="C189" s="11">
        <f>ROUND((IFERROR((1/IF(VLOOKUP($A189,EnrollData2324,28,FALSE)='District Calculations'!$D$10,VLOOKUP($A189,EnrollData2324,28,FALSE),'District Calculations'!$D$10))*(1+Apport_Z315),0))+Apport_201A2324s,6)</f>
        <v>7.3449E-2</v>
      </c>
      <c r="D189">
        <f>ROUND(IF(VLOOKUP($A189,EnrollData2324,'2324 Jun 24 Enroll'!D$1,FALSE)='District Calculations'!$D$11,VLOOKUP($A189,EnrollData2324,'2324 Jun 24 Enroll'!D$1,FALSE),'District Calculations'!$D$11)*C189,3)</f>
        <v>0</v>
      </c>
      <c r="E189">
        <f>ROUND(IF(VLOOKUP($A189,EnrollData2324,'2324 Jun 24 Enroll'!E$1,FALSE)='District Calculations'!$D$12,VLOOKUP($A189,EnrollData2324,'2324 Jun 24 Enroll'!E$1,FALSE),'District Calculations'!$D$12)*C189,3)</f>
        <v>59.53</v>
      </c>
      <c r="F189">
        <f>ROUND(IF(VLOOKUP($A189,EnrollData2324,'2324 Jun 24 Enroll'!F$1,FALSE)='District Calculations'!$D$13,VLOOKUP($A189,EnrollData2324,'2324 Jun 24 Enroll'!F$1,FALSE),'District Calculations'!$D$13)*Apport_222A2324s,3)</f>
        <v>10.101000000000001</v>
      </c>
      <c r="G189">
        <f>ROUND(IF(VLOOKUP($A189,EnrollData2324,'2324 Jun 24 Enroll'!G$1,FALSE)='District Calculations'!$D$14,VLOOKUP($A189,EnrollData2324,'2324 Jun 24 Enroll'!G$1,FALSE),'District Calculations'!$D$14)*Apport_210A2324s,3)</f>
        <v>22.395</v>
      </c>
      <c r="H189">
        <f>ROUND(IF(VLOOKUP($A189,EnrollData2324,'2324 Jun 24 Enroll'!H$1,FALSE)='District Calculations'!$D$15,VLOOKUP($A189,EnrollData2324,'2324 Jun 24 Enroll'!H$1,FALSE),'District Calculations'!$D$15)*Apport_213A2324s,3)</f>
        <v>23.091999999999999</v>
      </c>
      <c r="I189">
        <f>ROUND(IF(VLOOKUP($A189,EnrollData2324,'2324 Jun 24 Enroll'!I$1,FALSE)+VLOOKUP($A189,EnrollData2324,'2324 Jun 24 Enroll'!M$1,FALSE)-VLOOKUP($A189,EnrollData2324,'2324 Jun 24 Enroll'!J$1,FALSE)='District Calculations'!$D$16+'District Calculations'!$D$25-'District Calculations'!$D$17,VLOOKUP($A189,EnrollData2324,'2324 Jun 24 Enroll'!I$1,FALSE)+VLOOKUP($A189,EnrollData2324,'2324 Jun 24 Enroll'!M$1,FALSE)-VLOOKUP($A189,EnrollData2324,'2324 Jun 24 Enroll'!J$1,FALSE),'District Calculations'!$D$16+'District Calculations'!$D$25-'District Calculations'!$D$17)*Apport_216A2324s,3)</f>
        <v>58.183999999999997</v>
      </c>
      <c r="J189">
        <f>ROUND(SUM(D189:I189)/(IF(VLOOKUP($A189,EnrollData2324,'2324 Jun 24 Enroll'!M$1,FALSE)='District Calculations'!$D$25,VLOOKUP($A189,EnrollData2324,'2324 Jun 24 Enroll'!M$1,FALSE),'District Calculations'!$D$25)+IF(VLOOKUP($A189,EnrollData2324,'2324 Jun 24 Enroll'!D$1,FALSE)='District Calculations'!$D$11,VLOOKUP($A189,EnrollData2324,'2324 Jun 24 Enroll'!D$1,FALSE),'District Calculations'!$D$11)),5)</f>
        <v>5.5530000000000003E-2</v>
      </c>
      <c r="K189" s="11">
        <f t="shared" si="17"/>
        <v>4.3699999999999998E-3</v>
      </c>
      <c r="L189">
        <f>ROUND(IF(VLOOKUP($A189,EnrollData2324,'2324 Jun 24 Enroll'!D$1,FALSE)='District Calculations'!$D$11,VLOOKUP($A189,EnrollData2324,'2324 Jun 24 Enroll'!D$1,FALSE),'District Calculations'!$D$11)*K189,3)</f>
        <v>0</v>
      </c>
      <c r="M189">
        <f>ROUND(IF(VLOOKUP($A189,EnrollData2324,'2324 Jun 24 Enroll'!E$1,FALSE)='District Calculations'!$D$12,VLOOKUP($A189,EnrollData2324,'2324 Jun 24 Enroll'!E$1,FALSE),'District Calculations'!$D$12)*K189,3)</f>
        <v>3.5419999999999998</v>
      </c>
      <c r="N189">
        <f>ROUND(IF(VLOOKUP($A189,EnrollData2324,'2324 Jun 24 Enroll'!F$1,FALSE)='District Calculations'!$D$13,VLOOKUP($A189,EnrollData2324,'2324 Jun 24 Enroll'!F$1,FALSE),'District Calculations'!$D$13)*Apport_223A2324s,3)</f>
        <v>0.84299999999999997</v>
      </c>
      <c r="O189">
        <f>ROUND(IF(VLOOKUP($A189,EnrollData2324,'2324 Jun 24 Enroll'!G$1,FALSE)='District Calculations'!$D$14,VLOOKUP($A189,EnrollData2324,'2324 Jun 24 Enroll'!G$1,FALSE),'District Calculations'!$D$14)*Apport_211A2324s,3)</f>
        <v>1.87</v>
      </c>
      <c r="P189">
        <f>ROUND(IF(VLOOKUP($A189,EnrollData2324,'2324 Jun 24 Enroll'!H$1,FALSE)='District Calculations'!$D$14,VLOOKUP($A189,EnrollData2324,'2324 Jun 24 Enroll'!H$1,FALSE),'District Calculations'!$D$14)*Apport_214A2324s,3)</f>
        <v>1.8680000000000001</v>
      </c>
      <c r="Q189">
        <f>ROUND(IF(VLOOKUP($A189,EnrollData2324,'2324 Jun 24 Enroll'!I$1,FALSE)+VLOOKUP($A189,EnrollData2324,'2324 Jun 24 Enroll'!M$1,FALSE)-VLOOKUP($A189,EnrollData2324,'2324 Jun 24 Enroll'!J$1,FALSE)='District Calculations'!$D$16+'District Calculations'!$D$25-'District Calculations'!$D$17,VLOOKUP($A189,EnrollData2324,'2324 Jun 24 Enroll'!I$1,FALSE)+VLOOKUP($A189,EnrollData2324,'2324 Jun 24 Enroll'!M$1,FALSE)-VLOOKUP($A189,EnrollData2324,'2324 Jun 24 Enroll'!J$1,FALSE),'District Calculations'!$D$16+'District Calculations'!$D$25-'District Calculations'!$D$17)*Apport_217A2324s,3)</f>
        <v>4.702</v>
      </c>
      <c r="R189">
        <f>ROUND(SUM(L189:Q189)/IF(VLOOKUP($A189,EnrollData2324,'2324 Jun 24 Enroll'!M$1,FALSE)+VLOOKUP($A189,EnrollData2324,'2324 Jun 24 Enroll'!D$1,FALSE)='District Calculations'!$D$25+'District Calculations'!$D$11,VLOOKUP($A189,EnrollData2324,'2324 Jun 24 Enroll'!M$1,FALSE)+VLOOKUP($A189,EnrollData2324,'2324 Jun 24 Enroll'!D$1,FALSE),'District Calculations'!$D$25+'District Calculations'!$D$11),5)</f>
        <v>4.1099999999999999E-3</v>
      </c>
      <c r="S189" s="11">
        <f t="shared" si="18"/>
        <v>1.8689600000000001E-2</v>
      </c>
      <c r="T189">
        <f>ROUND(IF(VLOOKUP($A189,EnrollData2324,'2324 Jun 24 Enroll'!D$1,FALSE)='District Calculations'!$D$11,VLOOKUP($A189,EnrollData2324,'2324 Jun 24 Enroll'!D$1,FALSE),'District Calculations'!$D$11)*S189,3)</f>
        <v>0</v>
      </c>
      <c r="U189">
        <f>ROUND(IF(VLOOKUP($A189,EnrollData2324,'2324 Jun 24 Enroll'!E$1,FALSE)='District Calculations'!$D$12,VLOOKUP($A189,EnrollData2324,'2324 Jun 24 Enroll'!E$1,FALSE),'District Calculations'!$D$12)*S189,3)</f>
        <v>15.148</v>
      </c>
      <c r="V189">
        <f>ROUND(IF(VLOOKUP($A189,EnrollData2324,'2324 Jun 24 Enroll'!F$1,FALSE)='District Calculations'!$D$13,VLOOKUP($A189,EnrollData2324,'2324 Jun 24 Enroll'!F$1,FALSE),'District Calculations'!$D$13)*Apport_224A2324s,3)</f>
        <v>3.7029999999999998</v>
      </c>
      <c r="W189">
        <f>ROUND(IF(VLOOKUP($A189,EnrollData2324,'2324 Jun 24 Enroll'!G$1,FALSE)='District Calculations'!$D$14,VLOOKUP($A189,EnrollData2324,'2324 Jun 24 Enroll'!G$1,FALSE),'District Calculations'!$D$14)*Apport_212A2324s,3)</f>
        <v>8.2089999999999996</v>
      </c>
      <c r="X189">
        <f>ROUND(IF(VLOOKUP($A189,EnrollData2324,'2324 Jun 24 Enroll'!H$1,FALSE)='District Calculations'!$D$14,VLOOKUP($A189,EnrollData2324,'2324 Jun 24 Enroll'!H$1,FALSE),'District Calculations'!$D$14)*Apport_215A2324s,3)</f>
        <v>8.0969999999999995</v>
      </c>
      <c r="Y189">
        <f>ROUND(IF(VLOOKUP($A189,EnrollData2324,'2324 Jun 24 Enroll'!I$1,FALSE)+VLOOKUP($A189,EnrollData2324,'2324 Jun 24 Enroll'!M$1,FALSE)-VLOOKUP($A189,EnrollData2324,'2324 Jun 24 Enroll'!J$1,FALSE)='District Calculations'!$D$16+'District Calculations'!$D$25-'District Calculations'!$D$17,VLOOKUP($A189,EnrollData2324,'2324 Jun 24 Enroll'!I$1,FALSE)+VLOOKUP($A189,EnrollData2324,'2324 Jun 24 Enroll'!M$1,FALSE)-VLOOKUP($A189,EnrollData2324,'2324 Jun 24 Enroll'!J$1,FALSE),'District Calculations'!$D$16+'District Calculations'!$D$25-'District Calculations'!$D$17)*Apport_218A2324s,3)</f>
        <v>20.224</v>
      </c>
      <c r="Z189">
        <f>ROUND(SUM(T189:Y189)/IF(VLOOKUP($A189,EnrollData2324,'2324 Jun 24 Enroll'!M$1,FALSE)+VLOOKUP($A189,EnrollData2324,'2324 Jun 24 Enroll'!D$1,FALSE)='District Calculations'!$D$25+'District Calculations'!$D$11,VLOOKUP($A189,EnrollData2324,'2324 Jun 24 Enroll'!M$1,FALSE)+VLOOKUP($A189,EnrollData2324,'2324 Jun 24 Enroll'!D$1,FALSE),'District Calculations'!$D$25+'District Calculations'!$D$11),5)</f>
        <v>1.7749999999999998E-2</v>
      </c>
      <c r="AA189" s="6" cm="1">
        <f t="array" ref="AA189">ROUND($J189*CIS_Base_Salary2324s*VLOOKUP($A189,EnrollData2324,'2324 Jun 24 Enroll'!S$1,FALSE),2)</f>
        <v>4038.59</v>
      </c>
      <c r="AB189" s="6" cm="1">
        <f t="array" ref="AB189">ROUND($J189*CIS_Inc_Salary2324s*(VLOOKUP($A189,EnrollData2324,'2324 Jun 24 Enroll'!T$1,FALSE)+VLOOKUP($A189,EnrollData2324,'2324 Jun 24 Enroll'!U$1,FALSE)),2)-AA189</f>
        <v>149.43000000000029</v>
      </c>
      <c r="AC189" s="6" cm="1">
        <f t="array" ref="AC189">ROUND($R189*CAS_Base_Salary2324s*VLOOKUP($A189,EnrollData2324,'2324 Jun 24 Enroll'!S$1,FALSE),2)</f>
        <v>443.7</v>
      </c>
      <c r="AD189" s="6" cm="1">
        <f t="array" ref="AD189">ROUND($R189*CAS_Inc_Salary2324s*VLOOKUP($A189,EnrollData2324,'2324 Jun 24 Enroll'!T$1,FALSE),2)-AC189</f>
        <v>16.410000000000025</v>
      </c>
      <c r="AE189" s="6" cm="1">
        <f t="array" ref="AE189">ROUND($Z189*CLS_Base_Salary2324s*VLOOKUP($A189,EnrollData2324,'2324 Jun 24 Enroll'!S$1,FALSE),2)</f>
        <v>926.07</v>
      </c>
      <c r="AF189" s="6" cm="1">
        <f t="array" ref="AF189">ROUND($Z189*CLS_Inc_Salary2324s*VLOOKUP($A189,EnrollData2324,'2324 Jun 24 Enroll'!T$1,FALSE),2)-AE189</f>
        <v>34.259999999999991</v>
      </c>
      <c r="AG189" cm="1">
        <f t="array" ref="AG189">ROUND(($J189+$R189)*Apport_124X2324s,2)</f>
        <v>734.29</v>
      </c>
      <c r="AH189" s="69">
        <f t="shared" si="19"/>
        <v>68.700000000000045</v>
      </c>
      <c r="AI189" cm="1">
        <f t="array" ref="AI189">ROUND($Z189*Apport_124X2324s,2)</f>
        <v>218.54</v>
      </c>
      <c r="AJ189" cm="1">
        <f t="array" ref="AJ189">ROUND($Z189*Apport_621X2324s*Apport_125X2324s,2)-AI189</f>
        <v>116.51000000000002</v>
      </c>
      <c r="AK189" cm="1">
        <f t="array" ref="AK189">ROUND((AA189+AC189)*Apport_126X2324s,2)</f>
        <v>805.47</v>
      </c>
      <c r="AL189" cm="1">
        <f t="array" ref="AL189">ROUND((AB189+AD189)*Apport_127X2324s,2)</f>
        <v>28.74</v>
      </c>
      <c r="AM189" cm="1">
        <f t="array" ref="AM189">ROUND(AE189*Apport_128X2324s,2)</f>
        <v>204.29</v>
      </c>
      <c r="AN189" cm="1">
        <f t="array" ref="AN189">ROUND(AF189*Apport_129X2324s,2)</f>
        <v>6.36</v>
      </c>
      <c r="AO189" cm="1">
        <f t="array" ref="AO189">ROUND(($J189*CIS_Inc_Salary2324s*(VLOOKUP($A189,EnrollData2324,'2324 Jun 24 Enroll'!T$1,FALSE)+VLOOKUP($A189,EnrollData2324,'2324 Jun 24 Enroll'!U$1,FALSE))/Apport_613Xpd)*Apport_614Xpd,2)</f>
        <v>69.8</v>
      </c>
      <c r="AP189" cm="1">
        <f t="array" ref="AP189">ROUND(AO189*Apport_127X2324s,2)</f>
        <v>12.1</v>
      </c>
      <c r="AQ189">
        <f t="shared" si="20"/>
        <v>30.93</v>
      </c>
      <c r="AR189" s="6" cm="1">
        <f t="array" ref="AR189">ROUND((VLOOKUP($A189,EnrollData2324,'2324 Jun 24 Enroll'!D$1,FALSE)*Apport_M802324s+VLOOKUP($A189,EnrollData2324,'2324 Jun 24 Enroll'!M$1,FALSE)*Apport_M802324s+(VLOOKUP($A189,EnrollData2324,'2324 Jun 24 Enroll'!P$1,FALSE)+VLOOKUP($A189,EnrollData2324,'2324 Jun 24 Enroll'!Q$1,FALSE)+VLOOKUP($A189,EnrollData2324,'2324 Jun 24 Enroll'!R$1,FALSE)+VLOOKUP($A189,EnrollData2324,'2324 Jun 24 Enroll'!I$1,FALSE)+VLOOKUP($A189,EnrollData2324,'2324 Jun 24 Enroll'!N$1,FALSE)+VLOOKUP($A189,EnrollData2324,'2324 Jun 24 Enroll'!O$1,FALSE)+VLOOKUP($A189,EnrollData2324,'2324 Jun 24 Enroll'!K$1,FALSE)+VLOOKUP($A189,EnrollData2324,'2324 Jun 24 Enroll'!L$1,FALSE))*Apport_M812324s)/(VLOOKUP($A189,EnrollData2324,'2324 Jun 24 Enroll'!M$1,FALSE)+VLOOKUP($A189,EnrollData2324,'2324 Jun 24 Enroll'!D$1,FALSE)),2)</f>
        <v>1573.71</v>
      </c>
      <c r="AS189" s="7">
        <f t="shared" si="21"/>
        <v>9477.9000000000015</v>
      </c>
    </row>
    <row r="190" spans="1:45">
      <c r="A190" s="40" t="s">
        <v>683</v>
      </c>
      <c r="B190" s="40" t="s">
        <v>684</v>
      </c>
      <c r="C190" s="11">
        <f>ROUND((IFERROR((1/IF(VLOOKUP($A190,EnrollData2324,28,FALSE)='District Calculations'!$D$10,VLOOKUP($A190,EnrollData2324,28,FALSE),'District Calculations'!$D$10))*(1+Apport_Z315),0))+Apport_201A2324s,6)</f>
        <v>7.3449E-2</v>
      </c>
      <c r="D190">
        <f>ROUND(IF(VLOOKUP($A190,EnrollData2324,'2324 Jun 24 Enroll'!D$1,FALSE)='District Calculations'!$D$11,VLOOKUP($A190,EnrollData2324,'2324 Jun 24 Enroll'!D$1,FALSE),'District Calculations'!$D$11)*C190,3)</f>
        <v>0</v>
      </c>
      <c r="E190">
        <f>ROUND(IF(VLOOKUP($A190,EnrollData2324,'2324 Jun 24 Enroll'!E$1,FALSE)='District Calculations'!$D$12,VLOOKUP($A190,EnrollData2324,'2324 Jun 24 Enroll'!E$1,FALSE),'District Calculations'!$D$12)*C190,3)</f>
        <v>59.53</v>
      </c>
      <c r="F190">
        <f>ROUND(IF(VLOOKUP($A190,EnrollData2324,'2324 Jun 24 Enroll'!F$1,FALSE)='District Calculations'!$D$13,VLOOKUP($A190,EnrollData2324,'2324 Jun 24 Enroll'!F$1,FALSE),'District Calculations'!$D$13)*Apport_222A2324s,3)</f>
        <v>10.101000000000001</v>
      </c>
      <c r="G190">
        <f>ROUND(IF(VLOOKUP($A190,EnrollData2324,'2324 Jun 24 Enroll'!G$1,FALSE)='District Calculations'!$D$14,VLOOKUP($A190,EnrollData2324,'2324 Jun 24 Enroll'!G$1,FALSE),'District Calculations'!$D$14)*Apport_210A2324s,3)</f>
        <v>22.395</v>
      </c>
      <c r="H190">
        <f>ROUND(IF(VLOOKUP($A190,EnrollData2324,'2324 Jun 24 Enroll'!H$1,FALSE)='District Calculations'!$D$15,VLOOKUP($A190,EnrollData2324,'2324 Jun 24 Enroll'!H$1,FALSE),'District Calculations'!$D$15)*Apport_213A2324s,3)</f>
        <v>23.091999999999999</v>
      </c>
      <c r="I190">
        <f>ROUND(IF(VLOOKUP($A190,EnrollData2324,'2324 Jun 24 Enroll'!I$1,FALSE)+VLOOKUP($A190,EnrollData2324,'2324 Jun 24 Enroll'!M$1,FALSE)-VLOOKUP($A190,EnrollData2324,'2324 Jun 24 Enroll'!J$1,FALSE)='District Calculations'!$D$16+'District Calculations'!$D$25-'District Calculations'!$D$17,VLOOKUP($A190,EnrollData2324,'2324 Jun 24 Enroll'!I$1,FALSE)+VLOOKUP($A190,EnrollData2324,'2324 Jun 24 Enroll'!M$1,FALSE)-VLOOKUP($A190,EnrollData2324,'2324 Jun 24 Enroll'!J$1,FALSE),'District Calculations'!$D$16+'District Calculations'!$D$25-'District Calculations'!$D$17)*Apport_216A2324s,3)</f>
        <v>58.183999999999997</v>
      </c>
      <c r="J190">
        <f>ROUND(SUM(D190:I190)/(IF(VLOOKUP($A190,EnrollData2324,'2324 Jun 24 Enroll'!M$1,FALSE)='District Calculations'!$D$25,VLOOKUP($A190,EnrollData2324,'2324 Jun 24 Enroll'!M$1,FALSE),'District Calculations'!$D$25)+IF(VLOOKUP($A190,EnrollData2324,'2324 Jun 24 Enroll'!D$1,FALSE)='District Calculations'!$D$11,VLOOKUP($A190,EnrollData2324,'2324 Jun 24 Enroll'!D$1,FALSE),'District Calculations'!$D$11)),5)</f>
        <v>5.5530000000000003E-2</v>
      </c>
      <c r="K190" s="11">
        <f t="shared" si="17"/>
        <v>4.3699999999999998E-3</v>
      </c>
      <c r="L190">
        <f>ROUND(IF(VLOOKUP($A190,EnrollData2324,'2324 Jun 24 Enroll'!D$1,FALSE)='District Calculations'!$D$11,VLOOKUP($A190,EnrollData2324,'2324 Jun 24 Enroll'!D$1,FALSE),'District Calculations'!$D$11)*K190,3)</f>
        <v>0</v>
      </c>
      <c r="M190">
        <f>ROUND(IF(VLOOKUP($A190,EnrollData2324,'2324 Jun 24 Enroll'!E$1,FALSE)='District Calculations'!$D$12,VLOOKUP($A190,EnrollData2324,'2324 Jun 24 Enroll'!E$1,FALSE),'District Calculations'!$D$12)*K190,3)</f>
        <v>3.5419999999999998</v>
      </c>
      <c r="N190">
        <f>ROUND(IF(VLOOKUP($A190,EnrollData2324,'2324 Jun 24 Enroll'!F$1,FALSE)='District Calculations'!$D$13,VLOOKUP($A190,EnrollData2324,'2324 Jun 24 Enroll'!F$1,FALSE),'District Calculations'!$D$13)*Apport_223A2324s,3)</f>
        <v>0.84299999999999997</v>
      </c>
      <c r="O190">
        <f>ROUND(IF(VLOOKUP($A190,EnrollData2324,'2324 Jun 24 Enroll'!G$1,FALSE)='District Calculations'!$D$14,VLOOKUP($A190,EnrollData2324,'2324 Jun 24 Enroll'!G$1,FALSE),'District Calculations'!$D$14)*Apport_211A2324s,3)</f>
        <v>1.87</v>
      </c>
      <c r="P190">
        <f>ROUND(IF(VLOOKUP($A190,EnrollData2324,'2324 Jun 24 Enroll'!H$1,FALSE)='District Calculations'!$D$14,VLOOKUP($A190,EnrollData2324,'2324 Jun 24 Enroll'!H$1,FALSE),'District Calculations'!$D$14)*Apport_214A2324s,3)</f>
        <v>1.8680000000000001</v>
      </c>
      <c r="Q190">
        <f>ROUND(IF(VLOOKUP($A190,EnrollData2324,'2324 Jun 24 Enroll'!I$1,FALSE)+VLOOKUP($A190,EnrollData2324,'2324 Jun 24 Enroll'!M$1,FALSE)-VLOOKUP($A190,EnrollData2324,'2324 Jun 24 Enroll'!J$1,FALSE)='District Calculations'!$D$16+'District Calculations'!$D$25-'District Calculations'!$D$17,VLOOKUP($A190,EnrollData2324,'2324 Jun 24 Enroll'!I$1,FALSE)+VLOOKUP($A190,EnrollData2324,'2324 Jun 24 Enroll'!M$1,FALSE)-VLOOKUP($A190,EnrollData2324,'2324 Jun 24 Enroll'!J$1,FALSE),'District Calculations'!$D$16+'District Calculations'!$D$25-'District Calculations'!$D$17)*Apport_217A2324s,3)</f>
        <v>4.702</v>
      </c>
      <c r="R190">
        <f>ROUND(SUM(L190:Q190)/IF(VLOOKUP($A190,EnrollData2324,'2324 Jun 24 Enroll'!M$1,FALSE)+VLOOKUP($A190,EnrollData2324,'2324 Jun 24 Enroll'!D$1,FALSE)='District Calculations'!$D$25+'District Calculations'!$D$11,VLOOKUP($A190,EnrollData2324,'2324 Jun 24 Enroll'!M$1,FALSE)+VLOOKUP($A190,EnrollData2324,'2324 Jun 24 Enroll'!D$1,FALSE),'District Calculations'!$D$25+'District Calculations'!$D$11),5)</f>
        <v>4.1099999999999999E-3</v>
      </c>
      <c r="S190" s="11">
        <f t="shared" si="18"/>
        <v>1.8689600000000001E-2</v>
      </c>
      <c r="T190">
        <f>ROUND(IF(VLOOKUP($A190,EnrollData2324,'2324 Jun 24 Enroll'!D$1,FALSE)='District Calculations'!$D$11,VLOOKUP($A190,EnrollData2324,'2324 Jun 24 Enroll'!D$1,FALSE),'District Calculations'!$D$11)*S190,3)</f>
        <v>0</v>
      </c>
      <c r="U190">
        <f>ROUND(IF(VLOOKUP($A190,EnrollData2324,'2324 Jun 24 Enroll'!E$1,FALSE)='District Calculations'!$D$12,VLOOKUP($A190,EnrollData2324,'2324 Jun 24 Enroll'!E$1,FALSE),'District Calculations'!$D$12)*S190,3)</f>
        <v>15.148</v>
      </c>
      <c r="V190">
        <f>ROUND(IF(VLOOKUP($A190,EnrollData2324,'2324 Jun 24 Enroll'!F$1,FALSE)='District Calculations'!$D$13,VLOOKUP($A190,EnrollData2324,'2324 Jun 24 Enroll'!F$1,FALSE),'District Calculations'!$D$13)*Apport_224A2324s,3)</f>
        <v>3.7029999999999998</v>
      </c>
      <c r="W190">
        <f>ROUND(IF(VLOOKUP($A190,EnrollData2324,'2324 Jun 24 Enroll'!G$1,FALSE)='District Calculations'!$D$14,VLOOKUP($A190,EnrollData2324,'2324 Jun 24 Enroll'!G$1,FALSE),'District Calculations'!$D$14)*Apport_212A2324s,3)</f>
        <v>8.2089999999999996</v>
      </c>
      <c r="X190">
        <f>ROUND(IF(VLOOKUP($A190,EnrollData2324,'2324 Jun 24 Enroll'!H$1,FALSE)='District Calculations'!$D$14,VLOOKUP($A190,EnrollData2324,'2324 Jun 24 Enroll'!H$1,FALSE),'District Calculations'!$D$14)*Apport_215A2324s,3)</f>
        <v>8.0969999999999995</v>
      </c>
      <c r="Y190">
        <f>ROUND(IF(VLOOKUP($A190,EnrollData2324,'2324 Jun 24 Enroll'!I$1,FALSE)+VLOOKUP($A190,EnrollData2324,'2324 Jun 24 Enroll'!M$1,FALSE)-VLOOKUP($A190,EnrollData2324,'2324 Jun 24 Enroll'!J$1,FALSE)='District Calculations'!$D$16+'District Calculations'!$D$25-'District Calculations'!$D$17,VLOOKUP($A190,EnrollData2324,'2324 Jun 24 Enroll'!I$1,FALSE)+VLOOKUP($A190,EnrollData2324,'2324 Jun 24 Enroll'!M$1,FALSE)-VLOOKUP($A190,EnrollData2324,'2324 Jun 24 Enroll'!J$1,FALSE),'District Calculations'!$D$16+'District Calculations'!$D$25-'District Calculations'!$D$17)*Apport_218A2324s,3)</f>
        <v>20.224</v>
      </c>
      <c r="Z190">
        <f>ROUND(SUM(T190:Y190)/IF(VLOOKUP($A190,EnrollData2324,'2324 Jun 24 Enroll'!M$1,FALSE)+VLOOKUP($A190,EnrollData2324,'2324 Jun 24 Enroll'!D$1,FALSE)='District Calculations'!$D$25+'District Calculations'!$D$11,VLOOKUP($A190,EnrollData2324,'2324 Jun 24 Enroll'!M$1,FALSE)+VLOOKUP($A190,EnrollData2324,'2324 Jun 24 Enroll'!D$1,FALSE),'District Calculations'!$D$25+'District Calculations'!$D$11),5)</f>
        <v>1.7749999999999998E-2</v>
      </c>
      <c r="AA190" s="6" cm="1">
        <f t="array" ref="AA190">ROUND($J190*CIS_Base_Salary2324s*VLOOKUP($A190,EnrollData2324,'2324 Jun 24 Enroll'!S$1,FALSE),2)</f>
        <v>4038.59</v>
      </c>
      <c r="AB190" s="6" cm="1">
        <f t="array" ref="AB190">ROUND($J190*CIS_Inc_Salary2324s*(VLOOKUP($A190,EnrollData2324,'2324 Jun 24 Enroll'!T$1,FALSE)+VLOOKUP($A190,EnrollData2324,'2324 Jun 24 Enroll'!U$1,FALSE)),2)-AA190</f>
        <v>233.1899999999996</v>
      </c>
      <c r="AC190" s="6" cm="1">
        <f t="array" ref="AC190">ROUND($R190*CAS_Base_Salary2324s*VLOOKUP($A190,EnrollData2324,'2324 Jun 24 Enroll'!S$1,FALSE),2)</f>
        <v>443.7</v>
      </c>
      <c r="AD190" s="6" cm="1">
        <f t="array" ref="AD190">ROUND($R190*CAS_Inc_Salary2324s*VLOOKUP($A190,EnrollData2324,'2324 Jun 24 Enroll'!T$1,FALSE),2)-AC190</f>
        <v>16.410000000000025</v>
      </c>
      <c r="AE190" s="6" cm="1">
        <f t="array" ref="AE190">ROUND($Z190*CLS_Base_Salary2324s*VLOOKUP($A190,EnrollData2324,'2324 Jun 24 Enroll'!S$1,FALSE),2)</f>
        <v>926.07</v>
      </c>
      <c r="AF190" s="6" cm="1">
        <f t="array" ref="AF190">ROUND($Z190*CLS_Inc_Salary2324s*VLOOKUP($A190,EnrollData2324,'2324 Jun 24 Enroll'!T$1,FALSE),2)-AE190</f>
        <v>34.259999999999991</v>
      </c>
      <c r="AG190" cm="1">
        <f t="array" ref="AG190">ROUND(($J190+$R190)*Apport_124X2324s,2)</f>
        <v>734.29</v>
      </c>
      <c r="AH190" s="69">
        <f t="shared" si="19"/>
        <v>68.700000000000045</v>
      </c>
      <c r="AI190" cm="1">
        <f t="array" ref="AI190">ROUND($Z190*Apport_124X2324s,2)</f>
        <v>218.54</v>
      </c>
      <c r="AJ190" cm="1">
        <f t="array" ref="AJ190">ROUND($Z190*Apport_621X2324s*Apport_125X2324s,2)-AI190</f>
        <v>116.51000000000002</v>
      </c>
      <c r="AK190" cm="1">
        <f t="array" ref="AK190">ROUND((AA190+AC190)*Apport_126X2324s,2)</f>
        <v>805.47</v>
      </c>
      <c r="AL190" cm="1">
        <f t="array" ref="AL190">ROUND((AB190+AD190)*Apport_127X2324s,2)</f>
        <v>43.26</v>
      </c>
      <c r="AM190" cm="1">
        <f t="array" ref="AM190">ROUND(AE190*Apport_128X2324s,2)</f>
        <v>204.29</v>
      </c>
      <c r="AN190" cm="1">
        <f t="array" ref="AN190">ROUND(AF190*Apport_129X2324s,2)</f>
        <v>6.36</v>
      </c>
      <c r="AO190" cm="1">
        <f t="array" ref="AO190">ROUND(($J190*CIS_Inc_Salary2324s*(VLOOKUP($A190,EnrollData2324,'2324 Jun 24 Enroll'!T$1,FALSE)+VLOOKUP($A190,EnrollData2324,'2324 Jun 24 Enroll'!U$1,FALSE))/Apport_613Xpd)*Apport_614Xpd,2)</f>
        <v>71.2</v>
      </c>
      <c r="AP190" cm="1">
        <f t="array" ref="AP190">ROUND(AO190*Apport_127X2324s,2)</f>
        <v>12.34</v>
      </c>
      <c r="AQ190">
        <f t="shared" si="20"/>
        <v>30.93</v>
      </c>
      <c r="AR190" s="6" cm="1">
        <f t="array" ref="AR190">ROUND((VLOOKUP($A190,EnrollData2324,'2324 Jun 24 Enroll'!D$1,FALSE)*Apport_M802324s+VLOOKUP($A190,EnrollData2324,'2324 Jun 24 Enroll'!M$1,FALSE)*Apport_M802324s+(VLOOKUP($A190,EnrollData2324,'2324 Jun 24 Enroll'!P$1,FALSE)+VLOOKUP($A190,EnrollData2324,'2324 Jun 24 Enroll'!Q$1,FALSE)+VLOOKUP($A190,EnrollData2324,'2324 Jun 24 Enroll'!R$1,FALSE)+VLOOKUP($A190,EnrollData2324,'2324 Jun 24 Enroll'!I$1,FALSE)+VLOOKUP($A190,EnrollData2324,'2324 Jun 24 Enroll'!N$1,FALSE)+VLOOKUP($A190,EnrollData2324,'2324 Jun 24 Enroll'!O$1,FALSE)+VLOOKUP($A190,EnrollData2324,'2324 Jun 24 Enroll'!K$1,FALSE)+VLOOKUP($A190,EnrollData2324,'2324 Jun 24 Enroll'!L$1,FALSE))*Apport_M812324s)/(VLOOKUP($A190,EnrollData2324,'2324 Jun 24 Enroll'!M$1,FALSE)+VLOOKUP($A190,EnrollData2324,'2324 Jun 24 Enroll'!D$1,FALSE)),2)</f>
        <v>1568.06</v>
      </c>
      <c r="AS190" s="7">
        <f t="shared" si="21"/>
        <v>9572.17</v>
      </c>
    </row>
    <row r="191" spans="1:45">
      <c r="A191" s="40" t="s">
        <v>823</v>
      </c>
      <c r="B191" s="40" t="s">
        <v>824</v>
      </c>
      <c r="C191" s="11">
        <f>ROUND((IFERROR((1/IF(VLOOKUP($A191,EnrollData2324,28,FALSE)='District Calculations'!$D$10,VLOOKUP($A191,EnrollData2324,28,FALSE),'District Calculations'!$D$10))*(1+Apport_Z315),0))+Apport_201A2324s,6)</f>
        <v>7.3449E-2</v>
      </c>
      <c r="D191">
        <f>ROUND(IF(VLOOKUP($A191,EnrollData2324,'2324 Jun 24 Enroll'!D$1,FALSE)='District Calculations'!$D$11,VLOOKUP($A191,EnrollData2324,'2324 Jun 24 Enroll'!D$1,FALSE),'District Calculations'!$D$11)*C191,3)</f>
        <v>0</v>
      </c>
      <c r="E191">
        <f>ROUND(IF(VLOOKUP($A191,EnrollData2324,'2324 Jun 24 Enroll'!E$1,FALSE)='District Calculations'!$D$12,VLOOKUP($A191,EnrollData2324,'2324 Jun 24 Enroll'!E$1,FALSE),'District Calculations'!$D$12)*C191,3)</f>
        <v>59.53</v>
      </c>
      <c r="F191">
        <f>ROUND(IF(VLOOKUP($A191,EnrollData2324,'2324 Jun 24 Enroll'!F$1,FALSE)='District Calculations'!$D$13,VLOOKUP($A191,EnrollData2324,'2324 Jun 24 Enroll'!F$1,FALSE),'District Calculations'!$D$13)*Apport_222A2324s,3)</f>
        <v>10.101000000000001</v>
      </c>
      <c r="G191">
        <f>ROUND(IF(VLOOKUP($A191,EnrollData2324,'2324 Jun 24 Enroll'!G$1,FALSE)='District Calculations'!$D$14,VLOOKUP($A191,EnrollData2324,'2324 Jun 24 Enroll'!G$1,FALSE),'District Calculations'!$D$14)*Apport_210A2324s,3)</f>
        <v>22.395</v>
      </c>
      <c r="H191">
        <f>ROUND(IF(VLOOKUP($A191,EnrollData2324,'2324 Jun 24 Enroll'!H$1,FALSE)='District Calculations'!$D$15,VLOOKUP($A191,EnrollData2324,'2324 Jun 24 Enroll'!H$1,FALSE),'District Calculations'!$D$15)*Apport_213A2324s,3)</f>
        <v>23.091999999999999</v>
      </c>
      <c r="I191">
        <f>ROUND(IF(VLOOKUP($A191,EnrollData2324,'2324 Jun 24 Enroll'!I$1,FALSE)+VLOOKUP($A191,EnrollData2324,'2324 Jun 24 Enroll'!M$1,FALSE)-VLOOKUP($A191,EnrollData2324,'2324 Jun 24 Enroll'!J$1,FALSE)='District Calculations'!$D$16+'District Calculations'!$D$25-'District Calculations'!$D$17,VLOOKUP($A191,EnrollData2324,'2324 Jun 24 Enroll'!I$1,FALSE)+VLOOKUP($A191,EnrollData2324,'2324 Jun 24 Enroll'!M$1,FALSE)-VLOOKUP($A191,EnrollData2324,'2324 Jun 24 Enroll'!J$1,FALSE),'District Calculations'!$D$16+'District Calculations'!$D$25-'District Calculations'!$D$17)*Apport_216A2324s,3)</f>
        <v>58.183999999999997</v>
      </c>
      <c r="J191">
        <f>ROUND(SUM(D191:I191)/(IF(VLOOKUP($A191,EnrollData2324,'2324 Jun 24 Enroll'!M$1,FALSE)='District Calculations'!$D$25,VLOOKUP($A191,EnrollData2324,'2324 Jun 24 Enroll'!M$1,FALSE),'District Calculations'!$D$25)+IF(VLOOKUP($A191,EnrollData2324,'2324 Jun 24 Enroll'!D$1,FALSE)='District Calculations'!$D$11,VLOOKUP($A191,EnrollData2324,'2324 Jun 24 Enroll'!D$1,FALSE),'District Calculations'!$D$11)),5)</f>
        <v>5.5530000000000003E-2</v>
      </c>
      <c r="K191" s="11">
        <f t="shared" si="17"/>
        <v>4.3699999999999998E-3</v>
      </c>
      <c r="L191">
        <f>ROUND(IF(VLOOKUP($A191,EnrollData2324,'2324 Jun 24 Enroll'!D$1,FALSE)='District Calculations'!$D$11,VLOOKUP($A191,EnrollData2324,'2324 Jun 24 Enroll'!D$1,FALSE),'District Calculations'!$D$11)*K191,3)</f>
        <v>0</v>
      </c>
      <c r="M191">
        <f>ROUND(IF(VLOOKUP($A191,EnrollData2324,'2324 Jun 24 Enroll'!E$1,FALSE)='District Calculations'!$D$12,VLOOKUP($A191,EnrollData2324,'2324 Jun 24 Enroll'!E$1,FALSE),'District Calculations'!$D$12)*K191,3)</f>
        <v>3.5419999999999998</v>
      </c>
      <c r="N191">
        <f>ROUND(IF(VLOOKUP($A191,EnrollData2324,'2324 Jun 24 Enroll'!F$1,FALSE)='District Calculations'!$D$13,VLOOKUP($A191,EnrollData2324,'2324 Jun 24 Enroll'!F$1,FALSE),'District Calculations'!$D$13)*Apport_223A2324s,3)</f>
        <v>0.84299999999999997</v>
      </c>
      <c r="O191">
        <f>ROUND(IF(VLOOKUP($A191,EnrollData2324,'2324 Jun 24 Enroll'!G$1,FALSE)='District Calculations'!$D$14,VLOOKUP($A191,EnrollData2324,'2324 Jun 24 Enroll'!G$1,FALSE),'District Calculations'!$D$14)*Apport_211A2324s,3)</f>
        <v>1.87</v>
      </c>
      <c r="P191">
        <f>ROUND(IF(VLOOKUP($A191,EnrollData2324,'2324 Jun 24 Enroll'!H$1,FALSE)='District Calculations'!$D$14,VLOOKUP($A191,EnrollData2324,'2324 Jun 24 Enroll'!H$1,FALSE),'District Calculations'!$D$14)*Apport_214A2324s,3)</f>
        <v>1.8680000000000001</v>
      </c>
      <c r="Q191">
        <f>ROUND(IF(VLOOKUP($A191,EnrollData2324,'2324 Jun 24 Enroll'!I$1,FALSE)+VLOOKUP($A191,EnrollData2324,'2324 Jun 24 Enroll'!M$1,FALSE)-VLOOKUP($A191,EnrollData2324,'2324 Jun 24 Enroll'!J$1,FALSE)='District Calculations'!$D$16+'District Calculations'!$D$25-'District Calculations'!$D$17,VLOOKUP($A191,EnrollData2324,'2324 Jun 24 Enroll'!I$1,FALSE)+VLOOKUP($A191,EnrollData2324,'2324 Jun 24 Enroll'!M$1,FALSE)-VLOOKUP($A191,EnrollData2324,'2324 Jun 24 Enroll'!J$1,FALSE),'District Calculations'!$D$16+'District Calculations'!$D$25-'District Calculations'!$D$17)*Apport_217A2324s,3)</f>
        <v>4.702</v>
      </c>
      <c r="R191">
        <f>ROUND(SUM(L191:Q191)/IF(VLOOKUP($A191,EnrollData2324,'2324 Jun 24 Enroll'!M$1,FALSE)+VLOOKUP($A191,EnrollData2324,'2324 Jun 24 Enroll'!D$1,FALSE)='District Calculations'!$D$25+'District Calculations'!$D$11,VLOOKUP($A191,EnrollData2324,'2324 Jun 24 Enroll'!M$1,FALSE)+VLOOKUP($A191,EnrollData2324,'2324 Jun 24 Enroll'!D$1,FALSE),'District Calculations'!$D$25+'District Calculations'!$D$11),5)</f>
        <v>4.1099999999999999E-3</v>
      </c>
      <c r="S191" s="11">
        <f t="shared" si="18"/>
        <v>1.8689600000000001E-2</v>
      </c>
      <c r="T191">
        <f>ROUND(IF(VLOOKUP($A191,EnrollData2324,'2324 Jun 24 Enroll'!D$1,FALSE)='District Calculations'!$D$11,VLOOKUP($A191,EnrollData2324,'2324 Jun 24 Enroll'!D$1,FALSE),'District Calculations'!$D$11)*S191,3)</f>
        <v>0</v>
      </c>
      <c r="U191">
        <f>ROUND(IF(VLOOKUP($A191,EnrollData2324,'2324 Jun 24 Enroll'!E$1,FALSE)='District Calculations'!$D$12,VLOOKUP($A191,EnrollData2324,'2324 Jun 24 Enroll'!E$1,FALSE),'District Calculations'!$D$12)*S191,3)</f>
        <v>15.148</v>
      </c>
      <c r="V191">
        <f>ROUND(IF(VLOOKUP($A191,EnrollData2324,'2324 Jun 24 Enroll'!F$1,FALSE)='District Calculations'!$D$13,VLOOKUP($A191,EnrollData2324,'2324 Jun 24 Enroll'!F$1,FALSE),'District Calculations'!$D$13)*Apport_224A2324s,3)</f>
        <v>3.7029999999999998</v>
      </c>
      <c r="W191">
        <f>ROUND(IF(VLOOKUP($A191,EnrollData2324,'2324 Jun 24 Enroll'!G$1,FALSE)='District Calculations'!$D$14,VLOOKUP($A191,EnrollData2324,'2324 Jun 24 Enroll'!G$1,FALSE),'District Calculations'!$D$14)*Apport_212A2324s,3)</f>
        <v>8.2089999999999996</v>
      </c>
      <c r="X191">
        <f>ROUND(IF(VLOOKUP($A191,EnrollData2324,'2324 Jun 24 Enroll'!H$1,FALSE)='District Calculations'!$D$14,VLOOKUP($A191,EnrollData2324,'2324 Jun 24 Enroll'!H$1,FALSE),'District Calculations'!$D$14)*Apport_215A2324s,3)</f>
        <v>8.0969999999999995</v>
      </c>
      <c r="Y191">
        <f>ROUND(IF(VLOOKUP($A191,EnrollData2324,'2324 Jun 24 Enroll'!I$1,FALSE)+VLOOKUP($A191,EnrollData2324,'2324 Jun 24 Enroll'!M$1,FALSE)-VLOOKUP($A191,EnrollData2324,'2324 Jun 24 Enroll'!J$1,FALSE)='District Calculations'!$D$16+'District Calculations'!$D$25-'District Calculations'!$D$17,VLOOKUP($A191,EnrollData2324,'2324 Jun 24 Enroll'!I$1,FALSE)+VLOOKUP($A191,EnrollData2324,'2324 Jun 24 Enroll'!M$1,FALSE)-VLOOKUP($A191,EnrollData2324,'2324 Jun 24 Enroll'!J$1,FALSE),'District Calculations'!$D$16+'District Calculations'!$D$25-'District Calculations'!$D$17)*Apport_218A2324s,3)</f>
        <v>20.224</v>
      </c>
      <c r="Z191">
        <f>ROUND(SUM(T191:Y191)/IF(VLOOKUP($A191,EnrollData2324,'2324 Jun 24 Enroll'!M$1,FALSE)+VLOOKUP($A191,EnrollData2324,'2324 Jun 24 Enroll'!D$1,FALSE)='District Calculations'!$D$25+'District Calculations'!$D$11,VLOOKUP($A191,EnrollData2324,'2324 Jun 24 Enroll'!M$1,FALSE)+VLOOKUP($A191,EnrollData2324,'2324 Jun 24 Enroll'!D$1,FALSE),'District Calculations'!$D$25+'District Calculations'!$D$11),5)</f>
        <v>1.7749999999999998E-2</v>
      </c>
      <c r="AA191" s="6" cm="1">
        <f t="array" ref="AA191">ROUND($J191*CIS_Base_Salary2324s*VLOOKUP($A191,EnrollData2324,'2324 Jun 24 Enroll'!S$1,FALSE),2)</f>
        <v>4038.59</v>
      </c>
      <c r="AB191" s="6" cm="1">
        <f t="array" ref="AB191">ROUND($J191*CIS_Inc_Salary2324s*(VLOOKUP($A191,EnrollData2324,'2324 Jun 24 Enroll'!T$1,FALSE)+VLOOKUP($A191,EnrollData2324,'2324 Jun 24 Enroll'!U$1,FALSE)),2)-AA191</f>
        <v>149.43000000000029</v>
      </c>
      <c r="AC191" s="6" cm="1">
        <f t="array" ref="AC191">ROUND($R191*CAS_Base_Salary2324s*VLOOKUP($A191,EnrollData2324,'2324 Jun 24 Enroll'!S$1,FALSE),2)</f>
        <v>443.7</v>
      </c>
      <c r="AD191" s="6" cm="1">
        <f t="array" ref="AD191">ROUND($R191*CAS_Inc_Salary2324s*VLOOKUP($A191,EnrollData2324,'2324 Jun 24 Enroll'!T$1,FALSE),2)-AC191</f>
        <v>16.410000000000025</v>
      </c>
      <c r="AE191" s="6" cm="1">
        <f t="array" ref="AE191">ROUND($Z191*CLS_Base_Salary2324s*VLOOKUP($A191,EnrollData2324,'2324 Jun 24 Enroll'!S$1,FALSE),2)</f>
        <v>926.07</v>
      </c>
      <c r="AF191" s="6" cm="1">
        <f t="array" ref="AF191">ROUND($Z191*CLS_Inc_Salary2324s*VLOOKUP($A191,EnrollData2324,'2324 Jun 24 Enroll'!T$1,FALSE),2)-AE191</f>
        <v>34.259999999999991</v>
      </c>
      <c r="AG191" cm="1">
        <f t="array" ref="AG191">ROUND(($J191+$R191)*Apport_124X2324s,2)</f>
        <v>734.29</v>
      </c>
      <c r="AH191" s="69">
        <f t="shared" si="19"/>
        <v>68.700000000000045</v>
      </c>
      <c r="AI191" cm="1">
        <f t="array" ref="AI191">ROUND($Z191*Apport_124X2324s,2)</f>
        <v>218.54</v>
      </c>
      <c r="AJ191" cm="1">
        <f t="array" ref="AJ191">ROUND($Z191*Apport_621X2324s*Apport_125X2324s,2)-AI191</f>
        <v>116.51000000000002</v>
      </c>
      <c r="AK191" cm="1">
        <f t="array" ref="AK191">ROUND((AA191+AC191)*Apport_126X2324s,2)</f>
        <v>805.47</v>
      </c>
      <c r="AL191" cm="1">
        <f t="array" ref="AL191">ROUND((AB191+AD191)*Apport_127X2324s,2)</f>
        <v>28.74</v>
      </c>
      <c r="AM191" cm="1">
        <f t="array" ref="AM191">ROUND(AE191*Apport_128X2324s,2)</f>
        <v>204.29</v>
      </c>
      <c r="AN191" cm="1">
        <f t="array" ref="AN191">ROUND(AF191*Apport_129X2324s,2)</f>
        <v>6.36</v>
      </c>
      <c r="AO191" cm="1">
        <f t="array" ref="AO191">ROUND(($J191*CIS_Inc_Salary2324s*(VLOOKUP($A191,EnrollData2324,'2324 Jun 24 Enroll'!T$1,FALSE)+VLOOKUP($A191,EnrollData2324,'2324 Jun 24 Enroll'!U$1,FALSE))/Apport_613Xpd)*Apport_614Xpd,2)</f>
        <v>69.8</v>
      </c>
      <c r="AP191" cm="1">
        <f t="array" ref="AP191">ROUND(AO191*Apport_127X2324s,2)</f>
        <v>12.1</v>
      </c>
      <c r="AQ191">
        <f t="shared" si="20"/>
        <v>30.93</v>
      </c>
      <c r="AR191" s="6" cm="1">
        <f t="array" ref="AR191">ROUND((VLOOKUP($A191,EnrollData2324,'2324 Jun 24 Enroll'!D$1,FALSE)*Apport_M802324s+VLOOKUP($A191,EnrollData2324,'2324 Jun 24 Enroll'!M$1,FALSE)*Apport_M802324s+(VLOOKUP($A191,EnrollData2324,'2324 Jun 24 Enroll'!P$1,FALSE)+VLOOKUP($A191,EnrollData2324,'2324 Jun 24 Enroll'!Q$1,FALSE)+VLOOKUP($A191,EnrollData2324,'2324 Jun 24 Enroll'!R$1,FALSE)+VLOOKUP($A191,EnrollData2324,'2324 Jun 24 Enroll'!I$1,FALSE)+VLOOKUP($A191,EnrollData2324,'2324 Jun 24 Enroll'!N$1,FALSE)+VLOOKUP($A191,EnrollData2324,'2324 Jun 24 Enroll'!O$1,FALSE)+VLOOKUP($A191,EnrollData2324,'2324 Jun 24 Enroll'!K$1,FALSE)+VLOOKUP($A191,EnrollData2324,'2324 Jun 24 Enroll'!L$1,FALSE))*Apport_M812324s)/(VLOOKUP($A191,EnrollData2324,'2324 Jun 24 Enroll'!M$1,FALSE)+VLOOKUP($A191,EnrollData2324,'2324 Jun 24 Enroll'!D$1,FALSE)),2)</f>
        <v>1583.38</v>
      </c>
      <c r="AS191" s="7">
        <f t="shared" si="21"/>
        <v>9487.57</v>
      </c>
    </row>
    <row r="192" spans="1:45">
      <c r="A192" s="40" t="s">
        <v>671</v>
      </c>
      <c r="B192" s="40" t="s">
        <v>672</v>
      </c>
      <c r="C192" s="11">
        <f>ROUND((IFERROR((1/IF(VLOOKUP($A192,EnrollData2324,28,FALSE)='District Calculations'!$D$10,VLOOKUP($A192,EnrollData2324,28,FALSE),'District Calculations'!$D$10))*(1+Apport_Z315),0))+Apport_201A2324s,6)</f>
        <v>7.3449E-2</v>
      </c>
      <c r="D192">
        <f>ROUND(IF(VLOOKUP($A192,EnrollData2324,'2324 Jun 24 Enroll'!D$1,FALSE)='District Calculations'!$D$11,VLOOKUP($A192,EnrollData2324,'2324 Jun 24 Enroll'!D$1,FALSE),'District Calculations'!$D$11)*C192,3)</f>
        <v>0</v>
      </c>
      <c r="E192">
        <f>ROUND(IF(VLOOKUP($A192,EnrollData2324,'2324 Jun 24 Enroll'!E$1,FALSE)='District Calculations'!$D$12,VLOOKUP($A192,EnrollData2324,'2324 Jun 24 Enroll'!E$1,FALSE),'District Calculations'!$D$12)*C192,3)</f>
        <v>59.53</v>
      </c>
      <c r="F192">
        <f>ROUND(IF(VLOOKUP($A192,EnrollData2324,'2324 Jun 24 Enroll'!F$1,FALSE)='District Calculations'!$D$13,VLOOKUP($A192,EnrollData2324,'2324 Jun 24 Enroll'!F$1,FALSE),'District Calculations'!$D$13)*Apport_222A2324s,3)</f>
        <v>10.101000000000001</v>
      </c>
      <c r="G192">
        <f>ROUND(IF(VLOOKUP($A192,EnrollData2324,'2324 Jun 24 Enroll'!G$1,FALSE)='District Calculations'!$D$14,VLOOKUP($A192,EnrollData2324,'2324 Jun 24 Enroll'!G$1,FALSE),'District Calculations'!$D$14)*Apport_210A2324s,3)</f>
        <v>22.395</v>
      </c>
      <c r="H192">
        <f>ROUND(IF(VLOOKUP($A192,EnrollData2324,'2324 Jun 24 Enroll'!H$1,FALSE)='District Calculations'!$D$15,VLOOKUP($A192,EnrollData2324,'2324 Jun 24 Enroll'!H$1,FALSE),'District Calculations'!$D$15)*Apport_213A2324s,3)</f>
        <v>23.091999999999999</v>
      </c>
      <c r="I192">
        <f>ROUND(IF(VLOOKUP($A192,EnrollData2324,'2324 Jun 24 Enroll'!I$1,FALSE)+VLOOKUP($A192,EnrollData2324,'2324 Jun 24 Enroll'!M$1,FALSE)-VLOOKUP($A192,EnrollData2324,'2324 Jun 24 Enroll'!J$1,FALSE)='District Calculations'!$D$16+'District Calculations'!$D$25-'District Calculations'!$D$17,VLOOKUP($A192,EnrollData2324,'2324 Jun 24 Enroll'!I$1,FALSE)+VLOOKUP($A192,EnrollData2324,'2324 Jun 24 Enroll'!M$1,FALSE)-VLOOKUP($A192,EnrollData2324,'2324 Jun 24 Enroll'!J$1,FALSE),'District Calculations'!$D$16+'District Calculations'!$D$25-'District Calculations'!$D$17)*Apport_216A2324s,3)</f>
        <v>58.183999999999997</v>
      </c>
      <c r="J192">
        <f>ROUND(SUM(D192:I192)/(IF(VLOOKUP($A192,EnrollData2324,'2324 Jun 24 Enroll'!M$1,FALSE)='District Calculations'!$D$25,VLOOKUP($A192,EnrollData2324,'2324 Jun 24 Enroll'!M$1,FALSE),'District Calculations'!$D$25)+IF(VLOOKUP($A192,EnrollData2324,'2324 Jun 24 Enroll'!D$1,FALSE)='District Calculations'!$D$11,VLOOKUP($A192,EnrollData2324,'2324 Jun 24 Enroll'!D$1,FALSE),'District Calculations'!$D$11)),5)</f>
        <v>5.5530000000000003E-2</v>
      </c>
      <c r="K192" s="11">
        <f t="shared" si="17"/>
        <v>4.3699999999999998E-3</v>
      </c>
      <c r="L192">
        <f>ROUND(IF(VLOOKUP($A192,EnrollData2324,'2324 Jun 24 Enroll'!D$1,FALSE)='District Calculations'!$D$11,VLOOKUP($A192,EnrollData2324,'2324 Jun 24 Enroll'!D$1,FALSE),'District Calculations'!$D$11)*K192,3)</f>
        <v>0</v>
      </c>
      <c r="M192">
        <f>ROUND(IF(VLOOKUP($A192,EnrollData2324,'2324 Jun 24 Enroll'!E$1,FALSE)='District Calculations'!$D$12,VLOOKUP($A192,EnrollData2324,'2324 Jun 24 Enroll'!E$1,FALSE),'District Calculations'!$D$12)*K192,3)</f>
        <v>3.5419999999999998</v>
      </c>
      <c r="N192">
        <f>ROUND(IF(VLOOKUP($A192,EnrollData2324,'2324 Jun 24 Enroll'!F$1,FALSE)='District Calculations'!$D$13,VLOOKUP($A192,EnrollData2324,'2324 Jun 24 Enroll'!F$1,FALSE),'District Calculations'!$D$13)*Apport_223A2324s,3)</f>
        <v>0.84299999999999997</v>
      </c>
      <c r="O192">
        <f>ROUND(IF(VLOOKUP($A192,EnrollData2324,'2324 Jun 24 Enroll'!G$1,FALSE)='District Calculations'!$D$14,VLOOKUP($A192,EnrollData2324,'2324 Jun 24 Enroll'!G$1,FALSE),'District Calculations'!$D$14)*Apport_211A2324s,3)</f>
        <v>1.87</v>
      </c>
      <c r="P192">
        <f>ROUND(IF(VLOOKUP($A192,EnrollData2324,'2324 Jun 24 Enroll'!H$1,FALSE)='District Calculations'!$D$14,VLOOKUP($A192,EnrollData2324,'2324 Jun 24 Enroll'!H$1,FALSE),'District Calculations'!$D$14)*Apport_214A2324s,3)</f>
        <v>1.8680000000000001</v>
      </c>
      <c r="Q192">
        <f>ROUND(IF(VLOOKUP($A192,EnrollData2324,'2324 Jun 24 Enroll'!I$1,FALSE)+VLOOKUP($A192,EnrollData2324,'2324 Jun 24 Enroll'!M$1,FALSE)-VLOOKUP($A192,EnrollData2324,'2324 Jun 24 Enroll'!J$1,FALSE)='District Calculations'!$D$16+'District Calculations'!$D$25-'District Calculations'!$D$17,VLOOKUP($A192,EnrollData2324,'2324 Jun 24 Enroll'!I$1,FALSE)+VLOOKUP($A192,EnrollData2324,'2324 Jun 24 Enroll'!M$1,FALSE)-VLOOKUP($A192,EnrollData2324,'2324 Jun 24 Enroll'!J$1,FALSE),'District Calculations'!$D$16+'District Calculations'!$D$25-'District Calculations'!$D$17)*Apport_217A2324s,3)</f>
        <v>4.702</v>
      </c>
      <c r="R192">
        <f>ROUND(SUM(L192:Q192)/IF(VLOOKUP($A192,EnrollData2324,'2324 Jun 24 Enroll'!M$1,FALSE)+VLOOKUP($A192,EnrollData2324,'2324 Jun 24 Enroll'!D$1,FALSE)='District Calculations'!$D$25+'District Calculations'!$D$11,VLOOKUP($A192,EnrollData2324,'2324 Jun 24 Enroll'!M$1,FALSE)+VLOOKUP($A192,EnrollData2324,'2324 Jun 24 Enroll'!D$1,FALSE),'District Calculations'!$D$25+'District Calculations'!$D$11),5)</f>
        <v>4.1099999999999999E-3</v>
      </c>
      <c r="S192" s="11">
        <f t="shared" si="18"/>
        <v>1.8689600000000001E-2</v>
      </c>
      <c r="T192">
        <f>ROUND(IF(VLOOKUP($A192,EnrollData2324,'2324 Jun 24 Enroll'!D$1,FALSE)='District Calculations'!$D$11,VLOOKUP($A192,EnrollData2324,'2324 Jun 24 Enroll'!D$1,FALSE),'District Calculations'!$D$11)*S192,3)</f>
        <v>0</v>
      </c>
      <c r="U192">
        <f>ROUND(IF(VLOOKUP($A192,EnrollData2324,'2324 Jun 24 Enroll'!E$1,FALSE)='District Calculations'!$D$12,VLOOKUP($A192,EnrollData2324,'2324 Jun 24 Enroll'!E$1,FALSE),'District Calculations'!$D$12)*S192,3)</f>
        <v>15.148</v>
      </c>
      <c r="V192">
        <f>ROUND(IF(VLOOKUP($A192,EnrollData2324,'2324 Jun 24 Enroll'!F$1,FALSE)='District Calculations'!$D$13,VLOOKUP($A192,EnrollData2324,'2324 Jun 24 Enroll'!F$1,FALSE),'District Calculations'!$D$13)*Apport_224A2324s,3)</f>
        <v>3.7029999999999998</v>
      </c>
      <c r="W192">
        <f>ROUND(IF(VLOOKUP($A192,EnrollData2324,'2324 Jun 24 Enroll'!G$1,FALSE)='District Calculations'!$D$14,VLOOKUP($A192,EnrollData2324,'2324 Jun 24 Enroll'!G$1,FALSE),'District Calculations'!$D$14)*Apport_212A2324s,3)</f>
        <v>8.2089999999999996</v>
      </c>
      <c r="X192">
        <f>ROUND(IF(VLOOKUP($A192,EnrollData2324,'2324 Jun 24 Enroll'!H$1,FALSE)='District Calculations'!$D$14,VLOOKUP($A192,EnrollData2324,'2324 Jun 24 Enroll'!H$1,FALSE),'District Calculations'!$D$14)*Apport_215A2324s,3)</f>
        <v>8.0969999999999995</v>
      </c>
      <c r="Y192">
        <f>ROUND(IF(VLOOKUP($A192,EnrollData2324,'2324 Jun 24 Enroll'!I$1,FALSE)+VLOOKUP($A192,EnrollData2324,'2324 Jun 24 Enroll'!M$1,FALSE)-VLOOKUP($A192,EnrollData2324,'2324 Jun 24 Enroll'!J$1,FALSE)='District Calculations'!$D$16+'District Calculations'!$D$25-'District Calculations'!$D$17,VLOOKUP($A192,EnrollData2324,'2324 Jun 24 Enroll'!I$1,FALSE)+VLOOKUP($A192,EnrollData2324,'2324 Jun 24 Enroll'!M$1,FALSE)-VLOOKUP($A192,EnrollData2324,'2324 Jun 24 Enroll'!J$1,FALSE),'District Calculations'!$D$16+'District Calculations'!$D$25-'District Calculations'!$D$17)*Apport_218A2324s,3)</f>
        <v>20.224</v>
      </c>
      <c r="Z192">
        <f>ROUND(SUM(T192:Y192)/IF(VLOOKUP($A192,EnrollData2324,'2324 Jun 24 Enroll'!M$1,FALSE)+VLOOKUP($A192,EnrollData2324,'2324 Jun 24 Enroll'!D$1,FALSE)='District Calculations'!$D$25+'District Calculations'!$D$11,VLOOKUP($A192,EnrollData2324,'2324 Jun 24 Enroll'!M$1,FALSE)+VLOOKUP($A192,EnrollData2324,'2324 Jun 24 Enroll'!D$1,FALSE),'District Calculations'!$D$25+'District Calculations'!$D$11),5)</f>
        <v>1.7749999999999998E-2</v>
      </c>
      <c r="AA192" s="6" cm="1">
        <f t="array" ref="AA192">ROUND($J192*CIS_Base_Salary2324s*VLOOKUP($A192,EnrollData2324,'2324 Jun 24 Enroll'!S$1,FALSE),2)</f>
        <v>4038.59</v>
      </c>
      <c r="AB192" s="6" cm="1">
        <f t="array" ref="AB192">ROUND($J192*CIS_Inc_Salary2324s*(VLOOKUP($A192,EnrollData2324,'2324 Jun 24 Enroll'!T$1,FALSE)+VLOOKUP($A192,EnrollData2324,'2324 Jun 24 Enroll'!U$1,FALSE)),2)-AA192</f>
        <v>149.43000000000029</v>
      </c>
      <c r="AC192" s="6" cm="1">
        <f t="array" ref="AC192">ROUND($R192*CAS_Base_Salary2324s*VLOOKUP($A192,EnrollData2324,'2324 Jun 24 Enroll'!S$1,FALSE),2)</f>
        <v>443.7</v>
      </c>
      <c r="AD192" s="6" cm="1">
        <f t="array" ref="AD192">ROUND($R192*CAS_Inc_Salary2324s*VLOOKUP($A192,EnrollData2324,'2324 Jun 24 Enroll'!T$1,FALSE),2)-AC192</f>
        <v>16.410000000000025</v>
      </c>
      <c r="AE192" s="6" cm="1">
        <f t="array" ref="AE192">ROUND($Z192*CLS_Base_Salary2324s*VLOOKUP($A192,EnrollData2324,'2324 Jun 24 Enroll'!S$1,FALSE),2)</f>
        <v>926.07</v>
      </c>
      <c r="AF192" s="6" cm="1">
        <f t="array" ref="AF192">ROUND($Z192*CLS_Inc_Salary2324s*VLOOKUP($A192,EnrollData2324,'2324 Jun 24 Enroll'!T$1,FALSE),2)-AE192</f>
        <v>34.259999999999991</v>
      </c>
      <c r="AG192" cm="1">
        <f t="array" ref="AG192">ROUND(($J192+$R192)*Apport_124X2324s,2)</f>
        <v>734.29</v>
      </c>
      <c r="AH192" s="69">
        <f t="shared" si="19"/>
        <v>68.700000000000045</v>
      </c>
      <c r="AI192" cm="1">
        <f t="array" ref="AI192">ROUND($Z192*Apport_124X2324s,2)</f>
        <v>218.54</v>
      </c>
      <c r="AJ192" cm="1">
        <f t="array" ref="AJ192">ROUND($Z192*Apport_621X2324s*Apport_125X2324s,2)-AI192</f>
        <v>116.51000000000002</v>
      </c>
      <c r="AK192" cm="1">
        <f t="array" ref="AK192">ROUND((AA192+AC192)*Apport_126X2324s,2)</f>
        <v>805.47</v>
      </c>
      <c r="AL192" cm="1">
        <f t="array" ref="AL192">ROUND((AB192+AD192)*Apport_127X2324s,2)</f>
        <v>28.74</v>
      </c>
      <c r="AM192" cm="1">
        <f t="array" ref="AM192">ROUND(AE192*Apport_128X2324s,2)</f>
        <v>204.29</v>
      </c>
      <c r="AN192" cm="1">
        <f t="array" ref="AN192">ROUND(AF192*Apport_129X2324s,2)</f>
        <v>6.36</v>
      </c>
      <c r="AO192" cm="1">
        <f t="array" ref="AO192">ROUND(($J192*CIS_Inc_Salary2324s*(VLOOKUP($A192,EnrollData2324,'2324 Jun 24 Enroll'!T$1,FALSE)+VLOOKUP($A192,EnrollData2324,'2324 Jun 24 Enroll'!U$1,FALSE))/Apport_613Xpd)*Apport_614Xpd,2)</f>
        <v>69.8</v>
      </c>
      <c r="AP192" cm="1">
        <f t="array" ref="AP192">ROUND(AO192*Apport_127X2324s,2)</f>
        <v>12.1</v>
      </c>
      <c r="AQ192">
        <f t="shared" si="20"/>
        <v>30.93</v>
      </c>
      <c r="AR192" s="6" cm="1">
        <f t="array" ref="AR192">ROUND((VLOOKUP($A192,EnrollData2324,'2324 Jun 24 Enroll'!D$1,FALSE)*Apport_M802324s+VLOOKUP($A192,EnrollData2324,'2324 Jun 24 Enroll'!M$1,FALSE)*Apport_M802324s+(VLOOKUP($A192,EnrollData2324,'2324 Jun 24 Enroll'!P$1,FALSE)+VLOOKUP($A192,EnrollData2324,'2324 Jun 24 Enroll'!Q$1,FALSE)+VLOOKUP($A192,EnrollData2324,'2324 Jun 24 Enroll'!R$1,FALSE)+VLOOKUP($A192,EnrollData2324,'2324 Jun 24 Enroll'!I$1,FALSE)+VLOOKUP($A192,EnrollData2324,'2324 Jun 24 Enroll'!N$1,FALSE)+VLOOKUP($A192,EnrollData2324,'2324 Jun 24 Enroll'!O$1,FALSE)+VLOOKUP($A192,EnrollData2324,'2324 Jun 24 Enroll'!K$1,FALSE)+VLOOKUP($A192,EnrollData2324,'2324 Jun 24 Enroll'!L$1,FALSE))*Apport_M812324s)/(VLOOKUP($A192,EnrollData2324,'2324 Jun 24 Enroll'!M$1,FALSE)+VLOOKUP($A192,EnrollData2324,'2324 Jun 24 Enroll'!D$1,FALSE)),2)</f>
        <v>1565.82</v>
      </c>
      <c r="AS192" s="7">
        <f t="shared" si="21"/>
        <v>9470.01</v>
      </c>
    </row>
    <row r="193" spans="1:46">
      <c r="A193" t="s">
        <v>1093</v>
      </c>
      <c r="B193" t="s">
        <v>1094</v>
      </c>
      <c r="C193" s="11">
        <f>ROUND((IFERROR((1/IF(VLOOKUP($A193,EnrollData2324,28,FALSE)='District Calculations'!$D$10,VLOOKUP($A193,EnrollData2324,28,FALSE),'District Calculations'!$D$10))*(1+Apport_Z315),0))+Apport_201A2324s,6)</f>
        <v>7.3449E-2</v>
      </c>
      <c r="D193">
        <f>ROUND(IF(VLOOKUP($A193,EnrollData2324,'2324 Jun 24 Enroll'!D$1,FALSE)='District Calculations'!$D$11,VLOOKUP($A193,EnrollData2324,'2324 Jun 24 Enroll'!D$1,FALSE),'District Calculations'!$D$11)*C193,3)</f>
        <v>0</v>
      </c>
      <c r="E193">
        <f>ROUND(IF(VLOOKUP($A193,EnrollData2324,'2324 Jun 24 Enroll'!E$1,FALSE)='District Calculations'!$D$12,VLOOKUP($A193,EnrollData2324,'2324 Jun 24 Enroll'!E$1,FALSE),'District Calculations'!$D$12)*C193,3)</f>
        <v>59.53</v>
      </c>
      <c r="F193">
        <f>ROUND(IF(VLOOKUP($A193,EnrollData2324,'2324 Jun 24 Enroll'!F$1,FALSE)='District Calculations'!$D$13,VLOOKUP($A193,EnrollData2324,'2324 Jun 24 Enroll'!F$1,FALSE),'District Calculations'!$D$13)*Apport_222A2324s,3)</f>
        <v>10.101000000000001</v>
      </c>
      <c r="G193">
        <f>ROUND(IF(VLOOKUP($A193,EnrollData2324,'2324 Jun 24 Enroll'!G$1,FALSE)='District Calculations'!$D$14,VLOOKUP($A193,EnrollData2324,'2324 Jun 24 Enroll'!G$1,FALSE),'District Calculations'!$D$14)*Apport_210A2324s,3)</f>
        <v>22.395</v>
      </c>
      <c r="H193">
        <f>ROUND(IF(VLOOKUP($A193,EnrollData2324,'2324 Jun 24 Enroll'!H$1,FALSE)='District Calculations'!$D$15,VLOOKUP($A193,EnrollData2324,'2324 Jun 24 Enroll'!H$1,FALSE),'District Calculations'!$D$15)*Apport_213A2324s,3)</f>
        <v>23.091999999999999</v>
      </c>
      <c r="I193">
        <f>ROUND(IF(VLOOKUP($A193,EnrollData2324,'2324 Jun 24 Enroll'!I$1,FALSE)+VLOOKUP($A193,EnrollData2324,'2324 Jun 24 Enroll'!M$1,FALSE)-VLOOKUP($A193,EnrollData2324,'2324 Jun 24 Enroll'!J$1,FALSE)='District Calculations'!$D$16+'District Calculations'!$D$25-'District Calculations'!$D$17,VLOOKUP($A193,EnrollData2324,'2324 Jun 24 Enroll'!I$1,FALSE)+VLOOKUP($A193,EnrollData2324,'2324 Jun 24 Enroll'!M$1,FALSE)-VLOOKUP($A193,EnrollData2324,'2324 Jun 24 Enroll'!J$1,FALSE),'District Calculations'!$D$16+'District Calculations'!$D$25-'District Calculations'!$D$17)*Apport_216A2324s,3)</f>
        <v>58.183999999999997</v>
      </c>
      <c r="J193">
        <f>ROUND(SUM(D193:I193)/(IF(VLOOKUP($A193,EnrollData2324,'2324 Jun 24 Enroll'!M$1,FALSE)='District Calculations'!$D$25,VLOOKUP($A193,EnrollData2324,'2324 Jun 24 Enroll'!M$1,FALSE),'District Calculations'!$D$25)+IF(VLOOKUP($A193,EnrollData2324,'2324 Jun 24 Enroll'!D$1,FALSE)='District Calculations'!$D$11,VLOOKUP($A193,EnrollData2324,'2324 Jun 24 Enroll'!D$1,FALSE),'District Calculations'!$D$11)),5)</f>
        <v>5.5530000000000003E-2</v>
      </c>
      <c r="K193" s="11">
        <f t="shared" si="17"/>
        <v>4.3699999999999998E-3</v>
      </c>
      <c r="L193">
        <f>ROUND(IF(VLOOKUP($A193,EnrollData2324,'2324 Jun 24 Enroll'!D$1,FALSE)='District Calculations'!$D$11,VLOOKUP($A193,EnrollData2324,'2324 Jun 24 Enroll'!D$1,FALSE),'District Calculations'!$D$11)*K193,3)</f>
        <v>0</v>
      </c>
      <c r="M193">
        <f>ROUND(IF(VLOOKUP($A193,EnrollData2324,'2324 Jun 24 Enroll'!E$1,FALSE)='District Calculations'!$D$12,VLOOKUP($A193,EnrollData2324,'2324 Jun 24 Enroll'!E$1,FALSE),'District Calculations'!$D$12)*K193,3)</f>
        <v>3.5419999999999998</v>
      </c>
      <c r="N193">
        <f>ROUND(IF(VLOOKUP($A193,EnrollData2324,'2324 Jun 24 Enroll'!F$1,FALSE)='District Calculations'!$D$13,VLOOKUP($A193,EnrollData2324,'2324 Jun 24 Enroll'!F$1,FALSE),'District Calculations'!$D$13)*Apport_223A2324s,3)</f>
        <v>0.84299999999999997</v>
      </c>
      <c r="O193">
        <f>ROUND(IF(VLOOKUP($A193,EnrollData2324,'2324 Jun 24 Enroll'!G$1,FALSE)='District Calculations'!$D$14,VLOOKUP($A193,EnrollData2324,'2324 Jun 24 Enroll'!G$1,FALSE),'District Calculations'!$D$14)*Apport_211A2324s,3)</f>
        <v>1.87</v>
      </c>
      <c r="P193">
        <f>ROUND(IF(VLOOKUP($A193,EnrollData2324,'2324 Jun 24 Enroll'!H$1,FALSE)='District Calculations'!$D$14,VLOOKUP($A193,EnrollData2324,'2324 Jun 24 Enroll'!H$1,FALSE),'District Calculations'!$D$14)*Apport_214A2324s,3)</f>
        <v>1.8680000000000001</v>
      </c>
      <c r="Q193">
        <f>ROUND(IF(VLOOKUP($A193,EnrollData2324,'2324 Jun 24 Enroll'!I$1,FALSE)+VLOOKUP($A193,EnrollData2324,'2324 Jun 24 Enroll'!M$1,FALSE)-VLOOKUP($A193,EnrollData2324,'2324 Jun 24 Enroll'!J$1,FALSE)='District Calculations'!$D$16+'District Calculations'!$D$25-'District Calculations'!$D$17,VLOOKUP($A193,EnrollData2324,'2324 Jun 24 Enroll'!I$1,FALSE)+VLOOKUP($A193,EnrollData2324,'2324 Jun 24 Enroll'!M$1,FALSE)-VLOOKUP($A193,EnrollData2324,'2324 Jun 24 Enroll'!J$1,FALSE),'District Calculations'!$D$16+'District Calculations'!$D$25-'District Calculations'!$D$17)*Apport_217A2324s,3)</f>
        <v>4.702</v>
      </c>
      <c r="R193">
        <f>ROUND(SUM(L193:Q193)/IF(VLOOKUP($A193,EnrollData2324,'2324 Jun 24 Enroll'!M$1,FALSE)+VLOOKUP($A193,EnrollData2324,'2324 Jun 24 Enroll'!D$1,FALSE)='District Calculations'!$D$25+'District Calculations'!$D$11,VLOOKUP($A193,EnrollData2324,'2324 Jun 24 Enroll'!M$1,FALSE)+VLOOKUP($A193,EnrollData2324,'2324 Jun 24 Enroll'!D$1,FALSE),'District Calculations'!$D$25+'District Calculations'!$D$11),5)</f>
        <v>4.1099999999999999E-3</v>
      </c>
      <c r="S193" s="11">
        <f t="shared" si="18"/>
        <v>1.8689600000000001E-2</v>
      </c>
      <c r="T193">
        <f>ROUND(IF(VLOOKUP($A193,EnrollData2324,'2324 Jun 24 Enroll'!D$1,FALSE)='District Calculations'!$D$11,VLOOKUP($A193,EnrollData2324,'2324 Jun 24 Enroll'!D$1,FALSE),'District Calculations'!$D$11)*S193,3)</f>
        <v>0</v>
      </c>
      <c r="U193">
        <f>ROUND(IF(VLOOKUP($A193,EnrollData2324,'2324 Jun 24 Enroll'!E$1,FALSE)='District Calculations'!$D$12,VLOOKUP($A193,EnrollData2324,'2324 Jun 24 Enroll'!E$1,FALSE),'District Calculations'!$D$12)*S193,3)</f>
        <v>15.148</v>
      </c>
      <c r="V193">
        <f>ROUND(IF(VLOOKUP($A193,EnrollData2324,'2324 Jun 24 Enroll'!F$1,FALSE)='District Calculations'!$D$13,VLOOKUP($A193,EnrollData2324,'2324 Jun 24 Enroll'!F$1,FALSE),'District Calculations'!$D$13)*Apport_224A2324s,3)</f>
        <v>3.7029999999999998</v>
      </c>
      <c r="W193">
        <f>ROUND(IF(VLOOKUP($A193,EnrollData2324,'2324 Jun 24 Enroll'!G$1,FALSE)='District Calculations'!$D$14,VLOOKUP($A193,EnrollData2324,'2324 Jun 24 Enroll'!G$1,FALSE),'District Calculations'!$D$14)*Apport_212A2324s,3)</f>
        <v>8.2089999999999996</v>
      </c>
      <c r="X193">
        <f>ROUND(IF(VLOOKUP($A193,EnrollData2324,'2324 Jun 24 Enroll'!H$1,FALSE)='District Calculations'!$D$14,VLOOKUP($A193,EnrollData2324,'2324 Jun 24 Enroll'!H$1,FALSE),'District Calculations'!$D$14)*Apport_215A2324s,3)</f>
        <v>8.0969999999999995</v>
      </c>
      <c r="Y193">
        <f>ROUND(IF(VLOOKUP($A193,EnrollData2324,'2324 Jun 24 Enroll'!I$1,FALSE)+VLOOKUP($A193,EnrollData2324,'2324 Jun 24 Enroll'!M$1,FALSE)-VLOOKUP($A193,EnrollData2324,'2324 Jun 24 Enroll'!J$1,FALSE)='District Calculations'!$D$16+'District Calculations'!$D$25-'District Calculations'!$D$17,VLOOKUP($A193,EnrollData2324,'2324 Jun 24 Enroll'!I$1,FALSE)+VLOOKUP($A193,EnrollData2324,'2324 Jun 24 Enroll'!M$1,FALSE)-VLOOKUP($A193,EnrollData2324,'2324 Jun 24 Enroll'!J$1,FALSE),'District Calculations'!$D$16+'District Calculations'!$D$25-'District Calculations'!$D$17)*Apport_218A2324s,3)</f>
        <v>20.224</v>
      </c>
      <c r="Z193">
        <f>ROUND(SUM(T193:Y193)/IF(VLOOKUP($A193,EnrollData2324,'2324 Jun 24 Enroll'!M$1,FALSE)+VLOOKUP($A193,EnrollData2324,'2324 Jun 24 Enroll'!D$1,FALSE)='District Calculations'!$D$25+'District Calculations'!$D$11,VLOOKUP($A193,EnrollData2324,'2324 Jun 24 Enroll'!M$1,FALSE)+VLOOKUP($A193,EnrollData2324,'2324 Jun 24 Enroll'!D$1,FALSE),'District Calculations'!$D$25+'District Calculations'!$D$11),5)</f>
        <v>1.7749999999999998E-2</v>
      </c>
      <c r="AA193" s="6" cm="1">
        <f t="array" ref="AA193">ROUND($J193*CIS_Base_Salary2324s*VLOOKUP($A193,EnrollData2324,'2324 Jun 24 Enroll'!S$1,FALSE),2)</f>
        <v>4038.59</v>
      </c>
      <c r="AB193" s="6" cm="1">
        <f t="array" ref="AB193">ROUND($J193*CIS_Inc_Salary2324s*(VLOOKUP($A193,EnrollData2324,'2324 Jun 24 Enroll'!T$1,FALSE)+VLOOKUP($A193,EnrollData2324,'2324 Jun 24 Enroll'!U$1,FALSE)),2)-AA193</f>
        <v>149.43000000000029</v>
      </c>
      <c r="AC193" s="6" cm="1">
        <f t="array" ref="AC193">ROUND($R193*CAS_Base_Salary2324s*VLOOKUP($A193,EnrollData2324,'2324 Jun 24 Enroll'!S$1,FALSE),2)</f>
        <v>443.7</v>
      </c>
      <c r="AD193" s="6" cm="1">
        <f t="array" ref="AD193">ROUND($R193*CAS_Inc_Salary2324s*VLOOKUP($A193,EnrollData2324,'2324 Jun 24 Enroll'!T$1,FALSE),2)-AC193</f>
        <v>16.410000000000025</v>
      </c>
      <c r="AE193" s="6" cm="1">
        <f t="array" ref="AE193">ROUND($Z193*CLS_Base_Salary2324s*VLOOKUP($A193,EnrollData2324,'2324 Jun 24 Enroll'!S$1,FALSE),2)</f>
        <v>926.07</v>
      </c>
      <c r="AF193" s="6" cm="1">
        <f t="array" ref="AF193">ROUND($Z193*CLS_Inc_Salary2324s*VLOOKUP($A193,EnrollData2324,'2324 Jun 24 Enroll'!T$1,FALSE),2)-AE193</f>
        <v>34.259999999999991</v>
      </c>
      <c r="AG193" cm="1">
        <f t="array" ref="AG193">ROUND(($J193+$R193)*Apport_124X2324s,2)</f>
        <v>734.29</v>
      </c>
      <c r="AH193" s="69">
        <f t="shared" si="19"/>
        <v>68.700000000000045</v>
      </c>
      <c r="AI193" cm="1">
        <f t="array" ref="AI193">ROUND($Z193*Apport_124X2324s,2)</f>
        <v>218.54</v>
      </c>
      <c r="AJ193" cm="1">
        <f t="array" ref="AJ193">ROUND($Z193*Apport_621X2324s*Apport_125X2324s,2)-AI193</f>
        <v>116.51000000000002</v>
      </c>
      <c r="AK193" cm="1">
        <f t="array" ref="AK193">ROUND((AA193+AC193)*Apport_126X2324s,2)</f>
        <v>805.47</v>
      </c>
      <c r="AL193" cm="1">
        <f t="array" ref="AL193">ROUND((AB193+AD193)*Apport_127X2324s,2)</f>
        <v>28.74</v>
      </c>
      <c r="AM193" cm="1">
        <f t="array" ref="AM193">ROUND(AE193*Apport_128X2324s,2)</f>
        <v>204.29</v>
      </c>
      <c r="AN193" cm="1">
        <f t="array" ref="AN193">ROUND(AF193*Apport_129X2324s,2)</f>
        <v>6.36</v>
      </c>
      <c r="AO193" cm="1">
        <f t="array" ref="AO193">ROUND(($J193*CIS_Inc_Salary2324s*(VLOOKUP($A193,EnrollData2324,'2324 Jun 24 Enroll'!T$1,FALSE)+VLOOKUP($A193,EnrollData2324,'2324 Jun 24 Enroll'!U$1,FALSE))/Apport_613Xpd)*Apport_614Xpd,2)</f>
        <v>69.8</v>
      </c>
      <c r="AP193" cm="1">
        <f t="array" ref="AP193">ROUND(AO193*Apport_127X2324s,2)</f>
        <v>12.1</v>
      </c>
      <c r="AQ193">
        <f t="shared" si="20"/>
        <v>30.93</v>
      </c>
      <c r="AR193" s="6" cm="1">
        <f t="array" ref="AR193">ROUND((VLOOKUP($A193,EnrollData2324,'2324 Jun 24 Enroll'!D$1,FALSE)*Apport_M802324s+VLOOKUP($A193,EnrollData2324,'2324 Jun 24 Enroll'!M$1,FALSE)*Apport_M802324s+(VLOOKUP($A193,EnrollData2324,'2324 Jun 24 Enroll'!P$1,FALSE)+VLOOKUP($A193,EnrollData2324,'2324 Jun 24 Enroll'!Q$1,FALSE)+VLOOKUP($A193,EnrollData2324,'2324 Jun 24 Enroll'!R$1,FALSE)+VLOOKUP($A193,EnrollData2324,'2324 Jun 24 Enroll'!I$1,FALSE)+VLOOKUP($A193,EnrollData2324,'2324 Jun 24 Enroll'!N$1,FALSE)+VLOOKUP($A193,EnrollData2324,'2324 Jun 24 Enroll'!O$1,FALSE)+VLOOKUP($A193,EnrollData2324,'2324 Jun 24 Enroll'!K$1,FALSE)+VLOOKUP($A193,EnrollData2324,'2324 Jun 24 Enroll'!L$1,FALSE))*Apport_M812324s)/(VLOOKUP($A193,EnrollData2324,'2324 Jun 24 Enroll'!M$1,FALSE)+VLOOKUP($A193,EnrollData2324,'2324 Jun 24 Enroll'!D$1,FALSE)),2)</f>
        <v>1517.55</v>
      </c>
      <c r="AS193" s="7">
        <f t="shared" si="21"/>
        <v>9421.74</v>
      </c>
      <c r="AT193" s="6"/>
    </row>
    <row r="194" spans="1:46">
      <c r="A194" s="40" t="s">
        <v>717</v>
      </c>
      <c r="B194" s="40" t="s">
        <v>718</v>
      </c>
      <c r="C194" s="11">
        <f>ROUND((IFERROR((1/IF(VLOOKUP($A194,EnrollData2324,28,FALSE)='District Calculations'!$D$10,VLOOKUP($A194,EnrollData2324,28,FALSE),'District Calculations'!$D$10))*(1+Apport_Z315),0))+Apport_201A2324s,6)</f>
        <v>7.3449E-2</v>
      </c>
      <c r="D194">
        <f>ROUND(IF(VLOOKUP($A194,EnrollData2324,'2324 Jun 24 Enroll'!D$1,FALSE)='District Calculations'!$D$11,VLOOKUP($A194,EnrollData2324,'2324 Jun 24 Enroll'!D$1,FALSE),'District Calculations'!$D$11)*C194,3)</f>
        <v>0</v>
      </c>
      <c r="E194">
        <f>ROUND(IF(VLOOKUP($A194,EnrollData2324,'2324 Jun 24 Enroll'!E$1,FALSE)='District Calculations'!$D$12,VLOOKUP($A194,EnrollData2324,'2324 Jun 24 Enroll'!E$1,FALSE),'District Calculations'!$D$12)*C194,3)</f>
        <v>59.53</v>
      </c>
      <c r="F194">
        <f>ROUND(IF(VLOOKUP($A194,EnrollData2324,'2324 Jun 24 Enroll'!F$1,FALSE)='District Calculations'!$D$13,VLOOKUP($A194,EnrollData2324,'2324 Jun 24 Enroll'!F$1,FALSE),'District Calculations'!$D$13)*Apport_222A2324s,3)</f>
        <v>10.101000000000001</v>
      </c>
      <c r="G194">
        <f>ROUND(IF(VLOOKUP($A194,EnrollData2324,'2324 Jun 24 Enroll'!G$1,FALSE)='District Calculations'!$D$14,VLOOKUP($A194,EnrollData2324,'2324 Jun 24 Enroll'!G$1,FALSE),'District Calculations'!$D$14)*Apport_210A2324s,3)</f>
        <v>22.395</v>
      </c>
      <c r="H194">
        <f>ROUND(IF(VLOOKUP($A194,EnrollData2324,'2324 Jun 24 Enroll'!H$1,FALSE)='District Calculations'!$D$15,VLOOKUP($A194,EnrollData2324,'2324 Jun 24 Enroll'!H$1,FALSE),'District Calculations'!$D$15)*Apport_213A2324s,3)</f>
        <v>23.091999999999999</v>
      </c>
      <c r="I194">
        <f>ROUND(IF(VLOOKUP($A194,EnrollData2324,'2324 Jun 24 Enroll'!I$1,FALSE)+VLOOKUP($A194,EnrollData2324,'2324 Jun 24 Enroll'!M$1,FALSE)-VLOOKUP($A194,EnrollData2324,'2324 Jun 24 Enroll'!J$1,FALSE)='District Calculations'!$D$16+'District Calculations'!$D$25-'District Calculations'!$D$17,VLOOKUP($A194,EnrollData2324,'2324 Jun 24 Enroll'!I$1,FALSE)+VLOOKUP($A194,EnrollData2324,'2324 Jun 24 Enroll'!M$1,FALSE)-VLOOKUP($A194,EnrollData2324,'2324 Jun 24 Enroll'!J$1,FALSE),'District Calculations'!$D$16+'District Calculations'!$D$25-'District Calculations'!$D$17)*Apport_216A2324s,3)</f>
        <v>58.183999999999997</v>
      </c>
      <c r="J194">
        <f>ROUND(SUM(D194:I194)/(IF(VLOOKUP($A194,EnrollData2324,'2324 Jun 24 Enroll'!M$1,FALSE)='District Calculations'!$D$25,VLOOKUP($A194,EnrollData2324,'2324 Jun 24 Enroll'!M$1,FALSE),'District Calculations'!$D$25)+IF(VLOOKUP($A194,EnrollData2324,'2324 Jun 24 Enroll'!D$1,FALSE)='District Calculations'!$D$11,VLOOKUP($A194,EnrollData2324,'2324 Jun 24 Enroll'!D$1,FALSE),'District Calculations'!$D$11)),5)</f>
        <v>5.5530000000000003E-2</v>
      </c>
      <c r="K194" s="11">
        <f t="shared" si="17"/>
        <v>4.3699999999999998E-3</v>
      </c>
      <c r="L194">
        <f>ROUND(IF(VLOOKUP($A194,EnrollData2324,'2324 Jun 24 Enroll'!D$1,FALSE)='District Calculations'!$D$11,VLOOKUP($A194,EnrollData2324,'2324 Jun 24 Enroll'!D$1,FALSE),'District Calculations'!$D$11)*K194,3)</f>
        <v>0</v>
      </c>
      <c r="M194">
        <f>ROUND(IF(VLOOKUP($A194,EnrollData2324,'2324 Jun 24 Enroll'!E$1,FALSE)='District Calculations'!$D$12,VLOOKUP($A194,EnrollData2324,'2324 Jun 24 Enroll'!E$1,FALSE),'District Calculations'!$D$12)*K194,3)</f>
        <v>3.5419999999999998</v>
      </c>
      <c r="N194">
        <f>ROUND(IF(VLOOKUP($A194,EnrollData2324,'2324 Jun 24 Enroll'!F$1,FALSE)='District Calculations'!$D$13,VLOOKUP($A194,EnrollData2324,'2324 Jun 24 Enroll'!F$1,FALSE),'District Calculations'!$D$13)*Apport_223A2324s,3)</f>
        <v>0.84299999999999997</v>
      </c>
      <c r="O194">
        <f>ROUND(IF(VLOOKUP($A194,EnrollData2324,'2324 Jun 24 Enroll'!G$1,FALSE)='District Calculations'!$D$14,VLOOKUP($A194,EnrollData2324,'2324 Jun 24 Enroll'!G$1,FALSE),'District Calculations'!$D$14)*Apport_211A2324s,3)</f>
        <v>1.87</v>
      </c>
      <c r="P194">
        <f>ROUND(IF(VLOOKUP($A194,EnrollData2324,'2324 Jun 24 Enroll'!H$1,FALSE)='District Calculations'!$D$14,VLOOKUP($A194,EnrollData2324,'2324 Jun 24 Enroll'!H$1,FALSE),'District Calculations'!$D$14)*Apport_214A2324s,3)</f>
        <v>1.8680000000000001</v>
      </c>
      <c r="Q194">
        <f>ROUND(IF(VLOOKUP($A194,EnrollData2324,'2324 Jun 24 Enroll'!I$1,FALSE)+VLOOKUP($A194,EnrollData2324,'2324 Jun 24 Enroll'!M$1,FALSE)-VLOOKUP($A194,EnrollData2324,'2324 Jun 24 Enroll'!J$1,FALSE)='District Calculations'!$D$16+'District Calculations'!$D$25-'District Calculations'!$D$17,VLOOKUP($A194,EnrollData2324,'2324 Jun 24 Enroll'!I$1,FALSE)+VLOOKUP($A194,EnrollData2324,'2324 Jun 24 Enroll'!M$1,FALSE)-VLOOKUP($A194,EnrollData2324,'2324 Jun 24 Enroll'!J$1,FALSE),'District Calculations'!$D$16+'District Calculations'!$D$25-'District Calculations'!$D$17)*Apport_217A2324s,3)</f>
        <v>4.702</v>
      </c>
      <c r="R194">
        <f>ROUND(SUM(L194:Q194)/IF(VLOOKUP($A194,EnrollData2324,'2324 Jun 24 Enroll'!M$1,FALSE)+VLOOKUP($A194,EnrollData2324,'2324 Jun 24 Enroll'!D$1,FALSE)='District Calculations'!$D$25+'District Calculations'!$D$11,VLOOKUP($A194,EnrollData2324,'2324 Jun 24 Enroll'!M$1,FALSE)+VLOOKUP($A194,EnrollData2324,'2324 Jun 24 Enroll'!D$1,FALSE),'District Calculations'!$D$25+'District Calculations'!$D$11),5)</f>
        <v>4.1099999999999999E-3</v>
      </c>
      <c r="S194" s="11">
        <f t="shared" si="18"/>
        <v>1.8689600000000001E-2</v>
      </c>
      <c r="T194">
        <f>ROUND(IF(VLOOKUP($A194,EnrollData2324,'2324 Jun 24 Enroll'!D$1,FALSE)='District Calculations'!$D$11,VLOOKUP($A194,EnrollData2324,'2324 Jun 24 Enroll'!D$1,FALSE),'District Calculations'!$D$11)*S194,3)</f>
        <v>0</v>
      </c>
      <c r="U194">
        <f>ROUND(IF(VLOOKUP($A194,EnrollData2324,'2324 Jun 24 Enroll'!E$1,FALSE)='District Calculations'!$D$12,VLOOKUP($A194,EnrollData2324,'2324 Jun 24 Enroll'!E$1,FALSE),'District Calculations'!$D$12)*S194,3)</f>
        <v>15.148</v>
      </c>
      <c r="V194">
        <f>ROUND(IF(VLOOKUP($A194,EnrollData2324,'2324 Jun 24 Enroll'!F$1,FALSE)='District Calculations'!$D$13,VLOOKUP($A194,EnrollData2324,'2324 Jun 24 Enroll'!F$1,FALSE),'District Calculations'!$D$13)*Apport_224A2324s,3)</f>
        <v>3.7029999999999998</v>
      </c>
      <c r="W194">
        <f>ROUND(IF(VLOOKUP($A194,EnrollData2324,'2324 Jun 24 Enroll'!G$1,FALSE)='District Calculations'!$D$14,VLOOKUP($A194,EnrollData2324,'2324 Jun 24 Enroll'!G$1,FALSE),'District Calculations'!$D$14)*Apport_212A2324s,3)</f>
        <v>8.2089999999999996</v>
      </c>
      <c r="X194">
        <f>ROUND(IF(VLOOKUP($A194,EnrollData2324,'2324 Jun 24 Enroll'!H$1,FALSE)='District Calculations'!$D$14,VLOOKUP($A194,EnrollData2324,'2324 Jun 24 Enroll'!H$1,FALSE),'District Calculations'!$D$14)*Apport_215A2324s,3)</f>
        <v>8.0969999999999995</v>
      </c>
      <c r="Y194">
        <f>ROUND(IF(VLOOKUP($A194,EnrollData2324,'2324 Jun 24 Enroll'!I$1,FALSE)+VLOOKUP($A194,EnrollData2324,'2324 Jun 24 Enroll'!M$1,FALSE)-VLOOKUP($A194,EnrollData2324,'2324 Jun 24 Enroll'!J$1,FALSE)='District Calculations'!$D$16+'District Calculations'!$D$25-'District Calculations'!$D$17,VLOOKUP($A194,EnrollData2324,'2324 Jun 24 Enroll'!I$1,FALSE)+VLOOKUP($A194,EnrollData2324,'2324 Jun 24 Enroll'!M$1,FALSE)-VLOOKUP($A194,EnrollData2324,'2324 Jun 24 Enroll'!J$1,FALSE),'District Calculations'!$D$16+'District Calculations'!$D$25-'District Calculations'!$D$17)*Apport_218A2324s,3)</f>
        <v>20.224</v>
      </c>
      <c r="Z194">
        <f>ROUND(SUM(T194:Y194)/IF(VLOOKUP($A194,EnrollData2324,'2324 Jun 24 Enroll'!M$1,FALSE)+VLOOKUP($A194,EnrollData2324,'2324 Jun 24 Enroll'!D$1,FALSE)='District Calculations'!$D$25+'District Calculations'!$D$11,VLOOKUP($A194,EnrollData2324,'2324 Jun 24 Enroll'!M$1,FALSE)+VLOOKUP($A194,EnrollData2324,'2324 Jun 24 Enroll'!D$1,FALSE),'District Calculations'!$D$25+'District Calculations'!$D$11),5)</f>
        <v>1.7749999999999998E-2</v>
      </c>
      <c r="AA194" s="6" cm="1">
        <f t="array" ref="AA194">ROUND($J194*CIS_Base_Salary2324s*VLOOKUP($A194,EnrollData2324,'2324 Jun 24 Enroll'!S$1,FALSE),2)</f>
        <v>4038.59</v>
      </c>
      <c r="AB194" s="6" cm="1">
        <f t="array" ref="AB194">ROUND($J194*CIS_Inc_Salary2324s*(VLOOKUP($A194,EnrollData2324,'2324 Jun 24 Enroll'!T$1,FALSE)+VLOOKUP($A194,EnrollData2324,'2324 Jun 24 Enroll'!U$1,FALSE)),2)-AA194</f>
        <v>149.43000000000029</v>
      </c>
      <c r="AC194" s="6" cm="1">
        <f t="array" ref="AC194">ROUND($R194*CAS_Base_Salary2324s*VLOOKUP($A194,EnrollData2324,'2324 Jun 24 Enroll'!S$1,FALSE),2)</f>
        <v>443.7</v>
      </c>
      <c r="AD194" s="6" cm="1">
        <f t="array" ref="AD194">ROUND($R194*CAS_Inc_Salary2324s*VLOOKUP($A194,EnrollData2324,'2324 Jun 24 Enroll'!T$1,FALSE),2)-AC194</f>
        <v>16.410000000000025</v>
      </c>
      <c r="AE194" s="6" cm="1">
        <f t="array" ref="AE194">ROUND($Z194*CLS_Base_Salary2324s*VLOOKUP($A194,EnrollData2324,'2324 Jun 24 Enroll'!S$1,FALSE),2)</f>
        <v>926.07</v>
      </c>
      <c r="AF194" s="6" cm="1">
        <f t="array" ref="AF194">ROUND($Z194*CLS_Inc_Salary2324s*VLOOKUP($A194,EnrollData2324,'2324 Jun 24 Enroll'!T$1,FALSE),2)-AE194</f>
        <v>34.259999999999991</v>
      </c>
      <c r="AG194" cm="1">
        <f t="array" ref="AG194">ROUND(($J194+$R194)*Apport_124X2324s,2)</f>
        <v>734.29</v>
      </c>
      <c r="AH194" s="69">
        <f t="shared" si="19"/>
        <v>68.700000000000045</v>
      </c>
      <c r="AI194" cm="1">
        <f t="array" ref="AI194">ROUND($Z194*Apport_124X2324s,2)</f>
        <v>218.54</v>
      </c>
      <c r="AJ194" cm="1">
        <f t="array" ref="AJ194">ROUND($Z194*Apport_621X2324s*Apport_125X2324s,2)-AI194</f>
        <v>116.51000000000002</v>
      </c>
      <c r="AK194" cm="1">
        <f t="array" ref="AK194">ROUND((AA194+AC194)*Apport_126X2324s,2)</f>
        <v>805.47</v>
      </c>
      <c r="AL194" cm="1">
        <f t="array" ref="AL194">ROUND((AB194+AD194)*Apport_127X2324s,2)</f>
        <v>28.74</v>
      </c>
      <c r="AM194" cm="1">
        <f t="array" ref="AM194">ROUND(AE194*Apport_128X2324s,2)</f>
        <v>204.29</v>
      </c>
      <c r="AN194" cm="1">
        <f t="array" ref="AN194">ROUND(AF194*Apport_129X2324s,2)</f>
        <v>6.36</v>
      </c>
      <c r="AO194" cm="1">
        <f t="array" ref="AO194">ROUND(($J194*CIS_Inc_Salary2324s*(VLOOKUP($A194,EnrollData2324,'2324 Jun 24 Enroll'!T$1,FALSE)+VLOOKUP($A194,EnrollData2324,'2324 Jun 24 Enroll'!U$1,FALSE))/Apport_613Xpd)*Apport_614Xpd,2)</f>
        <v>69.8</v>
      </c>
      <c r="AP194" cm="1">
        <f t="array" ref="AP194">ROUND(AO194*Apport_127X2324s,2)</f>
        <v>12.1</v>
      </c>
      <c r="AQ194">
        <f t="shared" si="20"/>
        <v>30.93</v>
      </c>
      <c r="AR194" s="6" cm="1">
        <f t="array" ref="AR194">ROUND((VLOOKUP($A194,EnrollData2324,'2324 Jun 24 Enroll'!D$1,FALSE)*Apport_M802324s+VLOOKUP($A194,EnrollData2324,'2324 Jun 24 Enroll'!M$1,FALSE)*Apport_M802324s+(VLOOKUP($A194,EnrollData2324,'2324 Jun 24 Enroll'!P$1,FALSE)+VLOOKUP($A194,EnrollData2324,'2324 Jun 24 Enroll'!Q$1,FALSE)+VLOOKUP($A194,EnrollData2324,'2324 Jun 24 Enroll'!R$1,FALSE)+VLOOKUP($A194,EnrollData2324,'2324 Jun 24 Enroll'!I$1,FALSE)+VLOOKUP($A194,EnrollData2324,'2324 Jun 24 Enroll'!N$1,FALSE)+VLOOKUP($A194,EnrollData2324,'2324 Jun 24 Enroll'!O$1,FALSE)+VLOOKUP($A194,EnrollData2324,'2324 Jun 24 Enroll'!K$1,FALSE)+VLOOKUP($A194,EnrollData2324,'2324 Jun 24 Enroll'!L$1,FALSE))*Apport_M812324s)/(VLOOKUP($A194,EnrollData2324,'2324 Jun 24 Enroll'!M$1,FALSE)+VLOOKUP($A194,EnrollData2324,'2324 Jun 24 Enroll'!D$1,FALSE)),2)</f>
        <v>1574.55</v>
      </c>
      <c r="AS194" s="7">
        <f t="shared" si="21"/>
        <v>9478.74</v>
      </c>
      <c r="AT194" s="6"/>
    </row>
    <row r="195" spans="1:46">
      <c r="A195" s="40" t="s">
        <v>773</v>
      </c>
      <c r="B195" s="40" t="s">
        <v>774</v>
      </c>
      <c r="C195" s="11">
        <f>ROUND((IFERROR((1/IF(VLOOKUP($A195,EnrollData2324,28,FALSE)='District Calculations'!$D$10,VLOOKUP($A195,EnrollData2324,28,FALSE),'District Calculations'!$D$10))*(1+Apport_Z315),0))+Apport_201A2324s,6)</f>
        <v>7.3449E-2</v>
      </c>
      <c r="D195">
        <f>ROUND(IF(VLOOKUP($A195,EnrollData2324,'2324 Jun 24 Enroll'!D$1,FALSE)='District Calculations'!$D$11,VLOOKUP($A195,EnrollData2324,'2324 Jun 24 Enroll'!D$1,FALSE),'District Calculations'!$D$11)*C195,3)</f>
        <v>0</v>
      </c>
      <c r="E195">
        <f>ROUND(IF(VLOOKUP($A195,EnrollData2324,'2324 Jun 24 Enroll'!E$1,FALSE)='District Calculations'!$D$12,VLOOKUP($A195,EnrollData2324,'2324 Jun 24 Enroll'!E$1,FALSE),'District Calculations'!$D$12)*C195,3)</f>
        <v>59.53</v>
      </c>
      <c r="F195">
        <f>ROUND(IF(VLOOKUP($A195,EnrollData2324,'2324 Jun 24 Enroll'!F$1,FALSE)='District Calculations'!$D$13,VLOOKUP($A195,EnrollData2324,'2324 Jun 24 Enroll'!F$1,FALSE),'District Calculations'!$D$13)*Apport_222A2324s,3)</f>
        <v>10.101000000000001</v>
      </c>
      <c r="G195">
        <f>ROUND(IF(VLOOKUP($A195,EnrollData2324,'2324 Jun 24 Enroll'!G$1,FALSE)='District Calculations'!$D$14,VLOOKUP($A195,EnrollData2324,'2324 Jun 24 Enroll'!G$1,FALSE),'District Calculations'!$D$14)*Apport_210A2324s,3)</f>
        <v>22.395</v>
      </c>
      <c r="H195">
        <f>ROUND(IF(VLOOKUP($A195,EnrollData2324,'2324 Jun 24 Enroll'!H$1,FALSE)='District Calculations'!$D$15,VLOOKUP($A195,EnrollData2324,'2324 Jun 24 Enroll'!H$1,FALSE),'District Calculations'!$D$15)*Apport_213A2324s,3)</f>
        <v>23.091999999999999</v>
      </c>
      <c r="I195">
        <f>ROUND(IF(VLOOKUP($A195,EnrollData2324,'2324 Jun 24 Enroll'!I$1,FALSE)+VLOOKUP($A195,EnrollData2324,'2324 Jun 24 Enroll'!M$1,FALSE)-VLOOKUP($A195,EnrollData2324,'2324 Jun 24 Enroll'!J$1,FALSE)='District Calculations'!$D$16+'District Calculations'!$D$25-'District Calculations'!$D$17,VLOOKUP($A195,EnrollData2324,'2324 Jun 24 Enroll'!I$1,FALSE)+VLOOKUP($A195,EnrollData2324,'2324 Jun 24 Enroll'!M$1,FALSE)-VLOOKUP($A195,EnrollData2324,'2324 Jun 24 Enroll'!J$1,FALSE),'District Calculations'!$D$16+'District Calculations'!$D$25-'District Calculations'!$D$17)*Apport_216A2324s,3)</f>
        <v>58.183999999999997</v>
      </c>
      <c r="J195">
        <f>ROUND(SUM(D195:I195)/(IF(VLOOKUP($A195,EnrollData2324,'2324 Jun 24 Enroll'!M$1,FALSE)='District Calculations'!$D$25,VLOOKUP($A195,EnrollData2324,'2324 Jun 24 Enroll'!M$1,FALSE),'District Calculations'!$D$25)+IF(VLOOKUP($A195,EnrollData2324,'2324 Jun 24 Enroll'!D$1,FALSE)='District Calculations'!$D$11,VLOOKUP($A195,EnrollData2324,'2324 Jun 24 Enroll'!D$1,FALSE),'District Calculations'!$D$11)),5)</f>
        <v>5.5530000000000003E-2</v>
      </c>
      <c r="K195" s="11">
        <f t="shared" si="17"/>
        <v>4.3699999999999998E-3</v>
      </c>
      <c r="L195">
        <f>ROUND(IF(VLOOKUP($A195,EnrollData2324,'2324 Jun 24 Enroll'!D$1,FALSE)='District Calculations'!$D$11,VLOOKUP($A195,EnrollData2324,'2324 Jun 24 Enroll'!D$1,FALSE),'District Calculations'!$D$11)*K195,3)</f>
        <v>0</v>
      </c>
      <c r="M195">
        <f>ROUND(IF(VLOOKUP($A195,EnrollData2324,'2324 Jun 24 Enroll'!E$1,FALSE)='District Calculations'!$D$12,VLOOKUP($A195,EnrollData2324,'2324 Jun 24 Enroll'!E$1,FALSE),'District Calculations'!$D$12)*K195,3)</f>
        <v>3.5419999999999998</v>
      </c>
      <c r="N195">
        <f>ROUND(IF(VLOOKUP($A195,EnrollData2324,'2324 Jun 24 Enroll'!F$1,FALSE)='District Calculations'!$D$13,VLOOKUP($A195,EnrollData2324,'2324 Jun 24 Enroll'!F$1,FALSE),'District Calculations'!$D$13)*Apport_223A2324s,3)</f>
        <v>0.84299999999999997</v>
      </c>
      <c r="O195">
        <f>ROUND(IF(VLOOKUP($A195,EnrollData2324,'2324 Jun 24 Enroll'!G$1,FALSE)='District Calculations'!$D$14,VLOOKUP($A195,EnrollData2324,'2324 Jun 24 Enroll'!G$1,FALSE),'District Calculations'!$D$14)*Apport_211A2324s,3)</f>
        <v>1.87</v>
      </c>
      <c r="P195">
        <f>ROUND(IF(VLOOKUP($A195,EnrollData2324,'2324 Jun 24 Enroll'!H$1,FALSE)='District Calculations'!$D$14,VLOOKUP($A195,EnrollData2324,'2324 Jun 24 Enroll'!H$1,FALSE),'District Calculations'!$D$14)*Apport_214A2324s,3)</f>
        <v>1.8680000000000001</v>
      </c>
      <c r="Q195">
        <f>ROUND(IF(VLOOKUP($A195,EnrollData2324,'2324 Jun 24 Enroll'!I$1,FALSE)+VLOOKUP($A195,EnrollData2324,'2324 Jun 24 Enroll'!M$1,FALSE)-VLOOKUP($A195,EnrollData2324,'2324 Jun 24 Enroll'!J$1,FALSE)='District Calculations'!$D$16+'District Calculations'!$D$25-'District Calculations'!$D$17,VLOOKUP($A195,EnrollData2324,'2324 Jun 24 Enroll'!I$1,FALSE)+VLOOKUP($A195,EnrollData2324,'2324 Jun 24 Enroll'!M$1,FALSE)-VLOOKUP($A195,EnrollData2324,'2324 Jun 24 Enroll'!J$1,FALSE),'District Calculations'!$D$16+'District Calculations'!$D$25-'District Calculations'!$D$17)*Apport_217A2324s,3)</f>
        <v>4.702</v>
      </c>
      <c r="R195">
        <f>ROUND(SUM(L195:Q195)/IF(VLOOKUP($A195,EnrollData2324,'2324 Jun 24 Enroll'!M$1,FALSE)+VLOOKUP($A195,EnrollData2324,'2324 Jun 24 Enroll'!D$1,FALSE)='District Calculations'!$D$25+'District Calculations'!$D$11,VLOOKUP($A195,EnrollData2324,'2324 Jun 24 Enroll'!M$1,FALSE)+VLOOKUP($A195,EnrollData2324,'2324 Jun 24 Enroll'!D$1,FALSE),'District Calculations'!$D$25+'District Calculations'!$D$11),5)</f>
        <v>4.1099999999999999E-3</v>
      </c>
      <c r="S195" s="11">
        <f t="shared" si="18"/>
        <v>1.8689600000000001E-2</v>
      </c>
      <c r="T195">
        <f>ROUND(IF(VLOOKUP($A195,EnrollData2324,'2324 Jun 24 Enroll'!D$1,FALSE)='District Calculations'!$D$11,VLOOKUP($A195,EnrollData2324,'2324 Jun 24 Enroll'!D$1,FALSE),'District Calculations'!$D$11)*S195,3)</f>
        <v>0</v>
      </c>
      <c r="U195">
        <f>ROUND(IF(VLOOKUP($A195,EnrollData2324,'2324 Jun 24 Enroll'!E$1,FALSE)='District Calculations'!$D$12,VLOOKUP($A195,EnrollData2324,'2324 Jun 24 Enroll'!E$1,FALSE),'District Calculations'!$D$12)*S195,3)</f>
        <v>15.148</v>
      </c>
      <c r="V195">
        <f>ROUND(IF(VLOOKUP($A195,EnrollData2324,'2324 Jun 24 Enroll'!F$1,FALSE)='District Calculations'!$D$13,VLOOKUP($A195,EnrollData2324,'2324 Jun 24 Enroll'!F$1,FALSE),'District Calculations'!$D$13)*Apport_224A2324s,3)</f>
        <v>3.7029999999999998</v>
      </c>
      <c r="W195">
        <f>ROUND(IF(VLOOKUP($A195,EnrollData2324,'2324 Jun 24 Enroll'!G$1,FALSE)='District Calculations'!$D$14,VLOOKUP($A195,EnrollData2324,'2324 Jun 24 Enroll'!G$1,FALSE),'District Calculations'!$D$14)*Apport_212A2324s,3)</f>
        <v>8.2089999999999996</v>
      </c>
      <c r="X195">
        <f>ROUND(IF(VLOOKUP($A195,EnrollData2324,'2324 Jun 24 Enroll'!H$1,FALSE)='District Calculations'!$D$14,VLOOKUP($A195,EnrollData2324,'2324 Jun 24 Enroll'!H$1,FALSE),'District Calculations'!$D$14)*Apport_215A2324s,3)</f>
        <v>8.0969999999999995</v>
      </c>
      <c r="Y195">
        <f>ROUND(IF(VLOOKUP($A195,EnrollData2324,'2324 Jun 24 Enroll'!I$1,FALSE)+VLOOKUP($A195,EnrollData2324,'2324 Jun 24 Enroll'!M$1,FALSE)-VLOOKUP($A195,EnrollData2324,'2324 Jun 24 Enroll'!J$1,FALSE)='District Calculations'!$D$16+'District Calculations'!$D$25-'District Calculations'!$D$17,VLOOKUP($A195,EnrollData2324,'2324 Jun 24 Enroll'!I$1,FALSE)+VLOOKUP($A195,EnrollData2324,'2324 Jun 24 Enroll'!M$1,FALSE)-VLOOKUP($A195,EnrollData2324,'2324 Jun 24 Enroll'!J$1,FALSE),'District Calculations'!$D$16+'District Calculations'!$D$25-'District Calculations'!$D$17)*Apport_218A2324s,3)</f>
        <v>20.224</v>
      </c>
      <c r="Z195">
        <f>ROUND(SUM(T195:Y195)/IF(VLOOKUP($A195,EnrollData2324,'2324 Jun 24 Enroll'!M$1,FALSE)+VLOOKUP($A195,EnrollData2324,'2324 Jun 24 Enroll'!D$1,FALSE)='District Calculations'!$D$25+'District Calculations'!$D$11,VLOOKUP($A195,EnrollData2324,'2324 Jun 24 Enroll'!M$1,FALSE)+VLOOKUP($A195,EnrollData2324,'2324 Jun 24 Enroll'!D$1,FALSE),'District Calculations'!$D$25+'District Calculations'!$D$11),5)</f>
        <v>1.7749999999999998E-2</v>
      </c>
      <c r="AA195" s="6" cm="1">
        <f t="array" ref="AA195">ROUND($J195*CIS_Base_Salary2324s*VLOOKUP($A195,EnrollData2324,'2324 Jun 24 Enroll'!S$1,FALSE),2)</f>
        <v>4038.59</v>
      </c>
      <c r="AB195" s="6" cm="1">
        <f t="array" ref="AB195">ROUND($J195*CIS_Inc_Salary2324s*(VLOOKUP($A195,EnrollData2324,'2324 Jun 24 Enroll'!T$1,FALSE)+VLOOKUP($A195,EnrollData2324,'2324 Jun 24 Enroll'!U$1,FALSE)),2)-AA195</f>
        <v>149.43000000000029</v>
      </c>
      <c r="AC195" s="6" cm="1">
        <f t="array" ref="AC195">ROUND($R195*CAS_Base_Salary2324s*VLOOKUP($A195,EnrollData2324,'2324 Jun 24 Enroll'!S$1,FALSE),2)</f>
        <v>443.7</v>
      </c>
      <c r="AD195" s="6" cm="1">
        <f t="array" ref="AD195">ROUND($R195*CAS_Inc_Salary2324s*VLOOKUP($A195,EnrollData2324,'2324 Jun 24 Enroll'!T$1,FALSE),2)-AC195</f>
        <v>16.410000000000025</v>
      </c>
      <c r="AE195" s="6" cm="1">
        <f t="array" ref="AE195">ROUND($Z195*CLS_Base_Salary2324s*VLOOKUP($A195,EnrollData2324,'2324 Jun 24 Enroll'!S$1,FALSE),2)</f>
        <v>926.07</v>
      </c>
      <c r="AF195" s="6" cm="1">
        <f t="array" ref="AF195">ROUND($Z195*CLS_Inc_Salary2324s*VLOOKUP($A195,EnrollData2324,'2324 Jun 24 Enroll'!T$1,FALSE),2)-AE195</f>
        <v>34.259999999999991</v>
      </c>
      <c r="AG195" cm="1">
        <f t="array" ref="AG195">ROUND(($J195+$R195)*Apport_124X2324s,2)</f>
        <v>734.29</v>
      </c>
      <c r="AH195" s="69">
        <f t="shared" si="19"/>
        <v>68.700000000000045</v>
      </c>
      <c r="AI195" cm="1">
        <f t="array" ref="AI195">ROUND($Z195*Apport_124X2324s,2)</f>
        <v>218.54</v>
      </c>
      <c r="AJ195" cm="1">
        <f t="array" ref="AJ195">ROUND($Z195*Apport_621X2324s*Apport_125X2324s,2)-AI195</f>
        <v>116.51000000000002</v>
      </c>
      <c r="AK195" cm="1">
        <f t="array" ref="AK195">ROUND((AA195+AC195)*Apport_126X2324s,2)</f>
        <v>805.47</v>
      </c>
      <c r="AL195" cm="1">
        <f t="array" ref="AL195">ROUND((AB195+AD195)*Apport_127X2324s,2)</f>
        <v>28.74</v>
      </c>
      <c r="AM195" cm="1">
        <f t="array" ref="AM195">ROUND(AE195*Apport_128X2324s,2)</f>
        <v>204.29</v>
      </c>
      <c r="AN195" cm="1">
        <f t="array" ref="AN195">ROUND(AF195*Apport_129X2324s,2)</f>
        <v>6.36</v>
      </c>
      <c r="AO195" cm="1">
        <f t="array" ref="AO195">ROUND(($J195*CIS_Inc_Salary2324s*(VLOOKUP($A195,EnrollData2324,'2324 Jun 24 Enroll'!T$1,FALSE)+VLOOKUP($A195,EnrollData2324,'2324 Jun 24 Enroll'!U$1,FALSE))/Apport_613Xpd)*Apport_614Xpd,2)</f>
        <v>69.8</v>
      </c>
      <c r="AP195" cm="1">
        <f t="array" ref="AP195">ROUND(AO195*Apport_127X2324s,2)</f>
        <v>12.1</v>
      </c>
      <c r="AQ195">
        <f t="shared" si="20"/>
        <v>30.93</v>
      </c>
      <c r="AR195" s="6" cm="1">
        <f t="array" ref="AR195">ROUND((VLOOKUP($A195,EnrollData2324,'2324 Jun 24 Enroll'!D$1,FALSE)*Apport_M802324s+VLOOKUP($A195,EnrollData2324,'2324 Jun 24 Enroll'!M$1,FALSE)*Apport_M802324s+(VLOOKUP($A195,EnrollData2324,'2324 Jun 24 Enroll'!P$1,FALSE)+VLOOKUP($A195,EnrollData2324,'2324 Jun 24 Enroll'!Q$1,FALSE)+VLOOKUP($A195,EnrollData2324,'2324 Jun 24 Enroll'!R$1,FALSE)+VLOOKUP($A195,EnrollData2324,'2324 Jun 24 Enroll'!I$1,FALSE)+VLOOKUP($A195,EnrollData2324,'2324 Jun 24 Enroll'!N$1,FALSE)+VLOOKUP($A195,EnrollData2324,'2324 Jun 24 Enroll'!O$1,FALSE)+VLOOKUP($A195,EnrollData2324,'2324 Jun 24 Enroll'!K$1,FALSE)+VLOOKUP($A195,EnrollData2324,'2324 Jun 24 Enroll'!L$1,FALSE))*Apport_M812324s)/(VLOOKUP($A195,EnrollData2324,'2324 Jun 24 Enroll'!M$1,FALSE)+VLOOKUP($A195,EnrollData2324,'2324 Jun 24 Enroll'!D$1,FALSE)),2)</f>
        <v>1571.78</v>
      </c>
      <c r="AS195" s="7">
        <f t="shared" si="21"/>
        <v>9475.9700000000012</v>
      </c>
    </row>
    <row r="196" spans="1:46">
      <c r="A196" s="40" t="s">
        <v>879</v>
      </c>
      <c r="B196" s="40" t="s">
        <v>880</v>
      </c>
      <c r="C196" s="11">
        <f>ROUND((IFERROR((1/IF(VLOOKUP($A196,EnrollData2324,28,FALSE)='District Calculations'!$D$10,VLOOKUP($A196,EnrollData2324,28,FALSE),'District Calculations'!$D$10))*(1+Apport_Z315),0))+Apport_201A2324s,6)</f>
        <v>7.3449E-2</v>
      </c>
      <c r="D196">
        <f>ROUND(IF(VLOOKUP($A196,EnrollData2324,'2324 Jun 24 Enroll'!D$1,FALSE)='District Calculations'!$D$11,VLOOKUP($A196,EnrollData2324,'2324 Jun 24 Enroll'!D$1,FALSE),'District Calculations'!$D$11)*C196,3)</f>
        <v>0</v>
      </c>
      <c r="E196">
        <f>ROUND(IF(VLOOKUP($A196,EnrollData2324,'2324 Jun 24 Enroll'!E$1,FALSE)='District Calculations'!$D$12,VLOOKUP($A196,EnrollData2324,'2324 Jun 24 Enroll'!E$1,FALSE),'District Calculations'!$D$12)*C196,3)</f>
        <v>59.53</v>
      </c>
      <c r="F196">
        <f>ROUND(IF(VLOOKUP($A196,EnrollData2324,'2324 Jun 24 Enroll'!F$1,FALSE)='District Calculations'!$D$13,VLOOKUP($A196,EnrollData2324,'2324 Jun 24 Enroll'!F$1,FALSE),'District Calculations'!$D$13)*Apport_222A2324s,3)</f>
        <v>10.101000000000001</v>
      </c>
      <c r="G196">
        <f>ROUND(IF(VLOOKUP($A196,EnrollData2324,'2324 Jun 24 Enroll'!G$1,FALSE)='District Calculations'!$D$14,VLOOKUP($A196,EnrollData2324,'2324 Jun 24 Enroll'!G$1,FALSE),'District Calculations'!$D$14)*Apport_210A2324s,3)</f>
        <v>22.395</v>
      </c>
      <c r="H196">
        <f>ROUND(IF(VLOOKUP($A196,EnrollData2324,'2324 Jun 24 Enroll'!H$1,FALSE)='District Calculations'!$D$15,VLOOKUP($A196,EnrollData2324,'2324 Jun 24 Enroll'!H$1,FALSE),'District Calculations'!$D$15)*Apport_213A2324s,3)</f>
        <v>23.091999999999999</v>
      </c>
      <c r="I196">
        <f>ROUND(IF(VLOOKUP($A196,EnrollData2324,'2324 Jun 24 Enroll'!I$1,FALSE)+VLOOKUP($A196,EnrollData2324,'2324 Jun 24 Enroll'!M$1,FALSE)-VLOOKUP($A196,EnrollData2324,'2324 Jun 24 Enroll'!J$1,FALSE)='District Calculations'!$D$16+'District Calculations'!$D$25-'District Calculations'!$D$17,VLOOKUP($A196,EnrollData2324,'2324 Jun 24 Enroll'!I$1,FALSE)+VLOOKUP($A196,EnrollData2324,'2324 Jun 24 Enroll'!M$1,FALSE)-VLOOKUP($A196,EnrollData2324,'2324 Jun 24 Enroll'!J$1,FALSE),'District Calculations'!$D$16+'District Calculations'!$D$25-'District Calculations'!$D$17)*Apport_216A2324s,3)</f>
        <v>58.183999999999997</v>
      </c>
      <c r="J196">
        <f>ROUND(SUM(D196:I196)/(IF(VLOOKUP($A196,EnrollData2324,'2324 Jun 24 Enroll'!M$1,FALSE)='District Calculations'!$D$25,VLOOKUP($A196,EnrollData2324,'2324 Jun 24 Enroll'!M$1,FALSE),'District Calculations'!$D$25)+IF(VLOOKUP($A196,EnrollData2324,'2324 Jun 24 Enroll'!D$1,FALSE)='District Calculations'!$D$11,VLOOKUP($A196,EnrollData2324,'2324 Jun 24 Enroll'!D$1,FALSE),'District Calculations'!$D$11)),5)</f>
        <v>5.5530000000000003E-2</v>
      </c>
      <c r="K196" s="11">
        <f t="shared" si="17"/>
        <v>4.3699999999999998E-3</v>
      </c>
      <c r="L196">
        <f>ROUND(IF(VLOOKUP($A196,EnrollData2324,'2324 Jun 24 Enroll'!D$1,FALSE)='District Calculations'!$D$11,VLOOKUP($A196,EnrollData2324,'2324 Jun 24 Enroll'!D$1,FALSE),'District Calculations'!$D$11)*K196,3)</f>
        <v>0</v>
      </c>
      <c r="M196">
        <f>ROUND(IF(VLOOKUP($A196,EnrollData2324,'2324 Jun 24 Enroll'!E$1,FALSE)='District Calculations'!$D$12,VLOOKUP($A196,EnrollData2324,'2324 Jun 24 Enroll'!E$1,FALSE),'District Calculations'!$D$12)*K196,3)</f>
        <v>3.5419999999999998</v>
      </c>
      <c r="N196">
        <f>ROUND(IF(VLOOKUP($A196,EnrollData2324,'2324 Jun 24 Enroll'!F$1,FALSE)='District Calculations'!$D$13,VLOOKUP($A196,EnrollData2324,'2324 Jun 24 Enroll'!F$1,FALSE),'District Calculations'!$D$13)*Apport_223A2324s,3)</f>
        <v>0.84299999999999997</v>
      </c>
      <c r="O196">
        <f>ROUND(IF(VLOOKUP($A196,EnrollData2324,'2324 Jun 24 Enroll'!G$1,FALSE)='District Calculations'!$D$14,VLOOKUP($A196,EnrollData2324,'2324 Jun 24 Enroll'!G$1,FALSE),'District Calculations'!$D$14)*Apport_211A2324s,3)</f>
        <v>1.87</v>
      </c>
      <c r="P196">
        <f>ROUND(IF(VLOOKUP($A196,EnrollData2324,'2324 Jun 24 Enroll'!H$1,FALSE)='District Calculations'!$D$14,VLOOKUP($A196,EnrollData2324,'2324 Jun 24 Enroll'!H$1,FALSE),'District Calculations'!$D$14)*Apport_214A2324s,3)</f>
        <v>1.8680000000000001</v>
      </c>
      <c r="Q196">
        <f>ROUND(IF(VLOOKUP($A196,EnrollData2324,'2324 Jun 24 Enroll'!I$1,FALSE)+VLOOKUP($A196,EnrollData2324,'2324 Jun 24 Enroll'!M$1,FALSE)-VLOOKUP($A196,EnrollData2324,'2324 Jun 24 Enroll'!J$1,FALSE)='District Calculations'!$D$16+'District Calculations'!$D$25-'District Calculations'!$D$17,VLOOKUP($A196,EnrollData2324,'2324 Jun 24 Enroll'!I$1,FALSE)+VLOOKUP($A196,EnrollData2324,'2324 Jun 24 Enroll'!M$1,FALSE)-VLOOKUP($A196,EnrollData2324,'2324 Jun 24 Enroll'!J$1,FALSE),'District Calculations'!$D$16+'District Calculations'!$D$25-'District Calculations'!$D$17)*Apport_217A2324s,3)</f>
        <v>4.702</v>
      </c>
      <c r="R196">
        <f>ROUND(SUM(L196:Q196)/IF(VLOOKUP($A196,EnrollData2324,'2324 Jun 24 Enroll'!M$1,FALSE)+VLOOKUP($A196,EnrollData2324,'2324 Jun 24 Enroll'!D$1,FALSE)='District Calculations'!$D$25+'District Calculations'!$D$11,VLOOKUP($A196,EnrollData2324,'2324 Jun 24 Enroll'!M$1,FALSE)+VLOOKUP($A196,EnrollData2324,'2324 Jun 24 Enroll'!D$1,FALSE),'District Calculations'!$D$25+'District Calculations'!$D$11),5)</f>
        <v>4.1099999999999999E-3</v>
      </c>
      <c r="S196" s="11">
        <f t="shared" si="18"/>
        <v>1.8689600000000001E-2</v>
      </c>
      <c r="T196">
        <f>ROUND(IF(VLOOKUP($A196,EnrollData2324,'2324 Jun 24 Enroll'!D$1,FALSE)='District Calculations'!$D$11,VLOOKUP($A196,EnrollData2324,'2324 Jun 24 Enroll'!D$1,FALSE),'District Calculations'!$D$11)*S196,3)</f>
        <v>0</v>
      </c>
      <c r="U196">
        <f>ROUND(IF(VLOOKUP($A196,EnrollData2324,'2324 Jun 24 Enroll'!E$1,FALSE)='District Calculations'!$D$12,VLOOKUP($A196,EnrollData2324,'2324 Jun 24 Enroll'!E$1,FALSE),'District Calculations'!$D$12)*S196,3)</f>
        <v>15.148</v>
      </c>
      <c r="V196">
        <f>ROUND(IF(VLOOKUP($A196,EnrollData2324,'2324 Jun 24 Enroll'!F$1,FALSE)='District Calculations'!$D$13,VLOOKUP($A196,EnrollData2324,'2324 Jun 24 Enroll'!F$1,FALSE),'District Calculations'!$D$13)*Apport_224A2324s,3)</f>
        <v>3.7029999999999998</v>
      </c>
      <c r="W196">
        <f>ROUND(IF(VLOOKUP($A196,EnrollData2324,'2324 Jun 24 Enroll'!G$1,FALSE)='District Calculations'!$D$14,VLOOKUP($A196,EnrollData2324,'2324 Jun 24 Enroll'!G$1,FALSE),'District Calculations'!$D$14)*Apport_212A2324s,3)</f>
        <v>8.2089999999999996</v>
      </c>
      <c r="X196">
        <f>ROUND(IF(VLOOKUP($A196,EnrollData2324,'2324 Jun 24 Enroll'!H$1,FALSE)='District Calculations'!$D$14,VLOOKUP($A196,EnrollData2324,'2324 Jun 24 Enroll'!H$1,FALSE),'District Calculations'!$D$14)*Apport_215A2324s,3)</f>
        <v>8.0969999999999995</v>
      </c>
      <c r="Y196">
        <f>ROUND(IF(VLOOKUP($A196,EnrollData2324,'2324 Jun 24 Enroll'!I$1,FALSE)+VLOOKUP($A196,EnrollData2324,'2324 Jun 24 Enroll'!M$1,FALSE)-VLOOKUP($A196,EnrollData2324,'2324 Jun 24 Enroll'!J$1,FALSE)='District Calculations'!$D$16+'District Calculations'!$D$25-'District Calculations'!$D$17,VLOOKUP($A196,EnrollData2324,'2324 Jun 24 Enroll'!I$1,FALSE)+VLOOKUP($A196,EnrollData2324,'2324 Jun 24 Enroll'!M$1,FALSE)-VLOOKUP($A196,EnrollData2324,'2324 Jun 24 Enroll'!J$1,FALSE),'District Calculations'!$D$16+'District Calculations'!$D$25-'District Calculations'!$D$17)*Apport_218A2324s,3)</f>
        <v>20.224</v>
      </c>
      <c r="Z196">
        <f>ROUND(SUM(T196:Y196)/IF(VLOOKUP($A196,EnrollData2324,'2324 Jun 24 Enroll'!M$1,FALSE)+VLOOKUP($A196,EnrollData2324,'2324 Jun 24 Enroll'!D$1,FALSE)='District Calculations'!$D$25+'District Calculations'!$D$11,VLOOKUP($A196,EnrollData2324,'2324 Jun 24 Enroll'!M$1,FALSE)+VLOOKUP($A196,EnrollData2324,'2324 Jun 24 Enroll'!D$1,FALSE),'District Calculations'!$D$25+'District Calculations'!$D$11),5)</f>
        <v>1.7749999999999998E-2</v>
      </c>
      <c r="AA196" s="6" cm="1">
        <f t="array" ref="AA196">ROUND($J196*CIS_Base_Salary2324s*VLOOKUP($A196,EnrollData2324,'2324 Jun 24 Enroll'!S$1,FALSE),2)</f>
        <v>4038.59</v>
      </c>
      <c r="AB196" s="6" cm="1">
        <f t="array" ref="AB196">ROUND($J196*CIS_Inc_Salary2324s*(VLOOKUP($A196,EnrollData2324,'2324 Jun 24 Enroll'!T$1,FALSE)+VLOOKUP($A196,EnrollData2324,'2324 Jun 24 Enroll'!U$1,FALSE)),2)-AA196</f>
        <v>149.43000000000029</v>
      </c>
      <c r="AC196" s="6" cm="1">
        <f t="array" ref="AC196">ROUND($R196*CAS_Base_Salary2324s*VLOOKUP($A196,EnrollData2324,'2324 Jun 24 Enroll'!S$1,FALSE),2)</f>
        <v>443.7</v>
      </c>
      <c r="AD196" s="6" cm="1">
        <f t="array" ref="AD196">ROUND($R196*CAS_Inc_Salary2324s*VLOOKUP($A196,EnrollData2324,'2324 Jun 24 Enroll'!T$1,FALSE),2)-AC196</f>
        <v>16.410000000000025</v>
      </c>
      <c r="AE196" s="6" cm="1">
        <f t="array" ref="AE196">ROUND($Z196*CLS_Base_Salary2324s*VLOOKUP($A196,EnrollData2324,'2324 Jun 24 Enroll'!S$1,FALSE),2)</f>
        <v>926.07</v>
      </c>
      <c r="AF196" s="6" cm="1">
        <f t="array" ref="AF196">ROUND($Z196*CLS_Inc_Salary2324s*VLOOKUP($A196,EnrollData2324,'2324 Jun 24 Enroll'!T$1,FALSE),2)-AE196</f>
        <v>34.259999999999991</v>
      </c>
      <c r="AG196" cm="1">
        <f t="array" ref="AG196">ROUND(($J196+$R196)*Apport_124X2324s,2)</f>
        <v>734.29</v>
      </c>
      <c r="AH196" s="69">
        <f t="shared" si="19"/>
        <v>68.700000000000045</v>
      </c>
      <c r="AI196" cm="1">
        <f t="array" ref="AI196">ROUND($Z196*Apport_124X2324s,2)</f>
        <v>218.54</v>
      </c>
      <c r="AJ196" cm="1">
        <f t="array" ref="AJ196">ROUND($Z196*Apport_621X2324s*Apport_125X2324s,2)-AI196</f>
        <v>116.51000000000002</v>
      </c>
      <c r="AK196" cm="1">
        <f t="array" ref="AK196">ROUND((AA196+AC196)*Apport_126X2324s,2)</f>
        <v>805.47</v>
      </c>
      <c r="AL196" cm="1">
        <f t="array" ref="AL196">ROUND((AB196+AD196)*Apport_127X2324s,2)</f>
        <v>28.74</v>
      </c>
      <c r="AM196" cm="1">
        <f t="array" ref="AM196">ROUND(AE196*Apport_128X2324s,2)</f>
        <v>204.29</v>
      </c>
      <c r="AN196" cm="1">
        <f t="array" ref="AN196">ROUND(AF196*Apport_129X2324s,2)</f>
        <v>6.36</v>
      </c>
      <c r="AO196" cm="1">
        <f t="array" ref="AO196">ROUND(($J196*CIS_Inc_Salary2324s*(VLOOKUP($A196,EnrollData2324,'2324 Jun 24 Enroll'!T$1,FALSE)+VLOOKUP($A196,EnrollData2324,'2324 Jun 24 Enroll'!U$1,FALSE))/Apport_613Xpd)*Apport_614Xpd,2)</f>
        <v>69.8</v>
      </c>
      <c r="AP196" cm="1">
        <f t="array" ref="AP196">ROUND(AO196*Apport_127X2324s,2)</f>
        <v>12.1</v>
      </c>
      <c r="AQ196">
        <f t="shared" si="20"/>
        <v>30.93</v>
      </c>
      <c r="AR196" s="6" cm="1">
        <f t="array" ref="AR196">ROUND((VLOOKUP($A196,EnrollData2324,'2324 Jun 24 Enroll'!D$1,FALSE)*Apport_M802324s+VLOOKUP($A196,EnrollData2324,'2324 Jun 24 Enroll'!M$1,FALSE)*Apport_M802324s+(VLOOKUP($A196,EnrollData2324,'2324 Jun 24 Enroll'!P$1,FALSE)+VLOOKUP($A196,EnrollData2324,'2324 Jun 24 Enroll'!Q$1,FALSE)+VLOOKUP($A196,EnrollData2324,'2324 Jun 24 Enroll'!R$1,FALSE)+VLOOKUP($A196,EnrollData2324,'2324 Jun 24 Enroll'!I$1,FALSE)+VLOOKUP($A196,EnrollData2324,'2324 Jun 24 Enroll'!N$1,FALSE)+VLOOKUP($A196,EnrollData2324,'2324 Jun 24 Enroll'!O$1,FALSE)+VLOOKUP($A196,EnrollData2324,'2324 Jun 24 Enroll'!K$1,FALSE)+VLOOKUP($A196,EnrollData2324,'2324 Jun 24 Enroll'!L$1,FALSE))*Apport_M812324s)/(VLOOKUP($A196,EnrollData2324,'2324 Jun 24 Enroll'!M$1,FALSE)+VLOOKUP($A196,EnrollData2324,'2324 Jun 24 Enroll'!D$1,FALSE)),2)</f>
        <v>1568.16</v>
      </c>
      <c r="AS196" s="7">
        <f t="shared" si="21"/>
        <v>9472.35</v>
      </c>
    </row>
    <row r="197" spans="1:46">
      <c r="A197" s="40" t="s">
        <v>635</v>
      </c>
      <c r="B197" s="40" t="s">
        <v>636</v>
      </c>
      <c r="C197" s="11">
        <f>ROUND((IFERROR((1/IF(VLOOKUP($A197,EnrollData2324,28,FALSE)='District Calculations'!$D$10,VLOOKUP($A197,EnrollData2324,28,FALSE),'District Calculations'!$D$10))*(1+Apport_Z315),0))+Apport_201A2324s,6)</f>
        <v>7.3449E-2</v>
      </c>
      <c r="D197">
        <f>ROUND(IF(VLOOKUP($A197,EnrollData2324,'2324 Jun 24 Enroll'!D$1,FALSE)='District Calculations'!$D$11,VLOOKUP($A197,EnrollData2324,'2324 Jun 24 Enroll'!D$1,FALSE),'District Calculations'!$D$11)*C197,3)</f>
        <v>0</v>
      </c>
      <c r="E197">
        <f>ROUND(IF(VLOOKUP($A197,EnrollData2324,'2324 Jun 24 Enroll'!E$1,FALSE)='District Calculations'!$D$12,VLOOKUP($A197,EnrollData2324,'2324 Jun 24 Enroll'!E$1,FALSE),'District Calculations'!$D$12)*C197,3)</f>
        <v>59.53</v>
      </c>
      <c r="F197">
        <f>ROUND(IF(VLOOKUP($A197,EnrollData2324,'2324 Jun 24 Enroll'!F$1,FALSE)='District Calculations'!$D$13,VLOOKUP($A197,EnrollData2324,'2324 Jun 24 Enroll'!F$1,FALSE),'District Calculations'!$D$13)*Apport_222A2324s,3)</f>
        <v>10.101000000000001</v>
      </c>
      <c r="G197">
        <f>ROUND(IF(VLOOKUP($A197,EnrollData2324,'2324 Jun 24 Enroll'!G$1,FALSE)='District Calculations'!$D$14,VLOOKUP($A197,EnrollData2324,'2324 Jun 24 Enroll'!G$1,FALSE),'District Calculations'!$D$14)*Apport_210A2324s,3)</f>
        <v>22.395</v>
      </c>
      <c r="H197">
        <f>ROUND(IF(VLOOKUP($A197,EnrollData2324,'2324 Jun 24 Enroll'!H$1,FALSE)='District Calculations'!$D$15,VLOOKUP($A197,EnrollData2324,'2324 Jun 24 Enroll'!H$1,FALSE),'District Calculations'!$D$15)*Apport_213A2324s,3)</f>
        <v>23.091999999999999</v>
      </c>
      <c r="I197">
        <f>ROUND(IF(VLOOKUP($A197,EnrollData2324,'2324 Jun 24 Enroll'!I$1,FALSE)+VLOOKUP($A197,EnrollData2324,'2324 Jun 24 Enroll'!M$1,FALSE)-VLOOKUP($A197,EnrollData2324,'2324 Jun 24 Enroll'!J$1,FALSE)='District Calculations'!$D$16+'District Calculations'!$D$25-'District Calculations'!$D$17,VLOOKUP($A197,EnrollData2324,'2324 Jun 24 Enroll'!I$1,FALSE)+VLOOKUP($A197,EnrollData2324,'2324 Jun 24 Enroll'!M$1,FALSE)-VLOOKUP($A197,EnrollData2324,'2324 Jun 24 Enroll'!J$1,FALSE),'District Calculations'!$D$16+'District Calculations'!$D$25-'District Calculations'!$D$17)*Apport_216A2324s,3)</f>
        <v>58.183999999999997</v>
      </c>
      <c r="J197">
        <f>ROUND(SUM(D197:I197)/(IF(VLOOKUP($A197,EnrollData2324,'2324 Jun 24 Enroll'!M$1,FALSE)='District Calculations'!$D$25,VLOOKUP($A197,EnrollData2324,'2324 Jun 24 Enroll'!M$1,FALSE),'District Calculations'!$D$25)+IF(VLOOKUP($A197,EnrollData2324,'2324 Jun 24 Enroll'!D$1,FALSE)='District Calculations'!$D$11,VLOOKUP($A197,EnrollData2324,'2324 Jun 24 Enroll'!D$1,FALSE),'District Calculations'!$D$11)),5)</f>
        <v>5.5530000000000003E-2</v>
      </c>
      <c r="K197" s="11">
        <f t="shared" si="17"/>
        <v>4.3699999999999998E-3</v>
      </c>
      <c r="L197">
        <f>ROUND(IF(VLOOKUP($A197,EnrollData2324,'2324 Jun 24 Enroll'!D$1,FALSE)='District Calculations'!$D$11,VLOOKUP($A197,EnrollData2324,'2324 Jun 24 Enroll'!D$1,FALSE),'District Calculations'!$D$11)*K197,3)</f>
        <v>0</v>
      </c>
      <c r="M197">
        <f>ROUND(IF(VLOOKUP($A197,EnrollData2324,'2324 Jun 24 Enroll'!E$1,FALSE)='District Calculations'!$D$12,VLOOKUP($A197,EnrollData2324,'2324 Jun 24 Enroll'!E$1,FALSE),'District Calculations'!$D$12)*K197,3)</f>
        <v>3.5419999999999998</v>
      </c>
      <c r="N197">
        <f>ROUND(IF(VLOOKUP($A197,EnrollData2324,'2324 Jun 24 Enroll'!F$1,FALSE)='District Calculations'!$D$13,VLOOKUP($A197,EnrollData2324,'2324 Jun 24 Enroll'!F$1,FALSE),'District Calculations'!$D$13)*Apport_223A2324s,3)</f>
        <v>0.84299999999999997</v>
      </c>
      <c r="O197">
        <f>ROUND(IF(VLOOKUP($A197,EnrollData2324,'2324 Jun 24 Enroll'!G$1,FALSE)='District Calculations'!$D$14,VLOOKUP($A197,EnrollData2324,'2324 Jun 24 Enroll'!G$1,FALSE),'District Calculations'!$D$14)*Apport_211A2324s,3)</f>
        <v>1.87</v>
      </c>
      <c r="P197">
        <f>ROUND(IF(VLOOKUP($A197,EnrollData2324,'2324 Jun 24 Enroll'!H$1,FALSE)='District Calculations'!$D$14,VLOOKUP($A197,EnrollData2324,'2324 Jun 24 Enroll'!H$1,FALSE),'District Calculations'!$D$14)*Apport_214A2324s,3)</f>
        <v>1.8680000000000001</v>
      </c>
      <c r="Q197">
        <f>ROUND(IF(VLOOKUP($A197,EnrollData2324,'2324 Jun 24 Enroll'!I$1,FALSE)+VLOOKUP($A197,EnrollData2324,'2324 Jun 24 Enroll'!M$1,FALSE)-VLOOKUP($A197,EnrollData2324,'2324 Jun 24 Enroll'!J$1,FALSE)='District Calculations'!$D$16+'District Calculations'!$D$25-'District Calculations'!$D$17,VLOOKUP($A197,EnrollData2324,'2324 Jun 24 Enroll'!I$1,FALSE)+VLOOKUP($A197,EnrollData2324,'2324 Jun 24 Enroll'!M$1,FALSE)-VLOOKUP($A197,EnrollData2324,'2324 Jun 24 Enroll'!J$1,FALSE),'District Calculations'!$D$16+'District Calculations'!$D$25-'District Calculations'!$D$17)*Apport_217A2324s,3)</f>
        <v>4.702</v>
      </c>
      <c r="R197">
        <f>ROUND(SUM(L197:Q197)/IF(VLOOKUP($A197,EnrollData2324,'2324 Jun 24 Enroll'!M$1,FALSE)+VLOOKUP($A197,EnrollData2324,'2324 Jun 24 Enroll'!D$1,FALSE)='District Calculations'!$D$25+'District Calculations'!$D$11,VLOOKUP($A197,EnrollData2324,'2324 Jun 24 Enroll'!M$1,FALSE)+VLOOKUP($A197,EnrollData2324,'2324 Jun 24 Enroll'!D$1,FALSE),'District Calculations'!$D$25+'District Calculations'!$D$11),5)</f>
        <v>4.1099999999999999E-3</v>
      </c>
      <c r="S197" s="11">
        <f t="shared" si="18"/>
        <v>1.8689600000000001E-2</v>
      </c>
      <c r="T197">
        <f>ROUND(IF(VLOOKUP($A197,EnrollData2324,'2324 Jun 24 Enroll'!D$1,FALSE)='District Calculations'!$D$11,VLOOKUP($A197,EnrollData2324,'2324 Jun 24 Enroll'!D$1,FALSE),'District Calculations'!$D$11)*S197,3)</f>
        <v>0</v>
      </c>
      <c r="U197">
        <f>ROUND(IF(VLOOKUP($A197,EnrollData2324,'2324 Jun 24 Enroll'!E$1,FALSE)='District Calculations'!$D$12,VLOOKUP($A197,EnrollData2324,'2324 Jun 24 Enroll'!E$1,FALSE),'District Calculations'!$D$12)*S197,3)</f>
        <v>15.148</v>
      </c>
      <c r="V197">
        <f>ROUND(IF(VLOOKUP($A197,EnrollData2324,'2324 Jun 24 Enroll'!F$1,FALSE)='District Calculations'!$D$13,VLOOKUP($A197,EnrollData2324,'2324 Jun 24 Enroll'!F$1,FALSE),'District Calculations'!$D$13)*Apport_224A2324s,3)</f>
        <v>3.7029999999999998</v>
      </c>
      <c r="W197">
        <f>ROUND(IF(VLOOKUP($A197,EnrollData2324,'2324 Jun 24 Enroll'!G$1,FALSE)='District Calculations'!$D$14,VLOOKUP($A197,EnrollData2324,'2324 Jun 24 Enroll'!G$1,FALSE),'District Calculations'!$D$14)*Apport_212A2324s,3)</f>
        <v>8.2089999999999996</v>
      </c>
      <c r="X197">
        <f>ROUND(IF(VLOOKUP($A197,EnrollData2324,'2324 Jun 24 Enroll'!H$1,FALSE)='District Calculations'!$D$14,VLOOKUP($A197,EnrollData2324,'2324 Jun 24 Enroll'!H$1,FALSE),'District Calculations'!$D$14)*Apport_215A2324s,3)</f>
        <v>8.0969999999999995</v>
      </c>
      <c r="Y197">
        <f>ROUND(IF(VLOOKUP($A197,EnrollData2324,'2324 Jun 24 Enroll'!I$1,FALSE)+VLOOKUP($A197,EnrollData2324,'2324 Jun 24 Enroll'!M$1,FALSE)-VLOOKUP($A197,EnrollData2324,'2324 Jun 24 Enroll'!J$1,FALSE)='District Calculations'!$D$16+'District Calculations'!$D$25-'District Calculations'!$D$17,VLOOKUP($A197,EnrollData2324,'2324 Jun 24 Enroll'!I$1,FALSE)+VLOOKUP($A197,EnrollData2324,'2324 Jun 24 Enroll'!M$1,FALSE)-VLOOKUP($A197,EnrollData2324,'2324 Jun 24 Enroll'!J$1,FALSE),'District Calculations'!$D$16+'District Calculations'!$D$25-'District Calculations'!$D$17)*Apport_218A2324s,3)</f>
        <v>20.224</v>
      </c>
      <c r="Z197">
        <f>ROUND(SUM(T197:Y197)/IF(VLOOKUP($A197,EnrollData2324,'2324 Jun 24 Enroll'!M$1,FALSE)+VLOOKUP($A197,EnrollData2324,'2324 Jun 24 Enroll'!D$1,FALSE)='District Calculations'!$D$25+'District Calculations'!$D$11,VLOOKUP($A197,EnrollData2324,'2324 Jun 24 Enroll'!M$1,FALSE)+VLOOKUP($A197,EnrollData2324,'2324 Jun 24 Enroll'!D$1,FALSE),'District Calculations'!$D$25+'District Calculations'!$D$11),5)</f>
        <v>1.7749999999999998E-2</v>
      </c>
      <c r="AA197" s="6" cm="1">
        <f t="array" ref="AA197">ROUND($J197*CIS_Base_Salary2324s*VLOOKUP($A197,EnrollData2324,'2324 Jun 24 Enroll'!S$1,FALSE),2)</f>
        <v>4038.59</v>
      </c>
      <c r="AB197" s="6" cm="1">
        <f t="array" ref="AB197">ROUND($J197*CIS_Inc_Salary2324s*(VLOOKUP($A197,EnrollData2324,'2324 Jun 24 Enroll'!T$1,FALSE)+VLOOKUP($A197,EnrollData2324,'2324 Jun 24 Enroll'!U$1,FALSE)),2)-AA197</f>
        <v>149.43000000000029</v>
      </c>
      <c r="AC197" s="6" cm="1">
        <f t="array" ref="AC197">ROUND($R197*CAS_Base_Salary2324s*VLOOKUP($A197,EnrollData2324,'2324 Jun 24 Enroll'!S$1,FALSE),2)</f>
        <v>443.7</v>
      </c>
      <c r="AD197" s="6" cm="1">
        <f t="array" ref="AD197">ROUND($R197*CAS_Inc_Salary2324s*VLOOKUP($A197,EnrollData2324,'2324 Jun 24 Enroll'!T$1,FALSE),2)-AC197</f>
        <v>16.410000000000025</v>
      </c>
      <c r="AE197" s="6" cm="1">
        <f t="array" ref="AE197">ROUND($Z197*CLS_Base_Salary2324s*VLOOKUP($A197,EnrollData2324,'2324 Jun 24 Enroll'!S$1,FALSE),2)</f>
        <v>926.07</v>
      </c>
      <c r="AF197" s="6" cm="1">
        <f t="array" ref="AF197">ROUND($Z197*CLS_Inc_Salary2324s*VLOOKUP($A197,EnrollData2324,'2324 Jun 24 Enroll'!T$1,FALSE),2)-AE197</f>
        <v>34.259999999999991</v>
      </c>
      <c r="AG197" cm="1">
        <f t="array" ref="AG197">ROUND(($J197+$R197)*Apport_124X2324s,2)</f>
        <v>734.29</v>
      </c>
      <c r="AH197" s="69">
        <f t="shared" si="19"/>
        <v>68.700000000000045</v>
      </c>
      <c r="AI197" cm="1">
        <f t="array" ref="AI197">ROUND($Z197*Apport_124X2324s,2)</f>
        <v>218.54</v>
      </c>
      <c r="AJ197" cm="1">
        <f t="array" ref="AJ197">ROUND($Z197*Apport_621X2324s*Apport_125X2324s,2)-AI197</f>
        <v>116.51000000000002</v>
      </c>
      <c r="AK197" cm="1">
        <f t="array" ref="AK197">ROUND((AA197+AC197)*Apport_126X2324s,2)</f>
        <v>805.47</v>
      </c>
      <c r="AL197" cm="1">
        <f t="array" ref="AL197">ROUND((AB197+AD197)*Apport_127X2324s,2)</f>
        <v>28.74</v>
      </c>
      <c r="AM197" cm="1">
        <f t="array" ref="AM197">ROUND(AE197*Apport_128X2324s,2)</f>
        <v>204.29</v>
      </c>
      <c r="AN197" cm="1">
        <f t="array" ref="AN197">ROUND(AF197*Apport_129X2324s,2)</f>
        <v>6.36</v>
      </c>
      <c r="AO197" cm="1">
        <f t="array" ref="AO197">ROUND(($J197*CIS_Inc_Salary2324s*(VLOOKUP($A197,EnrollData2324,'2324 Jun 24 Enroll'!T$1,FALSE)+VLOOKUP($A197,EnrollData2324,'2324 Jun 24 Enroll'!U$1,FALSE))/Apport_613Xpd)*Apport_614Xpd,2)</f>
        <v>69.8</v>
      </c>
      <c r="AP197" cm="1">
        <f t="array" ref="AP197">ROUND(AO197*Apport_127X2324s,2)</f>
        <v>12.1</v>
      </c>
      <c r="AQ197">
        <f t="shared" si="20"/>
        <v>30.93</v>
      </c>
      <c r="AR197" s="6" cm="1">
        <f t="array" ref="AR197">ROUND((VLOOKUP($A197,EnrollData2324,'2324 Jun 24 Enroll'!D$1,FALSE)*Apport_M802324s+VLOOKUP($A197,EnrollData2324,'2324 Jun 24 Enroll'!M$1,FALSE)*Apport_M802324s+(VLOOKUP($A197,EnrollData2324,'2324 Jun 24 Enroll'!P$1,FALSE)+VLOOKUP($A197,EnrollData2324,'2324 Jun 24 Enroll'!Q$1,FALSE)+VLOOKUP($A197,EnrollData2324,'2324 Jun 24 Enroll'!R$1,FALSE)+VLOOKUP($A197,EnrollData2324,'2324 Jun 24 Enroll'!I$1,FALSE)+VLOOKUP($A197,EnrollData2324,'2324 Jun 24 Enroll'!N$1,FALSE)+VLOOKUP($A197,EnrollData2324,'2324 Jun 24 Enroll'!O$1,FALSE)+VLOOKUP($A197,EnrollData2324,'2324 Jun 24 Enroll'!K$1,FALSE)+VLOOKUP($A197,EnrollData2324,'2324 Jun 24 Enroll'!L$1,FALSE))*Apport_M812324s)/(VLOOKUP($A197,EnrollData2324,'2324 Jun 24 Enroll'!M$1,FALSE)+VLOOKUP($A197,EnrollData2324,'2324 Jun 24 Enroll'!D$1,FALSE)),2)</f>
        <v>1565.63</v>
      </c>
      <c r="AS197" s="7">
        <f t="shared" si="21"/>
        <v>9469.82</v>
      </c>
    </row>
    <row r="198" spans="1:46">
      <c r="A198" s="40" t="s">
        <v>621</v>
      </c>
      <c r="B198" s="40" t="s">
        <v>622</v>
      </c>
      <c r="C198" s="11">
        <f>ROUND((IFERROR((1/IF(VLOOKUP($A198,EnrollData2324,28,FALSE)='District Calculations'!$D$10,VLOOKUP($A198,EnrollData2324,28,FALSE),'District Calculations'!$D$10))*(1+Apport_Z315),0))+Apport_201A2324s,6)</f>
        <v>7.3449E-2</v>
      </c>
      <c r="D198">
        <f>ROUND(IF(VLOOKUP($A198,EnrollData2324,'2324 Jun 24 Enroll'!D$1,FALSE)='District Calculations'!$D$11,VLOOKUP($A198,EnrollData2324,'2324 Jun 24 Enroll'!D$1,FALSE),'District Calculations'!$D$11)*C198,3)</f>
        <v>0</v>
      </c>
      <c r="E198">
        <f>ROUND(IF(VLOOKUP($A198,EnrollData2324,'2324 Jun 24 Enroll'!E$1,FALSE)='District Calculations'!$D$12,VLOOKUP($A198,EnrollData2324,'2324 Jun 24 Enroll'!E$1,FALSE),'District Calculations'!$D$12)*C198,3)</f>
        <v>59.53</v>
      </c>
      <c r="F198">
        <f>ROUND(IF(VLOOKUP($A198,EnrollData2324,'2324 Jun 24 Enroll'!F$1,FALSE)='District Calculations'!$D$13,VLOOKUP($A198,EnrollData2324,'2324 Jun 24 Enroll'!F$1,FALSE),'District Calculations'!$D$13)*Apport_222A2324s,3)</f>
        <v>10.101000000000001</v>
      </c>
      <c r="G198">
        <f>ROUND(IF(VLOOKUP($A198,EnrollData2324,'2324 Jun 24 Enroll'!G$1,FALSE)='District Calculations'!$D$14,VLOOKUP($A198,EnrollData2324,'2324 Jun 24 Enroll'!G$1,FALSE),'District Calculations'!$D$14)*Apport_210A2324s,3)</f>
        <v>22.395</v>
      </c>
      <c r="H198">
        <f>ROUND(IF(VLOOKUP($A198,EnrollData2324,'2324 Jun 24 Enroll'!H$1,FALSE)='District Calculations'!$D$15,VLOOKUP($A198,EnrollData2324,'2324 Jun 24 Enroll'!H$1,FALSE),'District Calculations'!$D$15)*Apport_213A2324s,3)</f>
        <v>23.091999999999999</v>
      </c>
      <c r="I198">
        <f>ROUND(IF(VLOOKUP($A198,EnrollData2324,'2324 Jun 24 Enroll'!I$1,FALSE)+VLOOKUP($A198,EnrollData2324,'2324 Jun 24 Enroll'!M$1,FALSE)-VLOOKUP($A198,EnrollData2324,'2324 Jun 24 Enroll'!J$1,FALSE)='District Calculations'!$D$16+'District Calculations'!$D$25-'District Calculations'!$D$17,VLOOKUP($A198,EnrollData2324,'2324 Jun 24 Enroll'!I$1,FALSE)+VLOOKUP($A198,EnrollData2324,'2324 Jun 24 Enroll'!M$1,FALSE)-VLOOKUP($A198,EnrollData2324,'2324 Jun 24 Enroll'!J$1,FALSE),'District Calculations'!$D$16+'District Calculations'!$D$25-'District Calculations'!$D$17)*Apport_216A2324s,3)</f>
        <v>58.183999999999997</v>
      </c>
      <c r="J198">
        <f>ROUND(SUM(D198:I198)/(IF(VLOOKUP($A198,EnrollData2324,'2324 Jun 24 Enroll'!M$1,FALSE)='District Calculations'!$D$25,VLOOKUP($A198,EnrollData2324,'2324 Jun 24 Enroll'!M$1,FALSE),'District Calculations'!$D$25)+IF(VLOOKUP($A198,EnrollData2324,'2324 Jun 24 Enroll'!D$1,FALSE)='District Calculations'!$D$11,VLOOKUP($A198,EnrollData2324,'2324 Jun 24 Enroll'!D$1,FALSE),'District Calculations'!$D$11)),5)</f>
        <v>5.5530000000000003E-2</v>
      </c>
      <c r="K198" s="11">
        <f t="shared" si="17"/>
        <v>4.3699999999999998E-3</v>
      </c>
      <c r="L198">
        <f>ROUND(IF(VLOOKUP($A198,EnrollData2324,'2324 Jun 24 Enroll'!D$1,FALSE)='District Calculations'!$D$11,VLOOKUP($A198,EnrollData2324,'2324 Jun 24 Enroll'!D$1,FALSE),'District Calculations'!$D$11)*K198,3)</f>
        <v>0</v>
      </c>
      <c r="M198">
        <f>ROUND(IF(VLOOKUP($A198,EnrollData2324,'2324 Jun 24 Enroll'!E$1,FALSE)='District Calculations'!$D$12,VLOOKUP($A198,EnrollData2324,'2324 Jun 24 Enroll'!E$1,FALSE),'District Calculations'!$D$12)*K198,3)</f>
        <v>3.5419999999999998</v>
      </c>
      <c r="N198">
        <f>ROUND(IF(VLOOKUP($A198,EnrollData2324,'2324 Jun 24 Enroll'!F$1,FALSE)='District Calculations'!$D$13,VLOOKUP($A198,EnrollData2324,'2324 Jun 24 Enroll'!F$1,FALSE),'District Calculations'!$D$13)*Apport_223A2324s,3)</f>
        <v>0.84299999999999997</v>
      </c>
      <c r="O198">
        <f>ROUND(IF(VLOOKUP($A198,EnrollData2324,'2324 Jun 24 Enroll'!G$1,FALSE)='District Calculations'!$D$14,VLOOKUP($A198,EnrollData2324,'2324 Jun 24 Enroll'!G$1,FALSE),'District Calculations'!$D$14)*Apport_211A2324s,3)</f>
        <v>1.87</v>
      </c>
      <c r="P198">
        <f>ROUND(IF(VLOOKUP($A198,EnrollData2324,'2324 Jun 24 Enroll'!H$1,FALSE)='District Calculations'!$D$14,VLOOKUP($A198,EnrollData2324,'2324 Jun 24 Enroll'!H$1,FALSE),'District Calculations'!$D$14)*Apport_214A2324s,3)</f>
        <v>1.8680000000000001</v>
      </c>
      <c r="Q198">
        <f>ROUND(IF(VLOOKUP($A198,EnrollData2324,'2324 Jun 24 Enroll'!I$1,FALSE)+VLOOKUP($A198,EnrollData2324,'2324 Jun 24 Enroll'!M$1,FALSE)-VLOOKUP($A198,EnrollData2324,'2324 Jun 24 Enroll'!J$1,FALSE)='District Calculations'!$D$16+'District Calculations'!$D$25-'District Calculations'!$D$17,VLOOKUP($A198,EnrollData2324,'2324 Jun 24 Enroll'!I$1,FALSE)+VLOOKUP($A198,EnrollData2324,'2324 Jun 24 Enroll'!M$1,FALSE)-VLOOKUP($A198,EnrollData2324,'2324 Jun 24 Enroll'!J$1,FALSE),'District Calculations'!$D$16+'District Calculations'!$D$25-'District Calculations'!$D$17)*Apport_217A2324s,3)</f>
        <v>4.702</v>
      </c>
      <c r="R198">
        <f>ROUND(SUM(L198:Q198)/IF(VLOOKUP($A198,EnrollData2324,'2324 Jun 24 Enroll'!M$1,FALSE)+VLOOKUP($A198,EnrollData2324,'2324 Jun 24 Enroll'!D$1,FALSE)='District Calculations'!$D$25+'District Calculations'!$D$11,VLOOKUP($A198,EnrollData2324,'2324 Jun 24 Enroll'!M$1,FALSE)+VLOOKUP($A198,EnrollData2324,'2324 Jun 24 Enroll'!D$1,FALSE),'District Calculations'!$D$25+'District Calculations'!$D$11),5)</f>
        <v>4.1099999999999999E-3</v>
      </c>
      <c r="S198" s="11">
        <f t="shared" si="18"/>
        <v>1.8689600000000001E-2</v>
      </c>
      <c r="T198">
        <f>ROUND(IF(VLOOKUP($A198,EnrollData2324,'2324 Jun 24 Enroll'!D$1,FALSE)='District Calculations'!$D$11,VLOOKUP($A198,EnrollData2324,'2324 Jun 24 Enroll'!D$1,FALSE),'District Calculations'!$D$11)*S198,3)</f>
        <v>0</v>
      </c>
      <c r="U198">
        <f>ROUND(IF(VLOOKUP($A198,EnrollData2324,'2324 Jun 24 Enroll'!E$1,FALSE)='District Calculations'!$D$12,VLOOKUP($A198,EnrollData2324,'2324 Jun 24 Enroll'!E$1,FALSE),'District Calculations'!$D$12)*S198,3)</f>
        <v>15.148</v>
      </c>
      <c r="V198">
        <f>ROUND(IF(VLOOKUP($A198,EnrollData2324,'2324 Jun 24 Enroll'!F$1,FALSE)='District Calculations'!$D$13,VLOOKUP($A198,EnrollData2324,'2324 Jun 24 Enroll'!F$1,FALSE),'District Calculations'!$D$13)*Apport_224A2324s,3)</f>
        <v>3.7029999999999998</v>
      </c>
      <c r="W198">
        <f>ROUND(IF(VLOOKUP($A198,EnrollData2324,'2324 Jun 24 Enroll'!G$1,FALSE)='District Calculations'!$D$14,VLOOKUP($A198,EnrollData2324,'2324 Jun 24 Enroll'!G$1,FALSE),'District Calculations'!$D$14)*Apport_212A2324s,3)</f>
        <v>8.2089999999999996</v>
      </c>
      <c r="X198">
        <f>ROUND(IF(VLOOKUP($A198,EnrollData2324,'2324 Jun 24 Enroll'!H$1,FALSE)='District Calculations'!$D$14,VLOOKUP($A198,EnrollData2324,'2324 Jun 24 Enroll'!H$1,FALSE),'District Calculations'!$D$14)*Apport_215A2324s,3)</f>
        <v>8.0969999999999995</v>
      </c>
      <c r="Y198">
        <f>ROUND(IF(VLOOKUP($A198,EnrollData2324,'2324 Jun 24 Enroll'!I$1,FALSE)+VLOOKUP($A198,EnrollData2324,'2324 Jun 24 Enroll'!M$1,FALSE)-VLOOKUP($A198,EnrollData2324,'2324 Jun 24 Enroll'!J$1,FALSE)='District Calculations'!$D$16+'District Calculations'!$D$25-'District Calculations'!$D$17,VLOOKUP($A198,EnrollData2324,'2324 Jun 24 Enroll'!I$1,FALSE)+VLOOKUP($A198,EnrollData2324,'2324 Jun 24 Enroll'!M$1,FALSE)-VLOOKUP($A198,EnrollData2324,'2324 Jun 24 Enroll'!J$1,FALSE),'District Calculations'!$D$16+'District Calculations'!$D$25-'District Calculations'!$D$17)*Apport_218A2324s,3)</f>
        <v>20.224</v>
      </c>
      <c r="Z198">
        <f>ROUND(SUM(T198:Y198)/IF(VLOOKUP($A198,EnrollData2324,'2324 Jun 24 Enroll'!M$1,FALSE)+VLOOKUP($A198,EnrollData2324,'2324 Jun 24 Enroll'!D$1,FALSE)='District Calculations'!$D$25+'District Calculations'!$D$11,VLOOKUP($A198,EnrollData2324,'2324 Jun 24 Enroll'!M$1,FALSE)+VLOOKUP($A198,EnrollData2324,'2324 Jun 24 Enroll'!D$1,FALSE),'District Calculations'!$D$25+'District Calculations'!$D$11),5)</f>
        <v>1.7749999999999998E-2</v>
      </c>
      <c r="AA198" s="6" cm="1">
        <f t="array" ref="AA198">ROUND($J198*CIS_Base_Salary2324s*VLOOKUP($A198,EnrollData2324,'2324 Jun 24 Enroll'!S$1,FALSE),2)</f>
        <v>4038.59</v>
      </c>
      <c r="AB198" s="6" cm="1">
        <f t="array" ref="AB198">ROUND($J198*CIS_Inc_Salary2324s*(VLOOKUP($A198,EnrollData2324,'2324 Jun 24 Enroll'!T$1,FALSE)+VLOOKUP($A198,EnrollData2324,'2324 Jun 24 Enroll'!U$1,FALSE)),2)-AA198</f>
        <v>149.43000000000029</v>
      </c>
      <c r="AC198" s="6" cm="1">
        <f t="array" ref="AC198">ROUND($R198*CAS_Base_Salary2324s*VLOOKUP($A198,EnrollData2324,'2324 Jun 24 Enroll'!S$1,FALSE),2)</f>
        <v>443.7</v>
      </c>
      <c r="AD198" s="6" cm="1">
        <f t="array" ref="AD198">ROUND($R198*CAS_Inc_Salary2324s*VLOOKUP($A198,EnrollData2324,'2324 Jun 24 Enroll'!T$1,FALSE),2)-AC198</f>
        <v>16.410000000000025</v>
      </c>
      <c r="AE198" s="6" cm="1">
        <f t="array" ref="AE198">ROUND($Z198*CLS_Base_Salary2324s*VLOOKUP($A198,EnrollData2324,'2324 Jun 24 Enroll'!S$1,FALSE),2)</f>
        <v>926.07</v>
      </c>
      <c r="AF198" s="6" cm="1">
        <f t="array" ref="AF198">ROUND($Z198*CLS_Inc_Salary2324s*VLOOKUP($A198,EnrollData2324,'2324 Jun 24 Enroll'!T$1,FALSE),2)-AE198</f>
        <v>34.259999999999991</v>
      </c>
      <c r="AG198" cm="1">
        <f t="array" ref="AG198">ROUND(($J198+$R198)*Apport_124X2324s,2)</f>
        <v>734.29</v>
      </c>
      <c r="AH198" s="69">
        <f t="shared" si="19"/>
        <v>68.700000000000045</v>
      </c>
      <c r="AI198" cm="1">
        <f t="array" ref="AI198">ROUND($Z198*Apport_124X2324s,2)</f>
        <v>218.54</v>
      </c>
      <c r="AJ198" cm="1">
        <f t="array" ref="AJ198">ROUND($Z198*Apport_621X2324s*Apport_125X2324s,2)-AI198</f>
        <v>116.51000000000002</v>
      </c>
      <c r="AK198" cm="1">
        <f t="array" ref="AK198">ROUND((AA198+AC198)*Apport_126X2324s,2)</f>
        <v>805.47</v>
      </c>
      <c r="AL198" cm="1">
        <f t="array" ref="AL198">ROUND((AB198+AD198)*Apport_127X2324s,2)</f>
        <v>28.74</v>
      </c>
      <c r="AM198" cm="1">
        <f t="array" ref="AM198">ROUND(AE198*Apport_128X2324s,2)</f>
        <v>204.29</v>
      </c>
      <c r="AN198" cm="1">
        <f t="array" ref="AN198">ROUND(AF198*Apport_129X2324s,2)</f>
        <v>6.36</v>
      </c>
      <c r="AO198" cm="1">
        <f t="array" ref="AO198">ROUND(($J198*CIS_Inc_Salary2324s*(VLOOKUP($A198,EnrollData2324,'2324 Jun 24 Enroll'!T$1,FALSE)+VLOOKUP($A198,EnrollData2324,'2324 Jun 24 Enroll'!U$1,FALSE))/Apport_613Xpd)*Apport_614Xpd,2)</f>
        <v>69.8</v>
      </c>
      <c r="AP198" cm="1">
        <f t="array" ref="AP198">ROUND(AO198*Apport_127X2324s,2)</f>
        <v>12.1</v>
      </c>
      <c r="AQ198">
        <f t="shared" si="20"/>
        <v>30.93</v>
      </c>
      <c r="AR198" s="6" cm="1">
        <f t="array" ref="AR198">ROUND((VLOOKUP($A198,EnrollData2324,'2324 Jun 24 Enroll'!D$1,FALSE)*Apport_M802324s+VLOOKUP($A198,EnrollData2324,'2324 Jun 24 Enroll'!M$1,FALSE)*Apport_M802324s+(VLOOKUP($A198,EnrollData2324,'2324 Jun 24 Enroll'!P$1,FALSE)+VLOOKUP($A198,EnrollData2324,'2324 Jun 24 Enroll'!Q$1,FALSE)+VLOOKUP($A198,EnrollData2324,'2324 Jun 24 Enroll'!R$1,FALSE)+VLOOKUP($A198,EnrollData2324,'2324 Jun 24 Enroll'!I$1,FALSE)+VLOOKUP($A198,EnrollData2324,'2324 Jun 24 Enroll'!N$1,FALSE)+VLOOKUP($A198,EnrollData2324,'2324 Jun 24 Enroll'!O$1,FALSE)+VLOOKUP($A198,EnrollData2324,'2324 Jun 24 Enroll'!K$1,FALSE)+VLOOKUP($A198,EnrollData2324,'2324 Jun 24 Enroll'!L$1,FALSE))*Apport_M812324s)/(VLOOKUP($A198,EnrollData2324,'2324 Jun 24 Enroll'!M$1,FALSE)+VLOOKUP($A198,EnrollData2324,'2324 Jun 24 Enroll'!D$1,FALSE)),2)</f>
        <v>1589.31</v>
      </c>
      <c r="AS198" s="7">
        <f t="shared" si="21"/>
        <v>9493.5</v>
      </c>
    </row>
    <row r="199" spans="1:46">
      <c r="A199" s="40" t="s">
        <v>418</v>
      </c>
      <c r="B199" s="40" t="s">
        <v>419</v>
      </c>
      <c r="C199" s="11">
        <f>ROUND((IFERROR((1/IF(VLOOKUP($A199,EnrollData2324,28,FALSE)='District Calculations'!$D$10,VLOOKUP($A199,EnrollData2324,28,FALSE),'District Calculations'!$D$10))*(1+Apport_Z315),0))+Apport_201A2324s,6)</f>
        <v>7.3449E-2</v>
      </c>
      <c r="D199">
        <f>ROUND(IF(VLOOKUP($A199,EnrollData2324,'2324 Jun 24 Enroll'!D$1,FALSE)='District Calculations'!$D$11,VLOOKUP($A199,EnrollData2324,'2324 Jun 24 Enroll'!D$1,FALSE),'District Calculations'!$D$11)*C199,3)</f>
        <v>0</v>
      </c>
      <c r="E199">
        <f>ROUND(IF(VLOOKUP($A199,EnrollData2324,'2324 Jun 24 Enroll'!E$1,FALSE)='District Calculations'!$D$12,VLOOKUP($A199,EnrollData2324,'2324 Jun 24 Enroll'!E$1,FALSE),'District Calculations'!$D$12)*C199,3)</f>
        <v>59.53</v>
      </c>
      <c r="F199">
        <f>ROUND(IF(VLOOKUP($A199,EnrollData2324,'2324 Jun 24 Enroll'!F$1,FALSE)='District Calculations'!$D$13,VLOOKUP($A199,EnrollData2324,'2324 Jun 24 Enroll'!F$1,FALSE),'District Calculations'!$D$13)*Apport_222A2324s,3)</f>
        <v>10.101000000000001</v>
      </c>
      <c r="G199">
        <f>ROUND(IF(VLOOKUP($A199,EnrollData2324,'2324 Jun 24 Enroll'!G$1,FALSE)='District Calculations'!$D$14,VLOOKUP($A199,EnrollData2324,'2324 Jun 24 Enroll'!G$1,FALSE),'District Calculations'!$D$14)*Apport_210A2324s,3)</f>
        <v>22.395</v>
      </c>
      <c r="H199">
        <f>ROUND(IF(VLOOKUP($A199,EnrollData2324,'2324 Jun 24 Enroll'!H$1,FALSE)='District Calculations'!$D$15,VLOOKUP($A199,EnrollData2324,'2324 Jun 24 Enroll'!H$1,FALSE),'District Calculations'!$D$15)*Apport_213A2324s,3)</f>
        <v>23.091999999999999</v>
      </c>
      <c r="I199">
        <f>ROUND(IF(VLOOKUP($A199,EnrollData2324,'2324 Jun 24 Enroll'!I$1,FALSE)+VLOOKUP($A199,EnrollData2324,'2324 Jun 24 Enroll'!M$1,FALSE)-VLOOKUP($A199,EnrollData2324,'2324 Jun 24 Enroll'!J$1,FALSE)='District Calculations'!$D$16+'District Calculations'!$D$25-'District Calculations'!$D$17,VLOOKUP($A199,EnrollData2324,'2324 Jun 24 Enroll'!I$1,FALSE)+VLOOKUP($A199,EnrollData2324,'2324 Jun 24 Enroll'!M$1,FALSE)-VLOOKUP($A199,EnrollData2324,'2324 Jun 24 Enroll'!J$1,FALSE),'District Calculations'!$D$16+'District Calculations'!$D$25-'District Calculations'!$D$17)*Apport_216A2324s,3)</f>
        <v>58.183999999999997</v>
      </c>
      <c r="J199">
        <f>ROUND(SUM(D199:I199)/(IF(VLOOKUP($A199,EnrollData2324,'2324 Jun 24 Enroll'!M$1,FALSE)='District Calculations'!$D$25,VLOOKUP($A199,EnrollData2324,'2324 Jun 24 Enroll'!M$1,FALSE),'District Calculations'!$D$25)+IF(VLOOKUP($A199,EnrollData2324,'2324 Jun 24 Enroll'!D$1,FALSE)='District Calculations'!$D$11,VLOOKUP($A199,EnrollData2324,'2324 Jun 24 Enroll'!D$1,FALSE),'District Calculations'!$D$11)),5)</f>
        <v>5.5530000000000003E-2</v>
      </c>
      <c r="K199" s="11">
        <f t="shared" si="17"/>
        <v>4.3699999999999998E-3</v>
      </c>
      <c r="L199">
        <f>ROUND(IF(VLOOKUP($A199,EnrollData2324,'2324 Jun 24 Enroll'!D$1,FALSE)='District Calculations'!$D$11,VLOOKUP($A199,EnrollData2324,'2324 Jun 24 Enroll'!D$1,FALSE),'District Calculations'!$D$11)*K199,3)</f>
        <v>0</v>
      </c>
      <c r="M199">
        <f>ROUND(IF(VLOOKUP($A199,EnrollData2324,'2324 Jun 24 Enroll'!E$1,FALSE)='District Calculations'!$D$12,VLOOKUP($A199,EnrollData2324,'2324 Jun 24 Enroll'!E$1,FALSE),'District Calculations'!$D$12)*K199,3)</f>
        <v>3.5419999999999998</v>
      </c>
      <c r="N199">
        <f>ROUND(IF(VLOOKUP($A199,EnrollData2324,'2324 Jun 24 Enroll'!F$1,FALSE)='District Calculations'!$D$13,VLOOKUP($A199,EnrollData2324,'2324 Jun 24 Enroll'!F$1,FALSE),'District Calculations'!$D$13)*Apport_223A2324s,3)</f>
        <v>0.84299999999999997</v>
      </c>
      <c r="O199">
        <f>ROUND(IF(VLOOKUP($A199,EnrollData2324,'2324 Jun 24 Enroll'!G$1,FALSE)='District Calculations'!$D$14,VLOOKUP($A199,EnrollData2324,'2324 Jun 24 Enroll'!G$1,FALSE),'District Calculations'!$D$14)*Apport_211A2324s,3)</f>
        <v>1.87</v>
      </c>
      <c r="P199">
        <f>ROUND(IF(VLOOKUP($A199,EnrollData2324,'2324 Jun 24 Enroll'!H$1,FALSE)='District Calculations'!$D$14,VLOOKUP($A199,EnrollData2324,'2324 Jun 24 Enroll'!H$1,FALSE),'District Calculations'!$D$14)*Apport_214A2324s,3)</f>
        <v>1.8680000000000001</v>
      </c>
      <c r="Q199">
        <f>ROUND(IF(VLOOKUP($A199,EnrollData2324,'2324 Jun 24 Enroll'!I$1,FALSE)+VLOOKUP($A199,EnrollData2324,'2324 Jun 24 Enroll'!M$1,FALSE)-VLOOKUP($A199,EnrollData2324,'2324 Jun 24 Enroll'!J$1,FALSE)='District Calculations'!$D$16+'District Calculations'!$D$25-'District Calculations'!$D$17,VLOOKUP($A199,EnrollData2324,'2324 Jun 24 Enroll'!I$1,FALSE)+VLOOKUP($A199,EnrollData2324,'2324 Jun 24 Enroll'!M$1,FALSE)-VLOOKUP($A199,EnrollData2324,'2324 Jun 24 Enroll'!J$1,FALSE),'District Calculations'!$D$16+'District Calculations'!$D$25-'District Calculations'!$D$17)*Apport_217A2324s,3)</f>
        <v>4.702</v>
      </c>
      <c r="R199">
        <f>ROUND(SUM(L199:Q199)/IF(VLOOKUP($A199,EnrollData2324,'2324 Jun 24 Enroll'!M$1,FALSE)+VLOOKUP($A199,EnrollData2324,'2324 Jun 24 Enroll'!D$1,FALSE)='District Calculations'!$D$25+'District Calculations'!$D$11,VLOOKUP($A199,EnrollData2324,'2324 Jun 24 Enroll'!M$1,FALSE)+VLOOKUP($A199,EnrollData2324,'2324 Jun 24 Enroll'!D$1,FALSE),'District Calculations'!$D$25+'District Calculations'!$D$11),5)</f>
        <v>4.1099999999999999E-3</v>
      </c>
      <c r="S199" s="11">
        <f t="shared" si="18"/>
        <v>1.8689600000000001E-2</v>
      </c>
      <c r="T199">
        <f>ROUND(IF(VLOOKUP($A199,EnrollData2324,'2324 Jun 24 Enroll'!D$1,FALSE)='District Calculations'!$D$11,VLOOKUP($A199,EnrollData2324,'2324 Jun 24 Enroll'!D$1,FALSE),'District Calculations'!$D$11)*S199,3)</f>
        <v>0</v>
      </c>
      <c r="U199">
        <f>ROUND(IF(VLOOKUP($A199,EnrollData2324,'2324 Jun 24 Enroll'!E$1,FALSE)='District Calculations'!$D$12,VLOOKUP($A199,EnrollData2324,'2324 Jun 24 Enroll'!E$1,FALSE),'District Calculations'!$D$12)*S199,3)</f>
        <v>15.148</v>
      </c>
      <c r="V199">
        <f>ROUND(IF(VLOOKUP($A199,EnrollData2324,'2324 Jun 24 Enroll'!F$1,FALSE)='District Calculations'!$D$13,VLOOKUP($A199,EnrollData2324,'2324 Jun 24 Enroll'!F$1,FALSE),'District Calculations'!$D$13)*Apport_224A2324s,3)</f>
        <v>3.7029999999999998</v>
      </c>
      <c r="W199">
        <f>ROUND(IF(VLOOKUP($A199,EnrollData2324,'2324 Jun 24 Enroll'!G$1,FALSE)='District Calculations'!$D$14,VLOOKUP($A199,EnrollData2324,'2324 Jun 24 Enroll'!G$1,FALSE),'District Calculations'!$D$14)*Apport_212A2324s,3)</f>
        <v>8.2089999999999996</v>
      </c>
      <c r="X199">
        <f>ROUND(IF(VLOOKUP($A199,EnrollData2324,'2324 Jun 24 Enroll'!H$1,FALSE)='District Calculations'!$D$14,VLOOKUP($A199,EnrollData2324,'2324 Jun 24 Enroll'!H$1,FALSE),'District Calculations'!$D$14)*Apport_215A2324s,3)</f>
        <v>8.0969999999999995</v>
      </c>
      <c r="Y199">
        <f>ROUND(IF(VLOOKUP($A199,EnrollData2324,'2324 Jun 24 Enroll'!I$1,FALSE)+VLOOKUP($A199,EnrollData2324,'2324 Jun 24 Enroll'!M$1,FALSE)-VLOOKUP($A199,EnrollData2324,'2324 Jun 24 Enroll'!J$1,FALSE)='District Calculations'!$D$16+'District Calculations'!$D$25-'District Calculations'!$D$17,VLOOKUP($A199,EnrollData2324,'2324 Jun 24 Enroll'!I$1,FALSE)+VLOOKUP($A199,EnrollData2324,'2324 Jun 24 Enroll'!M$1,FALSE)-VLOOKUP($A199,EnrollData2324,'2324 Jun 24 Enroll'!J$1,FALSE),'District Calculations'!$D$16+'District Calculations'!$D$25-'District Calculations'!$D$17)*Apport_218A2324s,3)</f>
        <v>20.224</v>
      </c>
      <c r="Z199">
        <f>ROUND(SUM(T199:Y199)/IF(VLOOKUP($A199,EnrollData2324,'2324 Jun 24 Enroll'!M$1,FALSE)+VLOOKUP($A199,EnrollData2324,'2324 Jun 24 Enroll'!D$1,FALSE)='District Calculations'!$D$25+'District Calculations'!$D$11,VLOOKUP($A199,EnrollData2324,'2324 Jun 24 Enroll'!M$1,FALSE)+VLOOKUP($A199,EnrollData2324,'2324 Jun 24 Enroll'!D$1,FALSE),'District Calculations'!$D$25+'District Calculations'!$D$11),5)</f>
        <v>1.7749999999999998E-2</v>
      </c>
      <c r="AA199" s="6" cm="1">
        <f t="array" ref="AA199">ROUND($J199*CIS_Base_Salary2324s*VLOOKUP($A199,EnrollData2324,'2324 Jun 24 Enroll'!S$1,FALSE),2)</f>
        <v>4038.59</v>
      </c>
      <c r="AB199" s="6" cm="1">
        <f t="array" ref="AB199">ROUND($J199*CIS_Inc_Salary2324s*(VLOOKUP($A199,EnrollData2324,'2324 Jun 24 Enroll'!T$1,FALSE)+VLOOKUP($A199,EnrollData2324,'2324 Jun 24 Enroll'!U$1,FALSE)),2)-AA199</f>
        <v>149.43000000000029</v>
      </c>
      <c r="AC199" s="6" cm="1">
        <f t="array" ref="AC199">ROUND($R199*CAS_Base_Salary2324s*VLOOKUP($A199,EnrollData2324,'2324 Jun 24 Enroll'!S$1,FALSE),2)</f>
        <v>443.7</v>
      </c>
      <c r="AD199" s="6" cm="1">
        <f t="array" ref="AD199">ROUND($R199*CAS_Inc_Salary2324s*VLOOKUP($A199,EnrollData2324,'2324 Jun 24 Enroll'!T$1,FALSE),2)-AC199</f>
        <v>16.410000000000025</v>
      </c>
      <c r="AE199" s="6" cm="1">
        <f t="array" ref="AE199">ROUND($Z199*CLS_Base_Salary2324s*VLOOKUP($A199,EnrollData2324,'2324 Jun 24 Enroll'!S$1,FALSE),2)</f>
        <v>926.07</v>
      </c>
      <c r="AF199" s="6" cm="1">
        <f t="array" ref="AF199">ROUND($Z199*CLS_Inc_Salary2324s*VLOOKUP($A199,EnrollData2324,'2324 Jun 24 Enroll'!T$1,FALSE),2)-AE199</f>
        <v>34.259999999999991</v>
      </c>
      <c r="AG199" cm="1">
        <f t="array" ref="AG199">ROUND(($J199+$R199)*Apport_124X2324s,2)</f>
        <v>734.29</v>
      </c>
      <c r="AH199" s="69">
        <f t="shared" si="19"/>
        <v>68.700000000000045</v>
      </c>
      <c r="AI199" cm="1">
        <f t="array" ref="AI199">ROUND($Z199*Apport_124X2324s,2)</f>
        <v>218.54</v>
      </c>
      <c r="AJ199" cm="1">
        <f t="array" ref="AJ199">ROUND($Z199*Apport_621X2324s*Apport_125X2324s,2)-AI199</f>
        <v>116.51000000000002</v>
      </c>
      <c r="AK199" cm="1">
        <f t="array" ref="AK199">ROUND((AA199+AC199)*Apport_126X2324s,2)</f>
        <v>805.47</v>
      </c>
      <c r="AL199" cm="1">
        <f t="array" ref="AL199">ROUND((AB199+AD199)*Apport_127X2324s,2)</f>
        <v>28.74</v>
      </c>
      <c r="AM199" cm="1">
        <f t="array" ref="AM199">ROUND(AE199*Apport_128X2324s,2)</f>
        <v>204.29</v>
      </c>
      <c r="AN199" cm="1">
        <f t="array" ref="AN199">ROUND(AF199*Apport_129X2324s,2)</f>
        <v>6.36</v>
      </c>
      <c r="AO199" cm="1">
        <f t="array" ref="AO199">ROUND(($J199*CIS_Inc_Salary2324s*(VLOOKUP($A199,EnrollData2324,'2324 Jun 24 Enroll'!T$1,FALSE)+VLOOKUP($A199,EnrollData2324,'2324 Jun 24 Enroll'!U$1,FALSE))/Apport_613Xpd)*Apport_614Xpd,2)</f>
        <v>69.8</v>
      </c>
      <c r="AP199" cm="1">
        <f t="array" ref="AP199">ROUND(AO199*Apport_127X2324s,2)</f>
        <v>12.1</v>
      </c>
      <c r="AQ199">
        <f t="shared" si="20"/>
        <v>30.93</v>
      </c>
      <c r="AR199" s="6" cm="1">
        <f t="array" ref="AR199">ROUND((VLOOKUP($A199,EnrollData2324,'2324 Jun 24 Enroll'!D$1,FALSE)*Apport_M802324s+VLOOKUP($A199,EnrollData2324,'2324 Jun 24 Enroll'!M$1,FALSE)*Apport_M802324s+(VLOOKUP($A199,EnrollData2324,'2324 Jun 24 Enroll'!P$1,FALSE)+VLOOKUP($A199,EnrollData2324,'2324 Jun 24 Enroll'!Q$1,FALSE)+VLOOKUP($A199,EnrollData2324,'2324 Jun 24 Enroll'!R$1,FALSE)+VLOOKUP($A199,EnrollData2324,'2324 Jun 24 Enroll'!I$1,FALSE)+VLOOKUP($A199,EnrollData2324,'2324 Jun 24 Enroll'!N$1,FALSE)+VLOOKUP($A199,EnrollData2324,'2324 Jun 24 Enroll'!O$1,FALSE)+VLOOKUP($A199,EnrollData2324,'2324 Jun 24 Enroll'!K$1,FALSE)+VLOOKUP($A199,EnrollData2324,'2324 Jun 24 Enroll'!L$1,FALSE))*Apport_M812324s)/(VLOOKUP($A199,EnrollData2324,'2324 Jun 24 Enroll'!M$1,FALSE)+VLOOKUP($A199,EnrollData2324,'2324 Jun 24 Enroll'!D$1,FALSE)),2)</f>
        <v>1607.8</v>
      </c>
      <c r="AS199" s="7">
        <f t="shared" si="21"/>
        <v>9511.99</v>
      </c>
    </row>
    <row r="200" spans="1:46">
      <c r="A200" s="40" t="s">
        <v>753</v>
      </c>
      <c r="B200" s="40" t="s">
        <v>754</v>
      </c>
      <c r="C200" s="11">
        <f>ROUND((IFERROR((1/IF(VLOOKUP($A200,EnrollData2324,28,FALSE)='District Calculations'!$D$10,VLOOKUP($A200,EnrollData2324,28,FALSE),'District Calculations'!$D$10))*(1+Apport_Z315),0))+Apport_201A2324s,6)</f>
        <v>7.3449E-2</v>
      </c>
      <c r="D200">
        <f>ROUND(IF(VLOOKUP($A200,EnrollData2324,'2324 Jun 24 Enroll'!D$1,FALSE)='District Calculations'!$D$11,VLOOKUP($A200,EnrollData2324,'2324 Jun 24 Enroll'!D$1,FALSE),'District Calculations'!$D$11)*C200,3)</f>
        <v>0</v>
      </c>
      <c r="E200">
        <f>ROUND(IF(VLOOKUP($A200,EnrollData2324,'2324 Jun 24 Enroll'!E$1,FALSE)='District Calculations'!$D$12,VLOOKUP($A200,EnrollData2324,'2324 Jun 24 Enroll'!E$1,FALSE),'District Calculations'!$D$12)*C200,3)</f>
        <v>59.53</v>
      </c>
      <c r="F200">
        <f>ROUND(IF(VLOOKUP($A200,EnrollData2324,'2324 Jun 24 Enroll'!F$1,FALSE)='District Calculations'!$D$13,VLOOKUP($A200,EnrollData2324,'2324 Jun 24 Enroll'!F$1,FALSE),'District Calculations'!$D$13)*Apport_222A2324s,3)</f>
        <v>10.101000000000001</v>
      </c>
      <c r="G200">
        <f>ROUND(IF(VLOOKUP($A200,EnrollData2324,'2324 Jun 24 Enroll'!G$1,FALSE)='District Calculations'!$D$14,VLOOKUP($A200,EnrollData2324,'2324 Jun 24 Enroll'!G$1,FALSE),'District Calculations'!$D$14)*Apport_210A2324s,3)</f>
        <v>22.395</v>
      </c>
      <c r="H200">
        <f>ROUND(IF(VLOOKUP($A200,EnrollData2324,'2324 Jun 24 Enroll'!H$1,FALSE)='District Calculations'!$D$15,VLOOKUP($A200,EnrollData2324,'2324 Jun 24 Enroll'!H$1,FALSE),'District Calculations'!$D$15)*Apport_213A2324s,3)</f>
        <v>23.091999999999999</v>
      </c>
      <c r="I200">
        <f>ROUND(IF(VLOOKUP($A200,EnrollData2324,'2324 Jun 24 Enroll'!I$1,FALSE)+VLOOKUP($A200,EnrollData2324,'2324 Jun 24 Enroll'!M$1,FALSE)-VLOOKUP($A200,EnrollData2324,'2324 Jun 24 Enroll'!J$1,FALSE)='District Calculations'!$D$16+'District Calculations'!$D$25-'District Calculations'!$D$17,VLOOKUP($A200,EnrollData2324,'2324 Jun 24 Enroll'!I$1,FALSE)+VLOOKUP($A200,EnrollData2324,'2324 Jun 24 Enroll'!M$1,FALSE)-VLOOKUP($A200,EnrollData2324,'2324 Jun 24 Enroll'!J$1,FALSE),'District Calculations'!$D$16+'District Calculations'!$D$25-'District Calculations'!$D$17)*Apport_216A2324s,3)</f>
        <v>58.183999999999997</v>
      </c>
      <c r="J200">
        <f>ROUND(SUM(D200:I200)/(IF(VLOOKUP($A200,EnrollData2324,'2324 Jun 24 Enroll'!M$1,FALSE)='District Calculations'!$D$25,VLOOKUP($A200,EnrollData2324,'2324 Jun 24 Enroll'!M$1,FALSE),'District Calculations'!$D$25)+IF(VLOOKUP($A200,EnrollData2324,'2324 Jun 24 Enroll'!D$1,FALSE)='District Calculations'!$D$11,VLOOKUP($A200,EnrollData2324,'2324 Jun 24 Enroll'!D$1,FALSE),'District Calculations'!$D$11)),5)</f>
        <v>5.5530000000000003E-2</v>
      </c>
      <c r="K200" s="11">
        <f t="shared" si="17"/>
        <v>4.3699999999999998E-3</v>
      </c>
      <c r="L200">
        <f>ROUND(IF(VLOOKUP($A200,EnrollData2324,'2324 Jun 24 Enroll'!D$1,FALSE)='District Calculations'!$D$11,VLOOKUP($A200,EnrollData2324,'2324 Jun 24 Enroll'!D$1,FALSE),'District Calculations'!$D$11)*K200,3)</f>
        <v>0</v>
      </c>
      <c r="M200">
        <f>ROUND(IF(VLOOKUP($A200,EnrollData2324,'2324 Jun 24 Enroll'!E$1,FALSE)='District Calculations'!$D$12,VLOOKUP($A200,EnrollData2324,'2324 Jun 24 Enroll'!E$1,FALSE),'District Calculations'!$D$12)*K200,3)</f>
        <v>3.5419999999999998</v>
      </c>
      <c r="N200">
        <f>ROUND(IF(VLOOKUP($A200,EnrollData2324,'2324 Jun 24 Enroll'!F$1,FALSE)='District Calculations'!$D$13,VLOOKUP($A200,EnrollData2324,'2324 Jun 24 Enroll'!F$1,FALSE),'District Calculations'!$D$13)*Apport_223A2324s,3)</f>
        <v>0.84299999999999997</v>
      </c>
      <c r="O200">
        <f>ROUND(IF(VLOOKUP($A200,EnrollData2324,'2324 Jun 24 Enroll'!G$1,FALSE)='District Calculations'!$D$14,VLOOKUP($A200,EnrollData2324,'2324 Jun 24 Enroll'!G$1,FALSE),'District Calculations'!$D$14)*Apport_211A2324s,3)</f>
        <v>1.87</v>
      </c>
      <c r="P200">
        <f>ROUND(IF(VLOOKUP($A200,EnrollData2324,'2324 Jun 24 Enroll'!H$1,FALSE)='District Calculations'!$D$14,VLOOKUP($A200,EnrollData2324,'2324 Jun 24 Enroll'!H$1,FALSE),'District Calculations'!$D$14)*Apport_214A2324s,3)</f>
        <v>1.8680000000000001</v>
      </c>
      <c r="Q200">
        <f>ROUND(IF(VLOOKUP($A200,EnrollData2324,'2324 Jun 24 Enroll'!I$1,FALSE)+VLOOKUP($A200,EnrollData2324,'2324 Jun 24 Enroll'!M$1,FALSE)-VLOOKUP($A200,EnrollData2324,'2324 Jun 24 Enroll'!J$1,FALSE)='District Calculations'!$D$16+'District Calculations'!$D$25-'District Calculations'!$D$17,VLOOKUP($A200,EnrollData2324,'2324 Jun 24 Enroll'!I$1,FALSE)+VLOOKUP($A200,EnrollData2324,'2324 Jun 24 Enroll'!M$1,FALSE)-VLOOKUP($A200,EnrollData2324,'2324 Jun 24 Enroll'!J$1,FALSE),'District Calculations'!$D$16+'District Calculations'!$D$25-'District Calculations'!$D$17)*Apport_217A2324s,3)</f>
        <v>4.702</v>
      </c>
      <c r="R200">
        <f>ROUND(SUM(L200:Q200)/IF(VLOOKUP($A200,EnrollData2324,'2324 Jun 24 Enroll'!M$1,FALSE)+VLOOKUP($A200,EnrollData2324,'2324 Jun 24 Enroll'!D$1,FALSE)='District Calculations'!$D$25+'District Calculations'!$D$11,VLOOKUP($A200,EnrollData2324,'2324 Jun 24 Enroll'!M$1,FALSE)+VLOOKUP($A200,EnrollData2324,'2324 Jun 24 Enroll'!D$1,FALSE),'District Calculations'!$D$25+'District Calculations'!$D$11),5)</f>
        <v>4.1099999999999999E-3</v>
      </c>
      <c r="S200" s="11">
        <f t="shared" si="18"/>
        <v>1.8689600000000001E-2</v>
      </c>
      <c r="T200">
        <f>ROUND(IF(VLOOKUP($A200,EnrollData2324,'2324 Jun 24 Enroll'!D$1,FALSE)='District Calculations'!$D$11,VLOOKUP($A200,EnrollData2324,'2324 Jun 24 Enroll'!D$1,FALSE),'District Calculations'!$D$11)*S200,3)</f>
        <v>0</v>
      </c>
      <c r="U200">
        <f>ROUND(IF(VLOOKUP($A200,EnrollData2324,'2324 Jun 24 Enroll'!E$1,FALSE)='District Calculations'!$D$12,VLOOKUP($A200,EnrollData2324,'2324 Jun 24 Enroll'!E$1,FALSE),'District Calculations'!$D$12)*S200,3)</f>
        <v>15.148</v>
      </c>
      <c r="V200">
        <f>ROUND(IF(VLOOKUP($A200,EnrollData2324,'2324 Jun 24 Enroll'!F$1,FALSE)='District Calculations'!$D$13,VLOOKUP($A200,EnrollData2324,'2324 Jun 24 Enroll'!F$1,FALSE),'District Calculations'!$D$13)*Apport_224A2324s,3)</f>
        <v>3.7029999999999998</v>
      </c>
      <c r="W200">
        <f>ROUND(IF(VLOOKUP($A200,EnrollData2324,'2324 Jun 24 Enroll'!G$1,FALSE)='District Calculations'!$D$14,VLOOKUP($A200,EnrollData2324,'2324 Jun 24 Enroll'!G$1,FALSE),'District Calculations'!$D$14)*Apport_212A2324s,3)</f>
        <v>8.2089999999999996</v>
      </c>
      <c r="X200">
        <f>ROUND(IF(VLOOKUP($A200,EnrollData2324,'2324 Jun 24 Enroll'!H$1,FALSE)='District Calculations'!$D$14,VLOOKUP($A200,EnrollData2324,'2324 Jun 24 Enroll'!H$1,FALSE),'District Calculations'!$D$14)*Apport_215A2324s,3)</f>
        <v>8.0969999999999995</v>
      </c>
      <c r="Y200">
        <f>ROUND(IF(VLOOKUP($A200,EnrollData2324,'2324 Jun 24 Enroll'!I$1,FALSE)+VLOOKUP($A200,EnrollData2324,'2324 Jun 24 Enroll'!M$1,FALSE)-VLOOKUP($A200,EnrollData2324,'2324 Jun 24 Enroll'!J$1,FALSE)='District Calculations'!$D$16+'District Calculations'!$D$25-'District Calculations'!$D$17,VLOOKUP($A200,EnrollData2324,'2324 Jun 24 Enroll'!I$1,FALSE)+VLOOKUP($A200,EnrollData2324,'2324 Jun 24 Enroll'!M$1,FALSE)-VLOOKUP($A200,EnrollData2324,'2324 Jun 24 Enroll'!J$1,FALSE),'District Calculations'!$D$16+'District Calculations'!$D$25-'District Calculations'!$D$17)*Apport_218A2324s,3)</f>
        <v>20.224</v>
      </c>
      <c r="Z200">
        <f>ROUND(SUM(T200:Y200)/IF(VLOOKUP($A200,EnrollData2324,'2324 Jun 24 Enroll'!M$1,FALSE)+VLOOKUP($A200,EnrollData2324,'2324 Jun 24 Enroll'!D$1,FALSE)='District Calculations'!$D$25+'District Calculations'!$D$11,VLOOKUP($A200,EnrollData2324,'2324 Jun 24 Enroll'!M$1,FALSE)+VLOOKUP($A200,EnrollData2324,'2324 Jun 24 Enroll'!D$1,FALSE),'District Calculations'!$D$25+'District Calculations'!$D$11),5)</f>
        <v>1.7749999999999998E-2</v>
      </c>
      <c r="AA200" s="6" cm="1">
        <f t="array" ref="AA200">ROUND($J200*CIS_Base_Salary2324s*VLOOKUP($A200,EnrollData2324,'2324 Jun 24 Enroll'!S$1,FALSE),2)</f>
        <v>4038.59</v>
      </c>
      <c r="AB200" s="6" cm="1">
        <f t="array" ref="AB200">ROUND($J200*CIS_Inc_Salary2324s*(VLOOKUP($A200,EnrollData2324,'2324 Jun 24 Enroll'!T$1,FALSE)+VLOOKUP($A200,EnrollData2324,'2324 Jun 24 Enroll'!U$1,FALSE)),2)-AA200</f>
        <v>149.43000000000029</v>
      </c>
      <c r="AC200" s="6" cm="1">
        <f t="array" ref="AC200">ROUND($R200*CAS_Base_Salary2324s*VLOOKUP($A200,EnrollData2324,'2324 Jun 24 Enroll'!S$1,FALSE),2)</f>
        <v>443.7</v>
      </c>
      <c r="AD200" s="6" cm="1">
        <f t="array" ref="AD200">ROUND($R200*CAS_Inc_Salary2324s*VLOOKUP($A200,EnrollData2324,'2324 Jun 24 Enroll'!T$1,FALSE),2)-AC200</f>
        <v>16.410000000000025</v>
      </c>
      <c r="AE200" s="6" cm="1">
        <f t="array" ref="AE200">ROUND($Z200*CLS_Base_Salary2324s*VLOOKUP($A200,EnrollData2324,'2324 Jun 24 Enroll'!S$1,FALSE),2)</f>
        <v>926.07</v>
      </c>
      <c r="AF200" s="6" cm="1">
        <f t="array" ref="AF200">ROUND($Z200*CLS_Inc_Salary2324s*VLOOKUP($A200,EnrollData2324,'2324 Jun 24 Enroll'!T$1,FALSE),2)-AE200</f>
        <v>34.259999999999991</v>
      </c>
      <c r="AG200" cm="1">
        <f t="array" ref="AG200">ROUND(($J200+$R200)*Apport_124X2324s,2)</f>
        <v>734.29</v>
      </c>
      <c r="AH200" s="69">
        <f t="shared" si="19"/>
        <v>68.700000000000045</v>
      </c>
      <c r="AI200" cm="1">
        <f t="array" ref="AI200">ROUND($Z200*Apport_124X2324s,2)</f>
        <v>218.54</v>
      </c>
      <c r="AJ200" cm="1">
        <f t="array" ref="AJ200">ROUND($Z200*Apport_621X2324s*Apport_125X2324s,2)-AI200</f>
        <v>116.51000000000002</v>
      </c>
      <c r="AK200" cm="1">
        <f t="array" ref="AK200">ROUND((AA200+AC200)*Apport_126X2324s,2)</f>
        <v>805.47</v>
      </c>
      <c r="AL200" cm="1">
        <f t="array" ref="AL200">ROUND((AB200+AD200)*Apport_127X2324s,2)</f>
        <v>28.74</v>
      </c>
      <c r="AM200" cm="1">
        <f t="array" ref="AM200">ROUND(AE200*Apport_128X2324s,2)</f>
        <v>204.29</v>
      </c>
      <c r="AN200" cm="1">
        <f t="array" ref="AN200">ROUND(AF200*Apport_129X2324s,2)</f>
        <v>6.36</v>
      </c>
      <c r="AO200" cm="1">
        <f t="array" ref="AO200">ROUND(($J200*CIS_Inc_Salary2324s*(VLOOKUP($A200,EnrollData2324,'2324 Jun 24 Enroll'!T$1,FALSE)+VLOOKUP($A200,EnrollData2324,'2324 Jun 24 Enroll'!U$1,FALSE))/Apport_613Xpd)*Apport_614Xpd,2)</f>
        <v>69.8</v>
      </c>
      <c r="AP200" cm="1">
        <f t="array" ref="AP200">ROUND(AO200*Apport_127X2324s,2)</f>
        <v>12.1</v>
      </c>
      <c r="AQ200">
        <f t="shared" si="20"/>
        <v>30.93</v>
      </c>
      <c r="AR200" s="6" cm="1">
        <f t="array" ref="AR200">ROUND((VLOOKUP($A200,EnrollData2324,'2324 Jun 24 Enroll'!D$1,FALSE)*Apport_M802324s+VLOOKUP($A200,EnrollData2324,'2324 Jun 24 Enroll'!M$1,FALSE)*Apport_M802324s+(VLOOKUP($A200,EnrollData2324,'2324 Jun 24 Enroll'!P$1,FALSE)+VLOOKUP($A200,EnrollData2324,'2324 Jun 24 Enroll'!Q$1,FALSE)+VLOOKUP($A200,EnrollData2324,'2324 Jun 24 Enroll'!R$1,FALSE)+VLOOKUP($A200,EnrollData2324,'2324 Jun 24 Enroll'!I$1,FALSE)+VLOOKUP($A200,EnrollData2324,'2324 Jun 24 Enroll'!N$1,FALSE)+VLOOKUP($A200,EnrollData2324,'2324 Jun 24 Enroll'!O$1,FALSE)+VLOOKUP($A200,EnrollData2324,'2324 Jun 24 Enroll'!K$1,FALSE)+VLOOKUP($A200,EnrollData2324,'2324 Jun 24 Enroll'!L$1,FALSE))*Apport_M812324s)/(VLOOKUP($A200,EnrollData2324,'2324 Jun 24 Enroll'!M$1,FALSE)+VLOOKUP($A200,EnrollData2324,'2324 Jun 24 Enroll'!D$1,FALSE)),2)</f>
        <v>1562.67</v>
      </c>
      <c r="AS200" s="7">
        <f t="shared" si="21"/>
        <v>9466.86</v>
      </c>
    </row>
    <row r="201" spans="1:46">
      <c r="A201" s="40" t="s">
        <v>795</v>
      </c>
      <c r="B201" s="40" t="s">
        <v>796</v>
      </c>
      <c r="C201" s="11">
        <f>ROUND((IFERROR((1/IF(VLOOKUP($A201,EnrollData2324,28,FALSE)='District Calculations'!$D$10,VLOOKUP($A201,EnrollData2324,28,FALSE),'District Calculations'!$D$10))*(1+Apport_Z315),0))+Apport_201A2324s,6)</f>
        <v>7.3449E-2</v>
      </c>
      <c r="D201">
        <f>ROUND(IF(VLOOKUP($A201,EnrollData2324,'2324 Jun 24 Enroll'!D$1,FALSE)='District Calculations'!$D$11,VLOOKUP($A201,EnrollData2324,'2324 Jun 24 Enroll'!D$1,FALSE),'District Calculations'!$D$11)*C201,3)</f>
        <v>0</v>
      </c>
      <c r="E201">
        <f>ROUND(IF(VLOOKUP($A201,EnrollData2324,'2324 Jun 24 Enroll'!E$1,FALSE)='District Calculations'!$D$12,VLOOKUP($A201,EnrollData2324,'2324 Jun 24 Enroll'!E$1,FALSE),'District Calculations'!$D$12)*C201,3)</f>
        <v>59.53</v>
      </c>
      <c r="F201">
        <f>ROUND(IF(VLOOKUP($A201,EnrollData2324,'2324 Jun 24 Enroll'!F$1,FALSE)='District Calculations'!$D$13,VLOOKUP($A201,EnrollData2324,'2324 Jun 24 Enroll'!F$1,FALSE),'District Calculations'!$D$13)*Apport_222A2324s,3)</f>
        <v>10.101000000000001</v>
      </c>
      <c r="G201">
        <f>ROUND(IF(VLOOKUP($A201,EnrollData2324,'2324 Jun 24 Enroll'!G$1,FALSE)='District Calculations'!$D$14,VLOOKUP($A201,EnrollData2324,'2324 Jun 24 Enroll'!G$1,FALSE),'District Calculations'!$D$14)*Apport_210A2324s,3)</f>
        <v>22.395</v>
      </c>
      <c r="H201">
        <f>ROUND(IF(VLOOKUP($A201,EnrollData2324,'2324 Jun 24 Enroll'!H$1,FALSE)='District Calculations'!$D$15,VLOOKUP($A201,EnrollData2324,'2324 Jun 24 Enroll'!H$1,FALSE),'District Calculations'!$D$15)*Apport_213A2324s,3)</f>
        <v>23.091999999999999</v>
      </c>
      <c r="I201">
        <f>ROUND(IF(VLOOKUP($A201,EnrollData2324,'2324 Jun 24 Enroll'!I$1,FALSE)+VLOOKUP($A201,EnrollData2324,'2324 Jun 24 Enroll'!M$1,FALSE)-VLOOKUP($A201,EnrollData2324,'2324 Jun 24 Enroll'!J$1,FALSE)='District Calculations'!$D$16+'District Calculations'!$D$25-'District Calculations'!$D$17,VLOOKUP($A201,EnrollData2324,'2324 Jun 24 Enroll'!I$1,FALSE)+VLOOKUP($A201,EnrollData2324,'2324 Jun 24 Enroll'!M$1,FALSE)-VLOOKUP($A201,EnrollData2324,'2324 Jun 24 Enroll'!J$1,FALSE),'District Calculations'!$D$16+'District Calculations'!$D$25-'District Calculations'!$D$17)*Apport_216A2324s,3)</f>
        <v>58.183999999999997</v>
      </c>
      <c r="J201">
        <f>ROUND(SUM(D201:I201)/(IF(VLOOKUP($A201,EnrollData2324,'2324 Jun 24 Enroll'!M$1,FALSE)='District Calculations'!$D$25,VLOOKUP($A201,EnrollData2324,'2324 Jun 24 Enroll'!M$1,FALSE),'District Calculations'!$D$25)+IF(VLOOKUP($A201,EnrollData2324,'2324 Jun 24 Enroll'!D$1,FALSE)='District Calculations'!$D$11,VLOOKUP($A201,EnrollData2324,'2324 Jun 24 Enroll'!D$1,FALSE),'District Calculations'!$D$11)),5)</f>
        <v>5.5530000000000003E-2</v>
      </c>
      <c r="K201" s="11">
        <f t="shared" si="17"/>
        <v>4.3699999999999998E-3</v>
      </c>
      <c r="L201">
        <f>ROUND(IF(VLOOKUP($A201,EnrollData2324,'2324 Jun 24 Enroll'!D$1,FALSE)='District Calculations'!$D$11,VLOOKUP($A201,EnrollData2324,'2324 Jun 24 Enroll'!D$1,FALSE),'District Calculations'!$D$11)*K201,3)</f>
        <v>0</v>
      </c>
      <c r="M201">
        <f>ROUND(IF(VLOOKUP($A201,EnrollData2324,'2324 Jun 24 Enroll'!E$1,FALSE)='District Calculations'!$D$12,VLOOKUP($A201,EnrollData2324,'2324 Jun 24 Enroll'!E$1,FALSE),'District Calculations'!$D$12)*K201,3)</f>
        <v>3.5419999999999998</v>
      </c>
      <c r="N201">
        <f>ROUND(IF(VLOOKUP($A201,EnrollData2324,'2324 Jun 24 Enroll'!F$1,FALSE)='District Calculations'!$D$13,VLOOKUP($A201,EnrollData2324,'2324 Jun 24 Enroll'!F$1,FALSE),'District Calculations'!$D$13)*Apport_223A2324s,3)</f>
        <v>0.84299999999999997</v>
      </c>
      <c r="O201">
        <f>ROUND(IF(VLOOKUP($A201,EnrollData2324,'2324 Jun 24 Enroll'!G$1,FALSE)='District Calculations'!$D$14,VLOOKUP($A201,EnrollData2324,'2324 Jun 24 Enroll'!G$1,FALSE),'District Calculations'!$D$14)*Apport_211A2324s,3)</f>
        <v>1.87</v>
      </c>
      <c r="P201">
        <f>ROUND(IF(VLOOKUP($A201,EnrollData2324,'2324 Jun 24 Enroll'!H$1,FALSE)='District Calculations'!$D$14,VLOOKUP($A201,EnrollData2324,'2324 Jun 24 Enroll'!H$1,FALSE),'District Calculations'!$D$14)*Apport_214A2324s,3)</f>
        <v>1.8680000000000001</v>
      </c>
      <c r="Q201">
        <f>ROUND(IF(VLOOKUP($A201,EnrollData2324,'2324 Jun 24 Enroll'!I$1,FALSE)+VLOOKUP($A201,EnrollData2324,'2324 Jun 24 Enroll'!M$1,FALSE)-VLOOKUP($A201,EnrollData2324,'2324 Jun 24 Enroll'!J$1,FALSE)='District Calculations'!$D$16+'District Calculations'!$D$25-'District Calculations'!$D$17,VLOOKUP($A201,EnrollData2324,'2324 Jun 24 Enroll'!I$1,FALSE)+VLOOKUP($A201,EnrollData2324,'2324 Jun 24 Enroll'!M$1,FALSE)-VLOOKUP($A201,EnrollData2324,'2324 Jun 24 Enroll'!J$1,FALSE),'District Calculations'!$D$16+'District Calculations'!$D$25-'District Calculations'!$D$17)*Apport_217A2324s,3)</f>
        <v>4.702</v>
      </c>
      <c r="R201">
        <f>ROUND(SUM(L201:Q201)/IF(VLOOKUP($A201,EnrollData2324,'2324 Jun 24 Enroll'!M$1,FALSE)+VLOOKUP($A201,EnrollData2324,'2324 Jun 24 Enroll'!D$1,FALSE)='District Calculations'!$D$25+'District Calculations'!$D$11,VLOOKUP($A201,EnrollData2324,'2324 Jun 24 Enroll'!M$1,FALSE)+VLOOKUP($A201,EnrollData2324,'2324 Jun 24 Enroll'!D$1,FALSE),'District Calculations'!$D$25+'District Calculations'!$D$11),5)</f>
        <v>4.1099999999999999E-3</v>
      </c>
      <c r="S201" s="11">
        <f t="shared" si="18"/>
        <v>1.8689600000000001E-2</v>
      </c>
      <c r="T201">
        <f>ROUND(IF(VLOOKUP($A201,EnrollData2324,'2324 Jun 24 Enroll'!D$1,FALSE)='District Calculations'!$D$11,VLOOKUP($A201,EnrollData2324,'2324 Jun 24 Enroll'!D$1,FALSE),'District Calculations'!$D$11)*S201,3)</f>
        <v>0</v>
      </c>
      <c r="U201">
        <f>ROUND(IF(VLOOKUP($A201,EnrollData2324,'2324 Jun 24 Enroll'!E$1,FALSE)='District Calculations'!$D$12,VLOOKUP($A201,EnrollData2324,'2324 Jun 24 Enroll'!E$1,FALSE),'District Calculations'!$D$12)*S201,3)</f>
        <v>15.148</v>
      </c>
      <c r="V201">
        <f>ROUND(IF(VLOOKUP($A201,EnrollData2324,'2324 Jun 24 Enroll'!F$1,FALSE)='District Calculations'!$D$13,VLOOKUP($A201,EnrollData2324,'2324 Jun 24 Enroll'!F$1,FALSE),'District Calculations'!$D$13)*Apport_224A2324s,3)</f>
        <v>3.7029999999999998</v>
      </c>
      <c r="W201">
        <f>ROUND(IF(VLOOKUP($A201,EnrollData2324,'2324 Jun 24 Enroll'!G$1,FALSE)='District Calculations'!$D$14,VLOOKUP($A201,EnrollData2324,'2324 Jun 24 Enroll'!G$1,FALSE),'District Calculations'!$D$14)*Apport_212A2324s,3)</f>
        <v>8.2089999999999996</v>
      </c>
      <c r="X201">
        <f>ROUND(IF(VLOOKUP($A201,EnrollData2324,'2324 Jun 24 Enroll'!H$1,FALSE)='District Calculations'!$D$14,VLOOKUP($A201,EnrollData2324,'2324 Jun 24 Enroll'!H$1,FALSE),'District Calculations'!$D$14)*Apport_215A2324s,3)</f>
        <v>8.0969999999999995</v>
      </c>
      <c r="Y201">
        <f>ROUND(IF(VLOOKUP($A201,EnrollData2324,'2324 Jun 24 Enroll'!I$1,FALSE)+VLOOKUP($A201,EnrollData2324,'2324 Jun 24 Enroll'!M$1,FALSE)-VLOOKUP($A201,EnrollData2324,'2324 Jun 24 Enroll'!J$1,FALSE)='District Calculations'!$D$16+'District Calculations'!$D$25-'District Calculations'!$D$17,VLOOKUP($A201,EnrollData2324,'2324 Jun 24 Enroll'!I$1,FALSE)+VLOOKUP($A201,EnrollData2324,'2324 Jun 24 Enroll'!M$1,FALSE)-VLOOKUP($A201,EnrollData2324,'2324 Jun 24 Enroll'!J$1,FALSE),'District Calculations'!$D$16+'District Calculations'!$D$25-'District Calculations'!$D$17)*Apport_218A2324s,3)</f>
        <v>20.224</v>
      </c>
      <c r="Z201">
        <f>ROUND(SUM(T201:Y201)/IF(VLOOKUP($A201,EnrollData2324,'2324 Jun 24 Enroll'!M$1,FALSE)+VLOOKUP($A201,EnrollData2324,'2324 Jun 24 Enroll'!D$1,FALSE)='District Calculations'!$D$25+'District Calculations'!$D$11,VLOOKUP($A201,EnrollData2324,'2324 Jun 24 Enroll'!M$1,FALSE)+VLOOKUP($A201,EnrollData2324,'2324 Jun 24 Enroll'!D$1,FALSE),'District Calculations'!$D$25+'District Calculations'!$D$11),5)</f>
        <v>1.7749999999999998E-2</v>
      </c>
      <c r="AA201" s="6" cm="1">
        <f t="array" ref="AA201">ROUND($J201*CIS_Base_Salary2324s*VLOOKUP($A201,EnrollData2324,'2324 Jun 24 Enroll'!S$1,FALSE),2)</f>
        <v>4280.8999999999996</v>
      </c>
      <c r="AB201" s="6" cm="1">
        <f t="array" ref="AB201">ROUND($J201*CIS_Inc_Salary2324s*(VLOOKUP($A201,EnrollData2324,'2324 Jun 24 Enroll'!T$1,FALSE)+VLOOKUP($A201,EnrollData2324,'2324 Jun 24 Enroll'!U$1,FALSE)),2)-AA201</f>
        <v>158.40000000000055</v>
      </c>
      <c r="AC201" s="6" cm="1">
        <f t="array" ref="AC201">ROUND($R201*CAS_Base_Salary2324s*VLOOKUP($A201,EnrollData2324,'2324 Jun 24 Enroll'!S$1,FALSE),2)</f>
        <v>470.32</v>
      </c>
      <c r="AD201" s="6" cm="1">
        <f t="array" ref="AD201">ROUND($R201*CAS_Inc_Salary2324s*VLOOKUP($A201,EnrollData2324,'2324 Jun 24 Enroll'!T$1,FALSE),2)-AC201</f>
        <v>17.400000000000034</v>
      </c>
      <c r="AE201" s="6" cm="1">
        <f t="array" ref="AE201">ROUND($Z201*CLS_Base_Salary2324s*VLOOKUP($A201,EnrollData2324,'2324 Jun 24 Enroll'!S$1,FALSE),2)</f>
        <v>981.63</v>
      </c>
      <c r="AF201" s="6" cm="1">
        <f t="array" ref="AF201">ROUND($Z201*CLS_Inc_Salary2324s*VLOOKUP($A201,EnrollData2324,'2324 Jun 24 Enroll'!T$1,FALSE),2)-AE201</f>
        <v>36.32000000000005</v>
      </c>
      <c r="AG201" cm="1">
        <f t="array" ref="AG201">ROUND(($J201+$R201)*Apport_124X2324s,2)</f>
        <v>734.29</v>
      </c>
      <c r="AH201" s="69">
        <f t="shared" si="19"/>
        <v>68.700000000000045</v>
      </c>
      <c r="AI201" cm="1">
        <f t="array" ref="AI201">ROUND($Z201*Apport_124X2324s,2)</f>
        <v>218.54</v>
      </c>
      <c r="AJ201" cm="1">
        <f t="array" ref="AJ201">ROUND($Z201*Apport_621X2324s*Apport_125X2324s,2)-AI201</f>
        <v>116.51000000000002</v>
      </c>
      <c r="AK201" cm="1">
        <f t="array" ref="AK201">ROUND((AA201+AC201)*Apport_126X2324s,2)</f>
        <v>853.79</v>
      </c>
      <c r="AL201" cm="1">
        <f t="array" ref="AL201">ROUND((AB201+AD201)*Apport_127X2324s,2)</f>
        <v>30.47</v>
      </c>
      <c r="AM201" cm="1">
        <f t="array" ref="AM201">ROUND(AE201*Apport_128X2324s,2)</f>
        <v>216.55</v>
      </c>
      <c r="AN201" cm="1">
        <f t="array" ref="AN201">ROUND(AF201*Apport_129X2324s,2)</f>
        <v>6.74</v>
      </c>
      <c r="AO201" cm="1">
        <f t="array" ref="AO201">ROUND(($J201*CIS_Inc_Salary2324s*(VLOOKUP($A201,EnrollData2324,'2324 Jun 24 Enroll'!T$1,FALSE)+VLOOKUP($A201,EnrollData2324,'2324 Jun 24 Enroll'!U$1,FALSE))/Apport_613Xpd)*Apport_614Xpd,2)</f>
        <v>73.989999999999995</v>
      </c>
      <c r="AP201" cm="1">
        <f t="array" ref="AP201">ROUND(AO201*Apport_127X2324s,2)</f>
        <v>12.82</v>
      </c>
      <c r="AQ201">
        <f t="shared" si="20"/>
        <v>30.93</v>
      </c>
      <c r="AR201" s="6" cm="1">
        <f t="array" ref="AR201">ROUND((VLOOKUP($A201,EnrollData2324,'2324 Jun 24 Enroll'!D$1,FALSE)*Apport_M802324s+VLOOKUP($A201,EnrollData2324,'2324 Jun 24 Enroll'!M$1,FALSE)*Apport_M802324s+(VLOOKUP($A201,EnrollData2324,'2324 Jun 24 Enroll'!P$1,FALSE)+VLOOKUP($A201,EnrollData2324,'2324 Jun 24 Enroll'!Q$1,FALSE)+VLOOKUP($A201,EnrollData2324,'2324 Jun 24 Enroll'!R$1,FALSE)+VLOOKUP($A201,EnrollData2324,'2324 Jun 24 Enroll'!I$1,FALSE)+VLOOKUP($A201,EnrollData2324,'2324 Jun 24 Enroll'!N$1,FALSE)+VLOOKUP($A201,EnrollData2324,'2324 Jun 24 Enroll'!O$1,FALSE)+VLOOKUP($A201,EnrollData2324,'2324 Jun 24 Enroll'!K$1,FALSE)+VLOOKUP($A201,EnrollData2324,'2324 Jun 24 Enroll'!L$1,FALSE))*Apport_M812324s)/(VLOOKUP($A201,EnrollData2324,'2324 Jun 24 Enroll'!M$1,FALSE)+VLOOKUP($A201,EnrollData2324,'2324 Jun 24 Enroll'!D$1,FALSE)),2)</f>
        <v>1569.07</v>
      </c>
      <c r="AS201" s="7">
        <f t="shared" si="21"/>
        <v>9877.369999999999</v>
      </c>
    </row>
    <row r="202" spans="1:46">
      <c r="A202" s="40" t="s">
        <v>705</v>
      </c>
      <c r="B202" s="40" t="s">
        <v>706</v>
      </c>
      <c r="C202" s="11">
        <f>ROUND((IFERROR((1/IF(VLOOKUP($A202,EnrollData2324,28,FALSE)='District Calculations'!$D$10,VLOOKUP($A202,EnrollData2324,28,FALSE),'District Calculations'!$D$10))*(1+Apport_Z315),0))+Apport_201A2324s,6)</f>
        <v>7.3449E-2</v>
      </c>
      <c r="D202">
        <f>ROUND(IF(VLOOKUP($A202,EnrollData2324,'2324 Jun 24 Enroll'!D$1,FALSE)='District Calculations'!$D$11,VLOOKUP($A202,EnrollData2324,'2324 Jun 24 Enroll'!D$1,FALSE),'District Calculations'!$D$11)*C202,3)</f>
        <v>0</v>
      </c>
      <c r="E202">
        <f>ROUND(IF(VLOOKUP($A202,EnrollData2324,'2324 Jun 24 Enroll'!E$1,FALSE)='District Calculations'!$D$12,VLOOKUP($A202,EnrollData2324,'2324 Jun 24 Enroll'!E$1,FALSE),'District Calculations'!$D$12)*C202,3)</f>
        <v>59.53</v>
      </c>
      <c r="F202">
        <f>ROUND(IF(VLOOKUP($A202,EnrollData2324,'2324 Jun 24 Enroll'!F$1,FALSE)='District Calculations'!$D$13,VLOOKUP($A202,EnrollData2324,'2324 Jun 24 Enroll'!F$1,FALSE),'District Calculations'!$D$13)*Apport_222A2324s,3)</f>
        <v>10.101000000000001</v>
      </c>
      <c r="G202">
        <f>ROUND(IF(VLOOKUP($A202,EnrollData2324,'2324 Jun 24 Enroll'!G$1,FALSE)='District Calculations'!$D$14,VLOOKUP($A202,EnrollData2324,'2324 Jun 24 Enroll'!G$1,FALSE),'District Calculations'!$D$14)*Apport_210A2324s,3)</f>
        <v>22.395</v>
      </c>
      <c r="H202">
        <f>ROUND(IF(VLOOKUP($A202,EnrollData2324,'2324 Jun 24 Enroll'!H$1,FALSE)='District Calculations'!$D$15,VLOOKUP($A202,EnrollData2324,'2324 Jun 24 Enroll'!H$1,FALSE),'District Calculations'!$D$15)*Apport_213A2324s,3)</f>
        <v>23.091999999999999</v>
      </c>
      <c r="I202">
        <f>ROUND(IF(VLOOKUP($A202,EnrollData2324,'2324 Jun 24 Enroll'!I$1,FALSE)+VLOOKUP($A202,EnrollData2324,'2324 Jun 24 Enroll'!M$1,FALSE)-VLOOKUP($A202,EnrollData2324,'2324 Jun 24 Enroll'!J$1,FALSE)='District Calculations'!$D$16+'District Calculations'!$D$25-'District Calculations'!$D$17,VLOOKUP($A202,EnrollData2324,'2324 Jun 24 Enroll'!I$1,FALSE)+VLOOKUP($A202,EnrollData2324,'2324 Jun 24 Enroll'!M$1,FALSE)-VLOOKUP($A202,EnrollData2324,'2324 Jun 24 Enroll'!J$1,FALSE),'District Calculations'!$D$16+'District Calculations'!$D$25-'District Calculations'!$D$17)*Apport_216A2324s,3)</f>
        <v>58.183999999999997</v>
      </c>
      <c r="J202">
        <f>ROUND(SUM(D202:I202)/(IF(VLOOKUP($A202,EnrollData2324,'2324 Jun 24 Enroll'!M$1,FALSE)='District Calculations'!$D$25,VLOOKUP($A202,EnrollData2324,'2324 Jun 24 Enroll'!M$1,FALSE),'District Calculations'!$D$25)+IF(VLOOKUP($A202,EnrollData2324,'2324 Jun 24 Enroll'!D$1,FALSE)='District Calculations'!$D$11,VLOOKUP($A202,EnrollData2324,'2324 Jun 24 Enroll'!D$1,FALSE),'District Calculations'!$D$11)),5)</f>
        <v>5.5530000000000003E-2</v>
      </c>
      <c r="K202" s="11">
        <f t="shared" si="17"/>
        <v>4.3699999999999998E-3</v>
      </c>
      <c r="L202">
        <f>ROUND(IF(VLOOKUP($A202,EnrollData2324,'2324 Jun 24 Enroll'!D$1,FALSE)='District Calculations'!$D$11,VLOOKUP($A202,EnrollData2324,'2324 Jun 24 Enroll'!D$1,FALSE),'District Calculations'!$D$11)*K202,3)</f>
        <v>0</v>
      </c>
      <c r="M202">
        <f>ROUND(IF(VLOOKUP($A202,EnrollData2324,'2324 Jun 24 Enroll'!E$1,FALSE)='District Calculations'!$D$12,VLOOKUP($A202,EnrollData2324,'2324 Jun 24 Enroll'!E$1,FALSE),'District Calculations'!$D$12)*K202,3)</f>
        <v>3.5419999999999998</v>
      </c>
      <c r="N202">
        <f>ROUND(IF(VLOOKUP($A202,EnrollData2324,'2324 Jun 24 Enroll'!F$1,FALSE)='District Calculations'!$D$13,VLOOKUP($A202,EnrollData2324,'2324 Jun 24 Enroll'!F$1,FALSE),'District Calculations'!$D$13)*Apport_223A2324s,3)</f>
        <v>0.84299999999999997</v>
      </c>
      <c r="O202">
        <f>ROUND(IF(VLOOKUP($A202,EnrollData2324,'2324 Jun 24 Enroll'!G$1,FALSE)='District Calculations'!$D$14,VLOOKUP($A202,EnrollData2324,'2324 Jun 24 Enroll'!G$1,FALSE),'District Calculations'!$D$14)*Apport_211A2324s,3)</f>
        <v>1.87</v>
      </c>
      <c r="P202">
        <f>ROUND(IF(VLOOKUP($A202,EnrollData2324,'2324 Jun 24 Enroll'!H$1,FALSE)='District Calculations'!$D$14,VLOOKUP($A202,EnrollData2324,'2324 Jun 24 Enroll'!H$1,FALSE),'District Calculations'!$D$14)*Apport_214A2324s,3)</f>
        <v>1.8680000000000001</v>
      </c>
      <c r="Q202">
        <f>ROUND(IF(VLOOKUP($A202,EnrollData2324,'2324 Jun 24 Enroll'!I$1,FALSE)+VLOOKUP($A202,EnrollData2324,'2324 Jun 24 Enroll'!M$1,FALSE)-VLOOKUP($A202,EnrollData2324,'2324 Jun 24 Enroll'!J$1,FALSE)='District Calculations'!$D$16+'District Calculations'!$D$25-'District Calculations'!$D$17,VLOOKUP($A202,EnrollData2324,'2324 Jun 24 Enroll'!I$1,FALSE)+VLOOKUP($A202,EnrollData2324,'2324 Jun 24 Enroll'!M$1,FALSE)-VLOOKUP($A202,EnrollData2324,'2324 Jun 24 Enroll'!J$1,FALSE),'District Calculations'!$D$16+'District Calculations'!$D$25-'District Calculations'!$D$17)*Apport_217A2324s,3)</f>
        <v>4.702</v>
      </c>
      <c r="R202">
        <f>ROUND(SUM(L202:Q202)/IF(VLOOKUP($A202,EnrollData2324,'2324 Jun 24 Enroll'!M$1,FALSE)+VLOOKUP($A202,EnrollData2324,'2324 Jun 24 Enroll'!D$1,FALSE)='District Calculations'!$D$25+'District Calculations'!$D$11,VLOOKUP($A202,EnrollData2324,'2324 Jun 24 Enroll'!M$1,FALSE)+VLOOKUP($A202,EnrollData2324,'2324 Jun 24 Enroll'!D$1,FALSE),'District Calculations'!$D$25+'District Calculations'!$D$11),5)</f>
        <v>4.1099999999999999E-3</v>
      </c>
      <c r="S202" s="11">
        <f t="shared" si="18"/>
        <v>1.8689600000000001E-2</v>
      </c>
      <c r="T202">
        <f>ROUND(IF(VLOOKUP($A202,EnrollData2324,'2324 Jun 24 Enroll'!D$1,FALSE)='District Calculations'!$D$11,VLOOKUP($A202,EnrollData2324,'2324 Jun 24 Enroll'!D$1,FALSE),'District Calculations'!$D$11)*S202,3)</f>
        <v>0</v>
      </c>
      <c r="U202">
        <f>ROUND(IF(VLOOKUP($A202,EnrollData2324,'2324 Jun 24 Enroll'!E$1,FALSE)='District Calculations'!$D$12,VLOOKUP($A202,EnrollData2324,'2324 Jun 24 Enroll'!E$1,FALSE),'District Calculations'!$D$12)*S202,3)</f>
        <v>15.148</v>
      </c>
      <c r="V202">
        <f>ROUND(IF(VLOOKUP($A202,EnrollData2324,'2324 Jun 24 Enroll'!F$1,FALSE)='District Calculations'!$D$13,VLOOKUP($A202,EnrollData2324,'2324 Jun 24 Enroll'!F$1,FALSE),'District Calculations'!$D$13)*Apport_224A2324s,3)</f>
        <v>3.7029999999999998</v>
      </c>
      <c r="W202">
        <f>ROUND(IF(VLOOKUP($A202,EnrollData2324,'2324 Jun 24 Enroll'!G$1,FALSE)='District Calculations'!$D$14,VLOOKUP($A202,EnrollData2324,'2324 Jun 24 Enroll'!G$1,FALSE),'District Calculations'!$D$14)*Apport_212A2324s,3)</f>
        <v>8.2089999999999996</v>
      </c>
      <c r="X202">
        <f>ROUND(IF(VLOOKUP($A202,EnrollData2324,'2324 Jun 24 Enroll'!H$1,FALSE)='District Calculations'!$D$14,VLOOKUP($A202,EnrollData2324,'2324 Jun 24 Enroll'!H$1,FALSE),'District Calculations'!$D$14)*Apport_215A2324s,3)</f>
        <v>8.0969999999999995</v>
      </c>
      <c r="Y202">
        <f>ROUND(IF(VLOOKUP($A202,EnrollData2324,'2324 Jun 24 Enroll'!I$1,FALSE)+VLOOKUP($A202,EnrollData2324,'2324 Jun 24 Enroll'!M$1,FALSE)-VLOOKUP($A202,EnrollData2324,'2324 Jun 24 Enroll'!J$1,FALSE)='District Calculations'!$D$16+'District Calculations'!$D$25-'District Calculations'!$D$17,VLOOKUP($A202,EnrollData2324,'2324 Jun 24 Enroll'!I$1,FALSE)+VLOOKUP($A202,EnrollData2324,'2324 Jun 24 Enroll'!M$1,FALSE)-VLOOKUP($A202,EnrollData2324,'2324 Jun 24 Enroll'!J$1,FALSE),'District Calculations'!$D$16+'District Calculations'!$D$25-'District Calculations'!$D$17)*Apport_218A2324s,3)</f>
        <v>20.224</v>
      </c>
      <c r="Z202">
        <f>ROUND(SUM(T202:Y202)/IF(VLOOKUP($A202,EnrollData2324,'2324 Jun 24 Enroll'!M$1,FALSE)+VLOOKUP($A202,EnrollData2324,'2324 Jun 24 Enroll'!D$1,FALSE)='District Calculations'!$D$25+'District Calculations'!$D$11,VLOOKUP($A202,EnrollData2324,'2324 Jun 24 Enroll'!M$1,FALSE)+VLOOKUP($A202,EnrollData2324,'2324 Jun 24 Enroll'!D$1,FALSE),'District Calculations'!$D$25+'District Calculations'!$D$11),5)</f>
        <v>1.7749999999999998E-2</v>
      </c>
      <c r="AA202" s="6" cm="1">
        <f t="array" ref="AA202">ROUND($J202*CIS_Base_Salary2324s*VLOOKUP($A202,EnrollData2324,'2324 Jun 24 Enroll'!S$1,FALSE),2)</f>
        <v>4523.22</v>
      </c>
      <c r="AB202" s="6" cm="1">
        <f t="array" ref="AB202">ROUND($J202*CIS_Inc_Salary2324s*(VLOOKUP($A202,EnrollData2324,'2324 Jun 24 Enroll'!T$1,FALSE)+VLOOKUP($A202,EnrollData2324,'2324 Jun 24 Enroll'!U$1,FALSE)),2)-AA202</f>
        <v>167.35999999999967</v>
      </c>
      <c r="AC202" s="6" cm="1">
        <f t="array" ref="AC202">ROUND($R202*CAS_Base_Salary2324s*VLOOKUP($A202,EnrollData2324,'2324 Jun 24 Enroll'!S$1,FALSE),2)</f>
        <v>496.94</v>
      </c>
      <c r="AD202" s="6" cm="1">
        <f t="array" ref="AD202">ROUND($R202*CAS_Inc_Salary2324s*VLOOKUP($A202,EnrollData2324,'2324 Jun 24 Enroll'!T$1,FALSE),2)-AC202</f>
        <v>18.390000000000043</v>
      </c>
      <c r="AE202" s="6" cm="1">
        <f t="array" ref="AE202">ROUND($Z202*CLS_Base_Salary2324s*VLOOKUP($A202,EnrollData2324,'2324 Jun 24 Enroll'!S$1,FALSE),2)</f>
        <v>1037.2</v>
      </c>
      <c r="AF202" s="6" cm="1">
        <f t="array" ref="AF202">ROUND($Z202*CLS_Inc_Salary2324s*VLOOKUP($A202,EnrollData2324,'2324 Jun 24 Enroll'!T$1,FALSE),2)-AE202</f>
        <v>38.369999999999891</v>
      </c>
      <c r="AG202" cm="1">
        <f t="array" ref="AG202">ROUND(($J202+$R202)*Apport_124X2324s,2)</f>
        <v>734.29</v>
      </c>
      <c r="AH202" s="69">
        <f t="shared" si="19"/>
        <v>68.700000000000045</v>
      </c>
      <c r="AI202" cm="1">
        <f t="array" ref="AI202">ROUND($Z202*Apport_124X2324s,2)</f>
        <v>218.54</v>
      </c>
      <c r="AJ202" cm="1">
        <f t="array" ref="AJ202">ROUND($Z202*Apport_621X2324s*Apport_125X2324s,2)-AI202</f>
        <v>116.51000000000002</v>
      </c>
      <c r="AK202" cm="1">
        <f t="array" ref="AK202">ROUND((AA202+AC202)*Apport_126X2324s,2)</f>
        <v>902.12</v>
      </c>
      <c r="AL202" cm="1">
        <f t="array" ref="AL202">ROUND((AB202+AD202)*Apport_127X2324s,2)</f>
        <v>32.19</v>
      </c>
      <c r="AM202" cm="1">
        <f t="array" ref="AM202">ROUND(AE202*Apport_128X2324s,2)</f>
        <v>228.81</v>
      </c>
      <c r="AN202" cm="1">
        <f t="array" ref="AN202">ROUND(AF202*Apport_129X2324s,2)</f>
        <v>7.12</v>
      </c>
      <c r="AO202" cm="1">
        <f t="array" ref="AO202">ROUND(($J202*CIS_Inc_Salary2324s*(VLOOKUP($A202,EnrollData2324,'2324 Jun 24 Enroll'!T$1,FALSE)+VLOOKUP($A202,EnrollData2324,'2324 Jun 24 Enroll'!U$1,FALSE))/Apport_613Xpd)*Apport_614Xpd,2)</f>
        <v>78.180000000000007</v>
      </c>
      <c r="AP202" cm="1">
        <f t="array" ref="AP202">ROUND(AO202*Apport_127X2324s,2)</f>
        <v>13.55</v>
      </c>
      <c r="AQ202">
        <f t="shared" si="20"/>
        <v>30.93</v>
      </c>
      <c r="AR202" s="6" cm="1">
        <f t="array" ref="AR202">ROUND((VLOOKUP($A202,EnrollData2324,'2324 Jun 24 Enroll'!D$1,FALSE)*Apport_M802324s+VLOOKUP($A202,EnrollData2324,'2324 Jun 24 Enroll'!M$1,FALSE)*Apport_M802324s+(VLOOKUP($A202,EnrollData2324,'2324 Jun 24 Enroll'!P$1,FALSE)+VLOOKUP($A202,EnrollData2324,'2324 Jun 24 Enroll'!Q$1,FALSE)+VLOOKUP($A202,EnrollData2324,'2324 Jun 24 Enroll'!R$1,FALSE)+VLOOKUP($A202,EnrollData2324,'2324 Jun 24 Enroll'!I$1,FALSE)+VLOOKUP($A202,EnrollData2324,'2324 Jun 24 Enroll'!N$1,FALSE)+VLOOKUP($A202,EnrollData2324,'2324 Jun 24 Enroll'!O$1,FALSE)+VLOOKUP($A202,EnrollData2324,'2324 Jun 24 Enroll'!K$1,FALSE)+VLOOKUP($A202,EnrollData2324,'2324 Jun 24 Enroll'!L$1,FALSE))*Apport_M812324s)/(VLOOKUP($A202,EnrollData2324,'2324 Jun 24 Enroll'!M$1,FALSE)+VLOOKUP($A202,EnrollData2324,'2324 Jun 24 Enroll'!D$1,FALSE)),2)</f>
        <v>1569.47</v>
      </c>
      <c r="AS202" s="7">
        <f t="shared" si="21"/>
        <v>10281.89</v>
      </c>
    </row>
    <row r="203" spans="1:46">
      <c r="A203" s="40" t="s">
        <v>809</v>
      </c>
      <c r="B203" s="40" t="s">
        <v>810</v>
      </c>
      <c r="C203" s="11">
        <f>ROUND((IFERROR((1/IF(VLOOKUP($A203,EnrollData2324,28,FALSE)='District Calculations'!$D$10,VLOOKUP($A203,EnrollData2324,28,FALSE),'District Calculations'!$D$10))*(1+Apport_Z315),0))+Apport_201A2324s,6)</f>
        <v>7.3449E-2</v>
      </c>
      <c r="D203">
        <f>ROUND(IF(VLOOKUP($A203,EnrollData2324,'2324 Jun 24 Enroll'!D$1,FALSE)='District Calculations'!$D$11,VLOOKUP($A203,EnrollData2324,'2324 Jun 24 Enroll'!D$1,FALSE),'District Calculations'!$D$11)*C203,3)</f>
        <v>0</v>
      </c>
      <c r="E203">
        <f>ROUND(IF(VLOOKUP($A203,EnrollData2324,'2324 Jun 24 Enroll'!E$1,FALSE)='District Calculations'!$D$12,VLOOKUP($A203,EnrollData2324,'2324 Jun 24 Enroll'!E$1,FALSE),'District Calculations'!$D$12)*C203,3)</f>
        <v>59.53</v>
      </c>
      <c r="F203">
        <f>ROUND(IF(VLOOKUP($A203,EnrollData2324,'2324 Jun 24 Enroll'!F$1,FALSE)='District Calculations'!$D$13,VLOOKUP($A203,EnrollData2324,'2324 Jun 24 Enroll'!F$1,FALSE),'District Calculations'!$D$13)*Apport_222A2324s,3)</f>
        <v>10.101000000000001</v>
      </c>
      <c r="G203">
        <f>ROUND(IF(VLOOKUP($A203,EnrollData2324,'2324 Jun 24 Enroll'!G$1,FALSE)='District Calculations'!$D$14,VLOOKUP($A203,EnrollData2324,'2324 Jun 24 Enroll'!G$1,FALSE),'District Calculations'!$D$14)*Apport_210A2324s,3)</f>
        <v>22.395</v>
      </c>
      <c r="H203">
        <f>ROUND(IF(VLOOKUP($A203,EnrollData2324,'2324 Jun 24 Enroll'!H$1,FALSE)='District Calculations'!$D$15,VLOOKUP($A203,EnrollData2324,'2324 Jun 24 Enroll'!H$1,FALSE),'District Calculations'!$D$15)*Apport_213A2324s,3)</f>
        <v>23.091999999999999</v>
      </c>
      <c r="I203">
        <f>ROUND(IF(VLOOKUP($A203,EnrollData2324,'2324 Jun 24 Enroll'!I$1,FALSE)+VLOOKUP($A203,EnrollData2324,'2324 Jun 24 Enroll'!M$1,FALSE)-VLOOKUP($A203,EnrollData2324,'2324 Jun 24 Enroll'!J$1,FALSE)='District Calculations'!$D$16+'District Calculations'!$D$25-'District Calculations'!$D$17,VLOOKUP($A203,EnrollData2324,'2324 Jun 24 Enroll'!I$1,FALSE)+VLOOKUP($A203,EnrollData2324,'2324 Jun 24 Enroll'!M$1,FALSE)-VLOOKUP($A203,EnrollData2324,'2324 Jun 24 Enroll'!J$1,FALSE),'District Calculations'!$D$16+'District Calculations'!$D$25-'District Calculations'!$D$17)*Apport_216A2324s,3)</f>
        <v>58.183999999999997</v>
      </c>
      <c r="J203">
        <f>ROUND(SUM(D203:I203)/(IF(VLOOKUP($A203,EnrollData2324,'2324 Jun 24 Enroll'!M$1,FALSE)='District Calculations'!$D$25,VLOOKUP($A203,EnrollData2324,'2324 Jun 24 Enroll'!M$1,FALSE),'District Calculations'!$D$25)+IF(VLOOKUP($A203,EnrollData2324,'2324 Jun 24 Enroll'!D$1,FALSE)='District Calculations'!$D$11,VLOOKUP($A203,EnrollData2324,'2324 Jun 24 Enroll'!D$1,FALSE),'District Calculations'!$D$11)),5)</f>
        <v>5.5530000000000003E-2</v>
      </c>
      <c r="K203" s="11">
        <f t="shared" si="17"/>
        <v>4.3699999999999998E-3</v>
      </c>
      <c r="L203">
        <f>ROUND(IF(VLOOKUP($A203,EnrollData2324,'2324 Jun 24 Enroll'!D$1,FALSE)='District Calculations'!$D$11,VLOOKUP($A203,EnrollData2324,'2324 Jun 24 Enroll'!D$1,FALSE),'District Calculations'!$D$11)*K203,3)</f>
        <v>0</v>
      </c>
      <c r="M203">
        <f>ROUND(IF(VLOOKUP($A203,EnrollData2324,'2324 Jun 24 Enroll'!E$1,FALSE)='District Calculations'!$D$12,VLOOKUP($A203,EnrollData2324,'2324 Jun 24 Enroll'!E$1,FALSE),'District Calculations'!$D$12)*K203,3)</f>
        <v>3.5419999999999998</v>
      </c>
      <c r="N203">
        <f>ROUND(IF(VLOOKUP($A203,EnrollData2324,'2324 Jun 24 Enroll'!F$1,FALSE)='District Calculations'!$D$13,VLOOKUP($A203,EnrollData2324,'2324 Jun 24 Enroll'!F$1,FALSE),'District Calculations'!$D$13)*Apport_223A2324s,3)</f>
        <v>0.84299999999999997</v>
      </c>
      <c r="O203">
        <f>ROUND(IF(VLOOKUP($A203,EnrollData2324,'2324 Jun 24 Enroll'!G$1,FALSE)='District Calculations'!$D$14,VLOOKUP($A203,EnrollData2324,'2324 Jun 24 Enroll'!G$1,FALSE),'District Calculations'!$D$14)*Apport_211A2324s,3)</f>
        <v>1.87</v>
      </c>
      <c r="P203">
        <f>ROUND(IF(VLOOKUP($A203,EnrollData2324,'2324 Jun 24 Enroll'!H$1,FALSE)='District Calculations'!$D$14,VLOOKUP($A203,EnrollData2324,'2324 Jun 24 Enroll'!H$1,FALSE),'District Calculations'!$D$14)*Apport_214A2324s,3)</f>
        <v>1.8680000000000001</v>
      </c>
      <c r="Q203">
        <f>ROUND(IF(VLOOKUP($A203,EnrollData2324,'2324 Jun 24 Enroll'!I$1,FALSE)+VLOOKUP($A203,EnrollData2324,'2324 Jun 24 Enroll'!M$1,FALSE)-VLOOKUP($A203,EnrollData2324,'2324 Jun 24 Enroll'!J$1,FALSE)='District Calculations'!$D$16+'District Calculations'!$D$25-'District Calculations'!$D$17,VLOOKUP($A203,EnrollData2324,'2324 Jun 24 Enroll'!I$1,FALSE)+VLOOKUP($A203,EnrollData2324,'2324 Jun 24 Enroll'!M$1,FALSE)-VLOOKUP($A203,EnrollData2324,'2324 Jun 24 Enroll'!J$1,FALSE),'District Calculations'!$D$16+'District Calculations'!$D$25-'District Calculations'!$D$17)*Apport_217A2324s,3)</f>
        <v>4.702</v>
      </c>
      <c r="R203">
        <f>ROUND(SUM(L203:Q203)/IF(VLOOKUP($A203,EnrollData2324,'2324 Jun 24 Enroll'!M$1,FALSE)+VLOOKUP($A203,EnrollData2324,'2324 Jun 24 Enroll'!D$1,FALSE)='District Calculations'!$D$25+'District Calculations'!$D$11,VLOOKUP($A203,EnrollData2324,'2324 Jun 24 Enroll'!M$1,FALSE)+VLOOKUP($A203,EnrollData2324,'2324 Jun 24 Enroll'!D$1,FALSE),'District Calculations'!$D$25+'District Calculations'!$D$11),5)</f>
        <v>4.1099999999999999E-3</v>
      </c>
      <c r="S203" s="11">
        <f t="shared" si="18"/>
        <v>1.8689600000000001E-2</v>
      </c>
      <c r="T203">
        <f>ROUND(IF(VLOOKUP($A203,EnrollData2324,'2324 Jun 24 Enroll'!D$1,FALSE)='District Calculations'!$D$11,VLOOKUP($A203,EnrollData2324,'2324 Jun 24 Enroll'!D$1,FALSE),'District Calculations'!$D$11)*S203,3)</f>
        <v>0</v>
      </c>
      <c r="U203">
        <f>ROUND(IF(VLOOKUP($A203,EnrollData2324,'2324 Jun 24 Enroll'!E$1,FALSE)='District Calculations'!$D$12,VLOOKUP($A203,EnrollData2324,'2324 Jun 24 Enroll'!E$1,FALSE),'District Calculations'!$D$12)*S203,3)</f>
        <v>15.148</v>
      </c>
      <c r="V203">
        <f>ROUND(IF(VLOOKUP($A203,EnrollData2324,'2324 Jun 24 Enroll'!F$1,FALSE)='District Calculations'!$D$13,VLOOKUP($A203,EnrollData2324,'2324 Jun 24 Enroll'!F$1,FALSE),'District Calculations'!$D$13)*Apport_224A2324s,3)</f>
        <v>3.7029999999999998</v>
      </c>
      <c r="W203">
        <f>ROUND(IF(VLOOKUP($A203,EnrollData2324,'2324 Jun 24 Enroll'!G$1,FALSE)='District Calculations'!$D$14,VLOOKUP($A203,EnrollData2324,'2324 Jun 24 Enroll'!G$1,FALSE),'District Calculations'!$D$14)*Apport_212A2324s,3)</f>
        <v>8.2089999999999996</v>
      </c>
      <c r="X203">
        <f>ROUND(IF(VLOOKUP($A203,EnrollData2324,'2324 Jun 24 Enroll'!H$1,FALSE)='District Calculations'!$D$14,VLOOKUP($A203,EnrollData2324,'2324 Jun 24 Enroll'!H$1,FALSE),'District Calculations'!$D$14)*Apport_215A2324s,3)</f>
        <v>8.0969999999999995</v>
      </c>
      <c r="Y203">
        <f>ROUND(IF(VLOOKUP($A203,EnrollData2324,'2324 Jun 24 Enroll'!I$1,FALSE)+VLOOKUP($A203,EnrollData2324,'2324 Jun 24 Enroll'!M$1,FALSE)-VLOOKUP($A203,EnrollData2324,'2324 Jun 24 Enroll'!J$1,FALSE)='District Calculations'!$D$16+'District Calculations'!$D$25-'District Calculations'!$D$17,VLOOKUP($A203,EnrollData2324,'2324 Jun 24 Enroll'!I$1,FALSE)+VLOOKUP($A203,EnrollData2324,'2324 Jun 24 Enroll'!M$1,FALSE)-VLOOKUP($A203,EnrollData2324,'2324 Jun 24 Enroll'!J$1,FALSE),'District Calculations'!$D$16+'District Calculations'!$D$25-'District Calculations'!$D$17)*Apport_218A2324s,3)</f>
        <v>20.224</v>
      </c>
      <c r="Z203">
        <f>ROUND(SUM(T203:Y203)/IF(VLOOKUP($A203,EnrollData2324,'2324 Jun 24 Enroll'!M$1,FALSE)+VLOOKUP($A203,EnrollData2324,'2324 Jun 24 Enroll'!D$1,FALSE)='District Calculations'!$D$25+'District Calculations'!$D$11,VLOOKUP($A203,EnrollData2324,'2324 Jun 24 Enroll'!M$1,FALSE)+VLOOKUP($A203,EnrollData2324,'2324 Jun 24 Enroll'!D$1,FALSE),'District Calculations'!$D$25+'District Calculations'!$D$11),5)</f>
        <v>1.7749999999999998E-2</v>
      </c>
      <c r="AA203" s="6" cm="1">
        <f t="array" ref="AA203">ROUND($J203*CIS_Base_Salary2324s*VLOOKUP($A203,EnrollData2324,'2324 Jun 24 Enroll'!S$1,FALSE),2)</f>
        <v>4523.22</v>
      </c>
      <c r="AB203" s="6" cm="1">
        <f t="array" ref="AB203">ROUND($J203*CIS_Inc_Salary2324s*(VLOOKUP($A203,EnrollData2324,'2324 Jun 24 Enroll'!T$1,FALSE)+VLOOKUP($A203,EnrollData2324,'2324 Jun 24 Enroll'!U$1,FALSE)),2)-AA203</f>
        <v>167.35999999999967</v>
      </c>
      <c r="AC203" s="6" cm="1">
        <f t="array" ref="AC203">ROUND($R203*CAS_Base_Salary2324s*VLOOKUP($A203,EnrollData2324,'2324 Jun 24 Enroll'!S$1,FALSE),2)</f>
        <v>496.94</v>
      </c>
      <c r="AD203" s="6" cm="1">
        <f t="array" ref="AD203">ROUND($R203*CAS_Inc_Salary2324s*VLOOKUP($A203,EnrollData2324,'2324 Jun 24 Enroll'!T$1,FALSE),2)-AC203</f>
        <v>18.390000000000043</v>
      </c>
      <c r="AE203" s="6" cm="1">
        <f t="array" ref="AE203">ROUND($Z203*CLS_Base_Salary2324s*VLOOKUP($A203,EnrollData2324,'2324 Jun 24 Enroll'!S$1,FALSE),2)</f>
        <v>1037.2</v>
      </c>
      <c r="AF203" s="6" cm="1">
        <f t="array" ref="AF203">ROUND($Z203*CLS_Inc_Salary2324s*VLOOKUP($A203,EnrollData2324,'2324 Jun 24 Enroll'!T$1,FALSE),2)-AE203</f>
        <v>38.369999999999891</v>
      </c>
      <c r="AG203" cm="1">
        <f t="array" ref="AG203">ROUND(($J203+$R203)*Apport_124X2324s,2)</f>
        <v>734.29</v>
      </c>
      <c r="AH203" s="69">
        <f t="shared" si="19"/>
        <v>68.700000000000045</v>
      </c>
      <c r="AI203" cm="1">
        <f t="array" ref="AI203">ROUND($Z203*Apport_124X2324s,2)</f>
        <v>218.54</v>
      </c>
      <c r="AJ203" cm="1">
        <f t="array" ref="AJ203">ROUND($Z203*Apport_621X2324s*Apport_125X2324s,2)-AI203</f>
        <v>116.51000000000002</v>
      </c>
      <c r="AK203" cm="1">
        <f t="array" ref="AK203">ROUND((AA203+AC203)*Apport_126X2324s,2)</f>
        <v>902.12</v>
      </c>
      <c r="AL203" cm="1">
        <f t="array" ref="AL203">ROUND((AB203+AD203)*Apport_127X2324s,2)</f>
        <v>32.19</v>
      </c>
      <c r="AM203" cm="1">
        <f t="array" ref="AM203">ROUND(AE203*Apport_128X2324s,2)</f>
        <v>228.81</v>
      </c>
      <c r="AN203" cm="1">
        <f t="array" ref="AN203">ROUND(AF203*Apport_129X2324s,2)</f>
        <v>7.12</v>
      </c>
      <c r="AO203" cm="1">
        <f t="array" ref="AO203">ROUND(($J203*CIS_Inc_Salary2324s*(VLOOKUP($A203,EnrollData2324,'2324 Jun 24 Enroll'!T$1,FALSE)+VLOOKUP($A203,EnrollData2324,'2324 Jun 24 Enroll'!U$1,FALSE))/Apport_613Xpd)*Apport_614Xpd,2)</f>
        <v>78.180000000000007</v>
      </c>
      <c r="AP203" cm="1">
        <f t="array" ref="AP203">ROUND(AO203*Apport_127X2324s,2)</f>
        <v>13.55</v>
      </c>
      <c r="AQ203">
        <f t="shared" si="20"/>
        <v>30.93</v>
      </c>
      <c r="AR203" s="6" cm="1">
        <f t="array" ref="AR203">ROUND((VLOOKUP($A203,EnrollData2324,'2324 Jun 24 Enroll'!D$1,FALSE)*Apport_M802324s+VLOOKUP($A203,EnrollData2324,'2324 Jun 24 Enroll'!M$1,FALSE)*Apport_M802324s+(VLOOKUP($A203,EnrollData2324,'2324 Jun 24 Enroll'!P$1,FALSE)+VLOOKUP($A203,EnrollData2324,'2324 Jun 24 Enroll'!Q$1,FALSE)+VLOOKUP($A203,EnrollData2324,'2324 Jun 24 Enroll'!R$1,FALSE)+VLOOKUP($A203,EnrollData2324,'2324 Jun 24 Enroll'!I$1,FALSE)+VLOOKUP($A203,EnrollData2324,'2324 Jun 24 Enroll'!N$1,FALSE)+VLOOKUP($A203,EnrollData2324,'2324 Jun 24 Enroll'!O$1,FALSE)+VLOOKUP($A203,EnrollData2324,'2324 Jun 24 Enroll'!K$1,FALSE)+VLOOKUP($A203,EnrollData2324,'2324 Jun 24 Enroll'!L$1,FALSE))*Apport_M812324s)/(VLOOKUP($A203,EnrollData2324,'2324 Jun 24 Enroll'!M$1,FALSE)+VLOOKUP($A203,EnrollData2324,'2324 Jun 24 Enroll'!D$1,FALSE)),2)</f>
        <v>1571.54</v>
      </c>
      <c r="AS203" s="7">
        <f t="shared" si="21"/>
        <v>10283.959999999999</v>
      </c>
    </row>
    <row r="204" spans="1:46">
      <c r="A204" s="40" t="s">
        <v>361</v>
      </c>
      <c r="B204" s="40" t="s">
        <v>362</v>
      </c>
      <c r="C204" s="11">
        <f>ROUND((IFERROR((1/IF(VLOOKUP($A204,EnrollData2324,28,FALSE)='District Calculations'!$D$10,VLOOKUP($A204,EnrollData2324,28,FALSE),'District Calculations'!$D$10))*(1+Apport_Z315),0))+Apport_201A2324s,6)</f>
        <v>7.3449E-2</v>
      </c>
      <c r="D204">
        <f>ROUND(IF(VLOOKUP($A204,EnrollData2324,'2324 Jun 24 Enroll'!D$1,FALSE)='District Calculations'!$D$11,VLOOKUP($A204,EnrollData2324,'2324 Jun 24 Enroll'!D$1,FALSE),'District Calculations'!$D$11)*C204,3)</f>
        <v>0</v>
      </c>
      <c r="E204">
        <f>ROUND(IF(VLOOKUP($A204,EnrollData2324,'2324 Jun 24 Enroll'!E$1,FALSE)='District Calculations'!$D$12,VLOOKUP($A204,EnrollData2324,'2324 Jun 24 Enroll'!E$1,FALSE),'District Calculations'!$D$12)*C204,3)</f>
        <v>59.53</v>
      </c>
      <c r="F204">
        <f>ROUND(IF(VLOOKUP($A204,EnrollData2324,'2324 Jun 24 Enroll'!F$1,FALSE)='District Calculations'!$D$13,VLOOKUP($A204,EnrollData2324,'2324 Jun 24 Enroll'!F$1,FALSE),'District Calculations'!$D$13)*Apport_222A2324s,3)</f>
        <v>10.101000000000001</v>
      </c>
      <c r="G204">
        <f>ROUND(IF(VLOOKUP($A204,EnrollData2324,'2324 Jun 24 Enroll'!G$1,FALSE)='District Calculations'!$D$14,VLOOKUP($A204,EnrollData2324,'2324 Jun 24 Enroll'!G$1,FALSE),'District Calculations'!$D$14)*Apport_210A2324s,3)</f>
        <v>22.395</v>
      </c>
      <c r="H204">
        <f>ROUND(IF(VLOOKUP($A204,EnrollData2324,'2324 Jun 24 Enroll'!H$1,FALSE)='District Calculations'!$D$15,VLOOKUP($A204,EnrollData2324,'2324 Jun 24 Enroll'!H$1,FALSE),'District Calculations'!$D$15)*Apport_213A2324s,3)</f>
        <v>23.091999999999999</v>
      </c>
      <c r="I204">
        <f>ROUND(IF(VLOOKUP($A204,EnrollData2324,'2324 Jun 24 Enroll'!I$1,FALSE)+VLOOKUP($A204,EnrollData2324,'2324 Jun 24 Enroll'!M$1,FALSE)-VLOOKUP($A204,EnrollData2324,'2324 Jun 24 Enroll'!J$1,FALSE)='District Calculations'!$D$16+'District Calculations'!$D$25-'District Calculations'!$D$17,VLOOKUP($A204,EnrollData2324,'2324 Jun 24 Enroll'!I$1,FALSE)+VLOOKUP($A204,EnrollData2324,'2324 Jun 24 Enroll'!M$1,FALSE)-VLOOKUP($A204,EnrollData2324,'2324 Jun 24 Enroll'!J$1,FALSE),'District Calculations'!$D$16+'District Calculations'!$D$25-'District Calculations'!$D$17)*Apport_216A2324s,3)</f>
        <v>58.183999999999997</v>
      </c>
      <c r="J204">
        <f>ROUND(SUM(D204:I204)/(IF(VLOOKUP($A204,EnrollData2324,'2324 Jun 24 Enroll'!M$1,FALSE)='District Calculations'!$D$25,VLOOKUP($A204,EnrollData2324,'2324 Jun 24 Enroll'!M$1,FALSE),'District Calculations'!$D$25)+IF(VLOOKUP($A204,EnrollData2324,'2324 Jun 24 Enroll'!D$1,FALSE)='District Calculations'!$D$11,VLOOKUP($A204,EnrollData2324,'2324 Jun 24 Enroll'!D$1,FALSE),'District Calculations'!$D$11)),5)</f>
        <v>5.5530000000000003E-2</v>
      </c>
      <c r="K204" s="11">
        <f t="shared" si="17"/>
        <v>4.3699999999999998E-3</v>
      </c>
      <c r="L204">
        <f>ROUND(IF(VLOOKUP($A204,EnrollData2324,'2324 Jun 24 Enroll'!D$1,FALSE)='District Calculations'!$D$11,VLOOKUP($A204,EnrollData2324,'2324 Jun 24 Enroll'!D$1,FALSE),'District Calculations'!$D$11)*K204,3)</f>
        <v>0</v>
      </c>
      <c r="M204">
        <f>ROUND(IF(VLOOKUP($A204,EnrollData2324,'2324 Jun 24 Enroll'!E$1,FALSE)='District Calculations'!$D$12,VLOOKUP($A204,EnrollData2324,'2324 Jun 24 Enroll'!E$1,FALSE),'District Calculations'!$D$12)*K204,3)</f>
        <v>3.5419999999999998</v>
      </c>
      <c r="N204">
        <f>ROUND(IF(VLOOKUP($A204,EnrollData2324,'2324 Jun 24 Enroll'!F$1,FALSE)='District Calculations'!$D$13,VLOOKUP($A204,EnrollData2324,'2324 Jun 24 Enroll'!F$1,FALSE),'District Calculations'!$D$13)*Apport_223A2324s,3)</f>
        <v>0.84299999999999997</v>
      </c>
      <c r="O204">
        <f>ROUND(IF(VLOOKUP($A204,EnrollData2324,'2324 Jun 24 Enroll'!G$1,FALSE)='District Calculations'!$D$14,VLOOKUP($A204,EnrollData2324,'2324 Jun 24 Enroll'!G$1,FALSE),'District Calculations'!$D$14)*Apport_211A2324s,3)</f>
        <v>1.87</v>
      </c>
      <c r="P204">
        <f>ROUND(IF(VLOOKUP($A204,EnrollData2324,'2324 Jun 24 Enroll'!H$1,FALSE)='District Calculations'!$D$14,VLOOKUP($A204,EnrollData2324,'2324 Jun 24 Enroll'!H$1,FALSE),'District Calculations'!$D$14)*Apport_214A2324s,3)</f>
        <v>1.8680000000000001</v>
      </c>
      <c r="Q204">
        <f>ROUND(IF(VLOOKUP($A204,EnrollData2324,'2324 Jun 24 Enroll'!I$1,FALSE)+VLOOKUP($A204,EnrollData2324,'2324 Jun 24 Enroll'!M$1,FALSE)-VLOOKUP($A204,EnrollData2324,'2324 Jun 24 Enroll'!J$1,FALSE)='District Calculations'!$D$16+'District Calculations'!$D$25-'District Calculations'!$D$17,VLOOKUP($A204,EnrollData2324,'2324 Jun 24 Enroll'!I$1,FALSE)+VLOOKUP($A204,EnrollData2324,'2324 Jun 24 Enroll'!M$1,FALSE)-VLOOKUP($A204,EnrollData2324,'2324 Jun 24 Enroll'!J$1,FALSE),'District Calculations'!$D$16+'District Calculations'!$D$25-'District Calculations'!$D$17)*Apport_217A2324s,3)</f>
        <v>4.702</v>
      </c>
      <c r="R204">
        <f>ROUND(SUM(L204:Q204)/IF(VLOOKUP($A204,EnrollData2324,'2324 Jun 24 Enroll'!M$1,FALSE)+VLOOKUP($A204,EnrollData2324,'2324 Jun 24 Enroll'!D$1,FALSE)='District Calculations'!$D$25+'District Calculations'!$D$11,VLOOKUP($A204,EnrollData2324,'2324 Jun 24 Enroll'!M$1,FALSE)+VLOOKUP($A204,EnrollData2324,'2324 Jun 24 Enroll'!D$1,FALSE),'District Calculations'!$D$25+'District Calculations'!$D$11),5)</f>
        <v>4.1099999999999999E-3</v>
      </c>
      <c r="S204" s="11">
        <f t="shared" si="18"/>
        <v>1.8689600000000001E-2</v>
      </c>
      <c r="T204">
        <f>ROUND(IF(VLOOKUP($A204,EnrollData2324,'2324 Jun 24 Enroll'!D$1,FALSE)='District Calculations'!$D$11,VLOOKUP($A204,EnrollData2324,'2324 Jun 24 Enroll'!D$1,FALSE),'District Calculations'!$D$11)*S204,3)</f>
        <v>0</v>
      </c>
      <c r="U204">
        <f>ROUND(IF(VLOOKUP($A204,EnrollData2324,'2324 Jun 24 Enroll'!E$1,FALSE)='District Calculations'!$D$12,VLOOKUP($A204,EnrollData2324,'2324 Jun 24 Enroll'!E$1,FALSE),'District Calculations'!$D$12)*S204,3)</f>
        <v>15.148</v>
      </c>
      <c r="V204">
        <f>ROUND(IF(VLOOKUP($A204,EnrollData2324,'2324 Jun 24 Enroll'!F$1,FALSE)='District Calculations'!$D$13,VLOOKUP($A204,EnrollData2324,'2324 Jun 24 Enroll'!F$1,FALSE),'District Calculations'!$D$13)*Apport_224A2324s,3)</f>
        <v>3.7029999999999998</v>
      </c>
      <c r="W204">
        <f>ROUND(IF(VLOOKUP($A204,EnrollData2324,'2324 Jun 24 Enroll'!G$1,FALSE)='District Calculations'!$D$14,VLOOKUP($A204,EnrollData2324,'2324 Jun 24 Enroll'!G$1,FALSE),'District Calculations'!$D$14)*Apport_212A2324s,3)</f>
        <v>8.2089999999999996</v>
      </c>
      <c r="X204">
        <f>ROUND(IF(VLOOKUP($A204,EnrollData2324,'2324 Jun 24 Enroll'!H$1,FALSE)='District Calculations'!$D$14,VLOOKUP($A204,EnrollData2324,'2324 Jun 24 Enroll'!H$1,FALSE),'District Calculations'!$D$14)*Apport_215A2324s,3)</f>
        <v>8.0969999999999995</v>
      </c>
      <c r="Y204">
        <f>ROUND(IF(VLOOKUP($A204,EnrollData2324,'2324 Jun 24 Enroll'!I$1,FALSE)+VLOOKUP($A204,EnrollData2324,'2324 Jun 24 Enroll'!M$1,FALSE)-VLOOKUP($A204,EnrollData2324,'2324 Jun 24 Enroll'!J$1,FALSE)='District Calculations'!$D$16+'District Calculations'!$D$25-'District Calculations'!$D$17,VLOOKUP($A204,EnrollData2324,'2324 Jun 24 Enroll'!I$1,FALSE)+VLOOKUP($A204,EnrollData2324,'2324 Jun 24 Enroll'!M$1,FALSE)-VLOOKUP($A204,EnrollData2324,'2324 Jun 24 Enroll'!J$1,FALSE),'District Calculations'!$D$16+'District Calculations'!$D$25-'District Calculations'!$D$17)*Apport_218A2324s,3)</f>
        <v>20.224</v>
      </c>
      <c r="Z204">
        <f>ROUND(SUM(T204:Y204)/IF(VLOOKUP($A204,EnrollData2324,'2324 Jun 24 Enroll'!M$1,FALSE)+VLOOKUP($A204,EnrollData2324,'2324 Jun 24 Enroll'!D$1,FALSE)='District Calculations'!$D$25+'District Calculations'!$D$11,VLOOKUP($A204,EnrollData2324,'2324 Jun 24 Enroll'!M$1,FALSE)+VLOOKUP($A204,EnrollData2324,'2324 Jun 24 Enroll'!D$1,FALSE),'District Calculations'!$D$25+'District Calculations'!$D$11),5)</f>
        <v>1.7749999999999998E-2</v>
      </c>
      <c r="AA204" s="6" cm="1">
        <f t="array" ref="AA204">ROUND($J204*CIS_Base_Salary2324s*VLOOKUP($A204,EnrollData2324,'2324 Jun 24 Enroll'!S$1,FALSE),2)</f>
        <v>4280.8999999999996</v>
      </c>
      <c r="AB204" s="6" cm="1">
        <f t="array" ref="AB204">ROUND($J204*CIS_Inc_Salary2324s*(VLOOKUP($A204,EnrollData2324,'2324 Jun 24 Enroll'!T$1,FALSE)+VLOOKUP($A204,EnrollData2324,'2324 Jun 24 Enroll'!U$1,FALSE)),2)-AA204</f>
        <v>242.16000000000076</v>
      </c>
      <c r="AC204" s="6" cm="1">
        <f t="array" ref="AC204">ROUND($R204*CAS_Base_Salary2324s*VLOOKUP($A204,EnrollData2324,'2324 Jun 24 Enroll'!S$1,FALSE),2)</f>
        <v>470.32</v>
      </c>
      <c r="AD204" s="6" cm="1">
        <f t="array" ref="AD204">ROUND($R204*CAS_Inc_Salary2324s*VLOOKUP($A204,EnrollData2324,'2324 Jun 24 Enroll'!T$1,FALSE),2)-AC204</f>
        <v>17.400000000000034</v>
      </c>
      <c r="AE204" s="6" cm="1">
        <f t="array" ref="AE204">ROUND($Z204*CLS_Base_Salary2324s*VLOOKUP($A204,EnrollData2324,'2324 Jun 24 Enroll'!S$1,FALSE),2)</f>
        <v>981.63</v>
      </c>
      <c r="AF204" s="6" cm="1">
        <f t="array" ref="AF204">ROUND($Z204*CLS_Inc_Salary2324s*VLOOKUP($A204,EnrollData2324,'2324 Jun 24 Enroll'!T$1,FALSE),2)-AE204</f>
        <v>36.32000000000005</v>
      </c>
      <c r="AG204" cm="1">
        <f t="array" ref="AG204">ROUND(($J204+$R204)*Apport_124X2324s,2)</f>
        <v>734.29</v>
      </c>
      <c r="AH204" s="69">
        <f t="shared" si="19"/>
        <v>68.700000000000045</v>
      </c>
      <c r="AI204" cm="1">
        <f t="array" ref="AI204">ROUND($Z204*Apport_124X2324s,2)</f>
        <v>218.54</v>
      </c>
      <c r="AJ204" cm="1">
        <f t="array" ref="AJ204">ROUND($Z204*Apport_621X2324s*Apport_125X2324s,2)-AI204</f>
        <v>116.51000000000002</v>
      </c>
      <c r="AK204" cm="1">
        <f t="array" ref="AK204">ROUND((AA204+AC204)*Apport_126X2324s,2)</f>
        <v>853.79</v>
      </c>
      <c r="AL204" cm="1">
        <f t="array" ref="AL204">ROUND((AB204+AD204)*Apport_127X2324s,2)</f>
        <v>44.98</v>
      </c>
      <c r="AM204" cm="1">
        <f t="array" ref="AM204">ROUND(AE204*Apport_128X2324s,2)</f>
        <v>216.55</v>
      </c>
      <c r="AN204" cm="1">
        <f t="array" ref="AN204">ROUND(AF204*Apport_129X2324s,2)</f>
        <v>6.74</v>
      </c>
      <c r="AO204" cm="1">
        <f t="array" ref="AO204">ROUND(($J204*CIS_Inc_Salary2324s*(VLOOKUP($A204,EnrollData2324,'2324 Jun 24 Enroll'!T$1,FALSE)+VLOOKUP($A204,EnrollData2324,'2324 Jun 24 Enroll'!U$1,FALSE))/Apport_613Xpd)*Apport_614Xpd,2)</f>
        <v>75.38</v>
      </c>
      <c r="AP204" cm="1">
        <f t="array" ref="AP204">ROUND(AO204*Apport_127X2324s,2)</f>
        <v>13.06</v>
      </c>
      <c r="AQ204">
        <f t="shared" si="20"/>
        <v>30.93</v>
      </c>
      <c r="AR204" s="6" cm="1">
        <f t="array" ref="AR204">ROUND((VLOOKUP($A204,EnrollData2324,'2324 Jun 24 Enroll'!D$1,FALSE)*Apport_M802324s+VLOOKUP($A204,EnrollData2324,'2324 Jun 24 Enroll'!M$1,FALSE)*Apport_M802324s+(VLOOKUP($A204,EnrollData2324,'2324 Jun 24 Enroll'!P$1,FALSE)+VLOOKUP($A204,EnrollData2324,'2324 Jun 24 Enroll'!Q$1,FALSE)+VLOOKUP($A204,EnrollData2324,'2324 Jun 24 Enroll'!R$1,FALSE)+VLOOKUP($A204,EnrollData2324,'2324 Jun 24 Enroll'!I$1,FALSE)+VLOOKUP($A204,EnrollData2324,'2324 Jun 24 Enroll'!N$1,FALSE)+VLOOKUP($A204,EnrollData2324,'2324 Jun 24 Enroll'!O$1,FALSE)+VLOOKUP($A204,EnrollData2324,'2324 Jun 24 Enroll'!K$1,FALSE)+VLOOKUP($A204,EnrollData2324,'2324 Jun 24 Enroll'!L$1,FALSE))*Apport_M812324s)/(VLOOKUP($A204,EnrollData2324,'2324 Jun 24 Enroll'!M$1,FALSE)+VLOOKUP($A204,EnrollData2324,'2324 Jun 24 Enroll'!D$1,FALSE)),2)</f>
        <v>1504.44</v>
      </c>
      <c r="AS204" s="7">
        <f t="shared" si="21"/>
        <v>9912.6399999999976</v>
      </c>
    </row>
    <row r="205" spans="1:46">
      <c r="A205" s="40" t="s">
        <v>837</v>
      </c>
      <c r="B205" s="40" t="s">
        <v>838</v>
      </c>
      <c r="C205" s="11">
        <f>ROUND((IFERROR((1/IF(VLOOKUP($A205,EnrollData2324,28,FALSE)='District Calculations'!$D$10,VLOOKUP($A205,EnrollData2324,28,FALSE),'District Calculations'!$D$10))*(1+Apport_Z315),0))+Apport_201A2324s,6)</f>
        <v>7.3449E-2</v>
      </c>
      <c r="D205">
        <f>ROUND(IF(VLOOKUP($A205,EnrollData2324,'2324 Jun 24 Enroll'!D$1,FALSE)='District Calculations'!$D$11,VLOOKUP($A205,EnrollData2324,'2324 Jun 24 Enroll'!D$1,FALSE),'District Calculations'!$D$11)*C205,3)</f>
        <v>0</v>
      </c>
      <c r="E205">
        <f>ROUND(IF(VLOOKUP($A205,EnrollData2324,'2324 Jun 24 Enroll'!E$1,FALSE)='District Calculations'!$D$12,VLOOKUP($A205,EnrollData2324,'2324 Jun 24 Enroll'!E$1,FALSE),'District Calculations'!$D$12)*C205,3)</f>
        <v>59.53</v>
      </c>
      <c r="F205">
        <f>ROUND(IF(VLOOKUP($A205,EnrollData2324,'2324 Jun 24 Enroll'!F$1,FALSE)='District Calculations'!$D$13,VLOOKUP($A205,EnrollData2324,'2324 Jun 24 Enroll'!F$1,FALSE),'District Calculations'!$D$13)*Apport_222A2324s,3)</f>
        <v>10.101000000000001</v>
      </c>
      <c r="G205">
        <f>ROUND(IF(VLOOKUP($A205,EnrollData2324,'2324 Jun 24 Enroll'!G$1,FALSE)='District Calculations'!$D$14,VLOOKUP($A205,EnrollData2324,'2324 Jun 24 Enroll'!G$1,FALSE),'District Calculations'!$D$14)*Apport_210A2324s,3)</f>
        <v>22.395</v>
      </c>
      <c r="H205">
        <f>ROUND(IF(VLOOKUP($A205,EnrollData2324,'2324 Jun 24 Enroll'!H$1,FALSE)='District Calculations'!$D$15,VLOOKUP($A205,EnrollData2324,'2324 Jun 24 Enroll'!H$1,FALSE),'District Calculations'!$D$15)*Apport_213A2324s,3)</f>
        <v>23.091999999999999</v>
      </c>
      <c r="I205">
        <f>ROUND(IF(VLOOKUP($A205,EnrollData2324,'2324 Jun 24 Enroll'!I$1,FALSE)+VLOOKUP($A205,EnrollData2324,'2324 Jun 24 Enroll'!M$1,FALSE)-VLOOKUP($A205,EnrollData2324,'2324 Jun 24 Enroll'!J$1,FALSE)='District Calculations'!$D$16+'District Calculations'!$D$25-'District Calculations'!$D$17,VLOOKUP($A205,EnrollData2324,'2324 Jun 24 Enroll'!I$1,FALSE)+VLOOKUP($A205,EnrollData2324,'2324 Jun 24 Enroll'!M$1,FALSE)-VLOOKUP($A205,EnrollData2324,'2324 Jun 24 Enroll'!J$1,FALSE),'District Calculations'!$D$16+'District Calculations'!$D$25-'District Calculations'!$D$17)*Apport_216A2324s,3)</f>
        <v>58.183999999999997</v>
      </c>
      <c r="J205">
        <f>ROUND(SUM(D205:I205)/(IF(VLOOKUP($A205,EnrollData2324,'2324 Jun 24 Enroll'!M$1,FALSE)='District Calculations'!$D$25,VLOOKUP($A205,EnrollData2324,'2324 Jun 24 Enroll'!M$1,FALSE),'District Calculations'!$D$25)+IF(VLOOKUP($A205,EnrollData2324,'2324 Jun 24 Enroll'!D$1,FALSE)='District Calculations'!$D$11,VLOOKUP($A205,EnrollData2324,'2324 Jun 24 Enroll'!D$1,FALSE),'District Calculations'!$D$11)),5)</f>
        <v>5.5530000000000003E-2</v>
      </c>
      <c r="K205" s="11">
        <f t="shared" si="17"/>
        <v>4.3699999999999998E-3</v>
      </c>
      <c r="L205">
        <f>ROUND(IF(VLOOKUP($A205,EnrollData2324,'2324 Jun 24 Enroll'!D$1,FALSE)='District Calculations'!$D$11,VLOOKUP($A205,EnrollData2324,'2324 Jun 24 Enroll'!D$1,FALSE),'District Calculations'!$D$11)*K205,3)</f>
        <v>0</v>
      </c>
      <c r="M205">
        <f>ROUND(IF(VLOOKUP($A205,EnrollData2324,'2324 Jun 24 Enroll'!E$1,FALSE)='District Calculations'!$D$12,VLOOKUP($A205,EnrollData2324,'2324 Jun 24 Enroll'!E$1,FALSE),'District Calculations'!$D$12)*K205,3)</f>
        <v>3.5419999999999998</v>
      </c>
      <c r="N205">
        <f>ROUND(IF(VLOOKUP($A205,EnrollData2324,'2324 Jun 24 Enroll'!F$1,FALSE)='District Calculations'!$D$13,VLOOKUP($A205,EnrollData2324,'2324 Jun 24 Enroll'!F$1,FALSE),'District Calculations'!$D$13)*Apport_223A2324s,3)</f>
        <v>0.84299999999999997</v>
      </c>
      <c r="O205">
        <f>ROUND(IF(VLOOKUP($A205,EnrollData2324,'2324 Jun 24 Enroll'!G$1,FALSE)='District Calculations'!$D$14,VLOOKUP($A205,EnrollData2324,'2324 Jun 24 Enroll'!G$1,FALSE),'District Calculations'!$D$14)*Apport_211A2324s,3)</f>
        <v>1.87</v>
      </c>
      <c r="P205">
        <f>ROUND(IF(VLOOKUP($A205,EnrollData2324,'2324 Jun 24 Enroll'!H$1,FALSE)='District Calculations'!$D$14,VLOOKUP($A205,EnrollData2324,'2324 Jun 24 Enroll'!H$1,FALSE),'District Calculations'!$D$14)*Apport_214A2324s,3)</f>
        <v>1.8680000000000001</v>
      </c>
      <c r="Q205">
        <f>ROUND(IF(VLOOKUP($A205,EnrollData2324,'2324 Jun 24 Enroll'!I$1,FALSE)+VLOOKUP($A205,EnrollData2324,'2324 Jun 24 Enroll'!M$1,FALSE)-VLOOKUP($A205,EnrollData2324,'2324 Jun 24 Enroll'!J$1,FALSE)='District Calculations'!$D$16+'District Calculations'!$D$25-'District Calculations'!$D$17,VLOOKUP($A205,EnrollData2324,'2324 Jun 24 Enroll'!I$1,FALSE)+VLOOKUP($A205,EnrollData2324,'2324 Jun 24 Enroll'!M$1,FALSE)-VLOOKUP($A205,EnrollData2324,'2324 Jun 24 Enroll'!J$1,FALSE),'District Calculations'!$D$16+'District Calculations'!$D$25-'District Calculations'!$D$17)*Apport_217A2324s,3)</f>
        <v>4.702</v>
      </c>
      <c r="R205">
        <f>ROUND(SUM(L205:Q205)/IF(VLOOKUP($A205,EnrollData2324,'2324 Jun 24 Enroll'!M$1,FALSE)+VLOOKUP($A205,EnrollData2324,'2324 Jun 24 Enroll'!D$1,FALSE)='District Calculations'!$D$25+'District Calculations'!$D$11,VLOOKUP($A205,EnrollData2324,'2324 Jun 24 Enroll'!M$1,FALSE)+VLOOKUP($A205,EnrollData2324,'2324 Jun 24 Enroll'!D$1,FALSE),'District Calculations'!$D$25+'District Calculations'!$D$11),5)</f>
        <v>4.1099999999999999E-3</v>
      </c>
      <c r="S205" s="11">
        <f t="shared" si="18"/>
        <v>1.8689600000000001E-2</v>
      </c>
      <c r="T205">
        <f>ROUND(IF(VLOOKUP($A205,EnrollData2324,'2324 Jun 24 Enroll'!D$1,FALSE)='District Calculations'!$D$11,VLOOKUP($A205,EnrollData2324,'2324 Jun 24 Enroll'!D$1,FALSE),'District Calculations'!$D$11)*S205,3)</f>
        <v>0</v>
      </c>
      <c r="U205">
        <f>ROUND(IF(VLOOKUP($A205,EnrollData2324,'2324 Jun 24 Enroll'!E$1,FALSE)='District Calculations'!$D$12,VLOOKUP($A205,EnrollData2324,'2324 Jun 24 Enroll'!E$1,FALSE),'District Calculations'!$D$12)*S205,3)</f>
        <v>15.148</v>
      </c>
      <c r="V205">
        <f>ROUND(IF(VLOOKUP($A205,EnrollData2324,'2324 Jun 24 Enroll'!F$1,FALSE)='District Calculations'!$D$13,VLOOKUP($A205,EnrollData2324,'2324 Jun 24 Enroll'!F$1,FALSE),'District Calculations'!$D$13)*Apport_224A2324s,3)</f>
        <v>3.7029999999999998</v>
      </c>
      <c r="W205">
        <f>ROUND(IF(VLOOKUP($A205,EnrollData2324,'2324 Jun 24 Enroll'!G$1,FALSE)='District Calculations'!$D$14,VLOOKUP($A205,EnrollData2324,'2324 Jun 24 Enroll'!G$1,FALSE),'District Calculations'!$D$14)*Apport_212A2324s,3)</f>
        <v>8.2089999999999996</v>
      </c>
      <c r="X205">
        <f>ROUND(IF(VLOOKUP($A205,EnrollData2324,'2324 Jun 24 Enroll'!H$1,FALSE)='District Calculations'!$D$14,VLOOKUP($A205,EnrollData2324,'2324 Jun 24 Enroll'!H$1,FALSE),'District Calculations'!$D$14)*Apport_215A2324s,3)</f>
        <v>8.0969999999999995</v>
      </c>
      <c r="Y205">
        <f>ROUND(IF(VLOOKUP($A205,EnrollData2324,'2324 Jun 24 Enroll'!I$1,FALSE)+VLOOKUP($A205,EnrollData2324,'2324 Jun 24 Enroll'!M$1,FALSE)-VLOOKUP($A205,EnrollData2324,'2324 Jun 24 Enroll'!J$1,FALSE)='District Calculations'!$D$16+'District Calculations'!$D$25-'District Calculations'!$D$17,VLOOKUP($A205,EnrollData2324,'2324 Jun 24 Enroll'!I$1,FALSE)+VLOOKUP($A205,EnrollData2324,'2324 Jun 24 Enroll'!M$1,FALSE)-VLOOKUP($A205,EnrollData2324,'2324 Jun 24 Enroll'!J$1,FALSE),'District Calculations'!$D$16+'District Calculations'!$D$25-'District Calculations'!$D$17)*Apport_218A2324s,3)</f>
        <v>20.224</v>
      </c>
      <c r="Z205">
        <f>ROUND(SUM(T205:Y205)/IF(VLOOKUP($A205,EnrollData2324,'2324 Jun 24 Enroll'!M$1,FALSE)+VLOOKUP($A205,EnrollData2324,'2324 Jun 24 Enroll'!D$1,FALSE)='District Calculations'!$D$25+'District Calculations'!$D$11,VLOOKUP($A205,EnrollData2324,'2324 Jun 24 Enroll'!M$1,FALSE)+VLOOKUP($A205,EnrollData2324,'2324 Jun 24 Enroll'!D$1,FALSE),'District Calculations'!$D$25+'District Calculations'!$D$11),5)</f>
        <v>1.7749999999999998E-2</v>
      </c>
      <c r="AA205" s="6" cm="1">
        <f t="array" ref="AA205">ROUND($J205*CIS_Base_Salary2324s*VLOOKUP($A205,EnrollData2324,'2324 Jun 24 Enroll'!S$1,FALSE),2)</f>
        <v>4280.8999999999996</v>
      </c>
      <c r="AB205" s="6" cm="1">
        <f t="array" ref="AB205">ROUND($J205*CIS_Inc_Salary2324s*(VLOOKUP($A205,EnrollData2324,'2324 Jun 24 Enroll'!T$1,FALSE)+VLOOKUP($A205,EnrollData2324,'2324 Jun 24 Enroll'!U$1,FALSE)),2)-AA205</f>
        <v>325.92000000000007</v>
      </c>
      <c r="AC205" s="6" cm="1">
        <f t="array" ref="AC205">ROUND($R205*CAS_Base_Salary2324s*VLOOKUP($A205,EnrollData2324,'2324 Jun 24 Enroll'!S$1,FALSE),2)</f>
        <v>470.32</v>
      </c>
      <c r="AD205" s="6" cm="1">
        <f t="array" ref="AD205">ROUND($R205*CAS_Inc_Salary2324s*VLOOKUP($A205,EnrollData2324,'2324 Jun 24 Enroll'!T$1,FALSE),2)-AC205</f>
        <v>17.400000000000034</v>
      </c>
      <c r="AE205" s="6" cm="1">
        <f t="array" ref="AE205">ROUND($Z205*CLS_Base_Salary2324s*VLOOKUP($A205,EnrollData2324,'2324 Jun 24 Enroll'!S$1,FALSE),2)</f>
        <v>981.63</v>
      </c>
      <c r="AF205" s="6" cm="1">
        <f t="array" ref="AF205">ROUND($Z205*CLS_Inc_Salary2324s*VLOOKUP($A205,EnrollData2324,'2324 Jun 24 Enroll'!T$1,FALSE),2)-AE205</f>
        <v>36.32000000000005</v>
      </c>
      <c r="AG205" cm="1">
        <f t="array" ref="AG205">ROUND(($J205+$R205)*Apport_124X2324s,2)</f>
        <v>734.29</v>
      </c>
      <c r="AH205" s="69">
        <f t="shared" si="19"/>
        <v>68.700000000000045</v>
      </c>
      <c r="AI205" cm="1">
        <f t="array" ref="AI205">ROUND($Z205*Apport_124X2324s,2)</f>
        <v>218.54</v>
      </c>
      <c r="AJ205" cm="1">
        <f t="array" ref="AJ205">ROUND($Z205*Apport_621X2324s*Apport_125X2324s,2)-AI205</f>
        <v>116.51000000000002</v>
      </c>
      <c r="AK205" cm="1">
        <f t="array" ref="AK205">ROUND((AA205+AC205)*Apport_126X2324s,2)</f>
        <v>853.79</v>
      </c>
      <c r="AL205" cm="1">
        <f t="array" ref="AL205">ROUND((AB205+AD205)*Apport_127X2324s,2)</f>
        <v>59.5</v>
      </c>
      <c r="AM205" cm="1">
        <f t="array" ref="AM205">ROUND(AE205*Apport_128X2324s,2)</f>
        <v>216.55</v>
      </c>
      <c r="AN205" cm="1">
        <f t="array" ref="AN205">ROUND(AF205*Apport_129X2324s,2)</f>
        <v>6.74</v>
      </c>
      <c r="AO205" cm="1">
        <f t="array" ref="AO205">ROUND(($J205*CIS_Inc_Salary2324s*(VLOOKUP($A205,EnrollData2324,'2324 Jun 24 Enroll'!T$1,FALSE)+VLOOKUP($A205,EnrollData2324,'2324 Jun 24 Enroll'!U$1,FALSE))/Apport_613Xpd)*Apport_614Xpd,2)</f>
        <v>76.78</v>
      </c>
      <c r="AP205" cm="1">
        <f t="array" ref="AP205">ROUND(AO205*Apport_127X2324s,2)</f>
        <v>13.31</v>
      </c>
      <c r="AQ205">
        <f t="shared" si="20"/>
        <v>30.93</v>
      </c>
      <c r="AR205" s="6" cm="1">
        <f t="array" ref="AR205">ROUND((VLOOKUP($A205,EnrollData2324,'2324 Jun 24 Enroll'!D$1,FALSE)*Apport_M802324s+VLOOKUP($A205,EnrollData2324,'2324 Jun 24 Enroll'!M$1,FALSE)*Apport_M802324s+(VLOOKUP($A205,EnrollData2324,'2324 Jun 24 Enroll'!P$1,FALSE)+VLOOKUP($A205,EnrollData2324,'2324 Jun 24 Enroll'!Q$1,FALSE)+VLOOKUP($A205,EnrollData2324,'2324 Jun 24 Enroll'!R$1,FALSE)+VLOOKUP($A205,EnrollData2324,'2324 Jun 24 Enroll'!I$1,FALSE)+VLOOKUP($A205,EnrollData2324,'2324 Jun 24 Enroll'!N$1,FALSE)+VLOOKUP($A205,EnrollData2324,'2324 Jun 24 Enroll'!O$1,FALSE)+VLOOKUP($A205,EnrollData2324,'2324 Jun 24 Enroll'!K$1,FALSE)+VLOOKUP($A205,EnrollData2324,'2324 Jun 24 Enroll'!L$1,FALSE))*Apport_M812324s)/(VLOOKUP($A205,EnrollData2324,'2324 Jun 24 Enroll'!M$1,FALSE)+VLOOKUP($A205,EnrollData2324,'2324 Jun 24 Enroll'!D$1,FALSE)),2)</f>
        <v>1568.85</v>
      </c>
      <c r="AS205" s="7">
        <f t="shared" si="21"/>
        <v>10076.98</v>
      </c>
    </row>
    <row r="206" spans="1:46">
      <c r="A206" s="40" t="s">
        <v>805</v>
      </c>
      <c r="B206" s="40" t="s">
        <v>806</v>
      </c>
      <c r="C206" s="11">
        <f>ROUND((IFERROR((1/IF(VLOOKUP($A206,EnrollData2324,28,FALSE)='District Calculations'!$D$10,VLOOKUP($A206,EnrollData2324,28,FALSE),'District Calculations'!$D$10))*(1+Apport_Z315),0))+Apport_201A2324s,6)</f>
        <v>7.3449E-2</v>
      </c>
      <c r="D206">
        <f>ROUND(IF(VLOOKUP($A206,EnrollData2324,'2324 Jun 24 Enroll'!D$1,FALSE)='District Calculations'!$D$11,VLOOKUP($A206,EnrollData2324,'2324 Jun 24 Enroll'!D$1,FALSE),'District Calculations'!$D$11)*C206,3)</f>
        <v>0</v>
      </c>
      <c r="E206">
        <f>ROUND(IF(VLOOKUP($A206,EnrollData2324,'2324 Jun 24 Enroll'!E$1,FALSE)='District Calculations'!$D$12,VLOOKUP($A206,EnrollData2324,'2324 Jun 24 Enroll'!E$1,FALSE),'District Calculations'!$D$12)*C206,3)</f>
        <v>59.53</v>
      </c>
      <c r="F206">
        <f>ROUND(IF(VLOOKUP($A206,EnrollData2324,'2324 Jun 24 Enroll'!F$1,FALSE)='District Calculations'!$D$13,VLOOKUP($A206,EnrollData2324,'2324 Jun 24 Enroll'!F$1,FALSE),'District Calculations'!$D$13)*Apport_222A2324s,3)</f>
        <v>10.101000000000001</v>
      </c>
      <c r="G206">
        <f>ROUND(IF(VLOOKUP($A206,EnrollData2324,'2324 Jun 24 Enroll'!G$1,FALSE)='District Calculations'!$D$14,VLOOKUP($A206,EnrollData2324,'2324 Jun 24 Enroll'!G$1,FALSE),'District Calculations'!$D$14)*Apport_210A2324s,3)</f>
        <v>22.395</v>
      </c>
      <c r="H206">
        <f>ROUND(IF(VLOOKUP($A206,EnrollData2324,'2324 Jun 24 Enroll'!H$1,FALSE)='District Calculations'!$D$15,VLOOKUP($A206,EnrollData2324,'2324 Jun 24 Enroll'!H$1,FALSE),'District Calculations'!$D$15)*Apport_213A2324s,3)</f>
        <v>23.091999999999999</v>
      </c>
      <c r="I206">
        <f>ROUND(IF(VLOOKUP($A206,EnrollData2324,'2324 Jun 24 Enroll'!I$1,FALSE)+VLOOKUP($A206,EnrollData2324,'2324 Jun 24 Enroll'!M$1,FALSE)-VLOOKUP($A206,EnrollData2324,'2324 Jun 24 Enroll'!J$1,FALSE)='District Calculations'!$D$16+'District Calculations'!$D$25-'District Calculations'!$D$17,VLOOKUP($A206,EnrollData2324,'2324 Jun 24 Enroll'!I$1,FALSE)+VLOOKUP($A206,EnrollData2324,'2324 Jun 24 Enroll'!M$1,FALSE)-VLOOKUP($A206,EnrollData2324,'2324 Jun 24 Enroll'!J$1,FALSE),'District Calculations'!$D$16+'District Calculations'!$D$25-'District Calculations'!$D$17)*Apport_216A2324s,3)</f>
        <v>58.183999999999997</v>
      </c>
      <c r="J206">
        <f>ROUND(SUM(D206:I206)/(IF(VLOOKUP($A206,EnrollData2324,'2324 Jun 24 Enroll'!M$1,FALSE)='District Calculations'!$D$25,VLOOKUP($A206,EnrollData2324,'2324 Jun 24 Enroll'!M$1,FALSE),'District Calculations'!$D$25)+IF(VLOOKUP($A206,EnrollData2324,'2324 Jun 24 Enroll'!D$1,FALSE)='District Calculations'!$D$11,VLOOKUP($A206,EnrollData2324,'2324 Jun 24 Enroll'!D$1,FALSE),'District Calculations'!$D$11)),5)</f>
        <v>5.5530000000000003E-2</v>
      </c>
      <c r="K206" s="11">
        <f t="shared" si="17"/>
        <v>4.3699999999999998E-3</v>
      </c>
      <c r="L206">
        <f>ROUND(IF(VLOOKUP($A206,EnrollData2324,'2324 Jun 24 Enroll'!D$1,FALSE)='District Calculations'!$D$11,VLOOKUP($A206,EnrollData2324,'2324 Jun 24 Enroll'!D$1,FALSE),'District Calculations'!$D$11)*K206,3)</f>
        <v>0</v>
      </c>
      <c r="M206">
        <f>ROUND(IF(VLOOKUP($A206,EnrollData2324,'2324 Jun 24 Enroll'!E$1,FALSE)='District Calculations'!$D$12,VLOOKUP($A206,EnrollData2324,'2324 Jun 24 Enroll'!E$1,FALSE),'District Calculations'!$D$12)*K206,3)</f>
        <v>3.5419999999999998</v>
      </c>
      <c r="N206">
        <f>ROUND(IF(VLOOKUP($A206,EnrollData2324,'2324 Jun 24 Enroll'!F$1,FALSE)='District Calculations'!$D$13,VLOOKUP($A206,EnrollData2324,'2324 Jun 24 Enroll'!F$1,FALSE),'District Calculations'!$D$13)*Apport_223A2324s,3)</f>
        <v>0.84299999999999997</v>
      </c>
      <c r="O206">
        <f>ROUND(IF(VLOOKUP($A206,EnrollData2324,'2324 Jun 24 Enroll'!G$1,FALSE)='District Calculations'!$D$14,VLOOKUP($A206,EnrollData2324,'2324 Jun 24 Enroll'!G$1,FALSE),'District Calculations'!$D$14)*Apport_211A2324s,3)</f>
        <v>1.87</v>
      </c>
      <c r="P206">
        <f>ROUND(IF(VLOOKUP($A206,EnrollData2324,'2324 Jun 24 Enroll'!H$1,FALSE)='District Calculations'!$D$14,VLOOKUP($A206,EnrollData2324,'2324 Jun 24 Enroll'!H$1,FALSE),'District Calculations'!$D$14)*Apport_214A2324s,3)</f>
        <v>1.8680000000000001</v>
      </c>
      <c r="Q206">
        <f>ROUND(IF(VLOOKUP($A206,EnrollData2324,'2324 Jun 24 Enroll'!I$1,FALSE)+VLOOKUP($A206,EnrollData2324,'2324 Jun 24 Enroll'!M$1,FALSE)-VLOOKUP($A206,EnrollData2324,'2324 Jun 24 Enroll'!J$1,FALSE)='District Calculations'!$D$16+'District Calculations'!$D$25-'District Calculations'!$D$17,VLOOKUP($A206,EnrollData2324,'2324 Jun 24 Enroll'!I$1,FALSE)+VLOOKUP($A206,EnrollData2324,'2324 Jun 24 Enroll'!M$1,FALSE)-VLOOKUP($A206,EnrollData2324,'2324 Jun 24 Enroll'!J$1,FALSE),'District Calculations'!$D$16+'District Calculations'!$D$25-'District Calculations'!$D$17)*Apport_217A2324s,3)</f>
        <v>4.702</v>
      </c>
      <c r="R206">
        <f>ROUND(SUM(L206:Q206)/IF(VLOOKUP($A206,EnrollData2324,'2324 Jun 24 Enroll'!M$1,FALSE)+VLOOKUP($A206,EnrollData2324,'2324 Jun 24 Enroll'!D$1,FALSE)='District Calculations'!$D$25+'District Calculations'!$D$11,VLOOKUP($A206,EnrollData2324,'2324 Jun 24 Enroll'!M$1,FALSE)+VLOOKUP($A206,EnrollData2324,'2324 Jun 24 Enroll'!D$1,FALSE),'District Calculations'!$D$25+'District Calculations'!$D$11),5)</f>
        <v>4.1099999999999999E-3</v>
      </c>
      <c r="S206" s="11">
        <f t="shared" si="18"/>
        <v>1.8689600000000001E-2</v>
      </c>
      <c r="T206">
        <f>ROUND(IF(VLOOKUP($A206,EnrollData2324,'2324 Jun 24 Enroll'!D$1,FALSE)='District Calculations'!$D$11,VLOOKUP($A206,EnrollData2324,'2324 Jun 24 Enroll'!D$1,FALSE),'District Calculations'!$D$11)*S206,3)</f>
        <v>0</v>
      </c>
      <c r="U206">
        <f>ROUND(IF(VLOOKUP($A206,EnrollData2324,'2324 Jun 24 Enroll'!E$1,FALSE)='District Calculations'!$D$12,VLOOKUP($A206,EnrollData2324,'2324 Jun 24 Enroll'!E$1,FALSE),'District Calculations'!$D$12)*S206,3)</f>
        <v>15.148</v>
      </c>
      <c r="V206">
        <f>ROUND(IF(VLOOKUP($A206,EnrollData2324,'2324 Jun 24 Enroll'!F$1,FALSE)='District Calculations'!$D$13,VLOOKUP($A206,EnrollData2324,'2324 Jun 24 Enroll'!F$1,FALSE),'District Calculations'!$D$13)*Apport_224A2324s,3)</f>
        <v>3.7029999999999998</v>
      </c>
      <c r="W206">
        <f>ROUND(IF(VLOOKUP($A206,EnrollData2324,'2324 Jun 24 Enroll'!G$1,FALSE)='District Calculations'!$D$14,VLOOKUP($A206,EnrollData2324,'2324 Jun 24 Enroll'!G$1,FALSE),'District Calculations'!$D$14)*Apport_212A2324s,3)</f>
        <v>8.2089999999999996</v>
      </c>
      <c r="X206">
        <f>ROUND(IF(VLOOKUP($A206,EnrollData2324,'2324 Jun 24 Enroll'!H$1,FALSE)='District Calculations'!$D$14,VLOOKUP($A206,EnrollData2324,'2324 Jun 24 Enroll'!H$1,FALSE),'District Calculations'!$D$14)*Apport_215A2324s,3)</f>
        <v>8.0969999999999995</v>
      </c>
      <c r="Y206">
        <f>ROUND(IF(VLOOKUP($A206,EnrollData2324,'2324 Jun 24 Enroll'!I$1,FALSE)+VLOOKUP($A206,EnrollData2324,'2324 Jun 24 Enroll'!M$1,FALSE)-VLOOKUP($A206,EnrollData2324,'2324 Jun 24 Enroll'!J$1,FALSE)='District Calculations'!$D$16+'District Calculations'!$D$25-'District Calculations'!$D$17,VLOOKUP($A206,EnrollData2324,'2324 Jun 24 Enroll'!I$1,FALSE)+VLOOKUP($A206,EnrollData2324,'2324 Jun 24 Enroll'!M$1,FALSE)-VLOOKUP($A206,EnrollData2324,'2324 Jun 24 Enroll'!J$1,FALSE),'District Calculations'!$D$16+'District Calculations'!$D$25-'District Calculations'!$D$17)*Apport_218A2324s,3)</f>
        <v>20.224</v>
      </c>
      <c r="Z206">
        <f>ROUND(SUM(T206:Y206)/IF(VLOOKUP($A206,EnrollData2324,'2324 Jun 24 Enroll'!M$1,FALSE)+VLOOKUP($A206,EnrollData2324,'2324 Jun 24 Enroll'!D$1,FALSE)='District Calculations'!$D$25+'District Calculations'!$D$11,VLOOKUP($A206,EnrollData2324,'2324 Jun 24 Enroll'!M$1,FALSE)+VLOOKUP($A206,EnrollData2324,'2324 Jun 24 Enroll'!D$1,FALSE),'District Calculations'!$D$25+'District Calculations'!$D$11),5)</f>
        <v>1.7749999999999998E-2</v>
      </c>
      <c r="AA206" s="6" cm="1">
        <f t="array" ref="AA206">ROUND($J206*CIS_Base_Salary2324s*VLOOKUP($A206,EnrollData2324,'2324 Jun 24 Enroll'!S$1,FALSE),2)</f>
        <v>4523.22</v>
      </c>
      <c r="AB206" s="6" cm="1">
        <f t="array" ref="AB206">ROUND($J206*CIS_Inc_Salary2324s*(VLOOKUP($A206,EnrollData2324,'2324 Jun 24 Enroll'!T$1,FALSE)+VLOOKUP($A206,EnrollData2324,'2324 Jun 24 Enroll'!U$1,FALSE)),2)-AA206</f>
        <v>167.35999999999967</v>
      </c>
      <c r="AC206" s="6" cm="1">
        <f t="array" ref="AC206">ROUND($R206*CAS_Base_Salary2324s*VLOOKUP($A206,EnrollData2324,'2324 Jun 24 Enroll'!S$1,FALSE),2)</f>
        <v>496.94</v>
      </c>
      <c r="AD206" s="6" cm="1">
        <f t="array" ref="AD206">ROUND($R206*CAS_Inc_Salary2324s*VLOOKUP($A206,EnrollData2324,'2324 Jun 24 Enroll'!T$1,FALSE),2)-AC206</f>
        <v>18.390000000000043</v>
      </c>
      <c r="AE206" s="6" cm="1">
        <f t="array" ref="AE206">ROUND($Z206*CLS_Base_Salary2324s*VLOOKUP($A206,EnrollData2324,'2324 Jun 24 Enroll'!S$1,FALSE),2)</f>
        <v>1037.2</v>
      </c>
      <c r="AF206" s="6" cm="1">
        <f t="array" ref="AF206">ROUND($Z206*CLS_Inc_Salary2324s*VLOOKUP($A206,EnrollData2324,'2324 Jun 24 Enroll'!T$1,FALSE),2)-AE206</f>
        <v>38.369999999999891</v>
      </c>
      <c r="AG206" cm="1">
        <f t="array" ref="AG206">ROUND(($J206+$R206)*Apport_124X2324s,2)</f>
        <v>734.29</v>
      </c>
      <c r="AH206" s="69">
        <f t="shared" si="19"/>
        <v>68.700000000000045</v>
      </c>
      <c r="AI206" cm="1">
        <f t="array" ref="AI206">ROUND($Z206*Apport_124X2324s,2)</f>
        <v>218.54</v>
      </c>
      <c r="AJ206" cm="1">
        <f t="array" ref="AJ206">ROUND($Z206*Apport_621X2324s*Apport_125X2324s,2)-AI206</f>
        <v>116.51000000000002</v>
      </c>
      <c r="AK206" cm="1">
        <f t="array" ref="AK206">ROUND((AA206+AC206)*Apport_126X2324s,2)</f>
        <v>902.12</v>
      </c>
      <c r="AL206" cm="1">
        <f t="array" ref="AL206">ROUND((AB206+AD206)*Apport_127X2324s,2)</f>
        <v>32.19</v>
      </c>
      <c r="AM206" cm="1">
        <f t="array" ref="AM206">ROUND(AE206*Apport_128X2324s,2)</f>
        <v>228.81</v>
      </c>
      <c r="AN206" cm="1">
        <f t="array" ref="AN206">ROUND(AF206*Apport_129X2324s,2)</f>
        <v>7.12</v>
      </c>
      <c r="AO206" cm="1">
        <f t="array" ref="AO206">ROUND(($J206*CIS_Inc_Salary2324s*(VLOOKUP($A206,EnrollData2324,'2324 Jun 24 Enroll'!T$1,FALSE)+VLOOKUP($A206,EnrollData2324,'2324 Jun 24 Enroll'!U$1,FALSE))/Apport_613Xpd)*Apport_614Xpd,2)</f>
        <v>78.180000000000007</v>
      </c>
      <c r="AP206" cm="1">
        <f t="array" ref="AP206">ROUND(AO206*Apport_127X2324s,2)</f>
        <v>13.55</v>
      </c>
      <c r="AQ206">
        <f t="shared" si="20"/>
        <v>30.93</v>
      </c>
      <c r="AR206" s="6" cm="1">
        <f t="array" ref="AR206">ROUND((VLOOKUP($A206,EnrollData2324,'2324 Jun 24 Enroll'!D$1,FALSE)*Apport_M802324s+VLOOKUP($A206,EnrollData2324,'2324 Jun 24 Enroll'!M$1,FALSE)*Apport_M802324s+(VLOOKUP($A206,EnrollData2324,'2324 Jun 24 Enroll'!P$1,FALSE)+VLOOKUP($A206,EnrollData2324,'2324 Jun 24 Enroll'!Q$1,FALSE)+VLOOKUP($A206,EnrollData2324,'2324 Jun 24 Enroll'!R$1,FALSE)+VLOOKUP($A206,EnrollData2324,'2324 Jun 24 Enroll'!I$1,FALSE)+VLOOKUP($A206,EnrollData2324,'2324 Jun 24 Enroll'!N$1,FALSE)+VLOOKUP($A206,EnrollData2324,'2324 Jun 24 Enroll'!O$1,FALSE)+VLOOKUP($A206,EnrollData2324,'2324 Jun 24 Enroll'!K$1,FALSE)+VLOOKUP($A206,EnrollData2324,'2324 Jun 24 Enroll'!L$1,FALSE))*Apport_M812324s)/(VLOOKUP($A206,EnrollData2324,'2324 Jun 24 Enroll'!M$1,FALSE)+VLOOKUP($A206,EnrollData2324,'2324 Jun 24 Enroll'!D$1,FALSE)),2)</f>
        <v>1573.06</v>
      </c>
      <c r="AS206" s="7">
        <f t="shared" si="21"/>
        <v>10285.48</v>
      </c>
    </row>
    <row r="207" spans="1:46">
      <c r="A207" s="40" t="s">
        <v>430</v>
      </c>
      <c r="B207" s="40" t="s">
        <v>431</v>
      </c>
      <c r="C207" s="11">
        <f>ROUND((IFERROR((1/IF(VLOOKUP($A207,EnrollData2324,28,FALSE)='District Calculations'!$D$10,VLOOKUP($A207,EnrollData2324,28,FALSE),'District Calculations'!$D$10))*(1+Apport_Z315),0))+Apport_201A2324s,6)</f>
        <v>7.3449E-2</v>
      </c>
      <c r="D207">
        <f>ROUND(IF(VLOOKUP($A207,EnrollData2324,'2324 Jun 24 Enroll'!D$1,FALSE)='District Calculations'!$D$11,VLOOKUP($A207,EnrollData2324,'2324 Jun 24 Enroll'!D$1,FALSE),'District Calculations'!$D$11)*C207,3)</f>
        <v>0</v>
      </c>
      <c r="E207">
        <f>ROUND(IF(VLOOKUP($A207,EnrollData2324,'2324 Jun 24 Enroll'!E$1,FALSE)='District Calculations'!$D$12,VLOOKUP($A207,EnrollData2324,'2324 Jun 24 Enroll'!E$1,FALSE),'District Calculations'!$D$12)*C207,3)</f>
        <v>59.53</v>
      </c>
      <c r="F207">
        <f>ROUND(IF(VLOOKUP($A207,EnrollData2324,'2324 Jun 24 Enroll'!F$1,FALSE)='District Calculations'!$D$13,VLOOKUP($A207,EnrollData2324,'2324 Jun 24 Enroll'!F$1,FALSE),'District Calculations'!$D$13)*Apport_222A2324s,3)</f>
        <v>10.101000000000001</v>
      </c>
      <c r="G207">
        <f>ROUND(IF(VLOOKUP($A207,EnrollData2324,'2324 Jun 24 Enroll'!G$1,FALSE)='District Calculations'!$D$14,VLOOKUP($A207,EnrollData2324,'2324 Jun 24 Enroll'!G$1,FALSE),'District Calculations'!$D$14)*Apport_210A2324s,3)</f>
        <v>22.395</v>
      </c>
      <c r="H207">
        <f>ROUND(IF(VLOOKUP($A207,EnrollData2324,'2324 Jun 24 Enroll'!H$1,FALSE)='District Calculations'!$D$15,VLOOKUP($A207,EnrollData2324,'2324 Jun 24 Enroll'!H$1,FALSE),'District Calculations'!$D$15)*Apport_213A2324s,3)</f>
        <v>23.091999999999999</v>
      </c>
      <c r="I207">
        <f>ROUND(IF(VLOOKUP($A207,EnrollData2324,'2324 Jun 24 Enroll'!I$1,FALSE)+VLOOKUP($A207,EnrollData2324,'2324 Jun 24 Enroll'!M$1,FALSE)-VLOOKUP($A207,EnrollData2324,'2324 Jun 24 Enroll'!J$1,FALSE)='District Calculations'!$D$16+'District Calculations'!$D$25-'District Calculations'!$D$17,VLOOKUP($A207,EnrollData2324,'2324 Jun 24 Enroll'!I$1,FALSE)+VLOOKUP($A207,EnrollData2324,'2324 Jun 24 Enroll'!M$1,FALSE)-VLOOKUP($A207,EnrollData2324,'2324 Jun 24 Enroll'!J$1,FALSE),'District Calculations'!$D$16+'District Calculations'!$D$25-'District Calculations'!$D$17)*Apport_216A2324s,3)</f>
        <v>58.183999999999997</v>
      </c>
      <c r="J207">
        <f>ROUND(SUM(D207:I207)/(IF(VLOOKUP($A207,EnrollData2324,'2324 Jun 24 Enroll'!M$1,FALSE)='District Calculations'!$D$25,VLOOKUP($A207,EnrollData2324,'2324 Jun 24 Enroll'!M$1,FALSE),'District Calculations'!$D$25)+IF(VLOOKUP($A207,EnrollData2324,'2324 Jun 24 Enroll'!D$1,FALSE)='District Calculations'!$D$11,VLOOKUP($A207,EnrollData2324,'2324 Jun 24 Enroll'!D$1,FALSE),'District Calculations'!$D$11)),5)</f>
        <v>5.5530000000000003E-2</v>
      </c>
      <c r="K207" s="11">
        <f t="shared" si="17"/>
        <v>4.3699999999999998E-3</v>
      </c>
      <c r="L207">
        <f>ROUND(IF(VLOOKUP($A207,EnrollData2324,'2324 Jun 24 Enroll'!D$1,FALSE)='District Calculations'!$D$11,VLOOKUP($A207,EnrollData2324,'2324 Jun 24 Enroll'!D$1,FALSE),'District Calculations'!$D$11)*K207,3)</f>
        <v>0</v>
      </c>
      <c r="M207">
        <f>ROUND(IF(VLOOKUP($A207,EnrollData2324,'2324 Jun 24 Enroll'!E$1,FALSE)='District Calculations'!$D$12,VLOOKUP($A207,EnrollData2324,'2324 Jun 24 Enroll'!E$1,FALSE),'District Calculations'!$D$12)*K207,3)</f>
        <v>3.5419999999999998</v>
      </c>
      <c r="N207">
        <f>ROUND(IF(VLOOKUP($A207,EnrollData2324,'2324 Jun 24 Enroll'!F$1,FALSE)='District Calculations'!$D$13,VLOOKUP($A207,EnrollData2324,'2324 Jun 24 Enroll'!F$1,FALSE),'District Calculations'!$D$13)*Apport_223A2324s,3)</f>
        <v>0.84299999999999997</v>
      </c>
      <c r="O207">
        <f>ROUND(IF(VLOOKUP($A207,EnrollData2324,'2324 Jun 24 Enroll'!G$1,FALSE)='District Calculations'!$D$14,VLOOKUP($A207,EnrollData2324,'2324 Jun 24 Enroll'!G$1,FALSE),'District Calculations'!$D$14)*Apport_211A2324s,3)</f>
        <v>1.87</v>
      </c>
      <c r="P207">
        <f>ROUND(IF(VLOOKUP($A207,EnrollData2324,'2324 Jun 24 Enroll'!H$1,FALSE)='District Calculations'!$D$14,VLOOKUP($A207,EnrollData2324,'2324 Jun 24 Enroll'!H$1,FALSE),'District Calculations'!$D$14)*Apport_214A2324s,3)</f>
        <v>1.8680000000000001</v>
      </c>
      <c r="Q207">
        <f>ROUND(IF(VLOOKUP($A207,EnrollData2324,'2324 Jun 24 Enroll'!I$1,FALSE)+VLOOKUP($A207,EnrollData2324,'2324 Jun 24 Enroll'!M$1,FALSE)-VLOOKUP($A207,EnrollData2324,'2324 Jun 24 Enroll'!J$1,FALSE)='District Calculations'!$D$16+'District Calculations'!$D$25-'District Calculations'!$D$17,VLOOKUP($A207,EnrollData2324,'2324 Jun 24 Enroll'!I$1,FALSE)+VLOOKUP($A207,EnrollData2324,'2324 Jun 24 Enroll'!M$1,FALSE)-VLOOKUP($A207,EnrollData2324,'2324 Jun 24 Enroll'!J$1,FALSE),'District Calculations'!$D$16+'District Calculations'!$D$25-'District Calculations'!$D$17)*Apport_217A2324s,3)</f>
        <v>4.702</v>
      </c>
      <c r="R207">
        <f>ROUND(SUM(L207:Q207)/IF(VLOOKUP($A207,EnrollData2324,'2324 Jun 24 Enroll'!M$1,FALSE)+VLOOKUP($A207,EnrollData2324,'2324 Jun 24 Enroll'!D$1,FALSE)='District Calculations'!$D$25+'District Calculations'!$D$11,VLOOKUP($A207,EnrollData2324,'2324 Jun 24 Enroll'!M$1,FALSE)+VLOOKUP($A207,EnrollData2324,'2324 Jun 24 Enroll'!D$1,FALSE),'District Calculations'!$D$25+'District Calculations'!$D$11),5)</f>
        <v>4.1099999999999999E-3</v>
      </c>
      <c r="S207" s="11">
        <f t="shared" si="18"/>
        <v>1.8689600000000001E-2</v>
      </c>
      <c r="T207">
        <f>ROUND(IF(VLOOKUP($A207,EnrollData2324,'2324 Jun 24 Enroll'!D$1,FALSE)='District Calculations'!$D$11,VLOOKUP($A207,EnrollData2324,'2324 Jun 24 Enroll'!D$1,FALSE),'District Calculations'!$D$11)*S207,3)</f>
        <v>0</v>
      </c>
      <c r="U207">
        <f>ROUND(IF(VLOOKUP($A207,EnrollData2324,'2324 Jun 24 Enroll'!E$1,FALSE)='District Calculations'!$D$12,VLOOKUP($A207,EnrollData2324,'2324 Jun 24 Enroll'!E$1,FALSE),'District Calculations'!$D$12)*S207,3)</f>
        <v>15.148</v>
      </c>
      <c r="V207">
        <f>ROUND(IF(VLOOKUP($A207,EnrollData2324,'2324 Jun 24 Enroll'!F$1,FALSE)='District Calculations'!$D$13,VLOOKUP($A207,EnrollData2324,'2324 Jun 24 Enroll'!F$1,FALSE),'District Calculations'!$D$13)*Apport_224A2324s,3)</f>
        <v>3.7029999999999998</v>
      </c>
      <c r="W207">
        <f>ROUND(IF(VLOOKUP($A207,EnrollData2324,'2324 Jun 24 Enroll'!G$1,FALSE)='District Calculations'!$D$14,VLOOKUP($A207,EnrollData2324,'2324 Jun 24 Enroll'!G$1,FALSE),'District Calculations'!$D$14)*Apport_212A2324s,3)</f>
        <v>8.2089999999999996</v>
      </c>
      <c r="X207">
        <f>ROUND(IF(VLOOKUP($A207,EnrollData2324,'2324 Jun 24 Enroll'!H$1,FALSE)='District Calculations'!$D$14,VLOOKUP($A207,EnrollData2324,'2324 Jun 24 Enroll'!H$1,FALSE),'District Calculations'!$D$14)*Apport_215A2324s,3)</f>
        <v>8.0969999999999995</v>
      </c>
      <c r="Y207">
        <f>ROUND(IF(VLOOKUP($A207,EnrollData2324,'2324 Jun 24 Enroll'!I$1,FALSE)+VLOOKUP($A207,EnrollData2324,'2324 Jun 24 Enroll'!M$1,FALSE)-VLOOKUP($A207,EnrollData2324,'2324 Jun 24 Enroll'!J$1,FALSE)='District Calculations'!$D$16+'District Calculations'!$D$25-'District Calculations'!$D$17,VLOOKUP($A207,EnrollData2324,'2324 Jun 24 Enroll'!I$1,FALSE)+VLOOKUP($A207,EnrollData2324,'2324 Jun 24 Enroll'!M$1,FALSE)-VLOOKUP($A207,EnrollData2324,'2324 Jun 24 Enroll'!J$1,FALSE),'District Calculations'!$D$16+'District Calculations'!$D$25-'District Calculations'!$D$17)*Apport_218A2324s,3)</f>
        <v>20.224</v>
      </c>
      <c r="Z207">
        <f>ROUND(SUM(T207:Y207)/IF(VLOOKUP($A207,EnrollData2324,'2324 Jun 24 Enroll'!M$1,FALSE)+VLOOKUP($A207,EnrollData2324,'2324 Jun 24 Enroll'!D$1,FALSE)='District Calculations'!$D$25+'District Calculations'!$D$11,VLOOKUP($A207,EnrollData2324,'2324 Jun 24 Enroll'!M$1,FALSE)+VLOOKUP($A207,EnrollData2324,'2324 Jun 24 Enroll'!D$1,FALSE),'District Calculations'!$D$25+'District Calculations'!$D$11),5)</f>
        <v>1.7749999999999998E-2</v>
      </c>
      <c r="AA207" s="6" cm="1">
        <f t="array" ref="AA207">ROUND($J207*CIS_Base_Salary2324s*VLOOKUP($A207,EnrollData2324,'2324 Jun 24 Enroll'!S$1,FALSE),2)</f>
        <v>4523.22</v>
      </c>
      <c r="AB207" s="6" cm="1">
        <f t="array" ref="AB207">ROUND($J207*CIS_Inc_Salary2324s*(VLOOKUP($A207,EnrollData2324,'2324 Jun 24 Enroll'!T$1,FALSE)+VLOOKUP($A207,EnrollData2324,'2324 Jun 24 Enroll'!U$1,FALSE)),2)-AA207</f>
        <v>334.88000000000011</v>
      </c>
      <c r="AC207" s="6" cm="1">
        <f t="array" ref="AC207">ROUND($R207*CAS_Base_Salary2324s*VLOOKUP($A207,EnrollData2324,'2324 Jun 24 Enroll'!S$1,FALSE),2)</f>
        <v>496.94</v>
      </c>
      <c r="AD207" s="6" cm="1">
        <f t="array" ref="AD207">ROUND($R207*CAS_Inc_Salary2324s*VLOOKUP($A207,EnrollData2324,'2324 Jun 24 Enroll'!T$1,FALSE),2)-AC207</f>
        <v>18.390000000000043</v>
      </c>
      <c r="AE207" s="6" cm="1">
        <f t="array" ref="AE207">ROUND($Z207*CLS_Base_Salary2324s*VLOOKUP($A207,EnrollData2324,'2324 Jun 24 Enroll'!S$1,FALSE),2)</f>
        <v>1037.2</v>
      </c>
      <c r="AF207" s="6" cm="1">
        <f t="array" ref="AF207">ROUND($Z207*CLS_Inc_Salary2324s*VLOOKUP($A207,EnrollData2324,'2324 Jun 24 Enroll'!T$1,FALSE),2)-AE207</f>
        <v>38.369999999999891</v>
      </c>
      <c r="AG207" cm="1">
        <f t="array" ref="AG207">ROUND(($J207+$R207)*Apport_124X2324s,2)</f>
        <v>734.29</v>
      </c>
      <c r="AH207" s="69">
        <f t="shared" si="19"/>
        <v>68.700000000000045</v>
      </c>
      <c r="AI207" cm="1">
        <f t="array" ref="AI207">ROUND($Z207*Apport_124X2324s,2)</f>
        <v>218.54</v>
      </c>
      <c r="AJ207" cm="1">
        <f t="array" ref="AJ207">ROUND($Z207*Apport_621X2324s*Apport_125X2324s,2)-AI207</f>
        <v>116.51000000000002</v>
      </c>
      <c r="AK207" cm="1">
        <f t="array" ref="AK207">ROUND((AA207+AC207)*Apport_126X2324s,2)</f>
        <v>902.12</v>
      </c>
      <c r="AL207" cm="1">
        <f t="array" ref="AL207">ROUND((AB207+AD207)*Apport_127X2324s,2)</f>
        <v>61.22</v>
      </c>
      <c r="AM207" cm="1">
        <f t="array" ref="AM207">ROUND(AE207*Apport_128X2324s,2)</f>
        <v>228.81</v>
      </c>
      <c r="AN207" cm="1">
        <f t="array" ref="AN207">ROUND(AF207*Apport_129X2324s,2)</f>
        <v>7.12</v>
      </c>
      <c r="AO207" cm="1">
        <f t="array" ref="AO207">ROUND(($J207*CIS_Inc_Salary2324s*(VLOOKUP($A207,EnrollData2324,'2324 Jun 24 Enroll'!T$1,FALSE)+VLOOKUP($A207,EnrollData2324,'2324 Jun 24 Enroll'!U$1,FALSE))/Apport_613Xpd)*Apport_614Xpd,2)</f>
        <v>80.97</v>
      </c>
      <c r="AP207" cm="1">
        <f t="array" ref="AP207">ROUND(AO207*Apport_127X2324s,2)</f>
        <v>14.03</v>
      </c>
      <c r="AQ207">
        <f t="shared" si="20"/>
        <v>30.93</v>
      </c>
      <c r="AR207" s="6" cm="1">
        <f t="array" ref="AR207">ROUND((VLOOKUP($A207,EnrollData2324,'2324 Jun 24 Enroll'!D$1,FALSE)*Apport_M802324s+VLOOKUP($A207,EnrollData2324,'2324 Jun 24 Enroll'!M$1,FALSE)*Apport_M802324s+(VLOOKUP($A207,EnrollData2324,'2324 Jun 24 Enroll'!P$1,FALSE)+VLOOKUP($A207,EnrollData2324,'2324 Jun 24 Enroll'!Q$1,FALSE)+VLOOKUP($A207,EnrollData2324,'2324 Jun 24 Enroll'!R$1,FALSE)+VLOOKUP($A207,EnrollData2324,'2324 Jun 24 Enroll'!I$1,FALSE)+VLOOKUP($A207,EnrollData2324,'2324 Jun 24 Enroll'!N$1,FALSE)+VLOOKUP($A207,EnrollData2324,'2324 Jun 24 Enroll'!O$1,FALSE)+VLOOKUP($A207,EnrollData2324,'2324 Jun 24 Enroll'!K$1,FALSE)+VLOOKUP($A207,EnrollData2324,'2324 Jun 24 Enroll'!L$1,FALSE))*Apport_M812324s)/(VLOOKUP($A207,EnrollData2324,'2324 Jun 24 Enroll'!M$1,FALSE)+VLOOKUP($A207,EnrollData2324,'2324 Jun 24 Enroll'!D$1,FALSE)),2)</f>
        <v>1504.44</v>
      </c>
      <c r="AS207" s="7">
        <f t="shared" si="21"/>
        <v>10416.68</v>
      </c>
    </row>
    <row r="208" spans="1:46">
      <c r="A208" s="40" t="s">
        <v>673</v>
      </c>
      <c r="B208" s="40" t="s">
        <v>674</v>
      </c>
      <c r="C208" s="11">
        <f>ROUND((IFERROR((1/IF(VLOOKUP($A208,EnrollData2324,28,FALSE)='District Calculations'!$D$10,VLOOKUP($A208,EnrollData2324,28,FALSE),'District Calculations'!$D$10))*(1+Apport_Z315),0))+Apport_201A2324s,6)</f>
        <v>7.3449E-2</v>
      </c>
      <c r="D208">
        <f>ROUND(IF(VLOOKUP($A208,EnrollData2324,'2324 Jun 24 Enroll'!D$1,FALSE)='District Calculations'!$D$11,VLOOKUP($A208,EnrollData2324,'2324 Jun 24 Enroll'!D$1,FALSE),'District Calculations'!$D$11)*C208,3)</f>
        <v>0</v>
      </c>
      <c r="E208">
        <f>ROUND(IF(VLOOKUP($A208,EnrollData2324,'2324 Jun 24 Enroll'!E$1,FALSE)='District Calculations'!$D$12,VLOOKUP($A208,EnrollData2324,'2324 Jun 24 Enroll'!E$1,FALSE),'District Calculations'!$D$12)*C208,3)</f>
        <v>59.53</v>
      </c>
      <c r="F208">
        <f>ROUND(IF(VLOOKUP($A208,EnrollData2324,'2324 Jun 24 Enroll'!F$1,FALSE)='District Calculations'!$D$13,VLOOKUP($A208,EnrollData2324,'2324 Jun 24 Enroll'!F$1,FALSE),'District Calculations'!$D$13)*Apport_222A2324s,3)</f>
        <v>10.101000000000001</v>
      </c>
      <c r="G208">
        <f>ROUND(IF(VLOOKUP($A208,EnrollData2324,'2324 Jun 24 Enroll'!G$1,FALSE)='District Calculations'!$D$14,VLOOKUP($A208,EnrollData2324,'2324 Jun 24 Enroll'!G$1,FALSE),'District Calculations'!$D$14)*Apport_210A2324s,3)</f>
        <v>22.395</v>
      </c>
      <c r="H208">
        <f>ROUND(IF(VLOOKUP($A208,EnrollData2324,'2324 Jun 24 Enroll'!H$1,FALSE)='District Calculations'!$D$15,VLOOKUP($A208,EnrollData2324,'2324 Jun 24 Enroll'!H$1,FALSE),'District Calculations'!$D$15)*Apport_213A2324s,3)</f>
        <v>23.091999999999999</v>
      </c>
      <c r="I208">
        <f>ROUND(IF(VLOOKUP($A208,EnrollData2324,'2324 Jun 24 Enroll'!I$1,FALSE)+VLOOKUP($A208,EnrollData2324,'2324 Jun 24 Enroll'!M$1,FALSE)-VLOOKUP($A208,EnrollData2324,'2324 Jun 24 Enroll'!J$1,FALSE)='District Calculations'!$D$16+'District Calculations'!$D$25-'District Calculations'!$D$17,VLOOKUP($A208,EnrollData2324,'2324 Jun 24 Enroll'!I$1,FALSE)+VLOOKUP($A208,EnrollData2324,'2324 Jun 24 Enroll'!M$1,FALSE)-VLOOKUP($A208,EnrollData2324,'2324 Jun 24 Enroll'!J$1,FALSE),'District Calculations'!$D$16+'District Calculations'!$D$25-'District Calculations'!$D$17)*Apport_216A2324s,3)</f>
        <v>58.183999999999997</v>
      </c>
      <c r="J208">
        <f>ROUND(SUM(D208:I208)/(IF(VLOOKUP($A208,EnrollData2324,'2324 Jun 24 Enroll'!M$1,FALSE)='District Calculations'!$D$25,VLOOKUP($A208,EnrollData2324,'2324 Jun 24 Enroll'!M$1,FALSE),'District Calculations'!$D$25)+IF(VLOOKUP($A208,EnrollData2324,'2324 Jun 24 Enroll'!D$1,FALSE)='District Calculations'!$D$11,VLOOKUP($A208,EnrollData2324,'2324 Jun 24 Enroll'!D$1,FALSE),'District Calculations'!$D$11)),5)</f>
        <v>5.5530000000000003E-2</v>
      </c>
      <c r="K208" s="11">
        <f t="shared" si="17"/>
        <v>4.3699999999999998E-3</v>
      </c>
      <c r="L208">
        <f>ROUND(IF(VLOOKUP($A208,EnrollData2324,'2324 Jun 24 Enroll'!D$1,FALSE)='District Calculations'!$D$11,VLOOKUP($A208,EnrollData2324,'2324 Jun 24 Enroll'!D$1,FALSE),'District Calculations'!$D$11)*K208,3)</f>
        <v>0</v>
      </c>
      <c r="M208">
        <f>ROUND(IF(VLOOKUP($A208,EnrollData2324,'2324 Jun 24 Enroll'!E$1,FALSE)='District Calculations'!$D$12,VLOOKUP($A208,EnrollData2324,'2324 Jun 24 Enroll'!E$1,FALSE),'District Calculations'!$D$12)*K208,3)</f>
        <v>3.5419999999999998</v>
      </c>
      <c r="N208">
        <f>ROUND(IF(VLOOKUP($A208,EnrollData2324,'2324 Jun 24 Enroll'!F$1,FALSE)='District Calculations'!$D$13,VLOOKUP($A208,EnrollData2324,'2324 Jun 24 Enroll'!F$1,FALSE),'District Calculations'!$D$13)*Apport_223A2324s,3)</f>
        <v>0.84299999999999997</v>
      </c>
      <c r="O208">
        <f>ROUND(IF(VLOOKUP($A208,EnrollData2324,'2324 Jun 24 Enroll'!G$1,FALSE)='District Calculations'!$D$14,VLOOKUP($A208,EnrollData2324,'2324 Jun 24 Enroll'!G$1,FALSE),'District Calculations'!$D$14)*Apport_211A2324s,3)</f>
        <v>1.87</v>
      </c>
      <c r="P208">
        <f>ROUND(IF(VLOOKUP($A208,EnrollData2324,'2324 Jun 24 Enroll'!H$1,FALSE)='District Calculations'!$D$14,VLOOKUP($A208,EnrollData2324,'2324 Jun 24 Enroll'!H$1,FALSE),'District Calculations'!$D$14)*Apport_214A2324s,3)</f>
        <v>1.8680000000000001</v>
      </c>
      <c r="Q208">
        <f>ROUND(IF(VLOOKUP($A208,EnrollData2324,'2324 Jun 24 Enroll'!I$1,FALSE)+VLOOKUP($A208,EnrollData2324,'2324 Jun 24 Enroll'!M$1,FALSE)-VLOOKUP($A208,EnrollData2324,'2324 Jun 24 Enroll'!J$1,FALSE)='District Calculations'!$D$16+'District Calculations'!$D$25-'District Calculations'!$D$17,VLOOKUP($A208,EnrollData2324,'2324 Jun 24 Enroll'!I$1,FALSE)+VLOOKUP($A208,EnrollData2324,'2324 Jun 24 Enroll'!M$1,FALSE)-VLOOKUP($A208,EnrollData2324,'2324 Jun 24 Enroll'!J$1,FALSE),'District Calculations'!$D$16+'District Calculations'!$D$25-'District Calculations'!$D$17)*Apport_217A2324s,3)</f>
        <v>4.702</v>
      </c>
      <c r="R208">
        <f>ROUND(SUM(L208:Q208)/IF(VLOOKUP($A208,EnrollData2324,'2324 Jun 24 Enroll'!M$1,FALSE)+VLOOKUP($A208,EnrollData2324,'2324 Jun 24 Enroll'!D$1,FALSE)='District Calculations'!$D$25+'District Calculations'!$D$11,VLOOKUP($A208,EnrollData2324,'2324 Jun 24 Enroll'!M$1,FALSE)+VLOOKUP($A208,EnrollData2324,'2324 Jun 24 Enroll'!D$1,FALSE),'District Calculations'!$D$25+'District Calculations'!$D$11),5)</f>
        <v>4.1099999999999999E-3</v>
      </c>
      <c r="S208" s="11">
        <f t="shared" si="18"/>
        <v>1.8689600000000001E-2</v>
      </c>
      <c r="T208">
        <f>ROUND(IF(VLOOKUP($A208,EnrollData2324,'2324 Jun 24 Enroll'!D$1,FALSE)='District Calculations'!$D$11,VLOOKUP($A208,EnrollData2324,'2324 Jun 24 Enroll'!D$1,FALSE),'District Calculations'!$D$11)*S208,3)</f>
        <v>0</v>
      </c>
      <c r="U208">
        <f>ROUND(IF(VLOOKUP($A208,EnrollData2324,'2324 Jun 24 Enroll'!E$1,FALSE)='District Calculations'!$D$12,VLOOKUP($A208,EnrollData2324,'2324 Jun 24 Enroll'!E$1,FALSE),'District Calculations'!$D$12)*S208,3)</f>
        <v>15.148</v>
      </c>
      <c r="V208">
        <f>ROUND(IF(VLOOKUP($A208,EnrollData2324,'2324 Jun 24 Enroll'!F$1,FALSE)='District Calculations'!$D$13,VLOOKUP($A208,EnrollData2324,'2324 Jun 24 Enroll'!F$1,FALSE),'District Calculations'!$D$13)*Apport_224A2324s,3)</f>
        <v>3.7029999999999998</v>
      </c>
      <c r="W208">
        <f>ROUND(IF(VLOOKUP($A208,EnrollData2324,'2324 Jun 24 Enroll'!G$1,FALSE)='District Calculations'!$D$14,VLOOKUP($A208,EnrollData2324,'2324 Jun 24 Enroll'!G$1,FALSE),'District Calculations'!$D$14)*Apport_212A2324s,3)</f>
        <v>8.2089999999999996</v>
      </c>
      <c r="X208">
        <f>ROUND(IF(VLOOKUP($A208,EnrollData2324,'2324 Jun 24 Enroll'!H$1,FALSE)='District Calculations'!$D$14,VLOOKUP($A208,EnrollData2324,'2324 Jun 24 Enroll'!H$1,FALSE),'District Calculations'!$D$14)*Apport_215A2324s,3)</f>
        <v>8.0969999999999995</v>
      </c>
      <c r="Y208">
        <f>ROUND(IF(VLOOKUP($A208,EnrollData2324,'2324 Jun 24 Enroll'!I$1,FALSE)+VLOOKUP($A208,EnrollData2324,'2324 Jun 24 Enroll'!M$1,FALSE)-VLOOKUP($A208,EnrollData2324,'2324 Jun 24 Enroll'!J$1,FALSE)='District Calculations'!$D$16+'District Calculations'!$D$25-'District Calculations'!$D$17,VLOOKUP($A208,EnrollData2324,'2324 Jun 24 Enroll'!I$1,FALSE)+VLOOKUP($A208,EnrollData2324,'2324 Jun 24 Enroll'!M$1,FALSE)-VLOOKUP($A208,EnrollData2324,'2324 Jun 24 Enroll'!J$1,FALSE),'District Calculations'!$D$16+'District Calculations'!$D$25-'District Calculations'!$D$17)*Apport_218A2324s,3)</f>
        <v>20.224</v>
      </c>
      <c r="Z208">
        <f>ROUND(SUM(T208:Y208)/IF(VLOOKUP($A208,EnrollData2324,'2324 Jun 24 Enroll'!M$1,FALSE)+VLOOKUP($A208,EnrollData2324,'2324 Jun 24 Enroll'!D$1,FALSE)='District Calculations'!$D$25+'District Calculations'!$D$11,VLOOKUP($A208,EnrollData2324,'2324 Jun 24 Enroll'!M$1,FALSE)+VLOOKUP($A208,EnrollData2324,'2324 Jun 24 Enroll'!D$1,FALSE),'District Calculations'!$D$25+'District Calculations'!$D$11),5)</f>
        <v>1.7749999999999998E-2</v>
      </c>
      <c r="AA208" s="6" cm="1">
        <f t="array" ref="AA208">ROUND($J208*CIS_Base_Salary2324s*VLOOKUP($A208,EnrollData2324,'2324 Jun 24 Enroll'!S$1,FALSE),2)</f>
        <v>4280.8999999999996</v>
      </c>
      <c r="AB208" s="6" cm="1">
        <f t="array" ref="AB208">ROUND($J208*CIS_Inc_Salary2324s*(VLOOKUP($A208,EnrollData2324,'2324 Jun 24 Enroll'!T$1,FALSE)+VLOOKUP($A208,EnrollData2324,'2324 Jun 24 Enroll'!U$1,FALSE)),2)-AA208</f>
        <v>158.40000000000055</v>
      </c>
      <c r="AC208" s="6" cm="1">
        <f t="array" ref="AC208">ROUND($R208*CAS_Base_Salary2324s*VLOOKUP($A208,EnrollData2324,'2324 Jun 24 Enroll'!S$1,FALSE),2)</f>
        <v>470.32</v>
      </c>
      <c r="AD208" s="6" cm="1">
        <f t="array" ref="AD208">ROUND($R208*CAS_Inc_Salary2324s*VLOOKUP($A208,EnrollData2324,'2324 Jun 24 Enroll'!T$1,FALSE),2)-AC208</f>
        <v>17.400000000000034</v>
      </c>
      <c r="AE208" s="6" cm="1">
        <f t="array" ref="AE208">ROUND($Z208*CLS_Base_Salary2324s*VLOOKUP($A208,EnrollData2324,'2324 Jun 24 Enroll'!S$1,FALSE),2)</f>
        <v>981.63</v>
      </c>
      <c r="AF208" s="6" cm="1">
        <f t="array" ref="AF208">ROUND($Z208*CLS_Inc_Salary2324s*VLOOKUP($A208,EnrollData2324,'2324 Jun 24 Enroll'!T$1,FALSE),2)-AE208</f>
        <v>36.32000000000005</v>
      </c>
      <c r="AG208" cm="1">
        <f t="array" ref="AG208">ROUND(($J208+$R208)*Apport_124X2324s,2)</f>
        <v>734.29</v>
      </c>
      <c r="AH208" s="69">
        <f t="shared" si="19"/>
        <v>68.700000000000045</v>
      </c>
      <c r="AI208" cm="1">
        <f t="array" ref="AI208">ROUND($Z208*Apport_124X2324s,2)</f>
        <v>218.54</v>
      </c>
      <c r="AJ208" cm="1">
        <f t="array" ref="AJ208">ROUND($Z208*Apport_621X2324s*Apport_125X2324s,2)-AI208</f>
        <v>116.51000000000002</v>
      </c>
      <c r="AK208" cm="1">
        <f t="array" ref="AK208">ROUND((AA208+AC208)*Apport_126X2324s,2)</f>
        <v>853.79</v>
      </c>
      <c r="AL208" cm="1">
        <f t="array" ref="AL208">ROUND((AB208+AD208)*Apport_127X2324s,2)</f>
        <v>30.47</v>
      </c>
      <c r="AM208" cm="1">
        <f t="array" ref="AM208">ROUND(AE208*Apport_128X2324s,2)</f>
        <v>216.55</v>
      </c>
      <c r="AN208" cm="1">
        <f t="array" ref="AN208">ROUND(AF208*Apport_129X2324s,2)</f>
        <v>6.74</v>
      </c>
      <c r="AO208" cm="1">
        <f t="array" ref="AO208">ROUND(($J208*CIS_Inc_Salary2324s*(VLOOKUP($A208,EnrollData2324,'2324 Jun 24 Enroll'!T$1,FALSE)+VLOOKUP($A208,EnrollData2324,'2324 Jun 24 Enroll'!U$1,FALSE))/Apport_613Xpd)*Apport_614Xpd,2)</f>
        <v>73.989999999999995</v>
      </c>
      <c r="AP208" cm="1">
        <f t="array" ref="AP208">ROUND(AO208*Apport_127X2324s,2)</f>
        <v>12.82</v>
      </c>
      <c r="AQ208">
        <f t="shared" si="20"/>
        <v>30.93</v>
      </c>
      <c r="AR208" s="6" cm="1">
        <f t="array" ref="AR208">ROUND((VLOOKUP($A208,EnrollData2324,'2324 Jun 24 Enroll'!D$1,FALSE)*Apport_M802324s+VLOOKUP($A208,EnrollData2324,'2324 Jun 24 Enroll'!M$1,FALSE)*Apport_M802324s+(VLOOKUP($A208,EnrollData2324,'2324 Jun 24 Enroll'!P$1,FALSE)+VLOOKUP($A208,EnrollData2324,'2324 Jun 24 Enroll'!Q$1,FALSE)+VLOOKUP($A208,EnrollData2324,'2324 Jun 24 Enroll'!R$1,FALSE)+VLOOKUP($A208,EnrollData2324,'2324 Jun 24 Enroll'!I$1,FALSE)+VLOOKUP($A208,EnrollData2324,'2324 Jun 24 Enroll'!N$1,FALSE)+VLOOKUP($A208,EnrollData2324,'2324 Jun 24 Enroll'!O$1,FALSE)+VLOOKUP($A208,EnrollData2324,'2324 Jun 24 Enroll'!K$1,FALSE)+VLOOKUP($A208,EnrollData2324,'2324 Jun 24 Enroll'!L$1,FALSE))*Apport_M812324s)/(VLOOKUP($A208,EnrollData2324,'2324 Jun 24 Enroll'!M$1,FALSE)+VLOOKUP($A208,EnrollData2324,'2324 Jun 24 Enroll'!D$1,FALSE)),2)</f>
        <v>1568.35</v>
      </c>
      <c r="AS208" s="7">
        <f t="shared" si="21"/>
        <v>9876.65</v>
      </c>
    </row>
    <row r="209" spans="1:45">
      <c r="A209" s="40" t="s">
        <v>388</v>
      </c>
      <c r="B209" s="40" t="s">
        <v>389</v>
      </c>
      <c r="C209" s="11">
        <f>ROUND((IFERROR((1/IF(VLOOKUP($A209,EnrollData2324,28,FALSE)='District Calculations'!$D$10,VLOOKUP($A209,EnrollData2324,28,FALSE),'District Calculations'!$D$10))*(1+Apport_Z315),0))+Apport_201A2324s,6)</f>
        <v>7.3449E-2</v>
      </c>
      <c r="D209">
        <f>ROUND(IF(VLOOKUP($A209,EnrollData2324,'2324 Jun 24 Enroll'!D$1,FALSE)='District Calculations'!$D$11,VLOOKUP($A209,EnrollData2324,'2324 Jun 24 Enroll'!D$1,FALSE),'District Calculations'!$D$11)*C209,3)</f>
        <v>0</v>
      </c>
      <c r="E209">
        <f>ROUND(IF(VLOOKUP($A209,EnrollData2324,'2324 Jun 24 Enroll'!E$1,FALSE)='District Calculations'!$D$12,VLOOKUP($A209,EnrollData2324,'2324 Jun 24 Enroll'!E$1,FALSE),'District Calculations'!$D$12)*C209,3)</f>
        <v>59.53</v>
      </c>
      <c r="F209">
        <f>ROUND(IF(VLOOKUP($A209,EnrollData2324,'2324 Jun 24 Enroll'!F$1,FALSE)='District Calculations'!$D$13,VLOOKUP($A209,EnrollData2324,'2324 Jun 24 Enroll'!F$1,FALSE),'District Calculations'!$D$13)*Apport_222A2324s,3)</f>
        <v>10.101000000000001</v>
      </c>
      <c r="G209">
        <f>ROUND(IF(VLOOKUP($A209,EnrollData2324,'2324 Jun 24 Enroll'!G$1,FALSE)='District Calculations'!$D$14,VLOOKUP($A209,EnrollData2324,'2324 Jun 24 Enroll'!G$1,FALSE),'District Calculations'!$D$14)*Apport_210A2324s,3)</f>
        <v>22.395</v>
      </c>
      <c r="H209">
        <f>ROUND(IF(VLOOKUP($A209,EnrollData2324,'2324 Jun 24 Enroll'!H$1,FALSE)='District Calculations'!$D$15,VLOOKUP($A209,EnrollData2324,'2324 Jun 24 Enroll'!H$1,FALSE),'District Calculations'!$D$15)*Apport_213A2324s,3)</f>
        <v>23.091999999999999</v>
      </c>
      <c r="I209">
        <f>ROUND(IF(VLOOKUP($A209,EnrollData2324,'2324 Jun 24 Enroll'!I$1,FALSE)+VLOOKUP($A209,EnrollData2324,'2324 Jun 24 Enroll'!M$1,FALSE)-VLOOKUP($A209,EnrollData2324,'2324 Jun 24 Enroll'!J$1,FALSE)='District Calculations'!$D$16+'District Calculations'!$D$25-'District Calculations'!$D$17,VLOOKUP($A209,EnrollData2324,'2324 Jun 24 Enroll'!I$1,FALSE)+VLOOKUP($A209,EnrollData2324,'2324 Jun 24 Enroll'!M$1,FALSE)-VLOOKUP($A209,EnrollData2324,'2324 Jun 24 Enroll'!J$1,FALSE),'District Calculations'!$D$16+'District Calculations'!$D$25-'District Calculations'!$D$17)*Apport_216A2324s,3)</f>
        <v>58.183999999999997</v>
      </c>
      <c r="J209">
        <f>ROUND(SUM(D209:I209)/(IF(VLOOKUP($A209,EnrollData2324,'2324 Jun 24 Enroll'!M$1,FALSE)='District Calculations'!$D$25,VLOOKUP($A209,EnrollData2324,'2324 Jun 24 Enroll'!M$1,FALSE),'District Calculations'!$D$25)+IF(VLOOKUP($A209,EnrollData2324,'2324 Jun 24 Enroll'!D$1,FALSE)='District Calculations'!$D$11,VLOOKUP($A209,EnrollData2324,'2324 Jun 24 Enroll'!D$1,FALSE),'District Calculations'!$D$11)),5)</f>
        <v>5.5530000000000003E-2</v>
      </c>
      <c r="K209" s="11">
        <f t="shared" si="17"/>
        <v>4.3699999999999998E-3</v>
      </c>
      <c r="L209">
        <f>ROUND(IF(VLOOKUP($A209,EnrollData2324,'2324 Jun 24 Enroll'!D$1,FALSE)='District Calculations'!$D$11,VLOOKUP($A209,EnrollData2324,'2324 Jun 24 Enroll'!D$1,FALSE),'District Calculations'!$D$11)*K209,3)</f>
        <v>0</v>
      </c>
      <c r="M209">
        <f>ROUND(IF(VLOOKUP($A209,EnrollData2324,'2324 Jun 24 Enroll'!E$1,FALSE)='District Calculations'!$D$12,VLOOKUP($A209,EnrollData2324,'2324 Jun 24 Enroll'!E$1,FALSE),'District Calculations'!$D$12)*K209,3)</f>
        <v>3.5419999999999998</v>
      </c>
      <c r="N209">
        <f>ROUND(IF(VLOOKUP($A209,EnrollData2324,'2324 Jun 24 Enroll'!F$1,FALSE)='District Calculations'!$D$13,VLOOKUP($A209,EnrollData2324,'2324 Jun 24 Enroll'!F$1,FALSE),'District Calculations'!$D$13)*Apport_223A2324s,3)</f>
        <v>0.84299999999999997</v>
      </c>
      <c r="O209">
        <f>ROUND(IF(VLOOKUP($A209,EnrollData2324,'2324 Jun 24 Enroll'!G$1,FALSE)='District Calculations'!$D$14,VLOOKUP($A209,EnrollData2324,'2324 Jun 24 Enroll'!G$1,FALSE),'District Calculations'!$D$14)*Apport_211A2324s,3)</f>
        <v>1.87</v>
      </c>
      <c r="P209">
        <f>ROUND(IF(VLOOKUP($A209,EnrollData2324,'2324 Jun 24 Enroll'!H$1,FALSE)='District Calculations'!$D$14,VLOOKUP($A209,EnrollData2324,'2324 Jun 24 Enroll'!H$1,FALSE),'District Calculations'!$D$14)*Apport_214A2324s,3)</f>
        <v>1.8680000000000001</v>
      </c>
      <c r="Q209">
        <f>ROUND(IF(VLOOKUP($A209,EnrollData2324,'2324 Jun 24 Enroll'!I$1,FALSE)+VLOOKUP($A209,EnrollData2324,'2324 Jun 24 Enroll'!M$1,FALSE)-VLOOKUP($A209,EnrollData2324,'2324 Jun 24 Enroll'!J$1,FALSE)='District Calculations'!$D$16+'District Calculations'!$D$25-'District Calculations'!$D$17,VLOOKUP($A209,EnrollData2324,'2324 Jun 24 Enroll'!I$1,FALSE)+VLOOKUP($A209,EnrollData2324,'2324 Jun 24 Enroll'!M$1,FALSE)-VLOOKUP($A209,EnrollData2324,'2324 Jun 24 Enroll'!J$1,FALSE),'District Calculations'!$D$16+'District Calculations'!$D$25-'District Calculations'!$D$17)*Apport_217A2324s,3)</f>
        <v>4.702</v>
      </c>
      <c r="R209">
        <f>ROUND(SUM(L209:Q209)/IF(VLOOKUP($A209,EnrollData2324,'2324 Jun 24 Enroll'!M$1,FALSE)+VLOOKUP($A209,EnrollData2324,'2324 Jun 24 Enroll'!D$1,FALSE)='District Calculations'!$D$25+'District Calculations'!$D$11,VLOOKUP($A209,EnrollData2324,'2324 Jun 24 Enroll'!M$1,FALSE)+VLOOKUP($A209,EnrollData2324,'2324 Jun 24 Enroll'!D$1,FALSE),'District Calculations'!$D$25+'District Calculations'!$D$11),5)</f>
        <v>4.1099999999999999E-3</v>
      </c>
      <c r="S209" s="11">
        <f t="shared" si="18"/>
        <v>1.8689600000000001E-2</v>
      </c>
      <c r="T209">
        <f>ROUND(IF(VLOOKUP($A209,EnrollData2324,'2324 Jun 24 Enroll'!D$1,FALSE)='District Calculations'!$D$11,VLOOKUP($A209,EnrollData2324,'2324 Jun 24 Enroll'!D$1,FALSE),'District Calculations'!$D$11)*S209,3)</f>
        <v>0</v>
      </c>
      <c r="U209">
        <f>ROUND(IF(VLOOKUP($A209,EnrollData2324,'2324 Jun 24 Enroll'!E$1,FALSE)='District Calculations'!$D$12,VLOOKUP($A209,EnrollData2324,'2324 Jun 24 Enroll'!E$1,FALSE),'District Calculations'!$D$12)*S209,3)</f>
        <v>15.148</v>
      </c>
      <c r="V209">
        <f>ROUND(IF(VLOOKUP($A209,EnrollData2324,'2324 Jun 24 Enroll'!F$1,FALSE)='District Calculations'!$D$13,VLOOKUP($A209,EnrollData2324,'2324 Jun 24 Enroll'!F$1,FALSE),'District Calculations'!$D$13)*Apport_224A2324s,3)</f>
        <v>3.7029999999999998</v>
      </c>
      <c r="W209">
        <f>ROUND(IF(VLOOKUP($A209,EnrollData2324,'2324 Jun 24 Enroll'!G$1,FALSE)='District Calculations'!$D$14,VLOOKUP($A209,EnrollData2324,'2324 Jun 24 Enroll'!G$1,FALSE),'District Calculations'!$D$14)*Apport_212A2324s,3)</f>
        <v>8.2089999999999996</v>
      </c>
      <c r="X209">
        <f>ROUND(IF(VLOOKUP($A209,EnrollData2324,'2324 Jun 24 Enroll'!H$1,FALSE)='District Calculations'!$D$14,VLOOKUP($A209,EnrollData2324,'2324 Jun 24 Enroll'!H$1,FALSE),'District Calculations'!$D$14)*Apport_215A2324s,3)</f>
        <v>8.0969999999999995</v>
      </c>
      <c r="Y209">
        <f>ROUND(IF(VLOOKUP($A209,EnrollData2324,'2324 Jun 24 Enroll'!I$1,FALSE)+VLOOKUP($A209,EnrollData2324,'2324 Jun 24 Enroll'!M$1,FALSE)-VLOOKUP($A209,EnrollData2324,'2324 Jun 24 Enroll'!J$1,FALSE)='District Calculations'!$D$16+'District Calculations'!$D$25-'District Calculations'!$D$17,VLOOKUP($A209,EnrollData2324,'2324 Jun 24 Enroll'!I$1,FALSE)+VLOOKUP($A209,EnrollData2324,'2324 Jun 24 Enroll'!M$1,FALSE)-VLOOKUP($A209,EnrollData2324,'2324 Jun 24 Enroll'!J$1,FALSE),'District Calculations'!$D$16+'District Calculations'!$D$25-'District Calculations'!$D$17)*Apport_218A2324s,3)</f>
        <v>20.224</v>
      </c>
      <c r="Z209">
        <f>ROUND(SUM(T209:Y209)/IF(VLOOKUP($A209,EnrollData2324,'2324 Jun 24 Enroll'!M$1,FALSE)+VLOOKUP($A209,EnrollData2324,'2324 Jun 24 Enroll'!D$1,FALSE)='District Calculations'!$D$25+'District Calculations'!$D$11,VLOOKUP($A209,EnrollData2324,'2324 Jun 24 Enroll'!M$1,FALSE)+VLOOKUP($A209,EnrollData2324,'2324 Jun 24 Enroll'!D$1,FALSE),'District Calculations'!$D$25+'District Calculations'!$D$11),5)</f>
        <v>1.7749999999999998E-2</v>
      </c>
      <c r="AA209" s="6" cm="1">
        <f t="array" ref="AA209">ROUND($J209*CIS_Base_Salary2324s*VLOOKUP($A209,EnrollData2324,'2324 Jun 24 Enroll'!S$1,FALSE),2)</f>
        <v>4280.8999999999996</v>
      </c>
      <c r="AB209" s="6" cm="1">
        <f t="array" ref="AB209">ROUND($J209*CIS_Inc_Salary2324s*(VLOOKUP($A209,EnrollData2324,'2324 Jun 24 Enroll'!T$1,FALSE)+VLOOKUP($A209,EnrollData2324,'2324 Jun 24 Enroll'!U$1,FALSE)),2)-AA209</f>
        <v>158.40000000000055</v>
      </c>
      <c r="AC209" s="6" cm="1">
        <f t="array" ref="AC209">ROUND($R209*CAS_Base_Salary2324s*VLOOKUP($A209,EnrollData2324,'2324 Jun 24 Enroll'!S$1,FALSE),2)</f>
        <v>470.32</v>
      </c>
      <c r="AD209" s="6" cm="1">
        <f t="array" ref="AD209">ROUND($R209*CAS_Inc_Salary2324s*VLOOKUP($A209,EnrollData2324,'2324 Jun 24 Enroll'!T$1,FALSE),2)-AC209</f>
        <v>17.400000000000034</v>
      </c>
      <c r="AE209" s="6" cm="1">
        <f t="array" ref="AE209">ROUND($Z209*CLS_Base_Salary2324s*VLOOKUP($A209,EnrollData2324,'2324 Jun 24 Enroll'!S$1,FALSE),2)</f>
        <v>981.63</v>
      </c>
      <c r="AF209" s="6" cm="1">
        <f t="array" ref="AF209">ROUND($Z209*CLS_Inc_Salary2324s*VLOOKUP($A209,EnrollData2324,'2324 Jun 24 Enroll'!T$1,FALSE),2)-AE209</f>
        <v>36.32000000000005</v>
      </c>
      <c r="AG209" cm="1">
        <f t="array" ref="AG209">ROUND(($J209+$R209)*Apport_124X2324s,2)</f>
        <v>734.29</v>
      </c>
      <c r="AH209" s="69">
        <f t="shared" si="19"/>
        <v>68.700000000000045</v>
      </c>
      <c r="AI209" cm="1">
        <f t="array" ref="AI209">ROUND($Z209*Apport_124X2324s,2)</f>
        <v>218.54</v>
      </c>
      <c r="AJ209" cm="1">
        <f t="array" ref="AJ209">ROUND($Z209*Apport_621X2324s*Apport_125X2324s,2)-AI209</f>
        <v>116.51000000000002</v>
      </c>
      <c r="AK209" cm="1">
        <f t="array" ref="AK209">ROUND((AA209+AC209)*Apport_126X2324s,2)</f>
        <v>853.79</v>
      </c>
      <c r="AL209" cm="1">
        <f t="array" ref="AL209">ROUND((AB209+AD209)*Apport_127X2324s,2)</f>
        <v>30.47</v>
      </c>
      <c r="AM209" cm="1">
        <f t="array" ref="AM209">ROUND(AE209*Apport_128X2324s,2)</f>
        <v>216.55</v>
      </c>
      <c r="AN209" cm="1">
        <f t="array" ref="AN209">ROUND(AF209*Apport_129X2324s,2)</f>
        <v>6.74</v>
      </c>
      <c r="AO209" cm="1">
        <f t="array" ref="AO209">ROUND(($J209*CIS_Inc_Salary2324s*(VLOOKUP($A209,EnrollData2324,'2324 Jun 24 Enroll'!T$1,FALSE)+VLOOKUP($A209,EnrollData2324,'2324 Jun 24 Enroll'!U$1,FALSE))/Apport_613Xpd)*Apport_614Xpd,2)</f>
        <v>73.989999999999995</v>
      </c>
      <c r="AP209" cm="1">
        <f t="array" ref="AP209">ROUND(AO209*Apport_127X2324s,2)</f>
        <v>12.82</v>
      </c>
      <c r="AQ209">
        <f t="shared" si="20"/>
        <v>30.93</v>
      </c>
      <c r="AR209" s="6" cm="1">
        <f t="array" ref="AR209">ROUND((VLOOKUP($A209,EnrollData2324,'2324 Jun 24 Enroll'!D$1,FALSE)*Apport_M802324s+VLOOKUP($A209,EnrollData2324,'2324 Jun 24 Enroll'!M$1,FALSE)*Apport_M802324s+(VLOOKUP($A209,EnrollData2324,'2324 Jun 24 Enroll'!P$1,FALSE)+VLOOKUP($A209,EnrollData2324,'2324 Jun 24 Enroll'!Q$1,FALSE)+VLOOKUP($A209,EnrollData2324,'2324 Jun 24 Enroll'!R$1,FALSE)+VLOOKUP($A209,EnrollData2324,'2324 Jun 24 Enroll'!I$1,FALSE)+VLOOKUP($A209,EnrollData2324,'2324 Jun 24 Enroll'!N$1,FALSE)+VLOOKUP($A209,EnrollData2324,'2324 Jun 24 Enroll'!O$1,FALSE)+VLOOKUP($A209,EnrollData2324,'2324 Jun 24 Enroll'!K$1,FALSE)+VLOOKUP($A209,EnrollData2324,'2324 Jun 24 Enroll'!L$1,FALSE))*Apport_M812324s)/(VLOOKUP($A209,EnrollData2324,'2324 Jun 24 Enroll'!M$1,FALSE)+VLOOKUP($A209,EnrollData2324,'2324 Jun 24 Enroll'!D$1,FALSE)),2)</f>
        <v>1557.76</v>
      </c>
      <c r="AS209" s="7">
        <f t="shared" si="21"/>
        <v>9866.06</v>
      </c>
    </row>
    <row r="210" spans="1:45">
      <c r="A210" s="40" t="s">
        <v>689</v>
      </c>
      <c r="B210" s="40" t="s">
        <v>690</v>
      </c>
      <c r="C210" s="11">
        <f>ROUND((IFERROR((1/IF(VLOOKUP($A210,EnrollData2324,28,FALSE)='District Calculations'!$D$10,VLOOKUP($A210,EnrollData2324,28,FALSE),'District Calculations'!$D$10))*(1+Apport_Z315),0))+Apport_201A2324s,6)</f>
        <v>7.3449E-2</v>
      </c>
      <c r="D210">
        <f>ROUND(IF(VLOOKUP($A210,EnrollData2324,'2324 Jun 24 Enroll'!D$1,FALSE)='District Calculations'!$D$11,VLOOKUP($A210,EnrollData2324,'2324 Jun 24 Enroll'!D$1,FALSE),'District Calculations'!$D$11)*C210,3)</f>
        <v>0</v>
      </c>
      <c r="E210">
        <f>ROUND(IF(VLOOKUP($A210,EnrollData2324,'2324 Jun 24 Enroll'!E$1,FALSE)='District Calculations'!$D$12,VLOOKUP($A210,EnrollData2324,'2324 Jun 24 Enroll'!E$1,FALSE),'District Calculations'!$D$12)*C210,3)</f>
        <v>59.53</v>
      </c>
      <c r="F210">
        <f>ROUND(IF(VLOOKUP($A210,EnrollData2324,'2324 Jun 24 Enroll'!F$1,FALSE)='District Calculations'!$D$13,VLOOKUP($A210,EnrollData2324,'2324 Jun 24 Enroll'!F$1,FALSE),'District Calculations'!$D$13)*Apport_222A2324s,3)</f>
        <v>10.101000000000001</v>
      </c>
      <c r="G210">
        <f>ROUND(IF(VLOOKUP($A210,EnrollData2324,'2324 Jun 24 Enroll'!G$1,FALSE)='District Calculations'!$D$14,VLOOKUP($A210,EnrollData2324,'2324 Jun 24 Enroll'!G$1,FALSE),'District Calculations'!$D$14)*Apport_210A2324s,3)</f>
        <v>22.395</v>
      </c>
      <c r="H210">
        <f>ROUND(IF(VLOOKUP($A210,EnrollData2324,'2324 Jun 24 Enroll'!H$1,FALSE)='District Calculations'!$D$15,VLOOKUP($A210,EnrollData2324,'2324 Jun 24 Enroll'!H$1,FALSE),'District Calculations'!$D$15)*Apport_213A2324s,3)</f>
        <v>23.091999999999999</v>
      </c>
      <c r="I210">
        <f>ROUND(IF(VLOOKUP($A210,EnrollData2324,'2324 Jun 24 Enroll'!I$1,FALSE)+VLOOKUP($A210,EnrollData2324,'2324 Jun 24 Enroll'!M$1,FALSE)-VLOOKUP($A210,EnrollData2324,'2324 Jun 24 Enroll'!J$1,FALSE)='District Calculations'!$D$16+'District Calculations'!$D$25-'District Calculations'!$D$17,VLOOKUP($A210,EnrollData2324,'2324 Jun 24 Enroll'!I$1,FALSE)+VLOOKUP($A210,EnrollData2324,'2324 Jun 24 Enroll'!M$1,FALSE)-VLOOKUP($A210,EnrollData2324,'2324 Jun 24 Enroll'!J$1,FALSE),'District Calculations'!$D$16+'District Calculations'!$D$25-'District Calculations'!$D$17)*Apport_216A2324s,3)</f>
        <v>58.183999999999997</v>
      </c>
      <c r="J210">
        <f>ROUND(SUM(D210:I210)/(IF(VLOOKUP($A210,EnrollData2324,'2324 Jun 24 Enroll'!M$1,FALSE)='District Calculations'!$D$25,VLOOKUP($A210,EnrollData2324,'2324 Jun 24 Enroll'!M$1,FALSE),'District Calculations'!$D$25)+IF(VLOOKUP($A210,EnrollData2324,'2324 Jun 24 Enroll'!D$1,FALSE)='District Calculations'!$D$11,VLOOKUP($A210,EnrollData2324,'2324 Jun 24 Enroll'!D$1,FALSE),'District Calculations'!$D$11)),5)</f>
        <v>5.5530000000000003E-2</v>
      </c>
      <c r="K210" s="11">
        <f t="shared" si="17"/>
        <v>4.3699999999999998E-3</v>
      </c>
      <c r="L210">
        <f>ROUND(IF(VLOOKUP($A210,EnrollData2324,'2324 Jun 24 Enroll'!D$1,FALSE)='District Calculations'!$D$11,VLOOKUP($A210,EnrollData2324,'2324 Jun 24 Enroll'!D$1,FALSE),'District Calculations'!$D$11)*K210,3)</f>
        <v>0</v>
      </c>
      <c r="M210">
        <f>ROUND(IF(VLOOKUP($A210,EnrollData2324,'2324 Jun 24 Enroll'!E$1,FALSE)='District Calculations'!$D$12,VLOOKUP($A210,EnrollData2324,'2324 Jun 24 Enroll'!E$1,FALSE),'District Calculations'!$D$12)*K210,3)</f>
        <v>3.5419999999999998</v>
      </c>
      <c r="N210">
        <f>ROUND(IF(VLOOKUP($A210,EnrollData2324,'2324 Jun 24 Enroll'!F$1,FALSE)='District Calculations'!$D$13,VLOOKUP($A210,EnrollData2324,'2324 Jun 24 Enroll'!F$1,FALSE),'District Calculations'!$D$13)*Apport_223A2324s,3)</f>
        <v>0.84299999999999997</v>
      </c>
      <c r="O210">
        <f>ROUND(IF(VLOOKUP($A210,EnrollData2324,'2324 Jun 24 Enroll'!G$1,FALSE)='District Calculations'!$D$14,VLOOKUP($A210,EnrollData2324,'2324 Jun 24 Enroll'!G$1,FALSE),'District Calculations'!$D$14)*Apport_211A2324s,3)</f>
        <v>1.87</v>
      </c>
      <c r="P210">
        <f>ROUND(IF(VLOOKUP($A210,EnrollData2324,'2324 Jun 24 Enroll'!H$1,FALSE)='District Calculations'!$D$14,VLOOKUP($A210,EnrollData2324,'2324 Jun 24 Enroll'!H$1,FALSE),'District Calculations'!$D$14)*Apport_214A2324s,3)</f>
        <v>1.8680000000000001</v>
      </c>
      <c r="Q210">
        <f>ROUND(IF(VLOOKUP($A210,EnrollData2324,'2324 Jun 24 Enroll'!I$1,FALSE)+VLOOKUP($A210,EnrollData2324,'2324 Jun 24 Enroll'!M$1,FALSE)-VLOOKUP($A210,EnrollData2324,'2324 Jun 24 Enroll'!J$1,FALSE)='District Calculations'!$D$16+'District Calculations'!$D$25-'District Calculations'!$D$17,VLOOKUP($A210,EnrollData2324,'2324 Jun 24 Enroll'!I$1,FALSE)+VLOOKUP($A210,EnrollData2324,'2324 Jun 24 Enroll'!M$1,FALSE)-VLOOKUP($A210,EnrollData2324,'2324 Jun 24 Enroll'!J$1,FALSE),'District Calculations'!$D$16+'District Calculations'!$D$25-'District Calculations'!$D$17)*Apport_217A2324s,3)</f>
        <v>4.702</v>
      </c>
      <c r="R210">
        <f>ROUND(SUM(L210:Q210)/IF(VLOOKUP($A210,EnrollData2324,'2324 Jun 24 Enroll'!M$1,FALSE)+VLOOKUP($A210,EnrollData2324,'2324 Jun 24 Enroll'!D$1,FALSE)='District Calculations'!$D$25+'District Calculations'!$D$11,VLOOKUP($A210,EnrollData2324,'2324 Jun 24 Enroll'!M$1,FALSE)+VLOOKUP($A210,EnrollData2324,'2324 Jun 24 Enroll'!D$1,FALSE),'District Calculations'!$D$25+'District Calculations'!$D$11),5)</f>
        <v>4.1099999999999999E-3</v>
      </c>
      <c r="S210" s="11">
        <f t="shared" si="18"/>
        <v>1.8689600000000001E-2</v>
      </c>
      <c r="T210">
        <f>ROUND(IF(VLOOKUP($A210,EnrollData2324,'2324 Jun 24 Enroll'!D$1,FALSE)='District Calculations'!$D$11,VLOOKUP($A210,EnrollData2324,'2324 Jun 24 Enroll'!D$1,FALSE),'District Calculations'!$D$11)*S210,3)</f>
        <v>0</v>
      </c>
      <c r="U210">
        <f>ROUND(IF(VLOOKUP($A210,EnrollData2324,'2324 Jun 24 Enroll'!E$1,FALSE)='District Calculations'!$D$12,VLOOKUP($A210,EnrollData2324,'2324 Jun 24 Enroll'!E$1,FALSE),'District Calculations'!$D$12)*S210,3)</f>
        <v>15.148</v>
      </c>
      <c r="V210">
        <f>ROUND(IF(VLOOKUP($A210,EnrollData2324,'2324 Jun 24 Enroll'!F$1,FALSE)='District Calculations'!$D$13,VLOOKUP($A210,EnrollData2324,'2324 Jun 24 Enroll'!F$1,FALSE),'District Calculations'!$D$13)*Apport_224A2324s,3)</f>
        <v>3.7029999999999998</v>
      </c>
      <c r="W210">
        <f>ROUND(IF(VLOOKUP($A210,EnrollData2324,'2324 Jun 24 Enroll'!G$1,FALSE)='District Calculations'!$D$14,VLOOKUP($A210,EnrollData2324,'2324 Jun 24 Enroll'!G$1,FALSE),'District Calculations'!$D$14)*Apport_212A2324s,3)</f>
        <v>8.2089999999999996</v>
      </c>
      <c r="X210">
        <f>ROUND(IF(VLOOKUP($A210,EnrollData2324,'2324 Jun 24 Enroll'!H$1,FALSE)='District Calculations'!$D$14,VLOOKUP($A210,EnrollData2324,'2324 Jun 24 Enroll'!H$1,FALSE),'District Calculations'!$D$14)*Apport_215A2324s,3)</f>
        <v>8.0969999999999995</v>
      </c>
      <c r="Y210">
        <f>ROUND(IF(VLOOKUP($A210,EnrollData2324,'2324 Jun 24 Enroll'!I$1,FALSE)+VLOOKUP($A210,EnrollData2324,'2324 Jun 24 Enroll'!M$1,FALSE)-VLOOKUP($A210,EnrollData2324,'2324 Jun 24 Enroll'!J$1,FALSE)='District Calculations'!$D$16+'District Calculations'!$D$25-'District Calculations'!$D$17,VLOOKUP($A210,EnrollData2324,'2324 Jun 24 Enroll'!I$1,FALSE)+VLOOKUP($A210,EnrollData2324,'2324 Jun 24 Enroll'!M$1,FALSE)-VLOOKUP($A210,EnrollData2324,'2324 Jun 24 Enroll'!J$1,FALSE),'District Calculations'!$D$16+'District Calculations'!$D$25-'District Calculations'!$D$17)*Apport_218A2324s,3)</f>
        <v>20.224</v>
      </c>
      <c r="Z210">
        <f>ROUND(SUM(T210:Y210)/IF(VLOOKUP($A210,EnrollData2324,'2324 Jun 24 Enroll'!M$1,FALSE)+VLOOKUP($A210,EnrollData2324,'2324 Jun 24 Enroll'!D$1,FALSE)='District Calculations'!$D$25+'District Calculations'!$D$11,VLOOKUP($A210,EnrollData2324,'2324 Jun 24 Enroll'!M$1,FALSE)+VLOOKUP($A210,EnrollData2324,'2324 Jun 24 Enroll'!D$1,FALSE),'District Calculations'!$D$25+'District Calculations'!$D$11),5)</f>
        <v>1.7749999999999998E-2</v>
      </c>
      <c r="AA210" s="6" cm="1">
        <f t="array" ref="AA210">ROUND($J210*CIS_Base_Salary2324s*VLOOKUP($A210,EnrollData2324,'2324 Jun 24 Enroll'!S$1,FALSE),2)</f>
        <v>4523.22</v>
      </c>
      <c r="AB210" s="6" cm="1">
        <f t="array" ref="AB210">ROUND($J210*CIS_Inc_Salary2324s*(VLOOKUP($A210,EnrollData2324,'2324 Jun 24 Enroll'!T$1,FALSE)+VLOOKUP($A210,EnrollData2324,'2324 Jun 24 Enroll'!U$1,FALSE)),2)-AA210</f>
        <v>251.11999999999989</v>
      </c>
      <c r="AC210" s="6" cm="1">
        <f t="array" ref="AC210">ROUND($R210*CAS_Base_Salary2324s*VLOOKUP($A210,EnrollData2324,'2324 Jun 24 Enroll'!S$1,FALSE),2)</f>
        <v>496.94</v>
      </c>
      <c r="AD210" s="6" cm="1">
        <f t="array" ref="AD210">ROUND($R210*CAS_Inc_Salary2324s*VLOOKUP($A210,EnrollData2324,'2324 Jun 24 Enroll'!T$1,FALSE),2)-AC210</f>
        <v>18.390000000000043</v>
      </c>
      <c r="AE210" s="6" cm="1">
        <f t="array" ref="AE210">ROUND($Z210*CLS_Base_Salary2324s*VLOOKUP($A210,EnrollData2324,'2324 Jun 24 Enroll'!S$1,FALSE),2)</f>
        <v>1037.2</v>
      </c>
      <c r="AF210" s="6" cm="1">
        <f t="array" ref="AF210">ROUND($Z210*CLS_Inc_Salary2324s*VLOOKUP($A210,EnrollData2324,'2324 Jun 24 Enroll'!T$1,FALSE),2)-AE210</f>
        <v>38.369999999999891</v>
      </c>
      <c r="AG210" cm="1">
        <f t="array" ref="AG210">ROUND(($J210+$R210)*Apport_124X2324s,2)</f>
        <v>734.29</v>
      </c>
      <c r="AH210" s="69">
        <f t="shared" si="19"/>
        <v>68.700000000000045</v>
      </c>
      <c r="AI210" cm="1">
        <f t="array" ref="AI210">ROUND($Z210*Apport_124X2324s,2)</f>
        <v>218.54</v>
      </c>
      <c r="AJ210" cm="1">
        <f t="array" ref="AJ210">ROUND($Z210*Apport_621X2324s*Apport_125X2324s,2)-AI210</f>
        <v>116.51000000000002</v>
      </c>
      <c r="AK210" cm="1">
        <f t="array" ref="AK210">ROUND((AA210+AC210)*Apport_126X2324s,2)</f>
        <v>902.12</v>
      </c>
      <c r="AL210" cm="1">
        <f t="array" ref="AL210">ROUND((AB210+AD210)*Apport_127X2324s,2)</f>
        <v>46.71</v>
      </c>
      <c r="AM210" cm="1">
        <f t="array" ref="AM210">ROUND(AE210*Apport_128X2324s,2)</f>
        <v>228.81</v>
      </c>
      <c r="AN210" cm="1">
        <f t="array" ref="AN210">ROUND(AF210*Apport_129X2324s,2)</f>
        <v>7.12</v>
      </c>
      <c r="AO210" cm="1">
        <f t="array" ref="AO210">ROUND(($J210*CIS_Inc_Salary2324s*(VLOOKUP($A210,EnrollData2324,'2324 Jun 24 Enroll'!T$1,FALSE)+VLOOKUP($A210,EnrollData2324,'2324 Jun 24 Enroll'!U$1,FALSE))/Apport_613Xpd)*Apport_614Xpd,2)</f>
        <v>79.569999999999993</v>
      </c>
      <c r="AP210" cm="1">
        <f t="array" ref="AP210">ROUND(AO210*Apport_127X2324s,2)</f>
        <v>13.79</v>
      </c>
      <c r="AQ210">
        <f t="shared" si="20"/>
        <v>30.93</v>
      </c>
      <c r="AR210" s="6" cm="1">
        <f t="array" ref="AR210">ROUND((VLOOKUP($A210,EnrollData2324,'2324 Jun 24 Enroll'!D$1,FALSE)*Apport_M802324s+VLOOKUP($A210,EnrollData2324,'2324 Jun 24 Enroll'!M$1,FALSE)*Apport_M802324s+(VLOOKUP($A210,EnrollData2324,'2324 Jun 24 Enroll'!P$1,FALSE)+VLOOKUP($A210,EnrollData2324,'2324 Jun 24 Enroll'!Q$1,FALSE)+VLOOKUP($A210,EnrollData2324,'2324 Jun 24 Enroll'!R$1,FALSE)+VLOOKUP($A210,EnrollData2324,'2324 Jun 24 Enroll'!I$1,FALSE)+VLOOKUP($A210,EnrollData2324,'2324 Jun 24 Enroll'!N$1,FALSE)+VLOOKUP($A210,EnrollData2324,'2324 Jun 24 Enroll'!O$1,FALSE)+VLOOKUP($A210,EnrollData2324,'2324 Jun 24 Enroll'!K$1,FALSE)+VLOOKUP($A210,EnrollData2324,'2324 Jun 24 Enroll'!L$1,FALSE))*Apport_M812324s)/(VLOOKUP($A210,EnrollData2324,'2324 Jun 24 Enroll'!M$1,FALSE)+VLOOKUP($A210,EnrollData2324,'2324 Jun 24 Enroll'!D$1,FALSE)),2)</f>
        <v>1569.2</v>
      </c>
      <c r="AS210" s="7">
        <f t="shared" si="21"/>
        <v>10381.530000000001</v>
      </c>
    </row>
    <row r="211" spans="1:45">
      <c r="A211" s="40" t="s">
        <v>472</v>
      </c>
      <c r="B211" s="40" t="s">
        <v>473</v>
      </c>
      <c r="C211" s="11">
        <f>ROUND((IFERROR((1/IF(VLOOKUP($A211,EnrollData2324,28,FALSE)='District Calculations'!$D$10,VLOOKUP($A211,EnrollData2324,28,FALSE),'District Calculations'!$D$10))*(1+Apport_Z315),0))+Apport_201A2324s,6)</f>
        <v>7.3449E-2</v>
      </c>
      <c r="D211">
        <f>ROUND(IF(VLOOKUP($A211,EnrollData2324,'2324 Jun 24 Enroll'!D$1,FALSE)='District Calculations'!$D$11,VLOOKUP($A211,EnrollData2324,'2324 Jun 24 Enroll'!D$1,FALSE),'District Calculations'!$D$11)*C211,3)</f>
        <v>0</v>
      </c>
      <c r="E211">
        <f>ROUND(IF(VLOOKUP($A211,EnrollData2324,'2324 Jun 24 Enroll'!E$1,FALSE)='District Calculations'!$D$12,VLOOKUP($A211,EnrollData2324,'2324 Jun 24 Enroll'!E$1,FALSE),'District Calculations'!$D$12)*C211,3)</f>
        <v>59.53</v>
      </c>
      <c r="F211">
        <f>ROUND(IF(VLOOKUP($A211,EnrollData2324,'2324 Jun 24 Enroll'!F$1,FALSE)='District Calculations'!$D$13,VLOOKUP($A211,EnrollData2324,'2324 Jun 24 Enroll'!F$1,FALSE),'District Calculations'!$D$13)*Apport_222A2324s,3)</f>
        <v>10.101000000000001</v>
      </c>
      <c r="G211">
        <f>ROUND(IF(VLOOKUP($A211,EnrollData2324,'2324 Jun 24 Enroll'!G$1,FALSE)='District Calculations'!$D$14,VLOOKUP($A211,EnrollData2324,'2324 Jun 24 Enroll'!G$1,FALSE),'District Calculations'!$D$14)*Apport_210A2324s,3)</f>
        <v>22.395</v>
      </c>
      <c r="H211">
        <f>ROUND(IF(VLOOKUP($A211,EnrollData2324,'2324 Jun 24 Enroll'!H$1,FALSE)='District Calculations'!$D$15,VLOOKUP($A211,EnrollData2324,'2324 Jun 24 Enroll'!H$1,FALSE),'District Calculations'!$D$15)*Apport_213A2324s,3)</f>
        <v>23.091999999999999</v>
      </c>
      <c r="I211">
        <f>ROUND(IF(VLOOKUP($A211,EnrollData2324,'2324 Jun 24 Enroll'!I$1,FALSE)+VLOOKUP($A211,EnrollData2324,'2324 Jun 24 Enroll'!M$1,FALSE)-VLOOKUP($A211,EnrollData2324,'2324 Jun 24 Enroll'!J$1,FALSE)='District Calculations'!$D$16+'District Calculations'!$D$25-'District Calculations'!$D$17,VLOOKUP($A211,EnrollData2324,'2324 Jun 24 Enroll'!I$1,FALSE)+VLOOKUP($A211,EnrollData2324,'2324 Jun 24 Enroll'!M$1,FALSE)-VLOOKUP($A211,EnrollData2324,'2324 Jun 24 Enroll'!J$1,FALSE),'District Calculations'!$D$16+'District Calculations'!$D$25-'District Calculations'!$D$17)*Apport_216A2324s,3)</f>
        <v>58.183999999999997</v>
      </c>
      <c r="J211">
        <f>ROUND(SUM(D211:I211)/(IF(VLOOKUP($A211,EnrollData2324,'2324 Jun 24 Enroll'!M$1,FALSE)='District Calculations'!$D$25,VLOOKUP($A211,EnrollData2324,'2324 Jun 24 Enroll'!M$1,FALSE),'District Calculations'!$D$25)+IF(VLOOKUP($A211,EnrollData2324,'2324 Jun 24 Enroll'!D$1,FALSE)='District Calculations'!$D$11,VLOOKUP($A211,EnrollData2324,'2324 Jun 24 Enroll'!D$1,FALSE),'District Calculations'!$D$11)),5)</f>
        <v>5.5530000000000003E-2</v>
      </c>
      <c r="K211" s="11">
        <f t="shared" si="17"/>
        <v>4.3699999999999998E-3</v>
      </c>
      <c r="L211">
        <f>ROUND(IF(VLOOKUP($A211,EnrollData2324,'2324 Jun 24 Enroll'!D$1,FALSE)='District Calculations'!$D$11,VLOOKUP($A211,EnrollData2324,'2324 Jun 24 Enroll'!D$1,FALSE),'District Calculations'!$D$11)*K211,3)</f>
        <v>0</v>
      </c>
      <c r="M211">
        <f>ROUND(IF(VLOOKUP($A211,EnrollData2324,'2324 Jun 24 Enroll'!E$1,FALSE)='District Calculations'!$D$12,VLOOKUP($A211,EnrollData2324,'2324 Jun 24 Enroll'!E$1,FALSE),'District Calculations'!$D$12)*K211,3)</f>
        <v>3.5419999999999998</v>
      </c>
      <c r="N211">
        <f>ROUND(IF(VLOOKUP($A211,EnrollData2324,'2324 Jun 24 Enroll'!F$1,FALSE)='District Calculations'!$D$13,VLOOKUP($A211,EnrollData2324,'2324 Jun 24 Enroll'!F$1,FALSE),'District Calculations'!$D$13)*Apport_223A2324s,3)</f>
        <v>0.84299999999999997</v>
      </c>
      <c r="O211">
        <f>ROUND(IF(VLOOKUP($A211,EnrollData2324,'2324 Jun 24 Enroll'!G$1,FALSE)='District Calculations'!$D$14,VLOOKUP($A211,EnrollData2324,'2324 Jun 24 Enroll'!G$1,FALSE),'District Calculations'!$D$14)*Apport_211A2324s,3)</f>
        <v>1.87</v>
      </c>
      <c r="P211">
        <f>ROUND(IF(VLOOKUP($A211,EnrollData2324,'2324 Jun 24 Enroll'!H$1,FALSE)='District Calculations'!$D$14,VLOOKUP($A211,EnrollData2324,'2324 Jun 24 Enroll'!H$1,FALSE),'District Calculations'!$D$14)*Apport_214A2324s,3)</f>
        <v>1.8680000000000001</v>
      </c>
      <c r="Q211">
        <f>ROUND(IF(VLOOKUP($A211,EnrollData2324,'2324 Jun 24 Enroll'!I$1,FALSE)+VLOOKUP($A211,EnrollData2324,'2324 Jun 24 Enroll'!M$1,FALSE)-VLOOKUP($A211,EnrollData2324,'2324 Jun 24 Enroll'!J$1,FALSE)='District Calculations'!$D$16+'District Calculations'!$D$25-'District Calculations'!$D$17,VLOOKUP($A211,EnrollData2324,'2324 Jun 24 Enroll'!I$1,FALSE)+VLOOKUP($A211,EnrollData2324,'2324 Jun 24 Enroll'!M$1,FALSE)-VLOOKUP($A211,EnrollData2324,'2324 Jun 24 Enroll'!J$1,FALSE),'District Calculations'!$D$16+'District Calculations'!$D$25-'District Calculations'!$D$17)*Apport_217A2324s,3)</f>
        <v>4.702</v>
      </c>
      <c r="R211">
        <f>ROUND(SUM(L211:Q211)/IF(VLOOKUP($A211,EnrollData2324,'2324 Jun 24 Enroll'!M$1,FALSE)+VLOOKUP($A211,EnrollData2324,'2324 Jun 24 Enroll'!D$1,FALSE)='District Calculations'!$D$25+'District Calculations'!$D$11,VLOOKUP($A211,EnrollData2324,'2324 Jun 24 Enroll'!M$1,FALSE)+VLOOKUP($A211,EnrollData2324,'2324 Jun 24 Enroll'!D$1,FALSE),'District Calculations'!$D$25+'District Calculations'!$D$11),5)</f>
        <v>4.1099999999999999E-3</v>
      </c>
      <c r="S211" s="11">
        <f t="shared" si="18"/>
        <v>1.8689600000000001E-2</v>
      </c>
      <c r="T211">
        <f>ROUND(IF(VLOOKUP($A211,EnrollData2324,'2324 Jun 24 Enroll'!D$1,FALSE)='District Calculations'!$D$11,VLOOKUP($A211,EnrollData2324,'2324 Jun 24 Enroll'!D$1,FALSE),'District Calculations'!$D$11)*S211,3)</f>
        <v>0</v>
      </c>
      <c r="U211">
        <f>ROUND(IF(VLOOKUP($A211,EnrollData2324,'2324 Jun 24 Enroll'!E$1,FALSE)='District Calculations'!$D$12,VLOOKUP($A211,EnrollData2324,'2324 Jun 24 Enroll'!E$1,FALSE),'District Calculations'!$D$12)*S211,3)</f>
        <v>15.148</v>
      </c>
      <c r="V211">
        <f>ROUND(IF(VLOOKUP($A211,EnrollData2324,'2324 Jun 24 Enroll'!F$1,FALSE)='District Calculations'!$D$13,VLOOKUP($A211,EnrollData2324,'2324 Jun 24 Enroll'!F$1,FALSE),'District Calculations'!$D$13)*Apport_224A2324s,3)</f>
        <v>3.7029999999999998</v>
      </c>
      <c r="W211">
        <f>ROUND(IF(VLOOKUP($A211,EnrollData2324,'2324 Jun 24 Enroll'!G$1,FALSE)='District Calculations'!$D$14,VLOOKUP($A211,EnrollData2324,'2324 Jun 24 Enroll'!G$1,FALSE),'District Calculations'!$D$14)*Apport_212A2324s,3)</f>
        <v>8.2089999999999996</v>
      </c>
      <c r="X211">
        <f>ROUND(IF(VLOOKUP($A211,EnrollData2324,'2324 Jun 24 Enroll'!H$1,FALSE)='District Calculations'!$D$14,VLOOKUP($A211,EnrollData2324,'2324 Jun 24 Enroll'!H$1,FALSE),'District Calculations'!$D$14)*Apport_215A2324s,3)</f>
        <v>8.0969999999999995</v>
      </c>
      <c r="Y211">
        <f>ROUND(IF(VLOOKUP($A211,EnrollData2324,'2324 Jun 24 Enroll'!I$1,FALSE)+VLOOKUP($A211,EnrollData2324,'2324 Jun 24 Enroll'!M$1,FALSE)-VLOOKUP($A211,EnrollData2324,'2324 Jun 24 Enroll'!J$1,FALSE)='District Calculations'!$D$16+'District Calculations'!$D$25-'District Calculations'!$D$17,VLOOKUP($A211,EnrollData2324,'2324 Jun 24 Enroll'!I$1,FALSE)+VLOOKUP($A211,EnrollData2324,'2324 Jun 24 Enroll'!M$1,FALSE)-VLOOKUP($A211,EnrollData2324,'2324 Jun 24 Enroll'!J$1,FALSE),'District Calculations'!$D$16+'District Calculations'!$D$25-'District Calculations'!$D$17)*Apport_218A2324s,3)</f>
        <v>20.224</v>
      </c>
      <c r="Z211">
        <f>ROUND(SUM(T211:Y211)/IF(VLOOKUP($A211,EnrollData2324,'2324 Jun 24 Enroll'!M$1,FALSE)+VLOOKUP($A211,EnrollData2324,'2324 Jun 24 Enroll'!D$1,FALSE)='District Calculations'!$D$25+'District Calculations'!$D$11,VLOOKUP($A211,EnrollData2324,'2324 Jun 24 Enroll'!M$1,FALSE)+VLOOKUP($A211,EnrollData2324,'2324 Jun 24 Enroll'!D$1,FALSE),'District Calculations'!$D$25+'District Calculations'!$D$11),5)</f>
        <v>1.7749999999999998E-2</v>
      </c>
      <c r="AA211" s="6" cm="1">
        <f t="array" ref="AA211">ROUND($J211*CIS_Base_Salary2324s*VLOOKUP($A211,EnrollData2324,'2324 Jun 24 Enroll'!S$1,FALSE),2)</f>
        <v>4280.8999999999996</v>
      </c>
      <c r="AB211" s="6" cm="1">
        <f t="array" ref="AB211">ROUND($J211*CIS_Inc_Salary2324s*(VLOOKUP($A211,EnrollData2324,'2324 Jun 24 Enroll'!T$1,FALSE)+VLOOKUP($A211,EnrollData2324,'2324 Jun 24 Enroll'!U$1,FALSE)),2)-AA211</f>
        <v>158.40000000000055</v>
      </c>
      <c r="AC211" s="6" cm="1">
        <f t="array" ref="AC211">ROUND($R211*CAS_Base_Salary2324s*VLOOKUP($A211,EnrollData2324,'2324 Jun 24 Enroll'!S$1,FALSE),2)</f>
        <v>470.32</v>
      </c>
      <c r="AD211" s="6" cm="1">
        <f t="array" ref="AD211">ROUND($R211*CAS_Inc_Salary2324s*VLOOKUP($A211,EnrollData2324,'2324 Jun 24 Enroll'!T$1,FALSE),2)-AC211</f>
        <v>17.400000000000034</v>
      </c>
      <c r="AE211" s="6" cm="1">
        <f t="array" ref="AE211">ROUND($Z211*CLS_Base_Salary2324s*VLOOKUP($A211,EnrollData2324,'2324 Jun 24 Enroll'!S$1,FALSE),2)</f>
        <v>981.63</v>
      </c>
      <c r="AF211" s="6" cm="1">
        <f t="array" ref="AF211">ROUND($Z211*CLS_Inc_Salary2324s*VLOOKUP($A211,EnrollData2324,'2324 Jun 24 Enroll'!T$1,FALSE),2)-AE211</f>
        <v>36.32000000000005</v>
      </c>
      <c r="AG211" cm="1">
        <f t="array" ref="AG211">ROUND(($J211+$R211)*Apport_124X2324s,2)</f>
        <v>734.29</v>
      </c>
      <c r="AH211" s="69">
        <f t="shared" si="19"/>
        <v>68.700000000000045</v>
      </c>
      <c r="AI211" cm="1">
        <f t="array" ref="AI211">ROUND($Z211*Apport_124X2324s,2)</f>
        <v>218.54</v>
      </c>
      <c r="AJ211" cm="1">
        <f t="array" ref="AJ211">ROUND($Z211*Apport_621X2324s*Apport_125X2324s,2)-AI211</f>
        <v>116.51000000000002</v>
      </c>
      <c r="AK211" cm="1">
        <f t="array" ref="AK211">ROUND((AA211+AC211)*Apport_126X2324s,2)</f>
        <v>853.79</v>
      </c>
      <c r="AL211" cm="1">
        <f t="array" ref="AL211">ROUND((AB211+AD211)*Apport_127X2324s,2)</f>
        <v>30.47</v>
      </c>
      <c r="AM211" cm="1">
        <f t="array" ref="AM211">ROUND(AE211*Apport_128X2324s,2)</f>
        <v>216.55</v>
      </c>
      <c r="AN211" cm="1">
        <f t="array" ref="AN211">ROUND(AF211*Apport_129X2324s,2)</f>
        <v>6.74</v>
      </c>
      <c r="AO211" cm="1">
        <f t="array" ref="AO211">ROUND(($J211*CIS_Inc_Salary2324s*(VLOOKUP($A211,EnrollData2324,'2324 Jun 24 Enroll'!T$1,FALSE)+VLOOKUP($A211,EnrollData2324,'2324 Jun 24 Enroll'!U$1,FALSE))/Apport_613Xpd)*Apport_614Xpd,2)</f>
        <v>73.989999999999995</v>
      </c>
      <c r="AP211" cm="1">
        <f t="array" ref="AP211">ROUND(AO211*Apport_127X2324s,2)</f>
        <v>12.82</v>
      </c>
      <c r="AQ211">
        <f t="shared" si="20"/>
        <v>30.93</v>
      </c>
      <c r="AR211" s="6" cm="1">
        <f t="array" ref="AR211">ROUND((VLOOKUP($A211,EnrollData2324,'2324 Jun 24 Enroll'!D$1,FALSE)*Apport_M802324s+VLOOKUP($A211,EnrollData2324,'2324 Jun 24 Enroll'!M$1,FALSE)*Apport_M802324s+(VLOOKUP($A211,EnrollData2324,'2324 Jun 24 Enroll'!P$1,FALSE)+VLOOKUP($A211,EnrollData2324,'2324 Jun 24 Enroll'!Q$1,FALSE)+VLOOKUP($A211,EnrollData2324,'2324 Jun 24 Enroll'!R$1,FALSE)+VLOOKUP($A211,EnrollData2324,'2324 Jun 24 Enroll'!I$1,FALSE)+VLOOKUP($A211,EnrollData2324,'2324 Jun 24 Enroll'!N$1,FALSE)+VLOOKUP($A211,EnrollData2324,'2324 Jun 24 Enroll'!O$1,FALSE)+VLOOKUP($A211,EnrollData2324,'2324 Jun 24 Enroll'!K$1,FALSE)+VLOOKUP($A211,EnrollData2324,'2324 Jun 24 Enroll'!L$1,FALSE))*Apport_M812324s)/(VLOOKUP($A211,EnrollData2324,'2324 Jun 24 Enroll'!M$1,FALSE)+VLOOKUP($A211,EnrollData2324,'2324 Jun 24 Enroll'!D$1,FALSE)),2)</f>
        <v>1566.64</v>
      </c>
      <c r="AS211" s="7">
        <f t="shared" si="21"/>
        <v>9874.9399999999987</v>
      </c>
    </row>
    <row r="212" spans="1:45">
      <c r="A212" s="40" t="s">
        <v>339</v>
      </c>
      <c r="B212" s="40" t="s">
        <v>340</v>
      </c>
      <c r="C212" s="11">
        <f>ROUND((IFERROR((1/IF(VLOOKUP($A212,EnrollData2324,28,FALSE)='District Calculations'!$D$10,VLOOKUP($A212,EnrollData2324,28,FALSE),'District Calculations'!$D$10))*(1+Apport_Z315),0))+Apport_201A2324s,6)</f>
        <v>7.3449E-2</v>
      </c>
      <c r="D212">
        <f>ROUND(IF(VLOOKUP($A212,EnrollData2324,'2324 Jun 24 Enroll'!D$1,FALSE)='District Calculations'!$D$11,VLOOKUP($A212,EnrollData2324,'2324 Jun 24 Enroll'!D$1,FALSE),'District Calculations'!$D$11)*C212,3)</f>
        <v>0</v>
      </c>
      <c r="E212">
        <f>ROUND(IF(VLOOKUP($A212,EnrollData2324,'2324 Jun 24 Enroll'!E$1,FALSE)='District Calculations'!$D$12,VLOOKUP($A212,EnrollData2324,'2324 Jun 24 Enroll'!E$1,FALSE),'District Calculations'!$D$12)*C212,3)</f>
        <v>59.53</v>
      </c>
      <c r="F212">
        <f>ROUND(IF(VLOOKUP($A212,EnrollData2324,'2324 Jun 24 Enroll'!F$1,FALSE)='District Calculations'!$D$13,VLOOKUP($A212,EnrollData2324,'2324 Jun 24 Enroll'!F$1,FALSE),'District Calculations'!$D$13)*Apport_222A2324s,3)</f>
        <v>10.101000000000001</v>
      </c>
      <c r="G212">
        <f>ROUND(IF(VLOOKUP($A212,EnrollData2324,'2324 Jun 24 Enroll'!G$1,FALSE)='District Calculations'!$D$14,VLOOKUP($A212,EnrollData2324,'2324 Jun 24 Enroll'!G$1,FALSE),'District Calculations'!$D$14)*Apport_210A2324s,3)</f>
        <v>22.395</v>
      </c>
      <c r="H212">
        <f>ROUND(IF(VLOOKUP($A212,EnrollData2324,'2324 Jun 24 Enroll'!H$1,FALSE)='District Calculations'!$D$15,VLOOKUP($A212,EnrollData2324,'2324 Jun 24 Enroll'!H$1,FALSE),'District Calculations'!$D$15)*Apport_213A2324s,3)</f>
        <v>23.091999999999999</v>
      </c>
      <c r="I212">
        <f>ROUND(IF(VLOOKUP($A212,EnrollData2324,'2324 Jun 24 Enroll'!I$1,FALSE)+VLOOKUP($A212,EnrollData2324,'2324 Jun 24 Enroll'!M$1,FALSE)-VLOOKUP($A212,EnrollData2324,'2324 Jun 24 Enroll'!J$1,FALSE)='District Calculations'!$D$16+'District Calculations'!$D$25-'District Calculations'!$D$17,VLOOKUP($A212,EnrollData2324,'2324 Jun 24 Enroll'!I$1,FALSE)+VLOOKUP($A212,EnrollData2324,'2324 Jun 24 Enroll'!M$1,FALSE)-VLOOKUP($A212,EnrollData2324,'2324 Jun 24 Enroll'!J$1,FALSE),'District Calculations'!$D$16+'District Calculations'!$D$25-'District Calculations'!$D$17)*Apport_216A2324s,3)</f>
        <v>58.183999999999997</v>
      </c>
      <c r="J212">
        <f>ROUND(SUM(D212:I212)/(IF(VLOOKUP($A212,EnrollData2324,'2324 Jun 24 Enroll'!M$1,FALSE)='District Calculations'!$D$25,VLOOKUP($A212,EnrollData2324,'2324 Jun 24 Enroll'!M$1,FALSE),'District Calculations'!$D$25)+IF(VLOOKUP($A212,EnrollData2324,'2324 Jun 24 Enroll'!D$1,FALSE)='District Calculations'!$D$11,VLOOKUP($A212,EnrollData2324,'2324 Jun 24 Enroll'!D$1,FALSE),'District Calculations'!$D$11)),5)</f>
        <v>5.5530000000000003E-2</v>
      </c>
      <c r="K212" s="11">
        <f t="shared" si="17"/>
        <v>4.3699999999999998E-3</v>
      </c>
      <c r="L212">
        <f>ROUND(IF(VLOOKUP($A212,EnrollData2324,'2324 Jun 24 Enroll'!D$1,FALSE)='District Calculations'!$D$11,VLOOKUP($A212,EnrollData2324,'2324 Jun 24 Enroll'!D$1,FALSE),'District Calculations'!$D$11)*K212,3)</f>
        <v>0</v>
      </c>
      <c r="M212">
        <f>ROUND(IF(VLOOKUP($A212,EnrollData2324,'2324 Jun 24 Enroll'!E$1,FALSE)='District Calculations'!$D$12,VLOOKUP($A212,EnrollData2324,'2324 Jun 24 Enroll'!E$1,FALSE),'District Calculations'!$D$12)*K212,3)</f>
        <v>3.5419999999999998</v>
      </c>
      <c r="N212">
        <f>ROUND(IF(VLOOKUP($A212,EnrollData2324,'2324 Jun 24 Enroll'!F$1,FALSE)='District Calculations'!$D$13,VLOOKUP($A212,EnrollData2324,'2324 Jun 24 Enroll'!F$1,FALSE),'District Calculations'!$D$13)*Apport_223A2324s,3)</f>
        <v>0.84299999999999997</v>
      </c>
      <c r="O212">
        <f>ROUND(IF(VLOOKUP($A212,EnrollData2324,'2324 Jun 24 Enroll'!G$1,FALSE)='District Calculations'!$D$14,VLOOKUP($A212,EnrollData2324,'2324 Jun 24 Enroll'!G$1,FALSE),'District Calculations'!$D$14)*Apport_211A2324s,3)</f>
        <v>1.87</v>
      </c>
      <c r="P212">
        <f>ROUND(IF(VLOOKUP($A212,EnrollData2324,'2324 Jun 24 Enroll'!H$1,FALSE)='District Calculations'!$D$14,VLOOKUP($A212,EnrollData2324,'2324 Jun 24 Enroll'!H$1,FALSE),'District Calculations'!$D$14)*Apport_214A2324s,3)</f>
        <v>1.8680000000000001</v>
      </c>
      <c r="Q212">
        <f>ROUND(IF(VLOOKUP($A212,EnrollData2324,'2324 Jun 24 Enroll'!I$1,FALSE)+VLOOKUP($A212,EnrollData2324,'2324 Jun 24 Enroll'!M$1,FALSE)-VLOOKUP($A212,EnrollData2324,'2324 Jun 24 Enroll'!J$1,FALSE)='District Calculations'!$D$16+'District Calculations'!$D$25-'District Calculations'!$D$17,VLOOKUP($A212,EnrollData2324,'2324 Jun 24 Enroll'!I$1,FALSE)+VLOOKUP($A212,EnrollData2324,'2324 Jun 24 Enroll'!M$1,FALSE)-VLOOKUP($A212,EnrollData2324,'2324 Jun 24 Enroll'!J$1,FALSE),'District Calculations'!$D$16+'District Calculations'!$D$25-'District Calculations'!$D$17)*Apport_217A2324s,3)</f>
        <v>4.702</v>
      </c>
      <c r="R212">
        <f>ROUND(SUM(L212:Q212)/IF(VLOOKUP($A212,EnrollData2324,'2324 Jun 24 Enroll'!M$1,FALSE)+VLOOKUP($A212,EnrollData2324,'2324 Jun 24 Enroll'!D$1,FALSE)='District Calculations'!$D$25+'District Calculations'!$D$11,VLOOKUP($A212,EnrollData2324,'2324 Jun 24 Enroll'!M$1,FALSE)+VLOOKUP($A212,EnrollData2324,'2324 Jun 24 Enroll'!D$1,FALSE),'District Calculations'!$D$25+'District Calculations'!$D$11),5)</f>
        <v>4.1099999999999999E-3</v>
      </c>
      <c r="S212" s="11">
        <f t="shared" si="18"/>
        <v>1.8689600000000001E-2</v>
      </c>
      <c r="T212">
        <f>ROUND(IF(VLOOKUP($A212,EnrollData2324,'2324 Jun 24 Enroll'!D$1,FALSE)='District Calculations'!$D$11,VLOOKUP($A212,EnrollData2324,'2324 Jun 24 Enroll'!D$1,FALSE),'District Calculations'!$D$11)*S212,3)</f>
        <v>0</v>
      </c>
      <c r="U212">
        <f>ROUND(IF(VLOOKUP($A212,EnrollData2324,'2324 Jun 24 Enroll'!E$1,FALSE)='District Calculations'!$D$12,VLOOKUP($A212,EnrollData2324,'2324 Jun 24 Enroll'!E$1,FALSE),'District Calculations'!$D$12)*S212,3)</f>
        <v>15.148</v>
      </c>
      <c r="V212">
        <f>ROUND(IF(VLOOKUP($A212,EnrollData2324,'2324 Jun 24 Enroll'!F$1,FALSE)='District Calculations'!$D$13,VLOOKUP($A212,EnrollData2324,'2324 Jun 24 Enroll'!F$1,FALSE),'District Calculations'!$D$13)*Apport_224A2324s,3)</f>
        <v>3.7029999999999998</v>
      </c>
      <c r="W212">
        <f>ROUND(IF(VLOOKUP($A212,EnrollData2324,'2324 Jun 24 Enroll'!G$1,FALSE)='District Calculations'!$D$14,VLOOKUP($A212,EnrollData2324,'2324 Jun 24 Enroll'!G$1,FALSE),'District Calculations'!$D$14)*Apport_212A2324s,3)</f>
        <v>8.2089999999999996</v>
      </c>
      <c r="X212">
        <f>ROUND(IF(VLOOKUP($A212,EnrollData2324,'2324 Jun 24 Enroll'!H$1,FALSE)='District Calculations'!$D$14,VLOOKUP($A212,EnrollData2324,'2324 Jun 24 Enroll'!H$1,FALSE),'District Calculations'!$D$14)*Apport_215A2324s,3)</f>
        <v>8.0969999999999995</v>
      </c>
      <c r="Y212">
        <f>ROUND(IF(VLOOKUP($A212,EnrollData2324,'2324 Jun 24 Enroll'!I$1,FALSE)+VLOOKUP($A212,EnrollData2324,'2324 Jun 24 Enroll'!M$1,FALSE)-VLOOKUP($A212,EnrollData2324,'2324 Jun 24 Enroll'!J$1,FALSE)='District Calculations'!$D$16+'District Calculations'!$D$25-'District Calculations'!$D$17,VLOOKUP($A212,EnrollData2324,'2324 Jun 24 Enroll'!I$1,FALSE)+VLOOKUP($A212,EnrollData2324,'2324 Jun 24 Enroll'!M$1,FALSE)-VLOOKUP($A212,EnrollData2324,'2324 Jun 24 Enroll'!J$1,FALSE),'District Calculations'!$D$16+'District Calculations'!$D$25-'District Calculations'!$D$17)*Apport_218A2324s,3)</f>
        <v>20.224</v>
      </c>
      <c r="Z212">
        <f>ROUND(SUM(T212:Y212)/IF(VLOOKUP($A212,EnrollData2324,'2324 Jun 24 Enroll'!M$1,FALSE)+VLOOKUP($A212,EnrollData2324,'2324 Jun 24 Enroll'!D$1,FALSE)='District Calculations'!$D$25+'District Calculations'!$D$11,VLOOKUP($A212,EnrollData2324,'2324 Jun 24 Enroll'!M$1,FALSE)+VLOOKUP($A212,EnrollData2324,'2324 Jun 24 Enroll'!D$1,FALSE),'District Calculations'!$D$25+'District Calculations'!$D$11),5)</f>
        <v>1.7749999999999998E-2</v>
      </c>
      <c r="AA212" s="6" cm="1">
        <f t="array" ref="AA212">ROUND($J212*CIS_Base_Salary2324s*VLOOKUP($A212,EnrollData2324,'2324 Jun 24 Enroll'!S$1,FALSE),2)</f>
        <v>4280.8999999999996</v>
      </c>
      <c r="AB212" s="6" cm="1">
        <f t="array" ref="AB212">ROUND($J212*CIS_Inc_Salary2324s*(VLOOKUP($A212,EnrollData2324,'2324 Jun 24 Enroll'!T$1,FALSE)+VLOOKUP($A212,EnrollData2324,'2324 Jun 24 Enroll'!U$1,FALSE)),2)-AA212</f>
        <v>158.40000000000055</v>
      </c>
      <c r="AC212" s="6" cm="1">
        <f t="array" ref="AC212">ROUND($R212*CAS_Base_Salary2324s*VLOOKUP($A212,EnrollData2324,'2324 Jun 24 Enroll'!S$1,FALSE),2)</f>
        <v>470.32</v>
      </c>
      <c r="AD212" s="6" cm="1">
        <f t="array" ref="AD212">ROUND($R212*CAS_Inc_Salary2324s*VLOOKUP($A212,EnrollData2324,'2324 Jun 24 Enroll'!T$1,FALSE),2)-AC212</f>
        <v>17.400000000000034</v>
      </c>
      <c r="AE212" s="6" cm="1">
        <f t="array" ref="AE212">ROUND($Z212*CLS_Base_Salary2324s*VLOOKUP($A212,EnrollData2324,'2324 Jun 24 Enroll'!S$1,FALSE),2)</f>
        <v>981.63</v>
      </c>
      <c r="AF212" s="6" cm="1">
        <f t="array" ref="AF212">ROUND($Z212*CLS_Inc_Salary2324s*VLOOKUP($A212,EnrollData2324,'2324 Jun 24 Enroll'!T$1,FALSE),2)-AE212</f>
        <v>36.32000000000005</v>
      </c>
      <c r="AG212" cm="1">
        <f t="array" ref="AG212">ROUND(($J212+$R212)*Apport_124X2324s,2)</f>
        <v>734.29</v>
      </c>
      <c r="AH212" s="69">
        <f t="shared" si="19"/>
        <v>68.700000000000045</v>
      </c>
      <c r="AI212" cm="1">
        <f t="array" ref="AI212">ROUND($Z212*Apport_124X2324s,2)</f>
        <v>218.54</v>
      </c>
      <c r="AJ212" cm="1">
        <f t="array" ref="AJ212">ROUND($Z212*Apport_621X2324s*Apport_125X2324s,2)-AI212</f>
        <v>116.51000000000002</v>
      </c>
      <c r="AK212" cm="1">
        <f t="array" ref="AK212">ROUND((AA212+AC212)*Apport_126X2324s,2)</f>
        <v>853.79</v>
      </c>
      <c r="AL212" cm="1">
        <f t="array" ref="AL212">ROUND((AB212+AD212)*Apport_127X2324s,2)</f>
        <v>30.47</v>
      </c>
      <c r="AM212" cm="1">
        <f t="array" ref="AM212">ROUND(AE212*Apport_128X2324s,2)</f>
        <v>216.55</v>
      </c>
      <c r="AN212" cm="1">
        <f t="array" ref="AN212">ROUND(AF212*Apport_129X2324s,2)</f>
        <v>6.74</v>
      </c>
      <c r="AO212" cm="1">
        <f t="array" ref="AO212">ROUND(($J212*CIS_Inc_Salary2324s*(VLOOKUP($A212,EnrollData2324,'2324 Jun 24 Enroll'!T$1,FALSE)+VLOOKUP($A212,EnrollData2324,'2324 Jun 24 Enroll'!U$1,FALSE))/Apport_613Xpd)*Apport_614Xpd,2)</f>
        <v>73.989999999999995</v>
      </c>
      <c r="AP212" cm="1">
        <f t="array" ref="AP212">ROUND(AO212*Apport_127X2324s,2)</f>
        <v>12.82</v>
      </c>
      <c r="AQ212">
        <f t="shared" si="20"/>
        <v>30.93</v>
      </c>
      <c r="AR212" s="6" cm="1">
        <f t="array" ref="AR212">ROUND((VLOOKUP($A212,EnrollData2324,'2324 Jun 24 Enroll'!D$1,FALSE)*Apport_M802324s+VLOOKUP($A212,EnrollData2324,'2324 Jun 24 Enroll'!M$1,FALSE)*Apport_M802324s+(VLOOKUP($A212,EnrollData2324,'2324 Jun 24 Enroll'!P$1,FALSE)+VLOOKUP($A212,EnrollData2324,'2324 Jun 24 Enroll'!Q$1,FALSE)+VLOOKUP($A212,EnrollData2324,'2324 Jun 24 Enroll'!R$1,FALSE)+VLOOKUP($A212,EnrollData2324,'2324 Jun 24 Enroll'!I$1,FALSE)+VLOOKUP($A212,EnrollData2324,'2324 Jun 24 Enroll'!N$1,FALSE)+VLOOKUP($A212,EnrollData2324,'2324 Jun 24 Enroll'!O$1,FALSE)+VLOOKUP($A212,EnrollData2324,'2324 Jun 24 Enroll'!K$1,FALSE)+VLOOKUP($A212,EnrollData2324,'2324 Jun 24 Enroll'!L$1,FALSE))*Apport_M812324s)/(VLOOKUP($A212,EnrollData2324,'2324 Jun 24 Enroll'!M$1,FALSE)+VLOOKUP($A212,EnrollData2324,'2324 Jun 24 Enroll'!D$1,FALSE)),2)</f>
        <v>1571.86</v>
      </c>
      <c r="AS212" s="7">
        <f t="shared" si="21"/>
        <v>9880.16</v>
      </c>
    </row>
    <row r="213" spans="1:45">
      <c r="A213" s="40" t="s">
        <v>442</v>
      </c>
      <c r="B213" s="40" t="s">
        <v>443</v>
      </c>
      <c r="C213" s="11">
        <f>ROUND((IFERROR((1/IF(VLOOKUP($A213,EnrollData2324,28,FALSE)='District Calculations'!$D$10,VLOOKUP($A213,EnrollData2324,28,FALSE),'District Calculations'!$D$10))*(1+Apport_Z315),0))+Apport_201A2324s,6)</f>
        <v>7.3449E-2</v>
      </c>
      <c r="D213">
        <f>ROUND(IF(VLOOKUP($A213,EnrollData2324,'2324 Jun 24 Enroll'!D$1,FALSE)='District Calculations'!$D$11,VLOOKUP($A213,EnrollData2324,'2324 Jun 24 Enroll'!D$1,FALSE),'District Calculations'!$D$11)*C213,3)</f>
        <v>0</v>
      </c>
      <c r="E213">
        <f>ROUND(IF(VLOOKUP($A213,EnrollData2324,'2324 Jun 24 Enroll'!E$1,FALSE)='District Calculations'!$D$12,VLOOKUP($A213,EnrollData2324,'2324 Jun 24 Enroll'!E$1,FALSE),'District Calculations'!$D$12)*C213,3)</f>
        <v>59.53</v>
      </c>
      <c r="F213">
        <f>ROUND(IF(VLOOKUP($A213,EnrollData2324,'2324 Jun 24 Enroll'!F$1,FALSE)='District Calculations'!$D$13,VLOOKUP($A213,EnrollData2324,'2324 Jun 24 Enroll'!F$1,FALSE),'District Calculations'!$D$13)*Apport_222A2324s,3)</f>
        <v>10.101000000000001</v>
      </c>
      <c r="G213">
        <f>ROUND(IF(VLOOKUP($A213,EnrollData2324,'2324 Jun 24 Enroll'!G$1,FALSE)='District Calculations'!$D$14,VLOOKUP($A213,EnrollData2324,'2324 Jun 24 Enroll'!G$1,FALSE),'District Calculations'!$D$14)*Apport_210A2324s,3)</f>
        <v>22.395</v>
      </c>
      <c r="H213">
        <f>ROUND(IF(VLOOKUP($A213,EnrollData2324,'2324 Jun 24 Enroll'!H$1,FALSE)='District Calculations'!$D$15,VLOOKUP($A213,EnrollData2324,'2324 Jun 24 Enroll'!H$1,FALSE),'District Calculations'!$D$15)*Apport_213A2324s,3)</f>
        <v>23.091999999999999</v>
      </c>
      <c r="I213">
        <f>ROUND(IF(VLOOKUP($A213,EnrollData2324,'2324 Jun 24 Enroll'!I$1,FALSE)+VLOOKUP($A213,EnrollData2324,'2324 Jun 24 Enroll'!M$1,FALSE)-VLOOKUP($A213,EnrollData2324,'2324 Jun 24 Enroll'!J$1,FALSE)='District Calculations'!$D$16+'District Calculations'!$D$25-'District Calculations'!$D$17,VLOOKUP($A213,EnrollData2324,'2324 Jun 24 Enroll'!I$1,FALSE)+VLOOKUP($A213,EnrollData2324,'2324 Jun 24 Enroll'!M$1,FALSE)-VLOOKUP($A213,EnrollData2324,'2324 Jun 24 Enroll'!J$1,FALSE),'District Calculations'!$D$16+'District Calculations'!$D$25-'District Calculations'!$D$17)*Apport_216A2324s,3)</f>
        <v>58.183999999999997</v>
      </c>
      <c r="J213">
        <f>ROUND(SUM(D213:I213)/(IF(VLOOKUP($A213,EnrollData2324,'2324 Jun 24 Enroll'!M$1,FALSE)='District Calculations'!$D$25,VLOOKUP($A213,EnrollData2324,'2324 Jun 24 Enroll'!M$1,FALSE),'District Calculations'!$D$25)+IF(VLOOKUP($A213,EnrollData2324,'2324 Jun 24 Enroll'!D$1,FALSE)='District Calculations'!$D$11,VLOOKUP($A213,EnrollData2324,'2324 Jun 24 Enroll'!D$1,FALSE),'District Calculations'!$D$11)),5)</f>
        <v>5.5530000000000003E-2</v>
      </c>
      <c r="K213" s="11">
        <f t="shared" si="17"/>
        <v>4.3699999999999998E-3</v>
      </c>
      <c r="L213">
        <f>ROUND(IF(VLOOKUP($A213,EnrollData2324,'2324 Jun 24 Enroll'!D$1,FALSE)='District Calculations'!$D$11,VLOOKUP($A213,EnrollData2324,'2324 Jun 24 Enroll'!D$1,FALSE),'District Calculations'!$D$11)*K213,3)</f>
        <v>0</v>
      </c>
      <c r="M213">
        <f>ROUND(IF(VLOOKUP($A213,EnrollData2324,'2324 Jun 24 Enroll'!E$1,FALSE)='District Calculations'!$D$12,VLOOKUP($A213,EnrollData2324,'2324 Jun 24 Enroll'!E$1,FALSE),'District Calculations'!$D$12)*K213,3)</f>
        <v>3.5419999999999998</v>
      </c>
      <c r="N213">
        <f>ROUND(IF(VLOOKUP($A213,EnrollData2324,'2324 Jun 24 Enroll'!F$1,FALSE)='District Calculations'!$D$13,VLOOKUP($A213,EnrollData2324,'2324 Jun 24 Enroll'!F$1,FALSE),'District Calculations'!$D$13)*Apport_223A2324s,3)</f>
        <v>0.84299999999999997</v>
      </c>
      <c r="O213">
        <f>ROUND(IF(VLOOKUP($A213,EnrollData2324,'2324 Jun 24 Enroll'!G$1,FALSE)='District Calculations'!$D$14,VLOOKUP($A213,EnrollData2324,'2324 Jun 24 Enroll'!G$1,FALSE),'District Calculations'!$D$14)*Apport_211A2324s,3)</f>
        <v>1.87</v>
      </c>
      <c r="P213">
        <f>ROUND(IF(VLOOKUP($A213,EnrollData2324,'2324 Jun 24 Enroll'!H$1,FALSE)='District Calculations'!$D$14,VLOOKUP($A213,EnrollData2324,'2324 Jun 24 Enroll'!H$1,FALSE),'District Calculations'!$D$14)*Apport_214A2324s,3)</f>
        <v>1.8680000000000001</v>
      </c>
      <c r="Q213">
        <f>ROUND(IF(VLOOKUP($A213,EnrollData2324,'2324 Jun 24 Enroll'!I$1,FALSE)+VLOOKUP($A213,EnrollData2324,'2324 Jun 24 Enroll'!M$1,FALSE)-VLOOKUP($A213,EnrollData2324,'2324 Jun 24 Enroll'!J$1,FALSE)='District Calculations'!$D$16+'District Calculations'!$D$25-'District Calculations'!$D$17,VLOOKUP($A213,EnrollData2324,'2324 Jun 24 Enroll'!I$1,FALSE)+VLOOKUP($A213,EnrollData2324,'2324 Jun 24 Enroll'!M$1,FALSE)-VLOOKUP($A213,EnrollData2324,'2324 Jun 24 Enroll'!J$1,FALSE),'District Calculations'!$D$16+'District Calculations'!$D$25-'District Calculations'!$D$17)*Apport_217A2324s,3)</f>
        <v>4.702</v>
      </c>
      <c r="R213">
        <f>ROUND(SUM(L213:Q213)/IF(VLOOKUP($A213,EnrollData2324,'2324 Jun 24 Enroll'!M$1,FALSE)+VLOOKUP($A213,EnrollData2324,'2324 Jun 24 Enroll'!D$1,FALSE)='District Calculations'!$D$25+'District Calculations'!$D$11,VLOOKUP($A213,EnrollData2324,'2324 Jun 24 Enroll'!M$1,FALSE)+VLOOKUP($A213,EnrollData2324,'2324 Jun 24 Enroll'!D$1,FALSE),'District Calculations'!$D$25+'District Calculations'!$D$11),5)</f>
        <v>4.1099999999999999E-3</v>
      </c>
      <c r="S213" s="11">
        <f t="shared" si="18"/>
        <v>1.8689600000000001E-2</v>
      </c>
      <c r="T213">
        <f>ROUND(IF(VLOOKUP($A213,EnrollData2324,'2324 Jun 24 Enroll'!D$1,FALSE)='District Calculations'!$D$11,VLOOKUP($A213,EnrollData2324,'2324 Jun 24 Enroll'!D$1,FALSE),'District Calculations'!$D$11)*S213,3)</f>
        <v>0</v>
      </c>
      <c r="U213">
        <f>ROUND(IF(VLOOKUP($A213,EnrollData2324,'2324 Jun 24 Enroll'!E$1,FALSE)='District Calculations'!$D$12,VLOOKUP($A213,EnrollData2324,'2324 Jun 24 Enroll'!E$1,FALSE),'District Calculations'!$D$12)*S213,3)</f>
        <v>15.148</v>
      </c>
      <c r="V213">
        <f>ROUND(IF(VLOOKUP($A213,EnrollData2324,'2324 Jun 24 Enroll'!F$1,FALSE)='District Calculations'!$D$13,VLOOKUP($A213,EnrollData2324,'2324 Jun 24 Enroll'!F$1,FALSE),'District Calculations'!$D$13)*Apport_224A2324s,3)</f>
        <v>3.7029999999999998</v>
      </c>
      <c r="W213">
        <f>ROUND(IF(VLOOKUP($A213,EnrollData2324,'2324 Jun 24 Enroll'!G$1,FALSE)='District Calculations'!$D$14,VLOOKUP($A213,EnrollData2324,'2324 Jun 24 Enroll'!G$1,FALSE),'District Calculations'!$D$14)*Apport_212A2324s,3)</f>
        <v>8.2089999999999996</v>
      </c>
      <c r="X213">
        <f>ROUND(IF(VLOOKUP($A213,EnrollData2324,'2324 Jun 24 Enroll'!H$1,FALSE)='District Calculations'!$D$14,VLOOKUP($A213,EnrollData2324,'2324 Jun 24 Enroll'!H$1,FALSE),'District Calculations'!$D$14)*Apport_215A2324s,3)</f>
        <v>8.0969999999999995</v>
      </c>
      <c r="Y213">
        <f>ROUND(IF(VLOOKUP($A213,EnrollData2324,'2324 Jun 24 Enroll'!I$1,FALSE)+VLOOKUP($A213,EnrollData2324,'2324 Jun 24 Enroll'!M$1,FALSE)-VLOOKUP($A213,EnrollData2324,'2324 Jun 24 Enroll'!J$1,FALSE)='District Calculations'!$D$16+'District Calculations'!$D$25-'District Calculations'!$D$17,VLOOKUP($A213,EnrollData2324,'2324 Jun 24 Enroll'!I$1,FALSE)+VLOOKUP($A213,EnrollData2324,'2324 Jun 24 Enroll'!M$1,FALSE)-VLOOKUP($A213,EnrollData2324,'2324 Jun 24 Enroll'!J$1,FALSE),'District Calculations'!$D$16+'District Calculations'!$D$25-'District Calculations'!$D$17)*Apport_218A2324s,3)</f>
        <v>20.224</v>
      </c>
      <c r="Z213">
        <f>ROUND(SUM(T213:Y213)/IF(VLOOKUP($A213,EnrollData2324,'2324 Jun 24 Enroll'!M$1,FALSE)+VLOOKUP($A213,EnrollData2324,'2324 Jun 24 Enroll'!D$1,FALSE)='District Calculations'!$D$25+'District Calculations'!$D$11,VLOOKUP($A213,EnrollData2324,'2324 Jun 24 Enroll'!M$1,FALSE)+VLOOKUP($A213,EnrollData2324,'2324 Jun 24 Enroll'!D$1,FALSE),'District Calculations'!$D$25+'District Calculations'!$D$11),5)</f>
        <v>1.7749999999999998E-2</v>
      </c>
      <c r="AA213" s="6" cm="1">
        <f t="array" ref="AA213">ROUND($J213*CIS_Base_Salary2324s*VLOOKUP($A213,EnrollData2324,'2324 Jun 24 Enroll'!S$1,FALSE),2)</f>
        <v>4038.59</v>
      </c>
      <c r="AB213" s="6" cm="1">
        <f t="array" ref="AB213">ROUND($J213*CIS_Inc_Salary2324s*(VLOOKUP($A213,EnrollData2324,'2324 Jun 24 Enroll'!T$1,FALSE)+VLOOKUP($A213,EnrollData2324,'2324 Jun 24 Enroll'!U$1,FALSE)),2)-AA213</f>
        <v>149.43000000000029</v>
      </c>
      <c r="AC213" s="6" cm="1">
        <f t="array" ref="AC213">ROUND($R213*CAS_Base_Salary2324s*VLOOKUP($A213,EnrollData2324,'2324 Jun 24 Enroll'!S$1,FALSE),2)</f>
        <v>443.7</v>
      </c>
      <c r="AD213" s="6" cm="1">
        <f t="array" ref="AD213">ROUND($R213*CAS_Inc_Salary2324s*VLOOKUP($A213,EnrollData2324,'2324 Jun 24 Enroll'!T$1,FALSE),2)-AC213</f>
        <v>16.410000000000025</v>
      </c>
      <c r="AE213" s="6" cm="1">
        <f t="array" ref="AE213">ROUND($Z213*CLS_Base_Salary2324s*VLOOKUP($A213,EnrollData2324,'2324 Jun 24 Enroll'!S$1,FALSE),2)</f>
        <v>926.07</v>
      </c>
      <c r="AF213" s="6" cm="1">
        <f t="array" ref="AF213">ROUND($Z213*CLS_Inc_Salary2324s*VLOOKUP($A213,EnrollData2324,'2324 Jun 24 Enroll'!T$1,FALSE),2)-AE213</f>
        <v>34.259999999999991</v>
      </c>
      <c r="AG213" cm="1">
        <f t="array" ref="AG213">ROUND(($J213+$R213)*Apport_124X2324s,2)</f>
        <v>734.29</v>
      </c>
      <c r="AH213" s="69">
        <f t="shared" si="19"/>
        <v>68.700000000000045</v>
      </c>
      <c r="AI213" cm="1">
        <f t="array" ref="AI213">ROUND($Z213*Apport_124X2324s,2)</f>
        <v>218.54</v>
      </c>
      <c r="AJ213" cm="1">
        <f t="array" ref="AJ213">ROUND($Z213*Apport_621X2324s*Apport_125X2324s,2)-AI213</f>
        <v>116.51000000000002</v>
      </c>
      <c r="AK213" cm="1">
        <f t="array" ref="AK213">ROUND((AA213+AC213)*Apport_126X2324s,2)</f>
        <v>805.47</v>
      </c>
      <c r="AL213" cm="1">
        <f t="array" ref="AL213">ROUND((AB213+AD213)*Apport_127X2324s,2)</f>
        <v>28.74</v>
      </c>
      <c r="AM213" cm="1">
        <f t="array" ref="AM213">ROUND(AE213*Apport_128X2324s,2)</f>
        <v>204.29</v>
      </c>
      <c r="AN213" cm="1">
        <f t="array" ref="AN213">ROUND(AF213*Apport_129X2324s,2)</f>
        <v>6.36</v>
      </c>
      <c r="AO213" cm="1">
        <f t="array" ref="AO213">ROUND(($J213*CIS_Inc_Salary2324s*(VLOOKUP($A213,EnrollData2324,'2324 Jun 24 Enroll'!T$1,FALSE)+VLOOKUP($A213,EnrollData2324,'2324 Jun 24 Enroll'!U$1,FALSE))/Apport_613Xpd)*Apport_614Xpd,2)</f>
        <v>69.8</v>
      </c>
      <c r="AP213" cm="1">
        <f t="array" ref="AP213">ROUND(AO213*Apport_127X2324s,2)</f>
        <v>12.1</v>
      </c>
      <c r="AQ213">
        <f t="shared" si="20"/>
        <v>30.93</v>
      </c>
      <c r="AR213" s="6" cm="1">
        <f t="array" ref="AR213">ROUND((VLOOKUP($A213,EnrollData2324,'2324 Jun 24 Enroll'!D$1,FALSE)*Apport_M802324s+VLOOKUP($A213,EnrollData2324,'2324 Jun 24 Enroll'!M$1,FALSE)*Apport_M802324s+(VLOOKUP($A213,EnrollData2324,'2324 Jun 24 Enroll'!P$1,FALSE)+VLOOKUP($A213,EnrollData2324,'2324 Jun 24 Enroll'!Q$1,FALSE)+VLOOKUP($A213,EnrollData2324,'2324 Jun 24 Enroll'!R$1,FALSE)+VLOOKUP($A213,EnrollData2324,'2324 Jun 24 Enroll'!I$1,FALSE)+VLOOKUP($A213,EnrollData2324,'2324 Jun 24 Enroll'!N$1,FALSE)+VLOOKUP($A213,EnrollData2324,'2324 Jun 24 Enroll'!O$1,FALSE)+VLOOKUP($A213,EnrollData2324,'2324 Jun 24 Enroll'!K$1,FALSE)+VLOOKUP($A213,EnrollData2324,'2324 Jun 24 Enroll'!L$1,FALSE))*Apport_M812324s)/(VLOOKUP($A213,EnrollData2324,'2324 Jun 24 Enroll'!M$1,FALSE)+VLOOKUP($A213,EnrollData2324,'2324 Jun 24 Enroll'!D$1,FALSE)),2)</f>
        <v>1569.01</v>
      </c>
      <c r="AS213" s="7">
        <f t="shared" si="21"/>
        <v>9473.2000000000007</v>
      </c>
    </row>
    <row r="214" spans="1:45">
      <c r="A214" s="40" t="s">
        <v>873</v>
      </c>
      <c r="B214" s="40" t="s">
        <v>874</v>
      </c>
      <c r="C214" s="11">
        <f>ROUND((IFERROR((1/IF(VLOOKUP($A214,EnrollData2324,28,FALSE)='District Calculations'!$D$10,VLOOKUP($A214,EnrollData2324,28,FALSE),'District Calculations'!$D$10))*(1+Apport_Z315),0))+Apport_201A2324s,6)</f>
        <v>7.3449E-2</v>
      </c>
      <c r="D214">
        <f>ROUND(IF(VLOOKUP($A214,EnrollData2324,'2324 Jun 24 Enroll'!D$1,FALSE)='District Calculations'!$D$11,VLOOKUP($A214,EnrollData2324,'2324 Jun 24 Enroll'!D$1,FALSE),'District Calculations'!$D$11)*C214,3)</f>
        <v>0</v>
      </c>
      <c r="E214">
        <f>ROUND(IF(VLOOKUP($A214,EnrollData2324,'2324 Jun 24 Enroll'!E$1,FALSE)='District Calculations'!$D$12,VLOOKUP($A214,EnrollData2324,'2324 Jun 24 Enroll'!E$1,FALSE),'District Calculations'!$D$12)*C214,3)</f>
        <v>59.53</v>
      </c>
      <c r="F214">
        <f>ROUND(IF(VLOOKUP($A214,EnrollData2324,'2324 Jun 24 Enroll'!F$1,FALSE)='District Calculations'!$D$13,VLOOKUP($A214,EnrollData2324,'2324 Jun 24 Enroll'!F$1,FALSE),'District Calculations'!$D$13)*Apport_222A2324s,3)</f>
        <v>10.101000000000001</v>
      </c>
      <c r="G214">
        <f>ROUND(IF(VLOOKUP($A214,EnrollData2324,'2324 Jun 24 Enroll'!G$1,FALSE)='District Calculations'!$D$14,VLOOKUP($A214,EnrollData2324,'2324 Jun 24 Enroll'!G$1,FALSE),'District Calculations'!$D$14)*Apport_210A2324s,3)</f>
        <v>22.395</v>
      </c>
      <c r="H214">
        <f>ROUND(IF(VLOOKUP($A214,EnrollData2324,'2324 Jun 24 Enroll'!H$1,FALSE)='District Calculations'!$D$15,VLOOKUP($A214,EnrollData2324,'2324 Jun 24 Enroll'!H$1,FALSE),'District Calculations'!$D$15)*Apport_213A2324s,3)</f>
        <v>23.091999999999999</v>
      </c>
      <c r="I214">
        <f>ROUND(IF(VLOOKUP($A214,EnrollData2324,'2324 Jun 24 Enroll'!I$1,FALSE)+VLOOKUP($A214,EnrollData2324,'2324 Jun 24 Enroll'!M$1,FALSE)-VLOOKUP($A214,EnrollData2324,'2324 Jun 24 Enroll'!J$1,FALSE)='District Calculations'!$D$16+'District Calculations'!$D$25-'District Calculations'!$D$17,VLOOKUP($A214,EnrollData2324,'2324 Jun 24 Enroll'!I$1,FALSE)+VLOOKUP($A214,EnrollData2324,'2324 Jun 24 Enroll'!M$1,FALSE)-VLOOKUP($A214,EnrollData2324,'2324 Jun 24 Enroll'!J$1,FALSE),'District Calculations'!$D$16+'District Calculations'!$D$25-'District Calculations'!$D$17)*Apport_216A2324s,3)</f>
        <v>58.183999999999997</v>
      </c>
      <c r="J214">
        <f>ROUND(SUM(D214:I214)/(IF(VLOOKUP($A214,EnrollData2324,'2324 Jun 24 Enroll'!M$1,FALSE)='District Calculations'!$D$25,VLOOKUP($A214,EnrollData2324,'2324 Jun 24 Enroll'!M$1,FALSE),'District Calculations'!$D$25)+IF(VLOOKUP($A214,EnrollData2324,'2324 Jun 24 Enroll'!D$1,FALSE)='District Calculations'!$D$11,VLOOKUP($A214,EnrollData2324,'2324 Jun 24 Enroll'!D$1,FALSE),'District Calculations'!$D$11)),5)</f>
        <v>5.5530000000000003E-2</v>
      </c>
      <c r="K214" s="11">
        <f t="shared" si="17"/>
        <v>4.3699999999999998E-3</v>
      </c>
      <c r="L214">
        <f>ROUND(IF(VLOOKUP($A214,EnrollData2324,'2324 Jun 24 Enroll'!D$1,FALSE)='District Calculations'!$D$11,VLOOKUP($A214,EnrollData2324,'2324 Jun 24 Enroll'!D$1,FALSE),'District Calculations'!$D$11)*K214,3)</f>
        <v>0</v>
      </c>
      <c r="M214">
        <f>ROUND(IF(VLOOKUP($A214,EnrollData2324,'2324 Jun 24 Enroll'!E$1,FALSE)='District Calculations'!$D$12,VLOOKUP($A214,EnrollData2324,'2324 Jun 24 Enroll'!E$1,FALSE),'District Calculations'!$D$12)*K214,3)</f>
        <v>3.5419999999999998</v>
      </c>
      <c r="N214">
        <f>ROUND(IF(VLOOKUP($A214,EnrollData2324,'2324 Jun 24 Enroll'!F$1,FALSE)='District Calculations'!$D$13,VLOOKUP($A214,EnrollData2324,'2324 Jun 24 Enroll'!F$1,FALSE),'District Calculations'!$D$13)*Apport_223A2324s,3)</f>
        <v>0.84299999999999997</v>
      </c>
      <c r="O214">
        <f>ROUND(IF(VLOOKUP($A214,EnrollData2324,'2324 Jun 24 Enroll'!G$1,FALSE)='District Calculations'!$D$14,VLOOKUP($A214,EnrollData2324,'2324 Jun 24 Enroll'!G$1,FALSE),'District Calculations'!$D$14)*Apport_211A2324s,3)</f>
        <v>1.87</v>
      </c>
      <c r="P214">
        <f>ROUND(IF(VLOOKUP($A214,EnrollData2324,'2324 Jun 24 Enroll'!H$1,FALSE)='District Calculations'!$D$14,VLOOKUP($A214,EnrollData2324,'2324 Jun 24 Enroll'!H$1,FALSE),'District Calculations'!$D$14)*Apport_214A2324s,3)</f>
        <v>1.8680000000000001</v>
      </c>
      <c r="Q214">
        <f>ROUND(IF(VLOOKUP($A214,EnrollData2324,'2324 Jun 24 Enroll'!I$1,FALSE)+VLOOKUP($A214,EnrollData2324,'2324 Jun 24 Enroll'!M$1,FALSE)-VLOOKUP($A214,EnrollData2324,'2324 Jun 24 Enroll'!J$1,FALSE)='District Calculations'!$D$16+'District Calculations'!$D$25-'District Calculations'!$D$17,VLOOKUP($A214,EnrollData2324,'2324 Jun 24 Enroll'!I$1,FALSE)+VLOOKUP($A214,EnrollData2324,'2324 Jun 24 Enroll'!M$1,FALSE)-VLOOKUP($A214,EnrollData2324,'2324 Jun 24 Enroll'!J$1,FALSE),'District Calculations'!$D$16+'District Calculations'!$D$25-'District Calculations'!$D$17)*Apport_217A2324s,3)</f>
        <v>4.702</v>
      </c>
      <c r="R214">
        <f>ROUND(SUM(L214:Q214)/IF(VLOOKUP($A214,EnrollData2324,'2324 Jun 24 Enroll'!M$1,FALSE)+VLOOKUP($A214,EnrollData2324,'2324 Jun 24 Enroll'!D$1,FALSE)='District Calculations'!$D$25+'District Calculations'!$D$11,VLOOKUP($A214,EnrollData2324,'2324 Jun 24 Enroll'!M$1,FALSE)+VLOOKUP($A214,EnrollData2324,'2324 Jun 24 Enroll'!D$1,FALSE),'District Calculations'!$D$25+'District Calculations'!$D$11),5)</f>
        <v>4.1099999999999999E-3</v>
      </c>
      <c r="S214" s="11">
        <f t="shared" si="18"/>
        <v>1.8689600000000001E-2</v>
      </c>
      <c r="T214">
        <f>ROUND(IF(VLOOKUP($A214,EnrollData2324,'2324 Jun 24 Enroll'!D$1,FALSE)='District Calculations'!$D$11,VLOOKUP($A214,EnrollData2324,'2324 Jun 24 Enroll'!D$1,FALSE),'District Calculations'!$D$11)*S214,3)</f>
        <v>0</v>
      </c>
      <c r="U214">
        <f>ROUND(IF(VLOOKUP($A214,EnrollData2324,'2324 Jun 24 Enroll'!E$1,FALSE)='District Calculations'!$D$12,VLOOKUP($A214,EnrollData2324,'2324 Jun 24 Enroll'!E$1,FALSE),'District Calculations'!$D$12)*S214,3)</f>
        <v>15.148</v>
      </c>
      <c r="V214">
        <f>ROUND(IF(VLOOKUP($A214,EnrollData2324,'2324 Jun 24 Enroll'!F$1,FALSE)='District Calculations'!$D$13,VLOOKUP($A214,EnrollData2324,'2324 Jun 24 Enroll'!F$1,FALSE),'District Calculations'!$D$13)*Apport_224A2324s,3)</f>
        <v>3.7029999999999998</v>
      </c>
      <c r="W214">
        <f>ROUND(IF(VLOOKUP($A214,EnrollData2324,'2324 Jun 24 Enroll'!G$1,FALSE)='District Calculations'!$D$14,VLOOKUP($A214,EnrollData2324,'2324 Jun 24 Enroll'!G$1,FALSE),'District Calculations'!$D$14)*Apport_212A2324s,3)</f>
        <v>8.2089999999999996</v>
      </c>
      <c r="X214">
        <f>ROUND(IF(VLOOKUP($A214,EnrollData2324,'2324 Jun 24 Enroll'!H$1,FALSE)='District Calculations'!$D$14,VLOOKUP($A214,EnrollData2324,'2324 Jun 24 Enroll'!H$1,FALSE),'District Calculations'!$D$14)*Apport_215A2324s,3)</f>
        <v>8.0969999999999995</v>
      </c>
      <c r="Y214">
        <f>ROUND(IF(VLOOKUP($A214,EnrollData2324,'2324 Jun 24 Enroll'!I$1,FALSE)+VLOOKUP($A214,EnrollData2324,'2324 Jun 24 Enroll'!M$1,FALSE)-VLOOKUP($A214,EnrollData2324,'2324 Jun 24 Enroll'!J$1,FALSE)='District Calculations'!$D$16+'District Calculations'!$D$25-'District Calculations'!$D$17,VLOOKUP($A214,EnrollData2324,'2324 Jun 24 Enroll'!I$1,FALSE)+VLOOKUP($A214,EnrollData2324,'2324 Jun 24 Enroll'!M$1,FALSE)-VLOOKUP($A214,EnrollData2324,'2324 Jun 24 Enroll'!J$1,FALSE),'District Calculations'!$D$16+'District Calculations'!$D$25-'District Calculations'!$D$17)*Apport_218A2324s,3)</f>
        <v>20.224</v>
      </c>
      <c r="Z214">
        <f>ROUND(SUM(T214:Y214)/IF(VLOOKUP($A214,EnrollData2324,'2324 Jun 24 Enroll'!M$1,FALSE)+VLOOKUP($A214,EnrollData2324,'2324 Jun 24 Enroll'!D$1,FALSE)='District Calculations'!$D$25+'District Calculations'!$D$11,VLOOKUP($A214,EnrollData2324,'2324 Jun 24 Enroll'!M$1,FALSE)+VLOOKUP($A214,EnrollData2324,'2324 Jun 24 Enroll'!D$1,FALSE),'District Calculations'!$D$25+'District Calculations'!$D$11),5)</f>
        <v>1.7749999999999998E-2</v>
      </c>
      <c r="AA214" s="6" cm="1">
        <f t="array" ref="AA214">ROUND($J214*CIS_Base_Salary2324s*VLOOKUP($A214,EnrollData2324,'2324 Jun 24 Enroll'!S$1,FALSE),2)</f>
        <v>4280.8999999999996</v>
      </c>
      <c r="AB214" s="6" cm="1">
        <f t="array" ref="AB214">ROUND($J214*CIS_Inc_Salary2324s*(VLOOKUP($A214,EnrollData2324,'2324 Jun 24 Enroll'!T$1,FALSE)+VLOOKUP($A214,EnrollData2324,'2324 Jun 24 Enroll'!U$1,FALSE)),2)-AA214</f>
        <v>158.40000000000055</v>
      </c>
      <c r="AC214" s="6" cm="1">
        <f t="array" ref="AC214">ROUND($R214*CAS_Base_Salary2324s*VLOOKUP($A214,EnrollData2324,'2324 Jun 24 Enroll'!S$1,FALSE),2)</f>
        <v>470.32</v>
      </c>
      <c r="AD214" s="6" cm="1">
        <f t="array" ref="AD214">ROUND($R214*CAS_Inc_Salary2324s*VLOOKUP($A214,EnrollData2324,'2324 Jun 24 Enroll'!T$1,FALSE),2)-AC214</f>
        <v>17.400000000000034</v>
      </c>
      <c r="AE214" s="6" cm="1">
        <f t="array" ref="AE214">ROUND($Z214*CLS_Base_Salary2324s*VLOOKUP($A214,EnrollData2324,'2324 Jun 24 Enroll'!S$1,FALSE),2)</f>
        <v>981.63</v>
      </c>
      <c r="AF214" s="6" cm="1">
        <f t="array" ref="AF214">ROUND($Z214*CLS_Inc_Salary2324s*VLOOKUP($A214,EnrollData2324,'2324 Jun 24 Enroll'!T$1,FALSE),2)-AE214</f>
        <v>36.32000000000005</v>
      </c>
      <c r="AG214" cm="1">
        <f t="array" ref="AG214">ROUND(($J214+$R214)*Apport_124X2324s,2)</f>
        <v>734.29</v>
      </c>
      <c r="AH214" s="69">
        <f t="shared" si="19"/>
        <v>68.700000000000045</v>
      </c>
      <c r="AI214" cm="1">
        <f t="array" ref="AI214">ROUND($Z214*Apport_124X2324s,2)</f>
        <v>218.54</v>
      </c>
      <c r="AJ214" cm="1">
        <f t="array" ref="AJ214">ROUND($Z214*Apport_621X2324s*Apport_125X2324s,2)-AI214</f>
        <v>116.51000000000002</v>
      </c>
      <c r="AK214" cm="1">
        <f t="array" ref="AK214">ROUND((AA214+AC214)*Apport_126X2324s,2)</f>
        <v>853.79</v>
      </c>
      <c r="AL214" cm="1">
        <f t="array" ref="AL214">ROUND((AB214+AD214)*Apport_127X2324s,2)</f>
        <v>30.47</v>
      </c>
      <c r="AM214" cm="1">
        <f t="array" ref="AM214">ROUND(AE214*Apport_128X2324s,2)</f>
        <v>216.55</v>
      </c>
      <c r="AN214" cm="1">
        <f t="array" ref="AN214">ROUND(AF214*Apport_129X2324s,2)</f>
        <v>6.74</v>
      </c>
      <c r="AO214" cm="1">
        <f t="array" ref="AO214">ROUND(($J214*CIS_Inc_Salary2324s*(VLOOKUP($A214,EnrollData2324,'2324 Jun 24 Enroll'!T$1,FALSE)+VLOOKUP($A214,EnrollData2324,'2324 Jun 24 Enroll'!U$1,FALSE))/Apport_613Xpd)*Apport_614Xpd,2)</f>
        <v>73.989999999999995</v>
      </c>
      <c r="AP214" cm="1">
        <f t="array" ref="AP214">ROUND(AO214*Apport_127X2324s,2)</f>
        <v>12.82</v>
      </c>
      <c r="AQ214">
        <f t="shared" si="20"/>
        <v>30.93</v>
      </c>
      <c r="AR214" s="6" cm="1">
        <f t="array" ref="AR214">ROUND((VLOOKUP($A214,EnrollData2324,'2324 Jun 24 Enroll'!D$1,FALSE)*Apport_M802324s+VLOOKUP($A214,EnrollData2324,'2324 Jun 24 Enroll'!M$1,FALSE)*Apport_M802324s+(VLOOKUP($A214,EnrollData2324,'2324 Jun 24 Enroll'!P$1,FALSE)+VLOOKUP($A214,EnrollData2324,'2324 Jun 24 Enroll'!Q$1,FALSE)+VLOOKUP($A214,EnrollData2324,'2324 Jun 24 Enroll'!R$1,FALSE)+VLOOKUP($A214,EnrollData2324,'2324 Jun 24 Enroll'!I$1,FALSE)+VLOOKUP($A214,EnrollData2324,'2324 Jun 24 Enroll'!N$1,FALSE)+VLOOKUP($A214,EnrollData2324,'2324 Jun 24 Enroll'!O$1,FALSE)+VLOOKUP($A214,EnrollData2324,'2324 Jun 24 Enroll'!K$1,FALSE)+VLOOKUP($A214,EnrollData2324,'2324 Jun 24 Enroll'!L$1,FALSE))*Apport_M812324s)/(VLOOKUP($A214,EnrollData2324,'2324 Jun 24 Enroll'!M$1,FALSE)+VLOOKUP($A214,EnrollData2324,'2324 Jun 24 Enroll'!D$1,FALSE)),2)</f>
        <v>1568.17</v>
      </c>
      <c r="AS214" s="7">
        <f t="shared" si="21"/>
        <v>9876.4699999999993</v>
      </c>
    </row>
    <row r="215" spans="1:45">
      <c r="A215" s="40" t="s">
        <v>468</v>
      </c>
      <c r="B215" s="40" t="s">
        <v>469</v>
      </c>
      <c r="C215" s="11">
        <f>ROUND((IFERROR((1/IF(VLOOKUP($A215,EnrollData2324,28,FALSE)='District Calculations'!$D$10,VLOOKUP($A215,EnrollData2324,28,FALSE),'District Calculations'!$D$10))*(1+Apport_Z315),0))+Apport_201A2324s,6)</f>
        <v>7.3449E-2</v>
      </c>
      <c r="D215">
        <f>ROUND(IF(VLOOKUP($A215,EnrollData2324,'2324 Jun 24 Enroll'!D$1,FALSE)='District Calculations'!$D$11,VLOOKUP($A215,EnrollData2324,'2324 Jun 24 Enroll'!D$1,FALSE),'District Calculations'!$D$11)*C215,3)</f>
        <v>0</v>
      </c>
      <c r="E215">
        <f>ROUND(IF(VLOOKUP($A215,EnrollData2324,'2324 Jun 24 Enroll'!E$1,FALSE)='District Calculations'!$D$12,VLOOKUP($A215,EnrollData2324,'2324 Jun 24 Enroll'!E$1,FALSE),'District Calculations'!$D$12)*C215,3)</f>
        <v>59.53</v>
      </c>
      <c r="F215">
        <f>ROUND(IF(VLOOKUP($A215,EnrollData2324,'2324 Jun 24 Enroll'!F$1,FALSE)='District Calculations'!$D$13,VLOOKUP($A215,EnrollData2324,'2324 Jun 24 Enroll'!F$1,FALSE),'District Calculations'!$D$13)*Apport_222A2324s,3)</f>
        <v>10.101000000000001</v>
      </c>
      <c r="G215">
        <f>ROUND(IF(VLOOKUP($A215,EnrollData2324,'2324 Jun 24 Enroll'!G$1,FALSE)='District Calculations'!$D$14,VLOOKUP($A215,EnrollData2324,'2324 Jun 24 Enroll'!G$1,FALSE),'District Calculations'!$D$14)*Apport_210A2324s,3)</f>
        <v>22.395</v>
      </c>
      <c r="H215">
        <f>ROUND(IF(VLOOKUP($A215,EnrollData2324,'2324 Jun 24 Enroll'!H$1,FALSE)='District Calculations'!$D$15,VLOOKUP($A215,EnrollData2324,'2324 Jun 24 Enroll'!H$1,FALSE),'District Calculations'!$D$15)*Apport_213A2324s,3)</f>
        <v>23.091999999999999</v>
      </c>
      <c r="I215">
        <f>ROUND(IF(VLOOKUP($A215,EnrollData2324,'2324 Jun 24 Enroll'!I$1,FALSE)+VLOOKUP($A215,EnrollData2324,'2324 Jun 24 Enroll'!M$1,FALSE)-VLOOKUP($A215,EnrollData2324,'2324 Jun 24 Enroll'!J$1,FALSE)='District Calculations'!$D$16+'District Calculations'!$D$25-'District Calculations'!$D$17,VLOOKUP($A215,EnrollData2324,'2324 Jun 24 Enroll'!I$1,FALSE)+VLOOKUP($A215,EnrollData2324,'2324 Jun 24 Enroll'!M$1,FALSE)-VLOOKUP($A215,EnrollData2324,'2324 Jun 24 Enroll'!J$1,FALSE),'District Calculations'!$D$16+'District Calculations'!$D$25-'District Calculations'!$D$17)*Apport_216A2324s,3)</f>
        <v>58.183999999999997</v>
      </c>
      <c r="J215">
        <f>ROUND(SUM(D215:I215)/(IF(VLOOKUP($A215,EnrollData2324,'2324 Jun 24 Enroll'!M$1,FALSE)='District Calculations'!$D$25,VLOOKUP($A215,EnrollData2324,'2324 Jun 24 Enroll'!M$1,FALSE),'District Calculations'!$D$25)+IF(VLOOKUP($A215,EnrollData2324,'2324 Jun 24 Enroll'!D$1,FALSE)='District Calculations'!$D$11,VLOOKUP($A215,EnrollData2324,'2324 Jun 24 Enroll'!D$1,FALSE),'District Calculations'!$D$11)),5)</f>
        <v>5.5530000000000003E-2</v>
      </c>
      <c r="K215" s="11">
        <f t="shared" si="17"/>
        <v>4.3699999999999998E-3</v>
      </c>
      <c r="L215">
        <f>ROUND(IF(VLOOKUP($A215,EnrollData2324,'2324 Jun 24 Enroll'!D$1,FALSE)='District Calculations'!$D$11,VLOOKUP($A215,EnrollData2324,'2324 Jun 24 Enroll'!D$1,FALSE),'District Calculations'!$D$11)*K215,3)</f>
        <v>0</v>
      </c>
      <c r="M215">
        <f>ROUND(IF(VLOOKUP($A215,EnrollData2324,'2324 Jun 24 Enroll'!E$1,FALSE)='District Calculations'!$D$12,VLOOKUP($A215,EnrollData2324,'2324 Jun 24 Enroll'!E$1,FALSE),'District Calculations'!$D$12)*K215,3)</f>
        <v>3.5419999999999998</v>
      </c>
      <c r="N215">
        <f>ROUND(IF(VLOOKUP($A215,EnrollData2324,'2324 Jun 24 Enroll'!F$1,FALSE)='District Calculations'!$D$13,VLOOKUP($A215,EnrollData2324,'2324 Jun 24 Enroll'!F$1,FALSE),'District Calculations'!$D$13)*Apport_223A2324s,3)</f>
        <v>0.84299999999999997</v>
      </c>
      <c r="O215">
        <f>ROUND(IF(VLOOKUP($A215,EnrollData2324,'2324 Jun 24 Enroll'!G$1,FALSE)='District Calculations'!$D$14,VLOOKUP($A215,EnrollData2324,'2324 Jun 24 Enroll'!G$1,FALSE),'District Calculations'!$D$14)*Apport_211A2324s,3)</f>
        <v>1.87</v>
      </c>
      <c r="P215">
        <f>ROUND(IF(VLOOKUP($A215,EnrollData2324,'2324 Jun 24 Enroll'!H$1,FALSE)='District Calculations'!$D$14,VLOOKUP($A215,EnrollData2324,'2324 Jun 24 Enroll'!H$1,FALSE),'District Calculations'!$D$14)*Apport_214A2324s,3)</f>
        <v>1.8680000000000001</v>
      </c>
      <c r="Q215">
        <f>ROUND(IF(VLOOKUP($A215,EnrollData2324,'2324 Jun 24 Enroll'!I$1,FALSE)+VLOOKUP($A215,EnrollData2324,'2324 Jun 24 Enroll'!M$1,FALSE)-VLOOKUP($A215,EnrollData2324,'2324 Jun 24 Enroll'!J$1,FALSE)='District Calculations'!$D$16+'District Calculations'!$D$25-'District Calculations'!$D$17,VLOOKUP($A215,EnrollData2324,'2324 Jun 24 Enroll'!I$1,FALSE)+VLOOKUP($A215,EnrollData2324,'2324 Jun 24 Enroll'!M$1,FALSE)-VLOOKUP($A215,EnrollData2324,'2324 Jun 24 Enroll'!J$1,FALSE),'District Calculations'!$D$16+'District Calculations'!$D$25-'District Calculations'!$D$17)*Apport_217A2324s,3)</f>
        <v>4.702</v>
      </c>
      <c r="R215">
        <f>ROUND(SUM(L215:Q215)/IF(VLOOKUP($A215,EnrollData2324,'2324 Jun 24 Enroll'!M$1,FALSE)+VLOOKUP($A215,EnrollData2324,'2324 Jun 24 Enroll'!D$1,FALSE)='District Calculations'!$D$25+'District Calculations'!$D$11,VLOOKUP($A215,EnrollData2324,'2324 Jun 24 Enroll'!M$1,FALSE)+VLOOKUP($A215,EnrollData2324,'2324 Jun 24 Enroll'!D$1,FALSE),'District Calculations'!$D$25+'District Calculations'!$D$11),5)</f>
        <v>4.1099999999999999E-3</v>
      </c>
      <c r="S215" s="11">
        <f t="shared" si="18"/>
        <v>1.8689600000000001E-2</v>
      </c>
      <c r="T215">
        <f>ROUND(IF(VLOOKUP($A215,EnrollData2324,'2324 Jun 24 Enroll'!D$1,FALSE)='District Calculations'!$D$11,VLOOKUP($A215,EnrollData2324,'2324 Jun 24 Enroll'!D$1,FALSE),'District Calculations'!$D$11)*S215,3)</f>
        <v>0</v>
      </c>
      <c r="U215">
        <f>ROUND(IF(VLOOKUP($A215,EnrollData2324,'2324 Jun 24 Enroll'!E$1,FALSE)='District Calculations'!$D$12,VLOOKUP($A215,EnrollData2324,'2324 Jun 24 Enroll'!E$1,FALSE),'District Calculations'!$D$12)*S215,3)</f>
        <v>15.148</v>
      </c>
      <c r="V215">
        <f>ROUND(IF(VLOOKUP($A215,EnrollData2324,'2324 Jun 24 Enroll'!F$1,FALSE)='District Calculations'!$D$13,VLOOKUP($A215,EnrollData2324,'2324 Jun 24 Enroll'!F$1,FALSE),'District Calculations'!$D$13)*Apport_224A2324s,3)</f>
        <v>3.7029999999999998</v>
      </c>
      <c r="W215">
        <f>ROUND(IF(VLOOKUP($A215,EnrollData2324,'2324 Jun 24 Enroll'!G$1,FALSE)='District Calculations'!$D$14,VLOOKUP($A215,EnrollData2324,'2324 Jun 24 Enroll'!G$1,FALSE),'District Calculations'!$D$14)*Apport_212A2324s,3)</f>
        <v>8.2089999999999996</v>
      </c>
      <c r="X215">
        <f>ROUND(IF(VLOOKUP($A215,EnrollData2324,'2324 Jun 24 Enroll'!H$1,FALSE)='District Calculations'!$D$14,VLOOKUP($A215,EnrollData2324,'2324 Jun 24 Enroll'!H$1,FALSE),'District Calculations'!$D$14)*Apport_215A2324s,3)</f>
        <v>8.0969999999999995</v>
      </c>
      <c r="Y215">
        <f>ROUND(IF(VLOOKUP($A215,EnrollData2324,'2324 Jun 24 Enroll'!I$1,FALSE)+VLOOKUP($A215,EnrollData2324,'2324 Jun 24 Enroll'!M$1,FALSE)-VLOOKUP($A215,EnrollData2324,'2324 Jun 24 Enroll'!J$1,FALSE)='District Calculations'!$D$16+'District Calculations'!$D$25-'District Calculations'!$D$17,VLOOKUP($A215,EnrollData2324,'2324 Jun 24 Enroll'!I$1,FALSE)+VLOOKUP($A215,EnrollData2324,'2324 Jun 24 Enroll'!M$1,FALSE)-VLOOKUP($A215,EnrollData2324,'2324 Jun 24 Enroll'!J$1,FALSE),'District Calculations'!$D$16+'District Calculations'!$D$25-'District Calculations'!$D$17)*Apport_218A2324s,3)</f>
        <v>20.224</v>
      </c>
      <c r="Z215">
        <f>ROUND(SUM(T215:Y215)/IF(VLOOKUP($A215,EnrollData2324,'2324 Jun 24 Enroll'!M$1,FALSE)+VLOOKUP($A215,EnrollData2324,'2324 Jun 24 Enroll'!D$1,FALSE)='District Calculations'!$D$25+'District Calculations'!$D$11,VLOOKUP($A215,EnrollData2324,'2324 Jun 24 Enroll'!M$1,FALSE)+VLOOKUP($A215,EnrollData2324,'2324 Jun 24 Enroll'!D$1,FALSE),'District Calculations'!$D$25+'District Calculations'!$D$11),5)</f>
        <v>1.7749999999999998E-2</v>
      </c>
      <c r="AA215" s="6" cm="1">
        <f t="array" ref="AA215">ROUND($J215*CIS_Base_Salary2324s*VLOOKUP($A215,EnrollData2324,'2324 Jun 24 Enroll'!S$1,FALSE),2)</f>
        <v>4523.22</v>
      </c>
      <c r="AB215" s="6" cm="1">
        <f t="array" ref="AB215">ROUND($J215*CIS_Inc_Salary2324s*(VLOOKUP($A215,EnrollData2324,'2324 Jun 24 Enroll'!T$1,FALSE)+VLOOKUP($A215,EnrollData2324,'2324 Jun 24 Enroll'!U$1,FALSE)),2)-AA215</f>
        <v>167.35999999999967</v>
      </c>
      <c r="AC215" s="6" cm="1">
        <f t="array" ref="AC215">ROUND($R215*CAS_Base_Salary2324s*VLOOKUP($A215,EnrollData2324,'2324 Jun 24 Enroll'!S$1,FALSE),2)</f>
        <v>496.94</v>
      </c>
      <c r="AD215" s="6" cm="1">
        <f t="array" ref="AD215">ROUND($R215*CAS_Inc_Salary2324s*VLOOKUP($A215,EnrollData2324,'2324 Jun 24 Enroll'!T$1,FALSE),2)-AC215</f>
        <v>18.390000000000043</v>
      </c>
      <c r="AE215" s="6" cm="1">
        <f t="array" ref="AE215">ROUND($Z215*CLS_Base_Salary2324s*VLOOKUP($A215,EnrollData2324,'2324 Jun 24 Enroll'!S$1,FALSE),2)</f>
        <v>1037.2</v>
      </c>
      <c r="AF215" s="6" cm="1">
        <f t="array" ref="AF215">ROUND($Z215*CLS_Inc_Salary2324s*VLOOKUP($A215,EnrollData2324,'2324 Jun 24 Enroll'!T$1,FALSE),2)-AE215</f>
        <v>38.369999999999891</v>
      </c>
      <c r="AG215" cm="1">
        <f t="array" ref="AG215">ROUND(($J215+$R215)*Apport_124X2324s,2)</f>
        <v>734.29</v>
      </c>
      <c r="AH215" s="69">
        <f t="shared" si="19"/>
        <v>68.700000000000045</v>
      </c>
      <c r="AI215" cm="1">
        <f t="array" ref="AI215">ROUND($Z215*Apport_124X2324s,2)</f>
        <v>218.54</v>
      </c>
      <c r="AJ215" cm="1">
        <f t="array" ref="AJ215">ROUND($Z215*Apport_621X2324s*Apport_125X2324s,2)-AI215</f>
        <v>116.51000000000002</v>
      </c>
      <c r="AK215" cm="1">
        <f t="array" ref="AK215">ROUND((AA215+AC215)*Apport_126X2324s,2)</f>
        <v>902.12</v>
      </c>
      <c r="AL215" cm="1">
        <f t="array" ref="AL215">ROUND((AB215+AD215)*Apport_127X2324s,2)</f>
        <v>32.19</v>
      </c>
      <c r="AM215" cm="1">
        <f t="array" ref="AM215">ROUND(AE215*Apport_128X2324s,2)</f>
        <v>228.81</v>
      </c>
      <c r="AN215" cm="1">
        <f t="array" ref="AN215">ROUND(AF215*Apport_129X2324s,2)</f>
        <v>7.12</v>
      </c>
      <c r="AO215" cm="1">
        <f t="array" ref="AO215">ROUND(($J215*CIS_Inc_Salary2324s*(VLOOKUP($A215,EnrollData2324,'2324 Jun 24 Enroll'!T$1,FALSE)+VLOOKUP($A215,EnrollData2324,'2324 Jun 24 Enroll'!U$1,FALSE))/Apport_613Xpd)*Apport_614Xpd,2)</f>
        <v>78.180000000000007</v>
      </c>
      <c r="AP215" cm="1">
        <f t="array" ref="AP215">ROUND(AO215*Apport_127X2324s,2)</f>
        <v>13.55</v>
      </c>
      <c r="AQ215">
        <f t="shared" si="20"/>
        <v>30.93</v>
      </c>
      <c r="AR215" s="6" cm="1">
        <f t="array" ref="AR215">ROUND((VLOOKUP($A215,EnrollData2324,'2324 Jun 24 Enroll'!D$1,FALSE)*Apport_M802324s+VLOOKUP($A215,EnrollData2324,'2324 Jun 24 Enroll'!M$1,FALSE)*Apport_M802324s+(VLOOKUP($A215,EnrollData2324,'2324 Jun 24 Enroll'!P$1,FALSE)+VLOOKUP($A215,EnrollData2324,'2324 Jun 24 Enroll'!Q$1,FALSE)+VLOOKUP($A215,EnrollData2324,'2324 Jun 24 Enroll'!R$1,FALSE)+VLOOKUP($A215,EnrollData2324,'2324 Jun 24 Enroll'!I$1,FALSE)+VLOOKUP($A215,EnrollData2324,'2324 Jun 24 Enroll'!N$1,FALSE)+VLOOKUP($A215,EnrollData2324,'2324 Jun 24 Enroll'!O$1,FALSE)+VLOOKUP($A215,EnrollData2324,'2324 Jun 24 Enroll'!K$1,FALSE)+VLOOKUP($A215,EnrollData2324,'2324 Jun 24 Enroll'!L$1,FALSE))*Apport_M812324s)/(VLOOKUP($A215,EnrollData2324,'2324 Jun 24 Enroll'!M$1,FALSE)+VLOOKUP($A215,EnrollData2324,'2324 Jun 24 Enroll'!D$1,FALSE)),2)</f>
        <v>1565.9</v>
      </c>
      <c r="AS215" s="7">
        <f t="shared" si="21"/>
        <v>10278.32</v>
      </c>
    </row>
    <row r="216" spans="1:45">
      <c r="A216" s="40" t="s">
        <v>995</v>
      </c>
      <c r="B216" s="40" t="s">
        <v>996</v>
      </c>
      <c r="C216" s="11">
        <f>ROUND((IFERROR((1/IF(VLOOKUP($A216,EnrollData2324,28,FALSE)='District Calculations'!$D$10,VLOOKUP($A216,EnrollData2324,28,FALSE),'District Calculations'!$D$10))*(1+Apport_Z315),0))+Apport_201A2324s,6)</f>
        <v>7.3449E-2</v>
      </c>
      <c r="D216">
        <f>ROUND(IF(VLOOKUP($A216,EnrollData2324,'2324 Jun 24 Enroll'!D$1,FALSE)='District Calculations'!$D$11,VLOOKUP($A216,EnrollData2324,'2324 Jun 24 Enroll'!D$1,FALSE),'District Calculations'!$D$11)*C216,3)</f>
        <v>0</v>
      </c>
      <c r="E216">
        <f>ROUND(IF(VLOOKUP($A216,EnrollData2324,'2324 Jun 24 Enroll'!E$1,FALSE)='District Calculations'!$D$12,VLOOKUP($A216,EnrollData2324,'2324 Jun 24 Enroll'!E$1,FALSE),'District Calculations'!$D$12)*C216,3)</f>
        <v>59.53</v>
      </c>
      <c r="F216">
        <f>ROUND(IF(VLOOKUP($A216,EnrollData2324,'2324 Jun 24 Enroll'!F$1,FALSE)='District Calculations'!$D$13,VLOOKUP($A216,EnrollData2324,'2324 Jun 24 Enroll'!F$1,FALSE),'District Calculations'!$D$13)*Apport_222A2324s,3)</f>
        <v>10.101000000000001</v>
      </c>
      <c r="G216">
        <f>ROUND(IF(VLOOKUP($A216,EnrollData2324,'2324 Jun 24 Enroll'!G$1,FALSE)='District Calculations'!$D$14,VLOOKUP($A216,EnrollData2324,'2324 Jun 24 Enroll'!G$1,FALSE),'District Calculations'!$D$14)*Apport_210A2324s,3)</f>
        <v>22.395</v>
      </c>
      <c r="H216">
        <f>ROUND(IF(VLOOKUP($A216,EnrollData2324,'2324 Jun 24 Enroll'!H$1,FALSE)='District Calculations'!$D$15,VLOOKUP($A216,EnrollData2324,'2324 Jun 24 Enroll'!H$1,FALSE),'District Calculations'!$D$15)*Apport_213A2324s,3)</f>
        <v>23.091999999999999</v>
      </c>
      <c r="I216">
        <f>ROUND(IF(VLOOKUP($A216,EnrollData2324,'2324 Jun 24 Enroll'!I$1,FALSE)+VLOOKUP($A216,EnrollData2324,'2324 Jun 24 Enroll'!M$1,FALSE)-VLOOKUP($A216,EnrollData2324,'2324 Jun 24 Enroll'!J$1,FALSE)='District Calculations'!$D$16+'District Calculations'!$D$25-'District Calculations'!$D$17,VLOOKUP($A216,EnrollData2324,'2324 Jun 24 Enroll'!I$1,FALSE)+VLOOKUP($A216,EnrollData2324,'2324 Jun 24 Enroll'!M$1,FALSE)-VLOOKUP($A216,EnrollData2324,'2324 Jun 24 Enroll'!J$1,FALSE),'District Calculations'!$D$16+'District Calculations'!$D$25-'District Calculations'!$D$17)*Apport_216A2324s,3)</f>
        <v>58.183999999999997</v>
      </c>
      <c r="J216">
        <f>ROUND(SUM(D216:I216)/(IF(VLOOKUP($A216,EnrollData2324,'2324 Jun 24 Enroll'!M$1,FALSE)='District Calculations'!$D$25,VLOOKUP($A216,EnrollData2324,'2324 Jun 24 Enroll'!M$1,FALSE),'District Calculations'!$D$25)+IF(VLOOKUP($A216,EnrollData2324,'2324 Jun 24 Enroll'!D$1,FALSE)='District Calculations'!$D$11,VLOOKUP($A216,EnrollData2324,'2324 Jun 24 Enroll'!D$1,FALSE),'District Calculations'!$D$11)),5)</f>
        <v>5.5530000000000003E-2</v>
      </c>
      <c r="K216" s="11">
        <f t="shared" si="17"/>
        <v>4.3699999999999998E-3</v>
      </c>
      <c r="L216">
        <f>ROUND(IF(VLOOKUP($A216,EnrollData2324,'2324 Jun 24 Enroll'!D$1,FALSE)='District Calculations'!$D$11,VLOOKUP($A216,EnrollData2324,'2324 Jun 24 Enroll'!D$1,FALSE),'District Calculations'!$D$11)*K216,3)</f>
        <v>0</v>
      </c>
      <c r="M216">
        <f>ROUND(IF(VLOOKUP($A216,EnrollData2324,'2324 Jun 24 Enroll'!E$1,FALSE)='District Calculations'!$D$12,VLOOKUP($A216,EnrollData2324,'2324 Jun 24 Enroll'!E$1,FALSE),'District Calculations'!$D$12)*K216,3)</f>
        <v>3.5419999999999998</v>
      </c>
      <c r="N216">
        <f>ROUND(IF(VLOOKUP($A216,EnrollData2324,'2324 Jun 24 Enroll'!F$1,FALSE)='District Calculations'!$D$13,VLOOKUP($A216,EnrollData2324,'2324 Jun 24 Enroll'!F$1,FALSE),'District Calculations'!$D$13)*Apport_223A2324s,3)</f>
        <v>0.84299999999999997</v>
      </c>
      <c r="O216">
        <f>ROUND(IF(VLOOKUP($A216,EnrollData2324,'2324 Jun 24 Enroll'!G$1,FALSE)='District Calculations'!$D$14,VLOOKUP($A216,EnrollData2324,'2324 Jun 24 Enroll'!G$1,FALSE),'District Calculations'!$D$14)*Apport_211A2324s,3)</f>
        <v>1.87</v>
      </c>
      <c r="P216">
        <f>ROUND(IF(VLOOKUP($A216,EnrollData2324,'2324 Jun 24 Enroll'!H$1,FALSE)='District Calculations'!$D$14,VLOOKUP($A216,EnrollData2324,'2324 Jun 24 Enroll'!H$1,FALSE),'District Calculations'!$D$14)*Apport_214A2324s,3)</f>
        <v>1.8680000000000001</v>
      </c>
      <c r="Q216">
        <f>ROUND(IF(VLOOKUP($A216,EnrollData2324,'2324 Jun 24 Enroll'!I$1,FALSE)+VLOOKUP($A216,EnrollData2324,'2324 Jun 24 Enroll'!M$1,FALSE)-VLOOKUP($A216,EnrollData2324,'2324 Jun 24 Enroll'!J$1,FALSE)='District Calculations'!$D$16+'District Calculations'!$D$25-'District Calculations'!$D$17,VLOOKUP($A216,EnrollData2324,'2324 Jun 24 Enroll'!I$1,FALSE)+VLOOKUP($A216,EnrollData2324,'2324 Jun 24 Enroll'!M$1,FALSE)-VLOOKUP($A216,EnrollData2324,'2324 Jun 24 Enroll'!J$1,FALSE),'District Calculations'!$D$16+'District Calculations'!$D$25-'District Calculations'!$D$17)*Apport_217A2324s,3)</f>
        <v>4.702</v>
      </c>
      <c r="R216">
        <f>ROUND(SUM(L216:Q216)/IF(VLOOKUP($A216,EnrollData2324,'2324 Jun 24 Enroll'!M$1,FALSE)+VLOOKUP($A216,EnrollData2324,'2324 Jun 24 Enroll'!D$1,FALSE)='District Calculations'!$D$25+'District Calculations'!$D$11,VLOOKUP($A216,EnrollData2324,'2324 Jun 24 Enroll'!M$1,FALSE)+VLOOKUP($A216,EnrollData2324,'2324 Jun 24 Enroll'!D$1,FALSE),'District Calculations'!$D$25+'District Calculations'!$D$11),5)</f>
        <v>4.1099999999999999E-3</v>
      </c>
      <c r="S216" s="11">
        <f t="shared" si="18"/>
        <v>1.8689600000000001E-2</v>
      </c>
      <c r="T216">
        <f>ROUND(IF(VLOOKUP($A216,EnrollData2324,'2324 Jun 24 Enroll'!D$1,FALSE)='District Calculations'!$D$11,VLOOKUP($A216,EnrollData2324,'2324 Jun 24 Enroll'!D$1,FALSE),'District Calculations'!$D$11)*S216,3)</f>
        <v>0</v>
      </c>
      <c r="U216">
        <f>ROUND(IF(VLOOKUP($A216,EnrollData2324,'2324 Jun 24 Enroll'!E$1,FALSE)='District Calculations'!$D$12,VLOOKUP($A216,EnrollData2324,'2324 Jun 24 Enroll'!E$1,FALSE),'District Calculations'!$D$12)*S216,3)</f>
        <v>15.148</v>
      </c>
      <c r="V216">
        <f>ROUND(IF(VLOOKUP($A216,EnrollData2324,'2324 Jun 24 Enroll'!F$1,FALSE)='District Calculations'!$D$13,VLOOKUP($A216,EnrollData2324,'2324 Jun 24 Enroll'!F$1,FALSE),'District Calculations'!$D$13)*Apport_224A2324s,3)</f>
        <v>3.7029999999999998</v>
      </c>
      <c r="W216">
        <f>ROUND(IF(VLOOKUP($A216,EnrollData2324,'2324 Jun 24 Enroll'!G$1,FALSE)='District Calculations'!$D$14,VLOOKUP($A216,EnrollData2324,'2324 Jun 24 Enroll'!G$1,FALSE),'District Calculations'!$D$14)*Apport_212A2324s,3)</f>
        <v>8.2089999999999996</v>
      </c>
      <c r="X216">
        <f>ROUND(IF(VLOOKUP($A216,EnrollData2324,'2324 Jun 24 Enroll'!H$1,FALSE)='District Calculations'!$D$14,VLOOKUP($A216,EnrollData2324,'2324 Jun 24 Enroll'!H$1,FALSE),'District Calculations'!$D$14)*Apport_215A2324s,3)</f>
        <v>8.0969999999999995</v>
      </c>
      <c r="Y216">
        <f>ROUND(IF(VLOOKUP($A216,EnrollData2324,'2324 Jun 24 Enroll'!I$1,FALSE)+VLOOKUP($A216,EnrollData2324,'2324 Jun 24 Enroll'!M$1,FALSE)-VLOOKUP($A216,EnrollData2324,'2324 Jun 24 Enroll'!J$1,FALSE)='District Calculations'!$D$16+'District Calculations'!$D$25-'District Calculations'!$D$17,VLOOKUP($A216,EnrollData2324,'2324 Jun 24 Enroll'!I$1,FALSE)+VLOOKUP($A216,EnrollData2324,'2324 Jun 24 Enroll'!M$1,FALSE)-VLOOKUP($A216,EnrollData2324,'2324 Jun 24 Enroll'!J$1,FALSE),'District Calculations'!$D$16+'District Calculations'!$D$25-'District Calculations'!$D$17)*Apport_218A2324s,3)</f>
        <v>20.224</v>
      </c>
      <c r="Z216">
        <f>ROUND(SUM(T216:Y216)/IF(VLOOKUP($A216,EnrollData2324,'2324 Jun 24 Enroll'!M$1,FALSE)+VLOOKUP($A216,EnrollData2324,'2324 Jun 24 Enroll'!D$1,FALSE)='District Calculations'!$D$25+'District Calculations'!$D$11,VLOOKUP($A216,EnrollData2324,'2324 Jun 24 Enroll'!M$1,FALSE)+VLOOKUP($A216,EnrollData2324,'2324 Jun 24 Enroll'!D$1,FALSE),'District Calculations'!$D$25+'District Calculations'!$D$11),5)</f>
        <v>1.7749999999999998E-2</v>
      </c>
      <c r="AA216" s="6" cm="1">
        <f t="array" ref="AA216">ROUND($J216*CIS_Base_Salary2324s*VLOOKUP($A216,EnrollData2324,'2324 Jun 24 Enroll'!S$1,FALSE),2)</f>
        <v>4523.22</v>
      </c>
      <c r="AB216" s="6" cm="1">
        <f t="array" ref="AB216">ROUND($J216*CIS_Inc_Salary2324s*(VLOOKUP($A216,EnrollData2324,'2324 Jun 24 Enroll'!T$1,FALSE)+VLOOKUP($A216,EnrollData2324,'2324 Jun 24 Enroll'!U$1,FALSE)),2)-AA216</f>
        <v>167.35999999999967</v>
      </c>
      <c r="AC216" s="6" cm="1">
        <f t="array" ref="AC216">ROUND($R216*CAS_Base_Salary2324s*VLOOKUP($A216,EnrollData2324,'2324 Jun 24 Enroll'!S$1,FALSE),2)</f>
        <v>496.94</v>
      </c>
      <c r="AD216" s="6" cm="1">
        <f t="array" ref="AD216">ROUND($R216*CAS_Inc_Salary2324s*VLOOKUP($A216,EnrollData2324,'2324 Jun 24 Enroll'!T$1,FALSE),2)-AC216</f>
        <v>18.390000000000043</v>
      </c>
      <c r="AE216" s="6" cm="1">
        <f t="array" ref="AE216">ROUND($Z216*CLS_Base_Salary2324s*VLOOKUP($A216,EnrollData2324,'2324 Jun 24 Enroll'!S$1,FALSE),2)</f>
        <v>1037.2</v>
      </c>
      <c r="AF216" s="6" cm="1">
        <f t="array" ref="AF216">ROUND($Z216*CLS_Inc_Salary2324s*VLOOKUP($A216,EnrollData2324,'2324 Jun 24 Enroll'!T$1,FALSE),2)-AE216</f>
        <v>38.369999999999891</v>
      </c>
      <c r="AG216" cm="1">
        <f t="array" ref="AG216">ROUND(($J216+$R216)*Apport_124X2324s,2)</f>
        <v>734.29</v>
      </c>
      <c r="AH216" s="69">
        <f t="shared" si="19"/>
        <v>68.700000000000045</v>
      </c>
      <c r="AI216" cm="1">
        <f t="array" ref="AI216">ROUND($Z216*Apport_124X2324s,2)</f>
        <v>218.54</v>
      </c>
      <c r="AJ216" cm="1">
        <f t="array" ref="AJ216">ROUND($Z216*Apport_621X2324s*Apport_125X2324s,2)-AI216</f>
        <v>116.51000000000002</v>
      </c>
      <c r="AK216" cm="1">
        <f t="array" ref="AK216">ROUND((AA216+AC216)*Apport_126X2324s,2)</f>
        <v>902.12</v>
      </c>
      <c r="AL216" cm="1">
        <f t="array" ref="AL216">ROUND((AB216+AD216)*Apport_127X2324s,2)</f>
        <v>32.19</v>
      </c>
      <c r="AM216" cm="1">
        <f t="array" ref="AM216">ROUND(AE216*Apport_128X2324s,2)</f>
        <v>228.81</v>
      </c>
      <c r="AN216" cm="1">
        <f t="array" ref="AN216">ROUND(AF216*Apport_129X2324s,2)</f>
        <v>7.12</v>
      </c>
      <c r="AO216" cm="1">
        <f t="array" ref="AO216">ROUND(($J216*CIS_Inc_Salary2324s*(VLOOKUP($A216,EnrollData2324,'2324 Jun 24 Enroll'!T$1,FALSE)+VLOOKUP($A216,EnrollData2324,'2324 Jun 24 Enroll'!U$1,FALSE))/Apport_613Xpd)*Apport_614Xpd,2)</f>
        <v>78.180000000000007</v>
      </c>
      <c r="AP216" cm="1">
        <f t="array" ref="AP216">ROUND(AO216*Apport_127X2324s,2)</f>
        <v>13.55</v>
      </c>
      <c r="AQ216">
        <f t="shared" si="20"/>
        <v>30.93</v>
      </c>
      <c r="AR216" s="6" cm="1">
        <f t="array" ref="AR216">ROUND((VLOOKUP($A216,EnrollData2324,'2324 Jun 24 Enroll'!D$1,FALSE)*Apport_M802324s+VLOOKUP($A216,EnrollData2324,'2324 Jun 24 Enroll'!M$1,FALSE)*Apport_M802324s+(VLOOKUP($A216,EnrollData2324,'2324 Jun 24 Enroll'!P$1,FALSE)+VLOOKUP($A216,EnrollData2324,'2324 Jun 24 Enroll'!Q$1,FALSE)+VLOOKUP($A216,EnrollData2324,'2324 Jun 24 Enroll'!R$1,FALSE)+VLOOKUP($A216,EnrollData2324,'2324 Jun 24 Enroll'!I$1,FALSE)+VLOOKUP($A216,EnrollData2324,'2324 Jun 24 Enroll'!N$1,FALSE)+VLOOKUP($A216,EnrollData2324,'2324 Jun 24 Enroll'!O$1,FALSE)+VLOOKUP($A216,EnrollData2324,'2324 Jun 24 Enroll'!K$1,FALSE)+VLOOKUP($A216,EnrollData2324,'2324 Jun 24 Enroll'!L$1,FALSE))*Apport_M812324s)/(VLOOKUP($A216,EnrollData2324,'2324 Jun 24 Enroll'!M$1,FALSE)+VLOOKUP($A216,EnrollData2324,'2324 Jun 24 Enroll'!D$1,FALSE)),2)</f>
        <v>1565.78</v>
      </c>
      <c r="AS216" s="7">
        <f t="shared" si="21"/>
        <v>10278.200000000001</v>
      </c>
    </row>
    <row r="217" spans="1:45">
      <c r="A217" s="40" t="s">
        <v>1033</v>
      </c>
      <c r="B217" s="40" t="s">
        <v>1034</v>
      </c>
      <c r="C217" s="11">
        <f>ROUND((IFERROR((1/IF(VLOOKUP($A217,EnrollData2324,28,FALSE)='District Calculations'!$D$10,VLOOKUP($A217,EnrollData2324,28,FALSE),'District Calculations'!$D$10))*(1+Apport_Z315),0))+Apport_201A2324s,6)</f>
        <v>7.3449E-2</v>
      </c>
      <c r="D217">
        <f>ROUND(IF(VLOOKUP($A217,EnrollData2324,'2324 Jun 24 Enroll'!D$1,FALSE)='District Calculations'!$D$11,VLOOKUP($A217,EnrollData2324,'2324 Jun 24 Enroll'!D$1,FALSE),'District Calculations'!$D$11)*C217,3)</f>
        <v>0</v>
      </c>
      <c r="E217">
        <f>ROUND(IF(VLOOKUP($A217,EnrollData2324,'2324 Jun 24 Enroll'!E$1,FALSE)='District Calculations'!$D$12,VLOOKUP($A217,EnrollData2324,'2324 Jun 24 Enroll'!E$1,FALSE),'District Calculations'!$D$12)*C217,3)</f>
        <v>59.53</v>
      </c>
      <c r="F217">
        <f>ROUND(IF(VLOOKUP($A217,EnrollData2324,'2324 Jun 24 Enroll'!F$1,FALSE)='District Calculations'!$D$13,VLOOKUP($A217,EnrollData2324,'2324 Jun 24 Enroll'!F$1,FALSE),'District Calculations'!$D$13)*Apport_222A2324s,3)</f>
        <v>10.101000000000001</v>
      </c>
      <c r="G217">
        <f>ROUND(IF(VLOOKUP($A217,EnrollData2324,'2324 Jun 24 Enroll'!G$1,FALSE)='District Calculations'!$D$14,VLOOKUP($A217,EnrollData2324,'2324 Jun 24 Enroll'!G$1,FALSE),'District Calculations'!$D$14)*Apport_210A2324s,3)</f>
        <v>22.395</v>
      </c>
      <c r="H217">
        <f>ROUND(IF(VLOOKUP($A217,EnrollData2324,'2324 Jun 24 Enroll'!H$1,FALSE)='District Calculations'!$D$15,VLOOKUP($A217,EnrollData2324,'2324 Jun 24 Enroll'!H$1,FALSE),'District Calculations'!$D$15)*Apport_213A2324s,3)</f>
        <v>23.091999999999999</v>
      </c>
      <c r="I217">
        <f>ROUND(IF(VLOOKUP($A217,EnrollData2324,'2324 Jun 24 Enroll'!I$1,FALSE)+VLOOKUP($A217,EnrollData2324,'2324 Jun 24 Enroll'!M$1,FALSE)-VLOOKUP($A217,EnrollData2324,'2324 Jun 24 Enroll'!J$1,FALSE)='District Calculations'!$D$16+'District Calculations'!$D$25-'District Calculations'!$D$17,VLOOKUP($A217,EnrollData2324,'2324 Jun 24 Enroll'!I$1,FALSE)+VLOOKUP($A217,EnrollData2324,'2324 Jun 24 Enroll'!M$1,FALSE)-VLOOKUP($A217,EnrollData2324,'2324 Jun 24 Enroll'!J$1,FALSE),'District Calculations'!$D$16+'District Calculations'!$D$25-'District Calculations'!$D$17)*Apport_216A2324s,3)</f>
        <v>58.183999999999997</v>
      </c>
      <c r="J217">
        <f>ROUND(SUM(D217:I217)/(IF(VLOOKUP($A217,EnrollData2324,'2324 Jun 24 Enroll'!M$1,FALSE)='District Calculations'!$D$25,VLOOKUP($A217,EnrollData2324,'2324 Jun 24 Enroll'!M$1,FALSE),'District Calculations'!$D$25)+IF(VLOOKUP($A217,EnrollData2324,'2324 Jun 24 Enroll'!D$1,FALSE)='District Calculations'!$D$11,VLOOKUP($A217,EnrollData2324,'2324 Jun 24 Enroll'!D$1,FALSE),'District Calculations'!$D$11)),5)</f>
        <v>5.5530000000000003E-2</v>
      </c>
      <c r="K217" s="11">
        <f t="shared" si="17"/>
        <v>4.3699999999999998E-3</v>
      </c>
      <c r="L217">
        <f>ROUND(IF(VLOOKUP($A217,EnrollData2324,'2324 Jun 24 Enroll'!D$1,FALSE)='District Calculations'!$D$11,VLOOKUP($A217,EnrollData2324,'2324 Jun 24 Enroll'!D$1,FALSE),'District Calculations'!$D$11)*K217,3)</f>
        <v>0</v>
      </c>
      <c r="M217">
        <f>ROUND(IF(VLOOKUP($A217,EnrollData2324,'2324 Jun 24 Enroll'!E$1,FALSE)='District Calculations'!$D$12,VLOOKUP($A217,EnrollData2324,'2324 Jun 24 Enroll'!E$1,FALSE),'District Calculations'!$D$12)*K217,3)</f>
        <v>3.5419999999999998</v>
      </c>
      <c r="N217">
        <f>ROUND(IF(VLOOKUP($A217,EnrollData2324,'2324 Jun 24 Enroll'!F$1,FALSE)='District Calculations'!$D$13,VLOOKUP($A217,EnrollData2324,'2324 Jun 24 Enroll'!F$1,FALSE),'District Calculations'!$D$13)*Apport_223A2324s,3)</f>
        <v>0.84299999999999997</v>
      </c>
      <c r="O217">
        <f>ROUND(IF(VLOOKUP($A217,EnrollData2324,'2324 Jun 24 Enroll'!G$1,FALSE)='District Calculations'!$D$14,VLOOKUP($A217,EnrollData2324,'2324 Jun 24 Enroll'!G$1,FALSE),'District Calculations'!$D$14)*Apport_211A2324s,3)</f>
        <v>1.87</v>
      </c>
      <c r="P217">
        <f>ROUND(IF(VLOOKUP($A217,EnrollData2324,'2324 Jun 24 Enroll'!H$1,FALSE)='District Calculations'!$D$14,VLOOKUP($A217,EnrollData2324,'2324 Jun 24 Enroll'!H$1,FALSE),'District Calculations'!$D$14)*Apport_214A2324s,3)</f>
        <v>1.8680000000000001</v>
      </c>
      <c r="Q217">
        <f>ROUND(IF(VLOOKUP($A217,EnrollData2324,'2324 Jun 24 Enroll'!I$1,FALSE)+VLOOKUP($A217,EnrollData2324,'2324 Jun 24 Enroll'!M$1,FALSE)-VLOOKUP($A217,EnrollData2324,'2324 Jun 24 Enroll'!J$1,FALSE)='District Calculations'!$D$16+'District Calculations'!$D$25-'District Calculations'!$D$17,VLOOKUP($A217,EnrollData2324,'2324 Jun 24 Enroll'!I$1,FALSE)+VLOOKUP($A217,EnrollData2324,'2324 Jun 24 Enroll'!M$1,FALSE)-VLOOKUP($A217,EnrollData2324,'2324 Jun 24 Enroll'!J$1,FALSE),'District Calculations'!$D$16+'District Calculations'!$D$25-'District Calculations'!$D$17)*Apport_217A2324s,3)</f>
        <v>4.702</v>
      </c>
      <c r="R217">
        <f>ROUND(SUM(L217:Q217)/IF(VLOOKUP($A217,EnrollData2324,'2324 Jun 24 Enroll'!M$1,FALSE)+VLOOKUP($A217,EnrollData2324,'2324 Jun 24 Enroll'!D$1,FALSE)='District Calculations'!$D$25+'District Calculations'!$D$11,VLOOKUP($A217,EnrollData2324,'2324 Jun 24 Enroll'!M$1,FALSE)+VLOOKUP($A217,EnrollData2324,'2324 Jun 24 Enroll'!D$1,FALSE),'District Calculations'!$D$25+'District Calculations'!$D$11),5)</f>
        <v>4.1099999999999999E-3</v>
      </c>
      <c r="S217" s="11">
        <f t="shared" si="18"/>
        <v>1.8689600000000001E-2</v>
      </c>
      <c r="T217">
        <f>ROUND(IF(VLOOKUP($A217,EnrollData2324,'2324 Jun 24 Enroll'!D$1,FALSE)='District Calculations'!$D$11,VLOOKUP($A217,EnrollData2324,'2324 Jun 24 Enroll'!D$1,FALSE),'District Calculations'!$D$11)*S217,3)</f>
        <v>0</v>
      </c>
      <c r="U217">
        <f>ROUND(IF(VLOOKUP($A217,EnrollData2324,'2324 Jun 24 Enroll'!E$1,FALSE)='District Calculations'!$D$12,VLOOKUP($A217,EnrollData2324,'2324 Jun 24 Enroll'!E$1,FALSE),'District Calculations'!$D$12)*S217,3)</f>
        <v>15.148</v>
      </c>
      <c r="V217">
        <f>ROUND(IF(VLOOKUP($A217,EnrollData2324,'2324 Jun 24 Enroll'!F$1,FALSE)='District Calculations'!$D$13,VLOOKUP($A217,EnrollData2324,'2324 Jun 24 Enroll'!F$1,FALSE),'District Calculations'!$D$13)*Apport_224A2324s,3)</f>
        <v>3.7029999999999998</v>
      </c>
      <c r="W217">
        <f>ROUND(IF(VLOOKUP($A217,EnrollData2324,'2324 Jun 24 Enroll'!G$1,FALSE)='District Calculations'!$D$14,VLOOKUP($A217,EnrollData2324,'2324 Jun 24 Enroll'!G$1,FALSE),'District Calculations'!$D$14)*Apport_212A2324s,3)</f>
        <v>8.2089999999999996</v>
      </c>
      <c r="X217">
        <f>ROUND(IF(VLOOKUP($A217,EnrollData2324,'2324 Jun 24 Enroll'!H$1,FALSE)='District Calculations'!$D$14,VLOOKUP($A217,EnrollData2324,'2324 Jun 24 Enroll'!H$1,FALSE),'District Calculations'!$D$14)*Apport_215A2324s,3)</f>
        <v>8.0969999999999995</v>
      </c>
      <c r="Y217">
        <f>ROUND(IF(VLOOKUP($A217,EnrollData2324,'2324 Jun 24 Enroll'!I$1,FALSE)+VLOOKUP($A217,EnrollData2324,'2324 Jun 24 Enroll'!M$1,FALSE)-VLOOKUP($A217,EnrollData2324,'2324 Jun 24 Enroll'!J$1,FALSE)='District Calculations'!$D$16+'District Calculations'!$D$25-'District Calculations'!$D$17,VLOOKUP($A217,EnrollData2324,'2324 Jun 24 Enroll'!I$1,FALSE)+VLOOKUP($A217,EnrollData2324,'2324 Jun 24 Enroll'!M$1,FALSE)-VLOOKUP($A217,EnrollData2324,'2324 Jun 24 Enroll'!J$1,FALSE),'District Calculations'!$D$16+'District Calculations'!$D$25-'District Calculations'!$D$17)*Apport_218A2324s,3)</f>
        <v>20.224</v>
      </c>
      <c r="Z217">
        <f>ROUND(SUM(T217:Y217)/IF(VLOOKUP($A217,EnrollData2324,'2324 Jun 24 Enroll'!M$1,FALSE)+VLOOKUP($A217,EnrollData2324,'2324 Jun 24 Enroll'!D$1,FALSE)='District Calculations'!$D$25+'District Calculations'!$D$11,VLOOKUP($A217,EnrollData2324,'2324 Jun 24 Enroll'!M$1,FALSE)+VLOOKUP($A217,EnrollData2324,'2324 Jun 24 Enroll'!D$1,FALSE),'District Calculations'!$D$25+'District Calculations'!$D$11),5)</f>
        <v>1.7749999999999998E-2</v>
      </c>
      <c r="AA217" s="6" cm="1">
        <f t="array" ref="AA217">ROUND($J217*CIS_Base_Salary2324s*VLOOKUP($A217,EnrollData2324,'2324 Jun 24 Enroll'!S$1,FALSE),2)</f>
        <v>4523.22</v>
      </c>
      <c r="AB217" s="6" cm="1">
        <f t="array" ref="AB217">ROUND($J217*CIS_Inc_Salary2324s*(VLOOKUP($A217,EnrollData2324,'2324 Jun 24 Enroll'!T$1,FALSE)+VLOOKUP($A217,EnrollData2324,'2324 Jun 24 Enroll'!U$1,FALSE)),2)-AA217</f>
        <v>167.35999999999967</v>
      </c>
      <c r="AC217" s="6" cm="1">
        <f t="array" ref="AC217">ROUND($R217*CAS_Base_Salary2324s*VLOOKUP($A217,EnrollData2324,'2324 Jun 24 Enroll'!S$1,FALSE),2)</f>
        <v>496.94</v>
      </c>
      <c r="AD217" s="6" cm="1">
        <f t="array" ref="AD217">ROUND($R217*CAS_Inc_Salary2324s*VLOOKUP($A217,EnrollData2324,'2324 Jun 24 Enroll'!T$1,FALSE),2)-AC217</f>
        <v>18.390000000000043</v>
      </c>
      <c r="AE217" s="6" cm="1">
        <f t="array" ref="AE217">ROUND($Z217*CLS_Base_Salary2324s*VLOOKUP($A217,EnrollData2324,'2324 Jun 24 Enroll'!S$1,FALSE),2)</f>
        <v>1037.2</v>
      </c>
      <c r="AF217" s="6" cm="1">
        <f t="array" ref="AF217">ROUND($Z217*CLS_Inc_Salary2324s*VLOOKUP($A217,EnrollData2324,'2324 Jun 24 Enroll'!T$1,FALSE),2)-AE217</f>
        <v>38.369999999999891</v>
      </c>
      <c r="AG217" cm="1">
        <f t="array" ref="AG217">ROUND(($J217+$R217)*Apport_124X2324s,2)</f>
        <v>734.29</v>
      </c>
      <c r="AH217" s="69">
        <f t="shared" si="19"/>
        <v>68.700000000000045</v>
      </c>
      <c r="AI217" cm="1">
        <f t="array" ref="AI217">ROUND($Z217*Apport_124X2324s,2)</f>
        <v>218.54</v>
      </c>
      <c r="AJ217" cm="1">
        <f t="array" ref="AJ217">ROUND($Z217*Apport_621X2324s*Apport_125X2324s,2)-AI217</f>
        <v>116.51000000000002</v>
      </c>
      <c r="AK217" cm="1">
        <f t="array" ref="AK217">ROUND((AA217+AC217)*Apport_126X2324s,2)</f>
        <v>902.12</v>
      </c>
      <c r="AL217" cm="1">
        <f t="array" ref="AL217">ROUND((AB217+AD217)*Apport_127X2324s,2)</f>
        <v>32.19</v>
      </c>
      <c r="AM217" cm="1">
        <f t="array" ref="AM217">ROUND(AE217*Apport_128X2324s,2)</f>
        <v>228.81</v>
      </c>
      <c r="AN217" cm="1">
        <f t="array" ref="AN217">ROUND(AF217*Apport_129X2324s,2)</f>
        <v>7.12</v>
      </c>
      <c r="AO217" cm="1">
        <f t="array" ref="AO217">ROUND(($J217*CIS_Inc_Salary2324s*(VLOOKUP($A217,EnrollData2324,'2324 Jun 24 Enroll'!T$1,FALSE)+VLOOKUP($A217,EnrollData2324,'2324 Jun 24 Enroll'!U$1,FALSE))/Apport_613Xpd)*Apport_614Xpd,2)</f>
        <v>78.180000000000007</v>
      </c>
      <c r="AP217" cm="1">
        <f t="array" ref="AP217">ROUND(AO217*Apport_127X2324s,2)</f>
        <v>13.55</v>
      </c>
      <c r="AQ217">
        <f t="shared" si="20"/>
        <v>30.93</v>
      </c>
      <c r="AR217" s="6" cm="1">
        <f t="array" ref="AR217">ROUND((VLOOKUP($A217,EnrollData2324,'2324 Jun 24 Enroll'!D$1,FALSE)*Apport_M802324s+VLOOKUP($A217,EnrollData2324,'2324 Jun 24 Enroll'!M$1,FALSE)*Apport_M802324s+(VLOOKUP($A217,EnrollData2324,'2324 Jun 24 Enroll'!P$1,FALSE)+VLOOKUP($A217,EnrollData2324,'2324 Jun 24 Enroll'!Q$1,FALSE)+VLOOKUP($A217,EnrollData2324,'2324 Jun 24 Enroll'!R$1,FALSE)+VLOOKUP($A217,EnrollData2324,'2324 Jun 24 Enroll'!I$1,FALSE)+VLOOKUP($A217,EnrollData2324,'2324 Jun 24 Enroll'!N$1,FALSE)+VLOOKUP($A217,EnrollData2324,'2324 Jun 24 Enroll'!O$1,FALSE)+VLOOKUP($A217,EnrollData2324,'2324 Jun 24 Enroll'!K$1,FALSE)+VLOOKUP($A217,EnrollData2324,'2324 Jun 24 Enroll'!L$1,FALSE))*Apport_M812324s)/(VLOOKUP($A217,EnrollData2324,'2324 Jun 24 Enroll'!M$1,FALSE)+VLOOKUP($A217,EnrollData2324,'2324 Jun 24 Enroll'!D$1,FALSE)),2)</f>
        <v>1504.44</v>
      </c>
      <c r="AS217" s="7">
        <f t="shared" si="21"/>
        <v>10216.86</v>
      </c>
    </row>
    <row r="218" spans="1:45">
      <c r="A218" s="40" t="s">
        <v>910</v>
      </c>
      <c r="B218" s="40" t="s">
        <v>905</v>
      </c>
      <c r="C218" s="11">
        <f>ROUND((IFERROR((1/IF(VLOOKUP($A218,EnrollData2324,28,FALSE)='District Calculations'!$D$10,VLOOKUP($A218,EnrollData2324,28,FALSE),'District Calculations'!$D$10))*(1+Apport_Z315),0))+Apport_201A2324s,6)</f>
        <v>7.3449E-2</v>
      </c>
      <c r="D218">
        <f>ROUND(IF(VLOOKUP($A218,EnrollData2324,'2324 Jun 24 Enroll'!D$1,FALSE)='District Calculations'!$D$11,VLOOKUP($A218,EnrollData2324,'2324 Jun 24 Enroll'!D$1,FALSE),'District Calculations'!$D$11)*C218,3)</f>
        <v>0</v>
      </c>
      <c r="E218">
        <f>ROUND(IF(VLOOKUP($A218,EnrollData2324,'2324 Jun 24 Enroll'!E$1,FALSE)='District Calculations'!$D$12,VLOOKUP($A218,EnrollData2324,'2324 Jun 24 Enroll'!E$1,FALSE),'District Calculations'!$D$12)*C218,3)</f>
        <v>59.53</v>
      </c>
      <c r="F218">
        <f>ROUND(IF(VLOOKUP($A218,EnrollData2324,'2324 Jun 24 Enroll'!F$1,FALSE)='District Calculations'!$D$13,VLOOKUP($A218,EnrollData2324,'2324 Jun 24 Enroll'!F$1,FALSE),'District Calculations'!$D$13)*Apport_222A2324s,3)</f>
        <v>10.101000000000001</v>
      </c>
      <c r="G218">
        <f>ROUND(IF(VLOOKUP($A218,EnrollData2324,'2324 Jun 24 Enroll'!G$1,FALSE)='District Calculations'!$D$14,VLOOKUP($A218,EnrollData2324,'2324 Jun 24 Enroll'!G$1,FALSE),'District Calculations'!$D$14)*Apport_210A2324s,3)</f>
        <v>22.395</v>
      </c>
      <c r="H218">
        <f>ROUND(IF(VLOOKUP($A218,EnrollData2324,'2324 Jun 24 Enroll'!H$1,FALSE)='District Calculations'!$D$15,VLOOKUP($A218,EnrollData2324,'2324 Jun 24 Enroll'!H$1,FALSE),'District Calculations'!$D$15)*Apport_213A2324s,3)</f>
        <v>23.091999999999999</v>
      </c>
      <c r="I218">
        <f>ROUND(IF(VLOOKUP($A218,EnrollData2324,'2324 Jun 24 Enroll'!I$1,FALSE)+VLOOKUP($A218,EnrollData2324,'2324 Jun 24 Enroll'!M$1,FALSE)-VLOOKUP($A218,EnrollData2324,'2324 Jun 24 Enroll'!J$1,FALSE)='District Calculations'!$D$16+'District Calculations'!$D$25-'District Calculations'!$D$17,VLOOKUP($A218,EnrollData2324,'2324 Jun 24 Enroll'!I$1,FALSE)+VLOOKUP($A218,EnrollData2324,'2324 Jun 24 Enroll'!M$1,FALSE)-VLOOKUP($A218,EnrollData2324,'2324 Jun 24 Enroll'!J$1,FALSE),'District Calculations'!$D$16+'District Calculations'!$D$25-'District Calculations'!$D$17)*Apport_216A2324s,3)</f>
        <v>58.183999999999997</v>
      </c>
      <c r="J218">
        <f>ROUND(SUM(D218:I218)/(IF(VLOOKUP($A218,EnrollData2324,'2324 Jun 24 Enroll'!M$1,FALSE)='District Calculations'!$D$25,VLOOKUP($A218,EnrollData2324,'2324 Jun 24 Enroll'!M$1,FALSE),'District Calculations'!$D$25)+IF(VLOOKUP($A218,EnrollData2324,'2324 Jun 24 Enroll'!D$1,FALSE)='District Calculations'!$D$11,VLOOKUP($A218,EnrollData2324,'2324 Jun 24 Enroll'!D$1,FALSE),'District Calculations'!$D$11)),5)</f>
        <v>5.5530000000000003E-2</v>
      </c>
      <c r="K218" s="11">
        <f t="shared" si="17"/>
        <v>4.3699999999999998E-3</v>
      </c>
      <c r="L218">
        <f>ROUND(IF(VLOOKUP($A218,EnrollData2324,'2324 Jun 24 Enroll'!D$1,FALSE)='District Calculations'!$D$11,VLOOKUP($A218,EnrollData2324,'2324 Jun 24 Enroll'!D$1,FALSE),'District Calculations'!$D$11)*K218,3)</f>
        <v>0</v>
      </c>
      <c r="M218">
        <f>ROUND(IF(VLOOKUP($A218,EnrollData2324,'2324 Jun 24 Enroll'!E$1,FALSE)='District Calculations'!$D$12,VLOOKUP($A218,EnrollData2324,'2324 Jun 24 Enroll'!E$1,FALSE),'District Calculations'!$D$12)*K218,3)</f>
        <v>3.5419999999999998</v>
      </c>
      <c r="N218">
        <f>ROUND(IF(VLOOKUP($A218,EnrollData2324,'2324 Jun 24 Enroll'!F$1,FALSE)='District Calculations'!$D$13,VLOOKUP($A218,EnrollData2324,'2324 Jun 24 Enroll'!F$1,FALSE),'District Calculations'!$D$13)*Apport_223A2324s,3)</f>
        <v>0.84299999999999997</v>
      </c>
      <c r="O218">
        <f>ROUND(IF(VLOOKUP($A218,EnrollData2324,'2324 Jun 24 Enroll'!G$1,FALSE)='District Calculations'!$D$14,VLOOKUP($A218,EnrollData2324,'2324 Jun 24 Enroll'!G$1,FALSE),'District Calculations'!$D$14)*Apport_211A2324s,3)</f>
        <v>1.87</v>
      </c>
      <c r="P218">
        <f>ROUND(IF(VLOOKUP($A218,EnrollData2324,'2324 Jun 24 Enroll'!H$1,FALSE)='District Calculations'!$D$14,VLOOKUP($A218,EnrollData2324,'2324 Jun 24 Enroll'!H$1,FALSE),'District Calculations'!$D$14)*Apport_214A2324s,3)</f>
        <v>1.8680000000000001</v>
      </c>
      <c r="Q218">
        <f>ROUND(IF(VLOOKUP($A218,EnrollData2324,'2324 Jun 24 Enroll'!I$1,FALSE)+VLOOKUP($A218,EnrollData2324,'2324 Jun 24 Enroll'!M$1,FALSE)-VLOOKUP($A218,EnrollData2324,'2324 Jun 24 Enroll'!J$1,FALSE)='District Calculations'!$D$16+'District Calculations'!$D$25-'District Calculations'!$D$17,VLOOKUP($A218,EnrollData2324,'2324 Jun 24 Enroll'!I$1,FALSE)+VLOOKUP($A218,EnrollData2324,'2324 Jun 24 Enroll'!M$1,FALSE)-VLOOKUP($A218,EnrollData2324,'2324 Jun 24 Enroll'!J$1,FALSE),'District Calculations'!$D$16+'District Calculations'!$D$25-'District Calculations'!$D$17)*Apport_217A2324s,3)</f>
        <v>4.702</v>
      </c>
      <c r="R218">
        <f>ROUND(SUM(L218:Q218)/IF(VLOOKUP($A218,EnrollData2324,'2324 Jun 24 Enroll'!M$1,FALSE)+VLOOKUP($A218,EnrollData2324,'2324 Jun 24 Enroll'!D$1,FALSE)='District Calculations'!$D$25+'District Calculations'!$D$11,VLOOKUP($A218,EnrollData2324,'2324 Jun 24 Enroll'!M$1,FALSE)+VLOOKUP($A218,EnrollData2324,'2324 Jun 24 Enroll'!D$1,FALSE),'District Calculations'!$D$25+'District Calculations'!$D$11),5)</f>
        <v>4.1099999999999999E-3</v>
      </c>
      <c r="S218" s="11">
        <f t="shared" si="18"/>
        <v>1.8689600000000001E-2</v>
      </c>
      <c r="T218">
        <f>ROUND(IF(VLOOKUP($A218,EnrollData2324,'2324 Jun 24 Enroll'!D$1,FALSE)='District Calculations'!$D$11,VLOOKUP($A218,EnrollData2324,'2324 Jun 24 Enroll'!D$1,FALSE),'District Calculations'!$D$11)*S218,3)</f>
        <v>0</v>
      </c>
      <c r="U218">
        <f>ROUND(IF(VLOOKUP($A218,EnrollData2324,'2324 Jun 24 Enroll'!E$1,FALSE)='District Calculations'!$D$12,VLOOKUP($A218,EnrollData2324,'2324 Jun 24 Enroll'!E$1,FALSE),'District Calculations'!$D$12)*S218,3)</f>
        <v>15.148</v>
      </c>
      <c r="V218">
        <f>ROUND(IF(VLOOKUP($A218,EnrollData2324,'2324 Jun 24 Enroll'!F$1,FALSE)='District Calculations'!$D$13,VLOOKUP($A218,EnrollData2324,'2324 Jun 24 Enroll'!F$1,FALSE),'District Calculations'!$D$13)*Apport_224A2324s,3)</f>
        <v>3.7029999999999998</v>
      </c>
      <c r="W218">
        <f>ROUND(IF(VLOOKUP($A218,EnrollData2324,'2324 Jun 24 Enroll'!G$1,FALSE)='District Calculations'!$D$14,VLOOKUP($A218,EnrollData2324,'2324 Jun 24 Enroll'!G$1,FALSE),'District Calculations'!$D$14)*Apport_212A2324s,3)</f>
        <v>8.2089999999999996</v>
      </c>
      <c r="X218">
        <f>ROUND(IF(VLOOKUP($A218,EnrollData2324,'2324 Jun 24 Enroll'!H$1,FALSE)='District Calculations'!$D$14,VLOOKUP($A218,EnrollData2324,'2324 Jun 24 Enroll'!H$1,FALSE),'District Calculations'!$D$14)*Apport_215A2324s,3)</f>
        <v>8.0969999999999995</v>
      </c>
      <c r="Y218">
        <f>ROUND(IF(VLOOKUP($A218,EnrollData2324,'2324 Jun 24 Enroll'!I$1,FALSE)+VLOOKUP($A218,EnrollData2324,'2324 Jun 24 Enroll'!M$1,FALSE)-VLOOKUP($A218,EnrollData2324,'2324 Jun 24 Enroll'!J$1,FALSE)='District Calculations'!$D$16+'District Calculations'!$D$25-'District Calculations'!$D$17,VLOOKUP($A218,EnrollData2324,'2324 Jun 24 Enroll'!I$1,FALSE)+VLOOKUP($A218,EnrollData2324,'2324 Jun 24 Enroll'!M$1,FALSE)-VLOOKUP($A218,EnrollData2324,'2324 Jun 24 Enroll'!J$1,FALSE),'District Calculations'!$D$16+'District Calculations'!$D$25-'District Calculations'!$D$17)*Apport_218A2324s,3)</f>
        <v>20.224</v>
      </c>
      <c r="Z218">
        <f>ROUND(SUM(T218:Y218)/IF(VLOOKUP($A218,EnrollData2324,'2324 Jun 24 Enroll'!M$1,FALSE)+VLOOKUP($A218,EnrollData2324,'2324 Jun 24 Enroll'!D$1,FALSE)='District Calculations'!$D$25+'District Calculations'!$D$11,VLOOKUP($A218,EnrollData2324,'2324 Jun 24 Enroll'!M$1,FALSE)+VLOOKUP($A218,EnrollData2324,'2324 Jun 24 Enroll'!D$1,FALSE),'District Calculations'!$D$25+'District Calculations'!$D$11),5)</f>
        <v>1.7749999999999998E-2</v>
      </c>
      <c r="AA218" s="6" cm="1">
        <f t="array" ref="AA218">ROUND($J218*CIS_Base_Salary2324s*VLOOKUP($A218,EnrollData2324,'2324 Jun 24 Enroll'!S$1,FALSE),2)</f>
        <v>4523.22</v>
      </c>
      <c r="AB218" s="6" cm="1">
        <f t="array" ref="AB218">ROUND($J218*CIS_Inc_Salary2324s*(VLOOKUP($A218,EnrollData2324,'2324 Jun 24 Enroll'!T$1,FALSE)+VLOOKUP($A218,EnrollData2324,'2324 Jun 24 Enroll'!U$1,FALSE)),2)-AA218</f>
        <v>167.35999999999967</v>
      </c>
      <c r="AC218" s="6" cm="1">
        <f t="array" ref="AC218">ROUND($R218*CAS_Base_Salary2324s*VLOOKUP($A218,EnrollData2324,'2324 Jun 24 Enroll'!S$1,FALSE),2)</f>
        <v>496.94</v>
      </c>
      <c r="AD218" s="6" cm="1">
        <f t="array" ref="AD218">ROUND($R218*CAS_Inc_Salary2324s*VLOOKUP($A218,EnrollData2324,'2324 Jun 24 Enroll'!T$1,FALSE),2)-AC218</f>
        <v>18.390000000000043</v>
      </c>
      <c r="AE218" s="6" cm="1">
        <f t="array" ref="AE218">ROUND($Z218*CLS_Base_Salary2324s*VLOOKUP($A218,EnrollData2324,'2324 Jun 24 Enroll'!S$1,FALSE),2)</f>
        <v>1037.2</v>
      </c>
      <c r="AF218" s="6" cm="1">
        <f t="array" ref="AF218">ROUND($Z218*CLS_Inc_Salary2324s*VLOOKUP($A218,EnrollData2324,'2324 Jun 24 Enroll'!T$1,FALSE),2)-AE218</f>
        <v>38.369999999999891</v>
      </c>
      <c r="AG218" cm="1">
        <f t="array" ref="AG218">ROUND(($J218+$R218)*Apport_124X2324s,2)</f>
        <v>734.29</v>
      </c>
      <c r="AH218" s="69">
        <f t="shared" si="19"/>
        <v>68.700000000000045</v>
      </c>
      <c r="AI218" cm="1">
        <f t="array" ref="AI218">ROUND($Z218*Apport_124X2324s,2)</f>
        <v>218.54</v>
      </c>
      <c r="AJ218" cm="1">
        <f t="array" ref="AJ218">ROUND($Z218*Apport_621X2324s*Apport_125X2324s,2)-AI218</f>
        <v>116.51000000000002</v>
      </c>
      <c r="AK218" cm="1">
        <f t="array" ref="AK218">ROUND((AA218+AC218)*Apport_126X2324s,2)</f>
        <v>902.12</v>
      </c>
      <c r="AL218" cm="1">
        <f t="array" ref="AL218">ROUND((AB218+AD218)*Apport_127X2324s,2)</f>
        <v>32.19</v>
      </c>
      <c r="AM218" cm="1">
        <f t="array" ref="AM218">ROUND(AE218*Apport_128X2324s,2)</f>
        <v>228.81</v>
      </c>
      <c r="AN218" cm="1">
        <f t="array" ref="AN218">ROUND(AF218*Apport_129X2324s,2)</f>
        <v>7.12</v>
      </c>
      <c r="AO218" cm="1">
        <f t="array" ref="AO218">ROUND(($J218*CIS_Inc_Salary2324s*(VLOOKUP($A218,EnrollData2324,'2324 Jun 24 Enroll'!T$1,FALSE)+VLOOKUP($A218,EnrollData2324,'2324 Jun 24 Enroll'!U$1,FALSE))/Apport_613Xpd)*Apport_614Xpd,2)</f>
        <v>78.180000000000007</v>
      </c>
      <c r="AP218" cm="1">
        <f t="array" ref="AP218">ROUND(AO218*Apport_127X2324s,2)</f>
        <v>13.55</v>
      </c>
      <c r="AQ218">
        <f t="shared" si="20"/>
        <v>30.93</v>
      </c>
      <c r="AR218" s="6" cm="1">
        <f t="array" ref="AR218">ROUND((VLOOKUP($A218,EnrollData2324,'2324 Jun 24 Enroll'!D$1,FALSE)*Apport_M802324s+VLOOKUP($A218,EnrollData2324,'2324 Jun 24 Enroll'!M$1,FALSE)*Apport_M802324s+(VLOOKUP($A218,EnrollData2324,'2324 Jun 24 Enroll'!P$1,FALSE)+VLOOKUP($A218,EnrollData2324,'2324 Jun 24 Enroll'!Q$1,FALSE)+VLOOKUP($A218,EnrollData2324,'2324 Jun 24 Enroll'!R$1,FALSE)+VLOOKUP($A218,EnrollData2324,'2324 Jun 24 Enroll'!I$1,FALSE)+VLOOKUP($A218,EnrollData2324,'2324 Jun 24 Enroll'!N$1,FALSE)+VLOOKUP($A218,EnrollData2324,'2324 Jun 24 Enroll'!O$1,FALSE)+VLOOKUP($A218,EnrollData2324,'2324 Jun 24 Enroll'!K$1,FALSE)+VLOOKUP($A218,EnrollData2324,'2324 Jun 24 Enroll'!L$1,FALSE))*Apport_M812324s)/(VLOOKUP($A218,EnrollData2324,'2324 Jun 24 Enroll'!M$1,FALSE)+VLOOKUP($A218,EnrollData2324,'2324 Jun 24 Enroll'!D$1,FALSE)),2)</f>
        <v>1704.67</v>
      </c>
      <c r="AS218" s="7">
        <f t="shared" si="21"/>
        <v>10417.09</v>
      </c>
    </row>
    <row r="219" spans="1:45">
      <c r="A219" s="40" t="s">
        <v>757</v>
      </c>
      <c r="B219" s="40" t="s">
        <v>758</v>
      </c>
      <c r="C219" s="11">
        <f>ROUND((IFERROR((1/IF(VLOOKUP($A219,EnrollData2324,28,FALSE)='District Calculations'!$D$10,VLOOKUP($A219,EnrollData2324,28,FALSE),'District Calculations'!$D$10))*(1+Apport_Z315),0))+Apport_201A2324s,6)</f>
        <v>7.3449E-2</v>
      </c>
      <c r="D219">
        <f>ROUND(IF(VLOOKUP($A219,EnrollData2324,'2324 Jun 24 Enroll'!D$1,FALSE)='District Calculations'!$D$11,VLOOKUP($A219,EnrollData2324,'2324 Jun 24 Enroll'!D$1,FALSE),'District Calculations'!$D$11)*C219,3)</f>
        <v>0</v>
      </c>
      <c r="E219">
        <f>ROUND(IF(VLOOKUP($A219,EnrollData2324,'2324 Jun 24 Enroll'!E$1,FALSE)='District Calculations'!$D$12,VLOOKUP($A219,EnrollData2324,'2324 Jun 24 Enroll'!E$1,FALSE),'District Calculations'!$D$12)*C219,3)</f>
        <v>59.53</v>
      </c>
      <c r="F219">
        <f>ROUND(IF(VLOOKUP($A219,EnrollData2324,'2324 Jun 24 Enroll'!F$1,FALSE)='District Calculations'!$D$13,VLOOKUP($A219,EnrollData2324,'2324 Jun 24 Enroll'!F$1,FALSE),'District Calculations'!$D$13)*Apport_222A2324s,3)</f>
        <v>10.101000000000001</v>
      </c>
      <c r="G219">
        <f>ROUND(IF(VLOOKUP($A219,EnrollData2324,'2324 Jun 24 Enroll'!G$1,FALSE)='District Calculations'!$D$14,VLOOKUP($A219,EnrollData2324,'2324 Jun 24 Enroll'!G$1,FALSE),'District Calculations'!$D$14)*Apport_210A2324s,3)</f>
        <v>22.395</v>
      </c>
      <c r="H219">
        <f>ROUND(IF(VLOOKUP($A219,EnrollData2324,'2324 Jun 24 Enroll'!H$1,FALSE)='District Calculations'!$D$15,VLOOKUP($A219,EnrollData2324,'2324 Jun 24 Enroll'!H$1,FALSE),'District Calculations'!$D$15)*Apport_213A2324s,3)</f>
        <v>23.091999999999999</v>
      </c>
      <c r="I219">
        <f>ROUND(IF(VLOOKUP($A219,EnrollData2324,'2324 Jun 24 Enroll'!I$1,FALSE)+VLOOKUP($A219,EnrollData2324,'2324 Jun 24 Enroll'!M$1,FALSE)-VLOOKUP($A219,EnrollData2324,'2324 Jun 24 Enroll'!J$1,FALSE)='District Calculations'!$D$16+'District Calculations'!$D$25-'District Calculations'!$D$17,VLOOKUP($A219,EnrollData2324,'2324 Jun 24 Enroll'!I$1,FALSE)+VLOOKUP($A219,EnrollData2324,'2324 Jun 24 Enroll'!M$1,FALSE)-VLOOKUP($A219,EnrollData2324,'2324 Jun 24 Enroll'!J$1,FALSE),'District Calculations'!$D$16+'District Calculations'!$D$25-'District Calculations'!$D$17)*Apport_216A2324s,3)</f>
        <v>58.183999999999997</v>
      </c>
      <c r="J219">
        <f>ROUND(SUM(D219:I219)/(IF(VLOOKUP($A219,EnrollData2324,'2324 Jun 24 Enroll'!M$1,FALSE)='District Calculations'!$D$25,VLOOKUP($A219,EnrollData2324,'2324 Jun 24 Enroll'!M$1,FALSE),'District Calculations'!$D$25)+IF(VLOOKUP($A219,EnrollData2324,'2324 Jun 24 Enroll'!D$1,FALSE)='District Calculations'!$D$11,VLOOKUP($A219,EnrollData2324,'2324 Jun 24 Enroll'!D$1,FALSE),'District Calculations'!$D$11)),5)</f>
        <v>5.5530000000000003E-2</v>
      </c>
      <c r="K219" s="11">
        <f t="shared" si="17"/>
        <v>4.3699999999999998E-3</v>
      </c>
      <c r="L219">
        <f>ROUND(IF(VLOOKUP($A219,EnrollData2324,'2324 Jun 24 Enroll'!D$1,FALSE)='District Calculations'!$D$11,VLOOKUP($A219,EnrollData2324,'2324 Jun 24 Enroll'!D$1,FALSE),'District Calculations'!$D$11)*K219,3)</f>
        <v>0</v>
      </c>
      <c r="M219">
        <f>ROUND(IF(VLOOKUP($A219,EnrollData2324,'2324 Jun 24 Enroll'!E$1,FALSE)='District Calculations'!$D$12,VLOOKUP($A219,EnrollData2324,'2324 Jun 24 Enroll'!E$1,FALSE),'District Calculations'!$D$12)*K219,3)</f>
        <v>3.5419999999999998</v>
      </c>
      <c r="N219">
        <f>ROUND(IF(VLOOKUP($A219,EnrollData2324,'2324 Jun 24 Enroll'!F$1,FALSE)='District Calculations'!$D$13,VLOOKUP($A219,EnrollData2324,'2324 Jun 24 Enroll'!F$1,FALSE),'District Calculations'!$D$13)*Apport_223A2324s,3)</f>
        <v>0.84299999999999997</v>
      </c>
      <c r="O219">
        <f>ROUND(IF(VLOOKUP($A219,EnrollData2324,'2324 Jun 24 Enroll'!G$1,FALSE)='District Calculations'!$D$14,VLOOKUP($A219,EnrollData2324,'2324 Jun 24 Enroll'!G$1,FALSE),'District Calculations'!$D$14)*Apport_211A2324s,3)</f>
        <v>1.87</v>
      </c>
      <c r="P219">
        <f>ROUND(IF(VLOOKUP($A219,EnrollData2324,'2324 Jun 24 Enroll'!H$1,FALSE)='District Calculations'!$D$14,VLOOKUP($A219,EnrollData2324,'2324 Jun 24 Enroll'!H$1,FALSE),'District Calculations'!$D$14)*Apport_214A2324s,3)</f>
        <v>1.8680000000000001</v>
      </c>
      <c r="Q219">
        <f>ROUND(IF(VLOOKUP($A219,EnrollData2324,'2324 Jun 24 Enroll'!I$1,FALSE)+VLOOKUP($A219,EnrollData2324,'2324 Jun 24 Enroll'!M$1,FALSE)-VLOOKUP($A219,EnrollData2324,'2324 Jun 24 Enroll'!J$1,FALSE)='District Calculations'!$D$16+'District Calculations'!$D$25-'District Calculations'!$D$17,VLOOKUP($A219,EnrollData2324,'2324 Jun 24 Enroll'!I$1,FALSE)+VLOOKUP($A219,EnrollData2324,'2324 Jun 24 Enroll'!M$1,FALSE)-VLOOKUP($A219,EnrollData2324,'2324 Jun 24 Enroll'!J$1,FALSE),'District Calculations'!$D$16+'District Calculations'!$D$25-'District Calculations'!$D$17)*Apport_217A2324s,3)</f>
        <v>4.702</v>
      </c>
      <c r="R219">
        <f>ROUND(SUM(L219:Q219)/IF(VLOOKUP($A219,EnrollData2324,'2324 Jun 24 Enroll'!M$1,FALSE)+VLOOKUP($A219,EnrollData2324,'2324 Jun 24 Enroll'!D$1,FALSE)='District Calculations'!$D$25+'District Calculations'!$D$11,VLOOKUP($A219,EnrollData2324,'2324 Jun 24 Enroll'!M$1,FALSE)+VLOOKUP($A219,EnrollData2324,'2324 Jun 24 Enroll'!D$1,FALSE),'District Calculations'!$D$25+'District Calculations'!$D$11),5)</f>
        <v>4.1099999999999999E-3</v>
      </c>
      <c r="S219" s="11">
        <f t="shared" si="18"/>
        <v>1.8689600000000001E-2</v>
      </c>
      <c r="T219">
        <f>ROUND(IF(VLOOKUP($A219,EnrollData2324,'2324 Jun 24 Enroll'!D$1,FALSE)='District Calculations'!$D$11,VLOOKUP($A219,EnrollData2324,'2324 Jun 24 Enroll'!D$1,FALSE),'District Calculations'!$D$11)*S219,3)</f>
        <v>0</v>
      </c>
      <c r="U219">
        <f>ROUND(IF(VLOOKUP($A219,EnrollData2324,'2324 Jun 24 Enroll'!E$1,FALSE)='District Calculations'!$D$12,VLOOKUP($A219,EnrollData2324,'2324 Jun 24 Enroll'!E$1,FALSE),'District Calculations'!$D$12)*S219,3)</f>
        <v>15.148</v>
      </c>
      <c r="V219">
        <f>ROUND(IF(VLOOKUP($A219,EnrollData2324,'2324 Jun 24 Enroll'!F$1,FALSE)='District Calculations'!$D$13,VLOOKUP($A219,EnrollData2324,'2324 Jun 24 Enroll'!F$1,FALSE),'District Calculations'!$D$13)*Apport_224A2324s,3)</f>
        <v>3.7029999999999998</v>
      </c>
      <c r="W219">
        <f>ROUND(IF(VLOOKUP($A219,EnrollData2324,'2324 Jun 24 Enroll'!G$1,FALSE)='District Calculations'!$D$14,VLOOKUP($A219,EnrollData2324,'2324 Jun 24 Enroll'!G$1,FALSE),'District Calculations'!$D$14)*Apport_212A2324s,3)</f>
        <v>8.2089999999999996</v>
      </c>
      <c r="X219">
        <f>ROUND(IF(VLOOKUP($A219,EnrollData2324,'2324 Jun 24 Enroll'!H$1,FALSE)='District Calculations'!$D$14,VLOOKUP($A219,EnrollData2324,'2324 Jun 24 Enroll'!H$1,FALSE),'District Calculations'!$D$14)*Apport_215A2324s,3)</f>
        <v>8.0969999999999995</v>
      </c>
      <c r="Y219">
        <f>ROUND(IF(VLOOKUP($A219,EnrollData2324,'2324 Jun 24 Enroll'!I$1,FALSE)+VLOOKUP($A219,EnrollData2324,'2324 Jun 24 Enroll'!M$1,FALSE)-VLOOKUP($A219,EnrollData2324,'2324 Jun 24 Enroll'!J$1,FALSE)='District Calculations'!$D$16+'District Calculations'!$D$25-'District Calculations'!$D$17,VLOOKUP($A219,EnrollData2324,'2324 Jun 24 Enroll'!I$1,FALSE)+VLOOKUP($A219,EnrollData2324,'2324 Jun 24 Enroll'!M$1,FALSE)-VLOOKUP($A219,EnrollData2324,'2324 Jun 24 Enroll'!J$1,FALSE),'District Calculations'!$D$16+'District Calculations'!$D$25-'District Calculations'!$D$17)*Apport_218A2324s,3)</f>
        <v>20.224</v>
      </c>
      <c r="Z219">
        <f>ROUND(SUM(T219:Y219)/IF(VLOOKUP($A219,EnrollData2324,'2324 Jun 24 Enroll'!M$1,FALSE)+VLOOKUP($A219,EnrollData2324,'2324 Jun 24 Enroll'!D$1,FALSE)='District Calculations'!$D$25+'District Calculations'!$D$11,VLOOKUP($A219,EnrollData2324,'2324 Jun 24 Enroll'!M$1,FALSE)+VLOOKUP($A219,EnrollData2324,'2324 Jun 24 Enroll'!D$1,FALSE),'District Calculations'!$D$25+'District Calculations'!$D$11),5)</f>
        <v>1.7749999999999998E-2</v>
      </c>
      <c r="AA219" s="6" cm="1">
        <f t="array" ref="AA219">ROUND($J219*CIS_Base_Salary2324s*VLOOKUP($A219,EnrollData2324,'2324 Jun 24 Enroll'!S$1,FALSE),2)</f>
        <v>4765.53</v>
      </c>
      <c r="AB219" s="6" cm="1">
        <f t="array" ref="AB219">ROUND($J219*CIS_Inc_Salary2324s*(VLOOKUP($A219,EnrollData2324,'2324 Jun 24 Enroll'!T$1,FALSE)+VLOOKUP($A219,EnrollData2324,'2324 Jun 24 Enroll'!U$1,FALSE)),2)-AA219</f>
        <v>176.32999999999993</v>
      </c>
      <c r="AC219" s="6" cm="1">
        <f t="array" ref="AC219">ROUND($R219*CAS_Base_Salary2324s*VLOOKUP($A219,EnrollData2324,'2324 Jun 24 Enroll'!S$1,FALSE),2)</f>
        <v>523.55999999999995</v>
      </c>
      <c r="AD219" s="6" cm="1">
        <f t="array" ref="AD219">ROUND($R219*CAS_Inc_Salary2324s*VLOOKUP($A219,EnrollData2324,'2324 Jun 24 Enroll'!T$1,FALSE),2)-AC219</f>
        <v>19.380000000000109</v>
      </c>
      <c r="AE219" s="6" cm="1">
        <f t="array" ref="AE219">ROUND($Z219*CLS_Base_Salary2324s*VLOOKUP($A219,EnrollData2324,'2324 Jun 24 Enroll'!S$1,FALSE),2)</f>
        <v>1092.76</v>
      </c>
      <c r="AF219" s="6" cm="1">
        <f t="array" ref="AF219">ROUND($Z219*CLS_Inc_Salary2324s*VLOOKUP($A219,EnrollData2324,'2324 Jun 24 Enroll'!T$1,FALSE),2)-AE219</f>
        <v>40.430000000000064</v>
      </c>
      <c r="AG219" cm="1">
        <f t="array" ref="AG219">ROUND(($J219+$R219)*Apport_124X2324s,2)</f>
        <v>734.29</v>
      </c>
      <c r="AH219" s="69">
        <f t="shared" si="19"/>
        <v>68.700000000000045</v>
      </c>
      <c r="AI219" cm="1">
        <f t="array" ref="AI219">ROUND($Z219*Apport_124X2324s,2)</f>
        <v>218.54</v>
      </c>
      <c r="AJ219" cm="1">
        <f t="array" ref="AJ219">ROUND($Z219*Apport_621X2324s*Apport_125X2324s,2)-AI219</f>
        <v>116.51000000000002</v>
      </c>
      <c r="AK219" cm="1">
        <f t="array" ref="AK219">ROUND((AA219+AC219)*Apport_126X2324s,2)</f>
        <v>950.45</v>
      </c>
      <c r="AL219" cm="1">
        <f t="array" ref="AL219">ROUND((AB219+AD219)*Apport_127X2324s,2)</f>
        <v>33.92</v>
      </c>
      <c r="AM219" cm="1">
        <f t="array" ref="AM219">ROUND(AE219*Apport_128X2324s,2)</f>
        <v>241.06</v>
      </c>
      <c r="AN219" cm="1">
        <f t="array" ref="AN219">ROUND(AF219*Apport_129X2324s,2)</f>
        <v>7.5</v>
      </c>
      <c r="AO219" cm="1">
        <f t="array" ref="AO219">ROUND(($J219*CIS_Inc_Salary2324s*(VLOOKUP($A219,EnrollData2324,'2324 Jun 24 Enroll'!T$1,FALSE)+VLOOKUP($A219,EnrollData2324,'2324 Jun 24 Enroll'!U$1,FALSE))/Apport_613Xpd)*Apport_614Xpd,2)</f>
        <v>82.36</v>
      </c>
      <c r="AP219" cm="1">
        <f t="array" ref="AP219">ROUND(AO219*Apport_127X2324s,2)</f>
        <v>14.27</v>
      </c>
      <c r="AQ219">
        <f t="shared" si="20"/>
        <v>30.93</v>
      </c>
      <c r="AR219" s="6" cm="1">
        <f t="array" ref="AR219">ROUND((VLOOKUP($A219,EnrollData2324,'2324 Jun 24 Enroll'!D$1,FALSE)*Apport_M802324s+VLOOKUP($A219,EnrollData2324,'2324 Jun 24 Enroll'!M$1,FALSE)*Apport_M802324s+(VLOOKUP($A219,EnrollData2324,'2324 Jun 24 Enroll'!P$1,FALSE)+VLOOKUP($A219,EnrollData2324,'2324 Jun 24 Enroll'!Q$1,FALSE)+VLOOKUP($A219,EnrollData2324,'2324 Jun 24 Enroll'!R$1,FALSE)+VLOOKUP($A219,EnrollData2324,'2324 Jun 24 Enroll'!I$1,FALSE)+VLOOKUP($A219,EnrollData2324,'2324 Jun 24 Enroll'!N$1,FALSE)+VLOOKUP($A219,EnrollData2324,'2324 Jun 24 Enroll'!O$1,FALSE)+VLOOKUP($A219,EnrollData2324,'2324 Jun 24 Enroll'!K$1,FALSE)+VLOOKUP($A219,EnrollData2324,'2324 Jun 24 Enroll'!L$1,FALSE))*Apport_M812324s)/(VLOOKUP($A219,EnrollData2324,'2324 Jun 24 Enroll'!M$1,FALSE)+VLOOKUP($A219,EnrollData2324,'2324 Jun 24 Enroll'!D$1,FALSE)),2)</f>
        <v>1504.44</v>
      </c>
      <c r="AS219" s="7">
        <f t="shared" si="21"/>
        <v>10620.960000000003</v>
      </c>
    </row>
    <row r="220" spans="1:45">
      <c r="A220" s="40" t="s">
        <v>663</v>
      </c>
      <c r="B220" s="40" t="s">
        <v>664</v>
      </c>
      <c r="C220" s="11">
        <f>ROUND((IFERROR((1/IF(VLOOKUP($A220,EnrollData2324,28,FALSE)='District Calculations'!$D$10,VLOOKUP($A220,EnrollData2324,28,FALSE),'District Calculations'!$D$10))*(1+Apport_Z315),0))+Apport_201A2324s,6)</f>
        <v>7.3449E-2</v>
      </c>
      <c r="D220">
        <f>ROUND(IF(VLOOKUP($A220,EnrollData2324,'2324 Jun 24 Enroll'!D$1,FALSE)='District Calculations'!$D$11,VLOOKUP($A220,EnrollData2324,'2324 Jun 24 Enroll'!D$1,FALSE),'District Calculations'!$D$11)*C220,3)</f>
        <v>0</v>
      </c>
      <c r="E220">
        <f>ROUND(IF(VLOOKUP($A220,EnrollData2324,'2324 Jun 24 Enroll'!E$1,FALSE)='District Calculations'!$D$12,VLOOKUP($A220,EnrollData2324,'2324 Jun 24 Enroll'!E$1,FALSE),'District Calculations'!$D$12)*C220,3)</f>
        <v>59.53</v>
      </c>
      <c r="F220">
        <f>ROUND(IF(VLOOKUP($A220,EnrollData2324,'2324 Jun 24 Enroll'!F$1,FALSE)='District Calculations'!$D$13,VLOOKUP($A220,EnrollData2324,'2324 Jun 24 Enroll'!F$1,FALSE),'District Calculations'!$D$13)*Apport_222A2324s,3)</f>
        <v>10.101000000000001</v>
      </c>
      <c r="G220">
        <f>ROUND(IF(VLOOKUP($A220,EnrollData2324,'2324 Jun 24 Enroll'!G$1,FALSE)='District Calculations'!$D$14,VLOOKUP($A220,EnrollData2324,'2324 Jun 24 Enroll'!G$1,FALSE),'District Calculations'!$D$14)*Apport_210A2324s,3)</f>
        <v>22.395</v>
      </c>
      <c r="H220">
        <f>ROUND(IF(VLOOKUP($A220,EnrollData2324,'2324 Jun 24 Enroll'!H$1,FALSE)='District Calculations'!$D$15,VLOOKUP($A220,EnrollData2324,'2324 Jun 24 Enroll'!H$1,FALSE),'District Calculations'!$D$15)*Apport_213A2324s,3)</f>
        <v>23.091999999999999</v>
      </c>
      <c r="I220">
        <f>ROUND(IF(VLOOKUP($A220,EnrollData2324,'2324 Jun 24 Enroll'!I$1,FALSE)+VLOOKUP($A220,EnrollData2324,'2324 Jun 24 Enroll'!M$1,FALSE)-VLOOKUP($A220,EnrollData2324,'2324 Jun 24 Enroll'!J$1,FALSE)='District Calculations'!$D$16+'District Calculations'!$D$25-'District Calculations'!$D$17,VLOOKUP($A220,EnrollData2324,'2324 Jun 24 Enroll'!I$1,FALSE)+VLOOKUP($A220,EnrollData2324,'2324 Jun 24 Enroll'!M$1,FALSE)-VLOOKUP($A220,EnrollData2324,'2324 Jun 24 Enroll'!J$1,FALSE),'District Calculations'!$D$16+'District Calculations'!$D$25-'District Calculations'!$D$17)*Apport_216A2324s,3)</f>
        <v>58.183999999999997</v>
      </c>
      <c r="J220">
        <f>ROUND(SUM(D220:I220)/(IF(VLOOKUP($A220,EnrollData2324,'2324 Jun 24 Enroll'!M$1,FALSE)='District Calculations'!$D$25,VLOOKUP($A220,EnrollData2324,'2324 Jun 24 Enroll'!M$1,FALSE),'District Calculations'!$D$25)+IF(VLOOKUP($A220,EnrollData2324,'2324 Jun 24 Enroll'!D$1,FALSE)='District Calculations'!$D$11,VLOOKUP($A220,EnrollData2324,'2324 Jun 24 Enroll'!D$1,FALSE),'District Calculations'!$D$11)),5)</f>
        <v>5.5530000000000003E-2</v>
      </c>
      <c r="K220" s="11">
        <f t="shared" si="17"/>
        <v>4.3699999999999998E-3</v>
      </c>
      <c r="L220">
        <f>ROUND(IF(VLOOKUP($A220,EnrollData2324,'2324 Jun 24 Enroll'!D$1,FALSE)='District Calculations'!$D$11,VLOOKUP($A220,EnrollData2324,'2324 Jun 24 Enroll'!D$1,FALSE),'District Calculations'!$D$11)*K220,3)</f>
        <v>0</v>
      </c>
      <c r="M220">
        <f>ROUND(IF(VLOOKUP($A220,EnrollData2324,'2324 Jun 24 Enroll'!E$1,FALSE)='District Calculations'!$D$12,VLOOKUP($A220,EnrollData2324,'2324 Jun 24 Enroll'!E$1,FALSE),'District Calculations'!$D$12)*K220,3)</f>
        <v>3.5419999999999998</v>
      </c>
      <c r="N220">
        <f>ROUND(IF(VLOOKUP($A220,EnrollData2324,'2324 Jun 24 Enroll'!F$1,FALSE)='District Calculations'!$D$13,VLOOKUP($A220,EnrollData2324,'2324 Jun 24 Enroll'!F$1,FALSE),'District Calculations'!$D$13)*Apport_223A2324s,3)</f>
        <v>0.84299999999999997</v>
      </c>
      <c r="O220">
        <f>ROUND(IF(VLOOKUP($A220,EnrollData2324,'2324 Jun 24 Enroll'!G$1,FALSE)='District Calculations'!$D$14,VLOOKUP($A220,EnrollData2324,'2324 Jun 24 Enroll'!G$1,FALSE),'District Calculations'!$D$14)*Apport_211A2324s,3)</f>
        <v>1.87</v>
      </c>
      <c r="P220">
        <f>ROUND(IF(VLOOKUP($A220,EnrollData2324,'2324 Jun 24 Enroll'!H$1,FALSE)='District Calculations'!$D$14,VLOOKUP($A220,EnrollData2324,'2324 Jun 24 Enroll'!H$1,FALSE),'District Calculations'!$D$14)*Apport_214A2324s,3)</f>
        <v>1.8680000000000001</v>
      </c>
      <c r="Q220">
        <f>ROUND(IF(VLOOKUP($A220,EnrollData2324,'2324 Jun 24 Enroll'!I$1,FALSE)+VLOOKUP($A220,EnrollData2324,'2324 Jun 24 Enroll'!M$1,FALSE)-VLOOKUP($A220,EnrollData2324,'2324 Jun 24 Enroll'!J$1,FALSE)='District Calculations'!$D$16+'District Calculations'!$D$25-'District Calculations'!$D$17,VLOOKUP($A220,EnrollData2324,'2324 Jun 24 Enroll'!I$1,FALSE)+VLOOKUP($A220,EnrollData2324,'2324 Jun 24 Enroll'!M$1,FALSE)-VLOOKUP($A220,EnrollData2324,'2324 Jun 24 Enroll'!J$1,FALSE),'District Calculations'!$D$16+'District Calculations'!$D$25-'District Calculations'!$D$17)*Apport_217A2324s,3)</f>
        <v>4.702</v>
      </c>
      <c r="R220">
        <f>ROUND(SUM(L220:Q220)/IF(VLOOKUP($A220,EnrollData2324,'2324 Jun 24 Enroll'!M$1,FALSE)+VLOOKUP($A220,EnrollData2324,'2324 Jun 24 Enroll'!D$1,FALSE)='District Calculations'!$D$25+'District Calculations'!$D$11,VLOOKUP($A220,EnrollData2324,'2324 Jun 24 Enroll'!M$1,FALSE)+VLOOKUP($A220,EnrollData2324,'2324 Jun 24 Enroll'!D$1,FALSE),'District Calculations'!$D$25+'District Calculations'!$D$11),5)</f>
        <v>4.1099999999999999E-3</v>
      </c>
      <c r="S220" s="11">
        <f t="shared" si="18"/>
        <v>1.8689600000000001E-2</v>
      </c>
      <c r="T220">
        <f>ROUND(IF(VLOOKUP($A220,EnrollData2324,'2324 Jun 24 Enroll'!D$1,FALSE)='District Calculations'!$D$11,VLOOKUP($A220,EnrollData2324,'2324 Jun 24 Enroll'!D$1,FALSE),'District Calculations'!$D$11)*S220,3)</f>
        <v>0</v>
      </c>
      <c r="U220">
        <f>ROUND(IF(VLOOKUP($A220,EnrollData2324,'2324 Jun 24 Enroll'!E$1,FALSE)='District Calculations'!$D$12,VLOOKUP($A220,EnrollData2324,'2324 Jun 24 Enroll'!E$1,FALSE),'District Calculations'!$D$12)*S220,3)</f>
        <v>15.148</v>
      </c>
      <c r="V220">
        <f>ROUND(IF(VLOOKUP($A220,EnrollData2324,'2324 Jun 24 Enroll'!F$1,FALSE)='District Calculations'!$D$13,VLOOKUP($A220,EnrollData2324,'2324 Jun 24 Enroll'!F$1,FALSE),'District Calculations'!$D$13)*Apport_224A2324s,3)</f>
        <v>3.7029999999999998</v>
      </c>
      <c r="W220">
        <f>ROUND(IF(VLOOKUP($A220,EnrollData2324,'2324 Jun 24 Enroll'!G$1,FALSE)='District Calculations'!$D$14,VLOOKUP($A220,EnrollData2324,'2324 Jun 24 Enroll'!G$1,FALSE),'District Calculations'!$D$14)*Apport_212A2324s,3)</f>
        <v>8.2089999999999996</v>
      </c>
      <c r="X220">
        <f>ROUND(IF(VLOOKUP($A220,EnrollData2324,'2324 Jun 24 Enroll'!H$1,FALSE)='District Calculations'!$D$14,VLOOKUP($A220,EnrollData2324,'2324 Jun 24 Enroll'!H$1,FALSE),'District Calculations'!$D$14)*Apport_215A2324s,3)</f>
        <v>8.0969999999999995</v>
      </c>
      <c r="Y220">
        <f>ROUND(IF(VLOOKUP($A220,EnrollData2324,'2324 Jun 24 Enroll'!I$1,FALSE)+VLOOKUP($A220,EnrollData2324,'2324 Jun 24 Enroll'!M$1,FALSE)-VLOOKUP($A220,EnrollData2324,'2324 Jun 24 Enroll'!J$1,FALSE)='District Calculations'!$D$16+'District Calculations'!$D$25-'District Calculations'!$D$17,VLOOKUP($A220,EnrollData2324,'2324 Jun 24 Enroll'!I$1,FALSE)+VLOOKUP($A220,EnrollData2324,'2324 Jun 24 Enroll'!M$1,FALSE)-VLOOKUP($A220,EnrollData2324,'2324 Jun 24 Enroll'!J$1,FALSE),'District Calculations'!$D$16+'District Calculations'!$D$25-'District Calculations'!$D$17)*Apport_218A2324s,3)</f>
        <v>20.224</v>
      </c>
      <c r="Z220">
        <f>ROUND(SUM(T220:Y220)/IF(VLOOKUP($A220,EnrollData2324,'2324 Jun 24 Enroll'!M$1,FALSE)+VLOOKUP($A220,EnrollData2324,'2324 Jun 24 Enroll'!D$1,FALSE)='District Calculations'!$D$25+'District Calculations'!$D$11,VLOOKUP($A220,EnrollData2324,'2324 Jun 24 Enroll'!M$1,FALSE)+VLOOKUP($A220,EnrollData2324,'2324 Jun 24 Enroll'!D$1,FALSE),'District Calculations'!$D$25+'District Calculations'!$D$11),5)</f>
        <v>1.7749999999999998E-2</v>
      </c>
      <c r="AA220" s="6" cm="1">
        <f t="array" ref="AA220">ROUND($J220*CIS_Base_Salary2324s*VLOOKUP($A220,EnrollData2324,'2324 Jun 24 Enroll'!S$1,FALSE),2)</f>
        <v>4523.22</v>
      </c>
      <c r="AB220" s="6" cm="1">
        <f t="array" ref="AB220">ROUND($J220*CIS_Inc_Salary2324s*(VLOOKUP($A220,EnrollData2324,'2324 Jun 24 Enroll'!T$1,FALSE)+VLOOKUP($A220,EnrollData2324,'2324 Jun 24 Enroll'!U$1,FALSE)),2)-AA220</f>
        <v>167.35999999999967</v>
      </c>
      <c r="AC220" s="6" cm="1">
        <f t="array" ref="AC220">ROUND($R220*CAS_Base_Salary2324s*VLOOKUP($A220,EnrollData2324,'2324 Jun 24 Enroll'!S$1,FALSE),2)</f>
        <v>496.94</v>
      </c>
      <c r="AD220" s="6" cm="1">
        <f t="array" ref="AD220">ROUND($R220*CAS_Inc_Salary2324s*VLOOKUP($A220,EnrollData2324,'2324 Jun 24 Enroll'!T$1,FALSE),2)-AC220</f>
        <v>18.390000000000043</v>
      </c>
      <c r="AE220" s="6" cm="1">
        <f t="array" ref="AE220">ROUND($Z220*CLS_Base_Salary2324s*VLOOKUP($A220,EnrollData2324,'2324 Jun 24 Enroll'!S$1,FALSE),2)</f>
        <v>1037.2</v>
      </c>
      <c r="AF220" s="6" cm="1">
        <f t="array" ref="AF220">ROUND($Z220*CLS_Inc_Salary2324s*VLOOKUP($A220,EnrollData2324,'2324 Jun 24 Enroll'!T$1,FALSE),2)-AE220</f>
        <v>38.369999999999891</v>
      </c>
      <c r="AG220" cm="1">
        <f t="array" ref="AG220">ROUND(($J220+$R220)*Apport_124X2324s,2)</f>
        <v>734.29</v>
      </c>
      <c r="AH220" s="69">
        <f t="shared" si="19"/>
        <v>68.700000000000045</v>
      </c>
      <c r="AI220" cm="1">
        <f t="array" ref="AI220">ROUND($Z220*Apport_124X2324s,2)</f>
        <v>218.54</v>
      </c>
      <c r="AJ220" cm="1">
        <f t="array" ref="AJ220">ROUND($Z220*Apport_621X2324s*Apport_125X2324s,2)-AI220</f>
        <v>116.51000000000002</v>
      </c>
      <c r="AK220" cm="1">
        <f t="array" ref="AK220">ROUND((AA220+AC220)*Apport_126X2324s,2)</f>
        <v>902.12</v>
      </c>
      <c r="AL220" cm="1">
        <f t="array" ref="AL220">ROUND((AB220+AD220)*Apport_127X2324s,2)</f>
        <v>32.19</v>
      </c>
      <c r="AM220" cm="1">
        <f t="array" ref="AM220">ROUND(AE220*Apport_128X2324s,2)</f>
        <v>228.81</v>
      </c>
      <c r="AN220" cm="1">
        <f t="array" ref="AN220">ROUND(AF220*Apport_129X2324s,2)</f>
        <v>7.12</v>
      </c>
      <c r="AO220" cm="1">
        <f t="array" ref="AO220">ROUND(($J220*CIS_Inc_Salary2324s*(VLOOKUP($A220,EnrollData2324,'2324 Jun 24 Enroll'!T$1,FALSE)+VLOOKUP($A220,EnrollData2324,'2324 Jun 24 Enroll'!U$1,FALSE))/Apport_613Xpd)*Apport_614Xpd,2)</f>
        <v>78.180000000000007</v>
      </c>
      <c r="AP220" cm="1">
        <f t="array" ref="AP220">ROUND(AO220*Apport_127X2324s,2)</f>
        <v>13.55</v>
      </c>
      <c r="AQ220">
        <f t="shared" si="20"/>
        <v>30.93</v>
      </c>
      <c r="AR220" s="6" cm="1">
        <f t="array" ref="AR220">ROUND((VLOOKUP($A220,EnrollData2324,'2324 Jun 24 Enroll'!D$1,FALSE)*Apport_M802324s+VLOOKUP($A220,EnrollData2324,'2324 Jun 24 Enroll'!M$1,FALSE)*Apport_M802324s+(VLOOKUP($A220,EnrollData2324,'2324 Jun 24 Enroll'!P$1,FALSE)+VLOOKUP($A220,EnrollData2324,'2324 Jun 24 Enroll'!Q$1,FALSE)+VLOOKUP($A220,EnrollData2324,'2324 Jun 24 Enroll'!R$1,FALSE)+VLOOKUP($A220,EnrollData2324,'2324 Jun 24 Enroll'!I$1,FALSE)+VLOOKUP($A220,EnrollData2324,'2324 Jun 24 Enroll'!N$1,FALSE)+VLOOKUP($A220,EnrollData2324,'2324 Jun 24 Enroll'!O$1,FALSE)+VLOOKUP($A220,EnrollData2324,'2324 Jun 24 Enroll'!K$1,FALSE)+VLOOKUP($A220,EnrollData2324,'2324 Jun 24 Enroll'!L$1,FALSE))*Apport_M812324s)/(VLOOKUP($A220,EnrollData2324,'2324 Jun 24 Enroll'!M$1,FALSE)+VLOOKUP($A220,EnrollData2324,'2324 Jun 24 Enroll'!D$1,FALSE)),2)</f>
        <v>1633.87</v>
      </c>
      <c r="AS220" s="7">
        <f t="shared" si="21"/>
        <v>10346.290000000001</v>
      </c>
    </row>
    <row r="221" spans="1:45">
      <c r="A221" s="40" t="s">
        <v>562</v>
      </c>
      <c r="B221" s="40" t="s">
        <v>563</v>
      </c>
      <c r="C221" s="11">
        <f>ROUND((IFERROR((1/IF(VLOOKUP($A221,EnrollData2324,28,FALSE)='District Calculations'!$D$10,VLOOKUP($A221,EnrollData2324,28,FALSE),'District Calculations'!$D$10))*(1+Apport_Z315),0))+Apport_201A2324s,6)</f>
        <v>7.3449E-2</v>
      </c>
      <c r="D221">
        <f>ROUND(IF(VLOOKUP($A221,EnrollData2324,'2324 Jun 24 Enroll'!D$1,FALSE)='District Calculations'!$D$11,VLOOKUP($A221,EnrollData2324,'2324 Jun 24 Enroll'!D$1,FALSE),'District Calculations'!$D$11)*C221,3)</f>
        <v>0</v>
      </c>
      <c r="E221">
        <f>ROUND(IF(VLOOKUP($A221,EnrollData2324,'2324 Jun 24 Enroll'!E$1,FALSE)='District Calculations'!$D$12,VLOOKUP($A221,EnrollData2324,'2324 Jun 24 Enroll'!E$1,FALSE),'District Calculations'!$D$12)*C221,3)</f>
        <v>59.53</v>
      </c>
      <c r="F221">
        <f>ROUND(IF(VLOOKUP($A221,EnrollData2324,'2324 Jun 24 Enroll'!F$1,FALSE)='District Calculations'!$D$13,VLOOKUP($A221,EnrollData2324,'2324 Jun 24 Enroll'!F$1,FALSE),'District Calculations'!$D$13)*Apport_222A2324s,3)</f>
        <v>10.101000000000001</v>
      </c>
      <c r="G221">
        <f>ROUND(IF(VLOOKUP($A221,EnrollData2324,'2324 Jun 24 Enroll'!G$1,FALSE)='District Calculations'!$D$14,VLOOKUP($A221,EnrollData2324,'2324 Jun 24 Enroll'!G$1,FALSE),'District Calculations'!$D$14)*Apport_210A2324s,3)</f>
        <v>22.395</v>
      </c>
      <c r="H221">
        <f>ROUND(IF(VLOOKUP($A221,EnrollData2324,'2324 Jun 24 Enroll'!H$1,FALSE)='District Calculations'!$D$15,VLOOKUP($A221,EnrollData2324,'2324 Jun 24 Enroll'!H$1,FALSE),'District Calculations'!$D$15)*Apport_213A2324s,3)</f>
        <v>23.091999999999999</v>
      </c>
      <c r="I221">
        <f>ROUND(IF(VLOOKUP($A221,EnrollData2324,'2324 Jun 24 Enroll'!I$1,FALSE)+VLOOKUP($A221,EnrollData2324,'2324 Jun 24 Enroll'!M$1,FALSE)-VLOOKUP($A221,EnrollData2324,'2324 Jun 24 Enroll'!J$1,FALSE)='District Calculations'!$D$16+'District Calculations'!$D$25-'District Calculations'!$D$17,VLOOKUP($A221,EnrollData2324,'2324 Jun 24 Enroll'!I$1,FALSE)+VLOOKUP($A221,EnrollData2324,'2324 Jun 24 Enroll'!M$1,FALSE)-VLOOKUP($A221,EnrollData2324,'2324 Jun 24 Enroll'!J$1,FALSE),'District Calculations'!$D$16+'District Calculations'!$D$25-'District Calculations'!$D$17)*Apport_216A2324s,3)</f>
        <v>58.183999999999997</v>
      </c>
      <c r="J221">
        <f>ROUND(SUM(D221:I221)/(IF(VLOOKUP($A221,EnrollData2324,'2324 Jun 24 Enroll'!M$1,FALSE)='District Calculations'!$D$25,VLOOKUP($A221,EnrollData2324,'2324 Jun 24 Enroll'!M$1,FALSE),'District Calculations'!$D$25)+IF(VLOOKUP($A221,EnrollData2324,'2324 Jun 24 Enroll'!D$1,FALSE)='District Calculations'!$D$11,VLOOKUP($A221,EnrollData2324,'2324 Jun 24 Enroll'!D$1,FALSE),'District Calculations'!$D$11)),5)</f>
        <v>5.5530000000000003E-2</v>
      </c>
      <c r="K221" s="11">
        <f t="shared" si="17"/>
        <v>4.3699999999999998E-3</v>
      </c>
      <c r="L221">
        <f>ROUND(IF(VLOOKUP($A221,EnrollData2324,'2324 Jun 24 Enroll'!D$1,FALSE)='District Calculations'!$D$11,VLOOKUP($A221,EnrollData2324,'2324 Jun 24 Enroll'!D$1,FALSE),'District Calculations'!$D$11)*K221,3)</f>
        <v>0</v>
      </c>
      <c r="M221">
        <f>ROUND(IF(VLOOKUP($A221,EnrollData2324,'2324 Jun 24 Enroll'!E$1,FALSE)='District Calculations'!$D$12,VLOOKUP($A221,EnrollData2324,'2324 Jun 24 Enroll'!E$1,FALSE),'District Calculations'!$D$12)*K221,3)</f>
        <v>3.5419999999999998</v>
      </c>
      <c r="N221">
        <f>ROUND(IF(VLOOKUP($A221,EnrollData2324,'2324 Jun 24 Enroll'!F$1,FALSE)='District Calculations'!$D$13,VLOOKUP($A221,EnrollData2324,'2324 Jun 24 Enroll'!F$1,FALSE),'District Calculations'!$D$13)*Apport_223A2324s,3)</f>
        <v>0.84299999999999997</v>
      </c>
      <c r="O221">
        <f>ROUND(IF(VLOOKUP($A221,EnrollData2324,'2324 Jun 24 Enroll'!G$1,FALSE)='District Calculations'!$D$14,VLOOKUP($A221,EnrollData2324,'2324 Jun 24 Enroll'!G$1,FALSE),'District Calculations'!$D$14)*Apport_211A2324s,3)</f>
        <v>1.87</v>
      </c>
      <c r="P221">
        <f>ROUND(IF(VLOOKUP($A221,EnrollData2324,'2324 Jun 24 Enroll'!H$1,FALSE)='District Calculations'!$D$14,VLOOKUP($A221,EnrollData2324,'2324 Jun 24 Enroll'!H$1,FALSE),'District Calculations'!$D$14)*Apport_214A2324s,3)</f>
        <v>1.8680000000000001</v>
      </c>
      <c r="Q221">
        <f>ROUND(IF(VLOOKUP($A221,EnrollData2324,'2324 Jun 24 Enroll'!I$1,FALSE)+VLOOKUP($A221,EnrollData2324,'2324 Jun 24 Enroll'!M$1,FALSE)-VLOOKUP($A221,EnrollData2324,'2324 Jun 24 Enroll'!J$1,FALSE)='District Calculations'!$D$16+'District Calculations'!$D$25-'District Calculations'!$D$17,VLOOKUP($A221,EnrollData2324,'2324 Jun 24 Enroll'!I$1,FALSE)+VLOOKUP($A221,EnrollData2324,'2324 Jun 24 Enroll'!M$1,FALSE)-VLOOKUP($A221,EnrollData2324,'2324 Jun 24 Enroll'!J$1,FALSE),'District Calculations'!$D$16+'District Calculations'!$D$25-'District Calculations'!$D$17)*Apport_217A2324s,3)</f>
        <v>4.702</v>
      </c>
      <c r="R221">
        <f>ROUND(SUM(L221:Q221)/IF(VLOOKUP($A221,EnrollData2324,'2324 Jun 24 Enroll'!M$1,FALSE)+VLOOKUP($A221,EnrollData2324,'2324 Jun 24 Enroll'!D$1,FALSE)='District Calculations'!$D$25+'District Calculations'!$D$11,VLOOKUP($A221,EnrollData2324,'2324 Jun 24 Enroll'!M$1,FALSE)+VLOOKUP($A221,EnrollData2324,'2324 Jun 24 Enroll'!D$1,FALSE),'District Calculations'!$D$25+'District Calculations'!$D$11),5)</f>
        <v>4.1099999999999999E-3</v>
      </c>
      <c r="S221" s="11">
        <f t="shared" si="18"/>
        <v>1.8689600000000001E-2</v>
      </c>
      <c r="T221">
        <f>ROUND(IF(VLOOKUP($A221,EnrollData2324,'2324 Jun 24 Enroll'!D$1,FALSE)='District Calculations'!$D$11,VLOOKUP($A221,EnrollData2324,'2324 Jun 24 Enroll'!D$1,FALSE),'District Calculations'!$D$11)*S221,3)</f>
        <v>0</v>
      </c>
      <c r="U221">
        <f>ROUND(IF(VLOOKUP($A221,EnrollData2324,'2324 Jun 24 Enroll'!E$1,FALSE)='District Calculations'!$D$12,VLOOKUP($A221,EnrollData2324,'2324 Jun 24 Enroll'!E$1,FALSE),'District Calculations'!$D$12)*S221,3)</f>
        <v>15.148</v>
      </c>
      <c r="V221">
        <f>ROUND(IF(VLOOKUP($A221,EnrollData2324,'2324 Jun 24 Enroll'!F$1,FALSE)='District Calculations'!$D$13,VLOOKUP($A221,EnrollData2324,'2324 Jun 24 Enroll'!F$1,FALSE),'District Calculations'!$D$13)*Apport_224A2324s,3)</f>
        <v>3.7029999999999998</v>
      </c>
      <c r="W221">
        <f>ROUND(IF(VLOOKUP($A221,EnrollData2324,'2324 Jun 24 Enroll'!G$1,FALSE)='District Calculations'!$D$14,VLOOKUP($A221,EnrollData2324,'2324 Jun 24 Enroll'!G$1,FALSE),'District Calculations'!$D$14)*Apport_212A2324s,3)</f>
        <v>8.2089999999999996</v>
      </c>
      <c r="X221">
        <f>ROUND(IF(VLOOKUP($A221,EnrollData2324,'2324 Jun 24 Enroll'!H$1,FALSE)='District Calculations'!$D$14,VLOOKUP($A221,EnrollData2324,'2324 Jun 24 Enroll'!H$1,FALSE),'District Calculations'!$D$14)*Apport_215A2324s,3)</f>
        <v>8.0969999999999995</v>
      </c>
      <c r="Y221">
        <f>ROUND(IF(VLOOKUP($A221,EnrollData2324,'2324 Jun 24 Enroll'!I$1,FALSE)+VLOOKUP($A221,EnrollData2324,'2324 Jun 24 Enroll'!M$1,FALSE)-VLOOKUP($A221,EnrollData2324,'2324 Jun 24 Enroll'!J$1,FALSE)='District Calculations'!$D$16+'District Calculations'!$D$25-'District Calculations'!$D$17,VLOOKUP($A221,EnrollData2324,'2324 Jun 24 Enroll'!I$1,FALSE)+VLOOKUP($A221,EnrollData2324,'2324 Jun 24 Enroll'!M$1,FALSE)-VLOOKUP($A221,EnrollData2324,'2324 Jun 24 Enroll'!J$1,FALSE),'District Calculations'!$D$16+'District Calculations'!$D$25-'District Calculations'!$D$17)*Apport_218A2324s,3)</f>
        <v>20.224</v>
      </c>
      <c r="Z221">
        <f>ROUND(SUM(T221:Y221)/IF(VLOOKUP($A221,EnrollData2324,'2324 Jun 24 Enroll'!M$1,FALSE)+VLOOKUP($A221,EnrollData2324,'2324 Jun 24 Enroll'!D$1,FALSE)='District Calculations'!$D$25+'District Calculations'!$D$11,VLOOKUP($A221,EnrollData2324,'2324 Jun 24 Enroll'!M$1,FALSE)+VLOOKUP($A221,EnrollData2324,'2324 Jun 24 Enroll'!D$1,FALSE),'District Calculations'!$D$25+'District Calculations'!$D$11),5)</f>
        <v>1.7749999999999998E-2</v>
      </c>
      <c r="AA221" s="6" cm="1">
        <f t="array" ref="AA221">ROUND($J221*CIS_Base_Salary2324s*VLOOKUP($A221,EnrollData2324,'2324 Jun 24 Enroll'!S$1,FALSE),2)</f>
        <v>4523.22</v>
      </c>
      <c r="AB221" s="6" cm="1">
        <f t="array" ref="AB221">ROUND($J221*CIS_Inc_Salary2324s*(VLOOKUP($A221,EnrollData2324,'2324 Jun 24 Enroll'!T$1,FALSE)+VLOOKUP($A221,EnrollData2324,'2324 Jun 24 Enroll'!U$1,FALSE)),2)-AA221</f>
        <v>167.35999999999967</v>
      </c>
      <c r="AC221" s="6" cm="1">
        <f t="array" ref="AC221">ROUND($R221*CAS_Base_Salary2324s*VLOOKUP($A221,EnrollData2324,'2324 Jun 24 Enroll'!S$1,FALSE),2)</f>
        <v>496.94</v>
      </c>
      <c r="AD221" s="6" cm="1">
        <f t="array" ref="AD221">ROUND($R221*CAS_Inc_Salary2324s*VLOOKUP($A221,EnrollData2324,'2324 Jun 24 Enroll'!T$1,FALSE),2)-AC221</f>
        <v>18.390000000000043</v>
      </c>
      <c r="AE221" s="6" cm="1">
        <f t="array" ref="AE221">ROUND($Z221*CLS_Base_Salary2324s*VLOOKUP($A221,EnrollData2324,'2324 Jun 24 Enroll'!S$1,FALSE),2)</f>
        <v>1037.2</v>
      </c>
      <c r="AF221" s="6" cm="1">
        <f t="array" ref="AF221">ROUND($Z221*CLS_Inc_Salary2324s*VLOOKUP($A221,EnrollData2324,'2324 Jun 24 Enroll'!T$1,FALSE),2)-AE221</f>
        <v>38.369999999999891</v>
      </c>
      <c r="AG221" cm="1">
        <f t="array" ref="AG221">ROUND(($J221+$R221)*Apport_124X2324s,2)</f>
        <v>734.29</v>
      </c>
      <c r="AH221" s="69">
        <f t="shared" si="19"/>
        <v>68.700000000000045</v>
      </c>
      <c r="AI221" cm="1">
        <f t="array" ref="AI221">ROUND($Z221*Apport_124X2324s,2)</f>
        <v>218.54</v>
      </c>
      <c r="AJ221" cm="1">
        <f t="array" ref="AJ221">ROUND($Z221*Apport_621X2324s*Apport_125X2324s,2)-AI221</f>
        <v>116.51000000000002</v>
      </c>
      <c r="AK221" cm="1">
        <f t="array" ref="AK221">ROUND((AA221+AC221)*Apport_126X2324s,2)</f>
        <v>902.12</v>
      </c>
      <c r="AL221" cm="1">
        <f t="array" ref="AL221">ROUND((AB221+AD221)*Apport_127X2324s,2)</f>
        <v>32.19</v>
      </c>
      <c r="AM221" cm="1">
        <f t="array" ref="AM221">ROUND(AE221*Apport_128X2324s,2)</f>
        <v>228.81</v>
      </c>
      <c r="AN221" cm="1">
        <f t="array" ref="AN221">ROUND(AF221*Apport_129X2324s,2)</f>
        <v>7.12</v>
      </c>
      <c r="AO221" cm="1">
        <f t="array" ref="AO221">ROUND(($J221*CIS_Inc_Salary2324s*(VLOOKUP($A221,EnrollData2324,'2324 Jun 24 Enroll'!T$1,FALSE)+VLOOKUP($A221,EnrollData2324,'2324 Jun 24 Enroll'!U$1,FALSE))/Apport_613Xpd)*Apport_614Xpd,2)</f>
        <v>78.180000000000007</v>
      </c>
      <c r="AP221" cm="1">
        <f t="array" ref="AP221">ROUND(AO221*Apport_127X2324s,2)</f>
        <v>13.55</v>
      </c>
      <c r="AQ221">
        <f t="shared" si="20"/>
        <v>30.93</v>
      </c>
      <c r="AR221" s="6" cm="1">
        <f t="array" ref="AR221">ROUND((VLOOKUP($A221,EnrollData2324,'2324 Jun 24 Enroll'!D$1,FALSE)*Apport_M802324s+VLOOKUP($A221,EnrollData2324,'2324 Jun 24 Enroll'!M$1,FALSE)*Apport_M802324s+(VLOOKUP($A221,EnrollData2324,'2324 Jun 24 Enroll'!P$1,FALSE)+VLOOKUP($A221,EnrollData2324,'2324 Jun 24 Enroll'!Q$1,FALSE)+VLOOKUP($A221,EnrollData2324,'2324 Jun 24 Enroll'!R$1,FALSE)+VLOOKUP($A221,EnrollData2324,'2324 Jun 24 Enroll'!I$1,FALSE)+VLOOKUP($A221,EnrollData2324,'2324 Jun 24 Enroll'!N$1,FALSE)+VLOOKUP($A221,EnrollData2324,'2324 Jun 24 Enroll'!O$1,FALSE)+VLOOKUP($A221,EnrollData2324,'2324 Jun 24 Enroll'!K$1,FALSE)+VLOOKUP($A221,EnrollData2324,'2324 Jun 24 Enroll'!L$1,FALSE))*Apport_M812324s)/(VLOOKUP($A221,EnrollData2324,'2324 Jun 24 Enroll'!M$1,FALSE)+VLOOKUP($A221,EnrollData2324,'2324 Jun 24 Enroll'!D$1,FALSE)),2)</f>
        <v>1581.42</v>
      </c>
      <c r="AS221" s="7">
        <f t="shared" si="21"/>
        <v>10293.84</v>
      </c>
    </row>
    <row r="222" spans="1:45">
      <c r="A222" s="40" t="s">
        <v>743</v>
      </c>
      <c r="B222" s="40" t="s">
        <v>744</v>
      </c>
      <c r="C222" s="11">
        <f>ROUND((IFERROR((1/IF(VLOOKUP($A222,EnrollData2324,28,FALSE)='District Calculations'!$D$10,VLOOKUP($A222,EnrollData2324,28,FALSE),'District Calculations'!$D$10))*(1+Apport_Z315),0))+Apport_201A2324s,6)</f>
        <v>7.3449E-2</v>
      </c>
      <c r="D222">
        <f>ROUND(IF(VLOOKUP($A222,EnrollData2324,'2324 Jun 24 Enroll'!D$1,FALSE)='District Calculations'!$D$11,VLOOKUP($A222,EnrollData2324,'2324 Jun 24 Enroll'!D$1,FALSE),'District Calculations'!$D$11)*C222,3)</f>
        <v>0</v>
      </c>
      <c r="E222">
        <f>ROUND(IF(VLOOKUP($A222,EnrollData2324,'2324 Jun 24 Enroll'!E$1,FALSE)='District Calculations'!$D$12,VLOOKUP($A222,EnrollData2324,'2324 Jun 24 Enroll'!E$1,FALSE),'District Calculations'!$D$12)*C222,3)</f>
        <v>59.53</v>
      </c>
      <c r="F222">
        <f>ROUND(IF(VLOOKUP($A222,EnrollData2324,'2324 Jun 24 Enroll'!F$1,FALSE)='District Calculations'!$D$13,VLOOKUP($A222,EnrollData2324,'2324 Jun 24 Enroll'!F$1,FALSE),'District Calculations'!$D$13)*Apport_222A2324s,3)</f>
        <v>10.101000000000001</v>
      </c>
      <c r="G222">
        <f>ROUND(IF(VLOOKUP($A222,EnrollData2324,'2324 Jun 24 Enroll'!G$1,FALSE)='District Calculations'!$D$14,VLOOKUP($A222,EnrollData2324,'2324 Jun 24 Enroll'!G$1,FALSE),'District Calculations'!$D$14)*Apport_210A2324s,3)</f>
        <v>22.395</v>
      </c>
      <c r="H222">
        <f>ROUND(IF(VLOOKUP($A222,EnrollData2324,'2324 Jun 24 Enroll'!H$1,FALSE)='District Calculations'!$D$15,VLOOKUP($A222,EnrollData2324,'2324 Jun 24 Enroll'!H$1,FALSE),'District Calculations'!$D$15)*Apport_213A2324s,3)</f>
        <v>23.091999999999999</v>
      </c>
      <c r="I222">
        <f>ROUND(IF(VLOOKUP($A222,EnrollData2324,'2324 Jun 24 Enroll'!I$1,FALSE)+VLOOKUP($A222,EnrollData2324,'2324 Jun 24 Enroll'!M$1,FALSE)-VLOOKUP($A222,EnrollData2324,'2324 Jun 24 Enroll'!J$1,FALSE)='District Calculations'!$D$16+'District Calculations'!$D$25-'District Calculations'!$D$17,VLOOKUP($A222,EnrollData2324,'2324 Jun 24 Enroll'!I$1,FALSE)+VLOOKUP($A222,EnrollData2324,'2324 Jun 24 Enroll'!M$1,FALSE)-VLOOKUP($A222,EnrollData2324,'2324 Jun 24 Enroll'!J$1,FALSE),'District Calculations'!$D$16+'District Calculations'!$D$25-'District Calculations'!$D$17)*Apport_216A2324s,3)</f>
        <v>58.183999999999997</v>
      </c>
      <c r="J222">
        <f>ROUND(SUM(D222:I222)/(IF(VLOOKUP($A222,EnrollData2324,'2324 Jun 24 Enroll'!M$1,FALSE)='District Calculations'!$D$25,VLOOKUP($A222,EnrollData2324,'2324 Jun 24 Enroll'!M$1,FALSE),'District Calculations'!$D$25)+IF(VLOOKUP($A222,EnrollData2324,'2324 Jun 24 Enroll'!D$1,FALSE)='District Calculations'!$D$11,VLOOKUP($A222,EnrollData2324,'2324 Jun 24 Enroll'!D$1,FALSE),'District Calculations'!$D$11)),5)</f>
        <v>5.5530000000000003E-2</v>
      </c>
      <c r="K222" s="11">
        <f t="shared" si="17"/>
        <v>4.3699999999999998E-3</v>
      </c>
      <c r="L222">
        <f>ROUND(IF(VLOOKUP($A222,EnrollData2324,'2324 Jun 24 Enroll'!D$1,FALSE)='District Calculations'!$D$11,VLOOKUP($A222,EnrollData2324,'2324 Jun 24 Enroll'!D$1,FALSE),'District Calculations'!$D$11)*K222,3)</f>
        <v>0</v>
      </c>
      <c r="M222">
        <f>ROUND(IF(VLOOKUP($A222,EnrollData2324,'2324 Jun 24 Enroll'!E$1,FALSE)='District Calculations'!$D$12,VLOOKUP($A222,EnrollData2324,'2324 Jun 24 Enroll'!E$1,FALSE),'District Calculations'!$D$12)*K222,3)</f>
        <v>3.5419999999999998</v>
      </c>
      <c r="N222">
        <f>ROUND(IF(VLOOKUP($A222,EnrollData2324,'2324 Jun 24 Enroll'!F$1,FALSE)='District Calculations'!$D$13,VLOOKUP($A222,EnrollData2324,'2324 Jun 24 Enroll'!F$1,FALSE),'District Calculations'!$D$13)*Apport_223A2324s,3)</f>
        <v>0.84299999999999997</v>
      </c>
      <c r="O222">
        <f>ROUND(IF(VLOOKUP($A222,EnrollData2324,'2324 Jun 24 Enroll'!G$1,FALSE)='District Calculations'!$D$14,VLOOKUP($A222,EnrollData2324,'2324 Jun 24 Enroll'!G$1,FALSE),'District Calculations'!$D$14)*Apport_211A2324s,3)</f>
        <v>1.87</v>
      </c>
      <c r="P222">
        <f>ROUND(IF(VLOOKUP($A222,EnrollData2324,'2324 Jun 24 Enroll'!H$1,FALSE)='District Calculations'!$D$14,VLOOKUP($A222,EnrollData2324,'2324 Jun 24 Enroll'!H$1,FALSE),'District Calculations'!$D$14)*Apport_214A2324s,3)</f>
        <v>1.8680000000000001</v>
      </c>
      <c r="Q222">
        <f>ROUND(IF(VLOOKUP($A222,EnrollData2324,'2324 Jun 24 Enroll'!I$1,FALSE)+VLOOKUP($A222,EnrollData2324,'2324 Jun 24 Enroll'!M$1,FALSE)-VLOOKUP($A222,EnrollData2324,'2324 Jun 24 Enroll'!J$1,FALSE)='District Calculations'!$D$16+'District Calculations'!$D$25-'District Calculations'!$D$17,VLOOKUP($A222,EnrollData2324,'2324 Jun 24 Enroll'!I$1,FALSE)+VLOOKUP($A222,EnrollData2324,'2324 Jun 24 Enroll'!M$1,FALSE)-VLOOKUP($A222,EnrollData2324,'2324 Jun 24 Enroll'!J$1,FALSE),'District Calculations'!$D$16+'District Calculations'!$D$25-'District Calculations'!$D$17)*Apport_217A2324s,3)</f>
        <v>4.702</v>
      </c>
      <c r="R222">
        <f>ROUND(SUM(L222:Q222)/IF(VLOOKUP($A222,EnrollData2324,'2324 Jun 24 Enroll'!M$1,FALSE)+VLOOKUP($A222,EnrollData2324,'2324 Jun 24 Enroll'!D$1,FALSE)='District Calculations'!$D$25+'District Calculations'!$D$11,VLOOKUP($A222,EnrollData2324,'2324 Jun 24 Enroll'!M$1,FALSE)+VLOOKUP($A222,EnrollData2324,'2324 Jun 24 Enroll'!D$1,FALSE),'District Calculations'!$D$25+'District Calculations'!$D$11),5)</f>
        <v>4.1099999999999999E-3</v>
      </c>
      <c r="S222" s="11">
        <f t="shared" si="18"/>
        <v>1.8689600000000001E-2</v>
      </c>
      <c r="T222">
        <f>ROUND(IF(VLOOKUP($A222,EnrollData2324,'2324 Jun 24 Enroll'!D$1,FALSE)='District Calculations'!$D$11,VLOOKUP($A222,EnrollData2324,'2324 Jun 24 Enroll'!D$1,FALSE),'District Calculations'!$D$11)*S222,3)</f>
        <v>0</v>
      </c>
      <c r="U222">
        <f>ROUND(IF(VLOOKUP($A222,EnrollData2324,'2324 Jun 24 Enroll'!E$1,FALSE)='District Calculations'!$D$12,VLOOKUP($A222,EnrollData2324,'2324 Jun 24 Enroll'!E$1,FALSE),'District Calculations'!$D$12)*S222,3)</f>
        <v>15.148</v>
      </c>
      <c r="V222">
        <f>ROUND(IF(VLOOKUP($A222,EnrollData2324,'2324 Jun 24 Enroll'!F$1,FALSE)='District Calculations'!$D$13,VLOOKUP($A222,EnrollData2324,'2324 Jun 24 Enroll'!F$1,FALSE),'District Calculations'!$D$13)*Apport_224A2324s,3)</f>
        <v>3.7029999999999998</v>
      </c>
      <c r="W222">
        <f>ROUND(IF(VLOOKUP($A222,EnrollData2324,'2324 Jun 24 Enroll'!G$1,FALSE)='District Calculations'!$D$14,VLOOKUP($A222,EnrollData2324,'2324 Jun 24 Enroll'!G$1,FALSE),'District Calculations'!$D$14)*Apport_212A2324s,3)</f>
        <v>8.2089999999999996</v>
      </c>
      <c r="X222">
        <f>ROUND(IF(VLOOKUP($A222,EnrollData2324,'2324 Jun 24 Enroll'!H$1,FALSE)='District Calculations'!$D$14,VLOOKUP($A222,EnrollData2324,'2324 Jun 24 Enroll'!H$1,FALSE),'District Calculations'!$D$14)*Apport_215A2324s,3)</f>
        <v>8.0969999999999995</v>
      </c>
      <c r="Y222">
        <f>ROUND(IF(VLOOKUP($A222,EnrollData2324,'2324 Jun 24 Enroll'!I$1,FALSE)+VLOOKUP($A222,EnrollData2324,'2324 Jun 24 Enroll'!M$1,FALSE)-VLOOKUP($A222,EnrollData2324,'2324 Jun 24 Enroll'!J$1,FALSE)='District Calculations'!$D$16+'District Calculations'!$D$25-'District Calculations'!$D$17,VLOOKUP($A222,EnrollData2324,'2324 Jun 24 Enroll'!I$1,FALSE)+VLOOKUP($A222,EnrollData2324,'2324 Jun 24 Enroll'!M$1,FALSE)-VLOOKUP($A222,EnrollData2324,'2324 Jun 24 Enroll'!J$1,FALSE),'District Calculations'!$D$16+'District Calculations'!$D$25-'District Calculations'!$D$17)*Apport_218A2324s,3)</f>
        <v>20.224</v>
      </c>
      <c r="Z222">
        <f>ROUND(SUM(T222:Y222)/IF(VLOOKUP($A222,EnrollData2324,'2324 Jun 24 Enroll'!M$1,FALSE)+VLOOKUP($A222,EnrollData2324,'2324 Jun 24 Enroll'!D$1,FALSE)='District Calculations'!$D$25+'District Calculations'!$D$11,VLOOKUP($A222,EnrollData2324,'2324 Jun 24 Enroll'!M$1,FALSE)+VLOOKUP($A222,EnrollData2324,'2324 Jun 24 Enroll'!D$1,FALSE),'District Calculations'!$D$25+'District Calculations'!$D$11),5)</f>
        <v>1.7749999999999998E-2</v>
      </c>
      <c r="AA222" s="6" cm="1">
        <f t="array" ref="AA222">ROUND($J222*CIS_Base_Salary2324s*VLOOKUP($A222,EnrollData2324,'2324 Jun 24 Enroll'!S$1,FALSE),2)</f>
        <v>4523.22</v>
      </c>
      <c r="AB222" s="6" cm="1">
        <f t="array" ref="AB222">ROUND($J222*CIS_Inc_Salary2324s*(VLOOKUP($A222,EnrollData2324,'2324 Jun 24 Enroll'!T$1,FALSE)+VLOOKUP($A222,EnrollData2324,'2324 Jun 24 Enroll'!U$1,FALSE)),2)-AA222</f>
        <v>167.35999999999967</v>
      </c>
      <c r="AC222" s="6" cm="1">
        <f t="array" ref="AC222">ROUND($R222*CAS_Base_Salary2324s*VLOOKUP($A222,EnrollData2324,'2324 Jun 24 Enroll'!S$1,FALSE),2)</f>
        <v>496.94</v>
      </c>
      <c r="AD222" s="6" cm="1">
        <f t="array" ref="AD222">ROUND($R222*CAS_Inc_Salary2324s*VLOOKUP($A222,EnrollData2324,'2324 Jun 24 Enroll'!T$1,FALSE),2)-AC222</f>
        <v>18.390000000000043</v>
      </c>
      <c r="AE222" s="6" cm="1">
        <f t="array" ref="AE222">ROUND($Z222*CLS_Base_Salary2324s*VLOOKUP($A222,EnrollData2324,'2324 Jun 24 Enroll'!S$1,FALSE),2)</f>
        <v>1037.2</v>
      </c>
      <c r="AF222" s="6" cm="1">
        <f t="array" ref="AF222">ROUND($Z222*CLS_Inc_Salary2324s*VLOOKUP($A222,EnrollData2324,'2324 Jun 24 Enroll'!T$1,FALSE),2)-AE222</f>
        <v>38.369999999999891</v>
      </c>
      <c r="AG222" cm="1">
        <f t="array" ref="AG222">ROUND(($J222+$R222)*Apport_124X2324s,2)</f>
        <v>734.29</v>
      </c>
      <c r="AH222" s="69">
        <f t="shared" si="19"/>
        <v>68.700000000000045</v>
      </c>
      <c r="AI222" cm="1">
        <f t="array" ref="AI222">ROUND($Z222*Apport_124X2324s,2)</f>
        <v>218.54</v>
      </c>
      <c r="AJ222" cm="1">
        <f t="array" ref="AJ222">ROUND($Z222*Apport_621X2324s*Apport_125X2324s,2)-AI222</f>
        <v>116.51000000000002</v>
      </c>
      <c r="AK222" cm="1">
        <f t="array" ref="AK222">ROUND((AA222+AC222)*Apport_126X2324s,2)</f>
        <v>902.12</v>
      </c>
      <c r="AL222" cm="1">
        <f t="array" ref="AL222">ROUND((AB222+AD222)*Apport_127X2324s,2)</f>
        <v>32.19</v>
      </c>
      <c r="AM222" cm="1">
        <f t="array" ref="AM222">ROUND(AE222*Apport_128X2324s,2)</f>
        <v>228.81</v>
      </c>
      <c r="AN222" cm="1">
        <f t="array" ref="AN222">ROUND(AF222*Apport_129X2324s,2)</f>
        <v>7.12</v>
      </c>
      <c r="AO222" cm="1">
        <f t="array" ref="AO222">ROUND(($J222*CIS_Inc_Salary2324s*(VLOOKUP($A222,EnrollData2324,'2324 Jun 24 Enroll'!T$1,FALSE)+VLOOKUP($A222,EnrollData2324,'2324 Jun 24 Enroll'!U$1,FALSE))/Apport_613Xpd)*Apport_614Xpd,2)</f>
        <v>78.180000000000007</v>
      </c>
      <c r="AP222" cm="1">
        <f t="array" ref="AP222">ROUND(AO222*Apport_127X2324s,2)</f>
        <v>13.55</v>
      </c>
      <c r="AQ222">
        <f t="shared" si="20"/>
        <v>30.93</v>
      </c>
      <c r="AR222" s="6" cm="1">
        <f t="array" ref="AR222">ROUND((VLOOKUP($A222,EnrollData2324,'2324 Jun 24 Enroll'!D$1,FALSE)*Apport_M802324s+VLOOKUP($A222,EnrollData2324,'2324 Jun 24 Enroll'!M$1,FALSE)*Apport_M802324s+(VLOOKUP($A222,EnrollData2324,'2324 Jun 24 Enroll'!P$1,FALSE)+VLOOKUP($A222,EnrollData2324,'2324 Jun 24 Enroll'!Q$1,FALSE)+VLOOKUP($A222,EnrollData2324,'2324 Jun 24 Enroll'!R$1,FALSE)+VLOOKUP($A222,EnrollData2324,'2324 Jun 24 Enroll'!I$1,FALSE)+VLOOKUP($A222,EnrollData2324,'2324 Jun 24 Enroll'!N$1,FALSE)+VLOOKUP($A222,EnrollData2324,'2324 Jun 24 Enroll'!O$1,FALSE)+VLOOKUP($A222,EnrollData2324,'2324 Jun 24 Enroll'!K$1,FALSE)+VLOOKUP($A222,EnrollData2324,'2324 Jun 24 Enroll'!L$1,FALSE))*Apport_M812324s)/(VLOOKUP($A222,EnrollData2324,'2324 Jun 24 Enroll'!M$1,FALSE)+VLOOKUP($A222,EnrollData2324,'2324 Jun 24 Enroll'!D$1,FALSE)),2)</f>
        <v>1579.8</v>
      </c>
      <c r="AS222" s="7">
        <f t="shared" si="21"/>
        <v>10292.219999999999</v>
      </c>
    </row>
    <row r="223" spans="1:45">
      <c r="A223" s="40" t="s">
        <v>402</v>
      </c>
      <c r="B223" s="40" t="s">
        <v>403</v>
      </c>
      <c r="C223" s="11">
        <f>ROUND((IFERROR((1/IF(VLOOKUP($A223,EnrollData2324,28,FALSE)='District Calculations'!$D$10,VLOOKUP($A223,EnrollData2324,28,FALSE),'District Calculations'!$D$10))*(1+Apport_Z315),0))+Apport_201A2324s,6)</f>
        <v>7.3449E-2</v>
      </c>
      <c r="D223">
        <f>ROUND(IF(VLOOKUP($A223,EnrollData2324,'2324 Jun 24 Enroll'!D$1,FALSE)='District Calculations'!$D$11,VLOOKUP($A223,EnrollData2324,'2324 Jun 24 Enroll'!D$1,FALSE),'District Calculations'!$D$11)*C223,3)</f>
        <v>0</v>
      </c>
      <c r="E223">
        <f>ROUND(IF(VLOOKUP($A223,EnrollData2324,'2324 Jun 24 Enroll'!E$1,FALSE)='District Calculations'!$D$12,VLOOKUP($A223,EnrollData2324,'2324 Jun 24 Enroll'!E$1,FALSE),'District Calculations'!$D$12)*C223,3)</f>
        <v>59.53</v>
      </c>
      <c r="F223">
        <f>ROUND(IF(VLOOKUP($A223,EnrollData2324,'2324 Jun 24 Enroll'!F$1,FALSE)='District Calculations'!$D$13,VLOOKUP($A223,EnrollData2324,'2324 Jun 24 Enroll'!F$1,FALSE),'District Calculations'!$D$13)*Apport_222A2324s,3)</f>
        <v>10.101000000000001</v>
      </c>
      <c r="G223">
        <f>ROUND(IF(VLOOKUP($A223,EnrollData2324,'2324 Jun 24 Enroll'!G$1,FALSE)='District Calculations'!$D$14,VLOOKUP($A223,EnrollData2324,'2324 Jun 24 Enroll'!G$1,FALSE),'District Calculations'!$D$14)*Apport_210A2324s,3)</f>
        <v>22.395</v>
      </c>
      <c r="H223">
        <f>ROUND(IF(VLOOKUP($A223,EnrollData2324,'2324 Jun 24 Enroll'!H$1,FALSE)='District Calculations'!$D$15,VLOOKUP($A223,EnrollData2324,'2324 Jun 24 Enroll'!H$1,FALSE),'District Calculations'!$D$15)*Apport_213A2324s,3)</f>
        <v>23.091999999999999</v>
      </c>
      <c r="I223">
        <f>ROUND(IF(VLOOKUP($A223,EnrollData2324,'2324 Jun 24 Enroll'!I$1,FALSE)+VLOOKUP($A223,EnrollData2324,'2324 Jun 24 Enroll'!M$1,FALSE)-VLOOKUP($A223,EnrollData2324,'2324 Jun 24 Enroll'!J$1,FALSE)='District Calculations'!$D$16+'District Calculations'!$D$25-'District Calculations'!$D$17,VLOOKUP($A223,EnrollData2324,'2324 Jun 24 Enroll'!I$1,FALSE)+VLOOKUP($A223,EnrollData2324,'2324 Jun 24 Enroll'!M$1,FALSE)-VLOOKUP($A223,EnrollData2324,'2324 Jun 24 Enroll'!J$1,FALSE),'District Calculations'!$D$16+'District Calculations'!$D$25-'District Calculations'!$D$17)*Apport_216A2324s,3)</f>
        <v>58.183999999999997</v>
      </c>
      <c r="J223">
        <f>ROUND(SUM(D223:I223)/(IF(VLOOKUP($A223,EnrollData2324,'2324 Jun 24 Enroll'!M$1,FALSE)='District Calculations'!$D$25,VLOOKUP($A223,EnrollData2324,'2324 Jun 24 Enroll'!M$1,FALSE),'District Calculations'!$D$25)+IF(VLOOKUP($A223,EnrollData2324,'2324 Jun 24 Enroll'!D$1,FALSE)='District Calculations'!$D$11,VLOOKUP($A223,EnrollData2324,'2324 Jun 24 Enroll'!D$1,FALSE),'District Calculations'!$D$11)),5)</f>
        <v>5.5530000000000003E-2</v>
      </c>
      <c r="K223" s="11">
        <f t="shared" si="17"/>
        <v>4.3699999999999998E-3</v>
      </c>
      <c r="L223">
        <f>ROUND(IF(VLOOKUP($A223,EnrollData2324,'2324 Jun 24 Enroll'!D$1,FALSE)='District Calculations'!$D$11,VLOOKUP($A223,EnrollData2324,'2324 Jun 24 Enroll'!D$1,FALSE),'District Calculations'!$D$11)*K223,3)</f>
        <v>0</v>
      </c>
      <c r="M223">
        <f>ROUND(IF(VLOOKUP($A223,EnrollData2324,'2324 Jun 24 Enroll'!E$1,FALSE)='District Calculations'!$D$12,VLOOKUP($A223,EnrollData2324,'2324 Jun 24 Enroll'!E$1,FALSE),'District Calculations'!$D$12)*K223,3)</f>
        <v>3.5419999999999998</v>
      </c>
      <c r="N223">
        <f>ROUND(IF(VLOOKUP($A223,EnrollData2324,'2324 Jun 24 Enroll'!F$1,FALSE)='District Calculations'!$D$13,VLOOKUP($A223,EnrollData2324,'2324 Jun 24 Enroll'!F$1,FALSE),'District Calculations'!$D$13)*Apport_223A2324s,3)</f>
        <v>0.84299999999999997</v>
      </c>
      <c r="O223">
        <f>ROUND(IF(VLOOKUP($A223,EnrollData2324,'2324 Jun 24 Enroll'!G$1,FALSE)='District Calculations'!$D$14,VLOOKUP($A223,EnrollData2324,'2324 Jun 24 Enroll'!G$1,FALSE),'District Calculations'!$D$14)*Apport_211A2324s,3)</f>
        <v>1.87</v>
      </c>
      <c r="P223">
        <f>ROUND(IF(VLOOKUP($A223,EnrollData2324,'2324 Jun 24 Enroll'!H$1,FALSE)='District Calculations'!$D$14,VLOOKUP($A223,EnrollData2324,'2324 Jun 24 Enroll'!H$1,FALSE),'District Calculations'!$D$14)*Apport_214A2324s,3)</f>
        <v>1.8680000000000001</v>
      </c>
      <c r="Q223">
        <f>ROUND(IF(VLOOKUP($A223,EnrollData2324,'2324 Jun 24 Enroll'!I$1,FALSE)+VLOOKUP($A223,EnrollData2324,'2324 Jun 24 Enroll'!M$1,FALSE)-VLOOKUP($A223,EnrollData2324,'2324 Jun 24 Enroll'!J$1,FALSE)='District Calculations'!$D$16+'District Calculations'!$D$25-'District Calculations'!$D$17,VLOOKUP($A223,EnrollData2324,'2324 Jun 24 Enroll'!I$1,FALSE)+VLOOKUP($A223,EnrollData2324,'2324 Jun 24 Enroll'!M$1,FALSE)-VLOOKUP($A223,EnrollData2324,'2324 Jun 24 Enroll'!J$1,FALSE),'District Calculations'!$D$16+'District Calculations'!$D$25-'District Calculations'!$D$17)*Apport_217A2324s,3)</f>
        <v>4.702</v>
      </c>
      <c r="R223">
        <f>ROUND(SUM(L223:Q223)/IF(VLOOKUP($A223,EnrollData2324,'2324 Jun 24 Enroll'!M$1,FALSE)+VLOOKUP($A223,EnrollData2324,'2324 Jun 24 Enroll'!D$1,FALSE)='District Calculations'!$D$25+'District Calculations'!$D$11,VLOOKUP($A223,EnrollData2324,'2324 Jun 24 Enroll'!M$1,FALSE)+VLOOKUP($A223,EnrollData2324,'2324 Jun 24 Enroll'!D$1,FALSE),'District Calculations'!$D$25+'District Calculations'!$D$11),5)</f>
        <v>4.1099999999999999E-3</v>
      </c>
      <c r="S223" s="11">
        <f t="shared" si="18"/>
        <v>1.8689600000000001E-2</v>
      </c>
      <c r="T223">
        <f>ROUND(IF(VLOOKUP($A223,EnrollData2324,'2324 Jun 24 Enroll'!D$1,FALSE)='District Calculations'!$D$11,VLOOKUP($A223,EnrollData2324,'2324 Jun 24 Enroll'!D$1,FALSE),'District Calculations'!$D$11)*S223,3)</f>
        <v>0</v>
      </c>
      <c r="U223">
        <f>ROUND(IF(VLOOKUP($A223,EnrollData2324,'2324 Jun 24 Enroll'!E$1,FALSE)='District Calculations'!$D$12,VLOOKUP($A223,EnrollData2324,'2324 Jun 24 Enroll'!E$1,FALSE),'District Calculations'!$D$12)*S223,3)</f>
        <v>15.148</v>
      </c>
      <c r="V223">
        <f>ROUND(IF(VLOOKUP($A223,EnrollData2324,'2324 Jun 24 Enroll'!F$1,FALSE)='District Calculations'!$D$13,VLOOKUP($A223,EnrollData2324,'2324 Jun 24 Enroll'!F$1,FALSE),'District Calculations'!$D$13)*Apport_224A2324s,3)</f>
        <v>3.7029999999999998</v>
      </c>
      <c r="W223">
        <f>ROUND(IF(VLOOKUP($A223,EnrollData2324,'2324 Jun 24 Enroll'!G$1,FALSE)='District Calculations'!$D$14,VLOOKUP($A223,EnrollData2324,'2324 Jun 24 Enroll'!G$1,FALSE),'District Calculations'!$D$14)*Apport_212A2324s,3)</f>
        <v>8.2089999999999996</v>
      </c>
      <c r="X223">
        <f>ROUND(IF(VLOOKUP($A223,EnrollData2324,'2324 Jun 24 Enroll'!H$1,FALSE)='District Calculations'!$D$14,VLOOKUP($A223,EnrollData2324,'2324 Jun 24 Enroll'!H$1,FALSE),'District Calculations'!$D$14)*Apport_215A2324s,3)</f>
        <v>8.0969999999999995</v>
      </c>
      <c r="Y223">
        <f>ROUND(IF(VLOOKUP($A223,EnrollData2324,'2324 Jun 24 Enroll'!I$1,FALSE)+VLOOKUP($A223,EnrollData2324,'2324 Jun 24 Enroll'!M$1,FALSE)-VLOOKUP($A223,EnrollData2324,'2324 Jun 24 Enroll'!J$1,FALSE)='District Calculations'!$D$16+'District Calculations'!$D$25-'District Calculations'!$D$17,VLOOKUP($A223,EnrollData2324,'2324 Jun 24 Enroll'!I$1,FALSE)+VLOOKUP($A223,EnrollData2324,'2324 Jun 24 Enroll'!M$1,FALSE)-VLOOKUP($A223,EnrollData2324,'2324 Jun 24 Enroll'!J$1,FALSE),'District Calculations'!$D$16+'District Calculations'!$D$25-'District Calculations'!$D$17)*Apport_218A2324s,3)</f>
        <v>20.224</v>
      </c>
      <c r="Z223">
        <f>ROUND(SUM(T223:Y223)/IF(VLOOKUP($A223,EnrollData2324,'2324 Jun 24 Enroll'!M$1,FALSE)+VLOOKUP($A223,EnrollData2324,'2324 Jun 24 Enroll'!D$1,FALSE)='District Calculations'!$D$25+'District Calculations'!$D$11,VLOOKUP($A223,EnrollData2324,'2324 Jun 24 Enroll'!M$1,FALSE)+VLOOKUP($A223,EnrollData2324,'2324 Jun 24 Enroll'!D$1,FALSE),'District Calculations'!$D$25+'District Calculations'!$D$11),5)</f>
        <v>1.7749999999999998E-2</v>
      </c>
      <c r="AA223" s="6" cm="1">
        <f t="array" ref="AA223">ROUND($J223*CIS_Base_Salary2324s*VLOOKUP($A223,EnrollData2324,'2324 Jun 24 Enroll'!S$1,FALSE),2)</f>
        <v>4402.0600000000004</v>
      </c>
      <c r="AB223" s="6" cm="1">
        <f t="array" ref="AB223">ROUND($J223*CIS_Inc_Salary2324s*(VLOOKUP($A223,EnrollData2324,'2324 Jun 24 Enroll'!T$1,FALSE)+VLOOKUP($A223,EnrollData2324,'2324 Jun 24 Enroll'!U$1,FALSE)),2)-AA223</f>
        <v>162.8799999999992</v>
      </c>
      <c r="AC223" s="6" cm="1">
        <f t="array" ref="AC223">ROUND($R223*CAS_Base_Salary2324s*VLOOKUP($A223,EnrollData2324,'2324 Jun 24 Enroll'!S$1,FALSE),2)</f>
        <v>483.63</v>
      </c>
      <c r="AD223" s="6" cm="1">
        <f t="array" ref="AD223">ROUND($R223*CAS_Inc_Salary2324s*VLOOKUP($A223,EnrollData2324,'2324 Jun 24 Enroll'!T$1,FALSE),2)-AC223</f>
        <v>17.889999999999986</v>
      </c>
      <c r="AE223" s="6" cm="1">
        <f t="array" ref="AE223">ROUND($Z223*CLS_Base_Salary2324s*VLOOKUP($A223,EnrollData2324,'2324 Jun 24 Enroll'!S$1,FALSE),2)</f>
        <v>1009.42</v>
      </c>
      <c r="AF223" s="6" cm="1">
        <f t="array" ref="AF223">ROUND($Z223*CLS_Inc_Salary2324s*VLOOKUP($A223,EnrollData2324,'2324 Jun 24 Enroll'!T$1,FALSE),2)-AE223</f>
        <v>37.340000000000032</v>
      </c>
      <c r="AG223" cm="1">
        <f t="array" ref="AG223">ROUND(($J223+$R223)*Apport_124X2324s,2)</f>
        <v>734.29</v>
      </c>
      <c r="AH223" s="69">
        <f t="shared" si="19"/>
        <v>68.700000000000045</v>
      </c>
      <c r="AI223" cm="1">
        <f t="array" ref="AI223">ROUND($Z223*Apport_124X2324s,2)</f>
        <v>218.54</v>
      </c>
      <c r="AJ223" cm="1">
        <f t="array" ref="AJ223">ROUND($Z223*Apport_621X2324s*Apport_125X2324s,2)-AI223</f>
        <v>116.51000000000002</v>
      </c>
      <c r="AK223" cm="1">
        <f t="array" ref="AK223">ROUND((AA223+AC223)*Apport_126X2324s,2)</f>
        <v>877.96</v>
      </c>
      <c r="AL223" cm="1">
        <f t="array" ref="AL223">ROUND((AB223+AD223)*Apport_127X2324s,2)</f>
        <v>31.33</v>
      </c>
      <c r="AM223" cm="1">
        <f t="array" ref="AM223">ROUND(AE223*Apport_128X2324s,2)</f>
        <v>222.68</v>
      </c>
      <c r="AN223" cm="1">
        <f t="array" ref="AN223">ROUND(AF223*Apport_129X2324s,2)</f>
        <v>6.93</v>
      </c>
      <c r="AO223" cm="1">
        <f t="array" ref="AO223">ROUND(($J223*CIS_Inc_Salary2324s*(VLOOKUP($A223,EnrollData2324,'2324 Jun 24 Enroll'!T$1,FALSE)+VLOOKUP($A223,EnrollData2324,'2324 Jun 24 Enroll'!U$1,FALSE))/Apport_613Xpd)*Apport_614Xpd,2)</f>
        <v>76.08</v>
      </c>
      <c r="AP223" cm="1">
        <f t="array" ref="AP223">ROUND(AO223*Apport_127X2324s,2)</f>
        <v>13.18</v>
      </c>
      <c r="AQ223">
        <f t="shared" si="20"/>
        <v>30.93</v>
      </c>
      <c r="AR223" s="6" cm="1">
        <f t="array" ref="AR223">ROUND((VLOOKUP($A223,EnrollData2324,'2324 Jun 24 Enroll'!D$1,FALSE)*Apport_M802324s+VLOOKUP($A223,EnrollData2324,'2324 Jun 24 Enroll'!M$1,FALSE)*Apport_M802324s+(VLOOKUP($A223,EnrollData2324,'2324 Jun 24 Enroll'!P$1,FALSE)+VLOOKUP($A223,EnrollData2324,'2324 Jun 24 Enroll'!Q$1,FALSE)+VLOOKUP($A223,EnrollData2324,'2324 Jun 24 Enroll'!R$1,FALSE)+VLOOKUP($A223,EnrollData2324,'2324 Jun 24 Enroll'!I$1,FALSE)+VLOOKUP($A223,EnrollData2324,'2324 Jun 24 Enroll'!N$1,FALSE)+VLOOKUP($A223,EnrollData2324,'2324 Jun 24 Enroll'!O$1,FALSE)+VLOOKUP($A223,EnrollData2324,'2324 Jun 24 Enroll'!K$1,FALSE)+VLOOKUP($A223,EnrollData2324,'2324 Jun 24 Enroll'!L$1,FALSE))*Apport_M812324s)/(VLOOKUP($A223,EnrollData2324,'2324 Jun 24 Enroll'!M$1,FALSE)+VLOOKUP($A223,EnrollData2324,'2324 Jun 24 Enroll'!D$1,FALSE)),2)</f>
        <v>1556.56</v>
      </c>
      <c r="AS223" s="7">
        <f t="shared" si="21"/>
        <v>10066.91</v>
      </c>
    </row>
    <row r="224" spans="1:45">
      <c r="A224" s="40" t="s">
        <v>355</v>
      </c>
      <c r="B224" s="40" t="s">
        <v>356</v>
      </c>
      <c r="C224" s="11">
        <f>ROUND((IFERROR((1/IF(VLOOKUP($A224,EnrollData2324,28,FALSE)='District Calculations'!$D$10,VLOOKUP($A224,EnrollData2324,28,FALSE),'District Calculations'!$D$10))*(1+Apport_Z315),0))+Apport_201A2324s,6)</f>
        <v>7.3449E-2</v>
      </c>
      <c r="D224">
        <f>ROUND(IF(VLOOKUP($A224,EnrollData2324,'2324 Jun 24 Enroll'!D$1,FALSE)='District Calculations'!$D$11,VLOOKUP($A224,EnrollData2324,'2324 Jun 24 Enroll'!D$1,FALSE),'District Calculations'!$D$11)*C224,3)</f>
        <v>0</v>
      </c>
      <c r="E224">
        <f>ROUND(IF(VLOOKUP($A224,EnrollData2324,'2324 Jun 24 Enroll'!E$1,FALSE)='District Calculations'!$D$12,VLOOKUP($A224,EnrollData2324,'2324 Jun 24 Enroll'!E$1,FALSE),'District Calculations'!$D$12)*C224,3)</f>
        <v>59.53</v>
      </c>
      <c r="F224">
        <f>ROUND(IF(VLOOKUP($A224,EnrollData2324,'2324 Jun 24 Enroll'!F$1,FALSE)='District Calculations'!$D$13,VLOOKUP($A224,EnrollData2324,'2324 Jun 24 Enroll'!F$1,FALSE),'District Calculations'!$D$13)*Apport_222A2324s,3)</f>
        <v>10.101000000000001</v>
      </c>
      <c r="G224">
        <f>ROUND(IF(VLOOKUP($A224,EnrollData2324,'2324 Jun 24 Enroll'!G$1,FALSE)='District Calculations'!$D$14,VLOOKUP($A224,EnrollData2324,'2324 Jun 24 Enroll'!G$1,FALSE),'District Calculations'!$D$14)*Apport_210A2324s,3)</f>
        <v>22.395</v>
      </c>
      <c r="H224">
        <f>ROUND(IF(VLOOKUP($A224,EnrollData2324,'2324 Jun 24 Enroll'!H$1,FALSE)='District Calculations'!$D$15,VLOOKUP($A224,EnrollData2324,'2324 Jun 24 Enroll'!H$1,FALSE),'District Calculations'!$D$15)*Apport_213A2324s,3)</f>
        <v>23.091999999999999</v>
      </c>
      <c r="I224">
        <f>ROUND(IF(VLOOKUP($A224,EnrollData2324,'2324 Jun 24 Enroll'!I$1,FALSE)+VLOOKUP($A224,EnrollData2324,'2324 Jun 24 Enroll'!M$1,FALSE)-VLOOKUP($A224,EnrollData2324,'2324 Jun 24 Enroll'!J$1,FALSE)='District Calculations'!$D$16+'District Calculations'!$D$25-'District Calculations'!$D$17,VLOOKUP($A224,EnrollData2324,'2324 Jun 24 Enroll'!I$1,FALSE)+VLOOKUP($A224,EnrollData2324,'2324 Jun 24 Enroll'!M$1,FALSE)-VLOOKUP($A224,EnrollData2324,'2324 Jun 24 Enroll'!J$1,FALSE),'District Calculations'!$D$16+'District Calculations'!$D$25-'District Calculations'!$D$17)*Apport_216A2324s,3)</f>
        <v>58.183999999999997</v>
      </c>
      <c r="J224">
        <f>ROUND(SUM(D224:I224)/(IF(VLOOKUP($A224,EnrollData2324,'2324 Jun 24 Enroll'!M$1,FALSE)='District Calculations'!$D$25,VLOOKUP($A224,EnrollData2324,'2324 Jun 24 Enroll'!M$1,FALSE),'District Calculations'!$D$25)+IF(VLOOKUP($A224,EnrollData2324,'2324 Jun 24 Enroll'!D$1,FALSE)='District Calculations'!$D$11,VLOOKUP($A224,EnrollData2324,'2324 Jun 24 Enroll'!D$1,FALSE),'District Calculations'!$D$11)),5)</f>
        <v>5.5530000000000003E-2</v>
      </c>
      <c r="K224" s="11">
        <f t="shared" si="17"/>
        <v>4.3699999999999998E-3</v>
      </c>
      <c r="L224">
        <f>ROUND(IF(VLOOKUP($A224,EnrollData2324,'2324 Jun 24 Enroll'!D$1,FALSE)='District Calculations'!$D$11,VLOOKUP($A224,EnrollData2324,'2324 Jun 24 Enroll'!D$1,FALSE),'District Calculations'!$D$11)*K224,3)</f>
        <v>0</v>
      </c>
      <c r="M224">
        <f>ROUND(IF(VLOOKUP($A224,EnrollData2324,'2324 Jun 24 Enroll'!E$1,FALSE)='District Calculations'!$D$12,VLOOKUP($A224,EnrollData2324,'2324 Jun 24 Enroll'!E$1,FALSE),'District Calculations'!$D$12)*K224,3)</f>
        <v>3.5419999999999998</v>
      </c>
      <c r="N224">
        <f>ROUND(IF(VLOOKUP($A224,EnrollData2324,'2324 Jun 24 Enroll'!F$1,FALSE)='District Calculations'!$D$13,VLOOKUP($A224,EnrollData2324,'2324 Jun 24 Enroll'!F$1,FALSE),'District Calculations'!$D$13)*Apport_223A2324s,3)</f>
        <v>0.84299999999999997</v>
      </c>
      <c r="O224">
        <f>ROUND(IF(VLOOKUP($A224,EnrollData2324,'2324 Jun 24 Enroll'!G$1,FALSE)='District Calculations'!$D$14,VLOOKUP($A224,EnrollData2324,'2324 Jun 24 Enroll'!G$1,FALSE),'District Calculations'!$D$14)*Apport_211A2324s,3)</f>
        <v>1.87</v>
      </c>
      <c r="P224">
        <f>ROUND(IF(VLOOKUP($A224,EnrollData2324,'2324 Jun 24 Enroll'!H$1,FALSE)='District Calculations'!$D$14,VLOOKUP($A224,EnrollData2324,'2324 Jun 24 Enroll'!H$1,FALSE),'District Calculations'!$D$14)*Apport_214A2324s,3)</f>
        <v>1.8680000000000001</v>
      </c>
      <c r="Q224">
        <f>ROUND(IF(VLOOKUP($A224,EnrollData2324,'2324 Jun 24 Enroll'!I$1,FALSE)+VLOOKUP($A224,EnrollData2324,'2324 Jun 24 Enroll'!M$1,FALSE)-VLOOKUP($A224,EnrollData2324,'2324 Jun 24 Enroll'!J$1,FALSE)='District Calculations'!$D$16+'District Calculations'!$D$25-'District Calculations'!$D$17,VLOOKUP($A224,EnrollData2324,'2324 Jun 24 Enroll'!I$1,FALSE)+VLOOKUP($A224,EnrollData2324,'2324 Jun 24 Enroll'!M$1,FALSE)-VLOOKUP($A224,EnrollData2324,'2324 Jun 24 Enroll'!J$1,FALSE),'District Calculations'!$D$16+'District Calculations'!$D$25-'District Calculations'!$D$17)*Apport_217A2324s,3)</f>
        <v>4.702</v>
      </c>
      <c r="R224">
        <f>ROUND(SUM(L224:Q224)/IF(VLOOKUP($A224,EnrollData2324,'2324 Jun 24 Enroll'!M$1,FALSE)+VLOOKUP($A224,EnrollData2324,'2324 Jun 24 Enroll'!D$1,FALSE)='District Calculations'!$D$25+'District Calculations'!$D$11,VLOOKUP($A224,EnrollData2324,'2324 Jun 24 Enroll'!M$1,FALSE)+VLOOKUP($A224,EnrollData2324,'2324 Jun 24 Enroll'!D$1,FALSE),'District Calculations'!$D$25+'District Calculations'!$D$11),5)</f>
        <v>4.1099999999999999E-3</v>
      </c>
      <c r="S224" s="11">
        <f t="shared" si="18"/>
        <v>1.8689600000000001E-2</v>
      </c>
      <c r="T224">
        <f>ROUND(IF(VLOOKUP($A224,EnrollData2324,'2324 Jun 24 Enroll'!D$1,FALSE)='District Calculations'!$D$11,VLOOKUP($A224,EnrollData2324,'2324 Jun 24 Enroll'!D$1,FALSE),'District Calculations'!$D$11)*S224,3)</f>
        <v>0</v>
      </c>
      <c r="U224">
        <f>ROUND(IF(VLOOKUP($A224,EnrollData2324,'2324 Jun 24 Enroll'!E$1,FALSE)='District Calculations'!$D$12,VLOOKUP($A224,EnrollData2324,'2324 Jun 24 Enroll'!E$1,FALSE),'District Calculations'!$D$12)*S224,3)</f>
        <v>15.148</v>
      </c>
      <c r="V224">
        <f>ROUND(IF(VLOOKUP($A224,EnrollData2324,'2324 Jun 24 Enroll'!F$1,FALSE)='District Calculations'!$D$13,VLOOKUP($A224,EnrollData2324,'2324 Jun 24 Enroll'!F$1,FALSE),'District Calculations'!$D$13)*Apport_224A2324s,3)</f>
        <v>3.7029999999999998</v>
      </c>
      <c r="W224">
        <f>ROUND(IF(VLOOKUP($A224,EnrollData2324,'2324 Jun 24 Enroll'!G$1,FALSE)='District Calculations'!$D$14,VLOOKUP($A224,EnrollData2324,'2324 Jun 24 Enroll'!G$1,FALSE),'District Calculations'!$D$14)*Apport_212A2324s,3)</f>
        <v>8.2089999999999996</v>
      </c>
      <c r="X224">
        <f>ROUND(IF(VLOOKUP($A224,EnrollData2324,'2324 Jun 24 Enroll'!H$1,FALSE)='District Calculations'!$D$14,VLOOKUP($A224,EnrollData2324,'2324 Jun 24 Enroll'!H$1,FALSE),'District Calculations'!$D$14)*Apport_215A2324s,3)</f>
        <v>8.0969999999999995</v>
      </c>
      <c r="Y224">
        <f>ROUND(IF(VLOOKUP($A224,EnrollData2324,'2324 Jun 24 Enroll'!I$1,FALSE)+VLOOKUP($A224,EnrollData2324,'2324 Jun 24 Enroll'!M$1,FALSE)-VLOOKUP($A224,EnrollData2324,'2324 Jun 24 Enroll'!J$1,FALSE)='District Calculations'!$D$16+'District Calculations'!$D$25-'District Calculations'!$D$17,VLOOKUP($A224,EnrollData2324,'2324 Jun 24 Enroll'!I$1,FALSE)+VLOOKUP($A224,EnrollData2324,'2324 Jun 24 Enroll'!M$1,FALSE)-VLOOKUP($A224,EnrollData2324,'2324 Jun 24 Enroll'!J$1,FALSE),'District Calculations'!$D$16+'District Calculations'!$D$25-'District Calculations'!$D$17)*Apport_218A2324s,3)</f>
        <v>20.224</v>
      </c>
      <c r="Z224">
        <f>ROUND(SUM(T224:Y224)/IF(VLOOKUP($A224,EnrollData2324,'2324 Jun 24 Enroll'!M$1,FALSE)+VLOOKUP($A224,EnrollData2324,'2324 Jun 24 Enroll'!D$1,FALSE)='District Calculations'!$D$25+'District Calculations'!$D$11,VLOOKUP($A224,EnrollData2324,'2324 Jun 24 Enroll'!M$1,FALSE)+VLOOKUP($A224,EnrollData2324,'2324 Jun 24 Enroll'!D$1,FALSE),'District Calculations'!$D$25+'District Calculations'!$D$11),5)</f>
        <v>1.7749999999999998E-2</v>
      </c>
      <c r="AA224" s="6" cm="1">
        <f t="array" ref="AA224">ROUND($J224*CIS_Base_Salary2324s*VLOOKUP($A224,EnrollData2324,'2324 Jun 24 Enroll'!S$1,FALSE),2)</f>
        <v>4583.79</v>
      </c>
      <c r="AB224" s="6" cm="1">
        <f t="array" ref="AB224">ROUND($J224*CIS_Inc_Salary2324s*(VLOOKUP($A224,EnrollData2324,'2324 Jun 24 Enroll'!T$1,FALSE)+VLOOKUP($A224,EnrollData2324,'2324 Jun 24 Enroll'!U$1,FALSE)),2)-AA224</f>
        <v>169.60999999999967</v>
      </c>
      <c r="AC224" s="6" cm="1">
        <f t="array" ref="AC224">ROUND($R224*CAS_Base_Salary2324s*VLOOKUP($A224,EnrollData2324,'2324 Jun 24 Enroll'!S$1,FALSE),2)</f>
        <v>503.59</v>
      </c>
      <c r="AD224" s="6" cm="1">
        <f t="array" ref="AD224">ROUND($R224*CAS_Inc_Salary2324s*VLOOKUP($A224,EnrollData2324,'2324 Jun 24 Enroll'!T$1,FALSE),2)-AC224</f>
        <v>18.640000000000043</v>
      </c>
      <c r="AE224" s="6" cm="1">
        <f t="array" ref="AE224">ROUND($Z224*CLS_Base_Salary2324s*VLOOKUP($A224,EnrollData2324,'2324 Jun 24 Enroll'!S$1,FALSE),2)</f>
        <v>1051.0899999999999</v>
      </c>
      <c r="AF224" s="6" cm="1">
        <f t="array" ref="AF224">ROUND($Z224*CLS_Inc_Salary2324s*VLOOKUP($A224,EnrollData2324,'2324 Jun 24 Enroll'!T$1,FALSE),2)-AE224</f>
        <v>38.880000000000109</v>
      </c>
      <c r="AG224" cm="1">
        <f t="array" ref="AG224">ROUND(($J224+$R224)*Apport_124X2324s,2)</f>
        <v>734.29</v>
      </c>
      <c r="AH224" s="69">
        <f t="shared" si="19"/>
        <v>68.700000000000045</v>
      </c>
      <c r="AI224" cm="1">
        <f t="array" ref="AI224">ROUND($Z224*Apport_124X2324s,2)</f>
        <v>218.54</v>
      </c>
      <c r="AJ224" cm="1">
        <f t="array" ref="AJ224">ROUND($Z224*Apport_621X2324s*Apport_125X2324s,2)-AI224</f>
        <v>116.51000000000002</v>
      </c>
      <c r="AK224" cm="1">
        <f t="array" ref="AK224">ROUND((AA224+AC224)*Apport_126X2324s,2)</f>
        <v>914.2</v>
      </c>
      <c r="AL224" cm="1">
        <f t="array" ref="AL224">ROUND((AB224+AD224)*Apport_127X2324s,2)</f>
        <v>32.619999999999997</v>
      </c>
      <c r="AM224" cm="1">
        <f t="array" ref="AM224">ROUND(AE224*Apport_128X2324s,2)</f>
        <v>231.87</v>
      </c>
      <c r="AN224" cm="1">
        <f t="array" ref="AN224">ROUND(AF224*Apport_129X2324s,2)</f>
        <v>7.22</v>
      </c>
      <c r="AO224" cm="1">
        <f t="array" ref="AO224">ROUND(($J224*CIS_Inc_Salary2324s*(VLOOKUP($A224,EnrollData2324,'2324 Jun 24 Enroll'!T$1,FALSE)+VLOOKUP($A224,EnrollData2324,'2324 Jun 24 Enroll'!U$1,FALSE))/Apport_613Xpd)*Apport_614Xpd,2)</f>
        <v>79.22</v>
      </c>
      <c r="AP224" cm="1">
        <f t="array" ref="AP224">ROUND(AO224*Apport_127X2324s,2)</f>
        <v>13.73</v>
      </c>
      <c r="AQ224">
        <f t="shared" si="20"/>
        <v>30.93</v>
      </c>
      <c r="AR224" s="6" cm="1">
        <f t="array" ref="AR224">ROUND((VLOOKUP($A224,EnrollData2324,'2324 Jun 24 Enroll'!D$1,FALSE)*Apport_M802324s+VLOOKUP($A224,EnrollData2324,'2324 Jun 24 Enroll'!M$1,FALSE)*Apport_M802324s+(VLOOKUP($A224,EnrollData2324,'2324 Jun 24 Enroll'!P$1,FALSE)+VLOOKUP($A224,EnrollData2324,'2324 Jun 24 Enroll'!Q$1,FALSE)+VLOOKUP($A224,EnrollData2324,'2324 Jun 24 Enroll'!R$1,FALSE)+VLOOKUP($A224,EnrollData2324,'2324 Jun 24 Enroll'!I$1,FALSE)+VLOOKUP($A224,EnrollData2324,'2324 Jun 24 Enroll'!N$1,FALSE)+VLOOKUP($A224,EnrollData2324,'2324 Jun 24 Enroll'!O$1,FALSE)+VLOOKUP($A224,EnrollData2324,'2324 Jun 24 Enroll'!K$1,FALSE)+VLOOKUP($A224,EnrollData2324,'2324 Jun 24 Enroll'!L$1,FALSE))*Apport_M812324s)/(VLOOKUP($A224,EnrollData2324,'2324 Jun 24 Enroll'!M$1,FALSE)+VLOOKUP($A224,EnrollData2324,'2324 Jun 24 Enroll'!D$1,FALSE)),2)</f>
        <v>1571.37</v>
      </c>
      <c r="AS224" s="7">
        <f t="shared" si="21"/>
        <v>10384.799999999999</v>
      </c>
    </row>
    <row r="225" spans="1:45">
      <c r="A225" s="40" t="s">
        <v>749</v>
      </c>
      <c r="B225" s="40" t="s">
        <v>750</v>
      </c>
      <c r="C225" s="11">
        <f>ROUND((IFERROR((1/IF(VLOOKUP($A225,EnrollData2324,28,FALSE)='District Calculations'!$D$10,VLOOKUP($A225,EnrollData2324,28,FALSE),'District Calculations'!$D$10))*(1+Apport_Z315),0))+Apport_201A2324s,6)</f>
        <v>7.3449E-2</v>
      </c>
      <c r="D225">
        <f>ROUND(IF(VLOOKUP($A225,EnrollData2324,'2324 Jun 24 Enroll'!D$1,FALSE)='District Calculations'!$D$11,VLOOKUP($A225,EnrollData2324,'2324 Jun 24 Enroll'!D$1,FALSE),'District Calculations'!$D$11)*C225,3)</f>
        <v>0</v>
      </c>
      <c r="E225">
        <f>ROUND(IF(VLOOKUP($A225,EnrollData2324,'2324 Jun 24 Enroll'!E$1,FALSE)='District Calculations'!$D$12,VLOOKUP($A225,EnrollData2324,'2324 Jun 24 Enroll'!E$1,FALSE),'District Calculations'!$D$12)*C225,3)</f>
        <v>59.53</v>
      </c>
      <c r="F225">
        <f>ROUND(IF(VLOOKUP($A225,EnrollData2324,'2324 Jun 24 Enroll'!F$1,FALSE)='District Calculations'!$D$13,VLOOKUP($A225,EnrollData2324,'2324 Jun 24 Enroll'!F$1,FALSE),'District Calculations'!$D$13)*Apport_222A2324s,3)</f>
        <v>10.101000000000001</v>
      </c>
      <c r="G225">
        <f>ROUND(IF(VLOOKUP($A225,EnrollData2324,'2324 Jun 24 Enroll'!G$1,FALSE)='District Calculations'!$D$14,VLOOKUP($A225,EnrollData2324,'2324 Jun 24 Enroll'!G$1,FALSE),'District Calculations'!$D$14)*Apport_210A2324s,3)</f>
        <v>22.395</v>
      </c>
      <c r="H225">
        <f>ROUND(IF(VLOOKUP($A225,EnrollData2324,'2324 Jun 24 Enroll'!H$1,FALSE)='District Calculations'!$D$15,VLOOKUP($A225,EnrollData2324,'2324 Jun 24 Enroll'!H$1,FALSE),'District Calculations'!$D$15)*Apport_213A2324s,3)</f>
        <v>23.091999999999999</v>
      </c>
      <c r="I225">
        <f>ROUND(IF(VLOOKUP($A225,EnrollData2324,'2324 Jun 24 Enroll'!I$1,FALSE)+VLOOKUP($A225,EnrollData2324,'2324 Jun 24 Enroll'!M$1,FALSE)-VLOOKUP($A225,EnrollData2324,'2324 Jun 24 Enroll'!J$1,FALSE)='District Calculations'!$D$16+'District Calculations'!$D$25-'District Calculations'!$D$17,VLOOKUP($A225,EnrollData2324,'2324 Jun 24 Enroll'!I$1,FALSE)+VLOOKUP($A225,EnrollData2324,'2324 Jun 24 Enroll'!M$1,FALSE)-VLOOKUP($A225,EnrollData2324,'2324 Jun 24 Enroll'!J$1,FALSE),'District Calculations'!$D$16+'District Calculations'!$D$25-'District Calculations'!$D$17)*Apport_216A2324s,3)</f>
        <v>58.183999999999997</v>
      </c>
      <c r="J225">
        <f>ROUND(SUM(D225:I225)/(IF(VLOOKUP($A225,EnrollData2324,'2324 Jun 24 Enroll'!M$1,FALSE)='District Calculations'!$D$25,VLOOKUP($A225,EnrollData2324,'2324 Jun 24 Enroll'!M$1,FALSE),'District Calculations'!$D$25)+IF(VLOOKUP($A225,EnrollData2324,'2324 Jun 24 Enroll'!D$1,FALSE)='District Calculations'!$D$11,VLOOKUP($A225,EnrollData2324,'2324 Jun 24 Enroll'!D$1,FALSE),'District Calculations'!$D$11)),5)</f>
        <v>5.5530000000000003E-2</v>
      </c>
      <c r="K225" s="11">
        <f t="shared" si="17"/>
        <v>4.3699999999999998E-3</v>
      </c>
      <c r="L225">
        <f>ROUND(IF(VLOOKUP($A225,EnrollData2324,'2324 Jun 24 Enroll'!D$1,FALSE)='District Calculations'!$D$11,VLOOKUP($A225,EnrollData2324,'2324 Jun 24 Enroll'!D$1,FALSE),'District Calculations'!$D$11)*K225,3)</f>
        <v>0</v>
      </c>
      <c r="M225">
        <f>ROUND(IF(VLOOKUP($A225,EnrollData2324,'2324 Jun 24 Enroll'!E$1,FALSE)='District Calculations'!$D$12,VLOOKUP($A225,EnrollData2324,'2324 Jun 24 Enroll'!E$1,FALSE),'District Calculations'!$D$12)*K225,3)</f>
        <v>3.5419999999999998</v>
      </c>
      <c r="N225">
        <f>ROUND(IF(VLOOKUP($A225,EnrollData2324,'2324 Jun 24 Enroll'!F$1,FALSE)='District Calculations'!$D$13,VLOOKUP($A225,EnrollData2324,'2324 Jun 24 Enroll'!F$1,FALSE),'District Calculations'!$D$13)*Apport_223A2324s,3)</f>
        <v>0.84299999999999997</v>
      </c>
      <c r="O225">
        <f>ROUND(IF(VLOOKUP($A225,EnrollData2324,'2324 Jun 24 Enroll'!G$1,FALSE)='District Calculations'!$D$14,VLOOKUP($A225,EnrollData2324,'2324 Jun 24 Enroll'!G$1,FALSE),'District Calculations'!$D$14)*Apport_211A2324s,3)</f>
        <v>1.87</v>
      </c>
      <c r="P225">
        <f>ROUND(IF(VLOOKUP($A225,EnrollData2324,'2324 Jun 24 Enroll'!H$1,FALSE)='District Calculations'!$D$14,VLOOKUP($A225,EnrollData2324,'2324 Jun 24 Enroll'!H$1,FALSE),'District Calculations'!$D$14)*Apport_214A2324s,3)</f>
        <v>1.8680000000000001</v>
      </c>
      <c r="Q225">
        <f>ROUND(IF(VLOOKUP($A225,EnrollData2324,'2324 Jun 24 Enroll'!I$1,FALSE)+VLOOKUP($A225,EnrollData2324,'2324 Jun 24 Enroll'!M$1,FALSE)-VLOOKUP($A225,EnrollData2324,'2324 Jun 24 Enroll'!J$1,FALSE)='District Calculations'!$D$16+'District Calculations'!$D$25-'District Calculations'!$D$17,VLOOKUP($A225,EnrollData2324,'2324 Jun 24 Enroll'!I$1,FALSE)+VLOOKUP($A225,EnrollData2324,'2324 Jun 24 Enroll'!M$1,FALSE)-VLOOKUP($A225,EnrollData2324,'2324 Jun 24 Enroll'!J$1,FALSE),'District Calculations'!$D$16+'District Calculations'!$D$25-'District Calculations'!$D$17)*Apport_217A2324s,3)</f>
        <v>4.702</v>
      </c>
      <c r="R225">
        <f>ROUND(SUM(L225:Q225)/IF(VLOOKUP($A225,EnrollData2324,'2324 Jun 24 Enroll'!M$1,FALSE)+VLOOKUP($A225,EnrollData2324,'2324 Jun 24 Enroll'!D$1,FALSE)='District Calculations'!$D$25+'District Calculations'!$D$11,VLOOKUP($A225,EnrollData2324,'2324 Jun 24 Enroll'!M$1,FALSE)+VLOOKUP($A225,EnrollData2324,'2324 Jun 24 Enroll'!D$1,FALSE),'District Calculations'!$D$25+'District Calculations'!$D$11),5)</f>
        <v>4.1099999999999999E-3</v>
      </c>
      <c r="S225" s="11">
        <f t="shared" si="18"/>
        <v>1.8689600000000001E-2</v>
      </c>
      <c r="T225">
        <f>ROUND(IF(VLOOKUP($A225,EnrollData2324,'2324 Jun 24 Enroll'!D$1,FALSE)='District Calculations'!$D$11,VLOOKUP($A225,EnrollData2324,'2324 Jun 24 Enroll'!D$1,FALSE),'District Calculations'!$D$11)*S225,3)</f>
        <v>0</v>
      </c>
      <c r="U225">
        <f>ROUND(IF(VLOOKUP($A225,EnrollData2324,'2324 Jun 24 Enroll'!E$1,FALSE)='District Calculations'!$D$12,VLOOKUP($A225,EnrollData2324,'2324 Jun 24 Enroll'!E$1,FALSE),'District Calculations'!$D$12)*S225,3)</f>
        <v>15.148</v>
      </c>
      <c r="V225">
        <f>ROUND(IF(VLOOKUP($A225,EnrollData2324,'2324 Jun 24 Enroll'!F$1,FALSE)='District Calculations'!$D$13,VLOOKUP($A225,EnrollData2324,'2324 Jun 24 Enroll'!F$1,FALSE),'District Calculations'!$D$13)*Apport_224A2324s,3)</f>
        <v>3.7029999999999998</v>
      </c>
      <c r="W225">
        <f>ROUND(IF(VLOOKUP($A225,EnrollData2324,'2324 Jun 24 Enroll'!G$1,FALSE)='District Calculations'!$D$14,VLOOKUP($A225,EnrollData2324,'2324 Jun 24 Enroll'!G$1,FALSE),'District Calculations'!$D$14)*Apport_212A2324s,3)</f>
        <v>8.2089999999999996</v>
      </c>
      <c r="X225">
        <f>ROUND(IF(VLOOKUP($A225,EnrollData2324,'2324 Jun 24 Enroll'!H$1,FALSE)='District Calculations'!$D$14,VLOOKUP($A225,EnrollData2324,'2324 Jun 24 Enroll'!H$1,FALSE),'District Calculations'!$D$14)*Apport_215A2324s,3)</f>
        <v>8.0969999999999995</v>
      </c>
      <c r="Y225">
        <f>ROUND(IF(VLOOKUP($A225,EnrollData2324,'2324 Jun 24 Enroll'!I$1,FALSE)+VLOOKUP($A225,EnrollData2324,'2324 Jun 24 Enroll'!M$1,FALSE)-VLOOKUP($A225,EnrollData2324,'2324 Jun 24 Enroll'!J$1,FALSE)='District Calculations'!$D$16+'District Calculations'!$D$25-'District Calculations'!$D$17,VLOOKUP($A225,EnrollData2324,'2324 Jun 24 Enroll'!I$1,FALSE)+VLOOKUP($A225,EnrollData2324,'2324 Jun 24 Enroll'!M$1,FALSE)-VLOOKUP($A225,EnrollData2324,'2324 Jun 24 Enroll'!J$1,FALSE),'District Calculations'!$D$16+'District Calculations'!$D$25-'District Calculations'!$D$17)*Apport_218A2324s,3)</f>
        <v>20.224</v>
      </c>
      <c r="Z225">
        <f>ROUND(SUM(T225:Y225)/IF(VLOOKUP($A225,EnrollData2324,'2324 Jun 24 Enroll'!M$1,FALSE)+VLOOKUP($A225,EnrollData2324,'2324 Jun 24 Enroll'!D$1,FALSE)='District Calculations'!$D$25+'District Calculations'!$D$11,VLOOKUP($A225,EnrollData2324,'2324 Jun 24 Enroll'!M$1,FALSE)+VLOOKUP($A225,EnrollData2324,'2324 Jun 24 Enroll'!D$1,FALSE),'District Calculations'!$D$25+'District Calculations'!$D$11),5)</f>
        <v>1.7749999999999998E-2</v>
      </c>
      <c r="AA225" s="6" cm="1">
        <f t="array" ref="AA225">ROUND($J225*CIS_Base_Salary2324s*VLOOKUP($A225,EnrollData2324,'2324 Jun 24 Enroll'!S$1,FALSE),2)</f>
        <v>4523.22</v>
      </c>
      <c r="AB225" s="6" cm="1">
        <f t="array" ref="AB225">ROUND($J225*CIS_Inc_Salary2324s*(VLOOKUP($A225,EnrollData2324,'2324 Jun 24 Enroll'!T$1,FALSE)+VLOOKUP($A225,EnrollData2324,'2324 Jun 24 Enroll'!U$1,FALSE)),2)-AA225</f>
        <v>167.35999999999967</v>
      </c>
      <c r="AC225" s="6" cm="1">
        <f t="array" ref="AC225">ROUND($R225*CAS_Base_Salary2324s*VLOOKUP($A225,EnrollData2324,'2324 Jun 24 Enroll'!S$1,FALSE),2)</f>
        <v>496.94</v>
      </c>
      <c r="AD225" s="6" cm="1">
        <f t="array" ref="AD225">ROUND($R225*CAS_Inc_Salary2324s*VLOOKUP($A225,EnrollData2324,'2324 Jun 24 Enroll'!T$1,FALSE),2)-AC225</f>
        <v>18.390000000000043</v>
      </c>
      <c r="AE225" s="6" cm="1">
        <f t="array" ref="AE225">ROUND($Z225*CLS_Base_Salary2324s*VLOOKUP($A225,EnrollData2324,'2324 Jun 24 Enroll'!S$1,FALSE),2)</f>
        <v>1037.2</v>
      </c>
      <c r="AF225" s="6" cm="1">
        <f t="array" ref="AF225">ROUND($Z225*CLS_Inc_Salary2324s*VLOOKUP($A225,EnrollData2324,'2324 Jun 24 Enroll'!T$1,FALSE),2)-AE225</f>
        <v>38.369999999999891</v>
      </c>
      <c r="AG225" cm="1">
        <f t="array" ref="AG225">ROUND(($J225+$R225)*Apport_124X2324s,2)</f>
        <v>734.29</v>
      </c>
      <c r="AH225" s="69">
        <f t="shared" si="19"/>
        <v>68.700000000000045</v>
      </c>
      <c r="AI225" cm="1">
        <f t="array" ref="AI225">ROUND($Z225*Apport_124X2324s,2)</f>
        <v>218.54</v>
      </c>
      <c r="AJ225" cm="1">
        <f t="array" ref="AJ225">ROUND($Z225*Apport_621X2324s*Apport_125X2324s,2)-AI225</f>
        <v>116.51000000000002</v>
      </c>
      <c r="AK225" cm="1">
        <f t="array" ref="AK225">ROUND((AA225+AC225)*Apport_126X2324s,2)</f>
        <v>902.12</v>
      </c>
      <c r="AL225" cm="1">
        <f t="array" ref="AL225">ROUND((AB225+AD225)*Apport_127X2324s,2)</f>
        <v>32.19</v>
      </c>
      <c r="AM225" cm="1">
        <f t="array" ref="AM225">ROUND(AE225*Apport_128X2324s,2)</f>
        <v>228.81</v>
      </c>
      <c r="AN225" cm="1">
        <f t="array" ref="AN225">ROUND(AF225*Apport_129X2324s,2)</f>
        <v>7.12</v>
      </c>
      <c r="AO225" cm="1">
        <f t="array" ref="AO225">ROUND(($J225*CIS_Inc_Salary2324s*(VLOOKUP($A225,EnrollData2324,'2324 Jun 24 Enroll'!T$1,FALSE)+VLOOKUP($A225,EnrollData2324,'2324 Jun 24 Enroll'!U$1,FALSE))/Apport_613Xpd)*Apport_614Xpd,2)</f>
        <v>78.180000000000007</v>
      </c>
      <c r="AP225" cm="1">
        <f t="array" ref="AP225">ROUND(AO225*Apport_127X2324s,2)</f>
        <v>13.55</v>
      </c>
      <c r="AQ225">
        <f t="shared" si="20"/>
        <v>30.93</v>
      </c>
      <c r="AR225" s="6" cm="1">
        <f t="array" ref="AR225">ROUND((VLOOKUP($A225,EnrollData2324,'2324 Jun 24 Enroll'!D$1,FALSE)*Apport_M802324s+VLOOKUP($A225,EnrollData2324,'2324 Jun 24 Enroll'!M$1,FALSE)*Apport_M802324s+(VLOOKUP($A225,EnrollData2324,'2324 Jun 24 Enroll'!P$1,FALSE)+VLOOKUP($A225,EnrollData2324,'2324 Jun 24 Enroll'!Q$1,FALSE)+VLOOKUP($A225,EnrollData2324,'2324 Jun 24 Enroll'!R$1,FALSE)+VLOOKUP($A225,EnrollData2324,'2324 Jun 24 Enroll'!I$1,FALSE)+VLOOKUP($A225,EnrollData2324,'2324 Jun 24 Enroll'!N$1,FALSE)+VLOOKUP($A225,EnrollData2324,'2324 Jun 24 Enroll'!O$1,FALSE)+VLOOKUP($A225,EnrollData2324,'2324 Jun 24 Enroll'!K$1,FALSE)+VLOOKUP($A225,EnrollData2324,'2324 Jun 24 Enroll'!L$1,FALSE))*Apport_M812324s)/(VLOOKUP($A225,EnrollData2324,'2324 Jun 24 Enroll'!M$1,FALSE)+VLOOKUP($A225,EnrollData2324,'2324 Jun 24 Enroll'!D$1,FALSE)),2)</f>
        <v>1565.39</v>
      </c>
      <c r="AS225" s="7">
        <f t="shared" si="21"/>
        <v>10277.81</v>
      </c>
    </row>
    <row r="226" spans="1:45">
      <c r="A226" s="40" t="s">
        <v>321</v>
      </c>
      <c r="B226" s="40" t="s">
        <v>322</v>
      </c>
      <c r="C226" s="11">
        <f>ROUND((IFERROR((1/IF(VLOOKUP($A226,EnrollData2324,28,FALSE)='District Calculations'!$D$10,VLOOKUP($A226,EnrollData2324,28,FALSE),'District Calculations'!$D$10))*(1+Apport_Z315),0))+Apport_201A2324s,6)</f>
        <v>7.3449E-2</v>
      </c>
      <c r="D226">
        <f>ROUND(IF(VLOOKUP($A226,EnrollData2324,'2324 Jun 24 Enroll'!D$1,FALSE)='District Calculations'!$D$11,VLOOKUP($A226,EnrollData2324,'2324 Jun 24 Enroll'!D$1,FALSE),'District Calculations'!$D$11)*C226,3)</f>
        <v>0</v>
      </c>
      <c r="E226">
        <f>ROUND(IF(VLOOKUP($A226,EnrollData2324,'2324 Jun 24 Enroll'!E$1,FALSE)='District Calculations'!$D$12,VLOOKUP($A226,EnrollData2324,'2324 Jun 24 Enroll'!E$1,FALSE),'District Calculations'!$D$12)*C226,3)</f>
        <v>59.53</v>
      </c>
      <c r="F226">
        <f>ROUND(IF(VLOOKUP($A226,EnrollData2324,'2324 Jun 24 Enroll'!F$1,FALSE)='District Calculations'!$D$13,VLOOKUP($A226,EnrollData2324,'2324 Jun 24 Enroll'!F$1,FALSE),'District Calculations'!$D$13)*Apport_222A2324s,3)</f>
        <v>10.101000000000001</v>
      </c>
      <c r="G226">
        <f>ROUND(IF(VLOOKUP($A226,EnrollData2324,'2324 Jun 24 Enroll'!G$1,FALSE)='District Calculations'!$D$14,VLOOKUP($A226,EnrollData2324,'2324 Jun 24 Enroll'!G$1,FALSE),'District Calculations'!$D$14)*Apport_210A2324s,3)</f>
        <v>22.395</v>
      </c>
      <c r="H226">
        <f>ROUND(IF(VLOOKUP($A226,EnrollData2324,'2324 Jun 24 Enroll'!H$1,FALSE)='District Calculations'!$D$15,VLOOKUP($A226,EnrollData2324,'2324 Jun 24 Enroll'!H$1,FALSE),'District Calculations'!$D$15)*Apport_213A2324s,3)</f>
        <v>23.091999999999999</v>
      </c>
      <c r="I226">
        <f>ROUND(IF(VLOOKUP($A226,EnrollData2324,'2324 Jun 24 Enroll'!I$1,FALSE)+VLOOKUP($A226,EnrollData2324,'2324 Jun 24 Enroll'!M$1,FALSE)-VLOOKUP($A226,EnrollData2324,'2324 Jun 24 Enroll'!J$1,FALSE)='District Calculations'!$D$16+'District Calculations'!$D$25-'District Calculations'!$D$17,VLOOKUP($A226,EnrollData2324,'2324 Jun 24 Enroll'!I$1,FALSE)+VLOOKUP($A226,EnrollData2324,'2324 Jun 24 Enroll'!M$1,FALSE)-VLOOKUP($A226,EnrollData2324,'2324 Jun 24 Enroll'!J$1,FALSE),'District Calculations'!$D$16+'District Calculations'!$D$25-'District Calculations'!$D$17)*Apport_216A2324s,3)</f>
        <v>58.183999999999997</v>
      </c>
      <c r="J226">
        <f>ROUND(SUM(D226:I226)/(IF(VLOOKUP($A226,EnrollData2324,'2324 Jun 24 Enroll'!M$1,FALSE)='District Calculations'!$D$25,VLOOKUP($A226,EnrollData2324,'2324 Jun 24 Enroll'!M$1,FALSE),'District Calculations'!$D$25)+IF(VLOOKUP($A226,EnrollData2324,'2324 Jun 24 Enroll'!D$1,FALSE)='District Calculations'!$D$11,VLOOKUP($A226,EnrollData2324,'2324 Jun 24 Enroll'!D$1,FALSE),'District Calculations'!$D$11)),5)</f>
        <v>5.5530000000000003E-2</v>
      </c>
      <c r="K226" s="11">
        <f t="shared" si="17"/>
        <v>4.3699999999999998E-3</v>
      </c>
      <c r="L226">
        <f>ROUND(IF(VLOOKUP($A226,EnrollData2324,'2324 Jun 24 Enroll'!D$1,FALSE)='District Calculations'!$D$11,VLOOKUP($A226,EnrollData2324,'2324 Jun 24 Enroll'!D$1,FALSE),'District Calculations'!$D$11)*K226,3)</f>
        <v>0</v>
      </c>
      <c r="M226">
        <f>ROUND(IF(VLOOKUP($A226,EnrollData2324,'2324 Jun 24 Enroll'!E$1,FALSE)='District Calculations'!$D$12,VLOOKUP($A226,EnrollData2324,'2324 Jun 24 Enroll'!E$1,FALSE),'District Calculations'!$D$12)*K226,3)</f>
        <v>3.5419999999999998</v>
      </c>
      <c r="N226">
        <f>ROUND(IF(VLOOKUP($A226,EnrollData2324,'2324 Jun 24 Enroll'!F$1,FALSE)='District Calculations'!$D$13,VLOOKUP($A226,EnrollData2324,'2324 Jun 24 Enroll'!F$1,FALSE),'District Calculations'!$D$13)*Apport_223A2324s,3)</f>
        <v>0.84299999999999997</v>
      </c>
      <c r="O226">
        <f>ROUND(IF(VLOOKUP($A226,EnrollData2324,'2324 Jun 24 Enroll'!G$1,FALSE)='District Calculations'!$D$14,VLOOKUP($A226,EnrollData2324,'2324 Jun 24 Enroll'!G$1,FALSE),'District Calculations'!$D$14)*Apport_211A2324s,3)</f>
        <v>1.87</v>
      </c>
      <c r="P226">
        <f>ROUND(IF(VLOOKUP($A226,EnrollData2324,'2324 Jun 24 Enroll'!H$1,FALSE)='District Calculations'!$D$14,VLOOKUP($A226,EnrollData2324,'2324 Jun 24 Enroll'!H$1,FALSE),'District Calculations'!$D$14)*Apport_214A2324s,3)</f>
        <v>1.8680000000000001</v>
      </c>
      <c r="Q226">
        <f>ROUND(IF(VLOOKUP($A226,EnrollData2324,'2324 Jun 24 Enroll'!I$1,FALSE)+VLOOKUP($A226,EnrollData2324,'2324 Jun 24 Enroll'!M$1,FALSE)-VLOOKUP($A226,EnrollData2324,'2324 Jun 24 Enroll'!J$1,FALSE)='District Calculations'!$D$16+'District Calculations'!$D$25-'District Calculations'!$D$17,VLOOKUP($A226,EnrollData2324,'2324 Jun 24 Enroll'!I$1,FALSE)+VLOOKUP($A226,EnrollData2324,'2324 Jun 24 Enroll'!M$1,FALSE)-VLOOKUP($A226,EnrollData2324,'2324 Jun 24 Enroll'!J$1,FALSE),'District Calculations'!$D$16+'District Calculations'!$D$25-'District Calculations'!$D$17)*Apport_217A2324s,3)</f>
        <v>4.702</v>
      </c>
      <c r="R226">
        <f>ROUND(SUM(L226:Q226)/IF(VLOOKUP($A226,EnrollData2324,'2324 Jun 24 Enroll'!M$1,FALSE)+VLOOKUP($A226,EnrollData2324,'2324 Jun 24 Enroll'!D$1,FALSE)='District Calculations'!$D$25+'District Calculations'!$D$11,VLOOKUP($A226,EnrollData2324,'2324 Jun 24 Enroll'!M$1,FALSE)+VLOOKUP($A226,EnrollData2324,'2324 Jun 24 Enroll'!D$1,FALSE),'District Calculations'!$D$25+'District Calculations'!$D$11),5)</f>
        <v>4.1099999999999999E-3</v>
      </c>
      <c r="S226" s="11">
        <f t="shared" si="18"/>
        <v>1.8689600000000001E-2</v>
      </c>
      <c r="T226">
        <f>ROUND(IF(VLOOKUP($A226,EnrollData2324,'2324 Jun 24 Enroll'!D$1,FALSE)='District Calculations'!$D$11,VLOOKUP($A226,EnrollData2324,'2324 Jun 24 Enroll'!D$1,FALSE),'District Calculations'!$D$11)*S226,3)</f>
        <v>0</v>
      </c>
      <c r="U226">
        <f>ROUND(IF(VLOOKUP($A226,EnrollData2324,'2324 Jun 24 Enroll'!E$1,FALSE)='District Calculations'!$D$12,VLOOKUP($A226,EnrollData2324,'2324 Jun 24 Enroll'!E$1,FALSE),'District Calculations'!$D$12)*S226,3)</f>
        <v>15.148</v>
      </c>
      <c r="V226">
        <f>ROUND(IF(VLOOKUP($A226,EnrollData2324,'2324 Jun 24 Enroll'!F$1,FALSE)='District Calculations'!$D$13,VLOOKUP($A226,EnrollData2324,'2324 Jun 24 Enroll'!F$1,FALSE),'District Calculations'!$D$13)*Apport_224A2324s,3)</f>
        <v>3.7029999999999998</v>
      </c>
      <c r="W226">
        <f>ROUND(IF(VLOOKUP($A226,EnrollData2324,'2324 Jun 24 Enroll'!G$1,FALSE)='District Calculations'!$D$14,VLOOKUP($A226,EnrollData2324,'2324 Jun 24 Enroll'!G$1,FALSE),'District Calculations'!$D$14)*Apport_212A2324s,3)</f>
        <v>8.2089999999999996</v>
      </c>
      <c r="X226">
        <f>ROUND(IF(VLOOKUP($A226,EnrollData2324,'2324 Jun 24 Enroll'!H$1,FALSE)='District Calculations'!$D$14,VLOOKUP($A226,EnrollData2324,'2324 Jun 24 Enroll'!H$1,FALSE),'District Calculations'!$D$14)*Apport_215A2324s,3)</f>
        <v>8.0969999999999995</v>
      </c>
      <c r="Y226">
        <f>ROUND(IF(VLOOKUP($A226,EnrollData2324,'2324 Jun 24 Enroll'!I$1,FALSE)+VLOOKUP($A226,EnrollData2324,'2324 Jun 24 Enroll'!M$1,FALSE)-VLOOKUP($A226,EnrollData2324,'2324 Jun 24 Enroll'!J$1,FALSE)='District Calculations'!$D$16+'District Calculations'!$D$25-'District Calculations'!$D$17,VLOOKUP($A226,EnrollData2324,'2324 Jun 24 Enroll'!I$1,FALSE)+VLOOKUP($A226,EnrollData2324,'2324 Jun 24 Enroll'!M$1,FALSE)-VLOOKUP($A226,EnrollData2324,'2324 Jun 24 Enroll'!J$1,FALSE),'District Calculations'!$D$16+'District Calculations'!$D$25-'District Calculations'!$D$17)*Apport_218A2324s,3)</f>
        <v>20.224</v>
      </c>
      <c r="Z226">
        <f>ROUND(SUM(T226:Y226)/IF(VLOOKUP($A226,EnrollData2324,'2324 Jun 24 Enroll'!M$1,FALSE)+VLOOKUP($A226,EnrollData2324,'2324 Jun 24 Enroll'!D$1,FALSE)='District Calculations'!$D$25+'District Calculations'!$D$11,VLOOKUP($A226,EnrollData2324,'2324 Jun 24 Enroll'!M$1,FALSE)+VLOOKUP($A226,EnrollData2324,'2324 Jun 24 Enroll'!D$1,FALSE),'District Calculations'!$D$25+'District Calculations'!$D$11),5)</f>
        <v>1.7749999999999998E-2</v>
      </c>
      <c r="AA226" s="6" cm="1">
        <f t="array" ref="AA226">ROUND($J226*CIS_Base_Salary2324s*VLOOKUP($A226,EnrollData2324,'2324 Jun 24 Enroll'!S$1,FALSE),2)</f>
        <v>4523.22</v>
      </c>
      <c r="AB226" s="6" cm="1">
        <f t="array" ref="AB226">ROUND($J226*CIS_Inc_Salary2324s*(VLOOKUP($A226,EnrollData2324,'2324 Jun 24 Enroll'!T$1,FALSE)+VLOOKUP($A226,EnrollData2324,'2324 Jun 24 Enroll'!U$1,FALSE)),2)-AA226</f>
        <v>334.88000000000011</v>
      </c>
      <c r="AC226" s="6" cm="1">
        <f t="array" ref="AC226">ROUND($R226*CAS_Base_Salary2324s*VLOOKUP($A226,EnrollData2324,'2324 Jun 24 Enroll'!S$1,FALSE),2)</f>
        <v>496.94</v>
      </c>
      <c r="AD226" s="6" cm="1">
        <f t="array" ref="AD226">ROUND($R226*CAS_Inc_Salary2324s*VLOOKUP($A226,EnrollData2324,'2324 Jun 24 Enroll'!T$1,FALSE),2)-AC226</f>
        <v>18.390000000000043</v>
      </c>
      <c r="AE226" s="6" cm="1">
        <f t="array" ref="AE226">ROUND($Z226*CLS_Base_Salary2324s*VLOOKUP($A226,EnrollData2324,'2324 Jun 24 Enroll'!S$1,FALSE),2)</f>
        <v>1037.2</v>
      </c>
      <c r="AF226" s="6" cm="1">
        <f t="array" ref="AF226">ROUND($Z226*CLS_Inc_Salary2324s*VLOOKUP($A226,EnrollData2324,'2324 Jun 24 Enroll'!T$1,FALSE),2)-AE226</f>
        <v>38.369999999999891</v>
      </c>
      <c r="AG226" cm="1">
        <f t="array" ref="AG226">ROUND(($J226+$R226)*Apport_124X2324s,2)</f>
        <v>734.29</v>
      </c>
      <c r="AH226" s="69">
        <f t="shared" si="19"/>
        <v>68.700000000000045</v>
      </c>
      <c r="AI226" cm="1">
        <f t="array" ref="AI226">ROUND($Z226*Apport_124X2324s,2)</f>
        <v>218.54</v>
      </c>
      <c r="AJ226" cm="1">
        <f t="array" ref="AJ226">ROUND($Z226*Apport_621X2324s*Apport_125X2324s,2)-AI226</f>
        <v>116.51000000000002</v>
      </c>
      <c r="AK226" cm="1">
        <f t="array" ref="AK226">ROUND((AA226+AC226)*Apport_126X2324s,2)</f>
        <v>902.12</v>
      </c>
      <c r="AL226" cm="1">
        <f t="array" ref="AL226">ROUND((AB226+AD226)*Apport_127X2324s,2)</f>
        <v>61.22</v>
      </c>
      <c r="AM226" cm="1">
        <f t="array" ref="AM226">ROUND(AE226*Apport_128X2324s,2)</f>
        <v>228.81</v>
      </c>
      <c r="AN226" cm="1">
        <f t="array" ref="AN226">ROUND(AF226*Apport_129X2324s,2)</f>
        <v>7.12</v>
      </c>
      <c r="AO226" cm="1">
        <f t="array" ref="AO226">ROUND(($J226*CIS_Inc_Salary2324s*(VLOOKUP($A226,EnrollData2324,'2324 Jun 24 Enroll'!T$1,FALSE)+VLOOKUP($A226,EnrollData2324,'2324 Jun 24 Enroll'!U$1,FALSE))/Apport_613Xpd)*Apport_614Xpd,2)</f>
        <v>80.97</v>
      </c>
      <c r="AP226" cm="1">
        <f t="array" ref="AP226">ROUND(AO226*Apport_127X2324s,2)</f>
        <v>14.03</v>
      </c>
      <c r="AQ226">
        <f t="shared" si="20"/>
        <v>30.93</v>
      </c>
      <c r="AR226" s="6" cm="1">
        <f t="array" ref="AR226">ROUND((VLOOKUP($A226,EnrollData2324,'2324 Jun 24 Enroll'!D$1,FALSE)*Apport_M802324s+VLOOKUP($A226,EnrollData2324,'2324 Jun 24 Enroll'!M$1,FALSE)*Apport_M802324s+(VLOOKUP($A226,EnrollData2324,'2324 Jun 24 Enroll'!P$1,FALSE)+VLOOKUP($A226,EnrollData2324,'2324 Jun 24 Enroll'!Q$1,FALSE)+VLOOKUP($A226,EnrollData2324,'2324 Jun 24 Enroll'!R$1,FALSE)+VLOOKUP($A226,EnrollData2324,'2324 Jun 24 Enroll'!I$1,FALSE)+VLOOKUP($A226,EnrollData2324,'2324 Jun 24 Enroll'!N$1,FALSE)+VLOOKUP($A226,EnrollData2324,'2324 Jun 24 Enroll'!O$1,FALSE)+VLOOKUP($A226,EnrollData2324,'2324 Jun 24 Enroll'!K$1,FALSE)+VLOOKUP($A226,EnrollData2324,'2324 Jun 24 Enroll'!L$1,FALSE))*Apport_M812324s)/(VLOOKUP($A226,EnrollData2324,'2324 Jun 24 Enroll'!M$1,FALSE)+VLOOKUP($A226,EnrollData2324,'2324 Jun 24 Enroll'!D$1,FALSE)),2)</f>
        <v>1565.72</v>
      </c>
      <c r="AS226" s="7">
        <f t="shared" si="21"/>
        <v>10477.959999999999</v>
      </c>
    </row>
    <row r="227" spans="1:45">
      <c r="A227" s="40" t="s">
        <v>538</v>
      </c>
      <c r="B227" s="40" t="s">
        <v>539</v>
      </c>
      <c r="C227" s="11">
        <f>ROUND((IFERROR((1/IF(VLOOKUP($A227,EnrollData2324,28,FALSE)='District Calculations'!$D$10,VLOOKUP($A227,EnrollData2324,28,FALSE),'District Calculations'!$D$10))*(1+Apport_Z315),0))+Apport_201A2324s,6)</f>
        <v>7.3449E-2</v>
      </c>
      <c r="D227">
        <f>ROUND(IF(VLOOKUP($A227,EnrollData2324,'2324 Jun 24 Enroll'!D$1,FALSE)='District Calculations'!$D$11,VLOOKUP($A227,EnrollData2324,'2324 Jun 24 Enroll'!D$1,FALSE),'District Calculations'!$D$11)*C227,3)</f>
        <v>0</v>
      </c>
      <c r="E227">
        <f>ROUND(IF(VLOOKUP($A227,EnrollData2324,'2324 Jun 24 Enroll'!E$1,FALSE)='District Calculations'!$D$12,VLOOKUP($A227,EnrollData2324,'2324 Jun 24 Enroll'!E$1,FALSE),'District Calculations'!$D$12)*C227,3)</f>
        <v>59.53</v>
      </c>
      <c r="F227">
        <f>ROUND(IF(VLOOKUP($A227,EnrollData2324,'2324 Jun 24 Enroll'!F$1,FALSE)='District Calculations'!$D$13,VLOOKUP($A227,EnrollData2324,'2324 Jun 24 Enroll'!F$1,FALSE),'District Calculations'!$D$13)*Apport_222A2324s,3)</f>
        <v>10.101000000000001</v>
      </c>
      <c r="G227">
        <f>ROUND(IF(VLOOKUP($A227,EnrollData2324,'2324 Jun 24 Enroll'!G$1,FALSE)='District Calculations'!$D$14,VLOOKUP($A227,EnrollData2324,'2324 Jun 24 Enroll'!G$1,FALSE),'District Calculations'!$D$14)*Apport_210A2324s,3)</f>
        <v>22.395</v>
      </c>
      <c r="H227">
        <f>ROUND(IF(VLOOKUP($A227,EnrollData2324,'2324 Jun 24 Enroll'!H$1,FALSE)='District Calculations'!$D$15,VLOOKUP($A227,EnrollData2324,'2324 Jun 24 Enroll'!H$1,FALSE),'District Calculations'!$D$15)*Apport_213A2324s,3)</f>
        <v>23.091999999999999</v>
      </c>
      <c r="I227">
        <f>ROUND(IF(VLOOKUP($A227,EnrollData2324,'2324 Jun 24 Enroll'!I$1,FALSE)+VLOOKUP($A227,EnrollData2324,'2324 Jun 24 Enroll'!M$1,FALSE)-VLOOKUP($A227,EnrollData2324,'2324 Jun 24 Enroll'!J$1,FALSE)='District Calculations'!$D$16+'District Calculations'!$D$25-'District Calculations'!$D$17,VLOOKUP($A227,EnrollData2324,'2324 Jun 24 Enroll'!I$1,FALSE)+VLOOKUP($A227,EnrollData2324,'2324 Jun 24 Enroll'!M$1,FALSE)-VLOOKUP($A227,EnrollData2324,'2324 Jun 24 Enroll'!J$1,FALSE),'District Calculations'!$D$16+'District Calculations'!$D$25-'District Calculations'!$D$17)*Apport_216A2324s,3)</f>
        <v>58.183999999999997</v>
      </c>
      <c r="J227">
        <f>ROUND(SUM(D227:I227)/(IF(VLOOKUP($A227,EnrollData2324,'2324 Jun 24 Enroll'!M$1,FALSE)='District Calculations'!$D$25,VLOOKUP($A227,EnrollData2324,'2324 Jun 24 Enroll'!M$1,FALSE),'District Calculations'!$D$25)+IF(VLOOKUP($A227,EnrollData2324,'2324 Jun 24 Enroll'!D$1,FALSE)='District Calculations'!$D$11,VLOOKUP($A227,EnrollData2324,'2324 Jun 24 Enroll'!D$1,FALSE),'District Calculations'!$D$11)),5)</f>
        <v>5.5530000000000003E-2</v>
      </c>
      <c r="K227" s="11">
        <f t="shared" ref="K227:K286" si="22">ROUND(((($C227+Apport_203A2324s+Apport_202A2324s)*Apport_557X)*Apport_558X)+Apport_202A2324s,6)</f>
        <v>4.3699999999999998E-3</v>
      </c>
      <c r="L227">
        <f>ROUND(IF(VLOOKUP($A227,EnrollData2324,'2324 Jun 24 Enroll'!D$1,FALSE)='District Calculations'!$D$11,VLOOKUP($A227,EnrollData2324,'2324 Jun 24 Enroll'!D$1,FALSE),'District Calculations'!$D$11)*K227,3)</f>
        <v>0</v>
      </c>
      <c r="M227">
        <f>ROUND(IF(VLOOKUP($A227,EnrollData2324,'2324 Jun 24 Enroll'!E$1,FALSE)='District Calculations'!$D$12,VLOOKUP($A227,EnrollData2324,'2324 Jun 24 Enroll'!E$1,FALSE),'District Calculations'!$D$12)*K227,3)</f>
        <v>3.5419999999999998</v>
      </c>
      <c r="N227">
        <f>ROUND(IF(VLOOKUP($A227,EnrollData2324,'2324 Jun 24 Enroll'!F$1,FALSE)='District Calculations'!$D$13,VLOOKUP($A227,EnrollData2324,'2324 Jun 24 Enroll'!F$1,FALSE),'District Calculations'!$D$13)*Apport_223A2324s,3)</f>
        <v>0.84299999999999997</v>
      </c>
      <c r="O227">
        <f>ROUND(IF(VLOOKUP($A227,EnrollData2324,'2324 Jun 24 Enroll'!G$1,FALSE)='District Calculations'!$D$14,VLOOKUP($A227,EnrollData2324,'2324 Jun 24 Enroll'!G$1,FALSE),'District Calculations'!$D$14)*Apport_211A2324s,3)</f>
        <v>1.87</v>
      </c>
      <c r="P227">
        <f>ROUND(IF(VLOOKUP($A227,EnrollData2324,'2324 Jun 24 Enroll'!H$1,FALSE)='District Calculations'!$D$14,VLOOKUP($A227,EnrollData2324,'2324 Jun 24 Enroll'!H$1,FALSE),'District Calculations'!$D$14)*Apport_214A2324s,3)</f>
        <v>1.8680000000000001</v>
      </c>
      <c r="Q227">
        <f>ROUND(IF(VLOOKUP($A227,EnrollData2324,'2324 Jun 24 Enroll'!I$1,FALSE)+VLOOKUP($A227,EnrollData2324,'2324 Jun 24 Enroll'!M$1,FALSE)-VLOOKUP($A227,EnrollData2324,'2324 Jun 24 Enroll'!J$1,FALSE)='District Calculations'!$D$16+'District Calculations'!$D$25-'District Calculations'!$D$17,VLOOKUP($A227,EnrollData2324,'2324 Jun 24 Enroll'!I$1,FALSE)+VLOOKUP($A227,EnrollData2324,'2324 Jun 24 Enroll'!M$1,FALSE)-VLOOKUP($A227,EnrollData2324,'2324 Jun 24 Enroll'!J$1,FALSE),'District Calculations'!$D$16+'District Calculations'!$D$25-'District Calculations'!$D$17)*Apport_217A2324s,3)</f>
        <v>4.702</v>
      </c>
      <c r="R227">
        <f>ROUND(SUM(L227:Q227)/IF(VLOOKUP($A227,EnrollData2324,'2324 Jun 24 Enroll'!M$1,FALSE)+VLOOKUP($A227,EnrollData2324,'2324 Jun 24 Enroll'!D$1,FALSE)='District Calculations'!$D$25+'District Calculations'!$D$11,VLOOKUP($A227,EnrollData2324,'2324 Jun 24 Enroll'!M$1,FALSE)+VLOOKUP($A227,EnrollData2324,'2324 Jun 24 Enroll'!D$1,FALSE),'District Calculations'!$D$25+'District Calculations'!$D$11),5)</f>
        <v>4.1099999999999999E-3</v>
      </c>
      <c r="S227" s="11">
        <f t="shared" ref="S227:S286" si="23">ROUND(((($C227+Apport_203A2324s+Apport_202A2324s)*Apport_557X)*Apport_559X)+Apport_203A2324s,7)</f>
        <v>1.8689600000000001E-2</v>
      </c>
      <c r="T227">
        <f>ROUND(IF(VLOOKUP($A227,EnrollData2324,'2324 Jun 24 Enroll'!D$1,FALSE)='District Calculations'!$D$11,VLOOKUP($A227,EnrollData2324,'2324 Jun 24 Enroll'!D$1,FALSE),'District Calculations'!$D$11)*S227,3)</f>
        <v>0</v>
      </c>
      <c r="U227">
        <f>ROUND(IF(VLOOKUP($A227,EnrollData2324,'2324 Jun 24 Enroll'!E$1,FALSE)='District Calculations'!$D$12,VLOOKUP($A227,EnrollData2324,'2324 Jun 24 Enroll'!E$1,FALSE),'District Calculations'!$D$12)*S227,3)</f>
        <v>15.148</v>
      </c>
      <c r="V227">
        <f>ROUND(IF(VLOOKUP($A227,EnrollData2324,'2324 Jun 24 Enroll'!F$1,FALSE)='District Calculations'!$D$13,VLOOKUP($A227,EnrollData2324,'2324 Jun 24 Enroll'!F$1,FALSE),'District Calculations'!$D$13)*Apport_224A2324s,3)</f>
        <v>3.7029999999999998</v>
      </c>
      <c r="W227">
        <f>ROUND(IF(VLOOKUP($A227,EnrollData2324,'2324 Jun 24 Enroll'!G$1,FALSE)='District Calculations'!$D$14,VLOOKUP($A227,EnrollData2324,'2324 Jun 24 Enroll'!G$1,FALSE),'District Calculations'!$D$14)*Apport_212A2324s,3)</f>
        <v>8.2089999999999996</v>
      </c>
      <c r="X227">
        <f>ROUND(IF(VLOOKUP($A227,EnrollData2324,'2324 Jun 24 Enroll'!H$1,FALSE)='District Calculations'!$D$14,VLOOKUP($A227,EnrollData2324,'2324 Jun 24 Enroll'!H$1,FALSE),'District Calculations'!$D$14)*Apport_215A2324s,3)</f>
        <v>8.0969999999999995</v>
      </c>
      <c r="Y227">
        <f>ROUND(IF(VLOOKUP($A227,EnrollData2324,'2324 Jun 24 Enroll'!I$1,FALSE)+VLOOKUP($A227,EnrollData2324,'2324 Jun 24 Enroll'!M$1,FALSE)-VLOOKUP($A227,EnrollData2324,'2324 Jun 24 Enroll'!J$1,FALSE)='District Calculations'!$D$16+'District Calculations'!$D$25-'District Calculations'!$D$17,VLOOKUP($A227,EnrollData2324,'2324 Jun 24 Enroll'!I$1,FALSE)+VLOOKUP($A227,EnrollData2324,'2324 Jun 24 Enroll'!M$1,FALSE)-VLOOKUP($A227,EnrollData2324,'2324 Jun 24 Enroll'!J$1,FALSE),'District Calculations'!$D$16+'District Calculations'!$D$25-'District Calculations'!$D$17)*Apport_218A2324s,3)</f>
        <v>20.224</v>
      </c>
      <c r="Z227">
        <f>ROUND(SUM(T227:Y227)/IF(VLOOKUP($A227,EnrollData2324,'2324 Jun 24 Enroll'!M$1,FALSE)+VLOOKUP($A227,EnrollData2324,'2324 Jun 24 Enroll'!D$1,FALSE)='District Calculations'!$D$25+'District Calculations'!$D$11,VLOOKUP($A227,EnrollData2324,'2324 Jun 24 Enroll'!M$1,FALSE)+VLOOKUP($A227,EnrollData2324,'2324 Jun 24 Enroll'!D$1,FALSE),'District Calculations'!$D$25+'District Calculations'!$D$11),5)</f>
        <v>1.7749999999999998E-2</v>
      </c>
      <c r="AA227" s="6" cm="1">
        <f t="array" ref="AA227">ROUND($J227*CIS_Base_Salary2324s*VLOOKUP($A227,EnrollData2324,'2324 Jun 24 Enroll'!S$1,FALSE),2)</f>
        <v>4523.22</v>
      </c>
      <c r="AB227" s="6" cm="1">
        <f t="array" ref="AB227">ROUND($J227*CIS_Inc_Salary2324s*(VLOOKUP($A227,EnrollData2324,'2324 Jun 24 Enroll'!T$1,FALSE)+VLOOKUP($A227,EnrollData2324,'2324 Jun 24 Enroll'!U$1,FALSE)),2)-AA227</f>
        <v>251.11999999999989</v>
      </c>
      <c r="AC227" s="6" cm="1">
        <f t="array" ref="AC227">ROUND($R227*CAS_Base_Salary2324s*VLOOKUP($A227,EnrollData2324,'2324 Jun 24 Enroll'!S$1,FALSE),2)</f>
        <v>496.94</v>
      </c>
      <c r="AD227" s="6" cm="1">
        <f t="array" ref="AD227">ROUND($R227*CAS_Inc_Salary2324s*VLOOKUP($A227,EnrollData2324,'2324 Jun 24 Enroll'!T$1,FALSE),2)-AC227</f>
        <v>18.390000000000043</v>
      </c>
      <c r="AE227" s="6" cm="1">
        <f t="array" ref="AE227">ROUND($Z227*CLS_Base_Salary2324s*VLOOKUP($A227,EnrollData2324,'2324 Jun 24 Enroll'!S$1,FALSE),2)</f>
        <v>1037.2</v>
      </c>
      <c r="AF227" s="6" cm="1">
        <f t="array" ref="AF227">ROUND($Z227*CLS_Inc_Salary2324s*VLOOKUP($A227,EnrollData2324,'2324 Jun 24 Enroll'!T$1,FALSE),2)-AE227</f>
        <v>38.369999999999891</v>
      </c>
      <c r="AG227" cm="1">
        <f t="array" ref="AG227">ROUND(($J227+$R227)*Apport_124X2324s,2)</f>
        <v>734.29</v>
      </c>
      <c r="AH227" s="69">
        <f t="shared" ref="AH227:AH286" si="24">ROUND(($J227+$R227)*Apport_621X2324s*Apport_125XC2324s,2)-AG227</f>
        <v>68.700000000000045</v>
      </c>
      <c r="AI227" cm="1">
        <f t="array" ref="AI227">ROUND($Z227*Apport_124X2324s,2)</f>
        <v>218.54</v>
      </c>
      <c r="AJ227" cm="1">
        <f t="array" ref="AJ227">ROUND($Z227*Apport_621X2324s*Apport_125X2324s,2)-AI227</f>
        <v>116.51000000000002</v>
      </c>
      <c r="AK227" cm="1">
        <f t="array" ref="AK227">ROUND((AA227+AC227)*Apport_126X2324s,2)</f>
        <v>902.12</v>
      </c>
      <c r="AL227" cm="1">
        <f t="array" ref="AL227">ROUND((AB227+AD227)*Apport_127X2324s,2)</f>
        <v>46.71</v>
      </c>
      <c r="AM227" cm="1">
        <f t="array" ref="AM227">ROUND(AE227*Apport_128X2324s,2)</f>
        <v>228.81</v>
      </c>
      <c r="AN227" cm="1">
        <f t="array" ref="AN227">ROUND(AF227*Apport_129X2324s,2)</f>
        <v>7.12</v>
      </c>
      <c r="AO227" cm="1">
        <f t="array" ref="AO227">ROUND(($J227*CIS_Inc_Salary2324s*(VLOOKUP($A227,EnrollData2324,'2324 Jun 24 Enroll'!T$1,FALSE)+VLOOKUP($A227,EnrollData2324,'2324 Jun 24 Enroll'!U$1,FALSE))/Apport_613Xpd)*Apport_614Xpd,2)</f>
        <v>79.569999999999993</v>
      </c>
      <c r="AP227" cm="1">
        <f t="array" ref="AP227">ROUND(AO227*Apport_127X2324s,2)</f>
        <v>13.79</v>
      </c>
      <c r="AQ227">
        <f t="shared" ref="AQ227:AQ286" si="25">ROUND((J227*Apport_581X)*(Apport_116X*Apport_132X),2)</f>
        <v>30.93</v>
      </c>
      <c r="AR227" s="6" cm="1">
        <f t="array" ref="AR227">ROUND((VLOOKUP($A227,EnrollData2324,'2324 Jun 24 Enroll'!D$1,FALSE)*Apport_M802324s+VLOOKUP($A227,EnrollData2324,'2324 Jun 24 Enroll'!M$1,FALSE)*Apport_M802324s+(VLOOKUP($A227,EnrollData2324,'2324 Jun 24 Enroll'!P$1,FALSE)+VLOOKUP($A227,EnrollData2324,'2324 Jun 24 Enroll'!Q$1,FALSE)+VLOOKUP($A227,EnrollData2324,'2324 Jun 24 Enroll'!R$1,FALSE)+VLOOKUP($A227,EnrollData2324,'2324 Jun 24 Enroll'!I$1,FALSE)+VLOOKUP($A227,EnrollData2324,'2324 Jun 24 Enroll'!N$1,FALSE)+VLOOKUP($A227,EnrollData2324,'2324 Jun 24 Enroll'!O$1,FALSE)+VLOOKUP($A227,EnrollData2324,'2324 Jun 24 Enroll'!K$1,FALSE)+VLOOKUP($A227,EnrollData2324,'2324 Jun 24 Enroll'!L$1,FALSE))*Apport_M812324s)/(VLOOKUP($A227,EnrollData2324,'2324 Jun 24 Enroll'!M$1,FALSE)+VLOOKUP($A227,EnrollData2324,'2324 Jun 24 Enroll'!D$1,FALSE)),2)</f>
        <v>1570.41</v>
      </c>
      <c r="AS227" s="7">
        <f t="shared" si="21"/>
        <v>10382.74</v>
      </c>
    </row>
    <row r="228" spans="1:45">
      <c r="A228" s="40" t="s">
        <v>404</v>
      </c>
      <c r="B228" s="40" t="s">
        <v>405</v>
      </c>
      <c r="C228" s="11">
        <f>ROUND((IFERROR((1/IF(VLOOKUP($A228,EnrollData2324,28,FALSE)='District Calculations'!$D$10,VLOOKUP($A228,EnrollData2324,28,FALSE),'District Calculations'!$D$10))*(1+Apport_Z315),0))+Apport_201A2324s,6)</f>
        <v>7.3449E-2</v>
      </c>
      <c r="D228">
        <f>ROUND(IF(VLOOKUP($A228,EnrollData2324,'2324 Jun 24 Enroll'!D$1,FALSE)='District Calculations'!$D$11,VLOOKUP($A228,EnrollData2324,'2324 Jun 24 Enroll'!D$1,FALSE),'District Calculations'!$D$11)*C228,3)</f>
        <v>0</v>
      </c>
      <c r="E228">
        <f>ROUND(IF(VLOOKUP($A228,EnrollData2324,'2324 Jun 24 Enroll'!E$1,FALSE)='District Calculations'!$D$12,VLOOKUP($A228,EnrollData2324,'2324 Jun 24 Enroll'!E$1,FALSE),'District Calculations'!$D$12)*C228,3)</f>
        <v>59.53</v>
      </c>
      <c r="F228">
        <f>ROUND(IF(VLOOKUP($A228,EnrollData2324,'2324 Jun 24 Enroll'!F$1,FALSE)='District Calculations'!$D$13,VLOOKUP($A228,EnrollData2324,'2324 Jun 24 Enroll'!F$1,FALSE),'District Calculations'!$D$13)*Apport_222A2324s,3)</f>
        <v>10.101000000000001</v>
      </c>
      <c r="G228">
        <f>ROUND(IF(VLOOKUP($A228,EnrollData2324,'2324 Jun 24 Enroll'!G$1,FALSE)='District Calculations'!$D$14,VLOOKUP($A228,EnrollData2324,'2324 Jun 24 Enroll'!G$1,FALSE),'District Calculations'!$D$14)*Apport_210A2324s,3)</f>
        <v>22.395</v>
      </c>
      <c r="H228">
        <f>ROUND(IF(VLOOKUP($A228,EnrollData2324,'2324 Jun 24 Enroll'!H$1,FALSE)='District Calculations'!$D$15,VLOOKUP($A228,EnrollData2324,'2324 Jun 24 Enroll'!H$1,FALSE),'District Calculations'!$D$15)*Apport_213A2324s,3)</f>
        <v>23.091999999999999</v>
      </c>
      <c r="I228">
        <f>ROUND(IF(VLOOKUP($A228,EnrollData2324,'2324 Jun 24 Enroll'!I$1,FALSE)+VLOOKUP($A228,EnrollData2324,'2324 Jun 24 Enroll'!M$1,FALSE)-VLOOKUP($A228,EnrollData2324,'2324 Jun 24 Enroll'!J$1,FALSE)='District Calculations'!$D$16+'District Calculations'!$D$25-'District Calculations'!$D$17,VLOOKUP($A228,EnrollData2324,'2324 Jun 24 Enroll'!I$1,FALSE)+VLOOKUP($A228,EnrollData2324,'2324 Jun 24 Enroll'!M$1,FALSE)-VLOOKUP($A228,EnrollData2324,'2324 Jun 24 Enroll'!J$1,FALSE),'District Calculations'!$D$16+'District Calculations'!$D$25-'District Calculations'!$D$17)*Apport_216A2324s,3)</f>
        <v>58.183999999999997</v>
      </c>
      <c r="J228">
        <f>ROUND(SUM(D228:I228)/(IF(VLOOKUP($A228,EnrollData2324,'2324 Jun 24 Enroll'!M$1,FALSE)='District Calculations'!$D$25,VLOOKUP($A228,EnrollData2324,'2324 Jun 24 Enroll'!M$1,FALSE),'District Calculations'!$D$25)+IF(VLOOKUP($A228,EnrollData2324,'2324 Jun 24 Enroll'!D$1,FALSE)='District Calculations'!$D$11,VLOOKUP($A228,EnrollData2324,'2324 Jun 24 Enroll'!D$1,FALSE),'District Calculations'!$D$11)),5)</f>
        <v>5.5530000000000003E-2</v>
      </c>
      <c r="K228" s="11">
        <f t="shared" si="22"/>
        <v>4.3699999999999998E-3</v>
      </c>
      <c r="L228">
        <f>ROUND(IF(VLOOKUP($A228,EnrollData2324,'2324 Jun 24 Enroll'!D$1,FALSE)='District Calculations'!$D$11,VLOOKUP($A228,EnrollData2324,'2324 Jun 24 Enroll'!D$1,FALSE),'District Calculations'!$D$11)*K228,3)</f>
        <v>0</v>
      </c>
      <c r="M228">
        <f>ROUND(IF(VLOOKUP($A228,EnrollData2324,'2324 Jun 24 Enroll'!E$1,FALSE)='District Calculations'!$D$12,VLOOKUP($A228,EnrollData2324,'2324 Jun 24 Enroll'!E$1,FALSE),'District Calculations'!$D$12)*K228,3)</f>
        <v>3.5419999999999998</v>
      </c>
      <c r="N228">
        <f>ROUND(IF(VLOOKUP($A228,EnrollData2324,'2324 Jun 24 Enroll'!F$1,FALSE)='District Calculations'!$D$13,VLOOKUP($A228,EnrollData2324,'2324 Jun 24 Enroll'!F$1,FALSE),'District Calculations'!$D$13)*Apport_223A2324s,3)</f>
        <v>0.84299999999999997</v>
      </c>
      <c r="O228">
        <f>ROUND(IF(VLOOKUP($A228,EnrollData2324,'2324 Jun 24 Enroll'!G$1,FALSE)='District Calculations'!$D$14,VLOOKUP($A228,EnrollData2324,'2324 Jun 24 Enroll'!G$1,FALSE),'District Calculations'!$D$14)*Apport_211A2324s,3)</f>
        <v>1.87</v>
      </c>
      <c r="P228">
        <f>ROUND(IF(VLOOKUP($A228,EnrollData2324,'2324 Jun 24 Enroll'!H$1,FALSE)='District Calculations'!$D$14,VLOOKUP($A228,EnrollData2324,'2324 Jun 24 Enroll'!H$1,FALSE),'District Calculations'!$D$14)*Apport_214A2324s,3)</f>
        <v>1.8680000000000001</v>
      </c>
      <c r="Q228">
        <f>ROUND(IF(VLOOKUP($A228,EnrollData2324,'2324 Jun 24 Enroll'!I$1,FALSE)+VLOOKUP($A228,EnrollData2324,'2324 Jun 24 Enroll'!M$1,FALSE)-VLOOKUP($A228,EnrollData2324,'2324 Jun 24 Enroll'!J$1,FALSE)='District Calculations'!$D$16+'District Calculations'!$D$25-'District Calculations'!$D$17,VLOOKUP($A228,EnrollData2324,'2324 Jun 24 Enroll'!I$1,FALSE)+VLOOKUP($A228,EnrollData2324,'2324 Jun 24 Enroll'!M$1,FALSE)-VLOOKUP($A228,EnrollData2324,'2324 Jun 24 Enroll'!J$1,FALSE),'District Calculations'!$D$16+'District Calculations'!$D$25-'District Calculations'!$D$17)*Apport_217A2324s,3)</f>
        <v>4.702</v>
      </c>
      <c r="R228">
        <f>ROUND(SUM(L228:Q228)/IF(VLOOKUP($A228,EnrollData2324,'2324 Jun 24 Enroll'!M$1,FALSE)+VLOOKUP($A228,EnrollData2324,'2324 Jun 24 Enroll'!D$1,FALSE)='District Calculations'!$D$25+'District Calculations'!$D$11,VLOOKUP($A228,EnrollData2324,'2324 Jun 24 Enroll'!M$1,FALSE)+VLOOKUP($A228,EnrollData2324,'2324 Jun 24 Enroll'!D$1,FALSE),'District Calculations'!$D$25+'District Calculations'!$D$11),5)</f>
        <v>4.1099999999999999E-3</v>
      </c>
      <c r="S228" s="11">
        <f t="shared" si="23"/>
        <v>1.8689600000000001E-2</v>
      </c>
      <c r="T228">
        <f>ROUND(IF(VLOOKUP($A228,EnrollData2324,'2324 Jun 24 Enroll'!D$1,FALSE)='District Calculations'!$D$11,VLOOKUP($A228,EnrollData2324,'2324 Jun 24 Enroll'!D$1,FALSE),'District Calculations'!$D$11)*S228,3)</f>
        <v>0</v>
      </c>
      <c r="U228">
        <f>ROUND(IF(VLOOKUP($A228,EnrollData2324,'2324 Jun 24 Enroll'!E$1,FALSE)='District Calculations'!$D$12,VLOOKUP($A228,EnrollData2324,'2324 Jun 24 Enroll'!E$1,FALSE),'District Calculations'!$D$12)*S228,3)</f>
        <v>15.148</v>
      </c>
      <c r="V228">
        <f>ROUND(IF(VLOOKUP($A228,EnrollData2324,'2324 Jun 24 Enroll'!F$1,FALSE)='District Calculations'!$D$13,VLOOKUP($A228,EnrollData2324,'2324 Jun 24 Enroll'!F$1,FALSE),'District Calculations'!$D$13)*Apport_224A2324s,3)</f>
        <v>3.7029999999999998</v>
      </c>
      <c r="W228">
        <f>ROUND(IF(VLOOKUP($A228,EnrollData2324,'2324 Jun 24 Enroll'!G$1,FALSE)='District Calculations'!$D$14,VLOOKUP($A228,EnrollData2324,'2324 Jun 24 Enroll'!G$1,FALSE),'District Calculations'!$D$14)*Apport_212A2324s,3)</f>
        <v>8.2089999999999996</v>
      </c>
      <c r="X228">
        <f>ROUND(IF(VLOOKUP($A228,EnrollData2324,'2324 Jun 24 Enroll'!H$1,FALSE)='District Calculations'!$D$14,VLOOKUP($A228,EnrollData2324,'2324 Jun 24 Enroll'!H$1,FALSE),'District Calculations'!$D$14)*Apport_215A2324s,3)</f>
        <v>8.0969999999999995</v>
      </c>
      <c r="Y228">
        <f>ROUND(IF(VLOOKUP($A228,EnrollData2324,'2324 Jun 24 Enroll'!I$1,FALSE)+VLOOKUP($A228,EnrollData2324,'2324 Jun 24 Enroll'!M$1,FALSE)-VLOOKUP($A228,EnrollData2324,'2324 Jun 24 Enroll'!J$1,FALSE)='District Calculations'!$D$16+'District Calculations'!$D$25-'District Calculations'!$D$17,VLOOKUP($A228,EnrollData2324,'2324 Jun 24 Enroll'!I$1,FALSE)+VLOOKUP($A228,EnrollData2324,'2324 Jun 24 Enroll'!M$1,FALSE)-VLOOKUP($A228,EnrollData2324,'2324 Jun 24 Enroll'!J$1,FALSE),'District Calculations'!$D$16+'District Calculations'!$D$25-'District Calculations'!$D$17)*Apport_218A2324s,3)</f>
        <v>20.224</v>
      </c>
      <c r="Z228">
        <f>ROUND(SUM(T228:Y228)/IF(VLOOKUP($A228,EnrollData2324,'2324 Jun 24 Enroll'!M$1,FALSE)+VLOOKUP($A228,EnrollData2324,'2324 Jun 24 Enroll'!D$1,FALSE)='District Calculations'!$D$25+'District Calculations'!$D$11,VLOOKUP($A228,EnrollData2324,'2324 Jun 24 Enroll'!M$1,FALSE)+VLOOKUP($A228,EnrollData2324,'2324 Jun 24 Enroll'!D$1,FALSE),'District Calculations'!$D$25+'District Calculations'!$D$11),5)</f>
        <v>1.7749999999999998E-2</v>
      </c>
      <c r="AA228" s="6" cm="1">
        <f t="array" ref="AA228">ROUND($J228*CIS_Base_Salary2324s*VLOOKUP($A228,EnrollData2324,'2324 Jun 24 Enroll'!S$1,FALSE),2)</f>
        <v>4523.22</v>
      </c>
      <c r="AB228" s="6" cm="1">
        <f t="array" ref="AB228">ROUND($J228*CIS_Inc_Salary2324s*(VLOOKUP($A228,EnrollData2324,'2324 Jun 24 Enroll'!T$1,FALSE)+VLOOKUP($A228,EnrollData2324,'2324 Jun 24 Enroll'!U$1,FALSE)),2)-AA228</f>
        <v>334.88000000000011</v>
      </c>
      <c r="AC228" s="6" cm="1">
        <f t="array" ref="AC228">ROUND($R228*CAS_Base_Salary2324s*VLOOKUP($A228,EnrollData2324,'2324 Jun 24 Enroll'!S$1,FALSE),2)</f>
        <v>496.94</v>
      </c>
      <c r="AD228" s="6" cm="1">
        <f t="array" ref="AD228">ROUND($R228*CAS_Inc_Salary2324s*VLOOKUP($A228,EnrollData2324,'2324 Jun 24 Enroll'!T$1,FALSE),2)-AC228</f>
        <v>18.390000000000043</v>
      </c>
      <c r="AE228" s="6" cm="1">
        <f t="array" ref="AE228">ROUND($Z228*CLS_Base_Salary2324s*VLOOKUP($A228,EnrollData2324,'2324 Jun 24 Enroll'!S$1,FALSE),2)</f>
        <v>1037.2</v>
      </c>
      <c r="AF228" s="6" cm="1">
        <f t="array" ref="AF228">ROUND($Z228*CLS_Inc_Salary2324s*VLOOKUP($A228,EnrollData2324,'2324 Jun 24 Enroll'!T$1,FALSE),2)-AE228</f>
        <v>38.369999999999891</v>
      </c>
      <c r="AG228" cm="1">
        <f t="array" ref="AG228">ROUND(($J228+$R228)*Apport_124X2324s,2)</f>
        <v>734.29</v>
      </c>
      <c r="AH228" s="69">
        <f t="shared" si="24"/>
        <v>68.700000000000045</v>
      </c>
      <c r="AI228" cm="1">
        <f t="array" ref="AI228">ROUND($Z228*Apport_124X2324s,2)</f>
        <v>218.54</v>
      </c>
      <c r="AJ228" cm="1">
        <f t="array" ref="AJ228">ROUND($Z228*Apport_621X2324s*Apport_125X2324s,2)-AI228</f>
        <v>116.51000000000002</v>
      </c>
      <c r="AK228" cm="1">
        <f t="array" ref="AK228">ROUND((AA228+AC228)*Apport_126X2324s,2)</f>
        <v>902.12</v>
      </c>
      <c r="AL228" cm="1">
        <f t="array" ref="AL228">ROUND((AB228+AD228)*Apport_127X2324s,2)</f>
        <v>61.22</v>
      </c>
      <c r="AM228" cm="1">
        <f t="array" ref="AM228">ROUND(AE228*Apport_128X2324s,2)</f>
        <v>228.81</v>
      </c>
      <c r="AN228" cm="1">
        <f t="array" ref="AN228">ROUND(AF228*Apport_129X2324s,2)</f>
        <v>7.12</v>
      </c>
      <c r="AO228" cm="1">
        <f t="array" ref="AO228">ROUND(($J228*CIS_Inc_Salary2324s*(VLOOKUP($A228,EnrollData2324,'2324 Jun 24 Enroll'!T$1,FALSE)+VLOOKUP($A228,EnrollData2324,'2324 Jun 24 Enroll'!U$1,FALSE))/Apport_613Xpd)*Apport_614Xpd,2)</f>
        <v>80.97</v>
      </c>
      <c r="AP228" cm="1">
        <f t="array" ref="AP228">ROUND(AO228*Apport_127X2324s,2)</f>
        <v>14.03</v>
      </c>
      <c r="AQ228">
        <f t="shared" si="25"/>
        <v>30.93</v>
      </c>
      <c r="AR228" s="6" cm="1">
        <f t="array" ref="AR228">ROUND((VLOOKUP($A228,EnrollData2324,'2324 Jun 24 Enroll'!D$1,FALSE)*Apport_M802324s+VLOOKUP($A228,EnrollData2324,'2324 Jun 24 Enroll'!M$1,FALSE)*Apport_M802324s+(VLOOKUP($A228,EnrollData2324,'2324 Jun 24 Enroll'!P$1,FALSE)+VLOOKUP($A228,EnrollData2324,'2324 Jun 24 Enroll'!Q$1,FALSE)+VLOOKUP($A228,EnrollData2324,'2324 Jun 24 Enroll'!R$1,FALSE)+VLOOKUP($A228,EnrollData2324,'2324 Jun 24 Enroll'!I$1,FALSE)+VLOOKUP($A228,EnrollData2324,'2324 Jun 24 Enroll'!N$1,FALSE)+VLOOKUP($A228,EnrollData2324,'2324 Jun 24 Enroll'!O$1,FALSE)+VLOOKUP($A228,EnrollData2324,'2324 Jun 24 Enroll'!K$1,FALSE)+VLOOKUP($A228,EnrollData2324,'2324 Jun 24 Enroll'!L$1,FALSE))*Apport_M812324s)/(VLOOKUP($A228,EnrollData2324,'2324 Jun 24 Enroll'!M$1,FALSE)+VLOOKUP($A228,EnrollData2324,'2324 Jun 24 Enroll'!D$1,FALSE)),2)</f>
        <v>1505.94</v>
      </c>
      <c r="AS228" s="7">
        <f t="shared" si="21"/>
        <v>10418.18</v>
      </c>
    </row>
    <row r="229" spans="1:45">
      <c r="A229" s="40" t="s">
        <v>610</v>
      </c>
      <c r="B229" s="40" t="s">
        <v>611</v>
      </c>
      <c r="C229" s="11">
        <f>ROUND((IFERROR((1/IF(VLOOKUP($A229,EnrollData2324,28,FALSE)='District Calculations'!$D$10,VLOOKUP($A229,EnrollData2324,28,FALSE),'District Calculations'!$D$10))*(1+Apport_Z315),0))+Apport_201A2324s,6)</f>
        <v>7.3449E-2</v>
      </c>
      <c r="D229">
        <f>ROUND(IF(VLOOKUP($A229,EnrollData2324,'2324 Jun 24 Enroll'!D$1,FALSE)='District Calculations'!$D$11,VLOOKUP($A229,EnrollData2324,'2324 Jun 24 Enroll'!D$1,FALSE),'District Calculations'!$D$11)*C229,3)</f>
        <v>0</v>
      </c>
      <c r="E229">
        <f>ROUND(IF(VLOOKUP($A229,EnrollData2324,'2324 Jun 24 Enroll'!E$1,FALSE)='District Calculations'!$D$12,VLOOKUP($A229,EnrollData2324,'2324 Jun 24 Enroll'!E$1,FALSE),'District Calculations'!$D$12)*C229,3)</f>
        <v>59.53</v>
      </c>
      <c r="F229">
        <f>ROUND(IF(VLOOKUP($A229,EnrollData2324,'2324 Jun 24 Enroll'!F$1,FALSE)='District Calculations'!$D$13,VLOOKUP($A229,EnrollData2324,'2324 Jun 24 Enroll'!F$1,FALSE),'District Calculations'!$D$13)*Apport_222A2324s,3)</f>
        <v>10.101000000000001</v>
      </c>
      <c r="G229">
        <f>ROUND(IF(VLOOKUP($A229,EnrollData2324,'2324 Jun 24 Enroll'!G$1,FALSE)='District Calculations'!$D$14,VLOOKUP($A229,EnrollData2324,'2324 Jun 24 Enroll'!G$1,FALSE),'District Calculations'!$D$14)*Apport_210A2324s,3)</f>
        <v>22.395</v>
      </c>
      <c r="H229">
        <f>ROUND(IF(VLOOKUP($A229,EnrollData2324,'2324 Jun 24 Enroll'!H$1,FALSE)='District Calculations'!$D$15,VLOOKUP($A229,EnrollData2324,'2324 Jun 24 Enroll'!H$1,FALSE),'District Calculations'!$D$15)*Apport_213A2324s,3)</f>
        <v>23.091999999999999</v>
      </c>
      <c r="I229">
        <f>ROUND(IF(VLOOKUP($A229,EnrollData2324,'2324 Jun 24 Enroll'!I$1,FALSE)+VLOOKUP($A229,EnrollData2324,'2324 Jun 24 Enroll'!M$1,FALSE)-VLOOKUP($A229,EnrollData2324,'2324 Jun 24 Enroll'!J$1,FALSE)='District Calculations'!$D$16+'District Calculations'!$D$25-'District Calculations'!$D$17,VLOOKUP($A229,EnrollData2324,'2324 Jun 24 Enroll'!I$1,FALSE)+VLOOKUP($A229,EnrollData2324,'2324 Jun 24 Enroll'!M$1,FALSE)-VLOOKUP($A229,EnrollData2324,'2324 Jun 24 Enroll'!J$1,FALSE),'District Calculations'!$D$16+'District Calculations'!$D$25-'District Calculations'!$D$17)*Apport_216A2324s,3)</f>
        <v>58.183999999999997</v>
      </c>
      <c r="J229">
        <f>ROUND(SUM(D229:I229)/(IF(VLOOKUP($A229,EnrollData2324,'2324 Jun 24 Enroll'!M$1,FALSE)='District Calculations'!$D$25,VLOOKUP($A229,EnrollData2324,'2324 Jun 24 Enroll'!M$1,FALSE),'District Calculations'!$D$25)+IF(VLOOKUP($A229,EnrollData2324,'2324 Jun 24 Enroll'!D$1,FALSE)='District Calculations'!$D$11,VLOOKUP($A229,EnrollData2324,'2324 Jun 24 Enroll'!D$1,FALSE),'District Calculations'!$D$11)),5)</f>
        <v>5.5530000000000003E-2</v>
      </c>
      <c r="K229" s="11">
        <f t="shared" si="22"/>
        <v>4.3699999999999998E-3</v>
      </c>
      <c r="L229">
        <f>ROUND(IF(VLOOKUP($A229,EnrollData2324,'2324 Jun 24 Enroll'!D$1,FALSE)='District Calculations'!$D$11,VLOOKUP($A229,EnrollData2324,'2324 Jun 24 Enroll'!D$1,FALSE),'District Calculations'!$D$11)*K229,3)</f>
        <v>0</v>
      </c>
      <c r="M229">
        <f>ROUND(IF(VLOOKUP($A229,EnrollData2324,'2324 Jun 24 Enroll'!E$1,FALSE)='District Calculations'!$D$12,VLOOKUP($A229,EnrollData2324,'2324 Jun 24 Enroll'!E$1,FALSE),'District Calculations'!$D$12)*K229,3)</f>
        <v>3.5419999999999998</v>
      </c>
      <c r="N229">
        <f>ROUND(IF(VLOOKUP($A229,EnrollData2324,'2324 Jun 24 Enroll'!F$1,FALSE)='District Calculations'!$D$13,VLOOKUP($A229,EnrollData2324,'2324 Jun 24 Enroll'!F$1,FALSE),'District Calculations'!$D$13)*Apport_223A2324s,3)</f>
        <v>0.84299999999999997</v>
      </c>
      <c r="O229">
        <f>ROUND(IF(VLOOKUP($A229,EnrollData2324,'2324 Jun 24 Enroll'!G$1,FALSE)='District Calculations'!$D$14,VLOOKUP($A229,EnrollData2324,'2324 Jun 24 Enroll'!G$1,FALSE),'District Calculations'!$D$14)*Apport_211A2324s,3)</f>
        <v>1.87</v>
      </c>
      <c r="P229">
        <f>ROUND(IF(VLOOKUP($A229,EnrollData2324,'2324 Jun 24 Enroll'!H$1,FALSE)='District Calculations'!$D$14,VLOOKUP($A229,EnrollData2324,'2324 Jun 24 Enroll'!H$1,FALSE),'District Calculations'!$D$14)*Apport_214A2324s,3)</f>
        <v>1.8680000000000001</v>
      </c>
      <c r="Q229">
        <f>ROUND(IF(VLOOKUP($A229,EnrollData2324,'2324 Jun 24 Enroll'!I$1,FALSE)+VLOOKUP($A229,EnrollData2324,'2324 Jun 24 Enroll'!M$1,FALSE)-VLOOKUP($A229,EnrollData2324,'2324 Jun 24 Enroll'!J$1,FALSE)='District Calculations'!$D$16+'District Calculations'!$D$25-'District Calculations'!$D$17,VLOOKUP($A229,EnrollData2324,'2324 Jun 24 Enroll'!I$1,FALSE)+VLOOKUP($A229,EnrollData2324,'2324 Jun 24 Enroll'!M$1,FALSE)-VLOOKUP($A229,EnrollData2324,'2324 Jun 24 Enroll'!J$1,FALSE),'District Calculations'!$D$16+'District Calculations'!$D$25-'District Calculations'!$D$17)*Apport_217A2324s,3)</f>
        <v>4.702</v>
      </c>
      <c r="R229">
        <f>ROUND(SUM(L229:Q229)/IF(VLOOKUP($A229,EnrollData2324,'2324 Jun 24 Enroll'!M$1,FALSE)+VLOOKUP($A229,EnrollData2324,'2324 Jun 24 Enroll'!D$1,FALSE)='District Calculations'!$D$25+'District Calculations'!$D$11,VLOOKUP($A229,EnrollData2324,'2324 Jun 24 Enroll'!M$1,FALSE)+VLOOKUP($A229,EnrollData2324,'2324 Jun 24 Enroll'!D$1,FALSE),'District Calculations'!$D$25+'District Calculations'!$D$11),5)</f>
        <v>4.1099999999999999E-3</v>
      </c>
      <c r="S229" s="11">
        <f t="shared" si="23"/>
        <v>1.8689600000000001E-2</v>
      </c>
      <c r="T229">
        <f>ROUND(IF(VLOOKUP($A229,EnrollData2324,'2324 Jun 24 Enroll'!D$1,FALSE)='District Calculations'!$D$11,VLOOKUP($A229,EnrollData2324,'2324 Jun 24 Enroll'!D$1,FALSE),'District Calculations'!$D$11)*S229,3)</f>
        <v>0</v>
      </c>
      <c r="U229">
        <f>ROUND(IF(VLOOKUP($A229,EnrollData2324,'2324 Jun 24 Enroll'!E$1,FALSE)='District Calculations'!$D$12,VLOOKUP($A229,EnrollData2324,'2324 Jun 24 Enroll'!E$1,FALSE),'District Calculations'!$D$12)*S229,3)</f>
        <v>15.148</v>
      </c>
      <c r="V229">
        <f>ROUND(IF(VLOOKUP($A229,EnrollData2324,'2324 Jun 24 Enroll'!F$1,FALSE)='District Calculations'!$D$13,VLOOKUP($A229,EnrollData2324,'2324 Jun 24 Enroll'!F$1,FALSE),'District Calculations'!$D$13)*Apport_224A2324s,3)</f>
        <v>3.7029999999999998</v>
      </c>
      <c r="W229">
        <f>ROUND(IF(VLOOKUP($A229,EnrollData2324,'2324 Jun 24 Enroll'!G$1,FALSE)='District Calculations'!$D$14,VLOOKUP($A229,EnrollData2324,'2324 Jun 24 Enroll'!G$1,FALSE),'District Calculations'!$D$14)*Apport_212A2324s,3)</f>
        <v>8.2089999999999996</v>
      </c>
      <c r="X229">
        <f>ROUND(IF(VLOOKUP($A229,EnrollData2324,'2324 Jun 24 Enroll'!H$1,FALSE)='District Calculations'!$D$14,VLOOKUP($A229,EnrollData2324,'2324 Jun 24 Enroll'!H$1,FALSE),'District Calculations'!$D$14)*Apport_215A2324s,3)</f>
        <v>8.0969999999999995</v>
      </c>
      <c r="Y229">
        <f>ROUND(IF(VLOOKUP($A229,EnrollData2324,'2324 Jun 24 Enroll'!I$1,FALSE)+VLOOKUP($A229,EnrollData2324,'2324 Jun 24 Enroll'!M$1,FALSE)-VLOOKUP($A229,EnrollData2324,'2324 Jun 24 Enroll'!J$1,FALSE)='District Calculations'!$D$16+'District Calculations'!$D$25-'District Calculations'!$D$17,VLOOKUP($A229,EnrollData2324,'2324 Jun 24 Enroll'!I$1,FALSE)+VLOOKUP($A229,EnrollData2324,'2324 Jun 24 Enroll'!M$1,FALSE)-VLOOKUP($A229,EnrollData2324,'2324 Jun 24 Enroll'!J$1,FALSE),'District Calculations'!$D$16+'District Calculations'!$D$25-'District Calculations'!$D$17)*Apport_218A2324s,3)</f>
        <v>20.224</v>
      </c>
      <c r="Z229">
        <f>ROUND(SUM(T229:Y229)/IF(VLOOKUP($A229,EnrollData2324,'2324 Jun 24 Enroll'!M$1,FALSE)+VLOOKUP($A229,EnrollData2324,'2324 Jun 24 Enroll'!D$1,FALSE)='District Calculations'!$D$25+'District Calculations'!$D$11,VLOOKUP($A229,EnrollData2324,'2324 Jun 24 Enroll'!M$1,FALSE)+VLOOKUP($A229,EnrollData2324,'2324 Jun 24 Enroll'!D$1,FALSE),'District Calculations'!$D$25+'District Calculations'!$D$11),5)</f>
        <v>1.7749999999999998E-2</v>
      </c>
      <c r="AA229" s="6" cm="1">
        <f t="array" ref="AA229">ROUND($J229*CIS_Base_Salary2324s*VLOOKUP($A229,EnrollData2324,'2324 Jun 24 Enroll'!S$1,FALSE),2)</f>
        <v>4523.22</v>
      </c>
      <c r="AB229" s="6" cm="1">
        <f t="array" ref="AB229">ROUND($J229*CIS_Inc_Salary2324s*(VLOOKUP($A229,EnrollData2324,'2324 Jun 24 Enroll'!T$1,FALSE)+VLOOKUP($A229,EnrollData2324,'2324 Jun 24 Enroll'!U$1,FALSE)),2)-AA229</f>
        <v>167.35999999999967</v>
      </c>
      <c r="AC229" s="6" cm="1">
        <f t="array" ref="AC229">ROUND($R229*CAS_Base_Salary2324s*VLOOKUP($A229,EnrollData2324,'2324 Jun 24 Enroll'!S$1,FALSE),2)</f>
        <v>496.94</v>
      </c>
      <c r="AD229" s="6" cm="1">
        <f t="array" ref="AD229">ROUND($R229*CAS_Inc_Salary2324s*VLOOKUP($A229,EnrollData2324,'2324 Jun 24 Enroll'!T$1,FALSE),2)-AC229</f>
        <v>18.390000000000043</v>
      </c>
      <c r="AE229" s="6" cm="1">
        <f t="array" ref="AE229">ROUND($Z229*CLS_Base_Salary2324s*VLOOKUP($A229,EnrollData2324,'2324 Jun 24 Enroll'!S$1,FALSE),2)</f>
        <v>1037.2</v>
      </c>
      <c r="AF229" s="6" cm="1">
        <f t="array" ref="AF229">ROUND($Z229*CLS_Inc_Salary2324s*VLOOKUP($A229,EnrollData2324,'2324 Jun 24 Enroll'!T$1,FALSE),2)-AE229</f>
        <v>38.369999999999891</v>
      </c>
      <c r="AG229" cm="1">
        <f t="array" ref="AG229">ROUND(($J229+$R229)*Apport_124X2324s,2)</f>
        <v>734.29</v>
      </c>
      <c r="AH229" s="69">
        <f t="shared" si="24"/>
        <v>68.700000000000045</v>
      </c>
      <c r="AI229" cm="1">
        <f t="array" ref="AI229">ROUND($Z229*Apport_124X2324s,2)</f>
        <v>218.54</v>
      </c>
      <c r="AJ229" cm="1">
        <f t="array" ref="AJ229">ROUND($Z229*Apport_621X2324s*Apport_125X2324s,2)-AI229</f>
        <v>116.51000000000002</v>
      </c>
      <c r="AK229" cm="1">
        <f t="array" ref="AK229">ROUND((AA229+AC229)*Apport_126X2324s,2)</f>
        <v>902.12</v>
      </c>
      <c r="AL229" cm="1">
        <f t="array" ref="AL229">ROUND((AB229+AD229)*Apport_127X2324s,2)</f>
        <v>32.19</v>
      </c>
      <c r="AM229" cm="1">
        <f t="array" ref="AM229">ROUND(AE229*Apport_128X2324s,2)</f>
        <v>228.81</v>
      </c>
      <c r="AN229" cm="1">
        <f t="array" ref="AN229">ROUND(AF229*Apport_129X2324s,2)</f>
        <v>7.12</v>
      </c>
      <c r="AO229" cm="1">
        <f t="array" ref="AO229">ROUND(($J229*CIS_Inc_Salary2324s*(VLOOKUP($A229,EnrollData2324,'2324 Jun 24 Enroll'!T$1,FALSE)+VLOOKUP($A229,EnrollData2324,'2324 Jun 24 Enroll'!U$1,FALSE))/Apport_613Xpd)*Apport_614Xpd,2)</f>
        <v>78.180000000000007</v>
      </c>
      <c r="AP229" cm="1">
        <f t="array" ref="AP229">ROUND(AO229*Apport_127X2324s,2)</f>
        <v>13.55</v>
      </c>
      <c r="AQ229">
        <f t="shared" si="25"/>
        <v>30.93</v>
      </c>
      <c r="AR229" s="6" cm="1">
        <f t="array" ref="AR229">ROUND((VLOOKUP($A229,EnrollData2324,'2324 Jun 24 Enroll'!D$1,FALSE)*Apport_M802324s+VLOOKUP($A229,EnrollData2324,'2324 Jun 24 Enroll'!M$1,FALSE)*Apport_M802324s+(VLOOKUP($A229,EnrollData2324,'2324 Jun 24 Enroll'!P$1,FALSE)+VLOOKUP($A229,EnrollData2324,'2324 Jun 24 Enroll'!Q$1,FALSE)+VLOOKUP($A229,EnrollData2324,'2324 Jun 24 Enroll'!R$1,FALSE)+VLOOKUP($A229,EnrollData2324,'2324 Jun 24 Enroll'!I$1,FALSE)+VLOOKUP($A229,EnrollData2324,'2324 Jun 24 Enroll'!N$1,FALSE)+VLOOKUP($A229,EnrollData2324,'2324 Jun 24 Enroll'!O$1,FALSE)+VLOOKUP($A229,EnrollData2324,'2324 Jun 24 Enroll'!K$1,FALSE)+VLOOKUP($A229,EnrollData2324,'2324 Jun 24 Enroll'!L$1,FALSE))*Apport_M812324s)/(VLOOKUP($A229,EnrollData2324,'2324 Jun 24 Enroll'!M$1,FALSE)+VLOOKUP($A229,EnrollData2324,'2324 Jun 24 Enroll'!D$1,FALSE)),2)</f>
        <v>1584.67</v>
      </c>
      <c r="AS229" s="7">
        <f t="shared" si="21"/>
        <v>10297.09</v>
      </c>
    </row>
    <row r="230" spans="1:45">
      <c r="A230" s="40" t="s">
        <v>458</v>
      </c>
      <c r="B230" s="40" t="s">
        <v>459</v>
      </c>
      <c r="C230" s="11">
        <f>ROUND((IFERROR((1/IF(VLOOKUP($A230,EnrollData2324,28,FALSE)='District Calculations'!$D$10,VLOOKUP($A230,EnrollData2324,28,FALSE),'District Calculations'!$D$10))*(1+Apport_Z315),0))+Apport_201A2324s,6)</f>
        <v>7.3449E-2</v>
      </c>
      <c r="D230">
        <f>ROUND(IF(VLOOKUP($A230,EnrollData2324,'2324 Jun 24 Enroll'!D$1,FALSE)='District Calculations'!$D$11,VLOOKUP($A230,EnrollData2324,'2324 Jun 24 Enroll'!D$1,FALSE),'District Calculations'!$D$11)*C230,3)</f>
        <v>0</v>
      </c>
      <c r="E230">
        <f>ROUND(IF(VLOOKUP($A230,EnrollData2324,'2324 Jun 24 Enroll'!E$1,FALSE)='District Calculations'!$D$12,VLOOKUP($A230,EnrollData2324,'2324 Jun 24 Enroll'!E$1,FALSE),'District Calculations'!$D$12)*C230,3)</f>
        <v>59.53</v>
      </c>
      <c r="F230">
        <f>ROUND(IF(VLOOKUP($A230,EnrollData2324,'2324 Jun 24 Enroll'!F$1,FALSE)='District Calculations'!$D$13,VLOOKUP($A230,EnrollData2324,'2324 Jun 24 Enroll'!F$1,FALSE),'District Calculations'!$D$13)*Apport_222A2324s,3)</f>
        <v>10.101000000000001</v>
      </c>
      <c r="G230">
        <f>ROUND(IF(VLOOKUP($A230,EnrollData2324,'2324 Jun 24 Enroll'!G$1,FALSE)='District Calculations'!$D$14,VLOOKUP($A230,EnrollData2324,'2324 Jun 24 Enroll'!G$1,FALSE),'District Calculations'!$D$14)*Apport_210A2324s,3)</f>
        <v>22.395</v>
      </c>
      <c r="H230">
        <f>ROUND(IF(VLOOKUP($A230,EnrollData2324,'2324 Jun 24 Enroll'!H$1,FALSE)='District Calculations'!$D$15,VLOOKUP($A230,EnrollData2324,'2324 Jun 24 Enroll'!H$1,FALSE),'District Calculations'!$D$15)*Apport_213A2324s,3)</f>
        <v>23.091999999999999</v>
      </c>
      <c r="I230">
        <f>ROUND(IF(VLOOKUP($A230,EnrollData2324,'2324 Jun 24 Enroll'!I$1,FALSE)+VLOOKUP($A230,EnrollData2324,'2324 Jun 24 Enroll'!M$1,FALSE)-VLOOKUP($A230,EnrollData2324,'2324 Jun 24 Enroll'!J$1,FALSE)='District Calculations'!$D$16+'District Calculations'!$D$25-'District Calculations'!$D$17,VLOOKUP($A230,EnrollData2324,'2324 Jun 24 Enroll'!I$1,FALSE)+VLOOKUP($A230,EnrollData2324,'2324 Jun 24 Enroll'!M$1,FALSE)-VLOOKUP($A230,EnrollData2324,'2324 Jun 24 Enroll'!J$1,FALSE),'District Calculations'!$D$16+'District Calculations'!$D$25-'District Calculations'!$D$17)*Apport_216A2324s,3)</f>
        <v>58.183999999999997</v>
      </c>
      <c r="J230">
        <f>ROUND(SUM(D230:I230)/(IF(VLOOKUP($A230,EnrollData2324,'2324 Jun 24 Enroll'!M$1,FALSE)='District Calculations'!$D$25,VLOOKUP($A230,EnrollData2324,'2324 Jun 24 Enroll'!M$1,FALSE),'District Calculations'!$D$25)+IF(VLOOKUP($A230,EnrollData2324,'2324 Jun 24 Enroll'!D$1,FALSE)='District Calculations'!$D$11,VLOOKUP($A230,EnrollData2324,'2324 Jun 24 Enroll'!D$1,FALSE),'District Calculations'!$D$11)),5)</f>
        <v>5.5530000000000003E-2</v>
      </c>
      <c r="K230" s="11">
        <f t="shared" si="22"/>
        <v>4.3699999999999998E-3</v>
      </c>
      <c r="L230">
        <f>ROUND(IF(VLOOKUP($A230,EnrollData2324,'2324 Jun 24 Enroll'!D$1,FALSE)='District Calculations'!$D$11,VLOOKUP($A230,EnrollData2324,'2324 Jun 24 Enroll'!D$1,FALSE),'District Calculations'!$D$11)*K230,3)</f>
        <v>0</v>
      </c>
      <c r="M230">
        <f>ROUND(IF(VLOOKUP($A230,EnrollData2324,'2324 Jun 24 Enroll'!E$1,FALSE)='District Calculations'!$D$12,VLOOKUP($A230,EnrollData2324,'2324 Jun 24 Enroll'!E$1,FALSE),'District Calculations'!$D$12)*K230,3)</f>
        <v>3.5419999999999998</v>
      </c>
      <c r="N230">
        <f>ROUND(IF(VLOOKUP($A230,EnrollData2324,'2324 Jun 24 Enroll'!F$1,FALSE)='District Calculations'!$D$13,VLOOKUP($A230,EnrollData2324,'2324 Jun 24 Enroll'!F$1,FALSE),'District Calculations'!$D$13)*Apport_223A2324s,3)</f>
        <v>0.84299999999999997</v>
      </c>
      <c r="O230">
        <f>ROUND(IF(VLOOKUP($A230,EnrollData2324,'2324 Jun 24 Enroll'!G$1,FALSE)='District Calculations'!$D$14,VLOOKUP($A230,EnrollData2324,'2324 Jun 24 Enroll'!G$1,FALSE),'District Calculations'!$D$14)*Apport_211A2324s,3)</f>
        <v>1.87</v>
      </c>
      <c r="P230">
        <f>ROUND(IF(VLOOKUP($A230,EnrollData2324,'2324 Jun 24 Enroll'!H$1,FALSE)='District Calculations'!$D$14,VLOOKUP($A230,EnrollData2324,'2324 Jun 24 Enroll'!H$1,FALSE),'District Calculations'!$D$14)*Apport_214A2324s,3)</f>
        <v>1.8680000000000001</v>
      </c>
      <c r="Q230">
        <f>ROUND(IF(VLOOKUP($A230,EnrollData2324,'2324 Jun 24 Enroll'!I$1,FALSE)+VLOOKUP($A230,EnrollData2324,'2324 Jun 24 Enroll'!M$1,FALSE)-VLOOKUP($A230,EnrollData2324,'2324 Jun 24 Enroll'!J$1,FALSE)='District Calculations'!$D$16+'District Calculations'!$D$25-'District Calculations'!$D$17,VLOOKUP($A230,EnrollData2324,'2324 Jun 24 Enroll'!I$1,FALSE)+VLOOKUP($A230,EnrollData2324,'2324 Jun 24 Enroll'!M$1,FALSE)-VLOOKUP($A230,EnrollData2324,'2324 Jun 24 Enroll'!J$1,FALSE),'District Calculations'!$D$16+'District Calculations'!$D$25-'District Calculations'!$D$17)*Apport_217A2324s,3)</f>
        <v>4.702</v>
      </c>
      <c r="R230">
        <f>ROUND(SUM(L230:Q230)/IF(VLOOKUP($A230,EnrollData2324,'2324 Jun 24 Enroll'!M$1,FALSE)+VLOOKUP($A230,EnrollData2324,'2324 Jun 24 Enroll'!D$1,FALSE)='District Calculations'!$D$25+'District Calculations'!$D$11,VLOOKUP($A230,EnrollData2324,'2324 Jun 24 Enroll'!M$1,FALSE)+VLOOKUP($A230,EnrollData2324,'2324 Jun 24 Enroll'!D$1,FALSE),'District Calculations'!$D$25+'District Calculations'!$D$11),5)</f>
        <v>4.1099999999999999E-3</v>
      </c>
      <c r="S230" s="11">
        <f t="shared" si="23"/>
        <v>1.8689600000000001E-2</v>
      </c>
      <c r="T230">
        <f>ROUND(IF(VLOOKUP($A230,EnrollData2324,'2324 Jun 24 Enroll'!D$1,FALSE)='District Calculations'!$D$11,VLOOKUP($A230,EnrollData2324,'2324 Jun 24 Enroll'!D$1,FALSE),'District Calculations'!$D$11)*S230,3)</f>
        <v>0</v>
      </c>
      <c r="U230">
        <f>ROUND(IF(VLOOKUP($A230,EnrollData2324,'2324 Jun 24 Enroll'!E$1,FALSE)='District Calculations'!$D$12,VLOOKUP($A230,EnrollData2324,'2324 Jun 24 Enroll'!E$1,FALSE),'District Calculations'!$D$12)*S230,3)</f>
        <v>15.148</v>
      </c>
      <c r="V230">
        <f>ROUND(IF(VLOOKUP($A230,EnrollData2324,'2324 Jun 24 Enroll'!F$1,FALSE)='District Calculations'!$D$13,VLOOKUP($A230,EnrollData2324,'2324 Jun 24 Enroll'!F$1,FALSE),'District Calculations'!$D$13)*Apport_224A2324s,3)</f>
        <v>3.7029999999999998</v>
      </c>
      <c r="W230">
        <f>ROUND(IF(VLOOKUP($A230,EnrollData2324,'2324 Jun 24 Enroll'!G$1,FALSE)='District Calculations'!$D$14,VLOOKUP($A230,EnrollData2324,'2324 Jun 24 Enroll'!G$1,FALSE),'District Calculations'!$D$14)*Apport_212A2324s,3)</f>
        <v>8.2089999999999996</v>
      </c>
      <c r="X230">
        <f>ROUND(IF(VLOOKUP($A230,EnrollData2324,'2324 Jun 24 Enroll'!H$1,FALSE)='District Calculations'!$D$14,VLOOKUP($A230,EnrollData2324,'2324 Jun 24 Enroll'!H$1,FALSE),'District Calculations'!$D$14)*Apport_215A2324s,3)</f>
        <v>8.0969999999999995</v>
      </c>
      <c r="Y230">
        <f>ROUND(IF(VLOOKUP($A230,EnrollData2324,'2324 Jun 24 Enroll'!I$1,FALSE)+VLOOKUP($A230,EnrollData2324,'2324 Jun 24 Enroll'!M$1,FALSE)-VLOOKUP($A230,EnrollData2324,'2324 Jun 24 Enroll'!J$1,FALSE)='District Calculations'!$D$16+'District Calculations'!$D$25-'District Calculations'!$D$17,VLOOKUP($A230,EnrollData2324,'2324 Jun 24 Enroll'!I$1,FALSE)+VLOOKUP($A230,EnrollData2324,'2324 Jun 24 Enroll'!M$1,FALSE)-VLOOKUP($A230,EnrollData2324,'2324 Jun 24 Enroll'!J$1,FALSE),'District Calculations'!$D$16+'District Calculations'!$D$25-'District Calculations'!$D$17)*Apport_218A2324s,3)</f>
        <v>20.224</v>
      </c>
      <c r="Z230">
        <f>ROUND(SUM(T230:Y230)/IF(VLOOKUP($A230,EnrollData2324,'2324 Jun 24 Enroll'!M$1,FALSE)+VLOOKUP($A230,EnrollData2324,'2324 Jun 24 Enroll'!D$1,FALSE)='District Calculations'!$D$25+'District Calculations'!$D$11,VLOOKUP($A230,EnrollData2324,'2324 Jun 24 Enroll'!M$1,FALSE)+VLOOKUP($A230,EnrollData2324,'2324 Jun 24 Enroll'!D$1,FALSE),'District Calculations'!$D$25+'District Calculations'!$D$11),5)</f>
        <v>1.7749999999999998E-2</v>
      </c>
      <c r="AA230" s="6" cm="1">
        <f t="array" ref="AA230">ROUND($J230*CIS_Base_Salary2324s*VLOOKUP($A230,EnrollData2324,'2324 Jun 24 Enroll'!S$1,FALSE),2)</f>
        <v>4765.53</v>
      </c>
      <c r="AB230" s="6" cm="1">
        <f t="array" ref="AB230">ROUND($J230*CIS_Inc_Salary2324s*(VLOOKUP($A230,EnrollData2324,'2324 Jun 24 Enroll'!T$1,FALSE)+VLOOKUP($A230,EnrollData2324,'2324 Jun 24 Enroll'!U$1,FALSE)),2)-AA230</f>
        <v>176.32999999999993</v>
      </c>
      <c r="AC230" s="6" cm="1">
        <f t="array" ref="AC230">ROUND($R230*CAS_Base_Salary2324s*VLOOKUP($A230,EnrollData2324,'2324 Jun 24 Enroll'!S$1,FALSE),2)</f>
        <v>523.55999999999995</v>
      </c>
      <c r="AD230" s="6" cm="1">
        <f t="array" ref="AD230">ROUND($R230*CAS_Inc_Salary2324s*VLOOKUP($A230,EnrollData2324,'2324 Jun 24 Enroll'!T$1,FALSE),2)-AC230</f>
        <v>19.380000000000109</v>
      </c>
      <c r="AE230" s="6" cm="1">
        <f t="array" ref="AE230">ROUND($Z230*CLS_Base_Salary2324s*VLOOKUP($A230,EnrollData2324,'2324 Jun 24 Enroll'!S$1,FALSE),2)</f>
        <v>1092.76</v>
      </c>
      <c r="AF230" s="6" cm="1">
        <f t="array" ref="AF230">ROUND($Z230*CLS_Inc_Salary2324s*VLOOKUP($A230,EnrollData2324,'2324 Jun 24 Enroll'!T$1,FALSE),2)-AE230</f>
        <v>40.430000000000064</v>
      </c>
      <c r="AG230" cm="1">
        <f t="array" ref="AG230">ROUND(($J230+$R230)*Apport_124X2324s,2)</f>
        <v>734.29</v>
      </c>
      <c r="AH230" s="69">
        <f t="shared" si="24"/>
        <v>68.700000000000045</v>
      </c>
      <c r="AI230" cm="1">
        <f t="array" ref="AI230">ROUND($Z230*Apport_124X2324s,2)</f>
        <v>218.54</v>
      </c>
      <c r="AJ230" cm="1">
        <f t="array" ref="AJ230">ROUND($Z230*Apport_621X2324s*Apport_125X2324s,2)-AI230</f>
        <v>116.51000000000002</v>
      </c>
      <c r="AK230" cm="1">
        <f t="array" ref="AK230">ROUND((AA230+AC230)*Apport_126X2324s,2)</f>
        <v>950.45</v>
      </c>
      <c r="AL230" cm="1">
        <f t="array" ref="AL230">ROUND((AB230+AD230)*Apport_127X2324s,2)</f>
        <v>33.92</v>
      </c>
      <c r="AM230" cm="1">
        <f t="array" ref="AM230">ROUND(AE230*Apport_128X2324s,2)</f>
        <v>241.06</v>
      </c>
      <c r="AN230" cm="1">
        <f t="array" ref="AN230">ROUND(AF230*Apport_129X2324s,2)</f>
        <v>7.5</v>
      </c>
      <c r="AO230" cm="1">
        <f t="array" ref="AO230">ROUND(($J230*CIS_Inc_Salary2324s*(VLOOKUP($A230,EnrollData2324,'2324 Jun 24 Enroll'!T$1,FALSE)+VLOOKUP($A230,EnrollData2324,'2324 Jun 24 Enroll'!U$1,FALSE))/Apport_613Xpd)*Apport_614Xpd,2)</f>
        <v>82.36</v>
      </c>
      <c r="AP230" cm="1">
        <f t="array" ref="AP230">ROUND(AO230*Apport_127X2324s,2)</f>
        <v>14.27</v>
      </c>
      <c r="AQ230">
        <f t="shared" si="25"/>
        <v>30.93</v>
      </c>
      <c r="AR230" s="6" cm="1">
        <f t="array" ref="AR230">ROUND((VLOOKUP($A230,EnrollData2324,'2324 Jun 24 Enroll'!D$1,FALSE)*Apport_M802324s+VLOOKUP($A230,EnrollData2324,'2324 Jun 24 Enroll'!M$1,FALSE)*Apport_M802324s+(VLOOKUP($A230,EnrollData2324,'2324 Jun 24 Enroll'!P$1,FALSE)+VLOOKUP($A230,EnrollData2324,'2324 Jun 24 Enroll'!Q$1,FALSE)+VLOOKUP($A230,EnrollData2324,'2324 Jun 24 Enroll'!R$1,FALSE)+VLOOKUP($A230,EnrollData2324,'2324 Jun 24 Enroll'!I$1,FALSE)+VLOOKUP($A230,EnrollData2324,'2324 Jun 24 Enroll'!N$1,FALSE)+VLOOKUP($A230,EnrollData2324,'2324 Jun 24 Enroll'!O$1,FALSE)+VLOOKUP($A230,EnrollData2324,'2324 Jun 24 Enroll'!K$1,FALSE)+VLOOKUP($A230,EnrollData2324,'2324 Jun 24 Enroll'!L$1,FALSE))*Apport_M812324s)/(VLOOKUP($A230,EnrollData2324,'2324 Jun 24 Enroll'!M$1,FALSE)+VLOOKUP($A230,EnrollData2324,'2324 Jun 24 Enroll'!D$1,FALSE)),2)</f>
        <v>1562.68</v>
      </c>
      <c r="AS230" s="7">
        <f t="shared" si="21"/>
        <v>10679.200000000003</v>
      </c>
    </row>
    <row r="231" spans="1:45">
      <c r="A231" s="40" t="s">
        <v>546</v>
      </c>
      <c r="B231" s="40" t="s">
        <v>547</v>
      </c>
      <c r="C231" s="11">
        <f>ROUND((IFERROR((1/IF(VLOOKUP($A231,EnrollData2324,28,FALSE)='District Calculations'!$D$10,VLOOKUP($A231,EnrollData2324,28,FALSE),'District Calculations'!$D$10))*(1+Apport_Z315),0))+Apport_201A2324s,6)</f>
        <v>7.3449E-2</v>
      </c>
      <c r="D231">
        <f>ROUND(IF(VLOOKUP($A231,EnrollData2324,'2324 Jun 24 Enroll'!D$1,FALSE)='District Calculations'!$D$11,VLOOKUP($A231,EnrollData2324,'2324 Jun 24 Enroll'!D$1,FALSE),'District Calculations'!$D$11)*C231,3)</f>
        <v>0</v>
      </c>
      <c r="E231">
        <f>ROUND(IF(VLOOKUP($A231,EnrollData2324,'2324 Jun 24 Enroll'!E$1,FALSE)='District Calculations'!$D$12,VLOOKUP($A231,EnrollData2324,'2324 Jun 24 Enroll'!E$1,FALSE),'District Calculations'!$D$12)*C231,3)</f>
        <v>59.53</v>
      </c>
      <c r="F231">
        <f>ROUND(IF(VLOOKUP($A231,EnrollData2324,'2324 Jun 24 Enroll'!F$1,FALSE)='District Calculations'!$D$13,VLOOKUP($A231,EnrollData2324,'2324 Jun 24 Enroll'!F$1,FALSE),'District Calculations'!$D$13)*Apport_222A2324s,3)</f>
        <v>10.101000000000001</v>
      </c>
      <c r="G231">
        <f>ROUND(IF(VLOOKUP($A231,EnrollData2324,'2324 Jun 24 Enroll'!G$1,FALSE)='District Calculations'!$D$14,VLOOKUP($A231,EnrollData2324,'2324 Jun 24 Enroll'!G$1,FALSE),'District Calculations'!$D$14)*Apport_210A2324s,3)</f>
        <v>22.395</v>
      </c>
      <c r="H231">
        <f>ROUND(IF(VLOOKUP($A231,EnrollData2324,'2324 Jun 24 Enroll'!H$1,FALSE)='District Calculations'!$D$15,VLOOKUP($A231,EnrollData2324,'2324 Jun 24 Enroll'!H$1,FALSE),'District Calculations'!$D$15)*Apport_213A2324s,3)</f>
        <v>23.091999999999999</v>
      </c>
      <c r="I231">
        <f>ROUND(IF(VLOOKUP($A231,EnrollData2324,'2324 Jun 24 Enroll'!I$1,FALSE)+VLOOKUP($A231,EnrollData2324,'2324 Jun 24 Enroll'!M$1,FALSE)-VLOOKUP($A231,EnrollData2324,'2324 Jun 24 Enroll'!J$1,FALSE)='District Calculations'!$D$16+'District Calculations'!$D$25-'District Calculations'!$D$17,VLOOKUP($A231,EnrollData2324,'2324 Jun 24 Enroll'!I$1,FALSE)+VLOOKUP($A231,EnrollData2324,'2324 Jun 24 Enroll'!M$1,FALSE)-VLOOKUP($A231,EnrollData2324,'2324 Jun 24 Enroll'!J$1,FALSE),'District Calculations'!$D$16+'District Calculations'!$D$25-'District Calculations'!$D$17)*Apport_216A2324s,3)</f>
        <v>58.183999999999997</v>
      </c>
      <c r="J231">
        <f>ROUND(SUM(D231:I231)/(IF(VLOOKUP($A231,EnrollData2324,'2324 Jun 24 Enroll'!M$1,FALSE)='District Calculations'!$D$25,VLOOKUP($A231,EnrollData2324,'2324 Jun 24 Enroll'!M$1,FALSE),'District Calculations'!$D$25)+IF(VLOOKUP($A231,EnrollData2324,'2324 Jun 24 Enroll'!D$1,FALSE)='District Calculations'!$D$11,VLOOKUP($A231,EnrollData2324,'2324 Jun 24 Enroll'!D$1,FALSE),'District Calculations'!$D$11)),5)</f>
        <v>5.5530000000000003E-2</v>
      </c>
      <c r="K231" s="11">
        <f t="shared" si="22"/>
        <v>4.3699999999999998E-3</v>
      </c>
      <c r="L231">
        <f>ROUND(IF(VLOOKUP($A231,EnrollData2324,'2324 Jun 24 Enroll'!D$1,FALSE)='District Calculations'!$D$11,VLOOKUP($A231,EnrollData2324,'2324 Jun 24 Enroll'!D$1,FALSE),'District Calculations'!$D$11)*K231,3)</f>
        <v>0</v>
      </c>
      <c r="M231">
        <f>ROUND(IF(VLOOKUP($A231,EnrollData2324,'2324 Jun 24 Enroll'!E$1,FALSE)='District Calculations'!$D$12,VLOOKUP($A231,EnrollData2324,'2324 Jun 24 Enroll'!E$1,FALSE),'District Calculations'!$D$12)*K231,3)</f>
        <v>3.5419999999999998</v>
      </c>
      <c r="N231">
        <f>ROUND(IF(VLOOKUP($A231,EnrollData2324,'2324 Jun 24 Enroll'!F$1,FALSE)='District Calculations'!$D$13,VLOOKUP($A231,EnrollData2324,'2324 Jun 24 Enroll'!F$1,FALSE),'District Calculations'!$D$13)*Apport_223A2324s,3)</f>
        <v>0.84299999999999997</v>
      </c>
      <c r="O231">
        <f>ROUND(IF(VLOOKUP($A231,EnrollData2324,'2324 Jun 24 Enroll'!G$1,FALSE)='District Calculations'!$D$14,VLOOKUP($A231,EnrollData2324,'2324 Jun 24 Enroll'!G$1,FALSE),'District Calculations'!$D$14)*Apport_211A2324s,3)</f>
        <v>1.87</v>
      </c>
      <c r="P231">
        <f>ROUND(IF(VLOOKUP($A231,EnrollData2324,'2324 Jun 24 Enroll'!H$1,FALSE)='District Calculations'!$D$14,VLOOKUP($A231,EnrollData2324,'2324 Jun 24 Enroll'!H$1,FALSE),'District Calculations'!$D$14)*Apport_214A2324s,3)</f>
        <v>1.8680000000000001</v>
      </c>
      <c r="Q231">
        <f>ROUND(IF(VLOOKUP($A231,EnrollData2324,'2324 Jun 24 Enroll'!I$1,FALSE)+VLOOKUP($A231,EnrollData2324,'2324 Jun 24 Enroll'!M$1,FALSE)-VLOOKUP($A231,EnrollData2324,'2324 Jun 24 Enroll'!J$1,FALSE)='District Calculations'!$D$16+'District Calculations'!$D$25-'District Calculations'!$D$17,VLOOKUP($A231,EnrollData2324,'2324 Jun 24 Enroll'!I$1,FALSE)+VLOOKUP($A231,EnrollData2324,'2324 Jun 24 Enroll'!M$1,FALSE)-VLOOKUP($A231,EnrollData2324,'2324 Jun 24 Enroll'!J$1,FALSE),'District Calculations'!$D$16+'District Calculations'!$D$25-'District Calculations'!$D$17)*Apport_217A2324s,3)</f>
        <v>4.702</v>
      </c>
      <c r="R231">
        <f>ROUND(SUM(L231:Q231)/IF(VLOOKUP($A231,EnrollData2324,'2324 Jun 24 Enroll'!M$1,FALSE)+VLOOKUP($A231,EnrollData2324,'2324 Jun 24 Enroll'!D$1,FALSE)='District Calculations'!$D$25+'District Calculations'!$D$11,VLOOKUP($A231,EnrollData2324,'2324 Jun 24 Enroll'!M$1,FALSE)+VLOOKUP($A231,EnrollData2324,'2324 Jun 24 Enroll'!D$1,FALSE),'District Calculations'!$D$25+'District Calculations'!$D$11),5)</f>
        <v>4.1099999999999999E-3</v>
      </c>
      <c r="S231" s="11">
        <f t="shared" si="23"/>
        <v>1.8689600000000001E-2</v>
      </c>
      <c r="T231">
        <f>ROUND(IF(VLOOKUP($A231,EnrollData2324,'2324 Jun 24 Enroll'!D$1,FALSE)='District Calculations'!$D$11,VLOOKUP($A231,EnrollData2324,'2324 Jun 24 Enroll'!D$1,FALSE),'District Calculations'!$D$11)*S231,3)</f>
        <v>0</v>
      </c>
      <c r="U231">
        <f>ROUND(IF(VLOOKUP($A231,EnrollData2324,'2324 Jun 24 Enroll'!E$1,FALSE)='District Calculations'!$D$12,VLOOKUP($A231,EnrollData2324,'2324 Jun 24 Enroll'!E$1,FALSE),'District Calculations'!$D$12)*S231,3)</f>
        <v>15.148</v>
      </c>
      <c r="V231">
        <f>ROUND(IF(VLOOKUP($A231,EnrollData2324,'2324 Jun 24 Enroll'!F$1,FALSE)='District Calculations'!$D$13,VLOOKUP($A231,EnrollData2324,'2324 Jun 24 Enroll'!F$1,FALSE),'District Calculations'!$D$13)*Apport_224A2324s,3)</f>
        <v>3.7029999999999998</v>
      </c>
      <c r="W231">
        <f>ROUND(IF(VLOOKUP($A231,EnrollData2324,'2324 Jun 24 Enroll'!G$1,FALSE)='District Calculations'!$D$14,VLOOKUP($A231,EnrollData2324,'2324 Jun 24 Enroll'!G$1,FALSE),'District Calculations'!$D$14)*Apport_212A2324s,3)</f>
        <v>8.2089999999999996</v>
      </c>
      <c r="X231">
        <f>ROUND(IF(VLOOKUP($A231,EnrollData2324,'2324 Jun 24 Enroll'!H$1,FALSE)='District Calculations'!$D$14,VLOOKUP($A231,EnrollData2324,'2324 Jun 24 Enroll'!H$1,FALSE),'District Calculations'!$D$14)*Apport_215A2324s,3)</f>
        <v>8.0969999999999995</v>
      </c>
      <c r="Y231">
        <f>ROUND(IF(VLOOKUP($A231,EnrollData2324,'2324 Jun 24 Enroll'!I$1,FALSE)+VLOOKUP($A231,EnrollData2324,'2324 Jun 24 Enroll'!M$1,FALSE)-VLOOKUP($A231,EnrollData2324,'2324 Jun 24 Enroll'!J$1,FALSE)='District Calculations'!$D$16+'District Calculations'!$D$25-'District Calculations'!$D$17,VLOOKUP($A231,EnrollData2324,'2324 Jun 24 Enroll'!I$1,FALSE)+VLOOKUP($A231,EnrollData2324,'2324 Jun 24 Enroll'!M$1,FALSE)-VLOOKUP($A231,EnrollData2324,'2324 Jun 24 Enroll'!J$1,FALSE),'District Calculations'!$D$16+'District Calculations'!$D$25-'District Calculations'!$D$17)*Apport_218A2324s,3)</f>
        <v>20.224</v>
      </c>
      <c r="Z231">
        <f>ROUND(SUM(T231:Y231)/IF(VLOOKUP($A231,EnrollData2324,'2324 Jun 24 Enroll'!M$1,FALSE)+VLOOKUP($A231,EnrollData2324,'2324 Jun 24 Enroll'!D$1,FALSE)='District Calculations'!$D$25+'District Calculations'!$D$11,VLOOKUP($A231,EnrollData2324,'2324 Jun 24 Enroll'!M$1,FALSE)+VLOOKUP($A231,EnrollData2324,'2324 Jun 24 Enroll'!D$1,FALSE),'District Calculations'!$D$25+'District Calculations'!$D$11),5)</f>
        <v>1.7749999999999998E-2</v>
      </c>
      <c r="AA231" s="6" cm="1">
        <f t="array" ref="AA231">ROUND($J231*CIS_Base_Salary2324s*VLOOKUP($A231,EnrollData2324,'2324 Jun 24 Enroll'!S$1,FALSE),2)</f>
        <v>4765.53</v>
      </c>
      <c r="AB231" s="6" cm="1">
        <f t="array" ref="AB231">ROUND($J231*CIS_Inc_Salary2324s*(VLOOKUP($A231,EnrollData2324,'2324 Jun 24 Enroll'!T$1,FALSE)+VLOOKUP($A231,EnrollData2324,'2324 Jun 24 Enroll'!U$1,FALSE)),2)-AA231</f>
        <v>176.32999999999993</v>
      </c>
      <c r="AC231" s="6" cm="1">
        <f t="array" ref="AC231">ROUND($R231*CAS_Base_Salary2324s*VLOOKUP($A231,EnrollData2324,'2324 Jun 24 Enroll'!S$1,FALSE),2)</f>
        <v>523.55999999999995</v>
      </c>
      <c r="AD231" s="6" cm="1">
        <f t="array" ref="AD231">ROUND($R231*CAS_Inc_Salary2324s*VLOOKUP($A231,EnrollData2324,'2324 Jun 24 Enroll'!T$1,FALSE),2)-AC231</f>
        <v>19.380000000000109</v>
      </c>
      <c r="AE231" s="6" cm="1">
        <f t="array" ref="AE231">ROUND($Z231*CLS_Base_Salary2324s*VLOOKUP($A231,EnrollData2324,'2324 Jun 24 Enroll'!S$1,FALSE),2)</f>
        <v>1092.76</v>
      </c>
      <c r="AF231" s="6" cm="1">
        <f t="array" ref="AF231">ROUND($Z231*CLS_Inc_Salary2324s*VLOOKUP($A231,EnrollData2324,'2324 Jun 24 Enroll'!T$1,FALSE),2)-AE231</f>
        <v>40.430000000000064</v>
      </c>
      <c r="AG231" cm="1">
        <f t="array" ref="AG231">ROUND(($J231+$R231)*Apport_124X2324s,2)</f>
        <v>734.29</v>
      </c>
      <c r="AH231" s="69">
        <f t="shared" si="24"/>
        <v>68.700000000000045</v>
      </c>
      <c r="AI231" cm="1">
        <f t="array" ref="AI231">ROUND($Z231*Apport_124X2324s,2)</f>
        <v>218.54</v>
      </c>
      <c r="AJ231" cm="1">
        <f t="array" ref="AJ231">ROUND($Z231*Apport_621X2324s*Apport_125X2324s,2)-AI231</f>
        <v>116.51000000000002</v>
      </c>
      <c r="AK231" cm="1">
        <f t="array" ref="AK231">ROUND((AA231+AC231)*Apport_126X2324s,2)</f>
        <v>950.45</v>
      </c>
      <c r="AL231" cm="1">
        <f t="array" ref="AL231">ROUND((AB231+AD231)*Apport_127X2324s,2)</f>
        <v>33.92</v>
      </c>
      <c r="AM231" cm="1">
        <f t="array" ref="AM231">ROUND(AE231*Apport_128X2324s,2)</f>
        <v>241.06</v>
      </c>
      <c r="AN231" cm="1">
        <f t="array" ref="AN231">ROUND(AF231*Apport_129X2324s,2)</f>
        <v>7.5</v>
      </c>
      <c r="AO231" cm="1">
        <f t="array" ref="AO231">ROUND(($J231*CIS_Inc_Salary2324s*(VLOOKUP($A231,EnrollData2324,'2324 Jun 24 Enroll'!T$1,FALSE)+VLOOKUP($A231,EnrollData2324,'2324 Jun 24 Enroll'!U$1,FALSE))/Apport_613Xpd)*Apport_614Xpd,2)</f>
        <v>82.36</v>
      </c>
      <c r="AP231" cm="1">
        <f t="array" ref="AP231">ROUND(AO231*Apport_127X2324s,2)</f>
        <v>14.27</v>
      </c>
      <c r="AQ231">
        <f t="shared" si="25"/>
        <v>30.93</v>
      </c>
      <c r="AR231" s="6" cm="1">
        <f t="array" ref="AR231">ROUND((VLOOKUP($A231,EnrollData2324,'2324 Jun 24 Enroll'!D$1,FALSE)*Apport_M802324s+VLOOKUP($A231,EnrollData2324,'2324 Jun 24 Enroll'!M$1,FALSE)*Apport_M802324s+(VLOOKUP($A231,EnrollData2324,'2324 Jun 24 Enroll'!P$1,FALSE)+VLOOKUP($A231,EnrollData2324,'2324 Jun 24 Enroll'!Q$1,FALSE)+VLOOKUP($A231,EnrollData2324,'2324 Jun 24 Enroll'!R$1,FALSE)+VLOOKUP($A231,EnrollData2324,'2324 Jun 24 Enroll'!I$1,FALSE)+VLOOKUP($A231,EnrollData2324,'2324 Jun 24 Enroll'!N$1,FALSE)+VLOOKUP($A231,EnrollData2324,'2324 Jun 24 Enroll'!O$1,FALSE)+VLOOKUP($A231,EnrollData2324,'2324 Jun 24 Enroll'!K$1,FALSE)+VLOOKUP($A231,EnrollData2324,'2324 Jun 24 Enroll'!L$1,FALSE))*Apport_M812324s)/(VLOOKUP($A231,EnrollData2324,'2324 Jun 24 Enroll'!M$1,FALSE)+VLOOKUP($A231,EnrollData2324,'2324 Jun 24 Enroll'!D$1,FALSE)),2)</f>
        <v>1565.05</v>
      </c>
      <c r="AS231" s="7">
        <f t="shared" ref="AS231:AS290" si="26">SUM(AA231:AR231)</f>
        <v>10681.570000000002</v>
      </c>
    </row>
    <row r="232" spans="1:45">
      <c r="A232" s="40" t="s">
        <v>612</v>
      </c>
      <c r="B232" s="40" t="s">
        <v>613</v>
      </c>
      <c r="C232" s="11">
        <f>ROUND((IFERROR((1/IF(VLOOKUP($A232,EnrollData2324,28,FALSE)='District Calculations'!$D$10,VLOOKUP($A232,EnrollData2324,28,FALSE),'District Calculations'!$D$10))*(1+Apport_Z315),0))+Apport_201A2324s,6)</f>
        <v>7.3449E-2</v>
      </c>
      <c r="D232">
        <f>ROUND(IF(VLOOKUP($A232,EnrollData2324,'2324 Jun 24 Enroll'!D$1,FALSE)='District Calculations'!$D$11,VLOOKUP($A232,EnrollData2324,'2324 Jun 24 Enroll'!D$1,FALSE),'District Calculations'!$D$11)*C232,3)</f>
        <v>0</v>
      </c>
      <c r="E232">
        <f>ROUND(IF(VLOOKUP($A232,EnrollData2324,'2324 Jun 24 Enroll'!E$1,FALSE)='District Calculations'!$D$12,VLOOKUP($A232,EnrollData2324,'2324 Jun 24 Enroll'!E$1,FALSE),'District Calculations'!$D$12)*C232,3)</f>
        <v>59.53</v>
      </c>
      <c r="F232">
        <f>ROUND(IF(VLOOKUP($A232,EnrollData2324,'2324 Jun 24 Enroll'!F$1,FALSE)='District Calculations'!$D$13,VLOOKUP($A232,EnrollData2324,'2324 Jun 24 Enroll'!F$1,FALSE),'District Calculations'!$D$13)*Apport_222A2324s,3)</f>
        <v>10.101000000000001</v>
      </c>
      <c r="G232">
        <f>ROUND(IF(VLOOKUP($A232,EnrollData2324,'2324 Jun 24 Enroll'!G$1,FALSE)='District Calculations'!$D$14,VLOOKUP($A232,EnrollData2324,'2324 Jun 24 Enroll'!G$1,FALSE),'District Calculations'!$D$14)*Apport_210A2324s,3)</f>
        <v>22.395</v>
      </c>
      <c r="H232">
        <f>ROUND(IF(VLOOKUP($A232,EnrollData2324,'2324 Jun 24 Enroll'!H$1,FALSE)='District Calculations'!$D$15,VLOOKUP($A232,EnrollData2324,'2324 Jun 24 Enroll'!H$1,FALSE),'District Calculations'!$D$15)*Apport_213A2324s,3)</f>
        <v>23.091999999999999</v>
      </c>
      <c r="I232">
        <f>ROUND(IF(VLOOKUP($A232,EnrollData2324,'2324 Jun 24 Enroll'!I$1,FALSE)+VLOOKUP($A232,EnrollData2324,'2324 Jun 24 Enroll'!M$1,FALSE)-VLOOKUP($A232,EnrollData2324,'2324 Jun 24 Enroll'!J$1,FALSE)='District Calculations'!$D$16+'District Calculations'!$D$25-'District Calculations'!$D$17,VLOOKUP($A232,EnrollData2324,'2324 Jun 24 Enroll'!I$1,FALSE)+VLOOKUP($A232,EnrollData2324,'2324 Jun 24 Enroll'!M$1,FALSE)-VLOOKUP($A232,EnrollData2324,'2324 Jun 24 Enroll'!J$1,FALSE),'District Calculations'!$D$16+'District Calculations'!$D$25-'District Calculations'!$D$17)*Apport_216A2324s,3)</f>
        <v>58.183999999999997</v>
      </c>
      <c r="J232">
        <f>ROUND(SUM(D232:I232)/(IF(VLOOKUP($A232,EnrollData2324,'2324 Jun 24 Enroll'!M$1,FALSE)='District Calculations'!$D$25,VLOOKUP($A232,EnrollData2324,'2324 Jun 24 Enroll'!M$1,FALSE),'District Calculations'!$D$25)+IF(VLOOKUP($A232,EnrollData2324,'2324 Jun 24 Enroll'!D$1,FALSE)='District Calculations'!$D$11,VLOOKUP($A232,EnrollData2324,'2324 Jun 24 Enroll'!D$1,FALSE),'District Calculations'!$D$11)),5)</f>
        <v>5.5530000000000003E-2</v>
      </c>
      <c r="K232" s="11">
        <f t="shared" si="22"/>
        <v>4.3699999999999998E-3</v>
      </c>
      <c r="L232">
        <f>ROUND(IF(VLOOKUP($A232,EnrollData2324,'2324 Jun 24 Enroll'!D$1,FALSE)='District Calculations'!$D$11,VLOOKUP($A232,EnrollData2324,'2324 Jun 24 Enroll'!D$1,FALSE),'District Calculations'!$D$11)*K232,3)</f>
        <v>0</v>
      </c>
      <c r="M232">
        <f>ROUND(IF(VLOOKUP($A232,EnrollData2324,'2324 Jun 24 Enroll'!E$1,FALSE)='District Calculations'!$D$12,VLOOKUP($A232,EnrollData2324,'2324 Jun 24 Enroll'!E$1,FALSE),'District Calculations'!$D$12)*K232,3)</f>
        <v>3.5419999999999998</v>
      </c>
      <c r="N232">
        <f>ROUND(IF(VLOOKUP($A232,EnrollData2324,'2324 Jun 24 Enroll'!F$1,FALSE)='District Calculations'!$D$13,VLOOKUP($A232,EnrollData2324,'2324 Jun 24 Enroll'!F$1,FALSE),'District Calculations'!$D$13)*Apport_223A2324s,3)</f>
        <v>0.84299999999999997</v>
      </c>
      <c r="O232">
        <f>ROUND(IF(VLOOKUP($A232,EnrollData2324,'2324 Jun 24 Enroll'!G$1,FALSE)='District Calculations'!$D$14,VLOOKUP($A232,EnrollData2324,'2324 Jun 24 Enroll'!G$1,FALSE),'District Calculations'!$D$14)*Apport_211A2324s,3)</f>
        <v>1.87</v>
      </c>
      <c r="P232">
        <f>ROUND(IF(VLOOKUP($A232,EnrollData2324,'2324 Jun 24 Enroll'!H$1,FALSE)='District Calculations'!$D$14,VLOOKUP($A232,EnrollData2324,'2324 Jun 24 Enroll'!H$1,FALSE),'District Calculations'!$D$14)*Apport_214A2324s,3)</f>
        <v>1.8680000000000001</v>
      </c>
      <c r="Q232">
        <f>ROUND(IF(VLOOKUP($A232,EnrollData2324,'2324 Jun 24 Enroll'!I$1,FALSE)+VLOOKUP($A232,EnrollData2324,'2324 Jun 24 Enroll'!M$1,FALSE)-VLOOKUP($A232,EnrollData2324,'2324 Jun 24 Enroll'!J$1,FALSE)='District Calculations'!$D$16+'District Calculations'!$D$25-'District Calculations'!$D$17,VLOOKUP($A232,EnrollData2324,'2324 Jun 24 Enroll'!I$1,FALSE)+VLOOKUP($A232,EnrollData2324,'2324 Jun 24 Enroll'!M$1,FALSE)-VLOOKUP($A232,EnrollData2324,'2324 Jun 24 Enroll'!J$1,FALSE),'District Calculations'!$D$16+'District Calculations'!$D$25-'District Calculations'!$D$17)*Apport_217A2324s,3)</f>
        <v>4.702</v>
      </c>
      <c r="R232">
        <f>ROUND(SUM(L232:Q232)/IF(VLOOKUP($A232,EnrollData2324,'2324 Jun 24 Enroll'!M$1,FALSE)+VLOOKUP($A232,EnrollData2324,'2324 Jun 24 Enroll'!D$1,FALSE)='District Calculations'!$D$25+'District Calculations'!$D$11,VLOOKUP($A232,EnrollData2324,'2324 Jun 24 Enroll'!M$1,FALSE)+VLOOKUP($A232,EnrollData2324,'2324 Jun 24 Enroll'!D$1,FALSE),'District Calculations'!$D$25+'District Calculations'!$D$11),5)</f>
        <v>4.1099999999999999E-3</v>
      </c>
      <c r="S232" s="11">
        <f t="shared" si="23"/>
        <v>1.8689600000000001E-2</v>
      </c>
      <c r="T232">
        <f>ROUND(IF(VLOOKUP($A232,EnrollData2324,'2324 Jun 24 Enroll'!D$1,FALSE)='District Calculations'!$D$11,VLOOKUP($A232,EnrollData2324,'2324 Jun 24 Enroll'!D$1,FALSE),'District Calculations'!$D$11)*S232,3)</f>
        <v>0</v>
      </c>
      <c r="U232">
        <f>ROUND(IF(VLOOKUP($A232,EnrollData2324,'2324 Jun 24 Enroll'!E$1,FALSE)='District Calculations'!$D$12,VLOOKUP($A232,EnrollData2324,'2324 Jun 24 Enroll'!E$1,FALSE),'District Calculations'!$D$12)*S232,3)</f>
        <v>15.148</v>
      </c>
      <c r="V232">
        <f>ROUND(IF(VLOOKUP($A232,EnrollData2324,'2324 Jun 24 Enroll'!F$1,FALSE)='District Calculations'!$D$13,VLOOKUP($A232,EnrollData2324,'2324 Jun 24 Enroll'!F$1,FALSE),'District Calculations'!$D$13)*Apport_224A2324s,3)</f>
        <v>3.7029999999999998</v>
      </c>
      <c r="W232">
        <f>ROUND(IF(VLOOKUP($A232,EnrollData2324,'2324 Jun 24 Enroll'!G$1,FALSE)='District Calculations'!$D$14,VLOOKUP($A232,EnrollData2324,'2324 Jun 24 Enroll'!G$1,FALSE),'District Calculations'!$D$14)*Apport_212A2324s,3)</f>
        <v>8.2089999999999996</v>
      </c>
      <c r="X232">
        <f>ROUND(IF(VLOOKUP($A232,EnrollData2324,'2324 Jun 24 Enroll'!H$1,FALSE)='District Calculations'!$D$14,VLOOKUP($A232,EnrollData2324,'2324 Jun 24 Enroll'!H$1,FALSE),'District Calculations'!$D$14)*Apport_215A2324s,3)</f>
        <v>8.0969999999999995</v>
      </c>
      <c r="Y232">
        <f>ROUND(IF(VLOOKUP($A232,EnrollData2324,'2324 Jun 24 Enroll'!I$1,FALSE)+VLOOKUP($A232,EnrollData2324,'2324 Jun 24 Enroll'!M$1,FALSE)-VLOOKUP($A232,EnrollData2324,'2324 Jun 24 Enroll'!J$1,FALSE)='District Calculations'!$D$16+'District Calculations'!$D$25-'District Calculations'!$D$17,VLOOKUP($A232,EnrollData2324,'2324 Jun 24 Enroll'!I$1,FALSE)+VLOOKUP($A232,EnrollData2324,'2324 Jun 24 Enroll'!M$1,FALSE)-VLOOKUP($A232,EnrollData2324,'2324 Jun 24 Enroll'!J$1,FALSE),'District Calculations'!$D$16+'District Calculations'!$D$25-'District Calculations'!$D$17)*Apport_218A2324s,3)</f>
        <v>20.224</v>
      </c>
      <c r="Z232">
        <f>ROUND(SUM(T232:Y232)/IF(VLOOKUP($A232,EnrollData2324,'2324 Jun 24 Enroll'!M$1,FALSE)+VLOOKUP($A232,EnrollData2324,'2324 Jun 24 Enroll'!D$1,FALSE)='District Calculations'!$D$25+'District Calculations'!$D$11,VLOOKUP($A232,EnrollData2324,'2324 Jun 24 Enroll'!M$1,FALSE)+VLOOKUP($A232,EnrollData2324,'2324 Jun 24 Enroll'!D$1,FALSE),'District Calculations'!$D$25+'District Calculations'!$D$11),5)</f>
        <v>1.7749999999999998E-2</v>
      </c>
      <c r="AA232" s="6" cm="1">
        <f t="array" ref="AA232">ROUND($J232*CIS_Base_Salary2324s*VLOOKUP($A232,EnrollData2324,'2324 Jun 24 Enroll'!S$1,FALSE),2)</f>
        <v>4765.53</v>
      </c>
      <c r="AB232" s="6" cm="1">
        <f t="array" ref="AB232">ROUND($J232*CIS_Inc_Salary2324s*(VLOOKUP($A232,EnrollData2324,'2324 Jun 24 Enroll'!T$1,FALSE)+VLOOKUP($A232,EnrollData2324,'2324 Jun 24 Enroll'!U$1,FALSE)),2)-AA232</f>
        <v>176.32999999999993</v>
      </c>
      <c r="AC232" s="6" cm="1">
        <f t="array" ref="AC232">ROUND($R232*CAS_Base_Salary2324s*VLOOKUP($A232,EnrollData2324,'2324 Jun 24 Enroll'!S$1,FALSE),2)</f>
        <v>523.55999999999995</v>
      </c>
      <c r="AD232" s="6" cm="1">
        <f t="array" ref="AD232">ROUND($R232*CAS_Inc_Salary2324s*VLOOKUP($A232,EnrollData2324,'2324 Jun 24 Enroll'!T$1,FALSE),2)-AC232</f>
        <v>19.380000000000109</v>
      </c>
      <c r="AE232" s="6" cm="1">
        <f t="array" ref="AE232">ROUND($Z232*CLS_Base_Salary2324s*VLOOKUP($A232,EnrollData2324,'2324 Jun 24 Enroll'!S$1,FALSE),2)</f>
        <v>1092.76</v>
      </c>
      <c r="AF232" s="6" cm="1">
        <f t="array" ref="AF232">ROUND($Z232*CLS_Inc_Salary2324s*VLOOKUP($A232,EnrollData2324,'2324 Jun 24 Enroll'!T$1,FALSE),2)-AE232</f>
        <v>40.430000000000064</v>
      </c>
      <c r="AG232" cm="1">
        <f t="array" ref="AG232">ROUND(($J232+$R232)*Apport_124X2324s,2)</f>
        <v>734.29</v>
      </c>
      <c r="AH232" s="69">
        <f t="shared" si="24"/>
        <v>68.700000000000045</v>
      </c>
      <c r="AI232" cm="1">
        <f t="array" ref="AI232">ROUND($Z232*Apport_124X2324s,2)</f>
        <v>218.54</v>
      </c>
      <c r="AJ232" cm="1">
        <f t="array" ref="AJ232">ROUND($Z232*Apport_621X2324s*Apport_125X2324s,2)-AI232</f>
        <v>116.51000000000002</v>
      </c>
      <c r="AK232" cm="1">
        <f t="array" ref="AK232">ROUND((AA232+AC232)*Apport_126X2324s,2)</f>
        <v>950.45</v>
      </c>
      <c r="AL232" cm="1">
        <f t="array" ref="AL232">ROUND((AB232+AD232)*Apport_127X2324s,2)</f>
        <v>33.92</v>
      </c>
      <c r="AM232" cm="1">
        <f t="array" ref="AM232">ROUND(AE232*Apport_128X2324s,2)</f>
        <v>241.06</v>
      </c>
      <c r="AN232" cm="1">
        <f t="array" ref="AN232">ROUND(AF232*Apport_129X2324s,2)</f>
        <v>7.5</v>
      </c>
      <c r="AO232" cm="1">
        <f t="array" ref="AO232">ROUND(($J232*CIS_Inc_Salary2324s*(VLOOKUP($A232,EnrollData2324,'2324 Jun 24 Enroll'!T$1,FALSE)+VLOOKUP($A232,EnrollData2324,'2324 Jun 24 Enroll'!U$1,FALSE))/Apport_613Xpd)*Apport_614Xpd,2)</f>
        <v>82.36</v>
      </c>
      <c r="AP232" cm="1">
        <f t="array" ref="AP232">ROUND(AO232*Apport_127X2324s,2)</f>
        <v>14.27</v>
      </c>
      <c r="AQ232">
        <f t="shared" si="25"/>
        <v>30.93</v>
      </c>
      <c r="AR232" s="6" cm="1">
        <f t="array" ref="AR232">ROUND((VLOOKUP($A232,EnrollData2324,'2324 Jun 24 Enroll'!D$1,FALSE)*Apport_M802324s+VLOOKUP($A232,EnrollData2324,'2324 Jun 24 Enroll'!M$1,FALSE)*Apport_M802324s+(VLOOKUP($A232,EnrollData2324,'2324 Jun 24 Enroll'!P$1,FALSE)+VLOOKUP($A232,EnrollData2324,'2324 Jun 24 Enroll'!Q$1,FALSE)+VLOOKUP($A232,EnrollData2324,'2324 Jun 24 Enroll'!R$1,FALSE)+VLOOKUP($A232,EnrollData2324,'2324 Jun 24 Enroll'!I$1,FALSE)+VLOOKUP($A232,EnrollData2324,'2324 Jun 24 Enroll'!N$1,FALSE)+VLOOKUP($A232,EnrollData2324,'2324 Jun 24 Enroll'!O$1,FALSE)+VLOOKUP($A232,EnrollData2324,'2324 Jun 24 Enroll'!K$1,FALSE)+VLOOKUP($A232,EnrollData2324,'2324 Jun 24 Enroll'!L$1,FALSE))*Apport_M812324s)/(VLOOKUP($A232,EnrollData2324,'2324 Jun 24 Enroll'!M$1,FALSE)+VLOOKUP($A232,EnrollData2324,'2324 Jun 24 Enroll'!D$1,FALSE)),2)</f>
        <v>1571.52</v>
      </c>
      <c r="AS232" s="7">
        <f t="shared" si="26"/>
        <v>10688.040000000003</v>
      </c>
    </row>
    <row r="233" spans="1:45">
      <c r="A233" s="40" t="s">
        <v>309</v>
      </c>
      <c r="B233" s="40" t="s">
        <v>310</v>
      </c>
      <c r="C233" s="11">
        <f>ROUND((IFERROR((1/IF(VLOOKUP($A233,EnrollData2324,28,FALSE)='District Calculations'!$D$10,VLOOKUP($A233,EnrollData2324,28,FALSE),'District Calculations'!$D$10))*(1+Apport_Z315),0))+Apport_201A2324s,6)</f>
        <v>7.3449E-2</v>
      </c>
      <c r="D233">
        <f>ROUND(IF(VLOOKUP($A233,EnrollData2324,'2324 Jun 24 Enroll'!D$1,FALSE)='District Calculations'!$D$11,VLOOKUP($A233,EnrollData2324,'2324 Jun 24 Enroll'!D$1,FALSE),'District Calculations'!$D$11)*C233,3)</f>
        <v>0</v>
      </c>
      <c r="E233">
        <f>ROUND(IF(VLOOKUP($A233,EnrollData2324,'2324 Jun 24 Enroll'!E$1,FALSE)='District Calculations'!$D$12,VLOOKUP($A233,EnrollData2324,'2324 Jun 24 Enroll'!E$1,FALSE),'District Calculations'!$D$12)*C233,3)</f>
        <v>59.53</v>
      </c>
      <c r="F233">
        <f>ROUND(IF(VLOOKUP($A233,EnrollData2324,'2324 Jun 24 Enroll'!F$1,FALSE)='District Calculations'!$D$13,VLOOKUP($A233,EnrollData2324,'2324 Jun 24 Enroll'!F$1,FALSE),'District Calculations'!$D$13)*Apport_222A2324s,3)</f>
        <v>10.101000000000001</v>
      </c>
      <c r="G233">
        <f>ROUND(IF(VLOOKUP($A233,EnrollData2324,'2324 Jun 24 Enroll'!G$1,FALSE)='District Calculations'!$D$14,VLOOKUP($A233,EnrollData2324,'2324 Jun 24 Enroll'!G$1,FALSE),'District Calculations'!$D$14)*Apport_210A2324s,3)</f>
        <v>22.395</v>
      </c>
      <c r="H233">
        <f>ROUND(IF(VLOOKUP($A233,EnrollData2324,'2324 Jun 24 Enroll'!H$1,FALSE)='District Calculations'!$D$15,VLOOKUP($A233,EnrollData2324,'2324 Jun 24 Enroll'!H$1,FALSE),'District Calculations'!$D$15)*Apport_213A2324s,3)</f>
        <v>23.091999999999999</v>
      </c>
      <c r="I233">
        <f>ROUND(IF(VLOOKUP($A233,EnrollData2324,'2324 Jun 24 Enroll'!I$1,FALSE)+VLOOKUP($A233,EnrollData2324,'2324 Jun 24 Enroll'!M$1,FALSE)-VLOOKUP($A233,EnrollData2324,'2324 Jun 24 Enroll'!J$1,FALSE)='District Calculations'!$D$16+'District Calculations'!$D$25-'District Calculations'!$D$17,VLOOKUP($A233,EnrollData2324,'2324 Jun 24 Enroll'!I$1,FALSE)+VLOOKUP($A233,EnrollData2324,'2324 Jun 24 Enroll'!M$1,FALSE)-VLOOKUP($A233,EnrollData2324,'2324 Jun 24 Enroll'!J$1,FALSE),'District Calculations'!$D$16+'District Calculations'!$D$25-'District Calculations'!$D$17)*Apport_216A2324s,3)</f>
        <v>58.183999999999997</v>
      </c>
      <c r="J233">
        <f>ROUND(SUM(D233:I233)/(IF(VLOOKUP($A233,EnrollData2324,'2324 Jun 24 Enroll'!M$1,FALSE)='District Calculations'!$D$25,VLOOKUP($A233,EnrollData2324,'2324 Jun 24 Enroll'!M$1,FALSE),'District Calculations'!$D$25)+IF(VLOOKUP($A233,EnrollData2324,'2324 Jun 24 Enroll'!D$1,FALSE)='District Calculations'!$D$11,VLOOKUP($A233,EnrollData2324,'2324 Jun 24 Enroll'!D$1,FALSE),'District Calculations'!$D$11)),5)</f>
        <v>5.5530000000000003E-2</v>
      </c>
      <c r="K233" s="11">
        <f t="shared" si="22"/>
        <v>4.3699999999999998E-3</v>
      </c>
      <c r="L233">
        <f>ROUND(IF(VLOOKUP($A233,EnrollData2324,'2324 Jun 24 Enroll'!D$1,FALSE)='District Calculations'!$D$11,VLOOKUP($A233,EnrollData2324,'2324 Jun 24 Enroll'!D$1,FALSE),'District Calculations'!$D$11)*K233,3)</f>
        <v>0</v>
      </c>
      <c r="M233">
        <f>ROUND(IF(VLOOKUP($A233,EnrollData2324,'2324 Jun 24 Enroll'!E$1,FALSE)='District Calculations'!$D$12,VLOOKUP($A233,EnrollData2324,'2324 Jun 24 Enroll'!E$1,FALSE),'District Calculations'!$D$12)*K233,3)</f>
        <v>3.5419999999999998</v>
      </c>
      <c r="N233">
        <f>ROUND(IF(VLOOKUP($A233,EnrollData2324,'2324 Jun 24 Enroll'!F$1,FALSE)='District Calculations'!$D$13,VLOOKUP($A233,EnrollData2324,'2324 Jun 24 Enroll'!F$1,FALSE),'District Calculations'!$D$13)*Apport_223A2324s,3)</f>
        <v>0.84299999999999997</v>
      </c>
      <c r="O233">
        <f>ROUND(IF(VLOOKUP($A233,EnrollData2324,'2324 Jun 24 Enroll'!G$1,FALSE)='District Calculations'!$D$14,VLOOKUP($A233,EnrollData2324,'2324 Jun 24 Enroll'!G$1,FALSE),'District Calculations'!$D$14)*Apport_211A2324s,3)</f>
        <v>1.87</v>
      </c>
      <c r="P233">
        <f>ROUND(IF(VLOOKUP($A233,EnrollData2324,'2324 Jun 24 Enroll'!H$1,FALSE)='District Calculations'!$D$14,VLOOKUP($A233,EnrollData2324,'2324 Jun 24 Enroll'!H$1,FALSE),'District Calculations'!$D$14)*Apport_214A2324s,3)</f>
        <v>1.8680000000000001</v>
      </c>
      <c r="Q233">
        <f>ROUND(IF(VLOOKUP($A233,EnrollData2324,'2324 Jun 24 Enroll'!I$1,FALSE)+VLOOKUP($A233,EnrollData2324,'2324 Jun 24 Enroll'!M$1,FALSE)-VLOOKUP($A233,EnrollData2324,'2324 Jun 24 Enroll'!J$1,FALSE)='District Calculations'!$D$16+'District Calculations'!$D$25-'District Calculations'!$D$17,VLOOKUP($A233,EnrollData2324,'2324 Jun 24 Enroll'!I$1,FALSE)+VLOOKUP($A233,EnrollData2324,'2324 Jun 24 Enroll'!M$1,FALSE)-VLOOKUP($A233,EnrollData2324,'2324 Jun 24 Enroll'!J$1,FALSE),'District Calculations'!$D$16+'District Calculations'!$D$25-'District Calculations'!$D$17)*Apport_217A2324s,3)</f>
        <v>4.702</v>
      </c>
      <c r="R233">
        <f>ROUND(SUM(L233:Q233)/IF(VLOOKUP($A233,EnrollData2324,'2324 Jun 24 Enroll'!M$1,FALSE)+VLOOKUP($A233,EnrollData2324,'2324 Jun 24 Enroll'!D$1,FALSE)='District Calculations'!$D$25+'District Calculations'!$D$11,VLOOKUP($A233,EnrollData2324,'2324 Jun 24 Enroll'!M$1,FALSE)+VLOOKUP($A233,EnrollData2324,'2324 Jun 24 Enroll'!D$1,FALSE),'District Calculations'!$D$25+'District Calculations'!$D$11),5)</f>
        <v>4.1099999999999999E-3</v>
      </c>
      <c r="S233" s="11">
        <f t="shared" si="23"/>
        <v>1.8689600000000001E-2</v>
      </c>
      <c r="T233">
        <f>ROUND(IF(VLOOKUP($A233,EnrollData2324,'2324 Jun 24 Enroll'!D$1,FALSE)='District Calculations'!$D$11,VLOOKUP($A233,EnrollData2324,'2324 Jun 24 Enroll'!D$1,FALSE),'District Calculations'!$D$11)*S233,3)</f>
        <v>0</v>
      </c>
      <c r="U233">
        <f>ROUND(IF(VLOOKUP($A233,EnrollData2324,'2324 Jun 24 Enroll'!E$1,FALSE)='District Calculations'!$D$12,VLOOKUP($A233,EnrollData2324,'2324 Jun 24 Enroll'!E$1,FALSE),'District Calculations'!$D$12)*S233,3)</f>
        <v>15.148</v>
      </c>
      <c r="V233">
        <f>ROUND(IF(VLOOKUP($A233,EnrollData2324,'2324 Jun 24 Enroll'!F$1,FALSE)='District Calculations'!$D$13,VLOOKUP($A233,EnrollData2324,'2324 Jun 24 Enroll'!F$1,FALSE),'District Calculations'!$D$13)*Apport_224A2324s,3)</f>
        <v>3.7029999999999998</v>
      </c>
      <c r="W233">
        <f>ROUND(IF(VLOOKUP($A233,EnrollData2324,'2324 Jun 24 Enroll'!G$1,FALSE)='District Calculations'!$D$14,VLOOKUP($A233,EnrollData2324,'2324 Jun 24 Enroll'!G$1,FALSE),'District Calculations'!$D$14)*Apport_212A2324s,3)</f>
        <v>8.2089999999999996</v>
      </c>
      <c r="X233">
        <f>ROUND(IF(VLOOKUP($A233,EnrollData2324,'2324 Jun 24 Enroll'!H$1,FALSE)='District Calculations'!$D$14,VLOOKUP($A233,EnrollData2324,'2324 Jun 24 Enroll'!H$1,FALSE),'District Calculations'!$D$14)*Apport_215A2324s,3)</f>
        <v>8.0969999999999995</v>
      </c>
      <c r="Y233">
        <f>ROUND(IF(VLOOKUP($A233,EnrollData2324,'2324 Jun 24 Enroll'!I$1,FALSE)+VLOOKUP($A233,EnrollData2324,'2324 Jun 24 Enroll'!M$1,FALSE)-VLOOKUP($A233,EnrollData2324,'2324 Jun 24 Enroll'!J$1,FALSE)='District Calculations'!$D$16+'District Calculations'!$D$25-'District Calculations'!$D$17,VLOOKUP($A233,EnrollData2324,'2324 Jun 24 Enroll'!I$1,FALSE)+VLOOKUP($A233,EnrollData2324,'2324 Jun 24 Enroll'!M$1,FALSE)-VLOOKUP($A233,EnrollData2324,'2324 Jun 24 Enroll'!J$1,FALSE),'District Calculations'!$D$16+'District Calculations'!$D$25-'District Calculations'!$D$17)*Apport_218A2324s,3)</f>
        <v>20.224</v>
      </c>
      <c r="Z233">
        <f>ROUND(SUM(T233:Y233)/IF(VLOOKUP($A233,EnrollData2324,'2324 Jun 24 Enroll'!M$1,FALSE)+VLOOKUP($A233,EnrollData2324,'2324 Jun 24 Enroll'!D$1,FALSE)='District Calculations'!$D$25+'District Calculations'!$D$11,VLOOKUP($A233,EnrollData2324,'2324 Jun 24 Enroll'!M$1,FALSE)+VLOOKUP($A233,EnrollData2324,'2324 Jun 24 Enroll'!D$1,FALSE),'District Calculations'!$D$25+'District Calculations'!$D$11),5)</f>
        <v>1.7749999999999998E-2</v>
      </c>
      <c r="AA233" s="6" cm="1">
        <f t="array" ref="AA233">ROUND($J233*CIS_Base_Salary2324s*VLOOKUP($A233,EnrollData2324,'2324 Jun 24 Enroll'!S$1,FALSE),2)</f>
        <v>4765.53</v>
      </c>
      <c r="AB233" s="6" cm="1">
        <f t="array" ref="AB233">ROUND($J233*CIS_Inc_Salary2324s*(VLOOKUP($A233,EnrollData2324,'2324 Jun 24 Enroll'!T$1,FALSE)+VLOOKUP($A233,EnrollData2324,'2324 Jun 24 Enroll'!U$1,FALSE)),2)-AA233</f>
        <v>176.32999999999993</v>
      </c>
      <c r="AC233" s="6" cm="1">
        <f t="array" ref="AC233">ROUND($R233*CAS_Base_Salary2324s*VLOOKUP($A233,EnrollData2324,'2324 Jun 24 Enroll'!S$1,FALSE),2)</f>
        <v>523.55999999999995</v>
      </c>
      <c r="AD233" s="6" cm="1">
        <f t="array" ref="AD233">ROUND($R233*CAS_Inc_Salary2324s*VLOOKUP($A233,EnrollData2324,'2324 Jun 24 Enroll'!T$1,FALSE),2)-AC233</f>
        <v>19.380000000000109</v>
      </c>
      <c r="AE233" s="6" cm="1">
        <f t="array" ref="AE233">ROUND($Z233*CLS_Base_Salary2324s*VLOOKUP($A233,EnrollData2324,'2324 Jun 24 Enroll'!S$1,FALSE),2)</f>
        <v>1092.76</v>
      </c>
      <c r="AF233" s="6" cm="1">
        <f t="array" ref="AF233">ROUND($Z233*CLS_Inc_Salary2324s*VLOOKUP($A233,EnrollData2324,'2324 Jun 24 Enroll'!T$1,FALSE),2)-AE233</f>
        <v>40.430000000000064</v>
      </c>
      <c r="AG233" cm="1">
        <f t="array" ref="AG233">ROUND(($J233+$R233)*Apport_124X2324s,2)</f>
        <v>734.29</v>
      </c>
      <c r="AH233" s="69">
        <f t="shared" si="24"/>
        <v>68.700000000000045</v>
      </c>
      <c r="AI233" cm="1">
        <f t="array" ref="AI233">ROUND($Z233*Apport_124X2324s,2)</f>
        <v>218.54</v>
      </c>
      <c r="AJ233" cm="1">
        <f t="array" ref="AJ233">ROUND($Z233*Apport_621X2324s*Apport_125X2324s,2)-AI233</f>
        <v>116.51000000000002</v>
      </c>
      <c r="AK233" cm="1">
        <f t="array" ref="AK233">ROUND((AA233+AC233)*Apport_126X2324s,2)</f>
        <v>950.45</v>
      </c>
      <c r="AL233" cm="1">
        <f t="array" ref="AL233">ROUND((AB233+AD233)*Apport_127X2324s,2)</f>
        <v>33.92</v>
      </c>
      <c r="AM233" cm="1">
        <f t="array" ref="AM233">ROUND(AE233*Apport_128X2324s,2)</f>
        <v>241.06</v>
      </c>
      <c r="AN233" cm="1">
        <f t="array" ref="AN233">ROUND(AF233*Apport_129X2324s,2)</f>
        <v>7.5</v>
      </c>
      <c r="AO233" cm="1">
        <f t="array" ref="AO233">ROUND(($J233*CIS_Inc_Salary2324s*(VLOOKUP($A233,EnrollData2324,'2324 Jun 24 Enroll'!T$1,FALSE)+VLOOKUP($A233,EnrollData2324,'2324 Jun 24 Enroll'!U$1,FALSE))/Apport_613Xpd)*Apport_614Xpd,2)</f>
        <v>82.36</v>
      </c>
      <c r="AP233" cm="1">
        <f t="array" ref="AP233">ROUND(AO233*Apport_127X2324s,2)</f>
        <v>14.27</v>
      </c>
      <c r="AQ233">
        <f t="shared" si="25"/>
        <v>30.93</v>
      </c>
      <c r="AR233" s="6" cm="1">
        <f t="array" ref="AR233">ROUND((VLOOKUP($A233,EnrollData2324,'2324 Jun 24 Enroll'!D$1,FALSE)*Apport_M802324s+VLOOKUP($A233,EnrollData2324,'2324 Jun 24 Enroll'!M$1,FALSE)*Apport_M802324s+(VLOOKUP($A233,EnrollData2324,'2324 Jun 24 Enroll'!P$1,FALSE)+VLOOKUP($A233,EnrollData2324,'2324 Jun 24 Enroll'!Q$1,FALSE)+VLOOKUP($A233,EnrollData2324,'2324 Jun 24 Enroll'!R$1,FALSE)+VLOOKUP($A233,EnrollData2324,'2324 Jun 24 Enroll'!I$1,FALSE)+VLOOKUP($A233,EnrollData2324,'2324 Jun 24 Enroll'!N$1,FALSE)+VLOOKUP($A233,EnrollData2324,'2324 Jun 24 Enroll'!O$1,FALSE)+VLOOKUP($A233,EnrollData2324,'2324 Jun 24 Enroll'!K$1,FALSE)+VLOOKUP($A233,EnrollData2324,'2324 Jun 24 Enroll'!L$1,FALSE))*Apport_M812324s)/(VLOOKUP($A233,EnrollData2324,'2324 Jun 24 Enroll'!M$1,FALSE)+VLOOKUP($A233,EnrollData2324,'2324 Jun 24 Enroll'!D$1,FALSE)),2)</f>
        <v>1573.33</v>
      </c>
      <c r="AS233" s="7">
        <f t="shared" si="26"/>
        <v>10689.850000000002</v>
      </c>
    </row>
    <row r="234" spans="1:45">
      <c r="A234" s="40" t="s">
        <v>323</v>
      </c>
      <c r="B234" s="40" t="s">
        <v>324</v>
      </c>
      <c r="C234" s="11">
        <f>ROUND((IFERROR((1/IF(VLOOKUP($A234,EnrollData2324,28,FALSE)='District Calculations'!$D$10,VLOOKUP($A234,EnrollData2324,28,FALSE),'District Calculations'!$D$10))*(1+Apport_Z315),0))+Apport_201A2324s,6)</f>
        <v>7.3449E-2</v>
      </c>
      <c r="D234">
        <f>ROUND(IF(VLOOKUP($A234,EnrollData2324,'2324 Jun 24 Enroll'!D$1,FALSE)='District Calculations'!$D$11,VLOOKUP($A234,EnrollData2324,'2324 Jun 24 Enroll'!D$1,FALSE),'District Calculations'!$D$11)*C234,3)</f>
        <v>0</v>
      </c>
      <c r="E234">
        <f>ROUND(IF(VLOOKUP($A234,EnrollData2324,'2324 Jun 24 Enroll'!E$1,FALSE)='District Calculations'!$D$12,VLOOKUP($A234,EnrollData2324,'2324 Jun 24 Enroll'!E$1,FALSE),'District Calculations'!$D$12)*C234,3)</f>
        <v>59.53</v>
      </c>
      <c r="F234">
        <f>ROUND(IF(VLOOKUP($A234,EnrollData2324,'2324 Jun 24 Enroll'!F$1,FALSE)='District Calculations'!$D$13,VLOOKUP($A234,EnrollData2324,'2324 Jun 24 Enroll'!F$1,FALSE),'District Calculations'!$D$13)*Apport_222A2324s,3)</f>
        <v>10.101000000000001</v>
      </c>
      <c r="G234">
        <f>ROUND(IF(VLOOKUP($A234,EnrollData2324,'2324 Jun 24 Enroll'!G$1,FALSE)='District Calculations'!$D$14,VLOOKUP($A234,EnrollData2324,'2324 Jun 24 Enroll'!G$1,FALSE),'District Calculations'!$D$14)*Apport_210A2324s,3)</f>
        <v>22.395</v>
      </c>
      <c r="H234">
        <f>ROUND(IF(VLOOKUP($A234,EnrollData2324,'2324 Jun 24 Enroll'!H$1,FALSE)='District Calculations'!$D$15,VLOOKUP($A234,EnrollData2324,'2324 Jun 24 Enroll'!H$1,FALSE),'District Calculations'!$D$15)*Apport_213A2324s,3)</f>
        <v>23.091999999999999</v>
      </c>
      <c r="I234">
        <f>ROUND(IF(VLOOKUP($A234,EnrollData2324,'2324 Jun 24 Enroll'!I$1,FALSE)+VLOOKUP($A234,EnrollData2324,'2324 Jun 24 Enroll'!M$1,FALSE)-VLOOKUP($A234,EnrollData2324,'2324 Jun 24 Enroll'!J$1,FALSE)='District Calculations'!$D$16+'District Calculations'!$D$25-'District Calculations'!$D$17,VLOOKUP($A234,EnrollData2324,'2324 Jun 24 Enroll'!I$1,FALSE)+VLOOKUP($A234,EnrollData2324,'2324 Jun 24 Enroll'!M$1,FALSE)-VLOOKUP($A234,EnrollData2324,'2324 Jun 24 Enroll'!J$1,FALSE),'District Calculations'!$D$16+'District Calculations'!$D$25-'District Calculations'!$D$17)*Apport_216A2324s,3)</f>
        <v>58.183999999999997</v>
      </c>
      <c r="J234">
        <f>ROUND(SUM(D234:I234)/(IF(VLOOKUP($A234,EnrollData2324,'2324 Jun 24 Enroll'!M$1,FALSE)='District Calculations'!$D$25,VLOOKUP($A234,EnrollData2324,'2324 Jun 24 Enroll'!M$1,FALSE),'District Calculations'!$D$25)+IF(VLOOKUP($A234,EnrollData2324,'2324 Jun 24 Enroll'!D$1,FALSE)='District Calculations'!$D$11,VLOOKUP($A234,EnrollData2324,'2324 Jun 24 Enroll'!D$1,FALSE),'District Calculations'!$D$11)),5)</f>
        <v>5.5530000000000003E-2</v>
      </c>
      <c r="K234" s="11">
        <f t="shared" si="22"/>
        <v>4.3699999999999998E-3</v>
      </c>
      <c r="L234">
        <f>ROUND(IF(VLOOKUP($A234,EnrollData2324,'2324 Jun 24 Enroll'!D$1,FALSE)='District Calculations'!$D$11,VLOOKUP($A234,EnrollData2324,'2324 Jun 24 Enroll'!D$1,FALSE),'District Calculations'!$D$11)*K234,3)</f>
        <v>0</v>
      </c>
      <c r="M234">
        <f>ROUND(IF(VLOOKUP($A234,EnrollData2324,'2324 Jun 24 Enroll'!E$1,FALSE)='District Calculations'!$D$12,VLOOKUP($A234,EnrollData2324,'2324 Jun 24 Enroll'!E$1,FALSE),'District Calculations'!$D$12)*K234,3)</f>
        <v>3.5419999999999998</v>
      </c>
      <c r="N234">
        <f>ROUND(IF(VLOOKUP($A234,EnrollData2324,'2324 Jun 24 Enroll'!F$1,FALSE)='District Calculations'!$D$13,VLOOKUP($A234,EnrollData2324,'2324 Jun 24 Enroll'!F$1,FALSE),'District Calculations'!$D$13)*Apport_223A2324s,3)</f>
        <v>0.84299999999999997</v>
      </c>
      <c r="O234">
        <f>ROUND(IF(VLOOKUP($A234,EnrollData2324,'2324 Jun 24 Enroll'!G$1,FALSE)='District Calculations'!$D$14,VLOOKUP($A234,EnrollData2324,'2324 Jun 24 Enroll'!G$1,FALSE),'District Calculations'!$D$14)*Apport_211A2324s,3)</f>
        <v>1.87</v>
      </c>
      <c r="P234">
        <f>ROUND(IF(VLOOKUP($A234,EnrollData2324,'2324 Jun 24 Enroll'!H$1,FALSE)='District Calculations'!$D$14,VLOOKUP($A234,EnrollData2324,'2324 Jun 24 Enroll'!H$1,FALSE),'District Calculations'!$D$14)*Apport_214A2324s,3)</f>
        <v>1.8680000000000001</v>
      </c>
      <c r="Q234">
        <f>ROUND(IF(VLOOKUP($A234,EnrollData2324,'2324 Jun 24 Enroll'!I$1,FALSE)+VLOOKUP($A234,EnrollData2324,'2324 Jun 24 Enroll'!M$1,FALSE)-VLOOKUP($A234,EnrollData2324,'2324 Jun 24 Enroll'!J$1,FALSE)='District Calculations'!$D$16+'District Calculations'!$D$25-'District Calculations'!$D$17,VLOOKUP($A234,EnrollData2324,'2324 Jun 24 Enroll'!I$1,FALSE)+VLOOKUP($A234,EnrollData2324,'2324 Jun 24 Enroll'!M$1,FALSE)-VLOOKUP($A234,EnrollData2324,'2324 Jun 24 Enroll'!J$1,FALSE),'District Calculations'!$D$16+'District Calculations'!$D$25-'District Calculations'!$D$17)*Apport_217A2324s,3)</f>
        <v>4.702</v>
      </c>
      <c r="R234">
        <f>ROUND(SUM(L234:Q234)/IF(VLOOKUP($A234,EnrollData2324,'2324 Jun 24 Enroll'!M$1,FALSE)+VLOOKUP($A234,EnrollData2324,'2324 Jun 24 Enroll'!D$1,FALSE)='District Calculations'!$D$25+'District Calculations'!$D$11,VLOOKUP($A234,EnrollData2324,'2324 Jun 24 Enroll'!M$1,FALSE)+VLOOKUP($A234,EnrollData2324,'2324 Jun 24 Enroll'!D$1,FALSE),'District Calculations'!$D$25+'District Calculations'!$D$11),5)</f>
        <v>4.1099999999999999E-3</v>
      </c>
      <c r="S234" s="11">
        <f t="shared" si="23"/>
        <v>1.8689600000000001E-2</v>
      </c>
      <c r="T234">
        <f>ROUND(IF(VLOOKUP($A234,EnrollData2324,'2324 Jun 24 Enroll'!D$1,FALSE)='District Calculations'!$D$11,VLOOKUP($A234,EnrollData2324,'2324 Jun 24 Enroll'!D$1,FALSE),'District Calculations'!$D$11)*S234,3)</f>
        <v>0</v>
      </c>
      <c r="U234">
        <f>ROUND(IF(VLOOKUP($A234,EnrollData2324,'2324 Jun 24 Enroll'!E$1,FALSE)='District Calculations'!$D$12,VLOOKUP($A234,EnrollData2324,'2324 Jun 24 Enroll'!E$1,FALSE),'District Calculations'!$D$12)*S234,3)</f>
        <v>15.148</v>
      </c>
      <c r="V234">
        <f>ROUND(IF(VLOOKUP($A234,EnrollData2324,'2324 Jun 24 Enroll'!F$1,FALSE)='District Calculations'!$D$13,VLOOKUP($A234,EnrollData2324,'2324 Jun 24 Enroll'!F$1,FALSE),'District Calculations'!$D$13)*Apport_224A2324s,3)</f>
        <v>3.7029999999999998</v>
      </c>
      <c r="W234">
        <f>ROUND(IF(VLOOKUP($A234,EnrollData2324,'2324 Jun 24 Enroll'!G$1,FALSE)='District Calculations'!$D$14,VLOOKUP($A234,EnrollData2324,'2324 Jun 24 Enroll'!G$1,FALSE),'District Calculations'!$D$14)*Apport_212A2324s,3)</f>
        <v>8.2089999999999996</v>
      </c>
      <c r="X234">
        <f>ROUND(IF(VLOOKUP($A234,EnrollData2324,'2324 Jun 24 Enroll'!H$1,FALSE)='District Calculations'!$D$14,VLOOKUP($A234,EnrollData2324,'2324 Jun 24 Enroll'!H$1,FALSE),'District Calculations'!$D$14)*Apport_215A2324s,3)</f>
        <v>8.0969999999999995</v>
      </c>
      <c r="Y234">
        <f>ROUND(IF(VLOOKUP($A234,EnrollData2324,'2324 Jun 24 Enroll'!I$1,FALSE)+VLOOKUP($A234,EnrollData2324,'2324 Jun 24 Enroll'!M$1,FALSE)-VLOOKUP($A234,EnrollData2324,'2324 Jun 24 Enroll'!J$1,FALSE)='District Calculations'!$D$16+'District Calculations'!$D$25-'District Calculations'!$D$17,VLOOKUP($A234,EnrollData2324,'2324 Jun 24 Enroll'!I$1,FALSE)+VLOOKUP($A234,EnrollData2324,'2324 Jun 24 Enroll'!M$1,FALSE)-VLOOKUP($A234,EnrollData2324,'2324 Jun 24 Enroll'!J$1,FALSE),'District Calculations'!$D$16+'District Calculations'!$D$25-'District Calculations'!$D$17)*Apport_218A2324s,3)</f>
        <v>20.224</v>
      </c>
      <c r="Z234">
        <f>ROUND(SUM(T234:Y234)/IF(VLOOKUP($A234,EnrollData2324,'2324 Jun 24 Enroll'!M$1,FALSE)+VLOOKUP($A234,EnrollData2324,'2324 Jun 24 Enroll'!D$1,FALSE)='District Calculations'!$D$25+'District Calculations'!$D$11,VLOOKUP($A234,EnrollData2324,'2324 Jun 24 Enroll'!M$1,FALSE)+VLOOKUP($A234,EnrollData2324,'2324 Jun 24 Enroll'!D$1,FALSE),'District Calculations'!$D$25+'District Calculations'!$D$11),5)</f>
        <v>1.7749999999999998E-2</v>
      </c>
      <c r="AA234" s="6" cm="1">
        <f t="array" ref="AA234">ROUND($J234*CIS_Base_Salary2324s*VLOOKUP($A234,EnrollData2324,'2324 Jun 24 Enroll'!S$1,FALSE),2)</f>
        <v>4583.79</v>
      </c>
      <c r="AB234" s="6" cm="1">
        <f t="array" ref="AB234">ROUND($J234*CIS_Inc_Salary2324s*(VLOOKUP($A234,EnrollData2324,'2324 Jun 24 Enroll'!T$1,FALSE)+VLOOKUP($A234,EnrollData2324,'2324 Jun 24 Enroll'!U$1,FALSE)),2)-AA234</f>
        <v>274.3100000000004</v>
      </c>
      <c r="AC234" s="6" cm="1">
        <f t="array" ref="AC234">ROUND($R234*CAS_Base_Salary2324s*VLOOKUP($A234,EnrollData2324,'2324 Jun 24 Enroll'!S$1,FALSE),2)</f>
        <v>503.59</v>
      </c>
      <c r="AD234" s="6" cm="1">
        <f t="array" ref="AD234">ROUND($R234*CAS_Inc_Salary2324s*VLOOKUP($A234,EnrollData2324,'2324 Jun 24 Enroll'!T$1,FALSE),2)-AC234</f>
        <v>18.640000000000043</v>
      </c>
      <c r="AE234" s="6" cm="1">
        <f t="array" ref="AE234">ROUND($Z234*CLS_Base_Salary2324s*VLOOKUP($A234,EnrollData2324,'2324 Jun 24 Enroll'!S$1,FALSE),2)</f>
        <v>1051.0899999999999</v>
      </c>
      <c r="AF234" s="6" cm="1">
        <f t="array" ref="AF234">ROUND($Z234*CLS_Inc_Salary2324s*VLOOKUP($A234,EnrollData2324,'2324 Jun 24 Enroll'!T$1,FALSE),2)-AE234</f>
        <v>38.880000000000109</v>
      </c>
      <c r="AG234" cm="1">
        <f t="array" ref="AG234">ROUND(($J234+$R234)*Apport_124X2324s,2)</f>
        <v>734.29</v>
      </c>
      <c r="AH234" s="69">
        <f t="shared" si="24"/>
        <v>68.700000000000045</v>
      </c>
      <c r="AI234" cm="1">
        <f t="array" ref="AI234">ROUND($Z234*Apport_124X2324s,2)</f>
        <v>218.54</v>
      </c>
      <c r="AJ234" cm="1">
        <f t="array" ref="AJ234">ROUND($Z234*Apport_621X2324s*Apport_125X2324s,2)-AI234</f>
        <v>116.51000000000002</v>
      </c>
      <c r="AK234" cm="1">
        <f t="array" ref="AK234">ROUND((AA234+AC234)*Apport_126X2324s,2)</f>
        <v>914.2</v>
      </c>
      <c r="AL234" cm="1">
        <f t="array" ref="AL234">ROUND((AB234+AD234)*Apport_127X2324s,2)</f>
        <v>50.77</v>
      </c>
      <c r="AM234" cm="1">
        <f t="array" ref="AM234">ROUND(AE234*Apport_128X2324s,2)</f>
        <v>231.87</v>
      </c>
      <c r="AN234" cm="1">
        <f t="array" ref="AN234">ROUND(AF234*Apport_129X2324s,2)</f>
        <v>7.22</v>
      </c>
      <c r="AO234" cm="1">
        <f t="array" ref="AO234">ROUND(($J234*CIS_Inc_Salary2324s*(VLOOKUP($A234,EnrollData2324,'2324 Jun 24 Enroll'!T$1,FALSE)+VLOOKUP($A234,EnrollData2324,'2324 Jun 24 Enroll'!U$1,FALSE))/Apport_613Xpd)*Apport_614Xpd,2)</f>
        <v>80.97</v>
      </c>
      <c r="AP234" cm="1">
        <f t="array" ref="AP234">ROUND(AO234*Apport_127X2324s,2)</f>
        <v>14.03</v>
      </c>
      <c r="AQ234">
        <f t="shared" si="25"/>
        <v>30.93</v>
      </c>
      <c r="AR234" s="6" cm="1">
        <f t="array" ref="AR234">ROUND((VLOOKUP($A234,EnrollData2324,'2324 Jun 24 Enroll'!D$1,FALSE)*Apport_M802324s+VLOOKUP($A234,EnrollData2324,'2324 Jun 24 Enroll'!M$1,FALSE)*Apport_M802324s+(VLOOKUP($A234,EnrollData2324,'2324 Jun 24 Enroll'!P$1,FALSE)+VLOOKUP($A234,EnrollData2324,'2324 Jun 24 Enroll'!Q$1,FALSE)+VLOOKUP($A234,EnrollData2324,'2324 Jun 24 Enroll'!R$1,FALSE)+VLOOKUP($A234,EnrollData2324,'2324 Jun 24 Enroll'!I$1,FALSE)+VLOOKUP($A234,EnrollData2324,'2324 Jun 24 Enroll'!N$1,FALSE)+VLOOKUP($A234,EnrollData2324,'2324 Jun 24 Enroll'!O$1,FALSE)+VLOOKUP($A234,EnrollData2324,'2324 Jun 24 Enroll'!K$1,FALSE)+VLOOKUP($A234,EnrollData2324,'2324 Jun 24 Enroll'!L$1,FALSE))*Apport_M812324s)/(VLOOKUP($A234,EnrollData2324,'2324 Jun 24 Enroll'!M$1,FALSE)+VLOOKUP($A234,EnrollData2324,'2324 Jun 24 Enroll'!D$1,FALSE)),2)</f>
        <v>1575.85</v>
      </c>
      <c r="AS234" s="7">
        <f t="shared" si="26"/>
        <v>10514.180000000002</v>
      </c>
    </row>
    <row r="235" spans="1:45">
      <c r="A235" s="40" t="s">
        <v>578</v>
      </c>
      <c r="B235" s="40" t="s">
        <v>579</v>
      </c>
      <c r="C235" s="11">
        <f>ROUND((IFERROR((1/IF(VLOOKUP($A235,EnrollData2324,28,FALSE)='District Calculations'!$D$10,VLOOKUP($A235,EnrollData2324,28,FALSE),'District Calculations'!$D$10))*(1+Apport_Z315),0))+Apport_201A2324s,6)</f>
        <v>7.3449E-2</v>
      </c>
      <c r="D235">
        <f>ROUND(IF(VLOOKUP($A235,EnrollData2324,'2324 Jun 24 Enroll'!D$1,FALSE)='District Calculations'!$D$11,VLOOKUP($A235,EnrollData2324,'2324 Jun 24 Enroll'!D$1,FALSE),'District Calculations'!$D$11)*C235,3)</f>
        <v>0</v>
      </c>
      <c r="E235">
        <f>ROUND(IF(VLOOKUP($A235,EnrollData2324,'2324 Jun 24 Enroll'!E$1,FALSE)='District Calculations'!$D$12,VLOOKUP($A235,EnrollData2324,'2324 Jun 24 Enroll'!E$1,FALSE),'District Calculations'!$D$12)*C235,3)</f>
        <v>59.53</v>
      </c>
      <c r="F235">
        <f>ROUND(IF(VLOOKUP($A235,EnrollData2324,'2324 Jun 24 Enroll'!F$1,FALSE)='District Calculations'!$D$13,VLOOKUP($A235,EnrollData2324,'2324 Jun 24 Enroll'!F$1,FALSE),'District Calculations'!$D$13)*Apport_222A2324s,3)</f>
        <v>10.101000000000001</v>
      </c>
      <c r="G235">
        <f>ROUND(IF(VLOOKUP($A235,EnrollData2324,'2324 Jun 24 Enroll'!G$1,FALSE)='District Calculations'!$D$14,VLOOKUP($A235,EnrollData2324,'2324 Jun 24 Enroll'!G$1,FALSE),'District Calculations'!$D$14)*Apport_210A2324s,3)</f>
        <v>22.395</v>
      </c>
      <c r="H235">
        <f>ROUND(IF(VLOOKUP($A235,EnrollData2324,'2324 Jun 24 Enroll'!H$1,FALSE)='District Calculations'!$D$15,VLOOKUP($A235,EnrollData2324,'2324 Jun 24 Enroll'!H$1,FALSE),'District Calculations'!$D$15)*Apport_213A2324s,3)</f>
        <v>23.091999999999999</v>
      </c>
      <c r="I235">
        <f>ROUND(IF(VLOOKUP($A235,EnrollData2324,'2324 Jun 24 Enroll'!I$1,FALSE)+VLOOKUP($A235,EnrollData2324,'2324 Jun 24 Enroll'!M$1,FALSE)-VLOOKUP($A235,EnrollData2324,'2324 Jun 24 Enroll'!J$1,FALSE)='District Calculations'!$D$16+'District Calculations'!$D$25-'District Calculations'!$D$17,VLOOKUP($A235,EnrollData2324,'2324 Jun 24 Enroll'!I$1,FALSE)+VLOOKUP($A235,EnrollData2324,'2324 Jun 24 Enroll'!M$1,FALSE)-VLOOKUP($A235,EnrollData2324,'2324 Jun 24 Enroll'!J$1,FALSE),'District Calculations'!$D$16+'District Calculations'!$D$25-'District Calculations'!$D$17)*Apport_216A2324s,3)</f>
        <v>58.183999999999997</v>
      </c>
      <c r="J235">
        <f>ROUND(SUM(D235:I235)/(IF(VLOOKUP($A235,EnrollData2324,'2324 Jun 24 Enroll'!M$1,FALSE)='District Calculations'!$D$25,VLOOKUP($A235,EnrollData2324,'2324 Jun 24 Enroll'!M$1,FALSE),'District Calculations'!$D$25)+IF(VLOOKUP($A235,EnrollData2324,'2324 Jun 24 Enroll'!D$1,FALSE)='District Calculations'!$D$11,VLOOKUP($A235,EnrollData2324,'2324 Jun 24 Enroll'!D$1,FALSE),'District Calculations'!$D$11)),5)</f>
        <v>5.5530000000000003E-2</v>
      </c>
      <c r="K235" s="11">
        <f t="shared" si="22"/>
        <v>4.3699999999999998E-3</v>
      </c>
      <c r="L235">
        <f>ROUND(IF(VLOOKUP($A235,EnrollData2324,'2324 Jun 24 Enroll'!D$1,FALSE)='District Calculations'!$D$11,VLOOKUP($A235,EnrollData2324,'2324 Jun 24 Enroll'!D$1,FALSE),'District Calculations'!$D$11)*K235,3)</f>
        <v>0</v>
      </c>
      <c r="M235">
        <f>ROUND(IF(VLOOKUP($A235,EnrollData2324,'2324 Jun 24 Enroll'!E$1,FALSE)='District Calculations'!$D$12,VLOOKUP($A235,EnrollData2324,'2324 Jun 24 Enroll'!E$1,FALSE),'District Calculations'!$D$12)*K235,3)</f>
        <v>3.5419999999999998</v>
      </c>
      <c r="N235">
        <f>ROUND(IF(VLOOKUP($A235,EnrollData2324,'2324 Jun 24 Enroll'!F$1,FALSE)='District Calculations'!$D$13,VLOOKUP($A235,EnrollData2324,'2324 Jun 24 Enroll'!F$1,FALSE),'District Calculations'!$D$13)*Apport_223A2324s,3)</f>
        <v>0.84299999999999997</v>
      </c>
      <c r="O235">
        <f>ROUND(IF(VLOOKUP($A235,EnrollData2324,'2324 Jun 24 Enroll'!G$1,FALSE)='District Calculations'!$D$14,VLOOKUP($A235,EnrollData2324,'2324 Jun 24 Enroll'!G$1,FALSE),'District Calculations'!$D$14)*Apport_211A2324s,3)</f>
        <v>1.87</v>
      </c>
      <c r="P235">
        <f>ROUND(IF(VLOOKUP($A235,EnrollData2324,'2324 Jun 24 Enroll'!H$1,FALSE)='District Calculations'!$D$14,VLOOKUP($A235,EnrollData2324,'2324 Jun 24 Enroll'!H$1,FALSE),'District Calculations'!$D$14)*Apport_214A2324s,3)</f>
        <v>1.8680000000000001</v>
      </c>
      <c r="Q235">
        <f>ROUND(IF(VLOOKUP($A235,EnrollData2324,'2324 Jun 24 Enroll'!I$1,FALSE)+VLOOKUP($A235,EnrollData2324,'2324 Jun 24 Enroll'!M$1,FALSE)-VLOOKUP($A235,EnrollData2324,'2324 Jun 24 Enroll'!J$1,FALSE)='District Calculations'!$D$16+'District Calculations'!$D$25-'District Calculations'!$D$17,VLOOKUP($A235,EnrollData2324,'2324 Jun 24 Enroll'!I$1,FALSE)+VLOOKUP($A235,EnrollData2324,'2324 Jun 24 Enroll'!M$1,FALSE)-VLOOKUP($A235,EnrollData2324,'2324 Jun 24 Enroll'!J$1,FALSE),'District Calculations'!$D$16+'District Calculations'!$D$25-'District Calculations'!$D$17)*Apport_217A2324s,3)</f>
        <v>4.702</v>
      </c>
      <c r="R235">
        <f>ROUND(SUM(L235:Q235)/IF(VLOOKUP($A235,EnrollData2324,'2324 Jun 24 Enroll'!M$1,FALSE)+VLOOKUP($A235,EnrollData2324,'2324 Jun 24 Enroll'!D$1,FALSE)='District Calculations'!$D$25+'District Calculations'!$D$11,VLOOKUP($A235,EnrollData2324,'2324 Jun 24 Enroll'!M$1,FALSE)+VLOOKUP($A235,EnrollData2324,'2324 Jun 24 Enroll'!D$1,FALSE),'District Calculations'!$D$25+'District Calculations'!$D$11),5)</f>
        <v>4.1099999999999999E-3</v>
      </c>
      <c r="S235" s="11">
        <f t="shared" si="23"/>
        <v>1.8689600000000001E-2</v>
      </c>
      <c r="T235">
        <f>ROUND(IF(VLOOKUP($A235,EnrollData2324,'2324 Jun 24 Enroll'!D$1,FALSE)='District Calculations'!$D$11,VLOOKUP($A235,EnrollData2324,'2324 Jun 24 Enroll'!D$1,FALSE),'District Calculations'!$D$11)*S235,3)</f>
        <v>0</v>
      </c>
      <c r="U235">
        <f>ROUND(IF(VLOOKUP($A235,EnrollData2324,'2324 Jun 24 Enroll'!E$1,FALSE)='District Calculations'!$D$12,VLOOKUP($A235,EnrollData2324,'2324 Jun 24 Enroll'!E$1,FALSE),'District Calculations'!$D$12)*S235,3)</f>
        <v>15.148</v>
      </c>
      <c r="V235">
        <f>ROUND(IF(VLOOKUP($A235,EnrollData2324,'2324 Jun 24 Enroll'!F$1,FALSE)='District Calculations'!$D$13,VLOOKUP($A235,EnrollData2324,'2324 Jun 24 Enroll'!F$1,FALSE),'District Calculations'!$D$13)*Apport_224A2324s,3)</f>
        <v>3.7029999999999998</v>
      </c>
      <c r="W235">
        <f>ROUND(IF(VLOOKUP($A235,EnrollData2324,'2324 Jun 24 Enroll'!G$1,FALSE)='District Calculations'!$D$14,VLOOKUP($A235,EnrollData2324,'2324 Jun 24 Enroll'!G$1,FALSE),'District Calculations'!$D$14)*Apport_212A2324s,3)</f>
        <v>8.2089999999999996</v>
      </c>
      <c r="X235">
        <f>ROUND(IF(VLOOKUP($A235,EnrollData2324,'2324 Jun 24 Enroll'!H$1,FALSE)='District Calculations'!$D$14,VLOOKUP($A235,EnrollData2324,'2324 Jun 24 Enroll'!H$1,FALSE),'District Calculations'!$D$14)*Apport_215A2324s,3)</f>
        <v>8.0969999999999995</v>
      </c>
      <c r="Y235">
        <f>ROUND(IF(VLOOKUP($A235,EnrollData2324,'2324 Jun 24 Enroll'!I$1,FALSE)+VLOOKUP($A235,EnrollData2324,'2324 Jun 24 Enroll'!M$1,FALSE)-VLOOKUP($A235,EnrollData2324,'2324 Jun 24 Enroll'!J$1,FALSE)='District Calculations'!$D$16+'District Calculations'!$D$25-'District Calculations'!$D$17,VLOOKUP($A235,EnrollData2324,'2324 Jun 24 Enroll'!I$1,FALSE)+VLOOKUP($A235,EnrollData2324,'2324 Jun 24 Enroll'!M$1,FALSE)-VLOOKUP($A235,EnrollData2324,'2324 Jun 24 Enroll'!J$1,FALSE),'District Calculations'!$D$16+'District Calculations'!$D$25-'District Calculations'!$D$17)*Apport_218A2324s,3)</f>
        <v>20.224</v>
      </c>
      <c r="Z235">
        <f>ROUND(SUM(T235:Y235)/IF(VLOOKUP($A235,EnrollData2324,'2324 Jun 24 Enroll'!M$1,FALSE)+VLOOKUP($A235,EnrollData2324,'2324 Jun 24 Enroll'!D$1,FALSE)='District Calculations'!$D$25+'District Calculations'!$D$11,VLOOKUP($A235,EnrollData2324,'2324 Jun 24 Enroll'!M$1,FALSE)+VLOOKUP($A235,EnrollData2324,'2324 Jun 24 Enroll'!D$1,FALSE),'District Calculations'!$D$25+'District Calculations'!$D$11),5)</f>
        <v>1.7749999999999998E-2</v>
      </c>
      <c r="AA235" s="6" cm="1">
        <f t="array" ref="AA235">ROUND($J235*CIS_Base_Salary2324s*VLOOKUP($A235,EnrollData2324,'2324 Jun 24 Enroll'!S$1,FALSE),2)</f>
        <v>4765.53</v>
      </c>
      <c r="AB235" s="6" cm="1">
        <f t="array" ref="AB235">ROUND($J235*CIS_Inc_Salary2324s*(VLOOKUP($A235,EnrollData2324,'2324 Jun 24 Enroll'!T$1,FALSE)+VLOOKUP($A235,EnrollData2324,'2324 Jun 24 Enroll'!U$1,FALSE)),2)-AA235</f>
        <v>176.32999999999993</v>
      </c>
      <c r="AC235" s="6" cm="1">
        <f t="array" ref="AC235">ROUND($R235*CAS_Base_Salary2324s*VLOOKUP($A235,EnrollData2324,'2324 Jun 24 Enroll'!S$1,FALSE),2)</f>
        <v>523.55999999999995</v>
      </c>
      <c r="AD235" s="6" cm="1">
        <f t="array" ref="AD235">ROUND($R235*CAS_Inc_Salary2324s*VLOOKUP($A235,EnrollData2324,'2324 Jun 24 Enroll'!T$1,FALSE),2)-AC235</f>
        <v>19.380000000000109</v>
      </c>
      <c r="AE235" s="6" cm="1">
        <f t="array" ref="AE235">ROUND($Z235*CLS_Base_Salary2324s*VLOOKUP($A235,EnrollData2324,'2324 Jun 24 Enroll'!S$1,FALSE),2)</f>
        <v>1092.76</v>
      </c>
      <c r="AF235" s="6" cm="1">
        <f t="array" ref="AF235">ROUND($Z235*CLS_Inc_Salary2324s*VLOOKUP($A235,EnrollData2324,'2324 Jun 24 Enroll'!T$1,FALSE),2)-AE235</f>
        <v>40.430000000000064</v>
      </c>
      <c r="AG235" cm="1">
        <f t="array" ref="AG235">ROUND(($J235+$R235)*Apport_124X2324s,2)</f>
        <v>734.29</v>
      </c>
      <c r="AH235" s="69">
        <f t="shared" si="24"/>
        <v>68.700000000000045</v>
      </c>
      <c r="AI235" cm="1">
        <f t="array" ref="AI235">ROUND($Z235*Apport_124X2324s,2)</f>
        <v>218.54</v>
      </c>
      <c r="AJ235" cm="1">
        <f t="array" ref="AJ235">ROUND($Z235*Apport_621X2324s*Apport_125X2324s,2)-AI235</f>
        <v>116.51000000000002</v>
      </c>
      <c r="AK235" cm="1">
        <f t="array" ref="AK235">ROUND((AA235+AC235)*Apport_126X2324s,2)</f>
        <v>950.45</v>
      </c>
      <c r="AL235" cm="1">
        <f t="array" ref="AL235">ROUND((AB235+AD235)*Apport_127X2324s,2)</f>
        <v>33.92</v>
      </c>
      <c r="AM235" cm="1">
        <f t="array" ref="AM235">ROUND(AE235*Apport_128X2324s,2)</f>
        <v>241.06</v>
      </c>
      <c r="AN235" cm="1">
        <f t="array" ref="AN235">ROUND(AF235*Apport_129X2324s,2)</f>
        <v>7.5</v>
      </c>
      <c r="AO235" cm="1">
        <f t="array" ref="AO235">ROUND(($J235*CIS_Inc_Salary2324s*(VLOOKUP($A235,EnrollData2324,'2324 Jun 24 Enroll'!T$1,FALSE)+VLOOKUP($A235,EnrollData2324,'2324 Jun 24 Enroll'!U$1,FALSE))/Apport_613Xpd)*Apport_614Xpd,2)</f>
        <v>82.36</v>
      </c>
      <c r="AP235" cm="1">
        <f t="array" ref="AP235">ROUND(AO235*Apport_127X2324s,2)</f>
        <v>14.27</v>
      </c>
      <c r="AQ235">
        <f t="shared" si="25"/>
        <v>30.93</v>
      </c>
      <c r="AR235" s="6" cm="1">
        <f t="array" ref="AR235">ROUND((VLOOKUP($A235,EnrollData2324,'2324 Jun 24 Enroll'!D$1,FALSE)*Apport_M802324s+VLOOKUP($A235,EnrollData2324,'2324 Jun 24 Enroll'!M$1,FALSE)*Apport_M802324s+(VLOOKUP($A235,EnrollData2324,'2324 Jun 24 Enroll'!P$1,FALSE)+VLOOKUP($A235,EnrollData2324,'2324 Jun 24 Enroll'!Q$1,FALSE)+VLOOKUP($A235,EnrollData2324,'2324 Jun 24 Enroll'!R$1,FALSE)+VLOOKUP($A235,EnrollData2324,'2324 Jun 24 Enroll'!I$1,FALSE)+VLOOKUP($A235,EnrollData2324,'2324 Jun 24 Enroll'!N$1,FALSE)+VLOOKUP($A235,EnrollData2324,'2324 Jun 24 Enroll'!O$1,FALSE)+VLOOKUP($A235,EnrollData2324,'2324 Jun 24 Enroll'!K$1,FALSE)+VLOOKUP($A235,EnrollData2324,'2324 Jun 24 Enroll'!L$1,FALSE))*Apport_M812324s)/(VLOOKUP($A235,EnrollData2324,'2324 Jun 24 Enroll'!M$1,FALSE)+VLOOKUP($A235,EnrollData2324,'2324 Jun 24 Enroll'!D$1,FALSE)),2)</f>
        <v>1567.32</v>
      </c>
      <c r="AS235" s="7">
        <f t="shared" si="26"/>
        <v>10683.840000000002</v>
      </c>
    </row>
    <row r="236" spans="1:45">
      <c r="A236" s="40" t="s">
        <v>512</v>
      </c>
      <c r="B236" s="40" t="s">
        <v>513</v>
      </c>
      <c r="C236" s="11">
        <f>ROUND((IFERROR((1/IF(VLOOKUP($A236,EnrollData2324,28,FALSE)='District Calculations'!$D$10,VLOOKUP($A236,EnrollData2324,28,FALSE),'District Calculations'!$D$10))*(1+Apport_Z315),0))+Apport_201A2324s,6)</f>
        <v>7.3449E-2</v>
      </c>
      <c r="D236">
        <f>ROUND(IF(VLOOKUP($A236,EnrollData2324,'2324 Jun 24 Enroll'!D$1,FALSE)='District Calculations'!$D$11,VLOOKUP($A236,EnrollData2324,'2324 Jun 24 Enroll'!D$1,FALSE),'District Calculations'!$D$11)*C236,3)</f>
        <v>0</v>
      </c>
      <c r="E236">
        <f>ROUND(IF(VLOOKUP($A236,EnrollData2324,'2324 Jun 24 Enroll'!E$1,FALSE)='District Calculations'!$D$12,VLOOKUP($A236,EnrollData2324,'2324 Jun 24 Enroll'!E$1,FALSE),'District Calculations'!$D$12)*C236,3)</f>
        <v>59.53</v>
      </c>
      <c r="F236">
        <f>ROUND(IF(VLOOKUP($A236,EnrollData2324,'2324 Jun 24 Enroll'!F$1,FALSE)='District Calculations'!$D$13,VLOOKUP($A236,EnrollData2324,'2324 Jun 24 Enroll'!F$1,FALSE),'District Calculations'!$D$13)*Apport_222A2324s,3)</f>
        <v>10.101000000000001</v>
      </c>
      <c r="G236">
        <f>ROUND(IF(VLOOKUP($A236,EnrollData2324,'2324 Jun 24 Enroll'!G$1,FALSE)='District Calculations'!$D$14,VLOOKUP($A236,EnrollData2324,'2324 Jun 24 Enroll'!G$1,FALSE),'District Calculations'!$D$14)*Apport_210A2324s,3)</f>
        <v>22.395</v>
      </c>
      <c r="H236">
        <f>ROUND(IF(VLOOKUP($A236,EnrollData2324,'2324 Jun 24 Enroll'!H$1,FALSE)='District Calculations'!$D$15,VLOOKUP($A236,EnrollData2324,'2324 Jun 24 Enroll'!H$1,FALSE),'District Calculations'!$D$15)*Apport_213A2324s,3)</f>
        <v>23.091999999999999</v>
      </c>
      <c r="I236">
        <f>ROUND(IF(VLOOKUP($A236,EnrollData2324,'2324 Jun 24 Enroll'!I$1,FALSE)+VLOOKUP($A236,EnrollData2324,'2324 Jun 24 Enroll'!M$1,FALSE)-VLOOKUP($A236,EnrollData2324,'2324 Jun 24 Enroll'!J$1,FALSE)='District Calculations'!$D$16+'District Calculations'!$D$25-'District Calculations'!$D$17,VLOOKUP($A236,EnrollData2324,'2324 Jun 24 Enroll'!I$1,FALSE)+VLOOKUP($A236,EnrollData2324,'2324 Jun 24 Enroll'!M$1,FALSE)-VLOOKUP($A236,EnrollData2324,'2324 Jun 24 Enroll'!J$1,FALSE),'District Calculations'!$D$16+'District Calculations'!$D$25-'District Calculations'!$D$17)*Apport_216A2324s,3)</f>
        <v>58.183999999999997</v>
      </c>
      <c r="J236">
        <f>ROUND(SUM(D236:I236)/(IF(VLOOKUP($A236,EnrollData2324,'2324 Jun 24 Enroll'!M$1,FALSE)='District Calculations'!$D$25,VLOOKUP($A236,EnrollData2324,'2324 Jun 24 Enroll'!M$1,FALSE),'District Calculations'!$D$25)+IF(VLOOKUP($A236,EnrollData2324,'2324 Jun 24 Enroll'!D$1,FALSE)='District Calculations'!$D$11,VLOOKUP($A236,EnrollData2324,'2324 Jun 24 Enroll'!D$1,FALSE),'District Calculations'!$D$11)),5)</f>
        <v>5.5530000000000003E-2</v>
      </c>
      <c r="K236" s="11">
        <f t="shared" si="22"/>
        <v>4.3699999999999998E-3</v>
      </c>
      <c r="L236">
        <f>ROUND(IF(VLOOKUP($A236,EnrollData2324,'2324 Jun 24 Enroll'!D$1,FALSE)='District Calculations'!$D$11,VLOOKUP($A236,EnrollData2324,'2324 Jun 24 Enroll'!D$1,FALSE),'District Calculations'!$D$11)*K236,3)</f>
        <v>0</v>
      </c>
      <c r="M236">
        <f>ROUND(IF(VLOOKUP($A236,EnrollData2324,'2324 Jun 24 Enroll'!E$1,FALSE)='District Calculations'!$D$12,VLOOKUP($A236,EnrollData2324,'2324 Jun 24 Enroll'!E$1,FALSE),'District Calculations'!$D$12)*K236,3)</f>
        <v>3.5419999999999998</v>
      </c>
      <c r="N236">
        <f>ROUND(IF(VLOOKUP($A236,EnrollData2324,'2324 Jun 24 Enroll'!F$1,FALSE)='District Calculations'!$D$13,VLOOKUP($A236,EnrollData2324,'2324 Jun 24 Enroll'!F$1,FALSE),'District Calculations'!$D$13)*Apport_223A2324s,3)</f>
        <v>0.84299999999999997</v>
      </c>
      <c r="O236">
        <f>ROUND(IF(VLOOKUP($A236,EnrollData2324,'2324 Jun 24 Enroll'!G$1,FALSE)='District Calculations'!$D$14,VLOOKUP($A236,EnrollData2324,'2324 Jun 24 Enroll'!G$1,FALSE),'District Calculations'!$D$14)*Apport_211A2324s,3)</f>
        <v>1.87</v>
      </c>
      <c r="P236">
        <f>ROUND(IF(VLOOKUP($A236,EnrollData2324,'2324 Jun 24 Enroll'!H$1,FALSE)='District Calculations'!$D$14,VLOOKUP($A236,EnrollData2324,'2324 Jun 24 Enroll'!H$1,FALSE),'District Calculations'!$D$14)*Apport_214A2324s,3)</f>
        <v>1.8680000000000001</v>
      </c>
      <c r="Q236">
        <f>ROUND(IF(VLOOKUP($A236,EnrollData2324,'2324 Jun 24 Enroll'!I$1,FALSE)+VLOOKUP($A236,EnrollData2324,'2324 Jun 24 Enroll'!M$1,FALSE)-VLOOKUP($A236,EnrollData2324,'2324 Jun 24 Enroll'!J$1,FALSE)='District Calculations'!$D$16+'District Calculations'!$D$25-'District Calculations'!$D$17,VLOOKUP($A236,EnrollData2324,'2324 Jun 24 Enroll'!I$1,FALSE)+VLOOKUP($A236,EnrollData2324,'2324 Jun 24 Enroll'!M$1,FALSE)-VLOOKUP($A236,EnrollData2324,'2324 Jun 24 Enroll'!J$1,FALSE),'District Calculations'!$D$16+'District Calculations'!$D$25-'District Calculations'!$D$17)*Apport_217A2324s,3)</f>
        <v>4.702</v>
      </c>
      <c r="R236">
        <f>ROUND(SUM(L236:Q236)/IF(VLOOKUP($A236,EnrollData2324,'2324 Jun 24 Enroll'!M$1,FALSE)+VLOOKUP($A236,EnrollData2324,'2324 Jun 24 Enroll'!D$1,FALSE)='District Calculations'!$D$25+'District Calculations'!$D$11,VLOOKUP($A236,EnrollData2324,'2324 Jun 24 Enroll'!M$1,FALSE)+VLOOKUP($A236,EnrollData2324,'2324 Jun 24 Enroll'!D$1,FALSE),'District Calculations'!$D$25+'District Calculations'!$D$11),5)</f>
        <v>4.1099999999999999E-3</v>
      </c>
      <c r="S236" s="11">
        <f t="shared" si="23"/>
        <v>1.8689600000000001E-2</v>
      </c>
      <c r="T236">
        <f>ROUND(IF(VLOOKUP($A236,EnrollData2324,'2324 Jun 24 Enroll'!D$1,FALSE)='District Calculations'!$D$11,VLOOKUP($A236,EnrollData2324,'2324 Jun 24 Enroll'!D$1,FALSE),'District Calculations'!$D$11)*S236,3)</f>
        <v>0</v>
      </c>
      <c r="U236">
        <f>ROUND(IF(VLOOKUP($A236,EnrollData2324,'2324 Jun 24 Enroll'!E$1,FALSE)='District Calculations'!$D$12,VLOOKUP($A236,EnrollData2324,'2324 Jun 24 Enroll'!E$1,FALSE),'District Calculations'!$D$12)*S236,3)</f>
        <v>15.148</v>
      </c>
      <c r="V236">
        <f>ROUND(IF(VLOOKUP($A236,EnrollData2324,'2324 Jun 24 Enroll'!F$1,FALSE)='District Calculations'!$D$13,VLOOKUP($A236,EnrollData2324,'2324 Jun 24 Enroll'!F$1,FALSE),'District Calculations'!$D$13)*Apport_224A2324s,3)</f>
        <v>3.7029999999999998</v>
      </c>
      <c r="W236">
        <f>ROUND(IF(VLOOKUP($A236,EnrollData2324,'2324 Jun 24 Enroll'!G$1,FALSE)='District Calculations'!$D$14,VLOOKUP($A236,EnrollData2324,'2324 Jun 24 Enroll'!G$1,FALSE),'District Calculations'!$D$14)*Apport_212A2324s,3)</f>
        <v>8.2089999999999996</v>
      </c>
      <c r="X236">
        <f>ROUND(IF(VLOOKUP($A236,EnrollData2324,'2324 Jun 24 Enroll'!H$1,FALSE)='District Calculations'!$D$14,VLOOKUP($A236,EnrollData2324,'2324 Jun 24 Enroll'!H$1,FALSE),'District Calculations'!$D$14)*Apport_215A2324s,3)</f>
        <v>8.0969999999999995</v>
      </c>
      <c r="Y236">
        <f>ROUND(IF(VLOOKUP($A236,EnrollData2324,'2324 Jun 24 Enroll'!I$1,FALSE)+VLOOKUP($A236,EnrollData2324,'2324 Jun 24 Enroll'!M$1,FALSE)-VLOOKUP($A236,EnrollData2324,'2324 Jun 24 Enroll'!J$1,FALSE)='District Calculations'!$D$16+'District Calculations'!$D$25-'District Calculations'!$D$17,VLOOKUP($A236,EnrollData2324,'2324 Jun 24 Enroll'!I$1,FALSE)+VLOOKUP($A236,EnrollData2324,'2324 Jun 24 Enroll'!M$1,FALSE)-VLOOKUP($A236,EnrollData2324,'2324 Jun 24 Enroll'!J$1,FALSE),'District Calculations'!$D$16+'District Calculations'!$D$25-'District Calculations'!$D$17)*Apport_218A2324s,3)</f>
        <v>20.224</v>
      </c>
      <c r="Z236">
        <f>ROUND(SUM(T236:Y236)/IF(VLOOKUP($A236,EnrollData2324,'2324 Jun 24 Enroll'!M$1,FALSE)+VLOOKUP($A236,EnrollData2324,'2324 Jun 24 Enroll'!D$1,FALSE)='District Calculations'!$D$25+'District Calculations'!$D$11,VLOOKUP($A236,EnrollData2324,'2324 Jun 24 Enroll'!M$1,FALSE)+VLOOKUP($A236,EnrollData2324,'2324 Jun 24 Enroll'!D$1,FALSE),'District Calculations'!$D$25+'District Calculations'!$D$11),5)</f>
        <v>1.7749999999999998E-2</v>
      </c>
      <c r="AA236" s="6" cm="1">
        <f t="array" ref="AA236">ROUND($J236*CIS_Base_Salary2324s*VLOOKUP($A236,EnrollData2324,'2324 Jun 24 Enroll'!S$1,FALSE),2)</f>
        <v>4765.53</v>
      </c>
      <c r="AB236" s="6" cm="1">
        <f t="array" ref="AB236">ROUND($J236*CIS_Inc_Salary2324s*(VLOOKUP($A236,EnrollData2324,'2324 Jun 24 Enroll'!T$1,FALSE)+VLOOKUP($A236,EnrollData2324,'2324 Jun 24 Enroll'!U$1,FALSE)),2)-AA236</f>
        <v>176.32999999999993</v>
      </c>
      <c r="AC236" s="6" cm="1">
        <f t="array" ref="AC236">ROUND($R236*CAS_Base_Salary2324s*VLOOKUP($A236,EnrollData2324,'2324 Jun 24 Enroll'!S$1,FALSE),2)</f>
        <v>523.55999999999995</v>
      </c>
      <c r="AD236" s="6" cm="1">
        <f t="array" ref="AD236">ROUND($R236*CAS_Inc_Salary2324s*VLOOKUP($A236,EnrollData2324,'2324 Jun 24 Enroll'!T$1,FALSE),2)-AC236</f>
        <v>19.380000000000109</v>
      </c>
      <c r="AE236" s="6" cm="1">
        <f t="array" ref="AE236">ROUND($Z236*CLS_Base_Salary2324s*VLOOKUP($A236,EnrollData2324,'2324 Jun 24 Enroll'!S$1,FALSE),2)</f>
        <v>1092.76</v>
      </c>
      <c r="AF236" s="6" cm="1">
        <f t="array" ref="AF236">ROUND($Z236*CLS_Inc_Salary2324s*VLOOKUP($A236,EnrollData2324,'2324 Jun 24 Enroll'!T$1,FALSE),2)-AE236</f>
        <v>40.430000000000064</v>
      </c>
      <c r="AG236" cm="1">
        <f t="array" ref="AG236">ROUND(($J236+$R236)*Apport_124X2324s,2)</f>
        <v>734.29</v>
      </c>
      <c r="AH236" s="69">
        <f t="shared" si="24"/>
        <v>68.700000000000045</v>
      </c>
      <c r="AI236" cm="1">
        <f t="array" ref="AI236">ROUND($Z236*Apport_124X2324s,2)</f>
        <v>218.54</v>
      </c>
      <c r="AJ236" cm="1">
        <f t="array" ref="AJ236">ROUND($Z236*Apport_621X2324s*Apport_125X2324s,2)-AI236</f>
        <v>116.51000000000002</v>
      </c>
      <c r="AK236" cm="1">
        <f t="array" ref="AK236">ROUND((AA236+AC236)*Apport_126X2324s,2)</f>
        <v>950.45</v>
      </c>
      <c r="AL236" cm="1">
        <f t="array" ref="AL236">ROUND((AB236+AD236)*Apport_127X2324s,2)</f>
        <v>33.92</v>
      </c>
      <c r="AM236" cm="1">
        <f t="array" ref="AM236">ROUND(AE236*Apport_128X2324s,2)</f>
        <v>241.06</v>
      </c>
      <c r="AN236" cm="1">
        <f t="array" ref="AN236">ROUND(AF236*Apport_129X2324s,2)</f>
        <v>7.5</v>
      </c>
      <c r="AO236" cm="1">
        <f t="array" ref="AO236">ROUND(($J236*CIS_Inc_Salary2324s*(VLOOKUP($A236,EnrollData2324,'2324 Jun 24 Enroll'!T$1,FALSE)+VLOOKUP($A236,EnrollData2324,'2324 Jun 24 Enroll'!U$1,FALSE))/Apport_613Xpd)*Apport_614Xpd,2)</f>
        <v>82.36</v>
      </c>
      <c r="AP236" cm="1">
        <f t="array" ref="AP236">ROUND(AO236*Apport_127X2324s,2)</f>
        <v>14.27</v>
      </c>
      <c r="AQ236">
        <f t="shared" si="25"/>
        <v>30.93</v>
      </c>
      <c r="AR236" s="6" cm="1">
        <f t="array" ref="AR236">ROUND((VLOOKUP($A236,EnrollData2324,'2324 Jun 24 Enroll'!D$1,FALSE)*Apport_M802324s+VLOOKUP($A236,EnrollData2324,'2324 Jun 24 Enroll'!M$1,FALSE)*Apport_M802324s+(VLOOKUP($A236,EnrollData2324,'2324 Jun 24 Enroll'!P$1,FALSE)+VLOOKUP($A236,EnrollData2324,'2324 Jun 24 Enroll'!Q$1,FALSE)+VLOOKUP($A236,EnrollData2324,'2324 Jun 24 Enroll'!R$1,FALSE)+VLOOKUP($A236,EnrollData2324,'2324 Jun 24 Enroll'!I$1,FALSE)+VLOOKUP($A236,EnrollData2324,'2324 Jun 24 Enroll'!N$1,FALSE)+VLOOKUP($A236,EnrollData2324,'2324 Jun 24 Enroll'!O$1,FALSE)+VLOOKUP($A236,EnrollData2324,'2324 Jun 24 Enroll'!K$1,FALSE)+VLOOKUP($A236,EnrollData2324,'2324 Jun 24 Enroll'!L$1,FALSE))*Apport_M812324s)/(VLOOKUP($A236,EnrollData2324,'2324 Jun 24 Enroll'!M$1,FALSE)+VLOOKUP($A236,EnrollData2324,'2324 Jun 24 Enroll'!D$1,FALSE)),2)</f>
        <v>1504.44</v>
      </c>
      <c r="AS236" s="7">
        <f t="shared" si="26"/>
        <v>10620.960000000003</v>
      </c>
    </row>
    <row r="237" spans="1:45">
      <c r="A237" s="40" t="s">
        <v>594</v>
      </c>
      <c r="B237" s="40" t="s">
        <v>595</v>
      </c>
      <c r="C237" s="11">
        <f>ROUND((IFERROR((1/IF(VLOOKUP($A237,EnrollData2324,28,FALSE)='District Calculations'!$D$10,VLOOKUP($A237,EnrollData2324,28,FALSE),'District Calculations'!$D$10))*(1+Apport_Z315),0))+Apport_201A2324s,6)</f>
        <v>7.3449E-2</v>
      </c>
      <c r="D237">
        <f>ROUND(IF(VLOOKUP($A237,EnrollData2324,'2324 Jun 24 Enroll'!D$1,FALSE)='District Calculations'!$D$11,VLOOKUP($A237,EnrollData2324,'2324 Jun 24 Enroll'!D$1,FALSE),'District Calculations'!$D$11)*C237,3)</f>
        <v>0</v>
      </c>
      <c r="E237">
        <f>ROUND(IF(VLOOKUP($A237,EnrollData2324,'2324 Jun 24 Enroll'!E$1,FALSE)='District Calculations'!$D$12,VLOOKUP($A237,EnrollData2324,'2324 Jun 24 Enroll'!E$1,FALSE),'District Calculations'!$D$12)*C237,3)</f>
        <v>59.53</v>
      </c>
      <c r="F237">
        <f>ROUND(IF(VLOOKUP($A237,EnrollData2324,'2324 Jun 24 Enroll'!F$1,FALSE)='District Calculations'!$D$13,VLOOKUP($A237,EnrollData2324,'2324 Jun 24 Enroll'!F$1,FALSE),'District Calculations'!$D$13)*Apport_222A2324s,3)</f>
        <v>10.101000000000001</v>
      </c>
      <c r="G237">
        <f>ROUND(IF(VLOOKUP($A237,EnrollData2324,'2324 Jun 24 Enroll'!G$1,FALSE)='District Calculations'!$D$14,VLOOKUP($A237,EnrollData2324,'2324 Jun 24 Enroll'!G$1,FALSE),'District Calculations'!$D$14)*Apport_210A2324s,3)</f>
        <v>22.395</v>
      </c>
      <c r="H237">
        <f>ROUND(IF(VLOOKUP($A237,EnrollData2324,'2324 Jun 24 Enroll'!H$1,FALSE)='District Calculations'!$D$15,VLOOKUP($A237,EnrollData2324,'2324 Jun 24 Enroll'!H$1,FALSE),'District Calculations'!$D$15)*Apport_213A2324s,3)</f>
        <v>23.091999999999999</v>
      </c>
      <c r="I237">
        <f>ROUND(IF(VLOOKUP($A237,EnrollData2324,'2324 Jun 24 Enroll'!I$1,FALSE)+VLOOKUP($A237,EnrollData2324,'2324 Jun 24 Enroll'!M$1,FALSE)-VLOOKUP($A237,EnrollData2324,'2324 Jun 24 Enroll'!J$1,FALSE)='District Calculations'!$D$16+'District Calculations'!$D$25-'District Calculations'!$D$17,VLOOKUP($A237,EnrollData2324,'2324 Jun 24 Enroll'!I$1,FALSE)+VLOOKUP($A237,EnrollData2324,'2324 Jun 24 Enroll'!M$1,FALSE)-VLOOKUP($A237,EnrollData2324,'2324 Jun 24 Enroll'!J$1,FALSE),'District Calculations'!$D$16+'District Calculations'!$D$25-'District Calculations'!$D$17)*Apport_216A2324s,3)</f>
        <v>58.183999999999997</v>
      </c>
      <c r="J237">
        <f>ROUND(SUM(D237:I237)/(IF(VLOOKUP($A237,EnrollData2324,'2324 Jun 24 Enroll'!M$1,FALSE)='District Calculations'!$D$25,VLOOKUP($A237,EnrollData2324,'2324 Jun 24 Enroll'!M$1,FALSE),'District Calculations'!$D$25)+IF(VLOOKUP($A237,EnrollData2324,'2324 Jun 24 Enroll'!D$1,FALSE)='District Calculations'!$D$11,VLOOKUP($A237,EnrollData2324,'2324 Jun 24 Enroll'!D$1,FALSE),'District Calculations'!$D$11)),5)</f>
        <v>5.5530000000000003E-2</v>
      </c>
      <c r="K237" s="11">
        <f t="shared" si="22"/>
        <v>4.3699999999999998E-3</v>
      </c>
      <c r="L237">
        <f>ROUND(IF(VLOOKUP($A237,EnrollData2324,'2324 Jun 24 Enroll'!D$1,FALSE)='District Calculations'!$D$11,VLOOKUP($A237,EnrollData2324,'2324 Jun 24 Enroll'!D$1,FALSE),'District Calculations'!$D$11)*K237,3)</f>
        <v>0</v>
      </c>
      <c r="M237">
        <f>ROUND(IF(VLOOKUP($A237,EnrollData2324,'2324 Jun 24 Enroll'!E$1,FALSE)='District Calculations'!$D$12,VLOOKUP($A237,EnrollData2324,'2324 Jun 24 Enroll'!E$1,FALSE),'District Calculations'!$D$12)*K237,3)</f>
        <v>3.5419999999999998</v>
      </c>
      <c r="N237">
        <f>ROUND(IF(VLOOKUP($A237,EnrollData2324,'2324 Jun 24 Enroll'!F$1,FALSE)='District Calculations'!$D$13,VLOOKUP($A237,EnrollData2324,'2324 Jun 24 Enroll'!F$1,FALSE),'District Calculations'!$D$13)*Apport_223A2324s,3)</f>
        <v>0.84299999999999997</v>
      </c>
      <c r="O237">
        <f>ROUND(IF(VLOOKUP($A237,EnrollData2324,'2324 Jun 24 Enroll'!G$1,FALSE)='District Calculations'!$D$14,VLOOKUP($A237,EnrollData2324,'2324 Jun 24 Enroll'!G$1,FALSE),'District Calculations'!$D$14)*Apport_211A2324s,3)</f>
        <v>1.87</v>
      </c>
      <c r="P237">
        <f>ROUND(IF(VLOOKUP($A237,EnrollData2324,'2324 Jun 24 Enroll'!H$1,FALSE)='District Calculations'!$D$14,VLOOKUP($A237,EnrollData2324,'2324 Jun 24 Enroll'!H$1,FALSE),'District Calculations'!$D$14)*Apport_214A2324s,3)</f>
        <v>1.8680000000000001</v>
      </c>
      <c r="Q237">
        <f>ROUND(IF(VLOOKUP($A237,EnrollData2324,'2324 Jun 24 Enroll'!I$1,FALSE)+VLOOKUP($A237,EnrollData2324,'2324 Jun 24 Enroll'!M$1,FALSE)-VLOOKUP($A237,EnrollData2324,'2324 Jun 24 Enroll'!J$1,FALSE)='District Calculations'!$D$16+'District Calculations'!$D$25-'District Calculations'!$D$17,VLOOKUP($A237,EnrollData2324,'2324 Jun 24 Enroll'!I$1,FALSE)+VLOOKUP($A237,EnrollData2324,'2324 Jun 24 Enroll'!M$1,FALSE)-VLOOKUP($A237,EnrollData2324,'2324 Jun 24 Enroll'!J$1,FALSE),'District Calculations'!$D$16+'District Calculations'!$D$25-'District Calculations'!$D$17)*Apport_217A2324s,3)</f>
        <v>4.702</v>
      </c>
      <c r="R237">
        <f>ROUND(SUM(L237:Q237)/IF(VLOOKUP($A237,EnrollData2324,'2324 Jun 24 Enroll'!M$1,FALSE)+VLOOKUP($A237,EnrollData2324,'2324 Jun 24 Enroll'!D$1,FALSE)='District Calculations'!$D$25+'District Calculations'!$D$11,VLOOKUP($A237,EnrollData2324,'2324 Jun 24 Enroll'!M$1,FALSE)+VLOOKUP($A237,EnrollData2324,'2324 Jun 24 Enroll'!D$1,FALSE),'District Calculations'!$D$25+'District Calculations'!$D$11),5)</f>
        <v>4.1099999999999999E-3</v>
      </c>
      <c r="S237" s="11">
        <f t="shared" si="23"/>
        <v>1.8689600000000001E-2</v>
      </c>
      <c r="T237">
        <f>ROUND(IF(VLOOKUP($A237,EnrollData2324,'2324 Jun 24 Enroll'!D$1,FALSE)='District Calculations'!$D$11,VLOOKUP($A237,EnrollData2324,'2324 Jun 24 Enroll'!D$1,FALSE),'District Calculations'!$D$11)*S237,3)</f>
        <v>0</v>
      </c>
      <c r="U237">
        <f>ROUND(IF(VLOOKUP($A237,EnrollData2324,'2324 Jun 24 Enroll'!E$1,FALSE)='District Calculations'!$D$12,VLOOKUP($A237,EnrollData2324,'2324 Jun 24 Enroll'!E$1,FALSE),'District Calculations'!$D$12)*S237,3)</f>
        <v>15.148</v>
      </c>
      <c r="V237">
        <f>ROUND(IF(VLOOKUP($A237,EnrollData2324,'2324 Jun 24 Enroll'!F$1,FALSE)='District Calculations'!$D$13,VLOOKUP($A237,EnrollData2324,'2324 Jun 24 Enroll'!F$1,FALSE),'District Calculations'!$D$13)*Apport_224A2324s,3)</f>
        <v>3.7029999999999998</v>
      </c>
      <c r="W237">
        <f>ROUND(IF(VLOOKUP($A237,EnrollData2324,'2324 Jun 24 Enroll'!G$1,FALSE)='District Calculations'!$D$14,VLOOKUP($A237,EnrollData2324,'2324 Jun 24 Enroll'!G$1,FALSE),'District Calculations'!$D$14)*Apport_212A2324s,3)</f>
        <v>8.2089999999999996</v>
      </c>
      <c r="X237">
        <f>ROUND(IF(VLOOKUP($A237,EnrollData2324,'2324 Jun 24 Enroll'!H$1,FALSE)='District Calculations'!$D$14,VLOOKUP($A237,EnrollData2324,'2324 Jun 24 Enroll'!H$1,FALSE),'District Calculations'!$D$14)*Apport_215A2324s,3)</f>
        <v>8.0969999999999995</v>
      </c>
      <c r="Y237">
        <f>ROUND(IF(VLOOKUP($A237,EnrollData2324,'2324 Jun 24 Enroll'!I$1,FALSE)+VLOOKUP($A237,EnrollData2324,'2324 Jun 24 Enroll'!M$1,FALSE)-VLOOKUP($A237,EnrollData2324,'2324 Jun 24 Enroll'!J$1,FALSE)='District Calculations'!$D$16+'District Calculations'!$D$25-'District Calculations'!$D$17,VLOOKUP($A237,EnrollData2324,'2324 Jun 24 Enroll'!I$1,FALSE)+VLOOKUP($A237,EnrollData2324,'2324 Jun 24 Enroll'!M$1,FALSE)-VLOOKUP($A237,EnrollData2324,'2324 Jun 24 Enroll'!J$1,FALSE),'District Calculations'!$D$16+'District Calculations'!$D$25-'District Calculations'!$D$17)*Apport_218A2324s,3)</f>
        <v>20.224</v>
      </c>
      <c r="Z237">
        <f>ROUND(SUM(T237:Y237)/IF(VLOOKUP($A237,EnrollData2324,'2324 Jun 24 Enroll'!M$1,FALSE)+VLOOKUP($A237,EnrollData2324,'2324 Jun 24 Enroll'!D$1,FALSE)='District Calculations'!$D$25+'District Calculations'!$D$11,VLOOKUP($A237,EnrollData2324,'2324 Jun 24 Enroll'!M$1,FALSE)+VLOOKUP($A237,EnrollData2324,'2324 Jun 24 Enroll'!D$1,FALSE),'District Calculations'!$D$25+'District Calculations'!$D$11),5)</f>
        <v>1.7749999999999998E-2</v>
      </c>
      <c r="AA237" s="6" cm="1">
        <f t="array" ref="AA237">ROUND($J237*CIS_Base_Salary2324s*VLOOKUP($A237,EnrollData2324,'2324 Jun 24 Enroll'!S$1,FALSE),2)</f>
        <v>4765.53</v>
      </c>
      <c r="AB237" s="6" cm="1">
        <f t="array" ref="AB237">ROUND($J237*CIS_Inc_Salary2324s*(VLOOKUP($A237,EnrollData2324,'2324 Jun 24 Enroll'!T$1,FALSE)+VLOOKUP($A237,EnrollData2324,'2324 Jun 24 Enroll'!U$1,FALSE)),2)-AA237</f>
        <v>176.32999999999993</v>
      </c>
      <c r="AC237" s="6" cm="1">
        <f t="array" ref="AC237">ROUND($R237*CAS_Base_Salary2324s*VLOOKUP($A237,EnrollData2324,'2324 Jun 24 Enroll'!S$1,FALSE),2)</f>
        <v>523.55999999999995</v>
      </c>
      <c r="AD237" s="6" cm="1">
        <f t="array" ref="AD237">ROUND($R237*CAS_Inc_Salary2324s*VLOOKUP($A237,EnrollData2324,'2324 Jun 24 Enroll'!T$1,FALSE),2)-AC237</f>
        <v>19.380000000000109</v>
      </c>
      <c r="AE237" s="6" cm="1">
        <f t="array" ref="AE237">ROUND($Z237*CLS_Base_Salary2324s*VLOOKUP($A237,EnrollData2324,'2324 Jun 24 Enroll'!S$1,FALSE),2)</f>
        <v>1092.76</v>
      </c>
      <c r="AF237" s="6" cm="1">
        <f t="array" ref="AF237">ROUND($Z237*CLS_Inc_Salary2324s*VLOOKUP($A237,EnrollData2324,'2324 Jun 24 Enroll'!T$1,FALSE),2)-AE237</f>
        <v>40.430000000000064</v>
      </c>
      <c r="AG237" cm="1">
        <f t="array" ref="AG237">ROUND(($J237+$R237)*Apport_124X2324s,2)</f>
        <v>734.29</v>
      </c>
      <c r="AH237" s="69">
        <f t="shared" si="24"/>
        <v>68.700000000000045</v>
      </c>
      <c r="AI237" cm="1">
        <f t="array" ref="AI237">ROUND($Z237*Apport_124X2324s,2)</f>
        <v>218.54</v>
      </c>
      <c r="AJ237" cm="1">
        <f t="array" ref="AJ237">ROUND($Z237*Apport_621X2324s*Apport_125X2324s,2)-AI237</f>
        <v>116.51000000000002</v>
      </c>
      <c r="AK237" cm="1">
        <f t="array" ref="AK237">ROUND((AA237+AC237)*Apport_126X2324s,2)</f>
        <v>950.45</v>
      </c>
      <c r="AL237" cm="1">
        <f t="array" ref="AL237">ROUND((AB237+AD237)*Apport_127X2324s,2)</f>
        <v>33.92</v>
      </c>
      <c r="AM237" cm="1">
        <f t="array" ref="AM237">ROUND(AE237*Apport_128X2324s,2)</f>
        <v>241.06</v>
      </c>
      <c r="AN237" cm="1">
        <f t="array" ref="AN237">ROUND(AF237*Apport_129X2324s,2)</f>
        <v>7.5</v>
      </c>
      <c r="AO237" cm="1">
        <f t="array" ref="AO237">ROUND(($J237*CIS_Inc_Salary2324s*(VLOOKUP($A237,EnrollData2324,'2324 Jun 24 Enroll'!T$1,FALSE)+VLOOKUP($A237,EnrollData2324,'2324 Jun 24 Enroll'!U$1,FALSE))/Apport_613Xpd)*Apport_614Xpd,2)</f>
        <v>82.36</v>
      </c>
      <c r="AP237" cm="1">
        <f t="array" ref="AP237">ROUND(AO237*Apport_127X2324s,2)</f>
        <v>14.27</v>
      </c>
      <c r="AQ237">
        <f t="shared" si="25"/>
        <v>30.93</v>
      </c>
      <c r="AR237" s="6" cm="1">
        <f t="array" ref="AR237">ROUND((VLOOKUP($A237,EnrollData2324,'2324 Jun 24 Enroll'!D$1,FALSE)*Apport_M802324s+VLOOKUP($A237,EnrollData2324,'2324 Jun 24 Enroll'!M$1,FALSE)*Apport_M802324s+(VLOOKUP($A237,EnrollData2324,'2324 Jun 24 Enroll'!P$1,FALSE)+VLOOKUP($A237,EnrollData2324,'2324 Jun 24 Enroll'!Q$1,FALSE)+VLOOKUP($A237,EnrollData2324,'2324 Jun 24 Enroll'!R$1,FALSE)+VLOOKUP($A237,EnrollData2324,'2324 Jun 24 Enroll'!I$1,FALSE)+VLOOKUP($A237,EnrollData2324,'2324 Jun 24 Enroll'!N$1,FALSE)+VLOOKUP($A237,EnrollData2324,'2324 Jun 24 Enroll'!O$1,FALSE)+VLOOKUP($A237,EnrollData2324,'2324 Jun 24 Enroll'!K$1,FALSE)+VLOOKUP($A237,EnrollData2324,'2324 Jun 24 Enroll'!L$1,FALSE))*Apport_M812324s)/(VLOOKUP($A237,EnrollData2324,'2324 Jun 24 Enroll'!M$1,FALSE)+VLOOKUP($A237,EnrollData2324,'2324 Jun 24 Enroll'!D$1,FALSE)),2)</f>
        <v>1588.35</v>
      </c>
      <c r="AS237" s="7">
        <f t="shared" si="26"/>
        <v>10704.870000000003</v>
      </c>
    </row>
    <row r="238" spans="1:45">
      <c r="A238" s="40" t="s">
        <v>767</v>
      </c>
      <c r="B238" s="40" t="s">
        <v>768</v>
      </c>
      <c r="C238" s="11">
        <f>ROUND((IFERROR((1/IF(VLOOKUP($A238,EnrollData2324,28,FALSE)='District Calculations'!$D$10,VLOOKUP($A238,EnrollData2324,28,FALSE),'District Calculations'!$D$10))*(1+Apport_Z315),0))+Apport_201A2324s,6)</f>
        <v>7.3449E-2</v>
      </c>
      <c r="D238">
        <f>ROUND(IF(VLOOKUP($A238,EnrollData2324,'2324 Jun 24 Enroll'!D$1,FALSE)='District Calculations'!$D$11,VLOOKUP($A238,EnrollData2324,'2324 Jun 24 Enroll'!D$1,FALSE),'District Calculations'!$D$11)*C238,3)</f>
        <v>0</v>
      </c>
      <c r="E238">
        <f>ROUND(IF(VLOOKUP($A238,EnrollData2324,'2324 Jun 24 Enroll'!E$1,FALSE)='District Calculations'!$D$12,VLOOKUP($A238,EnrollData2324,'2324 Jun 24 Enroll'!E$1,FALSE),'District Calculations'!$D$12)*C238,3)</f>
        <v>59.53</v>
      </c>
      <c r="F238">
        <f>ROUND(IF(VLOOKUP($A238,EnrollData2324,'2324 Jun 24 Enroll'!F$1,FALSE)='District Calculations'!$D$13,VLOOKUP($A238,EnrollData2324,'2324 Jun 24 Enroll'!F$1,FALSE),'District Calculations'!$D$13)*Apport_222A2324s,3)</f>
        <v>10.101000000000001</v>
      </c>
      <c r="G238">
        <f>ROUND(IF(VLOOKUP($A238,EnrollData2324,'2324 Jun 24 Enroll'!G$1,FALSE)='District Calculations'!$D$14,VLOOKUP($A238,EnrollData2324,'2324 Jun 24 Enroll'!G$1,FALSE),'District Calculations'!$D$14)*Apport_210A2324s,3)</f>
        <v>22.395</v>
      </c>
      <c r="H238">
        <f>ROUND(IF(VLOOKUP($A238,EnrollData2324,'2324 Jun 24 Enroll'!H$1,FALSE)='District Calculations'!$D$15,VLOOKUP($A238,EnrollData2324,'2324 Jun 24 Enroll'!H$1,FALSE),'District Calculations'!$D$15)*Apport_213A2324s,3)</f>
        <v>23.091999999999999</v>
      </c>
      <c r="I238">
        <f>ROUND(IF(VLOOKUP($A238,EnrollData2324,'2324 Jun 24 Enroll'!I$1,FALSE)+VLOOKUP($A238,EnrollData2324,'2324 Jun 24 Enroll'!M$1,FALSE)-VLOOKUP($A238,EnrollData2324,'2324 Jun 24 Enroll'!J$1,FALSE)='District Calculations'!$D$16+'District Calculations'!$D$25-'District Calculations'!$D$17,VLOOKUP($A238,EnrollData2324,'2324 Jun 24 Enroll'!I$1,FALSE)+VLOOKUP($A238,EnrollData2324,'2324 Jun 24 Enroll'!M$1,FALSE)-VLOOKUP($A238,EnrollData2324,'2324 Jun 24 Enroll'!J$1,FALSE),'District Calculations'!$D$16+'District Calculations'!$D$25-'District Calculations'!$D$17)*Apport_216A2324s,3)</f>
        <v>58.183999999999997</v>
      </c>
      <c r="J238">
        <f>ROUND(SUM(D238:I238)/(IF(VLOOKUP($A238,EnrollData2324,'2324 Jun 24 Enroll'!M$1,FALSE)='District Calculations'!$D$25,VLOOKUP($A238,EnrollData2324,'2324 Jun 24 Enroll'!M$1,FALSE),'District Calculations'!$D$25)+IF(VLOOKUP($A238,EnrollData2324,'2324 Jun 24 Enroll'!D$1,FALSE)='District Calculations'!$D$11,VLOOKUP($A238,EnrollData2324,'2324 Jun 24 Enroll'!D$1,FALSE),'District Calculations'!$D$11)),5)</f>
        <v>5.5530000000000003E-2</v>
      </c>
      <c r="K238" s="11">
        <f t="shared" si="22"/>
        <v>4.3699999999999998E-3</v>
      </c>
      <c r="L238">
        <f>ROUND(IF(VLOOKUP($A238,EnrollData2324,'2324 Jun 24 Enroll'!D$1,FALSE)='District Calculations'!$D$11,VLOOKUP($A238,EnrollData2324,'2324 Jun 24 Enroll'!D$1,FALSE),'District Calculations'!$D$11)*K238,3)</f>
        <v>0</v>
      </c>
      <c r="M238">
        <f>ROUND(IF(VLOOKUP($A238,EnrollData2324,'2324 Jun 24 Enroll'!E$1,FALSE)='District Calculations'!$D$12,VLOOKUP($A238,EnrollData2324,'2324 Jun 24 Enroll'!E$1,FALSE),'District Calculations'!$D$12)*K238,3)</f>
        <v>3.5419999999999998</v>
      </c>
      <c r="N238">
        <f>ROUND(IF(VLOOKUP($A238,EnrollData2324,'2324 Jun 24 Enroll'!F$1,FALSE)='District Calculations'!$D$13,VLOOKUP($A238,EnrollData2324,'2324 Jun 24 Enroll'!F$1,FALSE),'District Calculations'!$D$13)*Apport_223A2324s,3)</f>
        <v>0.84299999999999997</v>
      </c>
      <c r="O238">
        <f>ROUND(IF(VLOOKUP($A238,EnrollData2324,'2324 Jun 24 Enroll'!G$1,FALSE)='District Calculations'!$D$14,VLOOKUP($A238,EnrollData2324,'2324 Jun 24 Enroll'!G$1,FALSE),'District Calculations'!$D$14)*Apport_211A2324s,3)</f>
        <v>1.87</v>
      </c>
      <c r="P238">
        <f>ROUND(IF(VLOOKUP($A238,EnrollData2324,'2324 Jun 24 Enroll'!H$1,FALSE)='District Calculations'!$D$14,VLOOKUP($A238,EnrollData2324,'2324 Jun 24 Enroll'!H$1,FALSE),'District Calculations'!$D$14)*Apport_214A2324s,3)</f>
        <v>1.8680000000000001</v>
      </c>
      <c r="Q238">
        <f>ROUND(IF(VLOOKUP($A238,EnrollData2324,'2324 Jun 24 Enroll'!I$1,FALSE)+VLOOKUP($A238,EnrollData2324,'2324 Jun 24 Enroll'!M$1,FALSE)-VLOOKUP($A238,EnrollData2324,'2324 Jun 24 Enroll'!J$1,FALSE)='District Calculations'!$D$16+'District Calculations'!$D$25-'District Calculations'!$D$17,VLOOKUP($A238,EnrollData2324,'2324 Jun 24 Enroll'!I$1,FALSE)+VLOOKUP($A238,EnrollData2324,'2324 Jun 24 Enroll'!M$1,FALSE)-VLOOKUP($A238,EnrollData2324,'2324 Jun 24 Enroll'!J$1,FALSE),'District Calculations'!$D$16+'District Calculations'!$D$25-'District Calculations'!$D$17)*Apport_217A2324s,3)</f>
        <v>4.702</v>
      </c>
      <c r="R238">
        <f>ROUND(SUM(L238:Q238)/IF(VLOOKUP($A238,EnrollData2324,'2324 Jun 24 Enroll'!M$1,FALSE)+VLOOKUP($A238,EnrollData2324,'2324 Jun 24 Enroll'!D$1,FALSE)='District Calculations'!$D$25+'District Calculations'!$D$11,VLOOKUP($A238,EnrollData2324,'2324 Jun 24 Enroll'!M$1,FALSE)+VLOOKUP($A238,EnrollData2324,'2324 Jun 24 Enroll'!D$1,FALSE),'District Calculations'!$D$25+'District Calculations'!$D$11),5)</f>
        <v>4.1099999999999999E-3</v>
      </c>
      <c r="S238" s="11">
        <f t="shared" si="23"/>
        <v>1.8689600000000001E-2</v>
      </c>
      <c r="T238">
        <f>ROUND(IF(VLOOKUP($A238,EnrollData2324,'2324 Jun 24 Enroll'!D$1,FALSE)='District Calculations'!$D$11,VLOOKUP($A238,EnrollData2324,'2324 Jun 24 Enroll'!D$1,FALSE),'District Calculations'!$D$11)*S238,3)</f>
        <v>0</v>
      </c>
      <c r="U238">
        <f>ROUND(IF(VLOOKUP($A238,EnrollData2324,'2324 Jun 24 Enroll'!E$1,FALSE)='District Calculations'!$D$12,VLOOKUP($A238,EnrollData2324,'2324 Jun 24 Enroll'!E$1,FALSE),'District Calculations'!$D$12)*S238,3)</f>
        <v>15.148</v>
      </c>
      <c r="V238">
        <f>ROUND(IF(VLOOKUP($A238,EnrollData2324,'2324 Jun 24 Enroll'!F$1,FALSE)='District Calculations'!$D$13,VLOOKUP($A238,EnrollData2324,'2324 Jun 24 Enroll'!F$1,FALSE),'District Calculations'!$D$13)*Apport_224A2324s,3)</f>
        <v>3.7029999999999998</v>
      </c>
      <c r="W238">
        <f>ROUND(IF(VLOOKUP($A238,EnrollData2324,'2324 Jun 24 Enroll'!G$1,FALSE)='District Calculations'!$D$14,VLOOKUP($A238,EnrollData2324,'2324 Jun 24 Enroll'!G$1,FALSE),'District Calculations'!$D$14)*Apport_212A2324s,3)</f>
        <v>8.2089999999999996</v>
      </c>
      <c r="X238">
        <f>ROUND(IF(VLOOKUP($A238,EnrollData2324,'2324 Jun 24 Enroll'!H$1,FALSE)='District Calculations'!$D$14,VLOOKUP($A238,EnrollData2324,'2324 Jun 24 Enroll'!H$1,FALSE),'District Calculations'!$D$14)*Apport_215A2324s,3)</f>
        <v>8.0969999999999995</v>
      </c>
      <c r="Y238">
        <f>ROUND(IF(VLOOKUP($A238,EnrollData2324,'2324 Jun 24 Enroll'!I$1,FALSE)+VLOOKUP($A238,EnrollData2324,'2324 Jun 24 Enroll'!M$1,FALSE)-VLOOKUP($A238,EnrollData2324,'2324 Jun 24 Enroll'!J$1,FALSE)='District Calculations'!$D$16+'District Calculations'!$D$25-'District Calculations'!$D$17,VLOOKUP($A238,EnrollData2324,'2324 Jun 24 Enroll'!I$1,FALSE)+VLOOKUP($A238,EnrollData2324,'2324 Jun 24 Enroll'!M$1,FALSE)-VLOOKUP($A238,EnrollData2324,'2324 Jun 24 Enroll'!J$1,FALSE),'District Calculations'!$D$16+'District Calculations'!$D$25-'District Calculations'!$D$17)*Apport_218A2324s,3)</f>
        <v>20.224</v>
      </c>
      <c r="Z238">
        <f>ROUND(SUM(T238:Y238)/IF(VLOOKUP($A238,EnrollData2324,'2324 Jun 24 Enroll'!M$1,FALSE)+VLOOKUP($A238,EnrollData2324,'2324 Jun 24 Enroll'!D$1,FALSE)='District Calculations'!$D$25+'District Calculations'!$D$11,VLOOKUP($A238,EnrollData2324,'2324 Jun 24 Enroll'!M$1,FALSE)+VLOOKUP($A238,EnrollData2324,'2324 Jun 24 Enroll'!D$1,FALSE),'District Calculations'!$D$25+'District Calculations'!$D$11),5)</f>
        <v>1.7749999999999998E-2</v>
      </c>
      <c r="AA238" s="6" cm="1">
        <f t="array" ref="AA238">ROUND($J238*CIS_Base_Salary2324s*VLOOKUP($A238,EnrollData2324,'2324 Jun 24 Enroll'!S$1,FALSE),2)</f>
        <v>4765.53</v>
      </c>
      <c r="AB238" s="6" cm="1">
        <f t="array" ref="AB238">ROUND($J238*CIS_Inc_Salary2324s*(VLOOKUP($A238,EnrollData2324,'2324 Jun 24 Enroll'!T$1,FALSE)+VLOOKUP($A238,EnrollData2324,'2324 Jun 24 Enroll'!U$1,FALSE)),2)-AA238</f>
        <v>343.85000000000036</v>
      </c>
      <c r="AC238" s="6" cm="1">
        <f t="array" ref="AC238">ROUND($R238*CAS_Base_Salary2324s*VLOOKUP($A238,EnrollData2324,'2324 Jun 24 Enroll'!S$1,FALSE),2)</f>
        <v>523.55999999999995</v>
      </c>
      <c r="AD238" s="6" cm="1">
        <f t="array" ref="AD238">ROUND($R238*CAS_Inc_Salary2324s*VLOOKUP($A238,EnrollData2324,'2324 Jun 24 Enroll'!T$1,FALSE),2)-AC238</f>
        <v>19.380000000000109</v>
      </c>
      <c r="AE238" s="6" cm="1">
        <f t="array" ref="AE238">ROUND($Z238*CLS_Base_Salary2324s*VLOOKUP($A238,EnrollData2324,'2324 Jun 24 Enroll'!S$1,FALSE),2)</f>
        <v>1092.76</v>
      </c>
      <c r="AF238" s="6" cm="1">
        <f t="array" ref="AF238">ROUND($Z238*CLS_Inc_Salary2324s*VLOOKUP($A238,EnrollData2324,'2324 Jun 24 Enroll'!T$1,FALSE),2)-AE238</f>
        <v>40.430000000000064</v>
      </c>
      <c r="AG238" cm="1">
        <f t="array" ref="AG238">ROUND(($J238+$R238)*Apport_124X2324s,2)</f>
        <v>734.29</v>
      </c>
      <c r="AH238" s="69">
        <f t="shared" si="24"/>
        <v>68.700000000000045</v>
      </c>
      <c r="AI238" cm="1">
        <f t="array" ref="AI238">ROUND($Z238*Apport_124X2324s,2)</f>
        <v>218.54</v>
      </c>
      <c r="AJ238" cm="1">
        <f t="array" ref="AJ238">ROUND($Z238*Apport_621X2324s*Apport_125X2324s,2)-AI238</f>
        <v>116.51000000000002</v>
      </c>
      <c r="AK238" cm="1">
        <f t="array" ref="AK238">ROUND((AA238+AC238)*Apport_126X2324s,2)</f>
        <v>950.45</v>
      </c>
      <c r="AL238" cm="1">
        <f t="array" ref="AL238">ROUND((AB238+AD238)*Apport_127X2324s,2)</f>
        <v>62.95</v>
      </c>
      <c r="AM238" cm="1">
        <f t="array" ref="AM238">ROUND(AE238*Apport_128X2324s,2)</f>
        <v>241.06</v>
      </c>
      <c r="AN238" cm="1">
        <f t="array" ref="AN238">ROUND(AF238*Apport_129X2324s,2)</f>
        <v>7.5</v>
      </c>
      <c r="AO238" cm="1">
        <f t="array" ref="AO238">ROUND(($J238*CIS_Inc_Salary2324s*(VLOOKUP($A238,EnrollData2324,'2324 Jun 24 Enroll'!T$1,FALSE)+VLOOKUP($A238,EnrollData2324,'2324 Jun 24 Enroll'!U$1,FALSE))/Apport_613Xpd)*Apport_614Xpd,2)</f>
        <v>85.16</v>
      </c>
      <c r="AP238" cm="1">
        <f t="array" ref="AP238">ROUND(AO238*Apport_127X2324s,2)</f>
        <v>14.76</v>
      </c>
      <c r="AQ238">
        <f t="shared" si="25"/>
        <v>30.93</v>
      </c>
      <c r="AR238" s="6" cm="1">
        <f t="array" ref="AR238">ROUND((VLOOKUP($A238,EnrollData2324,'2324 Jun 24 Enroll'!D$1,FALSE)*Apport_M802324s+VLOOKUP($A238,EnrollData2324,'2324 Jun 24 Enroll'!M$1,FALSE)*Apport_M802324s+(VLOOKUP($A238,EnrollData2324,'2324 Jun 24 Enroll'!P$1,FALSE)+VLOOKUP($A238,EnrollData2324,'2324 Jun 24 Enroll'!Q$1,FALSE)+VLOOKUP($A238,EnrollData2324,'2324 Jun 24 Enroll'!R$1,FALSE)+VLOOKUP($A238,EnrollData2324,'2324 Jun 24 Enroll'!I$1,FALSE)+VLOOKUP($A238,EnrollData2324,'2324 Jun 24 Enroll'!N$1,FALSE)+VLOOKUP($A238,EnrollData2324,'2324 Jun 24 Enroll'!O$1,FALSE)+VLOOKUP($A238,EnrollData2324,'2324 Jun 24 Enroll'!K$1,FALSE)+VLOOKUP($A238,EnrollData2324,'2324 Jun 24 Enroll'!L$1,FALSE))*Apport_M812324s)/(VLOOKUP($A238,EnrollData2324,'2324 Jun 24 Enroll'!M$1,FALSE)+VLOOKUP($A238,EnrollData2324,'2324 Jun 24 Enroll'!D$1,FALSE)),2)</f>
        <v>1576.05</v>
      </c>
      <c r="AS238" s="7">
        <f t="shared" si="26"/>
        <v>10892.410000000002</v>
      </c>
    </row>
    <row r="239" spans="1:45">
      <c r="A239" s="40" t="s">
        <v>550</v>
      </c>
      <c r="B239" s="40" t="s">
        <v>551</v>
      </c>
      <c r="C239" s="11">
        <f>ROUND((IFERROR((1/IF(VLOOKUP($A239,EnrollData2324,28,FALSE)='District Calculations'!$D$10,VLOOKUP($A239,EnrollData2324,28,FALSE),'District Calculations'!$D$10))*(1+Apport_Z315),0))+Apport_201A2324s,6)</f>
        <v>7.3449E-2</v>
      </c>
      <c r="D239">
        <f>ROUND(IF(VLOOKUP($A239,EnrollData2324,'2324 Jun 24 Enroll'!D$1,FALSE)='District Calculations'!$D$11,VLOOKUP($A239,EnrollData2324,'2324 Jun 24 Enroll'!D$1,FALSE),'District Calculations'!$D$11)*C239,3)</f>
        <v>0</v>
      </c>
      <c r="E239">
        <f>ROUND(IF(VLOOKUP($A239,EnrollData2324,'2324 Jun 24 Enroll'!E$1,FALSE)='District Calculations'!$D$12,VLOOKUP($A239,EnrollData2324,'2324 Jun 24 Enroll'!E$1,FALSE),'District Calculations'!$D$12)*C239,3)</f>
        <v>59.53</v>
      </c>
      <c r="F239">
        <f>ROUND(IF(VLOOKUP($A239,EnrollData2324,'2324 Jun 24 Enroll'!F$1,FALSE)='District Calculations'!$D$13,VLOOKUP($A239,EnrollData2324,'2324 Jun 24 Enroll'!F$1,FALSE),'District Calculations'!$D$13)*Apport_222A2324s,3)</f>
        <v>10.101000000000001</v>
      </c>
      <c r="G239">
        <f>ROUND(IF(VLOOKUP($A239,EnrollData2324,'2324 Jun 24 Enroll'!G$1,FALSE)='District Calculations'!$D$14,VLOOKUP($A239,EnrollData2324,'2324 Jun 24 Enroll'!G$1,FALSE),'District Calculations'!$D$14)*Apport_210A2324s,3)</f>
        <v>22.395</v>
      </c>
      <c r="H239">
        <f>ROUND(IF(VLOOKUP($A239,EnrollData2324,'2324 Jun 24 Enroll'!H$1,FALSE)='District Calculations'!$D$15,VLOOKUP($A239,EnrollData2324,'2324 Jun 24 Enroll'!H$1,FALSE),'District Calculations'!$D$15)*Apport_213A2324s,3)</f>
        <v>23.091999999999999</v>
      </c>
      <c r="I239">
        <f>ROUND(IF(VLOOKUP($A239,EnrollData2324,'2324 Jun 24 Enroll'!I$1,FALSE)+VLOOKUP($A239,EnrollData2324,'2324 Jun 24 Enroll'!M$1,FALSE)-VLOOKUP($A239,EnrollData2324,'2324 Jun 24 Enroll'!J$1,FALSE)='District Calculations'!$D$16+'District Calculations'!$D$25-'District Calculations'!$D$17,VLOOKUP($A239,EnrollData2324,'2324 Jun 24 Enroll'!I$1,FALSE)+VLOOKUP($A239,EnrollData2324,'2324 Jun 24 Enroll'!M$1,FALSE)-VLOOKUP($A239,EnrollData2324,'2324 Jun 24 Enroll'!J$1,FALSE),'District Calculations'!$D$16+'District Calculations'!$D$25-'District Calculations'!$D$17)*Apport_216A2324s,3)</f>
        <v>58.183999999999997</v>
      </c>
      <c r="J239">
        <f>ROUND(SUM(D239:I239)/(IF(VLOOKUP($A239,EnrollData2324,'2324 Jun 24 Enroll'!M$1,FALSE)='District Calculations'!$D$25,VLOOKUP($A239,EnrollData2324,'2324 Jun 24 Enroll'!M$1,FALSE),'District Calculations'!$D$25)+IF(VLOOKUP($A239,EnrollData2324,'2324 Jun 24 Enroll'!D$1,FALSE)='District Calculations'!$D$11,VLOOKUP($A239,EnrollData2324,'2324 Jun 24 Enroll'!D$1,FALSE),'District Calculations'!$D$11)),5)</f>
        <v>5.5530000000000003E-2</v>
      </c>
      <c r="K239" s="11">
        <f t="shared" si="22"/>
        <v>4.3699999999999998E-3</v>
      </c>
      <c r="L239">
        <f>ROUND(IF(VLOOKUP($A239,EnrollData2324,'2324 Jun 24 Enroll'!D$1,FALSE)='District Calculations'!$D$11,VLOOKUP($A239,EnrollData2324,'2324 Jun 24 Enroll'!D$1,FALSE),'District Calculations'!$D$11)*K239,3)</f>
        <v>0</v>
      </c>
      <c r="M239">
        <f>ROUND(IF(VLOOKUP($A239,EnrollData2324,'2324 Jun 24 Enroll'!E$1,FALSE)='District Calculations'!$D$12,VLOOKUP($A239,EnrollData2324,'2324 Jun 24 Enroll'!E$1,FALSE),'District Calculations'!$D$12)*K239,3)</f>
        <v>3.5419999999999998</v>
      </c>
      <c r="N239">
        <f>ROUND(IF(VLOOKUP($A239,EnrollData2324,'2324 Jun 24 Enroll'!F$1,FALSE)='District Calculations'!$D$13,VLOOKUP($A239,EnrollData2324,'2324 Jun 24 Enroll'!F$1,FALSE),'District Calculations'!$D$13)*Apport_223A2324s,3)</f>
        <v>0.84299999999999997</v>
      </c>
      <c r="O239">
        <f>ROUND(IF(VLOOKUP($A239,EnrollData2324,'2324 Jun 24 Enroll'!G$1,FALSE)='District Calculations'!$D$14,VLOOKUP($A239,EnrollData2324,'2324 Jun 24 Enroll'!G$1,FALSE),'District Calculations'!$D$14)*Apport_211A2324s,3)</f>
        <v>1.87</v>
      </c>
      <c r="P239">
        <f>ROUND(IF(VLOOKUP($A239,EnrollData2324,'2324 Jun 24 Enroll'!H$1,FALSE)='District Calculations'!$D$14,VLOOKUP($A239,EnrollData2324,'2324 Jun 24 Enroll'!H$1,FALSE),'District Calculations'!$D$14)*Apport_214A2324s,3)</f>
        <v>1.8680000000000001</v>
      </c>
      <c r="Q239">
        <f>ROUND(IF(VLOOKUP($A239,EnrollData2324,'2324 Jun 24 Enroll'!I$1,FALSE)+VLOOKUP($A239,EnrollData2324,'2324 Jun 24 Enroll'!M$1,FALSE)-VLOOKUP($A239,EnrollData2324,'2324 Jun 24 Enroll'!J$1,FALSE)='District Calculations'!$D$16+'District Calculations'!$D$25-'District Calculations'!$D$17,VLOOKUP($A239,EnrollData2324,'2324 Jun 24 Enroll'!I$1,FALSE)+VLOOKUP($A239,EnrollData2324,'2324 Jun 24 Enroll'!M$1,FALSE)-VLOOKUP($A239,EnrollData2324,'2324 Jun 24 Enroll'!J$1,FALSE),'District Calculations'!$D$16+'District Calculations'!$D$25-'District Calculations'!$D$17)*Apport_217A2324s,3)</f>
        <v>4.702</v>
      </c>
      <c r="R239">
        <f>ROUND(SUM(L239:Q239)/IF(VLOOKUP($A239,EnrollData2324,'2324 Jun 24 Enroll'!M$1,FALSE)+VLOOKUP($A239,EnrollData2324,'2324 Jun 24 Enroll'!D$1,FALSE)='District Calculations'!$D$25+'District Calculations'!$D$11,VLOOKUP($A239,EnrollData2324,'2324 Jun 24 Enroll'!M$1,FALSE)+VLOOKUP($A239,EnrollData2324,'2324 Jun 24 Enroll'!D$1,FALSE),'District Calculations'!$D$25+'District Calculations'!$D$11),5)</f>
        <v>4.1099999999999999E-3</v>
      </c>
      <c r="S239" s="11">
        <f t="shared" si="23"/>
        <v>1.8689600000000001E-2</v>
      </c>
      <c r="T239">
        <f>ROUND(IF(VLOOKUP($A239,EnrollData2324,'2324 Jun 24 Enroll'!D$1,FALSE)='District Calculations'!$D$11,VLOOKUP($A239,EnrollData2324,'2324 Jun 24 Enroll'!D$1,FALSE),'District Calculations'!$D$11)*S239,3)</f>
        <v>0</v>
      </c>
      <c r="U239">
        <f>ROUND(IF(VLOOKUP($A239,EnrollData2324,'2324 Jun 24 Enroll'!E$1,FALSE)='District Calculations'!$D$12,VLOOKUP($A239,EnrollData2324,'2324 Jun 24 Enroll'!E$1,FALSE),'District Calculations'!$D$12)*S239,3)</f>
        <v>15.148</v>
      </c>
      <c r="V239">
        <f>ROUND(IF(VLOOKUP($A239,EnrollData2324,'2324 Jun 24 Enroll'!F$1,FALSE)='District Calculations'!$D$13,VLOOKUP($A239,EnrollData2324,'2324 Jun 24 Enroll'!F$1,FALSE),'District Calculations'!$D$13)*Apport_224A2324s,3)</f>
        <v>3.7029999999999998</v>
      </c>
      <c r="W239">
        <f>ROUND(IF(VLOOKUP($A239,EnrollData2324,'2324 Jun 24 Enroll'!G$1,FALSE)='District Calculations'!$D$14,VLOOKUP($A239,EnrollData2324,'2324 Jun 24 Enroll'!G$1,FALSE),'District Calculations'!$D$14)*Apport_212A2324s,3)</f>
        <v>8.2089999999999996</v>
      </c>
      <c r="X239">
        <f>ROUND(IF(VLOOKUP($A239,EnrollData2324,'2324 Jun 24 Enroll'!H$1,FALSE)='District Calculations'!$D$14,VLOOKUP($A239,EnrollData2324,'2324 Jun 24 Enroll'!H$1,FALSE),'District Calculations'!$D$14)*Apport_215A2324s,3)</f>
        <v>8.0969999999999995</v>
      </c>
      <c r="Y239">
        <f>ROUND(IF(VLOOKUP($A239,EnrollData2324,'2324 Jun 24 Enroll'!I$1,FALSE)+VLOOKUP($A239,EnrollData2324,'2324 Jun 24 Enroll'!M$1,FALSE)-VLOOKUP($A239,EnrollData2324,'2324 Jun 24 Enroll'!J$1,FALSE)='District Calculations'!$D$16+'District Calculations'!$D$25-'District Calculations'!$D$17,VLOOKUP($A239,EnrollData2324,'2324 Jun 24 Enroll'!I$1,FALSE)+VLOOKUP($A239,EnrollData2324,'2324 Jun 24 Enroll'!M$1,FALSE)-VLOOKUP($A239,EnrollData2324,'2324 Jun 24 Enroll'!J$1,FALSE),'District Calculations'!$D$16+'District Calculations'!$D$25-'District Calculations'!$D$17)*Apport_218A2324s,3)</f>
        <v>20.224</v>
      </c>
      <c r="Z239">
        <f>ROUND(SUM(T239:Y239)/IF(VLOOKUP($A239,EnrollData2324,'2324 Jun 24 Enroll'!M$1,FALSE)+VLOOKUP($A239,EnrollData2324,'2324 Jun 24 Enroll'!D$1,FALSE)='District Calculations'!$D$25+'District Calculations'!$D$11,VLOOKUP($A239,EnrollData2324,'2324 Jun 24 Enroll'!M$1,FALSE)+VLOOKUP($A239,EnrollData2324,'2324 Jun 24 Enroll'!D$1,FALSE),'District Calculations'!$D$25+'District Calculations'!$D$11),5)</f>
        <v>1.7749999999999998E-2</v>
      </c>
      <c r="AA239" s="6" cm="1">
        <f t="array" ref="AA239">ROUND($J239*CIS_Base_Salary2324s*VLOOKUP($A239,EnrollData2324,'2324 Jun 24 Enroll'!S$1,FALSE),2)</f>
        <v>4583.79</v>
      </c>
      <c r="AB239" s="6" cm="1">
        <f t="array" ref="AB239">ROUND($J239*CIS_Inc_Salary2324s*(VLOOKUP($A239,EnrollData2324,'2324 Jun 24 Enroll'!T$1,FALSE)+VLOOKUP($A239,EnrollData2324,'2324 Jun 24 Enroll'!U$1,FALSE)),2)-AA239</f>
        <v>169.60999999999967</v>
      </c>
      <c r="AC239" s="6" cm="1">
        <f t="array" ref="AC239">ROUND($R239*CAS_Base_Salary2324s*VLOOKUP($A239,EnrollData2324,'2324 Jun 24 Enroll'!S$1,FALSE),2)</f>
        <v>503.59</v>
      </c>
      <c r="AD239" s="6" cm="1">
        <f t="array" ref="AD239">ROUND($R239*CAS_Inc_Salary2324s*VLOOKUP($A239,EnrollData2324,'2324 Jun 24 Enroll'!T$1,FALSE),2)-AC239</f>
        <v>18.640000000000043</v>
      </c>
      <c r="AE239" s="6" cm="1">
        <f t="array" ref="AE239">ROUND($Z239*CLS_Base_Salary2324s*VLOOKUP($A239,EnrollData2324,'2324 Jun 24 Enroll'!S$1,FALSE),2)</f>
        <v>1051.0899999999999</v>
      </c>
      <c r="AF239" s="6" cm="1">
        <f t="array" ref="AF239">ROUND($Z239*CLS_Inc_Salary2324s*VLOOKUP($A239,EnrollData2324,'2324 Jun 24 Enroll'!T$1,FALSE),2)-AE239</f>
        <v>38.880000000000109</v>
      </c>
      <c r="AG239" cm="1">
        <f t="array" ref="AG239">ROUND(($J239+$R239)*Apport_124X2324s,2)</f>
        <v>734.29</v>
      </c>
      <c r="AH239" s="69">
        <f t="shared" si="24"/>
        <v>68.700000000000045</v>
      </c>
      <c r="AI239" cm="1">
        <f t="array" ref="AI239">ROUND($Z239*Apport_124X2324s,2)</f>
        <v>218.54</v>
      </c>
      <c r="AJ239" cm="1">
        <f t="array" ref="AJ239">ROUND($Z239*Apport_621X2324s*Apport_125X2324s,2)-AI239</f>
        <v>116.51000000000002</v>
      </c>
      <c r="AK239" cm="1">
        <f t="array" ref="AK239">ROUND((AA239+AC239)*Apport_126X2324s,2)</f>
        <v>914.2</v>
      </c>
      <c r="AL239" cm="1">
        <f t="array" ref="AL239">ROUND((AB239+AD239)*Apport_127X2324s,2)</f>
        <v>32.619999999999997</v>
      </c>
      <c r="AM239" cm="1">
        <f t="array" ref="AM239">ROUND(AE239*Apport_128X2324s,2)</f>
        <v>231.87</v>
      </c>
      <c r="AN239" cm="1">
        <f t="array" ref="AN239">ROUND(AF239*Apport_129X2324s,2)</f>
        <v>7.22</v>
      </c>
      <c r="AO239" cm="1">
        <f t="array" ref="AO239">ROUND(($J239*CIS_Inc_Salary2324s*(VLOOKUP($A239,EnrollData2324,'2324 Jun 24 Enroll'!T$1,FALSE)+VLOOKUP($A239,EnrollData2324,'2324 Jun 24 Enroll'!U$1,FALSE))/Apport_613Xpd)*Apport_614Xpd,2)</f>
        <v>79.22</v>
      </c>
      <c r="AP239" cm="1">
        <f t="array" ref="AP239">ROUND(AO239*Apport_127X2324s,2)</f>
        <v>13.73</v>
      </c>
      <c r="AQ239">
        <f t="shared" si="25"/>
        <v>30.93</v>
      </c>
      <c r="AR239" s="6" cm="1">
        <f t="array" ref="AR239">ROUND((VLOOKUP($A239,EnrollData2324,'2324 Jun 24 Enroll'!D$1,FALSE)*Apport_M802324s+VLOOKUP($A239,EnrollData2324,'2324 Jun 24 Enroll'!M$1,FALSE)*Apport_M802324s+(VLOOKUP($A239,EnrollData2324,'2324 Jun 24 Enroll'!P$1,FALSE)+VLOOKUP($A239,EnrollData2324,'2324 Jun 24 Enroll'!Q$1,FALSE)+VLOOKUP($A239,EnrollData2324,'2324 Jun 24 Enroll'!R$1,FALSE)+VLOOKUP($A239,EnrollData2324,'2324 Jun 24 Enroll'!I$1,FALSE)+VLOOKUP($A239,EnrollData2324,'2324 Jun 24 Enroll'!N$1,FALSE)+VLOOKUP($A239,EnrollData2324,'2324 Jun 24 Enroll'!O$1,FALSE)+VLOOKUP($A239,EnrollData2324,'2324 Jun 24 Enroll'!K$1,FALSE)+VLOOKUP($A239,EnrollData2324,'2324 Jun 24 Enroll'!L$1,FALSE))*Apport_M812324s)/(VLOOKUP($A239,EnrollData2324,'2324 Jun 24 Enroll'!M$1,FALSE)+VLOOKUP($A239,EnrollData2324,'2324 Jun 24 Enroll'!D$1,FALSE)),2)</f>
        <v>1565.52</v>
      </c>
      <c r="AS239" s="7">
        <f t="shared" si="26"/>
        <v>10378.950000000001</v>
      </c>
    </row>
    <row r="240" spans="1:45">
      <c r="A240" s="40" t="s">
        <v>801</v>
      </c>
      <c r="B240" s="40" t="s">
        <v>802</v>
      </c>
      <c r="C240" s="11">
        <f>ROUND((IFERROR((1/IF(VLOOKUP($A240,EnrollData2324,28,FALSE)='District Calculations'!$D$10,VLOOKUP($A240,EnrollData2324,28,FALSE),'District Calculations'!$D$10))*(1+Apport_Z315),0))+Apport_201A2324s,6)</f>
        <v>7.3449E-2</v>
      </c>
      <c r="D240">
        <f>ROUND(IF(VLOOKUP($A240,EnrollData2324,'2324 Jun 24 Enroll'!D$1,FALSE)='District Calculations'!$D$11,VLOOKUP($A240,EnrollData2324,'2324 Jun 24 Enroll'!D$1,FALSE),'District Calculations'!$D$11)*C240,3)</f>
        <v>0</v>
      </c>
      <c r="E240">
        <f>ROUND(IF(VLOOKUP($A240,EnrollData2324,'2324 Jun 24 Enroll'!E$1,FALSE)='District Calculations'!$D$12,VLOOKUP($A240,EnrollData2324,'2324 Jun 24 Enroll'!E$1,FALSE),'District Calculations'!$D$12)*C240,3)</f>
        <v>59.53</v>
      </c>
      <c r="F240">
        <f>ROUND(IF(VLOOKUP($A240,EnrollData2324,'2324 Jun 24 Enroll'!F$1,FALSE)='District Calculations'!$D$13,VLOOKUP($A240,EnrollData2324,'2324 Jun 24 Enroll'!F$1,FALSE),'District Calculations'!$D$13)*Apport_222A2324s,3)</f>
        <v>10.101000000000001</v>
      </c>
      <c r="G240">
        <f>ROUND(IF(VLOOKUP($A240,EnrollData2324,'2324 Jun 24 Enroll'!G$1,FALSE)='District Calculations'!$D$14,VLOOKUP($A240,EnrollData2324,'2324 Jun 24 Enroll'!G$1,FALSE),'District Calculations'!$D$14)*Apport_210A2324s,3)</f>
        <v>22.395</v>
      </c>
      <c r="H240">
        <f>ROUND(IF(VLOOKUP($A240,EnrollData2324,'2324 Jun 24 Enroll'!H$1,FALSE)='District Calculations'!$D$15,VLOOKUP($A240,EnrollData2324,'2324 Jun 24 Enroll'!H$1,FALSE),'District Calculations'!$D$15)*Apport_213A2324s,3)</f>
        <v>23.091999999999999</v>
      </c>
      <c r="I240">
        <f>ROUND(IF(VLOOKUP($A240,EnrollData2324,'2324 Jun 24 Enroll'!I$1,FALSE)+VLOOKUP($A240,EnrollData2324,'2324 Jun 24 Enroll'!M$1,FALSE)-VLOOKUP($A240,EnrollData2324,'2324 Jun 24 Enroll'!J$1,FALSE)='District Calculations'!$D$16+'District Calculations'!$D$25-'District Calculations'!$D$17,VLOOKUP($A240,EnrollData2324,'2324 Jun 24 Enroll'!I$1,FALSE)+VLOOKUP($A240,EnrollData2324,'2324 Jun 24 Enroll'!M$1,FALSE)-VLOOKUP($A240,EnrollData2324,'2324 Jun 24 Enroll'!J$1,FALSE),'District Calculations'!$D$16+'District Calculations'!$D$25-'District Calculations'!$D$17)*Apport_216A2324s,3)</f>
        <v>58.183999999999997</v>
      </c>
      <c r="J240">
        <f>ROUND(SUM(D240:I240)/(IF(VLOOKUP($A240,EnrollData2324,'2324 Jun 24 Enroll'!M$1,FALSE)='District Calculations'!$D$25,VLOOKUP($A240,EnrollData2324,'2324 Jun 24 Enroll'!M$1,FALSE),'District Calculations'!$D$25)+IF(VLOOKUP($A240,EnrollData2324,'2324 Jun 24 Enroll'!D$1,FALSE)='District Calculations'!$D$11,VLOOKUP($A240,EnrollData2324,'2324 Jun 24 Enroll'!D$1,FALSE),'District Calculations'!$D$11)),5)</f>
        <v>5.5530000000000003E-2</v>
      </c>
      <c r="K240" s="11">
        <f t="shared" si="22"/>
        <v>4.3699999999999998E-3</v>
      </c>
      <c r="L240">
        <f>ROUND(IF(VLOOKUP($A240,EnrollData2324,'2324 Jun 24 Enroll'!D$1,FALSE)='District Calculations'!$D$11,VLOOKUP($A240,EnrollData2324,'2324 Jun 24 Enroll'!D$1,FALSE),'District Calculations'!$D$11)*K240,3)</f>
        <v>0</v>
      </c>
      <c r="M240">
        <f>ROUND(IF(VLOOKUP($A240,EnrollData2324,'2324 Jun 24 Enroll'!E$1,FALSE)='District Calculations'!$D$12,VLOOKUP($A240,EnrollData2324,'2324 Jun 24 Enroll'!E$1,FALSE),'District Calculations'!$D$12)*K240,3)</f>
        <v>3.5419999999999998</v>
      </c>
      <c r="N240">
        <f>ROUND(IF(VLOOKUP($A240,EnrollData2324,'2324 Jun 24 Enroll'!F$1,FALSE)='District Calculations'!$D$13,VLOOKUP($A240,EnrollData2324,'2324 Jun 24 Enroll'!F$1,FALSE),'District Calculations'!$D$13)*Apport_223A2324s,3)</f>
        <v>0.84299999999999997</v>
      </c>
      <c r="O240">
        <f>ROUND(IF(VLOOKUP($A240,EnrollData2324,'2324 Jun 24 Enroll'!G$1,FALSE)='District Calculations'!$D$14,VLOOKUP($A240,EnrollData2324,'2324 Jun 24 Enroll'!G$1,FALSE),'District Calculations'!$D$14)*Apport_211A2324s,3)</f>
        <v>1.87</v>
      </c>
      <c r="P240">
        <f>ROUND(IF(VLOOKUP($A240,EnrollData2324,'2324 Jun 24 Enroll'!H$1,FALSE)='District Calculations'!$D$14,VLOOKUP($A240,EnrollData2324,'2324 Jun 24 Enroll'!H$1,FALSE),'District Calculations'!$D$14)*Apport_214A2324s,3)</f>
        <v>1.8680000000000001</v>
      </c>
      <c r="Q240">
        <f>ROUND(IF(VLOOKUP($A240,EnrollData2324,'2324 Jun 24 Enroll'!I$1,FALSE)+VLOOKUP($A240,EnrollData2324,'2324 Jun 24 Enroll'!M$1,FALSE)-VLOOKUP($A240,EnrollData2324,'2324 Jun 24 Enroll'!J$1,FALSE)='District Calculations'!$D$16+'District Calculations'!$D$25-'District Calculations'!$D$17,VLOOKUP($A240,EnrollData2324,'2324 Jun 24 Enroll'!I$1,FALSE)+VLOOKUP($A240,EnrollData2324,'2324 Jun 24 Enroll'!M$1,FALSE)-VLOOKUP($A240,EnrollData2324,'2324 Jun 24 Enroll'!J$1,FALSE),'District Calculations'!$D$16+'District Calculations'!$D$25-'District Calculations'!$D$17)*Apport_217A2324s,3)</f>
        <v>4.702</v>
      </c>
      <c r="R240">
        <f>ROUND(SUM(L240:Q240)/IF(VLOOKUP($A240,EnrollData2324,'2324 Jun 24 Enroll'!M$1,FALSE)+VLOOKUP($A240,EnrollData2324,'2324 Jun 24 Enroll'!D$1,FALSE)='District Calculations'!$D$25+'District Calculations'!$D$11,VLOOKUP($A240,EnrollData2324,'2324 Jun 24 Enroll'!M$1,FALSE)+VLOOKUP($A240,EnrollData2324,'2324 Jun 24 Enroll'!D$1,FALSE),'District Calculations'!$D$25+'District Calculations'!$D$11),5)</f>
        <v>4.1099999999999999E-3</v>
      </c>
      <c r="S240" s="11">
        <f t="shared" si="23"/>
        <v>1.8689600000000001E-2</v>
      </c>
      <c r="T240">
        <f>ROUND(IF(VLOOKUP($A240,EnrollData2324,'2324 Jun 24 Enroll'!D$1,FALSE)='District Calculations'!$D$11,VLOOKUP($A240,EnrollData2324,'2324 Jun 24 Enroll'!D$1,FALSE),'District Calculations'!$D$11)*S240,3)</f>
        <v>0</v>
      </c>
      <c r="U240">
        <f>ROUND(IF(VLOOKUP($A240,EnrollData2324,'2324 Jun 24 Enroll'!E$1,FALSE)='District Calculations'!$D$12,VLOOKUP($A240,EnrollData2324,'2324 Jun 24 Enroll'!E$1,FALSE),'District Calculations'!$D$12)*S240,3)</f>
        <v>15.148</v>
      </c>
      <c r="V240">
        <f>ROUND(IF(VLOOKUP($A240,EnrollData2324,'2324 Jun 24 Enroll'!F$1,FALSE)='District Calculations'!$D$13,VLOOKUP($A240,EnrollData2324,'2324 Jun 24 Enroll'!F$1,FALSE),'District Calculations'!$D$13)*Apport_224A2324s,3)</f>
        <v>3.7029999999999998</v>
      </c>
      <c r="W240">
        <f>ROUND(IF(VLOOKUP($A240,EnrollData2324,'2324 Jun 24 Enroll'!G$1,FALSE)='District Calculations'!$D$14,VLOOKUP($A240,EnrollData2324,'2324 Jun 24 Enroll'!G$1,FALSE),'District Calculations'!$D$14)*Apport_212A2324s,3)</f>
        <v>8.2089999999999996</v>
      </c>
      <c r="X240">
        <f>ROUND(IF(VLOOKUP($A240,EnrollData2324,'2324 Jun 24 Enroll'!H$1,FALSE)='District Calculations'!$D$14,VLOOKUP($A240,EnrollData2324,'2324 Jun 24 Enroll'!H$1,FALSE),'District Calculations'!$D$14)*Apport_215A2324s,3)</f>
        <v>8.0969999999999995</v>
      </c>
      <c r="Y240">
        <f>ROUND(IF(VLOOKUP($A240,EnrollData2324,'2324 Jun 24 Enroll'!I$1,FALSE)+VLOOKUP($A240,EnrollData2324,'2324 Jun 24 Enroll'!M$1,FALSE)-VLOOKUP($A240,EnrollData2324,'2324 Jun 24 Enroll'!J$1,FALSE)='District Calculations'!$D$16+'District Calculations'!$D$25-'District Calculations'!$D$17,VLOOKUP($A240,EnrollData2324,'2324 Jun 24 Enroll'!I$1,FALSE)+VLOOKUP($A240,EnrollData2324,'2324 Jun 24 Enroll'!M$1,FALSE)-VLOOKUP($A240,EnrollData2324,'2324 Jun 24 Enroll'!J$1,FALSE),'District Calculations'!$D$16+'District Calculations'!$D$25-'District Calculations'!$D$17)*Apport_218A2324s,3)</f>
        <v>20.224</v>
      </c>
      <c r="Z240">
        <f>ROUND(SUM(T240:Y240)/IF(VLOOKUP($A240,EnrollData2324,'2324 Jun 24 Enroll'!M$1,FALSE)+VLOOKUP($A240,EnrollData2324,'2324 Jun 24 Enroll'!D$1,FALSE)='District Calculations'!$D$25+'District Calculations'!$D$11,VLOOKUP($A240,EnrollData2324,'2324 Jun 24 Enroll'!M$1,FALSE)+VLOOKUP($A240,EnrollData2324,'2324 Jun 24 Enroll'!D$1,FALSE),'District Calculations'!$D$25+'District Calculations'!$D$11),5)</f>
        <v>1.7749999999999998E-2</v>
      </c>
      <c r="AA240" s="6" cm="1">
        <f t="array" ref="AA240">ROUND($J240*CIS_Base_Salary2324s*VLOOKUP($A240,EnrollData2324,'2324 Jun 24 Enroll'!S$1,FALSE),2)</f>
        <v>4765.53</v>
      </c>
      <c r="AB240" s="6" cm="1">
        <f t="array" ref="AB240">ROUND($J240*CIS_Inc_Salary2324s*(VLOOKUP($A240,EnrollData2324,'2324 Jun 24 Enroll'!T$1,FALSE)+VLOOKUP($A240,EnrollData2324,'2324 Jun 24 Enroll'!U$1,FALSE)),2)-AA240</f>
        <v>176.32999999999993</v>
      </c>
      <c r="AC240" s="6" cm="1">
        <f t="array" ref="AC240">ROUND($R240*CAS_Base_Salary2324s*VLOOKUP($A240,EnrollData2324,'2324 Jun 24 Enroll'!S$1,FALSE),2)</f>
        <v>523.55999999999995</v>
      </c>
      <c r="AD240" s="6" cm="1">
        <f t="array" ref="AD240">ROUND($R240*CAS_Inc_Salary2324s*VLOOKUP($A240,EnrollData2324,'2324 Jun 24 Enroll'!T$1,FALSE),2)-AC240</f>
        <v>19.380000000000109</v>
      </c>
      <c r="AE240" s="6" cm="1">
        <f t="array" ref="AE240">ROUND($Z240*CLS_Base_Salary2324s*VLOOKUP($A240,EnrollData2324,'2324 Jun 24 Enroll'!S$1,FALSE),2)</f>
        <v>1092.76</v>
      </c>
      <c r="AF240" s="6" cm="1">
        <f t="array" ref="AF240">ROUND($Z240*CLS_Inc_Salary2324s*VLOOKUP($A240,EnrollData2324,'2324 Jun 24 Enroll'!T$1,FALSE),2)-AE240</f>
        <v>40.430000000000064</v>
      </c>
      <c r="AG240" cm="1">
        <f t="array" ref="AG240">ROUND(($J240+$R240)*Apport_124X2324s,2)</f>
        <v>734.29</v>
      </c>
      <c r="AH240" s="69">
        <f t="shared" si="24"/>
        <v>68.700000000000045</v>
      </c>
      <c r="AI240" cm="1">
        <f t="array" ref="AI240">ROUND($Z240*Apport_124X2324s,2)</f>
        <v>218.54</v>
      </c>
      <c r="AJ240" cm="1">
        <f t="array" ref="AJ240">ROUND($Z240*Apport_621X2324s*Apport_125X2324s,2)-AI240</f>
        <v>116.51000000000002</v>
      </c>
      <c r="AK240" cm="1">
        <f t="array" ref="AK240">ROUND((AA240+AC240)*Apport_126X2324s,2)</f>
        <v>950.45</v>
      </c>
      <c r="AL240" cm="1">
        <f t="array" ref="AL240">ROUND((AB240+AD240)*Apport_127X2324s,2)</f>
        <v>33.92</v>
      </c>
      <c r="AM240" cm="1">
        <f t="array" ref="AM240">ROUND(AE240*Apport_128X2324s,2)</f>
        <v>241.06</v>
      </c>
      <c r="AN240" cm="1">
        <f t="array" ref="AN240">ROUND(AF240*Apport_129X2324s,2)</f>
        <v>7.5</v>
      </c>
      <c r="AO240" cm="1">
        <f t="array" ref="AO240">ROUND(($J240*CIS_Inc_Salary2324s*(VLOOKUP($A240,EnrollData2324,'2324 Jun 24 Enroll'!T$1,FALSE)+VLOOKUP($A240,EnrollData2324,'2324 Jun 24 Enroll'!U$1,FALSE))/Apport_613Xpd)*Apport_614Xpd,2)</f>
        <v>82.36</v>
      </c>
      <c r="AP240" cm="1">
        <f t="array" ref="AP240">ROUND(AO240*Apport_127X2324s,2)</f>
        <v>14.27</v>
      </c>
      <c r="AQ240">
        <f t="shared" si="25"/>
        <v>30.93</v>
      </c>
      <c r="AR240" s="6" cm="1">
        <f t="array" ref="AR240">ROUND((VLOOKUP($A240,EnrollData2324,'2324 Jun 24 Enroll'!D$1,FALSE)*Apport_M802324s+VLOOKUP($A240,EnrollData2324,'2324 Jun 24 Enroll'!M$1,FALSE)*Apport_M802324s+(VLOOKUP($A240,EnrollData2324,'2324 Jun 24 Enroll'!P$1,FALSE)+VLOOKUP($A240,EnrollData2324,'2324 Jun 24 Enroll'!Q$1,FALSE)+VLOOKUP($A240,EnrollData2324,'2324 Jun 24 Enroll'!R$1,FALSE)+VLOOKUP($A240,EnrollData2324,'2324 Jun 24 Enroll'!I$1,FALSE)+VLOOKUP($A240,EnrollData2324,'2324 Jun 24 Enroll'!N$1,FALSE)+VLOOKUP($A240,EnrollData2324,'2324 Jun 24 Enroll'!O$1,FALSE)+VLOOKUP($A240,EnrollData2324,'2324 Jun 24 Enroll'!K$1,FALSE)+VLOOKUP($A240,EnrollData2324,'2324 Jun 24 Enroll'!L$1,FALSE))*Apport_M812324s)/(VLOOKUP($A240,EnrollData2324,'2324 Jun 24 Enroll'!M$1,FALSE)+VLOOKUP($A240,EnrollData2324,'2324 Jun 24 Enroll'!D$1,FALSE)),2)</f>
        <v>1567.51</v>
      </c>
      <c r="AS240" s="7">
        <f t="shared" si="26"/>
        <v>10684.030000000002</v>
      </c>
    </row>
    <row r="241" spans="1:45">
      <c r="A241" s="40" t="s">
        <v>422</v>
      </c>
      <c r="B241" s="40" t="s">
        <v>423</v>
      </c>
      <c r="C241" s="11">
        <f>ROUND((IFERROR((1/IF(VLOOKUP($A241,EnrollData2324,28,FALSE)='District Calculations'!$D$10,VLOOKUP($A241,EnrollData2324,28,FALSE),'District Calculations'!$D$10))*(1+Apport_Z315),0))+Apport_201A2324s,6)</f>
        <v>7.3449E-2</v>
      </c>
      <c r="D241">
        <f>ROUND(IF(VLOOKUP($A241,EnrollData2324,'2324 Jun 24 Enroll'!D$1,FALSE)='District Calculations'!$D$11,VLOOKUP($A241,EnrollData2324,'2324 Jun 24 Enroll'!D$1,FALSE),'District Calculations'!$D$11)*C241,3)</f>
        <v>0</v>
      </c>
      <c r="E241">
        <f>ROUND(IF(VLOOKUP($A241,EnrollData2324,'2324 Jun 24 Enroll'!E$1,FALSE)='District Calculations'!$D$12,VLOOKUP($A241,EnrollData2324,'2324 Jun 24 Enroll'!E$1,FALSE),'District Calculations'!$D$12)*C241,3)</f>
        <v>59.53</v>
      </c>
      <c r="F241">
        <f>ROUND(IF(VLOOKUP($A241,EnrollData2324,'2324 Jun 24 Enroll'!F$1,FALSE)='District Calculations'!$D$13,VLOOKUP($A241,EnrollData2324,'2324 Jun 24 Enroll'!F$1,FALSE),'District Calculations'!$D$13)*Apport_222A2324s,3)</f>
        <v>10.101000000000001</v>
      </c>
      <c r="G241">
        <f>ROUND(IF(VLOOKUP($A241,EnrollData2324,'2324 Jun 24 Enroll'!G$1,FALSE)='District Calculations'!$D$14,VLOOKUP($A241,EnrollData2324,'2324 Jun 24 Enroll'!G$1,FALSE),'District Calculations'!$D$14)*Apport_210A2324s,3)</f>
        <v>22.395</v>
      </c>
      <c r="H241">
        <f>ROUND(IF(VLOOKUP($A241,EnrollData2324,'2324 Jun 24 Enroll'!H$1,FALSE)='District Calculations'!$D$15,VLOOKUP($A241,EnrollData2324,'2324 Jun 24 Enroll'!H$1,FALSE),'District Calculations'!$D$15)*Apport_213A2324s,3)</f>
        <v>23.091999999999999</v>
      </c>
      <c r="I241">
        <f>ROUND(IF(VLOOKUP($A241,EnrollData2324,'2324 Jun 24 Enroll'!I$1,FALSE)+VLOOKUP($A241,EnrollData2324,'2324 Jun 24 Enroll'!M$1,FALSE)-VLOOKUP($A241,EnrollData2324,'2324 Jun 24 Enroll'!J$1,FALSE)='District Calculations'!$D$16+'District Calculations'!$D$25-'District Calculations'!$D$17,VLOOKUP($A241,EnrollData2324,'2324 Jun 24 Enroll'!I$1,FALSE)+VLOOKUP($A241,EnrollData2324,'2324 Jun 24 Enroll'!M$1,FALSE)-VLOOKUP($A241,EnrollData2324,'2324 Jun 24 Enroll'!J$1,FALSE),'District Calculations'!$D$16+'District Calculations'!$D$25-'District Calculations'!$D$17)*Apport_216A2324s,3)</f>
        <v>58.183999999999997</v>
      </c>
      <c r="J241">
        <f>ROUND(SUM(D241:I241)/(IF(VLOOKUP($A241,EnrollData2324,'2324 Jun 24 Enroll'!M$1,FALSE)='District Calculations'!$D$25,VLOOKUP($A241,EnrollData2324,'2324 Jun 24 Enroll'!M$1,FALSE),'District Calculations'!$D$25)+IF(VLOOKUP($A241,EnrollData2324,'2324 Jun 24 Enroll'!D$1,FALSE)='District Calculations'!$D$11,VLOOKUP($A241,EnrollData2324,'2324 Jun 24 Enroll'!D$1,FALSE),'District Calculations'!$D$11)),5)</f>
        <v>5.5530000000000003E-2</v>
      </c>
      <c r="K241" s="11">
        <f t="shared" si="22"/>
        <v>4.3699999999999998E-3</v>
      </c>
      <c r="L241">
        <f>ROUND(IF(VLOOKUP($A241,EnrollData2324,'2324 Jun 24 Enroll'!D$1,FALSE)='District Calculations'!$D$11,VLOOKUP($A241,EnrollData2324,'2324 Jun 24 Enroll'!D$1,FALSE),'District Calculations'!$D$11)*K241,3)</f>
        <v>0</v>
      </c>
      <c r="M241">
        <f>ROUND(IF(VLOOKUP($A241,EnrollData2324,'2324 Jun 24 Enroll'!E$1,FALSE)='District Calculations'!$D$12,VLOOKUP($A241,EnrollData2324,'2324 Jun 24 Enroll'!E$1,FALSE),'District Calculations'!$D$12)*K241,3)</f>
        <v>3.5419999999999998</v>
      </c>
      <c r="N241">
        <f>ROUND(IF(VLOOKUP($A241,EnrollData2324,'2324 Jun 24 Enroll'!F$1,FALSE)='District Calculations'!$D$13,VLOOKUP($A241,EnrollData2324,'2324 Jun 24 Enroll'!F$1,FALSE),'District Calculations'!$D$13)*Apport_223A2324s,3)</f>
        <v>0.84299999999999997</v>
      </c>
      <c r="O241">
        <f>ROUND(IF(VLOOKUP($A241,EnrollData2324,'2324 Jun 24 Enroll'!G$1,FALSE)='District Calculations'!$D$14,VLOOKUP($A241,EnrollData2324,'2324 Jun 24 Enroll'!G$1,FALSE),'District Calculations'!$D$14)*Apport_211A2324s,3)</f>
        <v>1.87</v>
      </c>
      <c r="P241">
        <f>ROUND(IF(VLOOKUP($A241,EnrollData2324,'2324 Jun 24 Enroll'!H$1,FALSE)='District Calculations'!$D$14,VLOOKUP($A241,EnrollData2324,'2324 Jun 24 Enroll'!H$1,FALSE),'District Calculations'!$D$14)*Apport_214A2324s,3)</f>
        <v>1.8680000000000001</v>
      </c>
      <c r="Q241">
        <f>ROUND(IF(VLOOKUP($A241,EnrollData2324,'2324 Jun 24 Enroll'!I$1,FALSE)+VLOOKUP($A241,EnrollData2324,'2324 Jun 24 Enroll'!M$1,FALSE)-VLOOKUP($A241,EnrollData2324,'2324 Jun 24 Enroll'!J$1,FALSE)='District Calculations'!$D$16+'District Calculations'!$D$25-'District Calculations'!$D$17,VLOOKUP($A241,EnrollData2324,'2324 Jun 24 Enroll'!I$1,FALSE)+VLOOKUP($A241,EnrollData2324,'2324 Jun 24 Enroll'!M$1,FALSE)-VLOOKUP($A241,EnrollData2324,'2324 Jun 24 Enroll'!J$1,FALSE),'District Calculations'!$D$16+'District Calculations'!$D$25-'District Calculations'!$D$17)*Apport_217A2324s,3)</f>
        <v>4.702</v>
      </c>
      <c r="R241">
        <f>ROUND(SUM(L241:Q241)/IF(VLOOKUP($A241,EnrollData2324,'2324 Jun 24 Enroll'!M$1,FALSE)+VLOOKUP($A241,EnrollData2324,'2324 Jun 24 Enroll'!D$1,FALSE)='District Calculations'!$D$25+'District Calculations'!$D$11,VLOOKUP($A241,EnrollData2324,'2324 Jun 24 Enroll'!M$1,FALSE)+VLOOKUP($A241,EnrollData2324,'2324 Jun 24 Enroll'!D$1,FALSE),'District Calculations'!$D$25+'District Calculations'!$D$11),5)</f>
        <v>4.1099999999999999E-3</v>
      </c>
      <c r="S241" s="11">
        <f t="shared" si="23"/>
        <v>1.8689600000000001E-2</v>
      </c>
      <c r="T241">
        <f>ROUND(IF(VLOOKUP($A241,EnrollData2324,'2324 Jun 24 Enroll'!D$1,FALSE)='District Calculations'!$D$11,VLOOKUP($A241,EnrollData2324,'2324 Jun 24 Enroll'!D$1,FALSE),'District Calculations'!$D$11)*S241,3)</f>
        <v>0</v>
      </c>
      <c r="U241">
        <f>ROUND(IF(VLOOKUP($A241,EnrollData2324,'2324 Jun 24 Enroll'!E$1,FALSE)='District Calculations'!$D$12,VLOOKUP($A241,EnrollData2324,'2324 Jun 24 Enroll'!E$1,FALSE),'District Calculations'!$D$12)*S241,3)</f>
        <v>15.148</v>
      </c>
      <c r="V241">
        <f>ROUND(IF(VLOOKUP($A241,EnrollData2324,'2324 Jun 24 Enroll'!F$1,FALSE)='District Calculations'!$D$13,VLOOKUP($A241,EnrollData2324,'2324 Jun 24 Enroll'!F$1,FALSE),'District Calculations'!$D$13)*Apport_224A2324s,3)</f>
        <v>3.7029999999999998</v>
      </c>
      <c r="W241">
        <f>ROUND(IF(VLOOKUP($A241,EnrollData2324,'2324 Jun 24 Enroll'!G$1,FALSE)='District Calculations'!$D$14,VLOOKUP($A241,EnrollData2324,'2324 Jun 24 Enroll'!G$1,FALSE),'District Calculations'!$D$14)*Apport_212A2324s,3)</f>
        <v>8.2089999999999996</v>
      </c>
      <c r="X241">
        <f>ROUND(IF(VLOOKUP($A241,EnrollData2324,'2324 Jun 24 Enroll'!H$1,FALSE)='District Calculations'!$D$14,VLOOKUP($A241,EnrollData2324,'2324 Jun 24 Enroll'!H$1,FALSE),'District Calculations'!$D$14)*Apport_215A2324s,3)</f>
        <v>8.0969999999999995</v>
      </c>
      <c r="Y241">
        <f>ROUND(IF(VLOOKUP($A241,EnrollData2324,'2324 Jun 24 Enroll'!I$1,FALSE)+VLOOKUP($A241,EnrollData2324,'2324 Jun 24 Enroll'!M$1,FALSE)-VLOOKUP($A241,EnrollData2324,'2324 Jun 24 Enroll'!J$1,FALSE)='District Calculations'!$D$16+'District Calculations'!$D$25-'District Calculations'!$D$17,VLOOKUP($A241,EnrollData2324,'2324 Jun 24 Enroll'!I$1,FALSE)+VLOOKUP($A241,EnrollData2324,'2324 Jun 24 Enroll'!M$1,FALSE)-VLOOKUP($A241,EnrollData2324,'2324 Jun 24 Enroll'!J$1,FALSE),'District Calculations'!$D$16+'District Calculations'!$D$25-'District Calculations'!$D$17)*Apport_218A2324s,3)</f>
        <v>20.224</v>
      </c>
      <c r="Z241">
        <f>ROUND(SUM(T241:Y241)/IF(VLOOKUP($A241,EnrollData2324,'2324 Jun 24 Enroll'!M$1,FALSE)+VLOOKUP($A241,EnrollData2324,'2324 Jun 24 Enroll'!D$1,FALSE)='District Calculations'!$D$25+'District Calculations'!$D$11,VLOOKUP($A241,EnrollData2324,'2324 Jun 24 Enroll'!M$1,FALSE)+VLOOKUP($A241,EnrollData2324,'2324 Jun 24 Enroll'!D$1,FALSE),'District Calculations'!$D$25+'District Calculations'!$D$11),5)</f>
        <v>1.7749999999999998E-2</v>
      </c>
      <c r="AA241" s="6" cm="1">
        <f t="array" ref="AA241">ROUND($J241*CIS_Base_Salary2324s*VLOOKUP($A241,EnrollData2324,'2324 Jun 24 Enroll'!S$1,FALSE),2)</f>
        <v>4523.22</v>
      </c>
      <c r="AB241" s="6" cm="1">
        <f t="array" ref="AB241">ROUND($J241*CIS_Inc_Salary2324s*(VLOOKUP($A241,EnrollData2324,'2324 Jun 24 Enroll'!T$1,FALSE)+VLOOKUP($A241,EnrollData2324,'2324 Jun 24 Enroll'!U$1,FALSE)),2)-AA241</f>
        <v>167.35999999999967</v>
      </c>
      <c r="AC241" s="6" cm="1">
        <f t="array" ref="AC241">ROUND($R241*CAS_Base_Salary2324s*VLOOKUP($A241,EnrollData2324,'2324 Jun 24 Enroll'!S$1,FALSE),2)</f>
        <v>496.94</v>
      </c>
      <c r="AD241" s="6" cm="1">
        <f t="array" ref="AD241">ROUND($R241*CAS_Inc_Salary2324s*VLOOKUP($A241,EnrollData2324,'2324 Jun 24 Enroll'!T$1,FALSE),2)-AC241</f>
        <v>18.390000000000043</v>
      </c>
      <c r="AE241" s="6" cm="1">
        <f t="array" ref="AE241">ROUND($Z241*CLS_Base_Salary2324s*VLOOKUP($A241,EnrollData2324,'2324 Jun 24 Enroll'!S$1,FALSE),2)</f>
        <v>1037.2</v>
      </c>
      <c r="AF241" s="6" cm="1">
        <f t="array" ref="AF241">ROUND($Z241*CLS_Inc_Salary2324s*VLOOKUP($A241,EnrollData2324,'2324 Jun 24 Enroll'!T$1,FALSE),2)-AE241</f>
        <v>38.369999999999891</v>
      </c>
      <c r="AG241" cm="1">
        <f t="array" ref="AG241">ROUND(($J241+$R241)*Apport_124X2324s,2)</f>
        <v>734.29</v>
      </c>
      <c r="AH241" s="69">
        <f t="shared" si="24"/>
        <v>68.700000000000045</v>
      </c>
      <c r="AI241" cm="1">
        <f t="array" ref="AI241">ROUND($Z241*Apport_124X2324s,2)</f>
        <v>218.54</v>
      </c>
      <c r="AJ241" cm="1">
        <f t="array" ref="AJ241">ROUND($Z241*Apport_621X2324s*Apport_125X2324s,2)-AI241</f>
        <v>116.51000000000002</v>
      </c>
      <c r="AK241" cm="1">
        <f t="array" ref="AK241">ROUND((AA241+AC241)*Apport_126X2324s,2)</f>
        <v>902.12</v>
      </c>
      <c r="AL241" cm="1">
        <f t="array" ref="AL241">ROUND((AB241+AD241)*Apport_127X2324s,2)</f>
        <v>32.19</v>
      </c>
      <c r="AM241" cm="1">
        <f t="array" ref="AM241">ROUND(AE241*Apport_128X2324s,2)</f>
        <v>228.81</v>
      </c>
      <c r="AN241" cm="1">
        <f t="array" ref="AN241">ROUND(AF241*Apport_129X2324s,2)</f>
        <v>7.12</v>
      </c>
      <c r="AO241" cm="1">
        <f t="array" ref="AO241">ROUND(($J241*CIS_Inc_Salary2324s*(VLOOKUP($A241,EnrollData2324,'2324 Jun 24 Enroll'!T$1,FALSE)+VLOOKUP($A241,EnrollData2324,'2324 Jun 24 Enroll'!U$1,FALSE))/Apport_613Xpd)*Apport_614Xpd,2)</f>
        <v>78.180000000000007</v>
      </c>
      <c r="AP241" cm="1">
        <f t="array" ref="AP241">ROUND(AO241*Apport_127X2324s,2)</f>
        <v>13.55</v>
      </c>
      <c r="AQ241">
        <f t="shared" si="25"/>
        <v>30.93</v>
      </c>
      <c r="AR241" s="6" cm="1">
        <f t="array" ref="AR241">ROUND((VLOOKUP($A241,EnrollData2324,'2324 Jun 24 Enroll'!D$1,FALSE)*Apport_M802324s+VLOOKUP($A241,EnrollData2324,'2324 Jun 24 Enroll'!M$1,FALSE)*Apport_M802324s+(VLOOKUP($A241,EnrollData2324,'2324 Jun 24 Enroll'!P$1,FALSE)+VLOOKUP($A241,EnrollData2324,'2324 Jun 24 Enroll'!Q$1,FALSE)+VLOOKUP($A241,EnrollData2324,'2324 Jun 24 Enroll'!R$1,FALSE)+VLOOKUP($A241,EnrollData2324,'2324 Jun 24 Enroll'!I$1,FALSE)+VLOOKUP($A241,EnrollData2324,'2324 Jun 24 Enroll'!N$1,FALSE)+VLOOKUP($A241,EnrollData2324,'2324 Jun 24 Enroll'!O$1,FALSE)+VLOOKUP($A241,EnrollData2324,'2324 Jun 24 Enroll'!K$1,FALSE)+VLOOKUP($A241,EnrollData2324,'2324 Jun 24 Enroll'!L$1,FALSE))*Apport_M812324s)/(VLOOKUP($A241,EnrollData2324,'2324 Jun 24 Enroll'!M$1,FALSE)+VLOOKUP($A241,EnrollData2324,'2324 Jun 24 Enroll'!D$1,FALSE)),2)</f>
        <v>1551.2</v>
      </c>
      <c r="AS241" s="7">
        <f t="shared" si="26"/>
        <v>10263.620000000001</v>
      </c>
    </row>
    <row r="242" spans="1:45">
      <c r="A242" s="40" t="s">
        <v>488</v>
      </c>
      <c r="B242" s="40" t="s">
        <v>489</v>
      </c>
      <c r="C242" s="11">
        <f>ROUND((IFERROR((1/IF(VLOOKUP($A242,EnrollData2324,28,FALSE)='District Calculations'!$D$10,VLOOKUP($A242,EnrollData2324,28,FALSE),'District Calculations'!$D$10))*(1+Apport_Z315),0))+Apport_201A2324s,6)</f>
        <v>7.3449E-2</v>
      </c>
      <c r="D242">
        <f>ROUND(IF(VLOOKUP($A242,EnrollData2324,'2324 Jun 24 Enroll'!D$1,FALSE)='District Calculations'!$D$11,VLOOKUP($A242,EnrollData2324,'2324 Jun 24 Enroll'!D$1,FALSE),'District Calculations'!$D$11)*C242,3)</f>
        <v>0</v>
      </c>
      <c r="E242">
        <f>ROUND(IF(VLOOKUP($A242,EnrollData2324,'2324 Jun 24 Enroll'!E$1,FALSE)='District Calculations'!$D$12,VLOOKUP($A242,EnrollData2324,'2324 Jun 24 Enroll'!E$1,FALSE),'District Calculations'!$D$12)*C242,3)</f>
        <v>59.53</v>
      </c>
      <c r="F242">
        <f>ROUND(IF(VLOOKUP($A242,EnrollData2324,'2324 Jun 24 Enroll'!F$1,FALSE)='District Calculations'!$D$13,VLOOKUP($A242,EnrollData2324,'2324 Jun 24 Enroll'!F$1,FALSE),'District Calculations'!$D$13)*Apport_222A2324s,3)</f>
        <v>10.101000000000001</v>
      </c>
      <c r="G242">
        <f>ROUND(IF(VLOOKUP($A242,EnrollData2324,'2324 Jun 24 Enroll'!G$1,FALSE)='District Calculations'!$D$14,VLOOKUP($A242,EnrollData2324,'2324 Jun 24 Enroll'!G$1,FALSE),'District Calculations'!$D$14)*Apport_210A2324s,3)</f>
        <v>22.395</v>
      </c>
      <c r="H242">
        <f>ROUND(IF(VLOOKUP($A242,EnrollData2324,'2324 Jun 24 Enroll'!H$1,FALSE)='District Calculations'!$D$15,VLOOKUP($A242,EnrollData2324,'2324 Jun 24 Enroll'!H$1,FALSE),'District Calculations'!$D$15)*Apport_213A2324s,3)</f>
        <v>23.091999999999999</v>
      </c>
      <c r="I242">
        <f>ROUND(IF(VLOOKUP($A242,EnrollData2324,'2324 Jun 24 Enroll'!I$1,FALSE)+VLOOKUP($A242,EnrollData2324,'2324 Jun 24 Enroll'!M$1,FALSE)-VLOOKUP($A242,EnrollData2324,'2324 Jun 24 Enroll'!J$1,FALSE)='District Calculations'!$D$16+'District Calculations'!$D$25-'District Calculations'!$D$17,VLOOKUP($A242,EnrollData2324,'2324 Jun 24 Enroll'!I$1,FALSE)+VLOOKUP($A242,EnrollData2324,'2324 Jun 24 Enroll'!M$1,FALSE)-VLOOKUP($A242,EnrollData2324,'2324 Jun 24 Enroll'!J$1,FALSE),'District Calculations'!$D$16+'District Calculations'!$D$25-'District Calculations'!$D$17)*Apport_216A2324s,3)</f>
        <v>58.183999999999997</v>
      </c>
      <c r="J242">
        <f>ROUND(SUM(D242:I242)/(IF(VLOOKUP($A242,EnrollData2324,'2324 Jun 24 Enroll'!M$1,FALSE)='District Calculations'!$D$25,VLOOKUP($A242,EnrollData2324,'2324 Jun 24 Enroll'!M$1,FALSE),'District Calculations'!$D$25)+IF(VLOOKUP($A242,EnrollData2324,'2324 Jun 24 Enroll'!D$1,FALSE)='District Calculations'!$D$11,VLOOKUP($A242,EnrollData2324,'2324 Jun 24 Enroll'!D$1,FALSE),'District Calculations'!$D$11)),5)</f>
        <v>5.5530000000000003E-2</v>
      </c>
      <c r="K242" s="11">
        <f t="shared" si="22"/>
        <v>4.3699999999999998E-3</v>
      </c>
      <c r="L242">
        <f>ROUND(IF(VLOOKUP($A242,EnrollData2324,'2324 Jun 24 Enroll'!D$1,FALSE)='District Calculations'!$D$11,VLOOKUP($A242,EnrollData2324,'2324 Jun 24 Enroll'!D$1,FALSE),'District Calculations'!$D$11)*K242,3)</f>
        <v>0</v>
      </c>
      <c r="M242">
        <f>ROUND(IF(VLOOKUP($A242,EnrollData2324,'2324 Jun 24 Enroll'!E$1,FALSE)='District Calculations'!$D$12,VLOOKUP($A242,EnrollData2324,'2324 Jun 24 Enroll'!E$1,FALSE),'District Calculations'!$D$12)*K242,3)</f>
        <v>3.5419999999999998</v>
      </c>
      <c r="N242">
        <f>ROUND(IF(VLOOKUP($A242,EnrollData2324,'2324 Jun 24 Enroll'!F$1,FALSE)='District Calculations'!$D$13,VLOOKUP($A242,EnrollData2324,'2324 Jun 24 Enroll'!F$1,FALSE),'District Calculations'!$D$13)*Apport_223A2324s,3)</f>
        <v>0.84299999999999997</v>
      </c>
      <c r="O242">
        <f>ROUND(IF(VLOOKUP($A242,EnrollData2324,'2324 Jun 24 Enroll'!G$1,FALSE)='District Calculations'!$D$14,VLOOKUP($A242,EnrollData2324,'2324 Jun 24 Enroll'!G$1,FALSE),'District Calculations'!$D$14)*Apport_211A2324s,3)</f>
        <v>1.87</v>
      </c>
      <c r="P242">
        <f>ROUND(IF(VLOOKUP($A242,EnrollData2324,'2324 Jun 24 Enroll'!H$1,FALSE)='District Calculations'!$D$14,VLOOKUP($A242,EnrollData2324,'2324 Jun 24 Enroll'!H$1,FALSE),'District Calculations'!$D$14)*Apport_214A2324s,3)</f>
        <v>1.8680000000000001</v>
      </c>
      <c r="Q242">
        <f>ROUND(IF(VLOOKUP($A242,EnrollData2324,'2324 Jun 24 Enroll'!I$1,FALSE)+VLOOKUP($A242,EnrollData2324,'2324 Jun 24 Enroll'!M$1,FALSE)-VLOOKUP($A242,EnrollData2324,'2324 Jun 24 Enroll'!J$1,FALSE)='District Calculations'!$D$16+'District Calculations'!$D$25-'District Calculations'!$D$17,VLOOKUP($A242,EnrollData2324,'2324 Jun 24 Enroll'!I$1,FALSE)+VLOOKUP($A242,EnrollData2324,'2324 Jun 24 Enroll'!M$1,FALSE)-VLOOKUP($A242,EnrollData2324,'2324 Jun 24 Enroll'!J$1,FALSE),'District Calculations'!$D$16+'District Calculations'!$D$25-'District Calculations'!$D$17)*Apport_217A2324s,3)</f>
        <v>4.702</v>
      </c>
      <c r="R242">
        <f>ROUND(SUM(L242:Q242)/IF(VLOOKUP($A242,EnrollData2324,'2324 Jun 24 Enroll'!M$1,FALSE)+VLOOKUP($A242,EnrollData2324,'2324 Jun 24 Enroll'!D$1,FALSE)='District Calculations'!$D$25+'District Calculations'!$D$11,VLOOKUP($A242,EnrollData2324,'2324 Jun 24 Enroll'!M$1,FALSE)+VLOOKUP($A242,EnrollData2324,'2324 Jun 24 Enroll'!D$1,FALSE),'District Calculations'!$D$25+'District Calculations'!$D$11),5)</f>
        <v>4.1099999999999999E-3</v>
      </c>
      <c r="S242" s="11">
        <f t="shared" si="23"/>
        <v>1.8689600000000001E-2</v>
      </c>
      <c r="T242">
        <f>ROUND(IF(VLOOKUP($A242,EnrollData2324,'2324 Jun 24 Enroll'!D$1,FALSE)='District Calculations'!$D$11,VLOOKUP($A242,EnrollData2324,'2324 Jun 24 Enroll'!D$1,FALSE),'District Calculations'!$D$11)*S242,3)</f>
        <v>0</v>
      </c>
      <c r="U242">
        <f>ROUND(IF(VLOOKUP($A242,EnrollData2324,'2324 Jun 24 Enroll'!E$1,FALSE)='District Calculations'!$D$12,VLOOKUP($A242,EnrollData2324,'2324 Jun 24 Enroll'!E$1,FALSE),'District Calculations'!$D$12)*S242,3)</f>
        <v>15.148</v>
      </c>
      <c r="V242">
        <f>ROUND(IF(VLOOKUP($A242,EnrollData2324,'2324 Jun 24 Enroll'!F$1,FALSE)='District Calculations'!$D$13,VLOOKUP($A242,EnrollData2324,'2324 Jun 24 Enroll'!F$1,FALSE),'District Calculations'!$D$13)*Apport_224A2324s,3)</f>
        <v>3.7029999999999998</v>
      </c>
      <c r="W242">
        <f>ROUND(IF(VLOOKUP($A242,EnrollData2324,'2324 Jun 24 Enroll'!G$1,FALSE)='District Calculations'!$D$14,VLOOKUP($A242,EnrollData2324,'2324 Jun 24 Enroll'!G$1,FALSE),'District Calculations'!$D$14)*Apport_212A2324s,3)</f>
        <v>8.2089999999999996</v>
      </c>
      <c r="X242">
        <f>ROUND(IF(VLOOKUP($A242,EnrollData2324,'2324 Jun 24 Enroll'!H$1,FALSE)='District Calculations'!$D$14,VLOOKUP($A242,EnrollData2324,'2324 Jun 24 Enroll'!H$1,FALSE),'District Calculations'!$D$14)*Apport_215A2324s,3)</f>
        <v>8.0969999999999995</v>
      </c>
      <c r="Y242">
        <f>ROUND(IF(VLOOKUP($A242,EnrollData2324,'2324 Jun 24 Enroll'!I$1,FALSE)+VLOOKUP($A242,EnrollData2324,'2324 Jun 24 Enroll'!M$1,FALSE)-VLOOKUP($A242,EnrollData2324,'2324 Jun 24 Enroll'!J$1,FALSE)='District Calculations'!$D$16+'District Calculations'!$D$25-'District Calculations'!$D$17,VLOOKUP($A242,EnrollData2324,'2324 Jun 24 Enroll'!I$1,FALSE)+VLOOKUP($A242,EnrollData2324,'2324 Jun 24 Enroll'!M$1,FALSE)-VLOOKUP($A242,EnrollData2324,'2324 Jun 24 Enroll'!J$1,FALSE),'District Calculations'!$D$16+'District Calculations'!$D$25-'District Calculations'!$D$17)*Apport_218A2324s,3)</f>
        <v>20.224</v>
      </c>
      <c r="Z242">
        <f>ROUND(SUM(T242:Y242)/IF(VLOOKUP($A242,EnrollData2324,'2324 Jun 24 Enroll'!M$1,FALSE)+VLOOKUP($A242,EnrollData2324,'2324 Jun 24 Enroll'!D$1,FALSE)='District Calculations'!$D$25+'District Calculations'!$D$11,VLOOKUP($A242,EnrollData2324,'2324 Jun 24 Enroll'!M$1,FALSE)+VLOOKUP($A242,EnrollData2324,'2324 Jun 24 Enroll'!D$1,FALSE),'District Calculations'!$D$25+'District Calculations'!$D$11),5)</f>
        <v>1.7749999999999998E-2</v>
      </c>
      <c r="AA242" s="6" cm="1">
        <f t="array" ref="AA242">ROUND($J242*CIS_Base_Salary2324s*VLOOKUP($A242,EnrollData2324,'2324 Jun 24 Enroll'!S$1,FALSE),2)</f>
        <v>4523.22</v>
      </c>
      <c r="AB242" s="6" cm="1">
        <f t="array" ref="AB242">ROUND($J242*CIS_Inc_Salary2324s*(VLOOKUP($A242,EnrollData2324,'2324 Jun 24 Enroll'!T$1,FALSE)+VLOOKUP($A242,EnrollData2324,'2324 Jun 24 Enroll'!U$1,FALSE)),2)-AA242</f>
        <v>167.35999999999967</v>
      </c>
      <c r="AC242" s="6" cm="1">
        <f t="array" ref="AC242">ROUND($R242*CAS_Base_Salary2324s*VLOOKUP($A242,EnrollData2324,'2324 Jun 24 Enroll'!S$1,FALSE),2)</f>
        <v>496.94</v>
      </c>
      <c r="AD242" s="6" cm="1">
        <f t="array" ref="AD242">ROUND($R242*CAS_Inc_Salary2324s*VLOOKUP($A242,EnrollData2324,'2324 Jun 24 Enroll'!T$1,FALSE),2)-AC242</f>
        <v>18.390000000000043</v>
      </c>
      <c r="AE242" s="6" cm="1">
        <f t="array" ref="AE242">ROUND($Z242*CLS_Base_Salary2324s*VLOOKUP($A242,EnrollData2324,'2324 Jun 24 Enroll'!S$1,FALSE),2)</f>
        <v>1037.2</v>
      </c>
      <c r="AF242" s="6" cm="1">
        <f t="array" ref="AF242">ROUND($Z242*CLS_Inc_Salary2324s*VLOOKUP($A242,EnrollData2324,'2324 Jun 24 Enroll'!T$1,FALSE),2)-AE242</f>
        <v>38.369999999999891</v>
      </c>
      <c r="AG242" cm="1">
        <f t="array" ref="AG242">ROUND(($J242+$R242)*Apport_124X2324s,2)</f>
        <v>734.29</v>
      </c>
      <c r="AH242" s="69">
        <f t="shared" si="24"/>
        <v>68.700000000000045</v>
      </c>
      <c r="AI242" cm="1">
        <f t="array" ref="AI242">ROUND($Z242*Apport_124X2324s,2)</f>
        <v>218.54</v>
      </c>
      <c r="AJ242" cm="1">
        <f t="array" ref="AJ242">ROUND($Z242*Apport_621X2324s*Apport_125X2324s,2)-AI242</f>
        <v>116.51000000000002</v>
      </c>
      <c r="AK242" cm="1">
        <f t="array" ref="AK242">ROUND((AA242+AC242)*Apport_126X2324s,2)</f>
        <v>902.12</v>
      </c>
      <c r="AL242" cm="1">
        <f t="array" ref="AL242">ROUND((AB242+AD242)*Apport_127X2324s,2)</f>
        <v>32.19</v>
      </c>
      <c r="AM242" cm="1">
        <f t="array" ref="AM242">ROUND(AE242*Apport_128X2324s,2)</f>
        <v>228.81</v>
      </c>
      <c r="AN242" cm="1">
        <f t="array" ref="AN242">ROUND(AF242*Apport_129X2324s,2)</f>
        <v>7.12</v>
      </c>
      <c r="AO242" cm="1">
        <f t="array" ref="AO242">ROUND(($J242*CIS_Inc_Salary2324s*(VLOOKUP($A242,EnrollData2324,'2324 Jun 24 Enroll'!T$1,FALSE)+VLOOKUP($A242,EnrollData2324,'2324 Jun 24 Enroll'!U$1,FALSE))/Apport_613Xpd)*Apport_614Xpd,2)</f>
        <v>78.180000000000007</v>
      </c>
      <c r="AP242" cm="1">
        <f t="array" ref="AP242">ROUND(AO242*Apport_127X2324s,2)</f>
        <v>13.55</v>
      </c>
      <c r="AQ242">
        <f t="shared" si="25"/>
        <v>30.93</v>
      </c>
      <c r="AR242" s="6" cm="1">
        <f t="array" ref="AR242">ROUND((VLOOKUP($A242,EnrollData2324,'2324 Jun 24 Enroll'!D$1,FALSE)*Apport_M802324s+VLOOKUP($A242,EnrollData2324,'2324 Jun 24 Enroll'!M$1,FALSE)*Apport_M802324s+(VLOOKUP($A242,EnrollData2324,'2324 Jun 24 Enroll'!P$1,FALSE)+VLOOKUP($A242,EnrollData2324,'2324 Jun 24 Enroll'!Q$1,FALSE)+VLOOKUP($A242,EnrollData2324,'2324 Jun 24 Enroll'!R$1,FALSE)+VLOOKUP($A242,EnrollData2324,'2324 Jun 24 Enroll'!I$1,FALSE)+VLOOKUP($A242,EnrollData2324,'2324 Jun 24 Enroll'!N$1,FALSE)+VLOOKUP($A242,EnrollData2324,'2324 Jun 24 Enroll'!O$1,FALSE)+VLOOKUP($A242,EnrollData2324,'2324 Jun 24 Enroll'!K$1,FALSE)+VLOOKUP($A242,EnrollData2324,'2324 Jun 24 Enroll'!L$1,FALSE))*Apport_M812324s)/(VLOOKUP($A242,EnrollData2324,'2324 Jun 24 Enroll'!M$1,FALSE)+VLOOKUP($A242,EnrollData2324,'2324 Jun 24 Enroll'!D$1,FALSE)),2)</f>
        <v>1576</v>
      </c>
      <c r="AS242" s="7">
        <f t="shared" si="26"/>
        <v>10288.42</v>
      </c>
    </row>
    <row r="243" spans="1:45">
      <c r="A243" s="40" t="s">
        <v>787</v>
      </c>
      <c r="B243" s="40" t="s">
        <v>788</v>
      </c>
      <c r="C243" s="11">
        <f>ROUND((IFERROR((1/IF(VLOOKUP($A243,EnrollData2324,28,FALSE)='District Calculations'!$D$10,VLOOKUP($A243,EnrollData2324,28,FALSE),'District Calculations'!$D$10))*(1+Apport_Z315),0))+Apport_201A2324s,6)</f>
        <v>7.3449E-2</v>
      </c>
      <c r="D243">
        <f>ROUND(IF(VLOOKUP($A243,EnrollData2324,'2324 Jun 24 Enroll'!D$1,FALSE)='District Calculations'!$D$11,VLOOKUP($A243,EnrollData2324,'2324 Jun 24 Enroll'!D$1,FALSE),'District Calculations'!$D$11)*C243,3)</f>
        <v>0</v>
      </c>
      <c r="E243">
        <f>ROUND(IF(VLOOKUP($A243,EnrollData2324,'2324 Jun 24 Enroll'!E$1,FALSE)='District Calculations'!$D$12,VLOOKUP($A243,EnrollData2324,'2324 Jun 24 Enroll'!E$1,FALSE),'District Calculations'!$D$12)*C243,3)</f>
        <v>59.53</v>
      </c>
      <c r="F243">
        <f>ROUND(IF(VLOOKUP($A243,EnrollData2324,'2324 Jun 24 Enroll'!F$1,FALSE)='District Calculations'!$D$13,VLOOKUP($A243,EnrollData2324,'2324 Jun 24 Enroll'!F$1,FALSE),'District Calculations'!$D$13)*Apport_222A2324s,3)</f>
        <v>10.101000000000001</v>
      </c>
      <c r="G243">
        <f>ROUND(IF(VLOOKUP($A243,EnrollData2324,'2324 Jun 24 Enroll'!G$1,FALSE)='District Calculations'!$D$14,VLOOKUP($A243,EnrollData2324,'2324 Jun 24 Enroll'!G$1,FALSE),'District Calculations'!$D$14)*Apport_210A2324s,3)</f>
        <v>22.395</v>
      </c>
      <c r="H243">
        <f>ROUND(IF(VLOOKUP($A243,EnrollData2324,'2324 Jun 24 Enroll'!H$1,FALSE)='District Calculations'!$D$15,VLOOKUP($A243,EnrollData2324,'2324 Jun 24 Enroll'!H$1,FALSE),'District Calculations'!$D$15)*Apport_213A2324s,3)</f>
        <v>23.091999999999999</v>
      </c>
      <c r="I243">
        <f>ROUND(IF(VLOOKUP($A243,EnrollData2324,'2324 Jun 24 Enroll'!I$1,FALSE)+VLOOKUP($A243,EnrollData2324,'2324 Jun 24 Enroll'!M$1,FALSE)-VLOOKUP($A243,EnrollData2324,'2324 Jun 24 Enroll'!J$1,FALSE)='District Calculations'!$D$16+'District Calculations'!$D$25-'District Calculations'!$D$17,VLOOKUP($A243,EnrollData2324,'2324 Jun 24 Enroll'!I$1,FALSE)+VLOOKUP($A243,EnrollData2324,'2324 Jun 24 Enroll'!M$1,FALSE)-VLOOKUP($A243,EnrollData2324,'2324 Jun 24 Enroll'!J$1,FALSE),'District Calculations'!$D$16+'District Calculations'!$D$25-'District Calculations'!$D$17)*Apport_216A2324s,3)</f>
        <v>58.183999999999997</v>
      </c>
      <c r="J243">
        <f>ROUND(SUM(D243:I243)/(IF(VLOOKUP($A243,EnrollData2324,'2324 Jun 24 Enroll'!M$1,FALSE)='District Calculations'!$D$25,VLOOKUP($A243,EnrollData2324,'2324 Jun 24 Enroll'!M$1,FALSE),'District Calculations'!$D$25)+IF(VLOOKUP($A243,EnrollData2324,'2324 Jun 24 Enroll'!D$1,FALSE)='District Calculations'!$D$11,VLOOKUP($A243,EnrollData2324,'2324 Jun 24 Enroll'!D$1,FALSE),'District Calculations'!$D$11)),5)</f>
        <v>5.5530000000000003E-2</v>
      </c>
      <c r="K243" s="11">
        <f t="shared" si="22"/>
        <v>4.3699999999999998E-3</v>
      </c>
      <c r="L243">
        <f>ROUND(IF(VLOOKUP($A243,EnrollData2324,'2324 Jun 24 Enroll'!D$1,FALSE)='District Calculations'!$D$11,VLOOKUP($A243,EnrollData2324,'2324 Jun 24 Enroll'!D$1,FALSE),'District Calculations'!$D$11)*K243,3)</f>
        <v>0</v>
      </c>
      <c r="M243">
        <f>ROUND(IF(VLOOKUP($A243,EnrollData2324,'2324 Jun 24 Enroll'!E$1,FALSE)='District Calculations'!$D$12,VLOOKUP($A243,EnrollData2324,'2324 Jun 24 Enroll'!E$1,FALSE),'District Calculations'!$D$12)*K243,3)</f>
        <v>3.5419999999999998</v>
      </c>
      <c r="N243">
        <f>ROUND(IF(VLOOKUP($A243,EnrollData2324,'2324 Jun 24 Enroll'!F$1,FALSE)='District Calculations'!$D$13,VLOOKUP($A243,EnrollData2324,'2324 Jun 24 Enroll'!F$1,FALSE),'District Calculations'!$D$13)*Apport_223A2324s,3)</f>
        <v>0.84299999999999997</v>
      </c>
      <c r="O243">
        <f>ROUND(IF(VLOOKUP($A243,EnrollData2324,'2324 Jun 24 Enroll'!G$1,FALSE)='District Calculations'!$D$14,VLOOKUP($A243,EnrollData2324,'2324 Jun 24 Enroll'!G$1,FALSE),'District Calculations'!$D$14)*Apport_211A2324s,3)</f>
        <v>1.87</v>
      </c>
      <c r="P243">
        <f>ROUND(IF(VLOOKUP($A243,EnrollData2324,'2324 Jun 24 Enroll'!H$1,FALSE)='District Calculations'!$D$14,VLOOKUP($A243,EnrollData2324,'2324 Jun 24 Enroll'!H$1,FALSE),'District Calculations'!$D$14)*Apport_214A2324s,3)</f>
        <v>1.8680000000000001</v>
      </c>
      <c r="Q243">
        <f>ROUND(IF(VLOOKUP($A243,EnrollData2324,'2324 Jun 24 Enroll'!I$1,FALSE)+VLOOKUP($A243,EnrollData2324,'2324 Jun 24 Enroll'!M$1,FALSE)-VLOOKUP($A243,EnrollData2324,'2324 Jun 24 Enroll'!J$1,FALSE)='District Calculations'!$D$16+'District Calculations'!$D$25-'District Calculations'!$D$17,VLOOKUP($A243,EnrollData2324,'2324 Jun 24 Enroll'!I$1,FALSE)+VLOOKUP($A243,EnrollData2324,'2324 Jun 24 Enroll'!M$1,FALSE)-VLOOKUP($A243,EnrollData2324,'2324 Jun 24 Enroll'!J$1,FALSE),'District Calculations'!$D$16+'District Calculations'!$D$25-'District Calculations'!$D$17)*Apport_217A2324s,3)</f>
        <v>4.702</v>
      </c>
      <c r="R243">
        <f>ROUND(SUM(L243:Q243)/IF(VLOOKUP($A243,EnrollData2324,'2324 Jun 24 Enroll'!M$1,FALSE)+VLOOKUP($A243,EnrollData2324,'2324 Jun 24 Enroll'!D$1,FALSE)='District Calculations'!$D$25+'District Calculations'!$D$11,VLOOKUP($A243,EnrollData2324,'2324 Jun 24 Enroll'!M$1,FALSE)+VLOOKUP($A243,EnrollData2324,'2324 Jun 24 Enroll'!D$1,FALSE),'District Calculations'!$D$25+'District Calculations'!$D$11),5)</f>
        <v>4.1099999999999999E-3</v>
      </c>
      <c r="S243" s="11">
        <f t="shared" si="23"/>
        <v>1.8689600000000001E-2</v>
      </c>
      <c r="T243">
        <f>ROUND(IF(VLOOKUP($A243,EnrollData2324,'2324 Jun 24 Enroll'!D$1,FALSE)='District Calculations'!$D$11,VLOOKUP($A243,EnrollData2324,'2324 Jun 24 Enroll'!D$1,FALSE),'District Calculations'!$D$11)*S243,3)</f>
        <v>0</v>
      </c>
      <c r="U243">
        <f>ROUND(IF(VLOOKUP($A243,EnrollData2324,'2324 Jun 24 Enroll'!E$1,FALSE)='District Calculations'!$D$12,VLOOKUP($A243,EnrollData2324,'2324 Jun 24 Enroll'!E$1,FALSE),'District Calculations'!$D$12)*S243,3)</f>
        <v>15.148</v>
      </c>
      <c r="V243">
        <f>ROUND(IF(VLOOKUP($A243,EnrollData2324,'2324 Jun 24 Enroll'!F$1,FALSE)='District Calculations'!$D$13,VLOOKUP($A243,EnrollData2324,'2324 Jun 24 Enroll'!F$1,FALSE),'District Calculations'!$D$13)*Apport_224A2324s,3)</f>
        <v>3.7029999999999998</v>
      </c>
      <c r="W243">
        <f>ROUND(IF(VLOOKUP($A243,EnrollData2324,'2324 Jun 24 Enroll'!G$1,FALSE)='District Calculations'!$D$14,VLOOKUP($A243,EnrollData2324,'2324 Jun 24 Enroll'!G$1,FALSE),'District Calculations'!$D$14)*Apport_212A2324s,3)</f>
        <v>8.2089999999999996</v>
      </c>
      <c r="X243">
        <f>ROUND(IF(VLOOKUP($A243,EnrollData2324,'2324 Jun 24 Enroll'!H$1,FALSE)='District Calculations'!$D$14,VLOOKUP($A243,EnrollData2324,'2324 Jun 24 Enroll'!H$1,FALSE),'District Calculations'!$D$14)*Apport_215A2324s,3)</f>
        <v>8.0969999999999995</v>
      </c>
      <c r="Y243">
        <f>ROUND(IF(VLOOKUP($A243,EnrollData2324,'2324 Jun 24 Enroll'!I$1,FALSE)+VLOOKUP($A243,EnrollData2324,'2324 Jun 24 Enroll'!M$1,FALSE)-VLOOKUP($A243,EnrollData2324,'2324 Jun 24 Enroll'!J$1,FALSE)='District Calculations'!$D$16+'District Calculations'!$D$25-'District Calculations'!$D$17,VLOOKUP($A243,EnrollData2324,'2324 Jun 24 Enroll'!I$1,FALSE)+VLOOKUP($A243,EnrollData2324,'2324 Jun 24 Enroll'!M$1,FALSE)-VLOOKUP($A243,EnrollData2324,'2324 Jun 24 Enroll'!J$1,FALSE),'District Calculations'!$D$16+'District Calculations'!$D$25-'District Calculations'!$D$17)*Apport_218A2324s,3)</f>
        <v>20.224</v>
      </c>
      <c r="Z243">
        <f>ROUND(SUM(T243:Y243)/IF(VLOOKUP($A243,EnrollData2324,'2324 Jun 24 Enroll'!M$1,FALSE)+VLOOKUP($A243,EnrollData2324,'2324 Jun 24 Enroll'!D$1,FALSE)='District Calculations'!$D$25+'District Calculations'!$D$11,VLOOKUP($A243,EnrollData2324,'2324 Jun 24 Enroll'!M$1,FALSE)+VLOOKUP($A243,EnrollData2324,'2324 Jun 24 Enroll'!D$1,FALSE),'District Calculations'!$D$25+'District Calculations'!$D$11),5)</f>
        <v>1.7749999999999998E-2</v>
      </c>
      <c r="AA243" s="6" cm="1">
        <f t="array" ref="AA243">ROUND($J243*CIS_Base_Salary2324s*VLOOKUP($A243,EnrollData2324,'2324 Jun 24 Enroll'!S$1,FALSE),2)</f>
        <v>4583.79</v>
      </c>
      <c r="AB243" s="6" cm="1">
        <f t="array" ref="AB243">ROUND($J243*CIS_Inc_Salary2324s*(VLOOKUP($A243,EnrollData2324,'2324 Jun 24 Enroll'!T$1,FALSE)+VLOOKUP($A243,EnrollData2324,'2324 Jun 24 Enroll'!U$1,FALSE)),2)-AA243</f>
        <v>337.13000000000011</v>
      </c>
      <c r="AC243" s="6" cm="1">
        <f t="array" ref="AC243">ROUND($R243*CAS_Base_Salary2324s*VLOOKUP($A243,EnrollData2324,'2324 Jun 24 Enroll'!S$1,FALSE),2)</f>
        <v>503.59</v>
      </c>
      <c r="AD243" s="6" cm="1">
        <f t="array" ref="AD243">ROUND($R243*CAS_Inc_Salary2324s*VLOOKUP($A243,EnrollData2324,'2324 Jun 24 Enroll'!T$1,FALSE),2)-AC243</f>
        <v>18.640000000000043</v>
      </c>
      <c r="AE243" s="6" cm="1">
        <f t="array" ref="AE243">ROUND($Z243*CLS_Base_Salary2324s*VLOOKUP($A243,EnrollData2324,'2324 Jun 24 Enroll'!S$1,FALSE),2)</f>
        <v>1051.0899999999999</v>
      </c>
      <c r="AF243" s="6" cm="1">
        <f t="array" ref="AF243">ROUND($Z243*CLS_Inc_Salary2324s*VLOOKUP($A243,EnrollData2324,'2324 Jun 24 Enroll'!T$1,FALSE),2)-AE243</f>
        <v>38.880000000000109</v>
      </c>
      <c r="AG243" cm="1">
        <f t="array" ref="AG243">ROUND(($J243+$R243)*Apport_124X2324s,2)</f>
        <v>734.29</v>
      </c>
      <c r="AH243" s="69">
        <f t="shared" si="24"/>
        <v>68.700000000000045</v>
      </c>
      <c r="AI243" cm="1">
        <f t="array" ref="AI243">ROUND($Z243*Apport_124X2324s,2)</f>
        <v>218.54</v>
      </c>
      <c r="AJ243" cm="1">
        <f t="array" ref="AJ243">ROUND($Z243*Apport_621X2324s*Apport_125X2324s,2)-AI243</f>
        <v>116.51000000000002</v>
      </c>
      <c r="AK243" cm="1">
        <f t="array" ref="AK243">ROUND((AA243+AC243)*Apport_126X2324s,2)</f>
        <v>914.2</v>
      </c>
      <c r="AL243" cm="1">
        <f t="array" ref="AL243">ROUND((AB243+AD243)*Apport_127X2324s,2)</f>
        <v>61.65</v>
      </c>
      <c r="AM243" cm="1">
        <f t="array" ref="AM243">ROUND(AE243*Apport_128X2324s,2)</f>
        <v>231.87</v>
      </c>
      <c r="AN243" cm="1">
        <f t="array" ref="AN243">ROUND(AF243*Apport_129X2324s,2)</f>
        <v>7.22</v>
      </c>
      <c r="AO243" cm="1">
        <f t="array" ref="AO243">ROUND(($J243*CIS_Inc_Salary2324s*(VLOOKUP($A243,EnrollData2324,'2324 Jun 24 Enroll'!T$1,FALSE)+VLOOKUP($A243,EnrollData2324,'2324 Jun 24 Enroll'!U$1,FALSE))/Apport_613Xpd)*Apport_614Xpd,2)</f>
        <v>82.02</v>
      </c>
      <c r="AP243" cm="1">
        <f t="array" ref="AP243">ROUND(AO243*Apport_127X2324s,2)</f>
        <v>14.21</v>
      </c>
      <c r="AQ243">
        <f t="shared" si="25"/>
        <v>30.93</v>
      </c>
      <c r="AR243" s="6" cm="1">
        <f t="array" ref="AR243">ROUND((VLOOKUP($A243,EnrollData2324,'2324 Jun 24 Enroll'!D$1,FALSE)*Apport_M802324s+VLOOKUP($A243,EnrollData2324,'2324 Jun 24 Enroll'!M$1,FALSE)*Apport_M802324s+(VLOOKUP($A243,EnrollData2324,'2324 Jun 24 Enroll'!P$1,FALSE)+VLOOKUP($A243,EnrollData2324,'2324 Jun 24 Enroll'!Q$1,FALSE)+VLOOKUP($A243,EnrollData2324,'2324 Jun 24 Enroll'!R$1,FALSE)+VLOOKUP($A243,EnrollData2324,'2324 Jun 24 Enroll'!I$1,FALSE)+VLOOKUP($A243,EnrollData2324,'2324 Jun 24 Enroll'!N$1,FALSE)+VLOOKUP($A243,EnrollData2324,'2324 Jun 24 Enroll'!O$1,FALSE)+VLOOKUP($A243,EnrollData2324,'2324 Jun 24 Enroll'!K$1,FALSE)+VLOOKUP($A243,EnrollData2324,'2324 Jun 24 Enroll'!L$1,FALSE))*Apport_M812324s)/(VLOOKUP($A243,EnrollData2324,'2324 Jun 24 Enroll'!M$1,FALSE)+VLOOKUP($A243,EnrollData2324,'2324 Jun 24 Enroll'!D$1,FALSE)),2)</f>
        <v>1573.68</v>
      </c>
      <c r="AS243" s="7">
        <f t="shared" si="26"/>
        <v>10586.94</v>
      </c>
    </row>
    <row r="244" spans="1:45">
      <c r="A244" s="40" t="s">
        <v>781</v>
      </c>
      <c r="B244" s="40" t="s">
        <v>782</v>
      </c>
      <c r="C244" s="11">
        <f>ROUND((IFERROR((1/IF(VLOOKUP($A244,EnrollData2324,28,FALSE)='District Calculations'!$D$10,VLOOKUP($A244,EnrollData2324,28,FALSE),'District Calculations'!$D$10))*(1+Apport_Z315),0))+Apport_201A2324s,6)</f>
        <v>7.3449E-2</v>
      </c>
      <c r="D244">
        <f>ROUND(IF(VLOOKUP($A244,EnrollData2324,'2324 Jun 24 Enroll'!D$1,FALSE)='District Calculations'!$D$11,VLOOKUP($A244,EnrollData2324,'2324 Jun 24 Enroll'!D$1,FALSE),'District Calculations'!$D$11)*C244,3)</f>
        <v>0</v>
      </c>
      <c r="E244">
        <f>ROUND(IF(VLOOKUP($A244,EnrollData2324,'2324 Jun 24 Enroll'!E$1,FALSE)='District Calculations'!$D$12,VLOOKUP($A244,EnrollData2324,'2324 Jun 24 Enroll'!E$1,FALSE),'District Calculations'!$D$12)*C244,3)</f>
        <v>59.53</v>
      </c>
      <c r="F244">
        <f>ROUND(IF(VLOOKUP($A244,EnrollData2324,'2324 Jun 24 Enroll'!F$1,FALSE)='District Calculations'!$D$13,VLOOKUP($A244,EnrollData2324,'2324 Jun 24 Enroll'!F$1,FALSE),'District Calculations'!$D$13)*Apport_222A2324s,3)</f>
        <v>10.101000000000001</v>
      </c>
      <c r="G244">
        <f>ROUND(IF(VLOOKUP($A244,EnrollData2324,'2324 Jun 24 Enroll'!G$1,FALSE)='District Calculations'!$D$14,VLOOKUP($A244,EnrollData2324,'2324 Jun 24 Enroll'!G$1,FALSE),'District Calculations'!$D$14)*Apport_210A2324s,3)</f>
        <v>22.395</v>
      </c>
      <c r="H244">
        <f>ROUND(IF(VLOOKUP($A244,EnrollData2324,'2324 Jun 24 Enroll'!H$1,FALSE)='District Calculations'!$D$15,VLOOKUP($A244,EnrollData2324,'2324 Jun 24 Enroll'!H$1,FALSE),'District Calculations'!$D$15)*Apport_213A2324s,3)</f>
        <v>23.091999999999999</v>
      </c>
      <c r="I244">
        <f>ROUND(IF(VLOOKUP($A244,EnrollData2324,'2324 Jun 24 Enroll'!I$1,FALSE)+VLOOKUP($A244,EnrollData2324,'2324 Jun 24 Enroll'!M$1,FALSE)-VLOOKUP($A244,EnrollData2324,'2324 Jun 24 Enroll'!J$1,FALSE)='District Calculations'!$D$16+'District Calculations'!$D$25-'District Calculations'!$D$17,VLOOKUP($A244,EnrollData2324,'2324 Jun 24 Enroll'!I$1,FALSE)+VLOOKUP($A244,EnrollData2324,'2324 Jun 24 Enroll'!M$1,FALSE)-VLOOKUP($A244,EnrollData2324,'2324 Jun 24 Enroll'!J$1,FALSE),'District Calculations'!$D$16+'District Calculations'!$D$25-'District Calculations'!$D$17)*Apport_216A2324s,3)</f>
        <v>58.183999999999997</v>
      </c>
      <c r="J244">
        <f>ROUND(SUM(D244:I244)/(IF(VLOOKUP($A244,EnrollData2324,'2324 Jun 24 Enroll'!M$1,FALSE)='District Calculations'!$D$25,VLOOKUP($A244,EnrollData2324,'2324 Jun 24 Enroll'!M$1,FALSE),'District Calculations'!$D$25)+IF(VLOOKUP($A244,EnrollData2324,'2324 Jun 24 Enroll'!D$1,FALSE)='District Calculations'!$D$11,VLOOKUP($A244,EnrollData2324,'2324 Jun 24 Enroll'!D$1,FALSE),'District Calculations'!$D$11)),5)</f>
        <v>5.5530000000000003E-2</v>
      </c>
      <c r="K244" s="11">
        <f t="shared" si="22"/>
        <v>4.3699999999999998E-3</v>
      </c>
      <c r="L244">
        <f>ROUND(IF(VLOOKUP($A244,EnrollData2324,'2324 Jun 24 Enroll'!D$1,FALSE)='District Calculations'!$D$11,VLOOKUP($A244,EnrollData2324,'2324 Jun 24 Enroll'!D$1,FALSE),'District Calculations'!$D$11)*K244,3)</f>
        <v>0</v>
      </c>
      <c r="M244">
        <f>ROUND(IF(VLOOKUP($A244,EnrollData2324,'2324 Jun 24 Enroll'!E$1,FALSE)='District Calculations'!$D$12,VLOOKUP($A244,EnrollData2324,'2324 Jun 24 Enroll'!E$1,FALSE),'District Calculations'!$D$12)*K244,3)</f>
        <v>3.5419999999999998</v>
      </c>
      <c r="N244">
        <f>ROUND(IF(VLOOKUP($A244,EnrollData2324,'2324 Jun 24 Enroll'!F$1,FALSE)='District Calculations'!$D$13,VLOOKUP($A244,EnrollData2324,'2324 Jun 24 Enroll'!F$1,FALSE),'District Calculations'!$D$13)*Apport_223A2324s,3)</f>
        <v>0.84299999999999997</v>
      </c>
      <c r="O244">
        <f>ROUND(IF(VLOOKUP($A244,EnrollData2324,'2324 Jun 24 Enroll'!G$1,FALSE)='District Calculations'!$D$14,VLOOKUP($A244,EnrollData2324,'2324 Jun 24 Enroll'!G$1,FALSE),'District Calculations'!$D$14)*Apport_211A2324s,3)</f>
        <v>1.87</v>
      </c>
      <c r="P244">
        <f>ROUND(IF(VLOOKUP($A244,EnrollData2324,'2324 Jun 24 Enroll'!H$1,FALSE)='District Calculations'!$D$14,VLOOKUP($A244,EnrollData2324,'2324 Jun 24 Enroll'!H$1,FALSE),'District Calculations'!$D$14)*Apport_214A2324s,3)</f>
        <v>1.8680000000000001</v>
      </c>
      <c r="Q244">
        <f>ROUND(IF(VLOOKUP($A244,EnrollData2324,'2324 Jun 24 Enroll'!I$1,FALSE)+VLOOKUP($A244,EnrollData2324,'2324 Jun 24 Enroll'!M$1,FALSE)-VLOOKUP($A244,EnrollData2324,'2324 Jun 24 Enroll'!J$1,FALSE)='District Calculations'!$D$16+'District Calculations'!$D$25-'District Calculations'!$D$17,VLOOKUP($A244,EnrollData2324,'2324 Jun 24 Enroll'!I$1,FALSE)+VLOOKUP($A244,EnrollData2324,'2324 Jun 24 Enroll'!M$1,FALSE)-VLOOKUP($A244,EnrollData2324,'2324 Jun 24 Enroll'!J$1,FALSE),'District Calculations'!$D$16+'District Calculations'!$D$25-'District Calculations'!$D$17)*Apport_217A2324s,3)</f>
        <v>4.702</v>
      </c>
      <c r="R244">
        <f>ROUND(SUM(L244:Q244)/IF(VLOOKUP($A244,EnrollData2324,'2324 Jun 24 Enroll'!M$1,FALSE)+VLOOKUP($A244,EnrollData2324,'2324 Jun 24 Enroll'!D$1,FALSE)='District Calculations'!$D$25+'District Calculations'!$D$11,VLOOKUP($A244,EnrollData2324,'2324 Jun 24 Enroll'!M$1,FALSE)+VLOOKUP($A244,EnrollData2324,'2324 Jun 24 Enroll'!D$1,FALSE),'District Calculations'!$D$25+'District Calculations'!$D$11),5)</f>
        <v>4.1099999999999999E-3</v>
      </c>
      <c r="S244" s="11">
        <f t="shared" si="23"/>
        <v>1.8689600000000001E-2</v>
      </c>
      <c r="T244">
        <f>ROUND(IF(VLOOKUP($A244,EnrollData2324,'2324 Jun 24 Enroll'!D$1,FALSE)='District Calculations'!$D$11,VLOOKUP($A244,EnrollData2324,'2324 Jun 24 Enroll'!D$1,FALSE),'District Calculations'!$D$11)*S244,3)</f>
        <v>0</v>
      </c>
      <c r="U244">
        <f>ROUND(IF(VLOOKUP($A244,EnrollData2324,'2324 Jun 24 Enroll'!E$1,FALSE)='District Calculations'!$D$12,VLOOKUP($A244,EnrollData2324,'2324 Jun 24 Enroll'!E$1,FALSE),'District Calculations'!$D$12)*S244,3)</f>
        <v>15.148</v>
      </c>
      <c r="V244">
        <f>ROUND(IF(VLOOKUP($A244,EnrollData2324,'2324 Jun 24 Enroll'!F$1,FALSE)='District Calculations'!$D$13,VLOOKUP($A244,EnrollData2324,'2324 Jun 24 Enroll'!F$1,FALSE),'District Calculations'!$D$13)*Apport_224A2324s,3)</f>
        <v>3.7029999999999998</v>
      </c>
      <c r="W244">
        <f>ROUND(IF(VLOOKUP($A244,EnrollData2324,'2324 Jun 24 Enroll'!G$1,FALSE)='District Calculations'!$D$14,VLOOKUP($A244,EnrollData2324,'2324 Jun 24 Enroll'!G$1,FALSE),'District Calculations'!$D$14)*Apport_212A2324s,3)</f>
        <v>8.2089999999999996</v>
      </c>
      <c r="X244">
        <f>ROUND(IF(VLOOKUP($A244,EnrollData2324,'2324 Jun 24 Enroll'!H$1,FALSE)='District Calculations'!$D$14,VLOOKUP($A244,EnrollData2324,'2324 Jun 24 Enroll'!H$1,FALSE),'District Calculations'!$D$14)*Apport_215A2324s,3)</f>
        <v>8.0969999999999995</v>
      </c>
      <c r="Y244">
        <f>ROUND(IF(VLOOKUP($A244,EnrollData2324,'2324 Jun 24 Enroll'!I$1,FALSE)+VLOOKUP($A244,EnrollData2324,'2324 Jun 24 Enroll'!M$1,FALSE)-VLOOKUP($A244,EnrollData2324,'2324 Jun 24 Enroll'!J$1,FALSE)='District Calculations'!$D$16+'District Calculations'!$D$25-'District Calculations'!$D$17,VLOOKUP($A244,EnrollData2324,'2324 Jun 24 Enroll'!I$1,FALSE)+VLOOKUP($A244,EnrollData2324,'2324 Jun 24 Enroll'!M$1,FALSE)-VLOOKUP($A244,EnrollData2324,'2324 Jun 24 Enroll'!J$1,FALSE),'District Calculations'!$D$16+'District Calculations'!$D$25-'District Calculations'!$D$17)*Apport_218A2324s,3)</f>
        <v>20.224</v>
      </c>
      <c r="Z244">
        <f>ROUND(SUM(T244:Y244)/IF(VLOOKUP($A244,EnrollData2324,'2324 Jun 24 Enroll'!M$1,FALSE)+VLOOKUP($A244,EnrollData2324,'2324 Jun 24 Enroll'!D$1,FALSE)='District Calculations'!$D$25+'District Calculations'!$D$11,VLOOKUP($A244,EnrollData2324,'2324 Jun 24 Enroll'!M$1,FALSE)+VLOOKUP($A244,EnrollData2324,'2324 Jun 24 Enroll'!D$1,FALSE),'District Calculations'!$D$25+'District Calculations'!$D$11),5)</f>
        <v>1.7749999999999998E-2</v>
      </c>
      <c r="AA244" s="6" cm="1">
        <f t="array" ref="AA244">ROUND($J244*CIS_Base_Salary2324s*VLOOKUP($A244,EnrollData2324,'2324 Jun 24 Enroll'!S$1,FALSE),2)</f>
        <v>4099.16</v>
      </c>
      <c r="AB244" s="6" cm="1">
        <f t="array" ref="AB244">ROUND($J244*CIS_Inc_Salary2324s*(VLOOKUP($A244,EnrollData2324,'2324 Jun 24 Enroll'!T$1,FALSE)+VLOOKUP($A244,EnrollData2324,'2324 Jun 24 Enroll'!U$1,FALSE)),2)-AA244</f>
        <v>151.68000000000029</v>
      </c>
      <c r="AC244" s="6" cm="1">
        <f t="array" ref="AC244">ROUND($R244*CAS_Base_Salary2324s*VLOOKUP($A244,EnrollData2324,'2324 Jun 24 Enroll'!S$1,FALSE),2)</f>
        <v>450.35</v>
      </c>
      <c r="AD244" s="6" cm="1">
        <f t="array" ref="AD244">ROUND($R244*CAS_Inc_Salary2324s*VLOOKUP($A244,EnrollData2324,'2324 Jun 24 Enroll'!T$1,FALSE),2)-AC244</f>
        <v>16.669999999999959</v>
      </c>
      <c r="AE244" s="6" cm="1">
        <f t="array" ref="AE244">ROUND($Z244*CLS_Base_Salary2324s*VLOOKUP($A244,EnrollData2324,'2324 Jun 24 Enroll'!S$1,FALSE),2)</f>
        <v>939.96</v>
      </c>
      <c r="AF244" s="6" cm="1">
        <f t="array" ref="AF244">ROUND($Z244*CLS_Inc_Salary2324s*VLOOKUP($A244,EnrollData2324,'2324 Jun 24 Enroll'!T$1,FALSE),2)-AE244</f>
        <v>34.769999999999982</v>
      </c>
      <c r="AG244" cm="1">
        <f t="array" ref="AG244">ROUND(($J244+$R244)*Apport_124X2324s,2)</f>
        <v>734.29</v>
      </c>
      <c r="AH244" s="69">
        <f t="shared" si="24"/>
        <v>68.700000000000045</v>
      </c>
      <c r="AI244" cm="1">
        <f t="array" ref="AI244">ROUND($Z244*Apport_124X2324s,2)</f>
        <v>218.54</v>
      </c>
      <c r="AJ244" cm="1">
        <f t="array" ref="AJ244">ROUND($Z244*Apport_621X2324s*Apport_125X2324s,2)-AI244</f>
        <v>116.51000000000002</v>
      </c>
      <c r="AK244" cm="1">
        <f t="array" ref="AK244">ROUND((AA244+AC244)*Apport_126X2324s,2)</f>
        <v>817.55</v>
      </c>
      <c r="AL244" cm="1">
        <f t="array" ref="AL244">ROUND((AB244+AD244)*Apport_127X2324s,2)</f>
        <v>29.18</v>
      </c>
      <c r="AM244" cm="1">
        <f t="array" ref="AM244">ROUND(AE244*Apport_128X2324s,2)</f>
        <v>207.36</v>
      </c>
      <c r="AN244" cm="1">
        <f t="array" ref="AN244">ROUND(AF244*Apport_129X2324s,2)</f>
        <v>6.45</v>
      </c>
      <c r="AO244" cm="1">
        <f t="array" ref="AO244">ROUND(($J244*CIS_Inc_Salary2324s*(VLOOKUP($A244,EnrollData2324,'2324 Jun 24 Enroll'!T$1,FALSE)+VLOOKUP($A244,EnrollData2324,'2324 Jun 24 Enroll'!U$1,FALSE))/Apport_613Xpd)*Apport_614Xpd,2)</f>
        <v>70.849999999999994</v>
      </c>
      <c r="AP244" cm="1">
        <f t="array" ref="AP244">ROUND(AO244*Apport_127X2324s,2)</f>
        <v>12.28</v>
      </c>
      <c r="AQ244">
        <f t="shared" si="25"/>
        <v>30.93</v>
      </c>
      <c r="AR244" s="6" cm="1">
        <f t="array" ref="AR244">ROUND((VLOOKUP($A244,EnrollData2324,'2324 Jun 24 Enroll'!D$1,FALSE)*Apport_M802324s+VLOOKUP($A244,EnrollData2324,'2324 Jun 24 Enroll'!M$1,FALSE)*Apport_M802324s+(VLOOKUP($A244,EnrollData2324,'2324 Jun 24 Enroll'!P$1,FALSE)+VLOOKUP($A244,EnrollData2324,'2324 Jun 24 Enroll'!Q$1,FALSE)+VLOOKUP($A244,EnrollData2324,'2324 Jun 24 Enroll'!R$1,FALSE)+VLOOKUP($A244,EnrollData2324,'2324 Jun 24 Enroll'!I$1,FALSE)+VLOOKUP($A244,EnrollData2324,'2324 Jun 24 Enroll'!N$1,FALSE)+VLOOKUP($A244,EnrollData2324,'2324 Jun 24 Enroll'!O$1,FALSE)+VLOOKUP($A244,EnrollData2324,'2324 Jun 24 Enroll'!K$1,FALSE)+VLOOKUP($A244,EnrollData2324,'2324 Jun 24 Enroll'!L$1,FALSE))*Apport_M812324s)/(VLOOKUP($A244,EnrollData2324,'2324 Jun 24 Enroll'!M$1,FALSE)+VLOOKUP($A244,EnrollData2324,'2324 Jun 24 Enroll'!D$1,FALSE)),2)</f>
        <v>1572.75</v>
      </c>
      <c r="AS244" s="7">
        <f t="shared" si="26"/>
        <v>9577.98</v>
      </c>
    </row>
    <row r="245" spans="1:45">
      <c r="A245" s="40" t="s">
        <v>665</v>
      </c>
      <c r="B245" s="40" t="s">
        <v>666</v>
      </c>
      <c r="C245" s="11">
        <f>ROUND((IFERROR((1/IF(VLOOKUP($A245,EnrollData2324,28,FALSE)='District Calculations'!$D$10,VLOOKUP($A245,EnrollData2324,28,FALSE),'District Calculations'!$D$10))*(1+Apport_Z315),0))+Apport_201A2324s,6)</f>
        <v>7.3449E-2</v>
      </c>
      <c r="D245">
        <f>ROUND(IF(VLOOKUP($A245,EnrollData2324,'2324 Jun 24 Enroll'!D$1,FALSE)='District Calculations'!$D$11,VLOOKUP($A245,EnrollData2324,'2324 Jun 24 Enroll'!D$1,FALSE),'District Calculations'!$D$11)*C245,3)</f>
        <v>0</v>
      </c>
      <c r="E245">
        <f>ROUND(IF(VLOOKUP($A245,EnrollData2324,'2324 Jun 24 Enroll'!E$1,FALSE)='District Calculations'!$D$12,VLOOKUP($A245,EnrollData2324,'2324 Jun 24 Enroll'!E$1,FALSE),'District Calculations'!$D$12)*C245,3)</f>
        <v>59.53</v>
      </c>
      <c r="F245">
        <f>ROUND(IF(VLOOKUP($A245,EnrollData2324,'2324 Jun 24 Enroll'!F$1,FALSE)='District Calculations'!$D$13,VLOOKUP($A245,EnrollData2324,'2324 Jun 24 Enroll'!F$1,FALSE),'District Calculations'!$D$13)*Apport_222A2324s,3)</f>
        <v>10.101000000000001</v>
      </c>
      <c r="G245">
        <f>ROUND(IF(VLOOKUP($A245,EnrollData2324,'2324 Jun 24 Enroll'!G$1,FALSE)='District Calculations'!$D$14,VLOOKUP($A245,EnrollData2324,'2324 Jun 24 Enroll'!G$1,FALSE),'District Calculations'!$D$14)*Apport_210A2324s,3)</f>
        <v>22.395</v>
      </c>
      <c r="H245">
        <f>ROUND(IF(VLOOKUP($A245,EnrollData2324,'2324 Jun 24 Enroll'!H$1,FALSE)='District Calculations'!$D$15,VLOOKUP($A245,EnrollData2324,'2324 Jun 24 Enroll'!H$1,FALSE),'District Calculations'!$D$15)*Apport_213A2324s,3)</f>
        <v>23.091999999999999</v>
      </c>
      <c r="I245">
        <f>ROUND(IF(VLOOKUP($A245,EnrollData2324,'2324 Jun 24 Enroll'!I$1,FALSE)+VLOOKUP($A245,EnrollData2324,'2324 Jun 24 Enroll'!M$1,FALSE)-VLOOKUP($A245,EnrollData2324,'2324 Jun 24 Enroll'!J$1,FALSE)='District Calculations'!$D$16+'District Calculations'!$D$25-'District Calculations'!$D$17,VLOOKUP($A245,EnrollData2324,'2324 Jun 24 Enroll'!I$1,FALSE)+VLOOKUP($A245,EnrollData2324,'2324 Jun 24 Enroll'!M$1,FALSE)-VLOOKUP($A245,EnrollData2324,'2324 Jun 24 Enroll'!J$1,FALSE),'District Calculations'!$D$16+'District Calculations'!$D$25-'District Calculations'!$D$17)*Apport_216A2324s,3)</f>
        <v>58.183999999999997</v>
      </c>
      <c r="J245">
        <f>ROUND(SUM(D245:I245)/(IF(VLOOKUP($A245,EnrollData2324,'2324 Jun 24 Enroll'!M$1,FALSE)='District Calculations'!$D$25,VLOOKUP($A245,EnrollData2324,'2324 Jun 24 Enroll'!M$1,FALSE),'District Calculations'!$D$25)+IF(VLOOKUP($A245,EnrollData2324,'2324 Jun 24 Enroll'!D$1,FALSE)='District Calculations'!$D$11,VLOOKUP($A245,EnrollData2324,'2324 Jun 24 Enroll'!D$1,FALSE),'District Calculations'!$D$11)),5)</f>
        <v>5.5530000000000003E-2</v>
      </c>
      <c r="K245" s="11">
        <f t="shared" si="22"/>
        <v>4.3699999999999998E-3</v>
      </c>
      <c r="L245">
        <f>ROUND(IF(VLOOKUP($A245,EnrollData2324,'2324 Jun 24 Enroll'!D$1,FALSE)='District Calculations'!$D$11,VLOOKUP($A245,EnrollData2324,'2324 Jun 24 Enroll'!D$1,FALSE),'District Calculations'!$D$11)*K245,3)</f>
        <v>0</v>
      </c>
      <c r="M245">
        <f>ROUND(IF(VLOOKUP($A245,EnrollData2324,'2324 Jun 24 Enroll'!E$1,FALSE)='District Calculations'!$D$12,VLOOKUP($A245,EnrollData2324,'2324 Jun 24 Enroll'!E$1,FALSE),'District Calculations'!$D$12)*K245,3)</f>
        <v>3.5419999999999998</v>
      </c>
      <c r="N245">
        <f>ROUND(IF(VLOOKUP($A245,EnrollData2324,'2324 Jun 24 Enroll'!F$1,FALSE)='District Calculations'!$D$13,VLOOKUP($A245,EnrollData2324,'2324 Jun 24 Enroll'!F$1,FALSE),'District Calculations'!$D$13)*Apport_223A2324s,3)</f>
        <v>0.84299999999999997</v>
      </c>
      <c r="O245">
        <f>ROUND(IF(VLOOKUP($A245,EnrollData2324,'2324 Jun 24 Enroll'!G$1,FALSE)='District Calculations'!$D$14,VLOOKUP($A245,EnrollData2324,'2324 Jun 24 Enroll'!G$1,FALSE),'District Calculations'!$D$14)*Apport_211A2324s,3)</f>
        <v>1.87</v>
      </c>
      <c r="P245">
        <f>ROUND(IF(VLOOKUP($A245,EnrollData2324,'2324 Jun 24 Enroll'!H$1,FALSE)='District Calculations'!$D$14,VLOOKUP($A245,EnrollData2324,'2324 Jun 24 Enroll'!H$1,FALSE),'District Calculations'!$D$14)*Apport_214A2324s,3)</f>
        <v>1.8680000000000001</v>
      </c>
      <c r="Q245">
        <f>ROUND(IF(VLOOKUP($A245,EnrollData2324,'2324 Jun 24 Enroll'!I$1,FALSE)+VLOOKUP($A245,EnrollData2324,'2324 Jun 24 Enroll'!M$1,FALSE)-VLOOKUP($A245,EnrollData2324,'2324 Jun 24 Enroll'!J$1,FALSE)='District Calculations'!$D$16+'District Calculations'!$D$25-'District Calculations'!$D$17,VLOOKUP($A245,EnrollData2324,'2324 Jun 24 Enroll'!I$1,FALSE)+VLOOKUP($A245,EnrollData2324,'2324 Jun 24 Enroll'!M$1,FALSE)-VLOOKUP($A245,EnrollData2324,'2324 Jun 24 Enroll'!J$1,FALSE),'District Calculations'!$D$16+'District Calculations'!$D$25-'District Calculations'!$D$17)*Apport_217A2324s,3)</f>
        <v>4.702</v>
      </c>
      <c r="R245">
        <f>ROUND(SUM(L245:Q245)/IF(VLOOKUP($A245,EnrollData2324,'2324 Jun 24 Enroll'!M$1,FALSE)+VLOOKUP($A245,EnrollData2324,'2324 Jun 24 Enroll'!D$1,FALSE)='District Calculations'!$D$25+'District Calculations'!$D$11,VLOOKUP($A245,EnrollData2324,'2324 Jun 24 Enroll'!M$1,FALSE)+VLOOKUP($A245,EnrollData2324,'2324 Jun 24 Enroll'!D$1,FALSE),'District Calculations'!$D$25+'District Calculations'!$D$11),5)</f>
        <v>4.1099999999999999E-3</v>
      </c>
      <c r="S245" s="11">
        <f t="shared" si="23"/>
        <v>1.8689600000000001E-2</v>
      </c>
      <c r="T245">
        <f>ROUND(IF(VLOOKUP($A245,EnrollData2324,'2324 Jun 24 Enroll'!D$1,FALSE)='District Calculations'!$D$11,VLOOKUP($A245,EnrollData2324,'2324 Jun 24 Enroll'!D$1,FALSE),'District Calculations'!$D$11)*S245,3)</f>
        <v>0</v>
      </c>
      <c r="U245">
        <f>ROUND(IF(VLOOKUP($A245,EnrollData2324,'2324 Jun 24 Enroll'!E$1,FALSE)='District Calculations'!$D$12,VLOOKUP($A245,EnrollData2324,'2324 Jun 24 Enroll'!E$1,FALSE),'District Calculations'!$D$12)*S245,3)</f>
        <v>15.148</v>
      </c>
      <c r="V245">
        <f>ROUND(IF(VLOOKUP($A245,EnrollData2324,'2324 Jun 24 Enroll'!F$1,FALSE)='District Calculations'!$D$13,VLOOKUP($A245,EnrollData2324,'2324 Jun 24 Enroll'!F$1,FALSE),'District Calculations'!$D$13)*Apport_224A2324s,3)</f>
        <v>3.7029999999999998</v>
      </c>
      <c r="W245">
        <f>ROUND(IF(VLOOKUP($A245,EnrollData2324,'2324 Jun 24 Enroll'!G$1,FALSE)='District Calculations'!$D$14,VLOOKUP($A245,EnrollData2324,'2324 Jun 24 Enroll'!G$1,FALSE),'District Calculations'!$D$14)*Apport_212A2324s,3)</f>
        <v>8.2089999999999996</v>
      </c>
      <c r="X245">
        <f>ROUND(IF(VLOOKUP($A245,EnrollData2324,'2324 Jun 24 Enroll'!H$1,FALSE)='District Calculations'!$D$14,VLOOKUP($A245,EnrollData2324,'2324 Jun 24 Enroll'!H$1,FALSE),'District Calculations'!$D$14)*Apport_215A2324s,3)</f>
        <v>8.0969999999999995</v>
      </c>
      <c r="Y245">
        <f>ROUND(IF(VLOOKUP($A245,EnrollData2324,'2324 Jun 24 Enroll'!I$1,FALSE)+VLOOKUP($A245,EnrollData2324,'2324 Jun 24 Enroll'!M$1,FALSE)-VLOOKUP($A245,EnrollData2324,'2324 Jun 24 Enroll'!J$1,FALSE)='District Calculations'!$D$16+'District Calculations'!$D$25-'District Calculations'!$D$17,VLOOKUP($A245,EnrollData2324,'2324 Jun 24 Enroll'!I$1,FALSE)+VLOOKUP($A245,EnrollData2324,'2324 Jun 24 Enroll'!M$1,FALSE)-VLOOKUP($A245,EnrollData2324,'2324 Jun 24 Enroll'!J$1,FALSE),'District Calculations'!$D$16+'District Calculations'!$D$25-'District Calculations'!$D$17)*Apport_218A2324s,3)</f>
        <v>20.224</v>
      </c>
      <c r="Z245">
        <f>ROUND(SUM(T245:Y245)/IF(VLOOKUP($A245,EnrollData2324,'2324 Jun 24 Enroll'!M$1,FALSE)+VLOOKUP($A245,EnrollData2324,'2324 Jun 24 Enroll'!D$1,FALSE)='District Calculations'!$D$25+'District Calculations'!$D$11,VLOOKUP($A245,EnrollData2324,'2324 Jun 24 Enroll'!M$1,FALSE)+VLOOKUP($A245,EnrollData2324,'2324 Jun 24 Enroll'!D$1,FALSE),'District Calculations'!$D$25+'District Calculations'!$D$11),5)</f>
        <v>1.7749999999999998E-2</v>
      </c>
      <c r="AA245" s="6" cm="1">
        <f t="array" ref="AA245">ROUND($J245*CIS_Base_Salary2324s*VLOOKUP($A245,EnrollData2324,'2324 Jun 24 Enroll'!S$1,FALSE),2)</f>
        <v>4038.59</v>
      </c>
      <c r="AB245" s="6" cm="1">
        <f t="array" ref="AB245">ROUND($J245*CIS_Inc_Salary2324s*(VLOOKUP($A245,EnrollData2324,'2324 Jun 24 Enroll'!T$1,FALSE)+VLOOKUP($A245,EnrollData2324,'2324 Jun 24 Enroll'!U$1,FALSE)),2)-AA245</f>
        <v>149.43000000000029</v>
      </c>
      <c r="AC245" s="6" cm="1">
        <f t="array" ref="AC245">ROUND($R245*CAS_Base_Salary2324s*VLOOKUP($A245,EnrollData2324,'2324 Jun 24 Enroll'!S$1,FALSE),2)</f>
        <v>443.7</v>
      </c>
      <c r="AD245" s="6" cm="1">
        <f t="array" ref="AD245">ROUND($R245*CAS_Inc_Salary2324s*VLOOKUP($A245,EnrollData2324,'2324 Jun 24 Enroll'!T$1,FALSE),2)-AC245</f>
        <v>16.410000000000025</v>
      </c>
      <c r="AE245" s="6" cm="1">
        <f t="array" ref="AE245">ROUND($Z245*CLS_Base_Salary2324s*VLOOKUP($A245,EnrollData2324,'2324 Jun 24 Enroll'!S$1,FALSE),2)</f>
        <v>926.07</v>
      </c>
      <c r="AF245" s="6" cm="1">
        <f t="array" ref="AF245">ROUND($Z245*CLS_Inc_Salary2324s*VLOOKUP($A245,EnrollData2324,'2324 Jun 24 Enroll'!T$1,FALSE),2)-AE245</f>
        <v>34.259999999999991</v>
      </c>
      <c r="AG245" cm="1">
        <f t="array" ref="AG245">ROUND(($J245+$R245)*Apport_124X2324s,2)</f>
        <v>734.29</v>
      </c>
      <c r="AH245" s="69">
        <f t="shared" si="24"/>
        <v>68.700000000000045</v>
      </c>
      <c r="AI245" cm="1">
        <f t="array" ref="AI245">ROUND($Z245*Apport_124X2324s,2)</f>
        <v>218.54</v>
      </c>
      <c r="AJ245" cm="1">
        <f t="array" ref="AJ245">ROUND($Z245*Apport_621X2324s*Apport_125X2324s,2)-AI245</f>
        <v>116.51000000000002</v>
      </c>
      <c r="AK245" cm="1">
        <f t="array" ref="AK245">ROUND((AA245+AC245)*Apport_126X2324s,2)</f>
        <v>805.47</v>
      </c>
      <c r="AL245" cm="1">
        <f t="array" ref="AL245">ROUND((AB245+AD245)*Apport_127X2324s,2)</f>
        <v>28.74</v>
      </c>
      <c r="AM245" cm="1">
        <f t="array" ref="AM245">ROUND(AE245*Apport_128X2324s,2)</f>
        <v>204.29</v>
      </c>
      <c r="AN245" cm="1">
        <f t="array" ref="AN245">ROUND(AF245*Apport_129X2324s,2)</f>
        <v>6.36</v>
      </c>
      <c r="AO245" cm="1">
        <f t="array" ref="AO245">ROUND(($J245*CIS_Inc_Salary2324s*(VLOOKUP($A245,EnrollData2324,'2324 Jun 24 Enroll'!T$1,FALSE)+VLOOKUP($A245,EnrollData2324,'2324 Jun 24 Enroll'!U$1,FALSE))/Apport_613Xpd)*Apport_614Xpd,2)</f>
        <v>69.8</v>
      </c>
      <c r="AP245" cm="1">
        <f t="array" ref="AP245">ROUND(AO245*Apport_127X2324s,2)</f>
        <v>12.1</v>
      </c>
      <c r="AQ245">
        <f t="shared" si="25"/>
        <v>30.93</v>
      </c>
      <c r="AR245" s="6" cm="1">
        <f t="array" ref="AR245">ROUND((VLOOKUP($A245,EnrollData2324,'2324 Jun 24 Enroll'!D$1,FALSE)*Apport_M802324s+VLOOKUP($A245,EnrollData2324,'2324 Jun 24 Enroll'!M$1,FALSE)*Apport_M802324s+(VLOOKUP($A245,EnrollData2324,'2324 Jun 24 Enroll'!P$1,FALSE)+VLOOKUP($A245,EnrollData2324,'2324 Jun 24 Enroll'!Q$1,FALSE)+VLOOKUP($A245,EnrollData2324,'2324 Jun 24 Enroll'!R$1,FALSE)+VLOOKUP($A245,EnrollData2324,'2324 Jun 24 Enroll'!I$1,FALSE)+VLOOKUP($A245,EnrollData2324,'2324 Jun 24 Enroll'!N$1,FALSE)+VLOOKUP($A245,EnrollData2324,'2324 Jun 24 Enroll'!O$1,FALSE)+VLOOKUP($A245,EnrollData2324,'2324 Jun 24 Enroll'!K$1,FALSE)+VLOOKUP($A245,EnrollData2324,'2324 Jun 24 Enroll'!L$1,FALSE))*Apport_M812324s)/(VLOOKUP($A245,EnrollData2324,'2324 Jun 24 Enroll'!M$1,FALSE)+VLOOKUP($A245,EnrollData2324,'2324 Jun 24 Enroll'!D$1,FALSE)),2)</f>
        <v>1504.44</v>
      </c>
      <c r="AS245" s="7">
        <f t="shared" si="26"/>
        <v>9408.630000000001</v>
      </c>
    </row>
    <row r="246" spans="1:45">
      <c r="A246" s="40" t="s">
        <v>492</v>
      </c>
      <c r="B246" s="40" t="s">
        <v>493</v>
      </c>
      <c r="C246" s="11">
        <f>ROUND((IFERROR((1/IF(VLOOKUP($A246,EnrollData2324,28,FALSE)='District Calculations'!$D$10,VLOOKUP($A246,EnrollData2324,28,FALSE),'District Calculations'!$D$10))*(1+Apport_Z315),0))+Apport_201A2324s,6)</f>
        <v>7.3449E-2</v>
      </c>
      <c r="D246">
        <f>ROUND(IF(VLOOKUP($A246,EnrollData2324,'2324 Jun 24 Enroll'!D$1,FALSE)='District Calculations'!$D$11,VLOOKUP($A246,EnrollData2324,'2324 Jun 24 Enroll'!D$1,FALSE),'District Calculations'!$D$11)*C246,3)</f>
        <v>0</v>
      </c>
      <c r="E246">
        <f>ROUND(IF(VLOOKUP($A246,EnrollData2324,'2324 Jun 24 Enroll'!E$1,FALSE)='District Calculations'!$D$12,VLOOKUP($A246,EnrollData2324,'2324 Jun 24 Enroll'!E$1,FALSE),'District Calculations'!$D$12)*C246,3)</f>
        <v>59.53</v>
      </c>
      <c r="F246">
        <f>ROUND(IF(VLOOKUP($A246,EnrollData2324,'2324 Jun 24 Enroll'!F$1,FALSE)='District Calculations'!$D$13,VLOOKUP($A246,EnrollData2324,'2324 Jun 24 Enroll'!F$1,FALSE),'District Calculations'!$D$13)*Apport_222A2324s,3)</f>
        <v>10.101000000000001</v>
      </c>
      <c r="G246">
        <f>ROUND(IF(VLOOKUP($A246,EnrollData2324,'2324 Jun 24 Enroll'!G$1,FALSE)='District Calculations'!$D$14,VLOOKUP($A246,EnrollData2324,'2324 Jun 24 Enroll'!G$1,FALSE),'District Calculations'!$D$14)*Apport_210A2324s,3)</f>
        <v>22.395</v>
      </c>
      <c r="H246">
        <f>ROUND(IF(VLOOKUP($A246,EnrollData2324,'2324 Jun 24 Enroll'!H$1,FALSE)='District Calculations'!$D$15,VLOOKUP($A246,EnrollData2324,'2324 Jun 24 Enroll'!H$1,FALSE),'District Calculations'!$D$15)*Apport_213A2324s,3)</f>
        <v>23.091999999999999</v>
      </c>
      <c r="I246">
        <f>ROUND(IF(VLOOKUP($A246,EnrollData2324,'2324 Jun 24 Enroll'!I$1,FALSE)+VLOOKUP($A246,EnrollData2324,'2324 Jun 24 Enroll'!M$1,FALSE)-VLOOKUP($A246,EnrollData2324,'2324 Jun 24 Enroll'!J$1,FALSE)='District Calculations'!$D$16+'District Calculations'!$D$25-'District Calculations'!$D$17,VLOOKUP($A246,EnrollData2324,'2324 Jun 24 Enroll'!I$1,FALSE)+VLOOKUP($A246,EnrollData2324,'2324 Jun 24 Enroll'!M$1,FALSE)-VLOOKUP($A246,EnrollData2324,'2324 Jun 24 Enroll'!J$1,FALSE),'District Calculations'!$D$16+'District Calculations'!$D$25-'District Calculations'!$D$17)*Apport_216A2324s,3)</f>
        <v>58.183999999999997</v>
      </c>
      <c r="J246">
        <f>ROUND(SUM(D246:I246)/(IF(VLOOKUP($A246,EnrollData2324,'2324 Jun 24 Enroll'!M$1,FALSE)='District Calculations'!$D$25,VLOOKUP($A246,EnrollData2324,'2324 Jun 24 Enroll'!M$1,FALSE),'District Calculations'!$D$25)+IF(VLOOKUP($A246,EnrollData2324,'2324 Jun 24 Enroll'!D$1,FALSE)='District Calculations'!$D$11,VLOOKUP($A246,EnrollData2324,'2324 Jun 24 Enroll'!D$1,FALSE),'District Calculations'!$D$11)),5)</f>
        <v>5.5530000000000003E-2</v>
      </c>
      <c r="K246" s="11">
        <f t="shared" si="22"/>
        <v>4.3699999999999998E-3</v>
      </c>
      <c r="L246">
        <f>ROUND(IF(VLOOKUP($A246,EnrollData2324,'2324 Jun 24 Enroll'!D$1,FALSE)='District Calculations'!$D$11,VLOOKUP($A246,EnrollData2324,'2324 Jun 24 Enroll'!D$1,FALSE),'District Calculations'!$D$11)*K246,3)</f>
        <v>0</v>
      </c>
      <c r="M246">
        <f>ROUND(IF(VLOOKUP($A246,EnrollData2324,'2324 Jun 24 Enroll'!E$1,FALSE)='District Calculations'!$D$12,VLOOKUP($A246,EnrollData2324,'2324 Jun 24 Enroll'!E$1,FALSE),'District Calculations'!$D$12)*K246,3)</f>
        <v>3.5419999999999998</v>
      </c>
      <c r="N246">
        <f>ROUND(IF(VLOOKUP($A246,EnrollData2324,'2324 Jun 24 Enroll'!F$1,FALSE)='District Calculations'!$D$13,VLOOKUP($A246,EnrollData2324,'2324 Jun 24 Enroll'!F$1,FALSE),'District Calculations'!$D$13)*Apport_223A2324s,3)</f>
        <v>0.84299999999999997</v>
      </c>
      <c r="O246">
        <f>ROUND(IF(VLOOKUP($A246,EnrollData2324,'2324 Jun 24 Enroll'!G$1,FALSE)='District Calculations'!$D$14,VLOOKUP($A246,EnrollData2324,'2324 Jun 24 Enroll'!G$1,FALSE),'District Calculations'!$D$14)*Apport_211A2324s,3)</f>
        <v>1.87</v>
      </c>
      <c r="P246">
        <f>ROUND(IF(VLOOKUP($A246,EnrollData2324,'2324 Jun 24 Enroll'!H$1,FALSE)='District Calculations'!$D$14,VLOOKUP($A246,EnrollData2324,'2324 Jun 24 Enroll'!H$1,FALSE),'District Calculations'!$D$14)*Apport_214A2324s,3)</f>
        <v>1.8680000000000001</v>
      </c>
      <c r="Q246">
        <f>ROUND(IF(VLOOKUP($A246,EnrollData2324,'2324 Jun 24 Enroll'!I$1,FALSE)+VLOOKUP($A246,EnrollData2324,'2324 Jun 24 Enroll'!M$1,FALSE)-VLOOKUP($A246,EnrollData2324,'2324 Jun 24 Enroll'!J$1,FALSE)='District Calculations'!$D$16+'District Calculations'!$D$25-'District Calculations'!$D$17,VLOOKUP($A246,EnrollData2324,'2324 Jun 24 Enroll'!I$1,FALSE)+VLOOKUP($A246,EnrollData2324,'2324 Jun 24 Enroll'!M$1,FALSE)-VLOOKUP($A246,EnrollData2324,'2324 Jun 24 Enroll'!J$1,FALSE),'District Calculations'!$D$16+'District Calculations'!$D$25-'District Calculations'!$D$17)*Apport_217A2324s,3)</f>
        <v>4.702</v>
      </c>
      <c r="R246">
        <f>ROUND(SUM(L246:Q246)/IF(VLOOKUP($A246,EnrollData2324,'2324 Jun 24 Enroll'!M$1,FALSE)+VLOOKUP($A246,EnrollData2324,'2324 Jun 24 Enroll'!D$1,FALSE)='District Calculations'!$D$25+'District Calculations'!$D$11,VLOOKUP($A246,EnrollData2324,'2324 Jun 24 Enroll'!M$1,FALSE)+VLOOKUP($A246,EnrollData2324,'2324 Jun 24 Enroll'!D$1,FALSE),'District Calculations'!$D$25+'District Calculations'!$D$11),5)</f>
        <v>4.1099999999999999E-3</v>
      </c>
      <c r="S246" s="11">
        <f t="shared" si="23"/>
        <v>1.8689600000000001E-2</v>
      </c>
      <c r="T246">
        <f>ROUND(IF(VLOOKUP($A246,EnrollData2324,'2324 Jun 24 Enroll'!D$1,FALSE)='District Calculations'!$D$11,VLOOKUP($A246,EnrollData2324,'2324 Jun 24 Enroll'!D$1,FALSE),'District Calculations'!$D$11)*S246,3)</f>
        <v>0</v>
      </c>
      <c r="U246">
        <f>ROUND(IF(VLOOKUP($A246,EnrollData2324,'2324 Jun 24 Enroll'!E$1,FALSE)='District Calculations'!$D$12,VLOOKUP($A246,EnrollData2324,'2324 Jun 24 Enroll'!E$1,FALSE),'District Calculations'!$D$12)*S246,3)</f>
        <v>15.148</v>
      </c>
      <c r="V246">
        <f>ROUND(IF(VLOOKUP($A246,EnrollData2324,'2324 Jun 24 Enroll'!F$1,FALSE)='District Calculations'!$D$13,VLOOKUP($A246,EnrollData2324,'2324 Jun 24 Enroll'!F$1,FALSE),'District Calculations'!$D$13)*Apport_224A2324s,3)</f>
        <v>3.7029999999999998</v>
      </c>
      <c r="W246">
        <f>ROUND(IF(VLOOKUP($A246,EnrollData2324,'2324 Jun 24 Enroll'!G$1,FALSE)='District Calculations'!$D$14,VLOOKUP($A246,EnrollData2324,'2324 Jun 24 Enroll'!G$1,FALSE),'District Calculations'!$D$14)*Apport_212A2324s,3)</f>
        <v>8.2089999999999996</v>
      </c>
      <c r="X246">
        <f>ROUND(IF(VLOOKUP($A246,EnrollData2324,'2324 Jun 24 Enroll'!H$1,FALSE)='District Calculations'!$D$14,VLOOKUP($A246,EnrollData2324,'2324 Jun 24 Enroll'!H$1,FALSE),'District Calculations'!$D$14)*Apport_215A2324s,3)</f>
        <v>8.0969999999999995</v>
      </c>
      <c r="Y246">
        <f>ROUND(IF(VLOOKUP($A246,EnrollData2324,'2324 Jun 24 Enroll'!I$1,FALSE)+VLOOKUP($A246,EnrollData2324,'2324 Jun 24 Enroll'!M$1,FALSE)-VLOOKUP($A246,EnrollData2324,'2324 Jun 24 Enroll'!J$1,FALSE)='District Calculations'!$D$16+'District Calculations'!$D$25-'District Calculations'!$D$17,VLOOKUP($A246,EnrollData2324,'2324 Jun 24 Enroll'!I$1,FALSE)+VLOOKUP($A246,EnrollData2324,'2324 Jun 24 Enroll'!M$1,FALSE)-VLOOKUP($A246,EnrollData2324,'2324 Jun 24 Enroll'!J$1,FALSE),'District Calculations'!$D$16+'District Calculations'!$D$25-'District Calculations'!$D$17)*Apport_218A2324s,3)</f>
        <v>20.224</v>
      </c>
      <c r="Z246">
        <f>ROUND(SUM(T246:Y246)/IF(VLOOKUP($A246,EnrollData2324,'2324 Jun 24 Enroll'!M$1,FALSE)+VLOOKUP($A246,EnrollData2324,'2324 Jun 24 Enroll'!D$1,FALSE)='District Calculations'!$D$25+'District Calculations'!$D$11,VLOOKUP($A246,EnrollData2324,'2324 Jun 24 Enroll'!M$1,FALSE)+VLOOKUP($A246,EnrollData2324,'2324 Jun 24 Enroll'!D$1,FALSE),'District Calculations'!$D$25+'District Calculations'!$D$11),5)</f>
        <v>1.7749999999999998E-2</v>
      </c>
      <c r="AA246" s="6" cm="1">
        <f t="array" ref="AA246">ROUND($J246*CIS_Base_Salary2324s*VLOOKUP($A246,EnrollData2324,'2324 Jun 24 Enroll'!S$1,FALSE),2)</f>
        <v>4038.59</v>
      </c>
      <c r="AB246" s="6" cm="1">
        <f t="array" ref="AB246">ROUND($J246*CIS_Inc_Salary2324s*(VLOOKUP($A246,EnrollData2324,'2324 Jun 24 Enroll'!T$1,FALSE)+VLOOKUP($A246,EnrollData2324,'2324 Jun 24 Enroll'!U$1,FALSE)),2)-AA246</f>
        <v>149.43000000000029</v>
      </c>
      <c r="AC246" s="6" cm="1">
        <f t="array" ref="AC246">ROUND($R246*CAS_Base_Salary2324s*VLOOKUP($A246,EnrollData2324,'2324 Jun 24 Enroll'!S$1,FALSE),2)</f>
        <v>443.7</v>
      </c>
      <c r="AD246" s="6" cm="1">
        <f t="array" ref="AD246">ROUND($R246*CAS_Inc_Salary2324s*VLOOKUP($A246,EnrollData2324,'2324 Jun 24 Enroll'!T$1,FALSE),2)-AC246</f>
        <v>16.410000000000025</v>
      </c>
      <c r="AE246" s="6" cm="1">
        <f t="array" ref="AE246">ROUND($Z246*CLS_Base_Salary2324s*VLOOKUP($A246,EnrollData2324,'2324 Jun 24 Enroll'!S$1,FALSE),2)</f>
        <v>926.07</v>
      </c>
      <c r="AF246" s="6" cm="1">
        <f t="array" ref="AF246">ROUND($Z246*CLS_Inc_Salary2324s*VLOOKUP($A246,EnrollData2324,'2324 Jun 24 Enroll'!T$1,FALSE),2)-AE246</f>
        <v>34.259999999999991</v>
      </c>
      <c r="AG246" cm="1">
        <f t="array" ref="AG246">ROUND(($J246+$R246)*Apport_124X2324s,2)</f>
        <v>734.29</v>
      </c>
      <c r="AH246" s="69">
        <f t="shared" si="24"/>
        <v>68.700000000000045</v>
      </c>
      <c r="AI246" cm="1">
        <f t="array" ref="AI246">ROUND($Z246*Apport_124X2324s,2)</f>
        <v>218.54</v>
      </c>
      <c r="AJ246" cm="1">
        <f t="array" ref="AJ246">ROUND($Z246*Apport_621X2324s*Apport_125X2324s,2)-AI246</f>
        <v>116.51000000000002</v>
      </c>
      <c r="AK246" cm="1">
        <f t="array" ref="AK246">ROUND((AA246+AC246)*Apport_126X2324s,2)</f>
        <v>805.47</v>
      </c>
      <c r="AL246" cm="1">
        <f t="array" ref="AL246">ROUND((AB246+AD246)*Apport_127X2324s,2)</f>
        <v>28.74</v>
      </c>
      <c r="AM246" cm="1">
        <f t="array" ref="AM246">ROUND(AE246*Apport_128X2324s,2)</f>
        <v>204.29</v>
      </c>
      <c r="AN246" cm="1">
        <f t="array" ref="AN246">ROUND(AF246*Apport_129X2324s,2)</f>
        <v>6.36</v>
      </c>
      <c r="AO246" cm="1">
        <f t="array" ref="AO246">ROUND(($J246*CIS_Inc_Salary2324s*(VLOOKUP($A246,EnrollData2324,'2324 Jun 24 Enroll'!T$1,FALSE)+VLOOKUP($A246,EnrollData2324,'2324 Jun 24 Enroll'!U$1,FALSE))/Apport_613Xpd)*Apport_614Xpd,2)</f>
        <v>69.8</v>
      </c>
      <c r="AP246" cm="1">
        <f t="array" ref="AP246">ROUND(AO246*Apport_127X2324s,2)</f>
        <v>12.1</v>
      </c>
      <c r="AQ246">
        <f t="shared" si="25"/>
        <v>30.93</v>
      </c>
      <c r="AR246" s="6" cm="1">
        <f t="array" ref="AR246">ROUND((VLOOKUP($A246,EnrollData2324,'2324 Jun 24 Enroll'!D$1,FALSE)*Apport_M802324s+VLOOKUP($A246,EnrollData2324,'2324 Jun 24 Enroll'!M$1,FALSE)*Apport_M802324s+(VLOOKUP($A246,EnrollData2324,'2324 Jun 24 Enroll'!P$1,FALSE)+VLOOKUP($A246,EnrollData2324,'2324 Jun 24 Enroll'!Q$1,FALSE)+VLOOKUP($A246,EnrollData2324,'2324 Jun 24 Enroll'!R$1,FALSE)+VLOOKUP($A246,EnrollData2324,'2324 Jun 24 Enroll'!I$1,FALSE)+VLOOKUP($A246,EnrollData2324,'2324 Jun 24 Enroll'!N$1,FALSE)+VLOOKUP($A246,EnrollData2324,'2324 Jun 24 Enroll'!O$1,FALSE)+VLOOKUP($A246,EnrollData2324,'2324 Jun 24 Enroll'!K$1,FALSE)+VLOOKUP($A246,EnrollData2324,'2324 Jun 24 Enroll'!L$1,FALSE))*Apport_M812324s)/(VLOOKUP($A246,EnrollData2324,'2324 Jun 24 Enroll'!M$1,FALSE)+VLOOKUP($A246,EnrollData2324,'2324 Jun 24 Enroll'!D$1,FALSE)),2)</f>
        <v>1504.44</v>
      </c>
      <c r="AS246" s="7">
        <f t="shared" si="26"/>
        <v>9408.630000000001</v>
      </c>
    </row>
    <row r="247" spans="1:45">
      <c r="A247" s="40" t="s">
        <v>623</v>
      </c>
      <c r="B247" s="40" t="s">
        <v>624</v>
      </c>
      <c r="C247" s="11">
        <f>ROUND((IFERROR((1/IF(VLOOKUP($A247,EnrollData2324,28,FALSE)='District Calculations'!$D$10,VLOOKUP($A247,EnrollData2324,28,FALSE),'District Calculations'!$D$10))*(1+Apport_Z315),0))+Apport_201A2324s,6)</f>
        <v>7.3449E-2</v>
      </c>
      <c r="D247">
        <f>ROUND(IF(VLOOKUP($A247,EnrollData2324,'2324 Jun 24 Enroll'!D$1,FALSE)='District Calculations'!$D$11,VLOOKUP($A247,EnrollData2324,'2324 Jun 24 Enroll'!D$1,FALSE),'District Calculations'!$D$11)*C247,3)</f>
        <v>0</v>
      </c>
      <c r="E247">
        <f>ROUND(IF(VLOOKUP($A247,EnrollData2324,'2324 Jun 24 Enroll'!E$1,FALSE)='District Calculations'!$D$12,VLOOKUP($A247,EnrollData2324,'2324 Jun 24 Enroll'!E$1,FALSE),'District Calculations'!$D$12)*C247,3)</f>
        <v>59.53</v>
      </c>
      <c r="F247">
        <f>ROUND(IF(VLOOKUP($A247,EnrollData2324,'2324 Jun 24 Enroll'!F$1,FALSE)='District Calculations'!$D$13,VLOOKUP($A247,EnrollData2324,'2324 Jun 24 Enroll'!F$1,FALSE),'District Calculations'!$D$13)*Apport_222A2324s,3)</f>
        <v>10.101000000000001</v>
      </c>
      <c r="G247">
        <f>ROUND(IF(VLOOKUP($A247,EnrollData2324,'2324 Jun 24 Enroll'!G$1,FALSE)='District Calculations'!$D$14,VLOOKUP($A247,EnrollData2324,'2324 Jun 24 Enroll'!G$1,FALSE),'District Calculations'!$D$14)*Apport_210A2324s,3)</f>
        <v>22.395</v>
      </c>
      <c r="H247">
        <f>ROUND(IF(VLOOKUP($A247,EnrollData2324,'2324 Jun 24 Enroll'!H$1,FALSE)='District Calculations'!$D$15,VLOOKUP($A247,EnrollData2324,'2324 Jun 24 Enroll'!H$1,FALSE),'District Calculations'!$D$15)*Apport_213A2324s,3)</f>
        <v>23.091999999999999</v>
      </c>
      <c r="I247">
        <f>ROUND(IF(VLOOKUP($A247,EnrollData2324,'2324 Jun 24 Enroll'!I$1,FALSE)+VLOOKUP($A247,EnrollData2324,'2324 Jun 24 Enroll'!M$1,FALSE)-VLOOKUP($A247,EnrollData2324,'2324 Jun 24 Enroll'!J$1,FALSE)='District Calculations'!$D$16+'District Calculations'!$D$25-'District Calculations'!$D$17,VLOOKUP($A247,EnrollData2324,'2324 Jun 24 Enroll'!I$1,FALSE)+VLOOKUP($A247,EnrollData2324,'2324 Jun 24 Enroll'!M$1,FALSE)-VLOOKUP($A247,EnrollData2324,'2324 Jun 24 Enroll'!J$1,FALSE),'District Calculations'!$D$16+'District Calculations'!$D$25-'District Calculations'!$D$17)*Apport_216A2324s,3)</f>
        <v>58.183999999999997</v>
      </c>
      <c r="J247">
        <f>ROUND(SUM(D247:I247)/(IF(VLOOKUP($A247,EnrollData2324,'2324 Jun 24 Enroll'!M$1,FALSE)='District Calculations'!$D$25,VLOOKUP($A247,EnrollData2324,'2324 Jun 24 Enroll'!M$1,FALSE),'District Calculations'!$D$25)+IF(VLOOKUP($A247,EnrollData2324,'2324 Jun 24 Enroll'!D$1,FALSE)='District Calculations'!$D$11,VLOOKUP($A247,EnrollData2324,'2324 Jun 24 Enroll'!D$1,FALSE),'District Calculations'!$D$11)),5)</f>
        <v>5.5530000000000003E-2</v>
      </c>
      <c r="K247" s="11">
        <f t="shared" si="22"/>
        <v>4.3699999999999998E-3</v>
      </c>
      <c r="L247">
        <f>ROUND(IF(VLOOKUP($A247,EnrollData2324,'2324 Jun 24 Enroll'!D$1,FALSE)='District Calculations'!$D$11,VLOOKUP($A247,EnrollData2324,'2324 Jun 24 Enroll'!D$1,FALSE),'District Calculations'!$D$11)*K247,3)</f>
        <v>0</v>
      </c>
      <c r="M247">
        <f>ROUND(IF(VLOOKUP($A247,EnrollData2324,'2324 Jun 24 Enroll'!E$1,FALSE)='District Calculations'!$D$12,VLOOKUP($A247,EnrollData2324,'2324 Jun 24 Enroll'!E$1,FALSE),'District Calculations'!$D$12)*K247,3)</f>
        <v>3.5419999999999998</v>
      </c>
      <c r="N247">
        <f>ROUND(IF(VLOOKUP($A247,EnrollData2324,'2324 Jun 24 Enroll'!F$1,FALSE)='District Calculations'!$D$13,VLOOKUP($A247,EnrollData2324,'2324 Jun 24 Enroll'!F$1,FALSE),'District Calculations'!$D$13)*Apport_223A2324s,3)</f>
        <v>0.84299999999999997</v>
      </c>
      <c r="O247">
        <f>ROUND(IF(VLOOKUP($A247,EnrollData2324,'2324 Jun 24 Enroll'!G$1,FALSE)='District Calculations'!$D$14,VLOOKUP($A247,EnrollData2324,'2324 Jun 24 Enroll'!G$1,FALSE),'District Calculations'!$D$14)*Apport_211A2324s,3)</f>
        <v>1.87</v>
      </c>
      <c r="P247">
        <f>ROUND(IF(VLOOKUP($A247,EnrollData2324,'2324 Jun 24 Enroll'!H$1,FALSE)='District Calculations'!$D$14,VLOOKUP($A247,EnrollData2324,'2324 Jun 24 Enroll'!H$1,FALSE),'District Calculations'!$D$14)*Apport_214A2324s,3)</f>
        <v>1.8680000000000001</v>
      </c>
      <c r="Q247">
        <f>ROUND(IF(VLOOKUP($A247,EnrollData2324,'2324 Jun 24 Enroll'!I$1,FALSE)+VLOOKUP($A247,EnrollData2324,'2324 Jun 24 Enroll'!M$1,FALSE)-VLOOKUP($A247,EnrollData2324,'2324 Jun 24 Enroll'!J$1,FALSE)='District Calculations'!$D$16+'District Calculations'!$D$25-'District Calculations'!$D$17,VLOOKUP($A247,EnrollData2324,'2324 Jun 24 Enroll'!I$1,FALSE)+VLOOKUP($A247,EnrollData2324,'2324 Jun 24 Enroll'!M$1,FALSE)-VLOOKUP($A247,EnrollData2324,'2324 Jun 24 Enroll'!J$1,FALSE),'District Calculations'!$D$16+'District Calculations'!$D$25-'District Calculations'!$D$17)*Apport_217A2324s,3)</f>
        <v>4.702</v>
      </c>
      <c r="R247">
        <f>ROUND(SUM(L247:Q247)/IF(VLOOKUP($A247,EnrollData2324,'2324 Jun 24 Enroll'!M$1,FALSE)+VLOOKUP($A247,EnrollData2324,'2324 Jun 24 Enroll'!D$1,FALSE)='District Calculations'!$D$25+'District Calculations'!$D$11,VLOOKUP($A247,EnrollData2324,'2324 Jun 24 Enroll'!M$1,FALSE)+VLOOKUP($A247,EnrollData2324,'2324 Jun 24 Enroll'!D$1,FALSE),'District Calculations'!$D$25+'District Calculations'!$D$11),5)</f>
        <v>4.1099999999999999E-3</v>
      </c>
      <c r="S247" s="11">
        <f t="shared" si="23"/>
        <v>1.8689600000000001E-2</v>
      </c>
      <c r="T247">
        <f>ROUND(IF(VLOOKUP($A247,EnrollData2324,'2324 Jun 24 Enroll'!D$1,FALSE)='District Calculations'!$D$11,VLOOKUP($A247,EnrollData2324,'2324 Jun 24 Enroll'!D$1,FALSE),'District Calculations'!$D$11)*S247,3)</f>
        <v>0</v>
      </c>
      <c r="U247">
        <f>ROUND(IF(VLOOKUP($A247,EnrollData2324,'2324 Jun 24 Enroll'!E$1,FALSE)='District Calculations'!$D$12,VLOOKUP($A247,EnrollData2324,'2324 Jun 24 Enroll'!E$1,FALSE),'District Calculations'!$D$12)*S247,3)</f>
        <v>15.148</v>
      </c>
      <c r="V247">
        <f>ROUND(IF(VLOOKUP($A247,EnrollData2324,'2324 Jun 24 Enroll'!F$1,FALSE)='District Calculations'!$D$13,VLOOKUP($A247,EnrollData2324,'2324 Jun 24 Enroll'!F$1,FALSE),'District Calculations'!$D$13)*Apport_224A2324s,3)</f>
        <v>3.7029999999999998</v>
      </c>
      <c r="W247">
        <f>ROUND(IF(VLOOKUP($A247,EnrollData2324,'2324 Jun 24 Enroll'!G$1,FALSE)='District Calculations'!$D$14,VLOOKUP($A247,EnrollData2324,'2324 Jun 24 Enroll'!G$1,FALSE),'District Calculations'!$D$14)*Apport_212A2324s,3)</f>
        <v>8.2089999999999996</v>
      </c>
      <c r="X247">
        <f>ROUND(IF(VLOOKUP($A247,EnrollData2324,'2324 Jun 24 Enroll'!H$1,FALSE)='District Calculations'!$D$14,VLOOKUP($A247,EnrollData2324,'2324 Jun 24 Enroll'!H$1,FALSE),'District Calculations'!$D$14)*Apport_215A2324s,3)</f>
        <v>8.0969999999999995</v>
      </c>
      <c r="Y247">
        <f>ROUND(IF(VLOOKUP($A247,EnrollData2324,'2324 Jun 24 Enroll'!I$1,FALSE)+VLOOKUP($A247,EnrollData2324,'2324 Jun 24 Enroll'!M$1,FALSE)-VLOOKUP($A247,EnrollData2324,'2324 Jun 24 Enroll'!J$1,FALSE)='District Calculations'!$D$16+'District Calculations'!$D$25-'District Calculations'!$D$17,VLOOKUP($A247,EnrollData2324,'2324 Jun 24 Enroll'!I$1,FALSE)+VLOOKUP($A247,EnrollData2324,'2324 Jun 24 Enroll'!M$1,FALSE)-VLOOKUP($A247,EnrollData2324,'2324 Jun 24 Enroll'!J$1,FALSE),'District Calculations'!$D$16+'District Calculations'!$D$25-'District Calculations'!$D$17)*Apport_218A2324s,3)</f>
        <v>20.224</v>
      </c>
      <c r="Z247">
        <f>ROUND(SUM(T247:Y247)/IF(VLOOKUP($A247,EnrollData2324,'2324 Jun 24 Enroll'!M$1,FALSE)+VLOOKUP($A247,EnrollData2324,'2324 Jun 24 Enroll'!D$1,FALSE)='District Calculations'!$D$25+'District Calculations'!$D$11,VLOOKUP($A247,EnrollData2324,'2324 Jun 24 Enroll'!M$1,FALSE)+VLOOKUP($A247,EnrollData2324,'2324 Jun 24 Enroll'!D$1,FALSE),'District Calculations'!$D$25+'District Calculations'!$D$11),5)</f>
        <v>1.7749999999999998E-2</v>
      </c>
      <c r="AA247" s="6" cm="1">
        <f t="array" ref="AA247">ROUND($J247*CIS_Base_Salary2324s*VLOOKUP($A247,EnrollData2324,'2324 Jun 24 Enroll'!S$1,FALSE),2)</f>
        <v>4038.59</v>
      </c>
      <c r="AB247" s="6" cm="1">
        <f t="array" ref="AB247">ROUND($J247*CIS_Inc_Salary2324s*(VLOOKUP($A247,EnrollData2324,'2324 Jun 24 Enroll'!T$1,FALSE)+VLOOKUP($A247,EnrollData2324,'2324 Jun 24 Enroll'!U$1,FALSE)),2)-AA247</f>
        <v>316.94999999999982</v>
      </c>
      <c r="AC247" s="6" cm="1">
        <f t="array" ref="AC247">ROUND($R247*CAS_Base_Salary2324s*VLOOKUP($A247,EnrollData2324,'2324 Jun 24 Enroll'!S$1,FALSE),2)</f>
        <v>443.7</v>
      </c>
      <c r="AD247" s="6" cm="1">
        <f t="array" ref="AD247">ROUND($R247*CAS_Inc_Salary2324s*VLOOKUP($A247,EnrollData2324,'2324 Jun 24 Enroll'!T$1,FALSE),2)-AC247</f>
        <v>16.410000000000025</v>
      </c>
      <c r="AE247" s="6" cm="1">
        <f t="array" ref="AE247">ROUND($Z247*CLS_Base_Salary2324s*VLOOKUP($A247,EnrollData2324,'2324 Jun 24 Enroll'!S$1,FALSE),2)</f>
        <v>926.07</v>
      </c>
      <c r="AF247" s="6" cm="1">
        <f t="array" ref="AF247">ROUND($Z247*CLS_Inc_Salary2324s*VLOOKUP($A247,EnrollData2324,'2324 Jun 24 Enroll'!T$1,FALSE),2)-AE247</f>
        <v>34.259999999999991</v>
      </c>
      <c r="AG247" cm="1">
        <f t="array" ref="AG247">ROUND(($J247+$R247)*Apport_124X2324s,2)</f>
        <v>734.29</v>
      </c>
      <c r="AH247" s="69">
        <f t="shared" si="24"/>
        <v>68.700000000000045</v>
      </c>
      <c r="AI247" cm="1">
        <f t="array" ref="AI247">ROUND($Z247*Apport_124X2324s,2)</f>
        <v>218.54</v>
      </c>
      <c r="AJ247" cm="1">
        <f t="array" ref="AJ247">ROUND($Z247*Apport_621X2324s*Apport_125X2324s,2)-AI247</f>
        <v>116.51000000000002</v>
      </c>
      <c r="AK247" cm="1">
        <f t="array" ref="AK247">ROUND((AA247+AC247)*Apport_126X2324s,2)</f>
        <v>805.47</v>
      </c>
      <c r="AL247" cm="1">
        <f t="array" ref="AL247">ROUND((AB247+AD247)*Apport_127X2324s,2)</f>
        <v>57.77</v>
      </c>
      <c r="AM247" cm="1">
        <f t="array" ref="AM247">ROUND(AE247*Apport_128X2324s,2)</f>
        <v>204.29</v>
      </c>
      <c r="AN247" cm="1">
        <f t="array" ref="AN247">ROUND(AF247*Apport_129X2324s,2)</f>
        <v>6.36</v>
      </c>
      <c r="AO247" cm="1">
        <f t="array" ref="AO247">ROUND(($J247*CIS_Inc_Salary2324s*(VLOOKUP($A247,EnrollData2324,'2324 Jun 24 Enroll'!T$1,FALSE)+VLOOKUP($A247,EnrollData2324,'2324 Jun 24 Enroll'!U$1,FALSE))/Apport_613Xpd)*Apport_614Xpd,2)</f>
        <v>72.59</v>
      </c>
      <c r="AP247" cm="1">
        <f t="array" ref="AP247">ROUND(AO247*Apport_127X2324s,2)</f>
        <v>12.58</v>
      </c>
      <c r="AQ247">
        <f t="shared" si="25"/>
        <v>30.93</v>
      </c>
      <c r="AR247" s="6" cm="1">
        <f t="array" ref="AR247">ROUND((VLOOKUP($A247,EnrollData2324,'2324 Jun 24 Enroll'!D$1,FALSE)*Apport_M802324s+VLOOKUP($A247,EnrollData2324,'2324 Jun 24 Enroll'!M$1,FALSE)*Apport_M802324s+(VLOOKUP($A247,EnrollData2324,'2324 Jun 24 Enroll'!P$1,FALSE)+VLOOKUP($A247,EnrollData2324,'2324 Jun 24 Enroll'!Q$1,FALSE)+VLOOKUP($A247,EnrollData2324,'2324 Jun 24 Enroll'!R$1,FALSE)+VLOOKUP($A247,EnrollData2324,'2324 Jun 24 Enroll'!I$1,FALSE)+VLOOKUP($A247,EnrollData2324,'2324 Jun 24 Enroll'!N$1,FALSE)+VLOOKUP($A247,EnrollData2324,'2324 Jun 24 Enroll'!O$1,FALSE)+VLOOKUP($A247,EnrollData2324,'2324 Jun 24 Enroll'!K$1,FALSE)+VLOOKUP($A247,EnrollData2324,'2324 Jun 24 Enroll'!L$1,FALSE))*Apport_M812324s)/(VLOOKUP($A247,EnrollData2324,'2324 Jun 24 Enroll'!M$1,FALSE)+VLOOKUP($A247,EnrollData2324,'2324 Jun 24 Enroll'!D$1,FALSE)),2)</f>
        <v>1581.63</v>
      </c>
      <c r="AS247" s="7">
        <f t="shared" si="26"/>
        <v>9685.64</v>
      </c>
    </row>
    <row r="248" spans="1:45">
      <c r="A248" s="40" t="s">
        <v>584</v>
      </c>
      <c r="B248" s="40" t="s">
        <v>585</v>
      </c>
      <c r="C248" s="11">
        <f>ROUND((IFERROR((1/IF(VLOOKUP($A248,EnrollData2324,28,FALSE)='District Calculations'!$D$10,VLOOKUP($A248,EnrollData2324,28,FALSE),'District Calculations'!$D$10))*(1+Apport_Z315),0))+Apport_201A2324s,6)</f>
        <v>7.3449E-2</v>
      </c>
      <c r="D248">
        <f>ROUND(IF(VLOOKUP($A248,EnrollData2324,'2324 Jun 24 Enroll'!D$1,FALSE)='District Calculations'!$D$11,VLOOKUP($A248,EnrollData2324,'2324 Jun 24 Enroll'!D$1,FALSE),'District Calculations'!$D$11)*C248,3)</f>
        <v>0</v>
      </c>
      <c r="E248">
        <f>ROUND(IF(VLOOKUP($A248,EnrollData2324,'2324 Jun 24 Enroll'!E$1,FALSE)='District Calculations'!$D$12,VLOOKUP($A248,EnrollData2324,'2324 Jun 24 Enroll'!E$1,FALSE),'District Calculations'!$D$12)*C248,3)</f>
        <v>59.53</v>
      </c>
      <c r="F248">
        <f>ROUND(IF(VLOOKUP($A248,EnrollData2324,'2324 Jun 24 Enroll'!F$1,FALSE)='District Calculations'!$D$13,VLOOKUP($A248,EnrollData2324,'2324 Jun 24 Enroll'!F$1,FALSE),'District Calculations'!$D$13)*Apport_222A2324s,3)</f>
        <v>10.101000000000001</v>
      </c>
      <c r="G248">
        <f>ROUND(IF(VLOOKUP($A248,EnrollData2324,'2324 Jun 24 Enroll'!G$1,FALSE)='District Calculations'!$D$14,VLOOKUP($A248,EnrollData2324,'2324 Jun 24 Enroll'!G$1,FALSE),'District Calculations'!$D$14)*Apport_210A2324s,3)</f>
        <v>22.395</v>
      </c>
      <c r="H248">
        <f>ROUND(IF(VLOOKUP($A248,EnrollData2324,'2324 Jun 24 Enroll'!H$1,FALSE)='District Calculations'!$D$15,VLOOKUP($A248,EnrollData2324,'2324 Jun 24 Enroll'!H$1,FALSE),'District Calculations'!$D$15)*Apport_213A2324s,3)</f>
        <v>23.091999999999999</v>
      </c>
      <c r="I248">
        <f>ROUND(IF(VLOOKUP($A248,EnrollData2324,'2324 Jun 24 Enroll'!I$1,FALSE)+VLOOKUP($A248,EnrollData2324,'2324 Jun 24 Enroll'!M$1,FALSE)-VLOOKUP($A248,EnrollData2324,'2324 Jun 24 Enroll'!J$1,FALSE)='District Calculations'!$D$16+'District Calculations'!$D$25-'District Calculations'!$D$17,VLOOKUP($A248,EnrollData2324,'2324 Jun 24 Enroll'!I$1,FALSE)+VLOOKUP($A248,EnrollData2324,'2324 Jun 24 Enroll'!M$1,FALSE)-VLOOKUP($A248,EnrollData2324,'2324 Jun 24 Enroll'!J$1,FALSE),'District Calculations'!$D$16+'District Calculations'!$D$25-'District Calculations'!$D$17)*Apport_216A2324s,3)</f>
        <v>58.183999999999997</v>
      </c>
      <c r="J248">
        <f>ROUND(SUM(D248:I248)/(IF(VLOOKUP($A248,EnrollData2324,'2324 Jun 24 Enroll'!M$1,FALSE)='District Calculations'!$D$25,VLOOKUP($A248,EnrollData2324,'2324 Jun 24 Enroll'!M$1,FALSE),'District Calculations'!$D$25)+IF(VLOOKUP($A248,EnrollData2324,'2324 Jun 24 Enroll'!D$1,FALSE)='District Calculations'!$D$11,VLOOKUP($A248,EnrollData2324,'2324 Jun 24 Enroll'!D$1,FALSE),'District Calculations'!$D$11)),5)</f>
        <v>5.5530000000000003E-2</v>
      </c>
      <c r="K248" s="11">
        <f t="shared" si="22"/>
        <v>4.3699999999999998E-3</v>
      </c>
      <c r="L248">
        <f>ROUND(IF(VLOOKUP($A248,EnrollData2324,'2324 Jun 24 Enroll'!D$1,FALSE)='District Calculations'!$D$11,VLOOKUP($A248,EnrollData2324,'2324 Jun 24 Enroll'!D$1,FALSE),'District Calculations'!$D$11)*K248,3)</f>
        <v>0</v>
      </c>
      <c r="M248">
        <f>ROUND(IF(VLOOKUP($A248,EnrollData2324,'2324 Jun 24 Enroll'!E$1,FALSE)='District Calculations'!$D$12,VLOOKUP($A248,EnrollData2324,'2324 Jun 24 Enroll'!E$1,FALSE),'District Calculations'!$D$12)*K248,3)</f>
        <v>3.5419999999999998</v>
      </c>
      <c r="N248">
        <f>ROUND(IF(VLOOKUP($A248,EnrollData2324,'2324 Jun 24 Enroll'!F$1,FALSE)='District Calculations'!$D$13,VLOOKUP($A248,EnrollData2324,'2324 Jun 24 Enroll'!F$1,FALSE),'District Calculations'!$D$13)*Apport_223A2324s,3)</f>
        <v>0.84299999999999997</v>
      </c>
      <c r="O248">
        <f>ROUND(IF(VLOOKUP($A248,EnrollData2324,'2324 Jun 24 Enroll'!G$1,FALSE)='District Calculations'!$D$14,VLOOKUP($A248,EnrollData2324,'2324 Jun 24 Enroll'!G$1,FALSE),'District Calculations'!$D$14)*Apport_211A2324s,3)</f>
        <v>1.87</v>
      </c>
      <c r="P248">
        <f>ROUND(IF(VLOOKUP($A248,EnrollData2324,'2324 Jun 24 Enroll'!H$1,FALSE)='District Calculations'!$D$14,VLOOKUP($A248,EnrollData2324,'2324 Jun 24 Enroll'!H$1,FALSE),'District Calculations'!$D$14)*Apport_214A2324s,3)</f>
        <v>1.8680000000000001</v>
      </c>
      <c r="Q248">
        <f>ROUND(IF(VLOOKUP($A248,EnrollData2324,'2324 Jun 24 Enroll'!I$1,FALSE)+VLOOKUP($A248,EnrollData2324,'2324 Jun 24 Enroll'!M$1,FALSE)-VLOOKUP($A248,EnrollData2324,'2324 Jun 24 Enroll'!J$1,FALSE)='District Calculations'!$D$16+'District Calculations'!$D$25-'District Calculations'!$D$17,VLOOKUP($A248,EnrollData2324,'2324 Jun 24 Enroll'!I$1,FALSE)+VLOOKUP($A248,EnrollData2324,'2324 Jun 24 Enroll'!M$1,FALSE)-VLOOKUP($A248,EnrollData2324,'2324 Jun 24 Enroll'!J$1,FALSE),'District Calculations'!$D$16+'District Calculations'!$D$25-'District Calculations'!$D$17)*Apport_217A2324s,3)</f>
        <v>4.702</v>
      </c>
      <c r="R248">
        <f>ROUND(SUM(L248:Q248)/IF(VLOOKUP($A248,EnrollData2324,'2324 Jun 24 Enroll'!M$1,FALSE)+VLOOKUP($A248,EnrollData2324,'2324 Jun 24 Enroll'!D$1,FALSE)='District Calculations'!$D$25+'District Calculations'!$D$11,VLOOKUP($A248,EnrollData2324,'2324 Jun 24 Enroll'!M$1,FALSE)+VLOOKUP($A248,EnrollData2324,'2324 Jun 24 Enroll'!D$1,FALSE),'District Calculations'!$D$25+'District Calculations'!$D$11),5)</f>
        <v>4.1099999999999999E-3</v>
      </c>
      <c r="S248" s="11">
        <f t="shared" si="23"/>
        <v>1.8689600000000001E-2</v>
      </c>
      <c r="T248">
        <f>ROUND(IF(VLOOKUP($A248,EnrollData2324,'2324 Jun 24 Enroll'!D$1,FALSE)='District Calculations'!$D$11,VLOOKUP($A248,EnrollData2324,'2324 Jun 24 Enroll'!D$1,FALSE),'District Calculations'!$D$11)*S248,3)</f>
        <v>0</v>
      </c>
      <c r="U248">
        <f>ROUND(IF(VLOOKUP($A248,EnrollData2324,'2324 Jun 24 Enroll'!E$1,FALSE)='District Calculations'!$D$12,VLOOKUP($A248,EnrollData2324,'2324 Jun 24 Enroll'!E$1,FALSE),'District Calculations'!$D$12)*S248,3)</f>
        <v>15.148</v>
      </c>
      <c r="V248">
        <f>ROUND(IF(VLOOKUP($A248,EnrollData2324,'2324 Jun 24 Enroll'!F$1,FALSE)='District Calculations'!$D$13,VLOOKUP($A248,EnrollData2324,'2324 Jun 24 Enroll'!F$1,FALSE),'District Calculations'!$D$13)*Apport_224A2324s,3)</f>
        <v>3.7029999999999998</v>
      </c>
      <c r="W248">
        <f>ROUND(IF(VLOOKUP($A248,EnrollData2324,'2324 Jun 24 Enroll'!G$1,FALSE)='District Calculations'!$D$14,VLOOKUP($A248,EnrollData2324,'2324 Jun 24 Enroll'!G$1,FALSE),'District Calculations'!$D$14)*Apport_212A2324s,3)</f>
        <v>8.2089999999999996</v>
      </c>
      <c r="X248">
        <f>ROUND(IF(VLOOKUP($A248,EnrollData2324,'2324 Jun 24 Enroll'!H$1,FALSE)='District Calculations'!$D$14,VLOOKUP($A248,EnrollData2324,'2324 Jun 24 Enroll'!H$1,FALSE),'District Calculations'!$D$14)*Apport_215A2324s,3)</f>
        <v>8.0969999999999995</v>
      </c>
      <c r="Y248">
        <f>ROUND(IF(VLOOKUP($A248,EnrollData2324,'2324 Jun 24 Enroll'!I$1,FALSE)+VLOOKUP($A248,EnrollData2324,'2324 Jun 24 Enroll'!M$1,FALSE)-VLOOKUP($A248,EnrollData2324,'2324 Jun 24 Enroll'!J$1,FALSE)='District Calculations'!$D$16+'District Calculations'!$D$25-'District Calculations'!$D$17,VLOOKUP($A248,EnrollData2324,'2324 Jun 24 Enroll'!I$1,FALSE)+VLOOKUP($A248,EnrollData2324,'2324 Jun 24 Enroll'!M$1,FALSE)-VLOOKUP($A248,EnrollData2324,'2324 Jun 24 Enroll'!J$1,FALSE),'District Calculations'!$D$16+'District Calculations'!$D$25-'District Calculations'!$D$17)*Apport_218A2324s,3)</f>
        <v>20.224</v>
      </c>
      <c r="Z248">
        <f>ROUND(SUM(T248:Y248)/IF(VLOOKUP($A248,EnrollData2324,'2324 Jun 24 Enroll'!M$1,FALSE)+VLOOKUP($A248,EnrollData2324,'2324 Jun 24 Enroll'!D$1,FALSE)='District Calculations'!$D$25+'District Calculations'!$D$11,VLOOKUP($A248,EnrollData2324,'2324 Jun 24 Enroll'!M$1,FALSE)+VLOOKUP($A248,EnrollData2324,'2324 Jun 24 Enroll'!D$1,FALSE),'District Calculations'!$D$25+'District Calculations'!$D$11),5)</f>
        <v>1.7749999999999998E-2</v>
      </c>
      <c r="AA248" s="6" cm="1">
        <f t="array" ref="AA248">ROUND($J248*CIS_Base_Salary2324s*VLOOKUP($A248,EnrollData2324,'2324 Jun 24 Enroll'!S$1,FALSE),2)</f>
        <v>4038.59</v>
      </c>
      <c r="AB248" s="6" cm="1">
        <f t="array" ref="AB248">ROUND($J248*CIS_Inc_Salary2324s*(VLOOKUP($A248,EnrollData2324,'2324 Jun 24 Enroll'!T$1,FALSE)+VLOOKUP($A248,EnrollData2324,'2324 Jun 24 Enroll'!U$1,FALSE)),2)-AA248</f>
        <v>149.43000000000029</v>
      </c>
      <c r="AC248" s="6" cm="1">
        <f t="array" ref="AC248">ROUND($R248*CAS_Base_Salary2324s*VLOOKUP($A248,EnrollData2324,'2324 Jun 24 Enroll'!S$1,FALSE),2)</f>
        <v>443.7</v>
      </c>
      <c r="AD248" s="6" cm="1">
        <f t="array" ref="AD248">ROUND($R248*CAS_Inc_Salary2324s*VLOOKUP($A248,EnrollData2324,'2324 Jun 24 Enroll'!T$1,FALSE),2)-AC248</f>
        <v>16.410000000000025</v>
      </c>
      <c r="AE248" s="6" cm="1">
        <f t="array" ref="AE248">ROUND($Z248*CLS_Base_Salary2324s*VLOOKUP($A248,EnrollData2324,'2324 Jun 24 Enroll'!S$1,FALSE),2)</f>
        <v>926.07</v>
      </c>
      <c r="AF248" s="6" cm="1">
        <f t="array" ref="AF248">ROUND($Z248*CLS_Inc_Salary2324s*VLOOKUP($A248,EnrollData2324,'2324 Jun 24 Enroll'!T$1,FALSE),2)-AE248</f>
        <v>34.259999999999991</v>
      </c>
      <c r="AG248" cm="1">
        <f t="array" ref="AG248">ROUND(($J248+$R248)*Apport_124X2324s,2)</f>
        <v>734.29</v>
      </c>
      <c r="AH248" s="69">
        <f t="shared" si="24"/>
        <v>68.700000000000045</v>
      </c>
      <c r="AI248" cm="1">
        <f t="array" ref="AI248">ROUND($Z248*Apport_124X2324s,2)</f>
        <v>218.54</v>
      </c>
      <c r="AJ248" cm="1">
        <f t="array" ref="AJ248">ROUND($Z248*Apport_621X2324s*Apport_125X2324s,2)-AI248</f>
        <v>116.51000000000002</v>
      </c>
      <c r="AK248" cm="1">
        <f t="array" ref="AK248">ROUND((AA248+AC248)*Apport_126X2324s,2)</f>
        <v>805.47</v>
      </c>
      <c r="AL248" cm="1">
        <f t="array" ref="AL248">ROUND((AB248+AD248)*Apport_127X2324s,2)</f>
        <v>28.74</v>
      </c>
      <c r="AM248" cm="1">
        <f t="array" ref="AM248">ROUND(AE248*Apport_128X2324s,2)</f>
        <v>204.29</v>
      </c>
      <c r="AN248" cm="1">
        <f t="array" ref="AN248">ROUND(AF248*Apport_129X2324s,2)</f>
        <v>6.36</v>
      </c>
      <c r="AO248" cm="1">
        <f t="array" ref="AO248">ROUND(($J248*CIS_Inc_Salary2324s*(VLOOKUP($A248,EnrollData2324,'2324 Jun 24 Enroll'!T$1,FALSE)+VLOOKUP($A248,EnrollData2324,'2324 Jun 24 Enroll'!U$1,FALSE))/Apport_613Xpd)*Apport_614Xpd,2)</f>
        <v>69.8</v>
      </c>
      <c r="AP248" cm="1">
        <f t="array" ref="AP248">ROUND(AO248*Apport_127X2324s,2)</f>
        <v>12.1</v>
      </c>
      <c r="AQ248">
        <f t="shared" si="25"/>
        <v>30.93</v>
      </c>
      <c r="AR248" s="6" cm="1">
        <f t="array" ref="AR248">ROUND((VLOOKUP($A248,EnrollData2324,'2324 Jun 24 Enroll'!D$1,FALSE)*Apport_M802324s+VLOOKUP($A248,EnrollData2324,'2324 Jun 24 Enroll'!M$1,FALSE)*Apport_M802324s+(VLOOKUP($A248,EnrollData2324,'2324 Jun 24 Enroll'!P$1,FALSE)+VLOOKUP($A248,EnrollData2324,'2324 Jun 24 Enroll'!Q$1,FALSE)+VLOOKUP($A248,EnrollData2324,'2324 Jun 24 Enroll'!R$1,FALSE)+VLOOKUP($A248,EnrollData2324,'2324 Jun 24 Enroll'!I$1,FALSE)+VLOOKUP($A248,EnrollData2324,'2324 Jun 24 Enroll'!N$1,FALSE)+VLOOKUP($A248,EnrollData2324,'2324 Jun 24 Enroll'!O$1,FALSE)+VLOOKUP($A248,EnrollData2324,'2324 Jun 24 Enroll'!K$1,FALSE)+VLOOKUP($A248,EnrollData2324,'2324 Jun 24 Enroll'!L$1,FALSE))*Apport_M812324s)/(VLOOKUP($A248,EnrollData2324,'2324 Jun 24 Enroll'!M$1,FALSE)+VLOOKUP($A248,EnrollData2324,'2324 Jun 24 Enroll'!D$1,FALSE)),2)</f>
        <v>1564.62</v>
      </c>
      <c r="AS248" s="7">
        <f t="shared" si="26"/>
        <v>9468.8100000000013</v>
      </c>
    </row>
    <row r="249" spans="1:45">
      <c r="A249" s="40" t="s">
        <v>582</v>
      </c>
      <c r="B249" s="40" t="s">
        <v>583</v>
      </c>
      <c r="C249" s="11">
        <f>ROUND((IFERROR((1/IF(VLOOKUP($A249,EnrollData2324,28,FALSE)='District Calculations'!$D$10,VLOOKUP($A249,EnrollData2324,28,FALSE),'District Calculations'!$D$10))*(1+Apport_Z315),0))+Apport_201A2324s,6)</f>
        <v>7.3449E-2</v>
      </c>
      <c r="D249">
        <f>ROUND(IF(VLOOKUP($A249,EnrollData2324,'2324 Jun 24 Enroll'!D$1,FALSE)='District Calculations'!$D$11,VLOOKUP($A249,EnrollData2324,'2324 Jun 24 Enroll'!D$1,FALSE),'District Calculations'!$D$11)*C249,3)</f>
        <v>0</v>
      </c>
      <c r="E249">
        <f>ROUND(IF(VLOOKUP($A249,EnrollData2324,'2324 Jun 24 Enroll'!E$1,FALSE)='District Calculations'!$D$12,VLOOKUP($A249,EnrollData2324,'2324 Jun 24 Enroll'!E$1,FALSE),'District Calculations'!$D$12)*C249,3)</f>
        <v>59.53</v>
      </c>
      <c r="F249">
        <f>ROUND(IF(VLOOKUP($A249,EnrollData2324,'2324 Jun 24 Enroll'!F$1,FALSE)='District Calculations'!$D$13,VLOOKUP($A249,EnrollData2324,'2324 Jun 24 Enroll'!F$1,FALSE),'District Calculations'!$D$13)*Apport_222A2324s,3)</f>
        <v>10.101000000000001</v>
      </c>
      <c r="G249">
        <f>ROUND(IF(VLOOKUP($A249,EnrollData2324,'2324 Jun 24 Enroll'!G$1,FALSE)='District Calculations'!$D$14,VLOOKUP($A249,EnrollData2324,'2324 Jun 24 Enroll'!G$1,FALSE),'District Calculations'!$D$14)*Apport_210A2324s,3)</f>
        <v>22.395</v>
      </c>
      <c r="H249">
        <f>ROUND(IF(VLOOKUP($A249,EnrollData2324,'2324 Jun 24 Enroll'!H$1,FALSE)='District Calculations'!$D$15,VLOOKUP($A249,EnrollData2324,'2324 Jun 24 Enroll'!H$1,FALSE),'District Calculations'!$D$15)*Apport_213A2324s,3)</f>
        <v>23.091999999999999</v>
      </c>
      <c r="I249">
        <f>ROUND(IF(VLOOKUP($A249,EnrollData2324,'2324 Jun 24 Enroll'!I$1,FALSE)+VLOOKUP($A249,EnrollData2324,'2324 Jun 24 Enroll'!M$1,FALSE)-VLOOKUP($A249,EnrollData2324,'2324 Jun 24 Enroll'!J$1,FALSE)='District Calculations'!$D$16+'District Calculations'!$D$25-'District Calculations'!$D$17,VLOOKUP($A249,EnrollData2324,'2324 Jun 24 Enroll'!I$1,FALSE)+VLOOKUP($A249,EnrollData2324,'2324 Jun 24 Enroll'!M$1,FALSE)-VLOOKUP($A249,EnrollData2324,'2324 Jun 24 Enroll'!J$1,FALSE),'District Calculations'!$D$16+'District Calculations'!$D$25-'District Calculations'!$D$17)*Apport_216A2324s,3)</f>
        <v>58.183999999999997</v>
      </c>
      <c r="J249">
        <f>ROUND(SUM(D249:I249)/(IF(VLOOKUP($A249,EnrollData2324,'2324 Jun 24 Enroll'!M$1,FALSE)='District Calculations'!$D$25,VLOOKUP($A249,EnrollData2324,'2324 Jun 24 Enroll'!M$1,FALSE),'District Calculations'!$D$25)+IF(VLOOKUP($A249,EnrollData2324,'2324 Jun 24 Enroll'!D$1,FALSE)='District Calculations'!$D$11,VLOOKUP($A249,EnrollData2324,'2324 Jun 24 Enroll'!D$1,FALSE),'District Calculations'!$D$11)),5)</f>
        <v>5.5530000000000003E-2</v>
      </c>
      <c r="K249" s="11">
        <f t="shared" si="22"/>
        <v>4.3699999999999998E-3</v>
      </c>
      <c r="L249">
        <f>ROUND(IF(VLOOKUP($A249,EnrollData2324,'2324 Jun 24 Enroll'!D$1,FALSE)='District Calculations'!$D$11,VLOOKUP($A249,EnrollData2324,'2324 Jun 24 Enroll'!D$1,FALSE),'District Calculations'!$D$11)*K249,3)</f>
        <v>0</v>
      </c>
      <c r="M249">
        <f>ROUND(IF(VLOOKUP($A249,EnrollData2324,'2324 Jun 24 Enroll'!E$1,FALSE)='District Calculations'!$D$12,VLOOKUP($A249,EnrollData2324,'2324 Jun 24 Enroll'!E$1,FALSE),'District Calculations'!$D$12)*K249,3)</f>
        <v>3.5419999999999998</v>
      </c>
      <c r="N249">
        <f>ROUND(IF(VLOOKUP($A249,EnrollData2324,'2324 Jun 24 Enroll'!F$1,FALSE)='District Calculations'!$D$13,VLOOKUP($A249,EnrollData2324,'2324 Jun 24 Enroll'!F$1,FALSE),'District Calculations'!$D$13)*Apport_223A2324s,3)</f>
        <v>0.84299999999999997</v>
      </c>
      <c r="O249">
        <f>ROUND(IF(VLOOKUP($A249,EnrollData2324,'2324 Jun 24 Enroll'!G$1,FALSE)='District Calculations'!$D$14,VLOOKUP($A249,EnrollData2324,'2324 Jun 24 Enroll'!G$1,FALSE),'District Calculations'!$D$14)*Apport_211A2324s,3)</f>
        <v>1.87</v>
      </c>
      <c r="P249">
        <f>ROUND(IF(VLOOKUP($A249,EnrollData2324,'2324 Jun 24 Enroll'!H$1,FALSE)='District Calculations'!$D$14,VLOOKUP($A249,EnrollData2324,'2324 Jun 24 Enroll'!H$1,FALSE),'District Calculations'!$D$14)*Apport_214A2324s,3)</f>
        <v>1.8680000000000001</v>
      </c>
      <c r="Q249">
        <f>ROUND(IF(VLOOKUP($A249,EnrollData2324,'2324 Jun 24 Enroll'!I$1,FALSE)+VLOOKUP($A249,EnrollData2324,'2324 Jun 24 Enroll'!M$1,FALSE)-VLOOKUP($A249,EnrollData2324,'2324 Jun 24 Enroll'!J$1,FALSE)='District Calculations'!$D$16+'District Calculations'!$D$25-'District Calculations'!$D$17,VLOOKUP($A249,EnrollData2324,'2324 Jun 24 Enroll'!I$1,FALSE)+VLOOKUP($A249,EnrollData2324,'2324 Jun 24 Enroll'!M$1,FALSE)-VLOOKUP($A249,EnrollData2324,'2324 Jun 24 Enroll'!J$1,FALSE),'District Calculations'!$D$16+'District Calculations'!$D$25-'District Calculations'!$D$17)*Apport_217A2324s,3)</f>
        <v>4.702</v>
      </c>
      <c r="R249">
        <f>ROUND(SUM(L249:Q249)/IF(VLOOKUP($A249,EnrollData2324,'2324 Jun 24 Enroll'!M$1,FALSE)+VLOOKUP($A249,EnrollData2324,'2324 Jun 24 Enroll'!D$1,FALSE)='District Calculations'!$D$25+'District Calculations'!$D$11,VLOOKUP($A249,EnrollData2324,'2324 Jun 24 Enroll'!M$1,FALSE)+VLOOKUP($A249,EnrollData2324,'2324 Jun 24 Enroll'!D$1,FALSE),'District Calculations'!$D$25+'District Calculations'!$D$11),5)</f>
        <v>4.1099999999999999E-3</v>
      </c>
      <c r="S249" s="11">
        <f t="shared" si="23"/>
        <v>1.8689600000000001E-2</v>
      </c>
      <c r="T249">
        <f>ROUND(IF(VLOOKUP($A249,EnrollData2324,'2324 Jun 24 Enroll'!D$1,FALSE)='District Calculations'!$D$11,VLOOKUP($A249,EnrollData2324,'2324 Jun 24 Enroll'!D$1,FALSE),'District Calculations'!$D$11)*S249,3)</f>
        <v>0</v>
      </c>
      <c r="U249">
        <f>ROUND(IF(VLOOKUP($A249,EnrollData2324,'2324 Jun 24 Enroll'!E$1,FALSE)='District Calculations'!$D$12,VLOOKUP($A249,EnrollData2324,'2324 Jun 24 Enroll'!E$1,FALSE),'District Calculations'!$D$12)*S249,3)</f>
        <v>15.148</v>
      </c>
      <c r="V249">
        <f>ROUND(IF(VLOOKUP($A249,EnrollData2324,'2324 Jun 24 Enroll'!F$1,FALSE)='District Calculations'!$D$13,VLOOKUP($A249,EnrollData2324,'2324 Jun 24 Enroll'!F$1,FALSE),'District Calculations'!$D$13)*Apport_224A2324s,3)</f>
        <v>3.7029999999999998</v>
      </c>
      <c r="W249">
        <f>ROUND(IF(VLOOKUP($A249,EnrollData2324,'2324 Jun 24 Enroll'!G$1,FALSE)='District Calculations'!$D$14,VLOOKUP($A249,EnrollData2324,'2324 Jun 24 Enroll'!G$1,FALSE),'District Calculations'!$D$14)*Apport_212A2324s,3)</f>
        <v>8.2089999999999996</v>
      </c>
      <c r="X249">
        <f>ROUND(IF(VLOOKUP($A249,EnrollData2324,'2324 Jun 24 Enroll'!H$1,FALSE)='District Calculations'!$D$14,VLOOKUP($A249,EnrollData2324,'2324 Jun 24 Enroll'!H$1,FALSE),'District Calculations'!$D$14)*Apport_215A2324s,3)</f>
        <v>8.0969999999999995</v>
      </c>
      <c r="Y249">
        <f>ROUND(IF(VLOOKUP($A249,EnrollData2324,'2324 Jun 24 Enroll'!I$1,FALSE)+VLOOKUP($A249,EnrollData2324,'2324 Jun 24 Enroll'!M$1,FALSE)-VLOOKUP($A249,EnrollData2324,'2324 Jun 24 Enroll'!J$1,FALSE)='District Calculations'!$D$16+'District Calculations'!$D$25-'District Calculations'!$D$17,VLOOKUP($A249,EnrollData2324,'2324 Jun 24 Enroll'!I$1,FALSE)+VLOOKUP($A249,EnrollData2324,'2324 Jun 24 Enroll'!M$1,FALSE)-VLOOKUP($A249,EnrollData2324,'2324 Jun 24 Enroll'!J$1,FALSE),'District Calculations'!$D$16+'District Calculations'!$D$25-'District Calculations'!$D$17)*Apport_218A2324s,3)</f>
        <v>20.224</v>
      </c>
      <c r="Z249">
        <f>ROUND(SUM(T249:Y249)/IF(VLOOKUP($A249,EnrollData2324,'2324 Jun 24 Enroll'!M$1,FALSE)+VLOOKUP($A249,EnrollData2324,'2324 Jun 24 Enroll'!D$1,FALSE)='District Calculations'!$D$25+'District Calculations'!$D$11,VLOOKUP($A249,EnrollData2324,'2324 Jun 24 Enroll'!M$1,FALSE)+VLOOKUP($A249,EnrollData2324,'2324 Jun 24 Enroll'!D$1,FALSE),'District Calculations'!$D$25+'District Calculations'!$D$11),5)</f>
        <v>1.7749999999999998E-2</v>
      </c>
      <c r="AA249" s="6" cm="1">
        <f t="array" ref="AA249">ROUND($J249*CIS_Base_Salary2324s*VLOOKUP($A249,EnrollData2324,'2324 Jun 24 Enroll'!S$1,FALSE),2)</f>
        <v>4099.16</v>
      </c>
      <c r="AB249" s="6" cm="1">
        <f t="array" ref="AB249">ROUND($J249*CIS_Inc_Salary2324s*(VLOOKUP($A249,EnrollData2324,'2324 Jun 24 Enroll'!T$1,FALSE)+VLOOKUP($A249,EnrollData2324,'2324 Jun 24 Enroll'!U$1,FALSE)),2)-AA249</f>
        <v>256.38000000000011</v>
      </c>
      <c r="AC249" s="6" cm="1">
        <f t="array" ref="AC249">ROUND($R249*CAS_Base_Salary2324s*VLOOKUP($A249,EnrollData2324,'2324 Jun 24 Enroll'!S$1,FALSE),2)</f>
        <v>450.35</v>
      </c>
      <c r="AD249" s="6" cm="1">
        <f t="array" ref="AD249">ROUND($R249*CAS_Inc_Salary2324s*VLOOKUP($A249,EnrollData2324,'2324 Jun 24 Enroll'!T$1,FALSE),2)-AC249</f>
        <v>16.669999999999959</v>
      </c>
      <c r="AE249" s="6" cm="1">
        <f t="array" ref="AE249">ROUND($Z249*CLS_Base_Salary2324s*VLOOKUP($A249,EnrollData2324,'2324 Jun 24 Enroll'!S$1,FALSE),2)</f>
        <v>939.96</v>
      </c>
      <c r="AF249" s="6" cm="1">
        <f t="array" ref="AF249">ROUND($Z249*CLS_Inc_Salary2324s*VLOOKUP($A249,EnrollData2324,'2324 Jun 24 Enroll'!T$1,FALSE),2)-AE249</f>
        <v>34.769999999999982</v>
      </c>
      <c r="AG249" cm="1">
        <f t="array" ref="AG249">ROUND(($J249+$R249)*Apport_124X2324s,2)</f>
        <v>734.29</v>
      </c>
      <c r="AH249" s="69">
        <f t="shared" si="24"/>
        <v>68.700000000000045</v>
      </c>
      <c r="AI249" cm="1">
        <f t="array" ref="AI249">ROUND($Z249*Apport_124X2324s,2)</f>
        <v>218.54</v>
      </c>
      <c r="AJ249" cm="1">
        <f t="array" ref="AJ249">ROUND($Z249*Apport_621X2324s*Apport_125X2324s,2)-AI249</f>
        <v>116.51000000000002</v>
      </c>
      <c r="AK249" cm="1">
        <f t="array" ref="AK249">ROUND((AA249+AC249)*Apport_126X2324s,2)</f>
        <v>817.55</v>
      </c>
      <c r="AL249" cm="1">
        <f t="array" ref="AL249">ROUND((AB249+AD249)*Apport_127X2324s,2)</f>
        <v>47.32</v>
      </c>
      <c r="AM249" cm="1">
        <f t="array" ref="AM249">ROUND(AE249*Apport_128X2324s,2)</f>
        <v>207.36</v>
      </c>
      <c r="AN249" cm="1">
        <f t="array" ref="AN249">ROUND(AF249*Apport_129X2324s,2)</f>
        <v>6.45</v>
      </c>
      <c r="AO249" cm="1">
        <f t="array" ref="AO249">ROUND(($J249*CIS_Inc_Salary2324s*(VLOOKUP($A249,EnrollData2324,'2324 Jun 24 Enroll'!T$1,FALSE)+VLOOKUP($A249,EnrollData2324,'2324 Jun 24 Enroll'!U$1,FALSE))/Apport_613Xpd)*Apport_614Xpd,2)</f>
        <v>72.59</v>
      </c>
      <c r="AP249" cm="1">
        <f t="array" ref="AP249">ROUND(AO249*Apport_127X2324s,2)</f>
        <v>12.58</v>
      </c>
      <c r="AQ249">
        <f t="shared" si="25"/>
        <v>30.93</v>
      </c>
      <c r="AR249" s="6" cm="1">
        <f t="array" ref="AR249">ROUND((VLOOKUP($A249,EnrollData2324,'2324 Jun 24 Enroll'!D$1,FALSE)*Apport_M802324s+VLOOKUP($A249,EnrollData2324,'2324 Jun 24 Enroll'!M$1,FALSE)*Apport_M802324s+(VLOOKUP($A249,EnrollData2324,'2324 Jun 24 Enroll'!P$1,FALSE)+VLOOKUP($A249,EnrollData2324,'2324 Jun 24 Enroll'!Q$1,FALSE)+VLOOKUP($A249,EnrollData2324,'2324 Jun 24 Enroll'!R$1,FALSE)+VLOOKUP($A249,EnrollData2324,'2324 Jun 24 Enroll'!I$1,FALSE)+VLOOKUP($A249,EnrollData2324,'2324 Jun 24 Enroll'!N$1,FALSE)+VLOOKUP($A249,EnrollData2324,'2324 Jun 24 Enroll'!O$1,FALSE)+VLOOKUP($A249,EnrollData2324,'2324 Jun 24 Enroll'!K$1,FALSE)+VLOOKUP($A249,EnrollData2324,'2324 Jun 24 Enroll'!L$1,FALSE))*Apport_M812324s)/(VLOOKUP($A249,EnrollData2324,'2324 Jun 24 Enroll'!M$1,FALSE)+VLOOKUP($A249,EnrollData2324,'2324 Jun 24 Enroll'!D$1,FALSE)),2)</f>
        <v>1580.22</v>
      </c>
      <c r="AS249" s="7">
        <f t="shared" si="26"/>
        <v>9710.33</v>
      </c>
    </row>
    <row r="250" spans="1:45">
      <c r="A250" s="40" t="s">
        <v>372</v>
      </c>
      <c r="B250" s="40" t="s">
        <v>373</v>
      </c>
      <c r="C250" s="11">
        <f>ROUND((IFERROR((1/IF(VLOOKUP($A250,EnrollData2324,28,FALSE)='District Calculations'!$D$10,VLOOKUP($A250,EnrollData2324,28,FALSE),'District Calculations'!$D$10))*(1+Apport_Z315),0))+Apport_201A2324s,6)</f>
        <v>7.3449E-2</v>
      </c>
      <c r="D250">
        <f>ROUND(IF(VLOOKUP($A250,EnrollData2324,'2324 Jun 24 Enroll'!D$1,FALSE)='District Calculations'!$D$11,VLOOKUP($A250,EnrollData2324,'2324 Jun 24 Enroll'!D$1,FALSE),'District Calculations'!$D$11)*C250,3)</f>
        <v>0</v>
      </c>
      <c r="E250">
        <f>ROUND(IF(VLOOKUP($A250,EnrollData2324,'2324 Jun 24 Enroll'!E$1,FALSE)='District Calculations'!$D$12,VLOOKUP($A250,EnrollData2324,'2324 Jun 24 Enroll'!E$1,FALSE),'District Calculations'!$D$12)*C250,3)</f>
        <v>59.53</v>
      </c>
      <c r="F250">
        <f>ROUND(IF(VLOOKUP($A250,EnrollData2324,'2324 Jun 24 Enroll'!F$1,FALSE)='District Calculations'!$D$13,VLOOKUP($A250,EnrollData2324,'2324 Jun 24 Enroll'!F$1,FALSE),'District Calculations'!$D$13)*Apport_222A2324s,3)</f>
        <v>10.101000000000001</v>
      </c>
      <c r="G250">
        <f>ROUND(IF(VLOOKUP($A250,EnrollData2324,'2324 Jun 24 Enroll'!G$1,FALSE)='District Calculations'!$D$14,VLOOKUP($A250,EnrollData2324,'2324 Jun 24 Enroll'!G$1,FALSE),'District Calculations'!$D$14)*Apport_210A2324s,3)</f>
        <v>22.395</v>
      </c>
      <c r="H250">
        <f>ROUND(IF(VLOOKUP($A250,EnrollData2324,'2324 Jun 24 Enroll'!H$1,FALSE)='District Calculations'!$D$15,VLOOKUP($A250,EnrollData2324,'2324 Jun 24 Enroll'!H$1,FALSE),'District Calculations'!$D$15)*Apport_213A2324s,3)</f>
        <v>23.091999999999999</v>
      </c>
      <c r="I250">
        <f>ROUND(IF(VLOOKUP($A250,EnrollData2324,'2324 Jun 24 Enroll'!I$1,FALSE)+VLOOKUP($A250,EnrollData2324,'2324 Jun 24 Enroll'!M$1,FALSE)-VLOOKUP($A250,EnrollData2324,'2324 Jun 24 Enroll'!J$1,FALSE)='District Calculations'!$D$16+'District Calculations'!$D$25-'District Calculations'!$D$17,VLOOKUP($A250,EnrollData2324,'2324 Jun 24 Enroll'!I$1,FALSE)+VLOOKUP($A250,EnrollData2324,'2324 Jun 24 Enroll'!M$1,FALSE)-VLOOKUP($A250,EnrollData2324,'2324 Jun 24 Enroll'!J$1,FALSE),'District Calculations'!$D$16+'District Calculations'!$D$25-'District Calculations'!$D$17)*Apport_216A2324s,3)</f>
        <v>58.183999999999997</v>
      </c>
      <c r="J250">
        <f>ROUND(SUM(D250:I250)/(IF(VLOOKUP($A250,EnrollData2324,'2324 Jun 24 Enroll'!M$1,FALSE)='District Calculations'!$D$25,VLOOKUP($A250,EnrollData2324,'2324 Jun 24 Enroll'!M$1,FALSE),'District Calculations'!$D$25)+IF(VLOOKUP($A250,EnrollData2324,'2324 Jun 24 Enroll'!D$1,FALSE)='District Calculations'!$D$11,VLOOKUP($A250,EnrollData2324,'2324 Jun 24 Enroll'!D$1,FALSE),'District Calculations'!$D$11)),5)</f>
        <v>5.5530000000000003E-2</v>
      </c>
      <c r="K250" s="11">
        <f t="shared" si="22"/>
        <v>4.3699999999999998E-3</v>
      </c>
      <c r="L250">
        <f>ROUND(IF(VLOOKUP($A250,EnrollData2324,'2324 Jun 24 Enroll'!D$1,FALSE)='District Calculations'!$D$11,VLOOKUP($A250,EnrollData2324,'2324 Jun 24 Enroll'!D$1,FALSE),'District Calculations'!$D$11)*K250,3)</f>
        <v>0</v>
      </c>
      <c r="M250">
        <f>ROUND(IF(VLOOKUP($A250,EnrollData2324,'2324 Jun 24 Enroll'!E$1,FALSE)='District Calculations'!$D$12,VLOOKUP($A250,EnrollData2324,'2324 Jun 24 Enroll'!E$1,FALSE),'District Calculations'!$D$12)*K250,3)</f>
        <v>3.5419999999999998</v>
      </c>
      <c r="N250">
        <f>ROUND(IF(VLOOKUP($A250,EnrollData2324,'2324 Jun 24 Enroll'!F$1,FALSE)='District Calculations'!$D$13,VLOOKUP($A250,EnrollData2324,'2324 Jun 24 Enroll'!F$1,FALSE),'District Calculations'!$D$13)*Apport_223A2324s,3)</f>
        <v>0.84299999999999997</v>
      </c>
      <c r="O250">
        <f>ROUND(IF(VLOOKUP($A250,EnrollData2324,'2324 Jun 24 Enroll'!G$1,FALSE)='District Calculations'!$D$14,VLOOKUP($A250,EnrollData2324,'2324 Jun 24 Enroll'!G$1,FALSE),'District Calculations'!$D$14)*Apport_211A2324s,3)</f>
        <v>1.87</v>
      </c>
      <c r="P250">
        <f>ROUND(IF(VLOOKUP($A250,EnrollData2324,'2324 Jun 24 Enroll'!H$1,FALSE)='District Calculations'!$D$14,VLOOKUP($A250,EnrollData2324,'2324 Jun 24 Enroll'!H$1,FALSE),'District Calculations'!$D$14)*Apport_214A2324s,3)</f>
        <v>1.8680000000000001</v>
      </c>
      <c r="Q250">
        <f>ROUND(IF(VLOOKUP($A250,EnrollData2324,'2324 Jun 24 Enroll'!I$1,FALSE)+VLOOKUP($A250,EnrollData2324,'2324 Jun 24 Enroll'!M$1,FALSE)-VLOOKUP($A250,EnrollData2324,'2324 Jun 24 Enroll'!J$1,FALSE)='District Calculations'!$D$16+'District Calculations'!$D$25-'District Calculations'!$D$17,VLOOKUP($A250,EnrollData2324,'2324 Jun 24 Enroll'!I$1,FALSE)+VLOOKUP($A250,EnrollData2324,'2324 Jun 24 Enroll'!M$1,FALSE)-VLOOKUP($A250,EnrollData2324,'2324 Jun 24 Enroll'!J$1,FALSE),'District Calculations'!$D$16+'District Calculations'!$D$25-'District Calculations'!$D$17)*Apport_217A2324s,3)</f>
        <v>4.702</v>
      </c>
      <c r="R250">
        <f>ROUND(SUM(L250:Q250)/IF(VLOOKUP($A250,EnrollData2324,'2324 Jun 24 Enroll'!M$1,FALSE)+VLOOKUP($A250,EnrollData2324,'2324 Jun 24 Enroll'!D$1,FALSE)='District Calculations'!$D$25+'District Calculations'!$D$11,VLOOKUP($A250,EnrollData2324,'2324 Jun 24 Enroll'!M$1,FALSE)+VLOOKUP($A250,EnrollData2324,'2324 Jun 24 Enroll'!D$1,FALSE),'District Calculations'!$D$25+'District Calculations'!$D$11),5)</f>
        <v>4.1099999999999999E-3</v>
      </c>
      <c r="S250" s="11">
        <f t="shared" si="23"/>
        <v>1.8689600000000001E-2</v>
      </c>
      <c r="T250">
        <f>ROUND(IF(VLOOKUP($A250,EnrollData2324,'2324 Jun 24 Enroll'!D$1,FALSE)='District Calculations'!$D$11,VLOOKUP($A250,EnrollData2324,'2324 Jun 24 Enroll'!D$1,FALSE),'District Calculations'!$D$11)*S250,3)</f>
        <v>0</v>
      </c>
      <c r="U250">
        <f>ROUND(IF(VLOOKUP($A250,EnrollData2324,'2324 Jun 24 Enroll'!E$1,FALSE)='District Calculations'!$D$12,VLOOKUP($A250,EnrollData2324,'2324 Jun 24 Enroll'!E$1,FALSE),'District Calculations'!$D$12)*S250,3)</f>
        <v>15.148</v>
      </c>
      <c r="V250">
        <f>ROUND(IF(VLOOKUP($A250,EnrollData2324,'2324 Jun 24 Enroll'!F$1,FALSE)='District Calculations'!$D$13,VLOOKUP($A250,EnrollData2324,'2324 Jun 24 Enroll'!F$1,FALSE),'District Calculations'!$D$13)*Apport_224A2324s,3)</f>
        <v>3.7029999999999998</v>
      </c>
      <c r="W250">
        <f>ROUND(IF(VLOOKUP($A250,EnrollData2324,'2324 Jun 24 Enroll'!G$1,FALSE)='District Calculations'!$D$14,VLOOKUP($A250,EnrollData2324,'2324 Jun 24 Enroll'!G$1,FALSE),'District Calculations'!$D$14)*Apport_212A2324s,3)</f>
        <v>8.2089999999999996</v>
      </c>
      <c r="X250">
        <f>ROUND(IF(VLOOKUP($A250,EnrollData2324,'2324 Jun 24 Enroll'!H$1,FALSE)='District Calculations'!$D$14,VLOOKUP($A250,EnrollData2324,'2324 Jun 24 Enroll'!H$1,FALSE),'District Calculations'!$D$14)*Apport_215A2324s,3)</f>
        <v>8.0969999999999995</v>
      </c>
      <c r="Y250">
        <f>ROUND(IF(VLOOKUP($A250,EnrollData2324,'2324 Jun 24 Enroll'!I$1,FALSE)+VLOOKUP($A250,EnrollData2324,'2324 Jun 24 Enroll'!M$1,FALSE)-VLOOKUP($A250,EnrollData2324,'2324 Jun 24 Enroll'!J$1,FALSE)='District Calculations'!$D$16+'District Calculations'!$D$25-'District Calculations'!$D$17,VLOOKUP($A250,EnrollData2324,'2324 Jun 24 Enroll'!I$1,FALSE)+VLOOKUP($A250,EnrollData2324,'2324 Jun 24 Enroll'!M$1,FALSE)-VLOOKUP($A250,EnrollData2324,'2324 Jun 24 Enroll'!J$1,FALSE),'District Calculations'!$D$16+'District Calculations'!$D$25-'District Calculations'!$D$17)*Apport_218A2324s,3)</f>
        <v>20.224</v>
      </c>
      <c r="Z250">
        <f>ROUND(SUM(T250:Y250)/IF(VLOOKUP($A250,EnrollData2324,'2324 Jun 24 Enroll'!M$1,FALSE)+VLOOKUP($A250,EnrollData2324,'2324 Jun 24 Enroll'!D$1,FALSE)='District Calculations'!$D$25+'District Calculations'!$D$11,VLOOKUP($A250,EnrollData2324,'2324 Jun 24 Enroll'!M$1,FALSE)+VLOOKUP($A250,EnrollData2324,'2324 Jun 24 Enroll'!D$1,FALSE),'District Calculations'!$D$25+'District Calculations'!$D$11),5)</f>
        <v>1.7749999999999998E-2</v>
      </c>
      <c r="AA250" s="6" cm="1">
        <f t="array" ref="AA250">ROUND($J250*CIS_Base_Salary2324s*VLOOKUP($A250,EnrollData2324,'2324 Jun 24 Enroll'!S$1,FALSE),2)</f>
        <v>4038.59</v>
      </c>
      <c r="AB250" s="6" cm="1">
        <f t="array" ref="AB250">ROUND($J250*CIS_Inc_Salary2324s*(VLOOKUP($A250,EnrollData2324,'2324 Jun 24 Enroll'!T$1,FALSE)+VLOOKUP($A250,EnrollData2324,'2324 Jun 24 Enroll'!U$1,FALSE)),2)-AA250</f>
        <v>316.94999999999982</v>
      </c>
      <c r="AC250" s="6" cm="1">
        <f t="array" ref="AC250">ROUND($R250*CAS_Base_Salary2324s*VLOOKUP($A250,EnrollData2324,'2324 Jun 24 Enroll'!S$1,FALSE),2)</f>
        <v>443.7</v>
      </c>
      <c r="AD250" s="6" cm="1">
        <f t="array" ref="AD250">ROUND($R250*CAS_Inc_Salary2324s*VLOOKUP($A250,EnrollData2324,'2324 Jun 24 Enroll'!T$1,FALSE),2)-AC250</f>
        <v>16.410000000000025</v>
      </c>
      <c r="AE250" s="6" cm="1">
        <f t="array" ref="AE250">ROUND($Z250*CLS_Base_Salary2324s*VLOOKUP($A250,EnrollData2324,'2324 Jun 24 Enroll'!S$1,FALSE),2)</f>
        <v>926.07</v>
      </c>
      <c r="AF250" s="6" cm="1">
        <f t="array" ref="AF250">ROUND($Z250*CLS_Inc_Salary2324s*VLOOKUP($A250,EnrollData2324,'2324 Jun 24 Enroll'!T$1,FALSE),2)-AE250</f>
        <v>34.259999999999991</v>
      </c>
      <c r="AG250" cm="1">
        <f t="array" ref="AG250">ROUND(($J250+$R250)*Apport_124X2324s,2)</f>
        <v>734.29</v>
      </c>
      <c r="AH250" s="69">
        <f t="shared" si="24"/>
        <v>68.700000000000045</v>
      </c>
      <c r="AI250" cm="1">
        <f t="array" ref="AI250">ROUND($Z250*Apport_124X2324s,2)</f>
        <v>218.54</v>
      </c>
      <c r="AJ250" cm="1">
        <f t="array" ref="AJ250">ROUND($Z250*Apport_621X2324s*Apport_125X2324s,2)-AI250</f>
        <v>116.51000000000002</v>
      </c>
      <c r="AK250" cm="1">
        <f t="array" ref="AK250">ROUND((AA250+AC250)*Apport_126X2324s,2)</f>
        <v>805.47</v>
      </c>
      <c r="AL250" cm="1">
        <f t="array" ref="AL250">ROUND((AB250+AD250)*Apport_127X2324s,2)</f>
        <v>57.77</v>
      </c>
      <c r="AM250" cm="1">
        <f t="array" ref="AM250">ROUND(AE250*Apport_128X2324s,2)</f>
        <v>204.29</v>
      </c>
      <c r="AN250" cm="1">
        <f t="array" ref="AN250">ROUND(AF250*Apport_129X2324s,2)</f>
        <v>6.36</v>
      </c>
      <c r="AO250" cm="1">
        <f t="array" ref="AO250">ROUND(($J250*CIS_Inc_Salary2324s*(VLOOKUP($A250,EnrollData2324,'2324 Jun 24 Enroll'!T$1,FALSE)+VLOOKUP($A250,EnrollData2324,'2324 Jun 24 Enroll'!U$1,FALSE))/Apport_613Xpd)*Apport_614Xpd,2)</f>
        <v>72.59</v>
      </c>
      <c r="AP250" cm="1">
        <f t="array" ref="AP250">ROUND(AO250*Apport_127X2324s,2)</f>
        <v>12.58</v>
      </c>
      <c r="AQ250">
        <f t="shared" si="25"/>
        <v>30.93</v>
      </c>
      <c r="AR250" s="6" cm="1">
        <f t="array" ref="AR250">ROUND((VLOOKUP($A250,EnrollData2324,'2324 Jun 24 Enroll'!D$1,FALSE)*Apport_M802324s+VLOOKUP($A250,EnrollData2324,'2324 Jun 24 Enroll'!M$1,FALSE)*Apport_M802324s+(VLOOKUP($A250,EnrollData2324,'2324 Jun 24 Enroll'!P$1,FALSE)+VLOOKUP($A250,EnrollData2324,'2324 Jun 24 Enroll'!Q$1,FALSE)+VLOOKUP($A250,EnrollData2324,'2324 Jun 24 Enroll'!R$1,FALSE)+VLOOKUP($A250,EnrollData2324,'2324 Jun 24 Enroll'!I$1,FALSE)+VLOOKUP($A250,EnrollData2324,'2324 Jun 24 Enroll'!N$1,FALSE)+VLOOKUP($A250,EnrollData2324,'2324 Jun 24 Enroll'!O$1,FALSE)+VLOOKUP($A250,EnrollData2324,'2324 Jun 24 Enroll'!K$1,FALSE)+VLOOKUP($A250,EnrollData2324,'2324 Jun 24 Enroll'!L$1,FALSE))*Apport_M812324s)/(VLOOKUP($A250,EnrollData2324,'2324 Jun 24 Enroll'!M$1,FALSE)+VLOOKUP($A250,EnrollData2324,'2324 Jun 24 Enroll'!D$1,FALSE)),2)</f>
        <v>1571.11</v>
      </c>
      <c r="AS250" s="7">
        <f t="shared" si="26"/>
        <v>9675.1200000000008</v>
      </c>
    </row>
    <row r="251" spans="1:45">
      <c r="A251" s="40" t="s">
        <v>474</v>
      </c>
      <c r="B251" s="40" t="s">
        <v>475</v>
      </c>
      <c r="C251" s="11">
        <f>ROUND((IFERROR((1/IF(VLOOKUP($A251,EnrollData2324,28,FALSE)='District Calculations'!$D$10,VLOOKUP($A251,EnrollData2324,28,FALSE),'District Calculations'!$D$10))*(1+Apport_Z315),0))+Apport_201A2324s,6)</f>
        <v>7.3449E-2</v>
      </c>
      <c r="D251">
        <f>ROUND(IF(VLOOKUP($A251,EnrollData2324,'2324 Jun 24 Enroll'!D$1,FALSE)='District Calculations'!$D$11,VLOOKUP($A251,EnrollData2324,'2324 Jun 24 Enroll'!D$1,FALSE),'District Calculations'!$D$11)*C251,3)</f>
        <v>0</v>
      </c>
      <c r="E251">
        <f>ROUND(IF(VLOOKUP($A251,EnrollData2324,'2324 Jun 24 Enroll'!E$1,FALSE)='District Calculations'!$D$12,VLOOKUP($A251,EnrollData2324,'2324 Jun 24 Enroll'!E$1,FALSE),'District Calculations'!$D$12)*C251,3)</f>
        <v>59.53</v>
      </c>
      <c r="F251">
        <f>ROUND(IF(VLOOKUP($A251,EnrollData2324,'2324 Jun 24 Enroll'!F$1,FALSE)='District Calculations'!$D$13,VLOOKUP($A251,EnrollData2324,'2324 Jun 24 Enroll'!F$1,FALSE),'District Calculations'!$D$13)*Apport_222A2324s,3)</f>
        <v>10.101000000000001</v>
      </c>
      <c r="G251">
        <f>ROUND(IF(VLOOKUP($A251,EnrollData2324,'2324 Jun 24 Enroll'!G$1,FALSE)='District Calculations'!$D$14,VLOOKUP($A251,EnrollData2324,'2324 Jun 24 Enroll'!G$1,FALSE),'District Calculations'!$D$14)*Apport_210A2324s,3)</f>
        <v>22.395</v>
      </c>
      <c r="H251">
        <f>ROUND(IF(VLOOKUP($A251,EnrollData2324,'2324 Jun 24 Enroll'!H$1,FALSE)='District Calculations'!$D$15,VLOOKUP($A251,EnrollData2324,'2324 Jun 24 Enroll'!H$1,FALSE),'District Calculations'!$D$15)*Apport_213A2324s,3)</f>
        <v>23.091999999999999</v>
      </c>
      <c r="I251">
        <f>ROUND(IF(VLOOKUP($A251,EnrollData2324,'2324 Jun 24 Enroll'!I$1,FALSE)+VLOOKUP($A251,EnrollData2324,'2324 Jun 24 Enroll'!M$1,FALSE)-VLOOKUP($A251,EnrollData2324,'2324 Jun 24 Enroll'!J$1,FALSE)='District Calculations'!$D$16+'District Calculations'!$D$25-'District Calculations'!$D$17,VLOOKUP($A251,EnrollData2324,'2324 Jun 24 Enroll'!I$1,FALSE)+VLOOKUP($A251,EnrollData2324,'2324 Jun 24 Enroll'!M$1,FALSE)-VLOOKUP($A251,EnrollData2324,'2324 Jun 24 Enroll'!J$1,FALSE),'District Calculations'!$D$16+'District Calculations'!$D$25-'District Calculations'!$D$17)*Apport_216A2324s,3)</f>
        <v>58.183999999999997</v>
      </c>
      <c r="J251">
        <f>ROUND(SUM(D251:I251)/(IF(VLOOKUP($A251,EnrollData2324,'2324 Jun 24 Enroll'!M$1,FALSE)='District Calculations'!$D$25,VLOOKUP($A251,EnrollData2324,'2324 Jun 24 Enroll'!M$1,FALSE),'District Calculations'!$D$25)+IF(VLOOKUP($A251,EnrollData2324,'2324 Jun 24 Enroll'!D$1,FALSE)='District Calculations'!$D$11,VLOOKUP($A251,EnrollData2324,'2324 Jun 24 Enroll'!D$1,FALSE),'District Calculations'!$D$11)),5)</f>
        <v>5.5530000000000003E-2</v>
      </c>
      <c r="K251" s="11">
        <f t="shared" si="22"/>
        <v>4.3699999999999998E-3</v>
      </c>
      <c r="L251">
        <f>ROUND(IF(VLOOKUP($A251,EnrollData2324,'2324 Jun 24 Enroll'!D$1,FALSE)='District Calculations'!$D$11,VLOOKUP($A251,EnrollData2324,'2324 Jun 24 Enroll'!D$1,FALSE),'District Calculations'!$D$11)*K251,3)</f>
        <v>0</v>
      </c>
      <c r="M251">
        <f>ROUND(IF(VLOOKUP($A251,EnrollData2324,'2324 Jun 24 Enroll'!E$1,FALSE)='District Calculations'!$D$12,VLOOKUP($A251,EnrollData2324,'2324 Jun 24 Enroll'!E$1,FALSE),'District Calculations'!$D$12)*K251,3)</f>
        <v>3.5419999999999998</v>
      </c>
      <c r="N251">
        <f>ROUND(IF(VLOOKUP($A251,EnrollData2324,'2324 Jun 24 Enroll'!F$1,FALSE)='District Calculations'!$D$13,VLOOKUP($A251,EnrollData2324,'2324 Jun 24 Enroll'!F$1,FALSE),'District Calculations'!$D$13)*Apport_223A2324s,3)</f>
        <v>0.84299999999999997</v>
      </c>
      <c r="O251">
        <f>ROUND(IF(VLOOKUP($A251,EnrollData2324,'2324 Jun 24 Enroll'!G$1,FALSE)='District Calculations'!$D$14,VLOOKUP($A251,EnrollData2324,'2324 Jun 24 Enroll'!G$1,FALSE),'District Calculations'!$D$14)*Apport_211A2324s,3)</f>
        <v>1.87</v>
      </c>
      <c r="P251">
        <f>ROUND(IF(VLOOKUP($A251,EnrollData2324,'2324 Jun 24 Enroll'!H$1,FALSE)='District Calculations'!$D$14,VLOOKUP($A251,EnrollData2324,'2324 Jun 24 Enroll'!H$1,FALSE),'District Calculations'!$D$14)*Apport_214A2324s,3)</f>
        <v>1.8680000000000001</v>
      </c>
      <c r="Q251">
        <f>ROUND(IF(VLOOKUP($A251,EnrollData2324,'2324 Jun 24 Enroll'!I$1,FALSE)+VLOOKUP($A251,EnrollData2324,'2324 Jun 24 Enroll'!M$1,FALSE)-VLOOKUP($A251,EnrollData2324,'2324 Jun 24 Enroll'!J$1,FALSE)='District Calculations'!$D$16+'District Calculations'!$D$25-'District Calculations'!$D$17,VLOOKUP($A251,EnrollData2324,'2324 Jun 24 Enroll'!I$1,FALSE)+VLOOKUP($A251,EnrollData2324,'2324 Jun 24 Enroll'!M$1,FALSE)-VLOOKUP($A251,EnrollData2324,'2324 Jun 24 Enroll'!J$1,FALSE),'District Calculations'!$D$16+'District Calculations'!$D$25-'District Calculations'!$D$17)*Apport_217A2324s,3)</f>
        <v>4.702</v>
      </c>
      <c r="R251">
        <f>ROUND(SUM(L251:Q251)/IF(VLOOKUP($A251,EnrollData2324,'2324 Jun 24 Enroll'!M$1,FALSE)+VLOOKUP($A251,EnrollData2324,'2324 Jun 24 Enroll'!D$1,FALSE)='District Calculations'!$D$25+'District Calculations'!$D$11,VLOOKUP($A251,EnrollData2324,'2324 Jun 24 Enroll'!M$1,FALSE)+VLOOKUP($A251,EnrollData2324,'2324 Jun 24 Enroll'!D$1,FALSE),'District Calculations'!$D$25+'District Calculations'!$D$11),5)</f>
        <v>4.1099999999999999E-3</v>
      </c>
      <c r="S251" s="11">
        <f t="shared" si="23"/>
        <v>1.8689600000000001E-2</v>
      </c>
      <c r="T251">
        <f>ROUND(IF(VLOOKUP($A251,EnrollData2324,'2324 Jun 24 Enroll'!D$1,FALSE)='District Calculations'!$D$11,VLOOKUP($A251,EnrollData2324,'2324 Jun 24 Enroll'!D$1,FALSE),'District Calculations'!$D$11)*S251,3)</f>
        <v>0</v>
      </c>
      <c r="U251">
        <f>ROUND(IF(VLOOKUP($A251,EnrollData2324,'2324 Jun 24 Enroll'!E$1,FALSE)='District Calculations'!$D$12,VLOOKUP($A251,EnrollData2324,'2324 Jun 24 Enroll'!E$1,FALSE),'District Calculations'!$D$12)*S251,3)</f>
        <v>15.148</v>
      </c>
      <c r="V251">
        <f>ROUND(IF(VLOOKUP($A251,EnrollData2324,'2324 Jun 24 Enroll'!F$1,FALSE)='District Calculations'!$D$13,VLOOKUP($A251,EnrollData2324,'2324 Jun 24 Enroll'!F$1,FALSE),'District Calculations'!$D$13)*Apport_224A2324s,3)</f>
        <v>3.7029999999999998</v>
      </c>
      <c r="W251">
        <f>ROUND(IF(VLOOKUP($A251,EnrollData2324,'2324 Jun 24 Enroll'!G$1,FALSE)='District Calculations'!$D$14,VLOOKUP($A251,EnrollData2324,'2324 Jun 24 Enroll'!G$1,FALSE),'District Calculations'!$D$14)*Apport_212A2324s,3)</f>
        <v>8.2089999999999996</v>
      </c>
      <c r="X251">
        <f>ROUND(IF(VLOOKUP($A251,EnrollData2324,'2324 Jun 24 Enroll'!H$1,FALSE)='District Calculations'!$D$14,VLOOKUP($A251,EnrollData2324,'2324 Jun 24 Enroll'!H$1,FALSE),'District Calculations'!$D$14)*Apport_215A2324s,3)</f>
        <v>8.0969999999999995</v>
      </c>
      <c r="Y251">
        <f>ROUND(IF(VLOOKUP($A251,EnrollData2324,'2324 Jun 24 Enroll'!I$1,FALSE)+VLOOKUP($A251,EnrollData2324,'2324 Jun 24 Enroll'!M$1,FALSE)-VLOOKUP($A251,EnrollData2324,'2324 Jun 24 Enroll'!J$1,FALSE)='District Calculations'!$D$16+'District Calculations'!$D$25-'District Calculations'!$D$17,VLOOKUP($A251,EnrollData2324,'2324 Jun 24 Enroll'!I$1,FALSE)+VLOOKUP($A251,EnrollData2324,'2324 Jun 24 Enroll'!M$1,FALSE)-VLOOKUP($A251,EnrollData2324,'2324 Jun 24 Enroll'!J$1,FALSE),'District Calculations'!$D$16+'District Calculations'!$D$25-'District Calculations'!$D$17)*Apport_218A2324s,3)</f>
        <v>20.224</v>
      </c>
      <c r="Z251">
        <f>ROUND(SUM(T251:Y251)/IF(VLOOKUP($A251,EnrollData2324,'2324 Jun 24 Enroll'!M$1,FALSE)+VLOOKUP($A251,EnrollData2324,'2324 Jun 24 Enroll'!D$1,FALSE)='District Calculations'!$D$25+'District Calculations'!$D$11,VLOOKUP($A251,EnrollData2324,'2324 Jun 24 Enroll'!M$1,FALSE)+VLOOKUP($A251,EnrollData2324,'2324 Jun 24 Enroll'!D$1,FALSE),'District Calculations'!$D$25+'District Calculations'!$D$11),5)</f>
        <v>1.7749999999999998E-2</v>
      </c>
      <c r="AA251" s="6" cm="1">
        <f t="array" ref="AA251">ROUND($J251*CIS_Base_Salary2324s*VLOOKUP($A251,EnrollData2324,'2324 Jun 24 Enroll'!S$1,FALSE),2)</f>
        <v>4038.59</v>
      </c>
      <c r="AB251" s="6" cm="1">
        <f t="array" ref="AB251">ROUND($J251*CIS_Inc_Salary2324s*(VLOOKUP($A251,EnrollData2324,'2324 Jun 24 Enroll'!T$1,FALSE)+VLOOKUP($A251,EnrollData2324,'2324 Jun 24 Enroll'!U$1,FALSE)),2)-AA251</f>
        <v>316.94999999999982</v>
      </c>
      <c r="AC251" s="6" cm="1">
        <f t="array" ref="AC251">ROUND($R251*CAS_Base_Salary2324s*VLOOKUP($A251,EnrollData2324,'2324 Jun 24 Enroll'!S$1,FALSE),2)</f>
        <v>443.7</v>
      </c>
      <c r="AD251" s="6" cm="1">
        <f t="array" ref="AD251">ROUND($R251*CAS_Inc_Salary2324s*VLOOKUP($A251,EnrollData2324,'2324 Jun 24 Enroll'!T$1,FALSE),2)-AC251</f>
        <v>16.410000000000025</v>
      </c>
      <c r="AE251" s="6" cm="1">
        <f t="array" ref="AE251">ROUND($Z251*CLS_Base_Salary2324s*VLOOKUP($A251,EnrollData2324,'2324 Jun 24 Enroll'!S$1,FALSE),2)</f>
        <v>926.07</v>
      </c>
      <c r="AF251" s="6" cm="1">
        <f t="array" ref="AF251">ROUND($Z251*CLS_Inc_Salary2324s*VLOOKUP($A251,EnrollData2324,'2324 Jun 24 Enroll'!T$1,FALSE),2)-AE251</f>
        <v>34.259999999999991</v>
      </c>
      <c r="AG251" cm="1">
        <f t="array" ref="AG251">ROUND(($J251+$R251)*Apport_124X2324s,2)</f>
        <v>734.29</v>
      </c>
      <c r="AH251" s="69">
        <f t="shared" si="24"/>
        <v>68.700000000000045</v>
      </c>
      <c r="AI251" cm="1">
        <f t="array" ref="AI251">ROUND($Z251*Apport_124X2324s,2)</f>
        <v>218.54</v>
      </c>
      <c r="AJ251" cm="1">
        <f t="array" ref="AJ251">ROUND($Z251*Apport_621X2324s*Apport_125X2324s,2)-AI251</f>
        <v>116.51000000000002</v>
      </c>
      <c r="AK251" cm="1">
        <f t="array" ref="AK251">ROUND((AA251+AC251)*Apport_126X2324s,2)</f>
        <v>805.47</v>
      </c>
      <c r="AL251" cm="1">
        <f t="array" ref="AL251">ROUND((AB251+AD251)*Apport_127X2324s,2)</f>
        <v>57.77</v>
      </c>
      <c r="AM251" cm="1">
        <f t="array" ref="AM251">ROUND(AE251*Apport_128X2324s,2)</f>
        <v>204.29</v>
      </c>
      <c r="AN251" cm="1">
        <f t="array" ref="AN251">ROUND(AF251*Apport_129X2324s,2)</f>
        <v>6.36</v>
      </c>
      <c r="AO251" cm="1">
        <f t="array" ref="AO251">ROUND(($J251*CIS_Inc_Salary2324s*(VLOOKUP($A251,EnrollData2324,'2324 Jun 24 Enroll'!T$1,FALSE)+VLOOKUP($A251,EnrollData2324,'2324 Jun 24 Enroll'!U$1,FALSE))/Apport_613Xpd)*Apport_614Xpd,2)</f>
        <v>72.59</v>
      </c>
      <c r="AP251" cm="1">
        <f t="array" ref="AP251">ROUND(AO251*Apport_127X2324s,2)</f>
        <v>12.58</v>
      </c>
      <c r="AQ251">
        <f t="shared" si="25"/>
        <v>30.93</v>
      </c>
      <c r="AR251" s="6" cm="1">
        <f t="array" ref="AR251">ROUND((VLOOKUP($A251,EnrollData2324,'2324 Jun 24 Enroll'!D$1,FALSE)*Apport_M802324s+VLOOKUP($A251,EnrollData2324,'2324 Jun 24 Enroll'!M$1,FALSE)*Apport_M802324s+(VLOOKUP($A251,EnrollData2324,'2324 Jun 24 Enroll'!P$1,FALSE)+VLOOKUP($A251,EnrollData2324,'2324 Jun 24 Enroll'!Q$1,FALSE)+VLOOKUP($A251,EnrollData2324,'2324 Jun 24 Enroll'!R$1,FALSE)+VLOOKUP($A251,EnrollData2324,'2324 Jun 24 Enroll'!I$1,FALSE)+VLOOKUP($A251,EnrollData2324,'2324 Jun 24 Enroll'!N$1,FALSE)+VLOOKUP($A251,EnrollData2324,'2324 Jun 24 Enroll'!O$1,FALSE)+VLOOKUP($A251,EnrollData2324,'2324 Jun 24 Enroll'!K$1,FALSE)+VLOOKUP($A251,EnrollData2324,'2324 Jun 24 Enroll'!L$1,FALSE))*Apport_M812324s)/(VLOOKUP($A251,EnrollData2324,'2324 Jun 24 Enroll'!M$1,FALSE)+VLOOKUP($A251,EnrollData2324,'2324 Jun 24 Enroll'!D$1,FALSE)),2)</f>
        <v>1573</v>
      </c>
      <c r="AS251" s="7">
        <f t="shared" si="26"/>
        <v>9677.01</v>
      </c>
    </row>
    <row r="252" spans="1:45">
      <c r="A252" s="40" t="s">
        <v>378</v>
      </c>
      <c r="B252" s="40" t="s">
        <v>379</v>
      </c>
      <c r="C252" s="11">
        <f>ROUND((IFERROR((1/IF(VLOOKUP($A252,EnrollData2324,28,FALSE)='District Calculations'!$D$10,VLOOKUP($A252,EnrollData2324,28,FALSE),'District Calculations'!$D$10))*(1+Apport_Z315),0))+Apport_201A2324s,6)</f>
        <v>7.3449E-2</v>
      </c>
      <c r="D252">
        <f>ROUND(IF(VLOOKUP($A252,EnrollData2324,'2324 Jun 24 Enroll'!D$1,FALSE)='District Calculations'!$D$11,VLOOKUP($A252,EnrollData2324,'2324 Jun 24 Enroll'!D$1,FALSE),'District Calculations'!$D$11)*C252,3)</f>
        <v>0</v>
      </c>
      <c r="E252">
        <f>ROUND(IF(VLOOKUP($A252,EnrollData2324,'2324 Jun 24 Enroll'!E$1,FALSE)='District Calculations'!$D$12,VLOOKUP($A252,EnrollData2324,'2324 Jun 24 Enroll'!E$1,FALSE),'District Calculations'!$D$12)*C252,3)</f>
        <v>59.53</v>
      </c>
      <c r="F252">
        <f>ROUND(IF(VLOOKUP($A252,EnrollData2324,'2324 Jun 24 Enroll'!F$1,FALSE)='District Calculations'!$D$13,VLOOKUP($A252,EnrollData2324,'2324 Jun 24 Enroll'!F$1,FALSE),'District Calculations'!$D$13)*Apport_222A2324s,3)</f>
        <v>10.101000000000001</v>
      </c>
      <c r="G252">
        <f>ROUND(IF(VLOOKUP($A252,EnrollData2324,'2324 Jun 24 Enroll'!G$1,FALSE)='District Calculations'!$D$14,VLOOKUP($A252,EnrollData2324,'2324 Jun 24 Enroll'!G$1,FALSE),'District Calculations'!$D$14)*Apport_210A2324s,3)</f>
        <v>22.395</v>
      </c>
      <c r="H252">
        <f>ROUND(IF(VLOOKUP($A252,EnrollData2324,'2324 Jun 24 Enroll'!H$1,FALSE)='District Calculations'!$D$15,VLOOKUP($A252,EnrollData2324,'2324 Jun 24 Enroll'!H$1,FALSE),'District Calculations'!$D$15)*Apport_213A2324s,3)</f>
        <v>23.091999999999999</v>
      </c>
      <c r="I252">
        <f>ROUND(IF(VLOOKUP($A252,EnrollData2324,'2324 Jun 24 Enroll'!I$1,FALSE)+VLOOKUP($A252,EnrollData2324,'2324 Jun 24 Enroll'!M$1,FALSE)-VLOOKUP($A252,EnrollData2324,'2324 Jun 24 Enroll'!J$1,FALSE)='District Calculations'!$D$16+'District Calculations'!$D$25-'District Calculations'!$D$17,VLOOKUP($A252,EnrollData2324,'2324 Jun 24 Enroll'!I$1,FALSE)+VLOOKUP($A252,EnrollData2324,'2324 Jun 24 Enroll'!M$1,FALSE)-VLOOKUP($A252,EnrollData2324,'2324 Jun 24 Enroll'!J$1,FALSE),'District Calculations'!$D$16+'District Calculations'!$D$25-'District Calculations'!$D$17)*Apport_216A2324s,3)</f>
        <v>58.183999999999997</v>
      </c>
      <c r="J252">
        <f>ROUND(SUM(D252:I252)/(IF(VLOOKUP($A252,EnrollData2324,'2324 Jun 24 Enroll'!M$1,FALSE)='District Calculations'!$D$25,VLOOKUP($A252,EnrollData2324,'2324 Jun 24 Enroll'!M$1,FALSE),'District Calculations'!$D$25)+IF(VLOOKUP($A252,EnrollData2324,'2324 Jun 24 Enroll'!D$1,FALSE)='District Calculations'!$D$11,VLOOKUP($A252,EnrollData2324,'2324 Jun 24 Enroll'!D$1,FALSE),'District Calculations'!$D$11)),5)</f>
        <v>5.5530000000000003E-2</v>
      </c>
      <c r="K252" s="11">
        <f t="shared" si="22"/>
        <v>4.3699999999999998E-3</v>
      </c>
      <c r="L252">
        <f>ROUND(IF(VLOOKUP($A252,EnrollData2324,'2324 Jun 24 Enroll'!D$1,FALSE)='District Calculations'!$D$11,VLOOKUP($A252,EnrollData2324,'2324 Jun 24 Enroll'!D$1,FALSE),'District Calculations'!$D$11)*K252,3)</f>
        <v>0</v>
      </c>
      <c r="M252">
        <f>ROUND(IF(VLOOKUP($A252,EnrollData2324,'2324 Jun 24 Enroll'!E$1,FALSE)='District Calculations'!$D$12,VLOOKUP($A252,EnrollData2324,'2324 Jun 24 Enroll'!E$1,FALSE),'District Calculations'!$D$12)*K252,3)</f>
        <v>3.5419999999999998</v>
      </c>
      <c r="N252">
        <f>ROUND(IF(VLOOKUP($A252,EnrollData2324,'2324 Jun 24 Enroll'!F$1,FALSE)='District Calculations'!$D$13,VLOOKUP($A252,EnrollData2324,'2324 Jun 24 Enroll'!F$1,FALSE),'District Calculations'!$D$13)*Apport_223A2324s,3)</f>
        <v>0.84299999999999997</v>
      </c>
      <c r="O252">
        <f>ROUND(IF(VLOOKUP($A252,EnrollData2324,'2324 Jun 24 Enroll'!G$1,FALSE)='District Calculations'!$D$14,VLOOKUP($A252,EnrollData2324,'2324 Jun 24 Enroll'!G$1,FALSE),'District Calculations'!$D$14)*Apport_211A2324s,3)</f>
        <v>1.87</v>
      </c>
      <c r="P252">
        <f>ROUND(IF(VLOOKUP($A252,EnrollData2324,'2324 Jun 24 Enroll'!H$1,FALSE)='District Calculations'!$D$14,VLOOKUP($A252,EnrollData2324,'2324 Jun 24 Enroll'!H$1,FALSE),'District Calculations'!$D$14)*Apport_214A2324s,3)</f>
        <v>1.8680000000000001</v>
      </c>
      <c r="Q252">
        <f>ROUND(IF(VLOOKUP($A252,EnrollData2324,'2324 Jun 24 Enroll'!I$1,FALSE)+VLOOKUP($A252,EnrollData2324,'2324 Jun 24 Enroll'!M$1,FALSE)-VLOOKUP($A252,EnrollData2324,'2324 Jun 24 Enroll'!J$1,FALSE)='District Calculations'!$D$16+'District Calculations'!$D$25-'District Calculations'!$D$17,VLOOKUP($A252,EnrollData2324,'2324 Jun 24 Enroll'!I$1,FALSE)+VLOOKUP($A252,EnrollData2324,'2324 Jun 24 Enroll'!M$1,FALSE)-VLOOKUP($A252,EnrollData2324,'2324 Jun 24 Enroll'!J$1,FALSE),'District Calculations'!$D$16+'District Calculations'!$D$25-'District Calculations'!$D$17)*Apport_217A2324s,3)</f>
        <v>4.702</v>
      </c>
      <c r="R252">
        <f>ROUND(SUM(L252:Q252)/IF(VLOOKUP($A252,EnrollData2324,'2324 Jun 24 Enroll'!M$1,FALSE)+VLOOKUP($A252,EnrollData2324,'2324 Jun 24 Enroll'!D$1,FALSE)='District Calculations'!$D$25+'District Calculations'!$D$11,VLOOKUP($A252,EnrollData2324,'2324 Jun 24 Enroll'!M$1,FALSE)+VLOOKUP($A252,EnrollData2324,'2324 Jun 24 Enroll'!D$1,FALSE),'District Calculations'!$D$25+'District Calculations'!$D$11),5)</f>
        <v>4.1099999999999999E-3</v>
      </c>
      <c r="S252" s="11">
        <f t="shared" si="23"/>
        <v>1.8689600000000001E-2</v>
      </c>
      <c r="T252">
        <f>ROUND(IF(VLOOKUP($A252,EnrollData2324,'2324 Jun 24 Enroll'!D$1,FALSE)='District Calculations'!$D$11,VLOOKUP($A252,EnrollData2324,'2324 Jun 24 Enroll'!D$1,FALSE),'District Calculations'!$D$11)*S252,3)</f>
        <v>0</v>
      </c>
      <c r="U252">
        <f>ROUND(IF(VLOOKUP($A252,EnrollData2324,'2324 Jun 24 Enroll'!E$1,FALSE)='District Calculations'!$D$12,VLOOKUP($A252,EnrollData2324,'2324 Jun 24 Enroll'!E$1,FALSE),'District Calculations'!$D$12)*S252,3)</f>
        <v>15.148</v>
      </c>
      <c r="V252">
        <f>ROUND(IF(VLOOKUP($A252,EnrollData2324,'2324 Jun 24 Enroll'!F$1,FALSE)='District Calculations'!$D$13,VLOOKUP($A252,EnrollData2324,'2324 Jun 24 Enroll'!F$1,FALSE),'District Calculations'!$D$13)*Apport_224A2324s,3)</f>
        <v>3.7029999999999998</v>
      </c>
      <c r="W252">
        <f>ROUND(IF(VLOOKUP($A252,EnrollData2324,'2324 Jun 24 Enroll'!G$1,FALSE)='District Calculations'!$D$14,VLOOKUP($A252,EnrollData2324,'2324 Jun 24 Enroll'!G$1,FALSE),'District Calculations'!$D$14)*Apport_212A2324s,3)</f>
        <v>8.2089999999999996</v>
      </c>
      <c r="X252">
        <f>ROUND(IF(VLOOKUP($A252,EnrollData2324,'2324 Jun 24 Enroll'!H$1,FALSE)='District Calculations'!$D$14,VLOOKUP($A252,EnrollData2324,'2324 Jun 24 Enroll'!H$1,FALSE),'District Calculations'!$D$14)*Apport_215A2324s,3)</f>
        <v>8.0969999999999995</v>
      </c>
      <c r="Y252">
        <f>ROUND(IF(VLOOKUP($A252,EnrollData2324,'2324 Jun 24 Enroll'!I$1,FALSE)+VLOOKUP($A252,EnrollData2324,'2324 Jun 24 Enroll'!M$1,FALSE)-VLOOKUP($A252,EnrollData2324,'2324 Jun 24 Enroll'!J$1,FALSE)='District Calculations'!$D$16+'District Calculations'!$D$25-'District Calculations'!$D$17,VLOOKUP($A252,EnrollData2324,'2324 Jun 24 Enroll'!I$1,FALSE)+VLOOKUP($A252,EnrollData2324,'2324 Jun 24 Enroll'!M$1,FALSE)-VLOOKUP($A252,EnrollData2324,'2324 Jun 24 Enroll'!J$1,FALSE),'District Calculations'!$D$16+'District Calculations'!$D$25-'District Calculations'!$D$17)*Apport_218A2324s,3)</f>
        <v>20.224</v>
      </c>
      <c r="Z252">
        <f>ROUND(SUM(T252:Y252)/IF(VLOOKUP($A252,EnrollData2324,'2324 Jun 24 Enroll'!M$1,FALSE)+VLOOKUP($A252,EnrollData2324,'2324 Jun 24 Enroll'!D$1,FALSE)='District Calculations'!$D$25+'District Calculations'!$D$11,VLOOKUP($A252,EnrollData2324,'2324 Jun 24 Enroll'!M$1,FALSE)+VLOOKUP($A252,EnrollData2324,'2324 Jun 24 Enroll'!D$1,FALSE),'District Calculations'!$D$25+'District Calculations'!$D$11),5)</f>
        <v>1.7749999999999998E-2</v>
      </c>
      <c r="AA252" s="6" cm="1">
        <f t="array" ref="AA252">ROUND($J252*CIS_Base_Salary2324s*VLOOKUP($A252,EnrollData2324,'2324 Jun 24 Enroll'!S$1,FALSE),2)</f>
        <v>4038.59</v>
      </c>
      <c r="AB252" s="6" cm="1">
        <f t="array" ref="AB252">ROUND($J252*CIS_Inc_Salary2324s*(VLOOKUP($A252,EnrollData2324,'2324 Jun 24 Enroll'!T$1,FALSE)+VLOOKUP($A252,EnrollData2324,'2324 Jun 24 Enroll'!U$1,FALSE)),2)-AA252</f>
        <v>149.43000000000029</v>
      </c>
      <c r="AC252" s="6" cm="1">
        <f t="array" ref="AC252">ROUND($R252*CAS_Base_Salary2324s*VLOOKUP($A252,EnrollData2324,'2324 Jun 24 Enroll'!S$1,FALSE),2)</f>
        <v>443.7</v>
      </c>
      <c r="AD252" s="6" cm="1">
        <f t="array" ref="AD252">ROUND($R252*CAS_Inc_Salary2324s*VLOOKUP($A252,EnrollData2324,'2324 Jun 24 Enroll'!T$1,FALSE),2)-AC252</f>
        <v>16.410000000000025</v>
      </c>
      <c r="AE252" s="6" cm="1">
        <f t="array" ref="AE252">ROUND($Z252*CLS_Base_Salary2324s*VLOOKUP($A252,EnrollData2324,'2324 Jun 24 Enroll'!S$1,FALSE),2)</f>
        <v>926.07</v>
      </c>
      <c r="AF252" s="6" cm="1">
        <f t="array" ref="AF252">ROUND($Z252*CLS_Inc_Salary2324s*VLOOKUP($A252,EnrollData2324,'2324 Jun 24 Enroll'!T$1,FALSE),2)-AE252</f>
        <v>34.259999999999991</v>
      </c>
      <c r="AG252" cm="1">
        <f t="array" ref="AG252">ROUND(($J252+$R252)*Apport_124X2324s,2)</f>
        <v>734.29</v>
      </c>
      <c r="AH252" s="69">
        <f t="shared" si="24"/>
        <v>68.700000000000045</v>
      </c>
      <c r="AI252" cm="1">
        <f t="array" ref="AI252">ROUND($Z252*Apport_124X2324s,2)</f>
        <v>218.54</v>
      </c>
      <c r="AJ252" cm="1">
        <f t="array" ref="AJ252">ROUND($Z252*Apport_621X2324s*Apport_125X2324s,2)-AI252</f>
        <v>116.51000000000002</v>
      </c>
      <c r="AK252" cm="1">
        <f t="array" ref="AK252">ROUND((AA252+AC252)*Apport_126X2324s,2)</f>
        <v>805.47</v>
      </c>
      <c r="AL252" cm="1">
        <f t="array" ref="AL252">ROUND((AB252+AD252)*Apport_127X2324s,2)</f>
        <v>28.74</v>
      </c>
      <c r="AM252" cm="1">
        <f t="array" ref="AM252">ROUND(AE252*Apport_128X2324s,2)</f>
        <v>204.29</v>
      </c>
      <c r="AN252" cm="1">
        <f t="array" ref="AN252">ROUND(AF252*Apport_129X2324s,2)</f>
        <v>6.36</v>
      </c>
      <c r="AO252" cm="1">
        <f t="array" ref="AO252">ROUND(($J252*CIS_Inc_Salary2324s*(VLOOKUP($A252,EnrollData2324,'2324 Jun 24 Enroll'!T$1,FALSE)+VLOOKUP($A252,EnrollData2324,'2324 Jun 24 Enroll'!U$1,FALSE))/Apport_613Xpd)*Apport_614Xpd,2)</f>
        <v>69.8</v>
      </c>
      <c r="AP252" cm="1">
        <f t="array" ref="AP252">ROUND(AO252*Apport_127X2324s,2)</f>
        <v>12.1</v>
      </c>
      <c r="AQ252">
        <f t="shared" si="25"/>
        <v>30.93</v>
      </c>
      <c r="AR252" s="6" cm="1">
        <f t="array" ref="AR252">ROUND((VLOOKUP($A252,EnrollData2324,'2324 Jun 24 Enroll'!D$1,FALSE)*Apport_M802324s+VLOOKUP($A252,EnrollData2324,'2324 Jun 24 Enroll'!M$1,FALSE)*Apport_M802324s+(VLOOKUP($A252,EnrollData2324,'2324 Jun 24 Enroll'!P$1,FALSE)+VLOOKUP($A252,EnrollData2324,'2324 Jun 24 Enroll'!Q$1,FALSE)+VLOOKUP($A252,EnrollData2324,'2324 Jun 24 Enroll'!R$1,FALSE)+VLOOKUP($A252,EnrollData2324,'2324 Jun 24 Enroll'!I$1,FALSE)+VLOOKUP($A252,EnrollData2324,'2324 Jun 24 Enroll'!N$1,FALSE)+VLOOKUP($A252,EnrollData2324,'2324 Jun 24 Enroll'!O$1,FALSE)+VLOOKUP($A252,EnrollData2324,'2324 Jun 24 Enroll'!K$1,FALSE)+VLOOKUP($A252,EnrollData2324,'2324 Jun 24 Enroll'!L$1,FALSE))*Apport_M812324s)/(VLOOKUP($A252,EnrollData2324,'2324 Jun 24 Enroll'!M$1,FALSE)+VLOOKUP($A252,EnrollData2324,'2324 Jun 24 Enroll'!D$1,FALSE)),2)</f>
        <v>1568.78</v>
      </c>
      <c r="AS252" s="7">
        <f t="shared" si="26"/>
        <v>9472.9700000000012</v>
      </c>
    </row>
    <row r="253" spans="1:45">
      <c r="A253" s="40" t="s">
        <v>434</v>
      </c>
      <c r="B253" s="40" t="s">
        <v>435</v>
      </c>
      <c r="C253" s="11">
        <f>ROUND((IFERROR((1/IF(VLOOKUP($A253,EnrollData2324,28,FALSE)='District Calculations'!$D$10,VLOOKUP($A253,EnrollData2324,28,FALSE),'District Calculations'!$D$10))*(1+Apport_Z315),0))+Apport_201A2324s,6)</f>
        <v>7.3449E-2</v>
      </c>
      <c r="D253">
        <f>ROUND(IF(VLOOKUP($A253,EnrollData2324,'2324 Jun 24 Enroll'!D$1,FALSE)='District Calculations'!$D$11,VLOOKUP($A253,EnrollData2324,'2324 Jun 24 Enroll'!D$1,FALSE),'District Calculations'!$D$11)*C253,3)</f>
        <v>0</v>
      </c>
      <c r="E253">
        <f>ROUND(IF(VLOOKUP($A253,EnrollData2324,'2324 Jun 24 Enroll'!E$1,FALSE)='District Calculations'!$D$12,VLOOKUP($A253,EnrollData2324,'2324 Jun 24 Enroll'!E$1,FALSE),'District Calculations'!$D$12)*C253,3)</f>
        <v>59.53</v>
      </c>
      <c r="F253">
        <f>ROUND(IF(VLOOKUP($A253,EnrollData2324,'2324 Jun 24 Enroll'!F$1,FALSE)='District Calculations'!$D$13,VLOOKUP($A253,EnrollData2324,'2324 Jun 24 Enroll'!F$1,FALSE),'District Calculations'!$D$13)*Apport_222A2324s,3)</f>
        <v>10.101000000000001</v>
      </c>
      <c r="G253">
        <f>ROUND(IF(VLOOKUP($A253,EnrollData2324,'2324 Jun 24 Enroll'!G$1,FALSE)='District Calculations'!$D$14,VLOOKUP($A253,EnrollData2324,'2324 Jun 24 Enroll'!G$1,FALSE),'District Calculations'!$D$14)*Apport_210A2324s,3)</f>
        <v>22.395</v>
      </c>
      <c r="H253">
        <f>ROUND(IF(VLOOKUP($A253,EnrollData2324,'2324 Jun 24 Enroll'!H$1,FALSE)='District Calculations'!$D$15,VLOOKUP($A253,EnrollData2324,'2324 Jun 24 Enroll'!H$1,FALSE),'District Calculations'!$D$15)*Apport_213A2324s,3)</f>
        <v>23.091999999999999</v>
      </c>
      <c r="I253">
        <f>ROUND(IF(VLOOKUP($A253,EnrollData2324,'2324 Jun 24 Enroll'!I$1,FALSE)+VLOOKUP($A253,EnrollData2324,'2324 Jun 24 Enroll'!M$1,FALSE)-VLOOKUP($A253,EnrollData2324,'2324 Jun 24 Enroll'!J$1,FALSE)='District Calculations'!$D$16+'District Calculations'!$D$25-'District Calculations'!$D$17,VLOOKUP($A253,EnrollData2324,'2324 Jun 24 Enroll'!I$1,FALSE)+VLOOKUP($A253,EnrollData2324,'2324 Jun 24 Enroll'!M$1,FALSE)-VLOOKUP($A253,EnrollData2324,'2324 Jun 24 Enroll'!J$1,FALSE),'District Calculations'!$D$16+'District Calculations'!$D$25-'District Calculations'!$D$17)*Apport_216A2324s,3)</f>
        <v>58.183999999999997</v>
      </c>
      <c r="J253">
        <f>ROUND(SUM(D253:I253)/(IF(VLOOKUP($A253,EnrollData2324,'2324 Jun 24 Enroll'!M$1,FALSE)='District Calculations'!$D$25,VLOOKUP($A253,EnrollData2324,'2324 Jun 24 Enroll'!M$1,FALSE),'District Calculations'!$D$25)+IF(VLOOKUP($A253,EnrollData2324,'2324 Jun 24 Enroll'!D$1,FALSE)='District Calculations'!$D$11,VLOOKUP($A253,EnrollData2324,'2324 Jun 24 Enroll'!D$1,FALSE),'District Calculations'!$D$11)),5)</f>
        <v>5.5530000000000003E-2</v>
      </c>
      <c r="K253" s="11">
        <f t="shared" si="22"/>
        <v>4.3699999999999998E-3</v>
      </c>
      <c r="L253">
        <f>ROUND(IF(VLOOKUP($A253,EnrollData2324,'2324 Jun 24 Enroll'!D$1,FALSE)='District Calculations'!$D$11,VLOOKUP($A253,EnrollData2324,'2324 Jun 24 Enroll'!D$1,FALSE),'District Calculations'!$D$11)*K253,3)</f>
        <v>0</v>
      </c>
      <c r="M253">
        <f>ROUND(IF(VLOOKUP($A253,EnrollData2324,'2324 Jun 24 Enroll'!E$1,FALSE)='District Calculations'!$D$12,VLOOKUP($A253,EnrollData2324,'2324 Jun 24 Enroll'!E$1,FALSE),'District Calculations'!$D$12)*K253,3)</f>
        <v>3.5419999999999998</v>
      </c>
      <c r="N253">
        <f>ROUND(IF(VLOOKUP($A253,EnrollData2324,'2324 Jun 24 Enroll'!F$1,FALSE)='District Calculations'!$D$13,VLOOKUP($A253,EnrollData2324,'2324 Jun 24 Enroll'!F$1,FALSE),'District Calculations'!$D$13)*Apport_223A2324s,3)</f>
        <v>0.84299999999999997</v>
      </c>
      <c r="O253">
        <f>ROUND(IF(VLOOKUP($A253,EnrollData2324,'2324 Jun 24 Enroll'!G$1,FALSE)='District Calculations'!$D$14,VLOOKUP($A253,EnrollData2324,'2324 Jun 24 Enroll'!G$1,FALSE),'District Calculations'!$D$14)*Apport_211A2324s,3)</f>
        <v>1.87</v>
      </c>
      <c r="P253">
        <f>ROUND(IF(VLOOKUP($A253,EnrollData2324,'2324 Jun 24 Enroll'!H$1,FALSE)='District Calculations'!$D$14,VLOOKUP($A253,EnrollData2324,'2324 Jun 24 Enroll'!H$1,FALSE),'District Calculations'!$D$14)*Apport_214A2324s,3)</f>
        <v>1.8680000000000001</v>
      </c>
      <c r="Q253">
        <f>ROUND(IF(VLOOKUP($A253,EnrollData2324,'2324 Jun 24 Enroll'!I$1,FALSE)+VLOOKUP($A253,EnrollData2324,'2324 Jun 24 Enroll'!M$1,FALSE)-VLOOKUP($A253,EnrollData2324,'2324 Jun 24 Enroll'!J$1,FALSE)='District Calculations'!$D$16+'District Calculations'!$D$25-'District Calculations'!$D$17,VLOOKUP($A253,EnrollData2324,'2324 Jun 24 Enroll'!I$1,FALSE)+VLOOKUP($A253,EnrollData2324,'2324 Jun 24 Enroll'!M$1,FALSE)-VLOOKUP($A253,EnrollData2324,'2324 Jun 24 Enroll'!J$1,FALSE),'District Calculations'!$D$16+'District Calculations'!$D$25-'District Calculations'!$D$17)*Apport_217A2324s,3)</f>
        <v>4.702</v>
      </c>
      <c r="R253">
        <f>ROUND(SUM(L253:Q253)/IF(VLOOKUP($A253,EnrollData2324,'2324 Jun 24 Enroll'!M$1,FALSE)+VLOOKUP($A253,EnrollData2324,'2324 Jun 24 Enroll'!D$1,FALSE)='District Calculations'!$D$25+'District Calculations'!$D$11,VLOOKUP($A253,EnrollData2324,'2324 Jun 24 Enroll'!M$1,FALSE)+VLOOKUP($A253,EnrollData2324,'2324 Jun 24 Enroll'!D$1,FALSE),'District Calculations'!$D$25+'District Calculations'!$D$11),5)</f>
        <v>4.1099999999999999E-3</v>
      </c>
      <c r="S253" s="11">
        <f t="shared" si="23"/>
        <v>1.8689600000000001E-2</v>
      </c>
      <c r="T253">
        <f>ROUND(IF(VLOOKUP($A253,EnrollData2324,'2324 Jun 24 Enroll'!D$1,FALSE)='District Calculations'!$D$11,VLOOKUP($A253,EnrollData2324,'2324 Jun 24 Enroll'!D$1,FALSE),'District Calculations'!$D$11)*S253,3)</f>
        <v>0</v>
      </c>
      <c r="U253">
        <f>ROUND(IF(VLOOKUP($A253,EnrollData2324,'2324 Jun 24 Enroll'!E$1,FALSE)='District Calculations'!$D$12,VLOOKUP($A253,EnrollData2324,'2324 Jun 24 Enroll'!E$1,FALSE),'District Calculations'!$D$12)*S253,3)</f>
        <v>15.148</v>
      </c>
      <c r="V253">
        <f>ROUND(IF(VLOOKUP($A253,EnrollData2324,'2324 Jun 24 Enroll'!F$1,FALSE)='District Calculations'!$D$13,VLOOKUP($A253,EnrollData2324,'2324 Jun 24 Enroll'!F$1,FALSE),'District Calculations'!$D$13)*Apport_224A2324s,3)</f>
        <v>3.7029999999999998</v>
      </c>
      <c r="W253">
        <f>ROUND(IF(VLOOKUP($A253,EnrollData2324,'2324 Jun 24 Enroll'!G$1,FALSE)='District Calculations'!$D$14,VLOOKUP($A253,EnrollData2324,'2324 Jun 24 Enroll'!G$1,FALSE),'District Calculations'!$D$14)*Apport_212A2324s,3)</f>
        <v>8.2089999999999996</v>
      </c>
      <c r="X253">
        <f>ROUND(IF(VLOOKUP($A253,EnrollData2324,'2324 Jun 24 Enroll'!H$1,FALSE)='District Calculations'!$D$14,VLOOKUP($A253,EnrollData2324,'2324 Jun 24 Enroll'!H$1,FALSE),'District Calculations'!$D$14)*Apport_215A2324s,3)</f>
        <v>8.0969999999999995</v>
      </c>
      <c r="Y253">
        <f>ROUND(IF(VLOOKUP($A253,EnrollData2324,'2324 Jun 24 Enroll'!I$1,FALSE)+VLOOKUP($A253,EnrollData2324,'2324 Jun 24 Enroll'!M$1,FALSE)-VLOOKUP($A253,EnrollData2324,'2324 Jun 24 Enroll'!J$1,FALSE)='District Calculations'!$D$16+'District Calculations'!$D$25-'District Calculations'!$D$17,VLOOKUP($A253,EnrollData2324,'2324 Jun 24 Enroll'!I$1,FALSE)+VLOOKUP($A253,EnrollData2324,'2324 Jun 24 Enroll'!M$1,FALSE)-VLOOKUP($A253,EnrollData2324,'2324 Jun 24 Enroll'!J$1,FALSE),'District Calculations'!$D$16+'District Calculations'!$D$25-'District Calculations'!$D$17)*Apport_218A2324s,3)</f>
        <v>20.224</v>
      </c>
      <c r="Z253">
        <f>ROUND(SUM(T253:Y253)/IF(VLOOKUP($A253,EnrollData2324,'2324 Jun 24 Enroll'!M$1,FALSE)+VLOOKUP($A253,EnrollData2324,'2324 Jun 24 Enroll'!D$1,FALSE)='District Calculations'!$D$25+'District Calculations'!$D$11,VLOOKUP($A253,EnrollData2324,'2324 Jun 24 Enroll'!M$1,FALSE)+VLOOKUP($A253,EnrollData2324,'2324 Jun 24 Enroll'!D$1,FALSE),'District Calculations'!$D$25+'District Calculations'!$D$11),5)</f>
        <v>1.7749999999999998E-2</v>
      </c>
      <c r="AA253" s="6" cm="1">
        <f t="array" ref="AA253">ROUND($J253*CIS_Base_Salary2324s*VLOOKUP($A253,EnrollData2324,'2324 Jun 24 Enroll'!S$1,FALSE),2)</f>
        <v>4038.59</v>
      </c>
      <c r="AB253" s="6" cm="1">
        <f t="array" ref="AB253">ROUND($J253*CIS_Inc_Salary2324s*(VLOOKUP($A253,EnrollData2324,'2324 Jun 24 Enroll'!T$1,FALSE)+VLOOKUP($A253,EnrollData2324,'2324 Jun 24 Enroll'!U$1,FALSE)),2)-AA253</f>
        <v>316.94999999999982</v>
      </c>
      <c r="AC253" s="6" cm="1">
        <f t="array" ref="AC253">ROUND($R253*CAS_Base_Salary2324s*VLOOKUP($A253,EnrollData2324,'2324 Jun 24 Enroll'!S$1,FALSE),2)</f>
        <v>443.7</v>
      </c>
      <c r="AD253" s="6" cm="1">
        <f t="array" ref="AD253">ROUND($R253*CAS_Inc_Salary2324s*VLOOKUP($A253,EnrollData2324,'2324 Jun 24 Enroll'!T$1,FALSE),2)-AC253</f>
        <v>16.410000000000025</v>
      </c>
      <c r="AE253" s="6" cm="1">
        <f t="array" ref="AE253">ROUND($Z253*CLS_Base_Salary2324s*VLOOKUP($A253,EnrollData2324,'2324 Jun 24 Enroll'!S$1,FALSE),2)</f>
        <v>926.07</v>
      </c>
      <c r="AF253" s="6" cm="1">
        <f t="array" ref="AF253">ROUND($Z253*CLS_Inc_Salary2324s*VLOOKUP($A253,EnrollData2324,'2324 Jun 24 Enroll'!T$1,FALSE),2)-AE253</f>
        <v>34.259999999999991</v>
      </c>
      <c r="AG253" cm="1">
        <f t="array" ref="AG253">ROUND(($J253+$R253)*Apport_124X2324s,2)</f>
        <v>734.29</v>
      </c>
      <c r="AH253" s="69">
        <f t="shared" si="24"/>
        <v>68.700000000000045</v>
      </c>
      <c r="AI253" cm="1">
        <f t="array" ref="AI253">ROUND($Z253*Apport_124X2324s,2)</f>
        <v>218.54</v>
      </c>
      <c r="AJ253" cm="1">
        <f t="array" ref="AJ253">ROUND($Z253*Apport_621X2324s*Apport_125X2324s,2)-AI253</f>
        <v>116.51000000000002</v>
      </c>
      <c r="AK253" cm="1">
        <f t="array" ref="AK253">ROUND((AA253+AC253)*Apport_126X2324s,2)</f>
        <v>805.47</v>
      </c>
      <c r="AL253" cm="1">
        <f t="array" ref="AL253">ROUND((AB253+AD253)*Apport_127X2324s,2)</f>
        <v>57.77</v>
      </c>
      <c r="AM253" cm="1">
        <f t="array" ref="AM253">ROUND(AE253*Apport_128X2324s,2)</f>
        <v>204.29</v>
      </c>
      <c r="AN253" cm="1">
        <f t="array" ref="AN253">ROUND(AF253*Apport_129X2324s,2)</f>
        <v>6.36</v>
      </c>
      <c r="AO253" cm="1">
        <f t="array" ref="AO253">ROUND(($J253*CIS_Inc_Salary2324s*(VLOOKUP($A253,EnrollData2324,'2324 Jun 24 Enroll'!T$1,FALSE)+VLOOKUP($A253,EnrollData2324,'2324 Jun 24 Enroll'!U$1,FALSE))/Apport_613Xpd)*Apport_614Xpd,2)</f>
        <v>72.59</v>
      </c>
      <c r="AP253" cm="1">
        <f t="array" ref="AP253">ROUND(AO253*Apport_127X2324s,2)</f>
        <v>12.58</v>
      </c>
      <c r="AQ253">
        <f t="shared" si="25"/>
        <v>30.93</v>
      </c>
      <c r="AR253" s="6" cm="1">
        <f t="array" ref="AR253">ROUND((VLOOKUP($A253,EnrollData2324,'2324 Jun 24 Enroll'!D$1,FALSE)*Apport_M802324s+VLOOKUP($A253,EnrollData2324,'2324 Jun 24 Enroll'!M$1,FALSE)*Apport_M802324s+(VLOOKUP($A253,EnrollData2324,'2324 Jun 24 Enroll'!P$1,FALSE)+VLOOKUP($A253,EnrollData2324,'2324 Jun 24 Enroll'!Q$1,FALSE)+VLOOKUP($A253,EnrollData2324,'2324 Jun 24 Enroll'!R$1,FALSE)+VLOOKUP($A253,EnrollData2324,'2324 Jun 24 Enroll'!I$1,FALSE)+VLOOKUP($A253,EnrollData2324,'2324 Jun 24 Enroll'!N$1,FALSE)+VLOOKUP($A253,EnrollData2324,'2324 Jun 24 Enroll'!O$1,FALSE)+VLOOKUP($A253,EnrollData2324,'2324 Jun 24 Enroll'!K$1,FALSE)+VLOOKUP($A253,EnrollData2324,'2324 Jun 24 Enroll'!L$1,FALSE))*Apport_M812324s)/(VLOOKUP($A253,EnrollData2324,'2324 Jun 24 Enroll'!M$1,FALSE)+VLOOKUP($A253,EnrollData2324,'2324 Jun 24 Enroll'!D$1,FALSE)),2)</f>
        <v>1572.1</v>
      </c>
      <c r="AS253" s="7">
        <f t="shared" si="26"/>
        <v>9676.11</v>
      </c>
    </row>
    <row r="254" spans="1:45">
      <c r="A254" s="40" t="s">
        <v>554</v>
      </c>
      <c r="B254" s="40" t="s">
        <v>555</v>
      </c>
      <c r="C254" s="11">
        <f>ROUND((IFERROR((1/IF(VLOOKUP($A254,EnrollData2324,28,FALSE)='District Calculations'!$D$10,VLOOKUP($A254,EnrollData2324,28,FALSE),'District Calculations'!$D$10))*(1+Apport_Z315),0))+Apport_201A2324s,6)</f>
        <v>7.3449E-2</v>
      </c>
      <c r="D254">
        <f>ROUND(IF(VLOOKUP($A254,EnrollData2324,'2324 Jun 24 Enroll'!D$1,FALSE)='District Calculations'!$D$11,VLOOKUP($A254,EnrollData2324,'2324 Jun 24 Enroll'!D$1,FALSE),'District Calculations'!$D$11)*C254,3)</f>
        <v>0</v>
      </c>
      <c r="E254">
        <f>ROUND(IF(VLOOKUP($A254,EnrollData2324,'2324 Jun 24 Enroll'!E$1,FALSE)='District Calculations'!$D$12,VLOOKUP($A254,EnrollData2324,'2324 Jun 24 Enroll'!E$1,FALSE),'District Calculations'!$D$12)*C254,3)</f>
        <v>59.53</v>
      </c>
      <c r="F254">
        <f>ROUND(IF(VLOOKUP($A254,EnrollData2324,'2324 Jun 24 Enroll'!F$1,FALSE)='District Calculations'!$D$13,VLOOKUP($A254,EnrollData2324,'2324 Jun 24 Enroll'!F$1,FALSE),'District Calculations'!$D$13)*Apport_222A2324s,3)</f>
        <v>10.101000000000001</v>
      </c>
      <c r="G254">
        <f>ROUND(IF(VLOOKUP($A254,EnrollData2324,'2324 Jun 24 Enroll'!G$1,FALSE)='District Calculations'!$D$14,VLOOKUP($A254,EnrollData2324,'2324 Jun 24 Enroll'!G$1,FALSE),'District Calculations'!$D$14)*Apport_210A2324s,3)</f>
        <v>22.395</v>
      </c>
      <c r="H254">
        <f>ROUND(IF(VLOOKUP($A254,EnrollData2324,'2324 Jun 24 Enroll'!H$1,FALSE)='District Calculations'!$D$15,VLOOKUP($A254,EnrollData2324,'2324 Jun 24 Enroll'!H$1,FALSE),'District Calculations'!$D$15)*Apport_213A2324s,3)</f>
        <v>23.091999999999999</v>
      </c>
      <c r="I254">
        <f>ROUND(IF(VLOOKUP($A254,EnrollData2324,'2324 Jun 24 Enroll'!I$1,FALSE)+VLOOKUP($A254,EnrollData2324,'2324 Jun 24 Enroll'!M$1,FALSE)-VLOOKUP($A254,EnrollData2324,'2324 Jun 24 Enroll'!J$1,FALSE)='District Calculations'!$D$16+'District Calculations'!$D$25-'District Calculations'!$D$17,VLOOKUP($A254,EnrollData2324,'2324 Jun 24 Enroll'!I$1,FALSE)+VLOOKUP($A254,EnrollData2324,'2324 Jun 24 Enroll'!M$1,FALSE)-VLOOKUP($A254,EnrollData2324,'2324 Jun 24 Enroll'!J$1,FALSE),'District Calculations'!$D$16+'District Calculations'!$D$25-'District Calculations'!$D$17)*Apport_216A2324s,3)</f>
        <v>58.183999999999997</v>
      </c>
      <c r="J254">
        <f>ROUND(SUM(D254:I254)/(IF(VLOOKUP($A254,EnrollData2324,'2324 Jun 24 Enroll'!M$1,FALSE)='District Calculations'!$D$25,VLOOKUP($A254,EnrollData2324,'2324 Jun 24 Enroll'!M$1,FALSE),'District Calculations'!$D$25)+IF(VLOOKUP($A254,EnrollData2324,'2324 Jun 24 Enroll'!D$1,FALSE)='District Calculations'!$D$11,VLOOKUP($A254,EnrollData2324,'2324 Jun 24 Enroll'!D$1,FALSE),'District Calculations'!$D$11)),5)</f>
        <v>5.5530000000000003E-2</v>
      </c>
      <c r="K254" s="11">
        <f t="shared" si="22"/>
        <v>4.3699999999999998E-3</v>
      </c>
      <c r="L254">
        <f>ROUND(IF(VLOOKUP($A254,EnrollData2324,'2324 Jun 24 Enroll'!D$1,FALSE)='District Calculations'!$D$11,VLOOKUP($A254,EnrollData2324,'2324 Jun 24 Enroll'!D$1,FALSE),'District Calculations'!$D$11)*K254,3)</f>
        <v>0</v>
      </c>
      <c r="M254">
        <f>ROUND(IF(VLOOKUP($A254,EnrollData2324,'2324 Jun 24 Enroll'!E$1,FALSE)='District Calculations'!$D$12,VLOOKUP($A254,EnrollData2324,'2324 Jun 24 Enroll'!E$1,FALSE),'District Calculations'!$D$12)*K254,3)</f>
        <v>3.5419999999999998</v>
      </c>
      <c r="N254">
        <f>ROUND(IF(VLOOKUP($A254,EnrollData2324,'2324 Jun 24 Enroll'!F$1,FALSE)='District Calculations'!$D$13,VLOOKUP($A254,EnrollData2324,'2324 Jun 24 Enroll'!F$1,FALSE),'District Calculations'!$D$13)*Apport_223A2324s,3)</f>
        <v>0.84299999999999997</v>
      </c>
      <c r="O254">
        <f>ROUND(IF(VLOOKUP($A254,EnrollData2324,'2324 Jun 24 Enroll'!G$1,FALSE)='District Calculations'!$D$14,VLOOKUP($A254,EnrollData2324,'2324 Jun 24 Enroll'!G$1,FALSE),'District Calculations'!$D$14)*Apport_211A2324s,3)</f>
        <v>1.87</v>
      </c>
      <c r="P254">
        <f>ROUND(IF(VLOOKUP($A254,EnrollData2324,'2324 Jun 24 Enroll'!H$1,FALSE)='District Calculations'!$D$14,VLOOKUP($A254,EnrollData2324,'2324 Jun 24 Enroll'!H$1,FALSE),'District Calculations'!$D$14)*Apport_214A2324s,3)</f>
        <v>1.8680000000000001</v>
      </c>
      <c r="Q254">
        <f>ROUND(IF(VLOOKUP($A254,EnrollData2324,'2324 Jun 24 Enroll'!I$1,FALSE)+VLOOKUP($A254,EnrollData2324,'2324 Jun 24 Enroll'!M$1,FALSE)-VLOOKUP($A254,EnrollData2324,'2324 Jun 24 Enroll'!J$1,FALSE)='District Calculations'!$D$16+'District Calculations'!$D$25-'District Calculations'!$D$17,VLOOKUP($A254,EnrollData2324,'2324 Jun 24 Enroll'!I$1,FALSE)+VLOOKUP($A254,EnrollData2324,'2324 Jun 24 Enroll'!M$1,FALSE)-VLOOKUP($A254,EnrollData2324,'2324 Jun 24 Enroll'!J$1,FALSE),'District Calculations'!$D$16+'District Calculations'!$D$25-'District Calculations'!$D$17)*Apport_217A2324s,3)</f>
        <v>4.702</v>
      </c>
      <c r="R254">
        <f>ROUND(SUM(L254:Q254)/IF(VLOOKUP($A254,EnrollData2324,'2324 Jun 24 Enroll'!M$1,FALSE)+VLOOKUP($A254,EnrollData2324,'2324 Jun 24 Enroll'!D$1,FALSE)='District Calculations'!$D$25+'District Calculations'!$D$11,VLOOKUP($A254,EnrollData2324,'2324 Jun 24 Enroll'!M$1,FALSE)+VLOOKUP($A254,EnrollData2324,'2324 Jun 24 Enroll'!D$1,FALSE),'District Calculations'!$D$25+'District Calculations'!$D$11),5)</f>
        <v>4.1099999999999999E-3</v>
      </c>
      <c r="S254" s="11">
        <f t="shared" si="23"/>
        <v>1.8689600000000001E-2</v>
      </c>
      <c r="T254">
        <f>ROUND(IF(VLOOKUP($A254,EnrollData2324,'2324 Jun 24 Enroll'!D$1,FALSE)='District Calculations'!$D$11,VLOOKUP($A254,EnrollData2324,'2324 Jun 24 Enroll'!D$1,FALSE),'District Calculations'!$D$11)*S254,3)</f>
        <v>0</v>
      </c>
      <c r="U254">
        <f>ROUND(IF(VLOOKUP($A254,EnrollData2324,'2324 Jun 24 Enroll'!E$1,FALSE)='District Calculations'!$D$12,VLOOKUP($A254,EnrollData2324,'2324 Jun 24 Enroll'!E$1,FALSE),'District Calculations'!$D$12)*S254,3)</f>
        <v>15.148</v>
      </c>
      <c r="V254">
        <f>ROUND(IF(VLOOKUP($A254,EnrollData2324,'2324 Jun 24 Enroll'!F$1,FALSE)='District Calculations'!$D$13,VLOOKUP($A254,EnrollData2324,'2324 Jun 24 Enroll'!F$1,FALSE),'District Calculations'!$D$13)*Apport_224A2324s,3)</f>
        <v>3.7029999999999998</v>
      </c>
      <c r="W254">
        <f>ROUND(IF(VLOOKUP($A254,EnrollData2324,'2324 Jun 24 Enroll'!G$1,FALSE)='District Calculations'!$D$14,VLOOKUP($A254,EnrollData2324,'2324 Jun 24 Enroll'!G$1,FALSE),'District Calculations'!$D$14)*Apport_212A2324s,3)</f>
        <v>8.2089999999999996</v>
      </c>
      <c r="X254">
        <f>ROUND(IF(VLOOKUP($A254,EnrollData2324,'2324 Jun 24 Enroll'!H$1,FALSE)='District Calculations'!$D$14,VLOOKUP($A254,EnrollData2324,'2324 Jun 24 Enroll'!H$1,FALSE),'District Calculations'!$D$14)*Apport_215A2324s,3)</f>
        <v>8.0969999999999995</v>
      </c>
      <c r="Y254">
        <f>ROUND(IF(VLOOKUP($A254,EnrollData2324,'2324 Jun 24 Enroll'!I$1,FALSE)+VLOOKUP($A254,EnrollData2324,'2324 Jun 24 Enroll'!M$1,FALSE)-VLOOKUP($A254,EnrollData2324,'2324 Jun 24 Enroll'!J$1,FALSE)='District Calculations'!$D$16+'District Calculations'!$D$25-'District Calculations'!$D$17,VLOOKUP($A254,EnrollData2324,'2324 Jun 24 Enroll'!I$1,FALSE)+VLOOKUP($A254,EnrollData2324,'2324 Jun 24 Enroll'!M$1,FALSE)-VLOOKUP($A254,EnrollData2324,'2324 Jun 24 Enroll'!J$1,FALSE),'District Calculations'!$D$16+'District Calculations'!$D$25-'District Calculations'!$D$17)*Apport_218A2324s,3)</f>
        <v>20.224</v>
      </c>
      <c r="Z254">
        <f>ROUND(SUM(T254:Y254)/IF(VLOOKUP($A254,EnrollData2324,'2324 Jun 24 Enroll'!M$1,FALSE)+VLOOKUP($A254,EnrollData2324,'2324 Jun 24 Enroll'!D$1,FALSE)='District Calculations'!$D$25+'District Calculations'!$D$11,VLOOKUP($A254,EnrollData2324,'2324 Jun 24 Enroll'!M$1,FALSE)+VLOOKUP($A254,EnrollData2324,'2324 Jun 24 Enroll'!D$1,FALSE),'District Calculations'!$D$25+'District Calculations'!$D$11),5)</f>
        <v>1.7749999999999998E-2</v>
      </c>
      <c r="AA254" s="6" cm="1">
        <f t="array" ref="AA254">ROUND($J254*CIS_Base_Salary2324s*VLOOKUP($A254,EnrollData2324,'2324 Jun 24 Enroll'!S$1,FALSE),2)</f>
        <v>4038.59</v>
      </c>
      <c r="AB254" s="6" cm="1">
        <f t="array" ref="AB254">ROUND($J254*CIS_Inc_Salary2324s*(VLOOKUP($A254,EnrollData2324,'2324 Jun 24 Enroll'!T$1,FALSE)+VLOOKUP($A254,EnrollData2324,'2324 Jun 24 Enroll'!U$1,FALSE)),2)-AA254</f>
        <v>149.43000000000029</v>
      </c>
      <c r="AC254" s="6" cm="1">
        <f t="array" ref="AC254">ROUND($R254*CAS_Base_Salary2324s*VLOOKUP($A254,EnrollData2324,'2324 Jun 24 Enroll'!S$1,FALSE),2)</f>
        <v>443.7</v>
      </c>
      <c r="AD254" s="6" cm="1">
        <f t="array" ref="AD254">ROUND($R254*CAS_Inc_Salary2324s*VLOOKUP($A254,EnrollData2324,'2324 Jun 24 Enroll'!T$1,FALSE),2)-AC254</f>
        <v>16.410000000000025</v>
      </c>
      <c r="AE254" s="6" cm="1">
        <f t="array" ref="AE254">ROUND($Z254*CLS_Base_Salary2324s*VLOOKUP($A254,EnrollData2324,'2324 Jun 24 Enroll'!S$1,FALSE),2)</f>
        <v>926.07</v>
      </c>
      <c r="AF254" s="6" cm="1">
        <f t="array" ref="AF254">ROUND($Z254*CLS_Inc_Salary2324s*VLOOKUP($A254,EnrollData2324,'2324 Jun 24 Enroll'!T$1,FALSE),2)-AE254</f>
        <v>34.259999999999991</v>
      </c>
      <c r="AG254" cm="1">
        <f t="array" ref="AG254">ROUND(($J254+$R254)*Apport_124X2324s,2)</f>
        <v>734.29</v>
      </c>
      <c r="AH254" s="69">
        <f t="shared" si="24"/>
        <v>68.700000000000045</v>
      </c>
      <c r="AI254" cm="1">
        <f t="array" ref="AI254">ROUND($Z254*Apport_124X2324s,2)</f>
        <v>218.54</v>
      </c>
      <c r="AJ254" cm="1">
        <f t="array" ref="AJ254">ROUND($Z254*Apport_621X2324s*Apport_125X2324s,2)-AI254</f>
        <v>116.51000000000002</v>
      </c>
      <c r="AK254" cm="1">
        <f t="array" ref="AK254">ROUND((AA254+AC254)*Apport_126X2324s,2)</f>
        <v>805.47</v>
      </c>
      <c r="AL254" cm="1">
        <f t="array" ref="AL254">ROUND((AB254+AD254)*Apport_127X2324s,2)</f>
        <v>28.74</v>
      </c>
      <c r="AM254" cm="1">
        <f t="array" ref="AM254">ROUND(AE254*Apport_128X2324s,2)</f>
        <v>204.29</v>
      </c>
      <c r="AN254" cm="1">
        <f t="array" ref="AN254">ROUND(AF254*Apport_129X2324s,2)</f>
        <v>6.36</v>
      </c>
      <c r="AO254" cm="1">
        <f t="array" ref="AO254">ROUND(($J254*CIS_Inc_Salary2324s*(VLOOKUP($A254,EnrollData2324,'2324 Jun 24 Enroll'!T$1,FALSE)+VLOOKUP($A254,EnrollData2324,'2324 Jun 24 Enroll'!U$1,FALSE))/Apport_613Xpd)*Apport_614Xpd,2)</f>
        <v>69.8</v>
      </c>
      <c r="AP254" cm="1">
        <f t="array" ref="AP254">ROUND(AO254*Apport_127X2324s,2)</f>
        <v>12.1</v>
      </c>
      <c r="AQ254">
        <f t="shared" si="25"/>
        <v>30.93</v>
      </c>
      <c r="AR254" s="6" cm="1">
        <f t="array" ref="AR254">ROUND((VLOOKUP($A254,EnrollData2324,'2324 Jun 24 Enroll'!D$1,FALSE)*Apport_M802324s+VLOOKUP($A254,EnrollData2324,'2324 Jun 24 Enroll'!M$1,FALSE)*Apport_M802324s+(VLOOKUP($A254,EnrollData2324,'2324 Jun 24 Enroll'!P$1,FALSE)+VLOOKUP($A254,EnrollData2324,'2324 Jun 24 Enroll'!Q$1,FALSE)+VLOOKUP($A254,EnrollData2324,'2324 Jun 24 Enroll'!R$1,FALSE)+VLOOKUP($A254,EnrollData2324,'2324 Jun 24 Enroll'!I$1,FALSE)+VLOOKUP($A254,EnrollData2324,'2324 Jun 24 Enroll'!N$1,FALSE)+VLOOKUP($A254,EnrollData2324,'2324 Jun 24 Enroll'!O$1,FALSE)+VLOOKUP($A254,EnrollData2324,'2324 Jun 24 Enroll'!K$1,FALSE)+VLOOKUP($A254,EnrollData2324,'2324 Jun 24 Enroll'!L$1,FALSE))*Apport_M812324s)/(VLOOKUP($A254,EnrollData2324,'2324 Jun 24 Enroll'!M$1,FALSE)+VLOOKUP($A254,EnrollData2324,'2324 Jun 24 Enroll'!D$1,FALSE)),2)</f>
        <v>1563.57</v>
      </c>
      <c r="AS254" s="7">
        <f t="shared" si="26"/>
        <v>9467.76</v>
      </c>
    </row>
    <row r="255" spans="1:45">
      <c r="A255" s="40" t="s">
        <v>867</v>
      </c>
      <c r="B255" s="40" t="s">
        <v>868</v>
      </c>
      <c r="C255" s="11">
        <f>ROUND((IFERROR((1/IF(VLOOKUP($A255,EnrollData2324,28,FALSE)='District Calculations'!$D$10,VLOOKUP($A255,EnrollData2324,28,FALSE),'District Calculations'!$D$10))*(1+Apport_Z315),0))+Apport_201A2324s,6)</f>
        <v>7.3449E-2</v>
      </c>
      <c r="D255">
        <f>ROUND(IF(VLOOKUP($A255,EnrollData2324,'2324 Jun 24 Enroll'!D$1,FALSE)='District Calculations'!$D$11,VLOOKUP($A255,EnrollData2324,'2324 Jun 24 Enroll'!D$1,FALSE),'District Calculations'!$D$11)*C255,3)</f>
        <v>0</v>
      </c>
      <c r="E255">
        <f>ROUND(IF(VLOOKUP($A255,EnrollData2324,'2324 Jun 24 Enroll'!E$1,FALSE)='District Calculations'!$D$12,VLOOKUP($A255,EnrollData2324,'2324 Jun 24 Enroll'!E$1,FALSE),'District Calculations'!$D$12)*C255,3)</f>
        <v>59.53</v>
      </c>
      <c r="F255">
        <f>ROUND(IF(VLOOKUP($A255,EnrollData2324,'2324 Jun 24 Enroll'!F$1,FALSE)='District Calculations'!$D$13,VLOOKUP($A255,EnrollData2324,'2324 Jun 24 Enroll'!F$1,FALSE),'District Calculations'!$D$13)*Apport_222A2324s,3)</f>
        <v>10.101000000000001</v>
      </c>
      <c r="G255">
        <f>ROUND(IF(VLOOKUP($A255,EnrollData2324,'2324 Jun 24 Enroll'!G$1,FALSE)='District Calculations'!$D$14,VLOOKUP($A255,EnrollData2324,'2324 Jun 24 Enroll'!G$1,FALSE),'District Calculations'!$D$14)*Apport_210A2324s,3)</f>
        <v>22.395</v>
      </c>
      <c r="H255">
        <f>ROUND(IF(VLOOKUP($A255,EnrollData2324,'2324 Jun 24 Enroll'!H$1,FALSE)='District Calculations'!$D$15,VLOOKUP($A255,EnrollData2324,'2324 Jun 24 Enroll'!H$1,FALSE),'District Calculations'!$D$15)*Apport_213A2324s,3)</f>
        <v>23.091999999999999</v>
      </c>
      <c r="I255">
        <f>ROUND(IF(VLOOKUP($A255,EnrollData2324,'2324 Jun 24 Enroll'!I$1,FALSE)+VLOOKUP($A255,EnrollData2324,'2324 Jun 24 Enroll'!M$1,FALSE)-VLOOKUP($A255,EnrollData2324,'2324 Jun 24 Enroll'!J$1,FALSE)='District Calculations'!$D$16+'District Calculations'!$D$25-'District Calculations'!$D$17,VLOOKUP($A255,EnrollData2324,'2324 Jun 24 Enroll'!I$1,FALSE)+VLOOKUP($A255,EnrollData2324,'2324 Jun 24 Enroll'!M$1,FALSE)-VLOOKUP($A255,EnrollData2324,'2324 Jun 24 Enroll'!J$1,FALSE),'District Calculations'!$D$16+'District Calculations'!$D$25-'District Calculations'!$D$17)*Apport_216A2324s,3)</f>
        <v>58.183999999999997</v>
      </c>
      <c r="J255">
        <f>ROUND(SUM(D255:I255)/(IF(VLOOKUP($A255,EnrollData2324,'2324 Jun 24 Enroll'!M$1,FALSE)='District Calculations'!$D$25,VLOOKUP($A255,EnrollData2324,'2324 Jun 24 Enroll'!M$1,FALSE),'District Calculations'!$D$25)+IF(VLOOKUP($A255,EnrollData2324,'2324 Jun 24 Enroll'!D$1,FALSE)='District Calculations'!$D$11,VLOOKUP($A255,EnrollData2324,'2324 Jun 24 Enroll'!D$1,FALSE),'District Calculations'!$D$11)),5)</f>
        <v>5.5530000000000003E-2</v>
      </c>
      <c r="K255" s="11">
        <f t="shared" si="22"/>
        <v>4.3699999999999998E-3</v>
      </c>
      <c r="L255">
        <f>ROUND(IF(VLOOKUP($A255,EnrollData2324,'2324 Jun 24 Enroll'!D$1,FALSE)='District Calculations'!$D$11,VLOOKUP($A255,EnrollData2324,'2324 Jun 24 Enroll'!D$1,FALSE),'District Calculations'!$D$11)*K255,3)</f>
        <v>0</v>
      </c>
      <c r="M255">
        <f>ROUND(IF(VLOOKUP($A255,EnrollData2324,'2324 Jun 24 Enroll'!E$1,FALSE)='District Calculations'!$D$12,VLOOKUP($A255,EnrollData2324,'2324 Jun 24 Enroll'!E$1,FALSE),'District Calculations'!$D$12)*K255,3)</f>
        <v>3.5419999999999998</v>
      </c>
      <c r="N255">
        <f>ROUND(IF(VLOOKUP($A255,EnrollData2324,'2324 Jun 24 Enroll'!F$1,FALSE)='District Calculations'!$D$13,VLOOKUP($A255,EnrollData2324,'2324 Jun 24 Enroll'!F$1,FALSE),'District Calculations'!$D$13)*Apport_223A2324s,3)</f>
        <v>0.84299999999999997</v>
      </c>
      <c r="O255">
        <f>ROUND(IF(VLOOKUP($A255,EnrollData2324,'2324 Jun 24 Enroll'!G$1,FALSE)='District Calculations'!$D$14,VLOOKUP($A255,EnrollData2324,'2324 Jun 24 Enroll'!G$1,FALSE),'District Calculations'!$D$14)*Apport_211A2324s,3)</f>
        <v>1.87</v>
      </c>
      <c r="P255">
        <f>ROUND(IF(VLOOKUP($A255,EnrollData2324,'2324 Jun 24 Enroll'!H$1,FALSE)='District Calculations'!$D$14,VLOOKUP($A255,EnrollData2324,'2324 Jun 24 Enroll'!H$1,FALSE),'District Calculations'!$D$14)*Apport_214A2324s,3)</f>
        <v>1.8680000000000001</v>
      </c>
      <c r="Q255">
        <f>ROUND(IF(VLOOKUP($A255,EnrollData2324,'2324 Jun 24 Enroll'!I$1,FALSE)+VLOOKUP($A255,EnrollData2324,'2324 Jun 24 Enroll'!M$1,FALSE)-VLOOKUP($A255,EnrollData2324,'2324 Jun 24 Enroll'!J$1,FALSE)='District Calculations'!$D$16+'District Calculations'!$D$25-'District Calculations'!$D$17,VLOOKUP($A255,EnrollData2324,'2324 Jun 24 Enroll'!I$1,FALSE)+VLOOKUP($A255,EnrollData2324,'2324 Jun 24 Enroll'!M$1,FALSE)-VLOOKUP($A255,EnrollData2324,'2324 Jun 24 Enroll'!J$1,FALSE),'District Calculations'!$D$16+'District Calculations'!$D$25-'District Calculations'!$D$17)*Apport_217A2324s,3)</f>
        <v>4.702</v>
      </c>
      <c r="R255">
        <f>ROUND(SUM(L255:Q255)/IF(VLOOKUP($A255,EnrollData2324,'2324 Jun 24 Enroll'!M$1,FALSE)+VLOOKUP($A255,EnrollData2324,'2324 Jun 24 Enroll'!D$1,FALSE)='District Calculations'!$D$25+'District Calculations'!$D$11,VLOOKUP($A255,EnrollData2324,'2324 Jun 24 Enroll'!M$1,FALSE)+VLOOKUP($A255,EnrollData2324,'2324 Jun 24 Enroll'!D$1,FALSE),'District Calculations'!$D$25+'District Calculations'!$D$11),5)</f>
        <v>4.1099999999999999E-3</v>
      </c>
      <c r="S255" s="11">
        <f t="shared" si="23"/>
        <v>1.8689600000000001E-2</v>
      </c>
      <c r="T255">
        <f>ROUND(IF(VLOOKUP($A255,EnrollData2324,'2324 Jun 24 Enroll'!D$1,FALSE)='District Calculations'!$D$11,VLOOKUP($A255,EnrollData2324,'2324 Jun 24 Enroll'!D$1,FALSE),'District Calculations'!$D$11)*S255,3)</f>
        <v>0</v>
      </c>
      <c r="U255">
        <f>ROUND(IF(VLOOKUP($A255,EnrollData2324,'2324 Jun 24 Enroll'!E$1,FALSE)='District Calculations'!$D$12,VLOOKUP($A255,EnrollData2324,'2324 Jun 24 Enroll'!E$1,FALSE),'District Calculations'!$D$12)*S255,3)</f>
        <v>15.148</v>
      </c>
      <c r="V255">
        <f>ROUND(IF(VLOOKUP($A255,EnrollData2324,'2324 Jun 24 Enroll'!F$1,FALSE)='District Calculations'!$D$13,VLOOKUP($A255,EnrollData2324,'2324 Jun 24 Enroll'!F$1,FALSE),'District Calculations'!$D$13)*Apport_224A2324s,3)</f>
        <v>3.7029999999999998</v>
      </c>
      <c r="W255">
        <f>ROUND(IF(VLOOKUP($A255,EnrollData2324,'2324 Jun 24 Enroll'!G$1,FALSE)='District Calculations'!$D$14,VLOOKUP($A255,EnrollData2324,'2324 Jun 24 Enroll'!G$1,FALSE),'District Calculations'!$D$14)*Apport_212A2324s,3)</f>
        <v>8.2089999999999996</v>
      </c>
      <c r="X255">
        <f>ROUND(IF(VLOOKUP($A255,EnrollData2324,'2324 Jun 24 Enroll'!H$1,FALSE)='District Calculations'!$D$14,VLOOKUP($A255,EnrollData2324,'2324 Jun 24 Enroll'!H$1,FALSE),'District Calculations'!$D$14)*Apport_215A2324s,3)</f>
        <v>8.0969999999999995</v>
      </c>
      <c r="Y255">
        <f>ROUND(IF(VLOOKUP($A255,EnrollData2324,'2324 Jun 24 Enroll'!I$1,FALSE)+VLOOKUP($A255,EnrollData2324,'2324 Jun 24 Enroll'!M$1,FALSE)-VLOOKUP($A255,EnrollData2324,'2324 Jun 24 Enroll'!J$1,FALSE)='District Calculations'!$D$16+'District Calculations'!$D$25-'District Calculations'!$D$17,VLOOKUP($A255,EnrollData2324,'2324 Jun 24 Enroll'!I$1,FALSE)+VLOOKUP($A255,EnrollData2324,'2324 Jun 24 Enroll'!M$1,FALSE)-VLOOKUP($A255,EnrollData2324,'2324 Jun 24 Enroll'!J$1,FALSE),'District Calculations'!$D$16+'District Calculations'!$D$25-'District Calculations'!$D$17)*Apport_218A2324s,3)</f>
        <v>20.224</v>
      </c>
      <c r="Z255">
        <f>ROUND(SUM(T255:Y255)/IF(VLOOKUP($A255,EnrollData2324,'2324 Jun 24 Enroll'!M$1,FALSE)+VLOOKUP($A255,EnrollData2324,'2324 Jun 24 Enroll'!D$1,FALSE)='District Calculations'!$D$25+'District Calculations'!$D$11,VLOOKUP($A255,EnrollData2324,'2324 Jun 24 Enroll'!M$1,FALSE)+VLOOKUP($A255,EnrollData2324,'2324 Jun 24 Enroll'!D$1,FALSE),'District Calculations'!$D$25+'District Calculations'!$D$11),5)</f>
        <v>1.7749999999999998E-2</v>
      </c>
      <c r="AA255" s="6" cm="1">
        <f t="array" ref="AA255">ROUND($J255*CIS_Base_Salary2324s*VLOOKUP($A255,EnrollData2324,'2324 Jun 24 Enroll'!S$1,FALSE),2)</f>
        <v>4038.59</v>
      </c>
      <c r="AB255" s="6" cm="1">
        <f t="array" ref="AB255">ROUND($J255*CIS_Inc_Salary2324s*(VLOOKUP($A255,EnrollData2324,'2324 Jun 24 Enroll'!T$1,FALSE)+VLOOKUP($A255,EnrollData2324,'2324 Jun 24 Enroll'!U$1,FALSE)),2)-AA255</f>
        <v>149.43000000000029</v>
      </c>
      <c r="AC255" s="6" cm="1">
        <f t="array" ref="AC255">ROUND($R255*CAS_Base_Salary2324s*VLOOKUP($A255,EnrollData2324,'2324 Jun 24 Enroll'!S$1,FALSE),2)</f>
        <v>443.7</v>
      </c>
      <c r="AD255" s="6" cm="1">
        <f t="array" ref="AD255">ROUND($R255*CAS_Inc_Salary2324s*VLOOKUP($A255,EnrollData2324,'2324 Jun 24 Enroll'!T$1,FALSE),2)-AC255</f>
        <v>16.410000000000025</v>
      </c>
      <c r="AE255" s="6" cm="1">
        <f t="array" ref="AE255">ROUND($Z255*CLS_Base_Salary2324s*VLOOKUP($A255,EnrollData2324,'2324 Jun 24 Enroll'!S$1,FALSE),2)</f>
        <v>926.07</v>
      </c>
      <c r="AF255" s="6" cm="1">
        <f t="array" ref="AF255">ROUND($Z255*CLS_Inc_Salary2324s*VLOOKUP($A255,EnrollData2324,'2324 Jun 24 Enroll'!T$1,FALSE),2)-AE255</f>
        <v>34.259999999999991</v>
      </c>
      <c r="AG255" cm="1">
        <f t="array" ref="AG255">ROUND(($J255+$R255)*Apport_124X2324s,2)</f>
        <v>734.29</v>
      </c>
      <c r="AH255" s="69">
        <f t="shared" si="24"/>
        <v>68.700000000000045</v>
      </c>
      <c r="AI255" cm="1">
        <f t="array" ref="AI255">ROUND($Z255*Apport_124X2324s,2)</f>
        <v>218.54</v>
      </c>
      <c r="AJ255" cm="1">
        <f t="array" ref="AJ255">ROUND($Z255*Apport_621X2324s*Apport_125X2324s,2)-AI255</f>
        <v>116.51000000000002</v>
      </c>
      <c r="AK255" cm="1">
        <f t="array" ref="AK255">ROUND((AA255+AC255)*Apport_126X2324s,2)</f>
        <v>805.47</v>
      </c>
      <c r="AL255" cm="1">
        <f t="array" ref="AL255">ROUND((AB255+AD255)*Apport_127X2324s,2)</f>
        <v>28.74</v>
      </c>
      <c r="AM255" cm="1">
        <f t="array" ref="AM255">ROUND(AE255*Apport_128X2324s,2)</f>
        <v>204.29</v>
      </c>
      <c r="AN255" cm="1">
        <f t="array" ref="AN255">ROUND(AF255*Apport_129X2324s,2)</f>
        <v>6.36</v>
      </c>
      <c r="AO255" cm="1">
        <f t="array" ref="AO255">ROUND(($J255*CIS_Inc_Salary2324s*(VLOOKUP($A255,EnrollData2324,'2324 Jun 24 Enroll'!T$1,FALSE)+VLOOKUP($A255,EnrollData2324,'2324 Jun 24 Enroll'!U$1,FALSE))/Apport_613Xpd)*Apport_614Xpd,2)</f>
        <v>69.8</v>
      </c>
      <c r="AP255" cm="1">
        <f t="array" ref="AP255">ROUND(AO255*Apport_127X2324s,2)</f>
        <v>12.1</v>
      </c>
      <c r="AQ255">
        <f t="shared" si="25"/>
        <v>30.93</v>
      </c>
      <c r="AR255" s="6" cm="1">
        <f t="array" ref="AR255">ROUND((VLOOKUP($A255,EnrollData2324,'2324 Jun 24 Enroll'!D$1,FALSE)*Apport_M802324s+VLOOKUP($A255,EnrollData2324,'2324 Jun 24 Enroll'!M$1,FALSE)*Apport_M802324s+(VLOOKUP($A255,EnrollData2324,'2324 Jun 24 Enroll'!P$1,FALSE)+VLOOKUP($A255,EnrollData2324,'2324 Jun 24 Enroll'!Q$1,FALSE)+VLOOKUP($A255,EnrollData2324,'2324 Jun 24 Enroll'!R$1,FALSE)+VLOOKUP($A255,EnrollData2324,'2324 Jun 24 Enroll'!I$1,FALSE)+VLOOKUP($A255,EnrollData2324,'2324 Jun 24 Enroll'!N$1,FALSE)+VLOOKUP($A255,EnrollData2324,'2324 Jun 24 Enroll'!O$1,FALSE)+VLOOKUP($A255,EnrollData2324,'2324 Jun 24 Enroll'!K$1,FALSE)+VLOOKUP($A255,EnrollData2324,'2324 Jun 24 Enroll'!L$1,FALSE))*Apport_M812324s)/(VLOOKUP($A255,EnrollData2324,'2324 Jun 24 Enroll'!M$1,FALSE)+VLOOKUP($A255,EnrollData2324,'2324 Jun 24 Enroll'!D$1,FALSE)),2)</f>
        <v>1598.74</v>
      </c>
      <c r="AS255" s="7">
        <f t="shared" si="26"/>
        <v>9502.93</v>
      </c>
    </row>
    <row r="256" spans="1:45">
      <c r="A256" s="40" t="s">
        <v>428</v>
      </c>
      <c r="B256" s="40" t="s">
        <v>429</v>
      </c>
      <c r="C256" s="11">
        <f>ROUND((IFERROR((1/IF(VLOOKUP($A256,EnrollData2324,28,FALSE)='District Calculations'!$D$10,VLOOKUP($A256,EnrollData2324,28,FALSE),'District Calculations'!$D$10))*(1+Apport_Z315),0))+Apport_201A2324s,6)</f>
        <v>7.3449E-2</v>
      </c>
      <c r="D256">
        <f>ROUND(IF(VLOOKUP($A256,EnrollData2324,'2324 Jun 24 Enroll'!D$1,FALSE)='District Calculations'!$D$11,VLOOKUP($A256,EnrollData2324,'2324 Jun 24 Enroll'!D$1,FALSE),'District Calculations'!$D$11)*C256,3)</f>
        <v>0</v>
      </c>
      <c r="E256">
        <f>ROUND(IF(VLOOKUP($A256,EnrollData2324,'2324 Jun 24 Enroll'!E$1,FALSE)='District Calculations'!$D$12,VLOOKUP($A256,EnrollData2324,'2324 Jun 24 Enroll'!E$1,FALSE),'District Calculations'!$D$12)*C256,3)</f>
        <v>59.53</v>
      </c>
      <c r="F256">
        <f>ROUND(IF(VLOOKUP($A256,EnrollData2324,'2324 Jun 24 Enroll'!F$1,FALSE)='District Calculations'!$D$13,VLOOKUP($A256,EnrollData2324,'2324 Jun 24 Enroll'!F$1,FALSE),'District Calculations'!$D$13)*Apport_222A2324s,3)</f>
        <v>10.101000000000001</v>
      </c>
      <c r="G256">
        <f>ROUND(IF(VLOOKUP($A256,EnrollData2324,'2324 Jun 24 Enroll'!G$1,FALSE)='District Calculations'!$D$14,VLOOKUP($A256,EnrollData2324,'2324 Jun 24 Enroll'!G$1,FALSE),'District Calculations'!$D$14)*Apport_210A2324s,3)</f>
        <v>22.395</v>
      </c>
      <c r="H256">
        <f>ROUND(IF(VLOOKUP($A256,EnrollData2324,'2324 Jun 24 Enroll'!H$1,FALSE)='District Calculations'!$D$15,VLOOKUP($A256,EnrollData2324,'2324 Jun 24 Enroll'!H$1,FALSE),'District Calculations'!$D$15)*Apport_213A2324s,3)</f>
        <v>23.091999999999999</v>
      </c>
      <c r="I256">
        <f>ROUND(IF(VLOOKUP($A256,EnrollData2324,'2324 Jun 24 Enroll'!I$1,FALSE)+VLOOKUP($A256,EnrollData2324,'2324 Jun 24 Enroll'!M$1,FALSE)-VLOOKUP($A256,EnrollData2324,'2324 Jun 24 Enroll'!J$1,FALSE)='District Calculations'!$D$16+'District Calculations'!$D$25-'District Calculations'!$D$17,VLOOKUP($A256,EnrollData2324,'2324 Jun 24 Enroll'!I$1,FALSE)+VLOOKUP($A256,EnrollData2324,'2324 Jun 24 Enroll'!M$1,FALSE)-VLOOKUP($A256,EnrollData2324,'2324 Jun 24 Enroll'!J$1,FALSE),'District Calculations'!$D$16+'District Calculations'!$D$25-'District Calculations'!$D$17)*Apport_216A2324s,3)</f>
        <v>58.183999999999997</v>
      </c>
      <c r="J256">
        <f>ROUND(SUM(D256:I256)/(IF(VLOOKUP($A256,EnrollData2324,'2324 Jun 24 Enroll'!M$1,FALSE)='District Calculations'!$D$25,VLOOKUP($A256,EnrollData2324,'2324 Jun 24 Enroll'!M$1,FALSE),'District Calculations'!$D$25)+IF(VLOOKUP($A256,EnrollData2324,'2324 Jun 24 Enroll'!D$1,FALSE)='District Calculations'!$D$11,VLOOKUP($A256,EnrollData2324,'2324 Jun 24 Enroll'!D$1,FALSE),'District Calculations'!$D$11)),5)</f>
        <v>5.5530000000000003E-2</v>
      </c>
      <c r="K256" s="11">
        <f t="shared" si="22"/>
        <v>4.3699999999999998E-3</v>
      </c>
      <c r="L256">
        <f>ROUND(IF(VLOOKUP($A256,EnrollData2324,'2324 Jun 24 Enroll'!D$1,FALSE)='District Calculations'!$D$11,VLOOKUP($A256,EnrollData2324,'2324 Jun 24 Enroll'!D$1,FALSE),'District Calculations'!$D$11)*K256,3)</f>
        <v>0</v>
      </c>
      <c r="M256">
        <f>ROUND(IF(VLOOKUP($A256,EnrollData2324,'2324 Jun 24 Enroll'!E$1,FALSE)='District Calculations'!$D$12,VLOOKUP($A256,EnrollData2324,'2324 Jun 24 Enroll'!E$1,FALSE),'District Calculations'!$D$12)*K256,3)</f>
        <v>3.5419999999999998</v>
      </c>
      <c r="N256">
        <f>ROUND(IF(VLOOKUP($A256,EnrollData2324,'2324 Jun 24 Enroll'!F$1,FALSE)='District Calculations'!$D$13,VLOOKUP($A256,EnrollData2324,'2324 Jun 24 Enroll'!F$1,FALSE),'District Calculations'!$D$13)*Apport_223A2324s,3)</f>
        <v>0.84299999999999997</v>
      </c>
      <c r="O256">
        <f>ROUND(IF(VLOOKUP($A256,EnrollData2324,'2324 Jun 24 Enroll'!G$1,FALSE)='District Calculations'!$D$14,VLOOKUP($A256,EnrollData2324,'2324 Jun 24 Enroll'!G$1,FALSE),'District Calculations'!$D$14)*Apport_211A2324s,3)</f>
        <v>1.87</v>
      </c>
      <c r="P256">
        <f>ROUND(IF(VLOOKUP($A256,EnrollData2324,'2324 Jun 24 Enroll'!H$1,FALSE)='District Calculations'!$D$14,VLOOKUP($A256,EnrollData2324,'2324 Jun 24 Enroll'!H$1,FALSE),'District Calculations'!$D$14)*Apport_214A2324s,3)</f>
        <v>1.8680000000000001</v>
      </c>
      <c r="Q256">
        <f>ROUND(IF(VLOOKUP($A256,EnrollData2324,'2324 Jun 24 Enroll'!I$1,FALSE)+VLOOKUP($A256,EnrollData2324,'2324 Jun 24 Enroll'!M$1,FALSE)-VLOOKUP($A256,EnrollData2324,'2324 Jun 24 Enroll'!J$1,FALSE)='District Calculations'!$D$16+'District Calculations'!$D$25-'District Calculations'!$D$17,VLOOKUP($A256,EnrollData2324,'2324 Jun 24 Enroll'!I$1,FALSE)+VLOOKUP($A256,EnrollData2324,'2324 Jun 24 Enroll'!M$1,FALSE)-VLOOKUP($A256,EnrollData2324,'2324 Jun 24 Enroll'!J$1,FALSE),'District Calculations'!$D$16+'District Calculations'!$D$25-'District Calculations'!$D$17)*Apport_217A2324s,3)</f>
        <v>4.702</v>
      </c>
      <c r="R256">
        <f>ROUND(SUM(L256:Q256)/IF(VLOOKUP($A256,EnrollData2324,'2324 Jun 24 Enroll'!M$1,FALSE)+VLOOKUP($A256,EnrollData2324,'2324 Jun 24 Enroll'!D$1,FALSE)='District Calculations'!$D$25+'District Calculations'!$D$11,VLOOKUP($A256,EnrollData2324,'2324 Jun 24 Enroll'!M$1,FALSE)+VLOOKUP($A256,EnrollData2324,'2324 Jun 24 Enroll'!D$1,FALSE),'District Calculations'!$D$25+'District Calculations'!$D$11),5)</f>
        <v>4.1099999999999999E-3</v>
      </c>
      <c r="S256" s="11">
        <f t="shared" si="23"/>
        <v>1.8689600000000001E-2</v>
      </c>
      <c r="T256">
        <f>ROUND(IF(VLOOKUP($A256,EnrollData2324,'2324 Jun 24 Enroll'!D$1,FALSE)='District Calculations'!$D$11,VLOOKUP($A256,EnrollData2324,'2324 Jun 24 Enroll'!D$1,FALSE),'District Calculations'!$D$11)*S256,3)</f>
        <v>0</v>
      </c>
      <c r="U256">
        <f>ROUND(IF(VLOOKUP($A256,EnrollData2324,'2324 Jun 24 Enroll'!E$1,FALSE)='District Calculations'!$D$12,VLOOKUP($A256,EnrollData2324,'2324 Jun 24 Enroll'!E$1,FALSE),'District Calculations'!$D$12)*S256,3)</f>
        <v>15.148</v>
      </c>
      <c r="V256">
        <f>ROUND(IF(VLOOKUP($A256,EnrollData2324,'2324 Jun 24 Enroll'!F$1,FALSE)='District Calculations'!$D$13,VLOOKUP($A256,EnrollData2324,'2324 Jun 24 Enroll'!F$1,FALSE),'District Calculations'!$D$13)*Apport_224A2324s,3)</f>
        <v>3.7029999999999998</v>
      </c>
      <c r="W256">
        <f>ROUND(IF(VLOOKUP($A256,EnrollData2324,'2324 Jun 24 Enroll'!G$1,FALSE)='District Calculations'!$D$14,VLOOKUP($A256,EnrollData2324,'2324 Jun 24 Enroll'!G$1,FALSE),'District Calculations'!$D$14)*Apport_212A2324s,3)</f>
        <v>8.2089999999999996</v>
      </c>
      <c r="X256">
        <f>ROUND(IF(VLOOKUP($A256,EnrollData2324,'2324 Jun 24 Enroll'!H$1,FALSE)='District Calculations'!$D$14,VLOOKUP($A256,EnrollData2324,'2324 Jun 24 Enroll'!H$1,FALSE),'District Calculations'!$D$14)*Apport_215A2324s,3)</f>
        <v>8.0969999999999995</v>
      </c>
      <c r="Y256">
        <f>ROUND(IF(VLOOKUP($A256,EnrollData2324,'2324 Jun 24 Enroll'!I$1,FALSE)+VLOOKUP($A256,EnrollData2324,'2324 Jun 24 Enroll'!M$1,FALSE)-VLOOKUP($A256,EnrollData2324,'2324 Jun 24 Enroll'!J$1,FALSE)='District Calculations'!$D$16+'District Calculations'!$D$25-'District Calculations'!$D$17,VLOOKUP($A256,EnrollData2324,'2324 Jun 24 Enroll'!I$1,FALSE)+VLOOKUP($A256,EnrollData2324,'2324 Jun 24 Enroll'!M$1,FALSE)-VLOOKUP($A256,EnrollData2324,'2324 Jun 24 Enroll'!J$1,FALSE),'District Calculations'!$D$16+'District Calculations'!$D$25-'District Calculations'!$D$17)*Apport_218A2324s,3)</f>
        <v>20.224</v>
      </c>
      <c r="Z256">
        <f>ROUND(SUM(T256:Y256)/IF(VLOOKUP($A256,EnrollData2324,'2324 Jun 24 Enroll'!M$1,FALSE)+VLOOKUP($A256,EnrollData2324,'2324 Jun 24 Enroll'!D$1,FALSE)='District Calculations'!$D$25+'District Calculations'!$D$11,VLOOKUP($A256,EnrollData2324,'2324 Jun 24 Enroll'!M$1,FALSE)+VLOOKUP($A256,EnrollData2324,'2324 Jun 24 Enroll'!D$1,FALSE),'District Calculations'!$D$25+'District Calculations'!$D$11),5)</f>
        <v>1.7749999999999998E-2</v>
      </c>
      <c r="AA256" s="6" cm="1">
        <f t="array" ref="AA256">ROUND($J256*CIS_Base_Salary2324s*VLOOKUP($A256,EnrollData2324,'2324 Jun 24 Enroll'!S$1,FALSE),2)</f>
        <v>4038.59</v>
      </c>
      <c r="AB256" s="6" cm="1">
        <f t="array" ref="AB256">ROUND($J256*CIS_Inc_Salary2324s*(VLOOKUP($A256,EnrollData2324,'2324 Jun 24 Enroll'!T$1,FALSE)+VLOOKUP($A256,EnrollData2324,'2324 Jun 24 Enroll'!U$1,FALSE)),2)-AA256</f>
        <v>149.43000000000029</v>
      </c>
      <c r="AC256" s="6" cm="1">
        <f t="array" ref="AC256">ROUND($R256*CAS_Base_Salary2324s*VLOOKUP($A256,EnrollData2324,'2324 Jun 24 Enroll'!S$1,FALSE),2)</f>
        <v>443.7</v>
      </c>
      <c r="AD256" s="6" cm="1">
        <f t="array" ref="AD256">ROUND($R256*CAS_Inc_Salary2324s*VLOOKUP($A256,EnrollData2324,'2324 Jun 24 Enroll'!T$1,FALSE),2)-AC256</f>
        <v>16.410000000000025</v>
      </c>
      <c r="AE256" s="6" cm="1">
        <f t="array" ref="AE256">ROUND($Z256*CLS_Base_Salary2324s*VLOOKUP($A256,EnrollData2324,'2324 Jun 24 Enroll'!S$1,FALSE),2)</f>
        <v>926.07</v>
      </c>
      <c r="AF256" s="6" cm="1">
        <f t="array" ref="AF256">ROUND($Z256*CLS_Inc_Salary2324s*VLOOKUP($A256,EnrollData2324,'2324 Jun 24 Enroll'!T$1,FALSE),2)-AE256</f>
        <v>34.259999999999991</v>
      </c>
      <c r="AG256" cm="1">
        <f t="array" ref="AG256">ROUND(($J256+$R256)*Apport_124X2324s,2)</f>
        <v>734.29</v>
      </c>
      <c r="AH256" s="69">
        <f t="shared" si="24"/>
        <v>68.700000000000045</v>
      </c>
      <c r="AI256" cm="1">
        <f t="array" ref="AI256">ROUND($Z256*Apport_124X2324s,2)</f>
        <v>218.54</v>
      </c>
      <c r="AJ256" cm="1">
        <f t="array" ref="AJ256">ROUND($Z256*Apport_621X2324s*Apport_125X2324s,2)-AI256</f>
        <v>116.51000000000002</v>
      </c>
      <c r="AK256" cm="1">
        <f t="array" ref="AK256">ROUND((AA256+AC256)*Apport_126X2324s,2)</f>
        <v>805.47</v>
      </c>
      <c r="AL256" cm="1">
        <f t="array" ref="AL256">ROUND((AB256+AD256)*Apport_127X2324s,2)</f>
        <v>28.74</v>
      </c>
      <c r="AM256" cm="1">
        <f t="array" ref="AM256">ROUND(AE256*Apport_128X2324s,2)</f>
        <v>204.29</v>
      </c>
      <c r="AN256" cm="1">
        <f t="array" ref="AN256">ROUND(AF256*Apport_129X2324s,2)</f>
        <v>6.36</v>
      </c>
      <c r="AO256" cm="1">
        <f t="array" ref="AO256">ROUND(($J256*CIS_Inc_Salary2324s*(VLOOKUP($A256,EnrollData2324,'2324 Jun 24 Enroll'!T$1,FALSE)+VLOOKUP($A256,EnrollData2324,'2324 Jun 24 Enroll'!U$1,FALSE))/Apport_613Xpd)*Apport_614Xpd,2)</f>
        <v>69.8</v>
      </c>
      <c r="AP256" cm="1">
        <f t="array" ref="AP256">ROUND(AO256*Apport_127X2324s,2)</f>
        <v>12.1</v>
      </c>
      <c r="AQ256">
        <f t="shared" si="25"/>
        <v>30.93</v>
      </c>
      <c r="AR256" s="6" cm="1">
        <f t="array" ref="AR256">ROUND((VLOOKUP($A256,EnrollData2324,'2324 Jun 24 Enroll'!D$1,FALSE)*Apport_M802324s+VLOOKUP($A256,EnrollData2324,'2324 Jun 24 Enroll'!M$1,FALSE)*Apport_M802324s+(VLOOKUP($A256,EnrollData2324,'2324 Jun 24 Enroll'!P$1,FALSE)+VLOOKUP($A256,EnrollData2324,'2324 Jun 24 Enroll'!Q$1,FALSE)+VLOOKUP($A256,EnrollData2324,'2324 Jun 24 Enroll'!R$1,FALSE)+VLOOKUP($A256,EnrollData2324,'2324 Jun 24 Enroll'!I$1,FALSE)+VLOOKUP($A256,EnrollData2324,'2324 Jun 24 Enroll'!N$1,FALSE)+VLOOKUP($A256,EnrollData2324,'2324 Jun 24 Enroll'!O$1,FALSE)+VLOOKUP($A256,EnrollData2324,'2324 Jun 24 Enroll'!K$1,FALSE)+VLOOKUP($A256,EnrollData2324,'2324 Jun 24 Enroll'!L$1,FALSE))*Apport_M812324s)/(VLOOKUP($A256,EnrollData2324,'2324 Jun 24 Enroll'!M$1,FALSE)+VLOOKUP($A256,EnrollData2324,'2324 Jun 24 Enroll'!D$1,FALSE)),2)</f>
        <v>1599.63</v>
      </c>
      <c r="AS256" s="7">
        <f t="shared" si="26"/>
        <v>9503.82</v>
      </c>
    </row>
    <row r="257" spans="1:45">
      <c r="A257" s="40" t="s">
        <v>731</v>
      </c>
      <c r="B257" s="40" t="s">
        <v>732</v>
      </c>
      <c r="C257" s="11">
        <f>ROUND((IFERROR((1/IF(VLOOKUP($A257,EnrollData2324,28,FALSE)='District Calculations'!$D$10,VLOOKUP($A257,EnrollData2324,28,FALSE),'District Calculations'!$D$10))*(1+Apport_Z315),0))+Apport_201A2324s,6)</f>
        <v>7.3449E-2</v>
      </c>
      <c r="D257">
        <f>ROUND(IF(VLOOKUP($A257,EnrollData2324,'2324 Jun 24 Enroll'!D$1,FALSE)='District Calculations'!$D$11,VLOOKUP($A257,EnrollData2324,'2324 Jun 24 Enroll'!D$1,FALSE),'District Calculations'!$D$11)*C257,3)</f>
        <v>0</v>
      </c>
      <c r="E257">
        <f>ROUND(IF(VLOOKUP($A257,EnrollData2324,'2324 Jun 24 Enroll'!E$1,FALSE)='District Calculations'!$D$12,VLOOKUP($A257,EnrollData2324,'2324 Jun 24 Enroll'!E$1,FALSE),'District Calculations'!$D$12)*C257,3)</f>
        <v>59.53</v>
      </c>
      <c r="F257">
        <f>ROUND(IF(VLOOKUP($A257,EnrollData2324,'2324 Jun 24 Enroll'!F$1,FALSE)='District Calculations'!$D$13,VLOOKUP($A257,EnrollData2324,'2324 Jun 24 Enroll'!F$1,FALSE),'District Calculations'!$D$13)*Apport_222A2324s,3)</f>
        <v>10.101000000000001</v>
      </c>
      <c r="G257">
        <f>ROUND(IF(VLOOKUP($A257,EnrollData2324,'2324 Jun 24 Enroll'!G$1,FALSE)='District Calculations'!$D$14,VLOOKUP($A257,EnrollData2324,'2324 Jun 24 Enroll'!G$1,FALSE),'District Calculations'!$D$14)*Apport_210A2324s,3)</f>
        <v>22.395</v>
      </c>
      <c r="H257">
        <f>ROUND(IF(VLOOKUP($A257,EnrollData2324,'2324 Jun 24 Enroll'!H$1,FALSE)='District Calculations'!$D$15,VLOOKUP($A257,EnrollData2324,'2324 Jun 24 Enroll'!H$1,FALSE),'District Calculations'!$D$15)*Apport_213A2324s,3)</f>
        <v>23.091999999999999</v>
      </c>
      <c r="I257">
        <f>ROUND(IF(VLOOKUP($A257,EnrollData2324,'2324 Jun 24 Enroll'!I$1,FALSE)+VLOOKUP($A257,EnrollData2324,'2324 Jun 24 Enroll'!M$1,FALSE)-VLOOKUP($A257,EnrollData2324,'2324 Jun 24 Enroll'!J$1,FALSE)='District Calculations'!$D$16+'District Calculations'!$D$25-'District Calculations'!$D$17,VLOOKUP($A257,EnrollData2324,'2324 Jun 24 Enroll'!I$1,FALSE)+VLOOKUP($A257,EnrollData2324,'2324 Jun 24 Enroll'!M$1,FALSE)-VLOOKUP($A257,EnrollData2324,'2324 Jun 24 Enroll'!J$1,FALSE),'District Calculations'!$D$16+'District Calculations'!$D$25-'District Calculations'!$D$17)*Apport_216A2324s,3)</f>
        <v>58.183999999999997</v>
      </c>
      <c r="J257">
        <f>ROUND(SUM(D257:I257)/(IF(VLOOKUP($A257,EnrollData2324,'2324 Jun 24 Enroll'!M$1,FALSE)='District Calculations'!$D$25,VLOOKUP($A257,EnrollData2324,'2324 Jun 24 Enroll'!M$1,FALSE),'District Calculations'!$D$25)+IF(VLOOKUP($A257,EnrollData2324,'2324 Jun 24 Enroll'!D$1,FALSE)='District Calculations'!$D$11,VLOOKUP($A257,EnrollData2324,'2324 Jun 24 Enroll'!D$1,FALSE),'District Calculations'!$D$11)),5)</f>
        <v>5.5530000000000003E-2</v>
      </c>
      <c r="K257" s="11">
        <f t="shared" si="22"/>
        <v>4.3699999999999998E-3</v>
      </c>
      <c r="L257">
        <f>ROUND(IF(VLOOKUP($A257,EnrollData2324,'2324 Jun 24 Enroll'!D$1,FALSE)='District Calculations'!$D$11,VLOOKUP($A257,EnrollData2324,'2324 Jun 24 Enroll'!D$1,FALSE),'District Calculations'!$D$11)*K257,3)</f>
        <v>0</v>
      </c>
      <c r="M257">
        <f>ROUND(IF(VLOOKUP($A257,EnrollData2324,'2324 Jun 24 Enroll'!E$1,FALSE)='District Calculations'!$D$12,VLOOKUP($A257,EnrollData2324,'2324 Jun 24 Enroll'!E$1,FALSE),'District Calculations'!$D$12)*K257,3)</f>
        <v>3.5419999999999998</v>
      </c>
      <c r="N257">
        <f>ROUND(IF(VLOOKUP($A257,EnrollData2324,'2324 Jun 24 Enroll'!F$1,FALSE)='District Calculations'!$D$13,VLOOKUP($A257,EnrollData2324,'2324 Jun 24 Enroll'!F$1,FALSE),'District Calculations'!$D$13)*Apport_223A2324s,3)</f>
        <v>0.84299999999999997</v>
      </c>
      <c r="O257">
        <f>ROUND(IF(VLOOKUP($A257,EnrollData2324,'2324 Jun 24 Enroll'!G$1,FALSE)='District Calculations'!$D$14,VLOOKUP($A257,EnrollData2324,'2324 Jun 24 Enroll'!G$1,FALSE),'District Calculations'!$D$14)*Apport_211A2324s,3)</f>
        <v>1.87</v>
      </c>
      <c r="P257">
        <f>ROUND(IF(VLOOKUP($A257,EnrollData2324,'2324 Jun 24 Enroll'!H$1,FALSE)='District Calculations'!$D$14,VLOOKUP($A257,EnrollData2324,'2324 Jun 24 Enroll'!H$1,FALSE),'District Calculations'!$D$14)*Apport_214A2324s,3)</f>
        <v>1.8680000000000001</v>
      </c>
      <c r="Q257">
        <f>ROUND(IF(VLOOKUP($A257,EnrollData2324,'2324 Jun 24 Enroll'!I$1,FALSE)+VLOOKUP($A257,EnrollData2324,'2324 Jun 24 Enroll'!M$1,FALSE)-VLOOKUP($A257,EnrollData2324,'2324 Jun 24 Enroll'!J$1,FALSE)='District Calculations'!$D$16+'District Calculations'!$D$25-'District Calculations'!$D$17,VLOOKUP($A257,EnrollData2324,'2324 Jun 24 Enroll'!I$1,FALSE)+VLOOKUP($A257,EnrollData2324,'2324 Jun 24 Enroll'!M$1,FALSE)-VLOOKUP($A257,EnrollData2324,'2324 Jun 24 Enroll'!J$1,FALSE),'District Calculations'!$D$16+'District Calculations'!$D$25-'District Calculations'!$D$17)*Apport_217A2324s,3)</f>
        <v>4.702</v>
      </c>
      <c r="R257">
        <f>ROUND(SUM(L257:Q257)/IF(VLOOKUP($A257,EnrollData2324,'2324 Jun 24 Enroll'!M$1,FALSE)+VLOOKUP($A257,EnrollData2324,'2324 Jun 24 Enroll'!D$1,FALSE)='District Calculations'!$D$25+'District Calculations'!$D$11,VLOOKUP($A257,EnrollData2324,'2324 Jun 24 Enroll'!M$1,FALSE)+VLOOKUP($A257,EnrollData2324,'2324 Jun 24 Enroll'!D$1,FALSE),'District Calculations'!$D$25+'District Calculations'!$D$11),5)</f>
        <v>4.1099999999999999E-3</v>
      </c>
      <c r="S257" s="11">
        <f t="shared" si="23"/>
        <v>1.8689600000000001E-2</v>
      </c>
      <c r="T257">
        <f>ROUND(IF(VLOOKUP($A257,EnrollData2324,'2324 Jun 24 Enroll'!D$1,FALSE)='District Calculations'!$D$11,VLOOKUP($A257,EnrollData2324,'2324 Jun 24 Enroll'!D$1,FALSE),'District Calculations'!$D$11)*S257,3)</f>
        <v>0</v>
      </c>
      <c r="U257">
        <f>ROUND(IF(VLOOKUP($A257,EnrollData2324,'2324 Jun 24 Enroll'!E$1,FALSE)='District Calculations'!$D$12,VLOOKUP($A257,EnrollData2324,'2324 Jun 24 Enroll'!E$1,FALSE),'District Calculations'!$D$12)*S257,3)</f>
        <v>15.148</v>
      </c>
      <c r="V257">
        <f>ROUND(IF(VLOOKUP($A257,EnrollData2324,'2324 Jun 24 Enroll'!F$1,FALSE)='District Calculations'!$D$13,VLOOKUP($A257,EnrollData2324,'2324 Jun 24 Enroll'!F$1,FALSE),'District Calculations'!$D$13)*Apport_224A2324s,3)</f>
        <v>3.7029999999999998</v>
      </c>
      <c r="W257">
        <f>ROUND(IF(VLOOKUP($A257,EnrollData2324,'2324 Jun 24 Enroll'!G$1,FALSE)='District Calculations'!$D$14,VLOOKUP($A257,EnrollData2324,'2324 Jun 24 Enroll'!G$1,FALSE),'District Calculations'!$D$14)*Apport_212A2324s,3)</f>
        <v>8.2089999999999996</v>
      </c>
      <c r="X257">
        <f>ROUND(IF(VLOOKUP($A257,EnrollData2324,'2324 Jun 24 Enroll'!H$1,FALSE)='District Calculations'!$D$14,VLOOKUP($A257,EnrollData2324,'2324 Jun 24 Enroll'!H$1,FALSE),'District Calculations'!$D$14)*Apport_215A2324s,3)</f>
        <v>8.0969999999999995</v>
      </c>
      <c r="Y257">
        <f>ROUND(IF(VLOOKUP($A257,EnrollData2324,'2324 Jun 24 Enroll'!I$1,FALSE)+VLOOKUP($A257,EnrollData2324,'2324 Jun 24 Enroll'!M$1,FALSE)-VLOOKUP($A257,EnrollData2324,'2324 Jun 24 Enroll'!J$1,FALSE)='District Calculations'!$D$16+'District Calculations'!$D$25-'District Calculations'!$D$17,VLOOKUP($A257,EnrollData2324,'2324 Jun 24 Enroll'!I$1,FALSE)+VLOOKUP($A257,EnrollData2324,'2324 Jun 24 Enroll'!M$1,FALSE)-VLOOKUP($A257,EnrollData2324,'2324 Jun 24 Enroll'!J$1,FALSE),'District Calculations'!$D$16+'District Calculations'!$D$25-'District Calculations'!$D$17)*Apport_218A2324s,3)</f>
        <v>20.224</v>
      </c>
      <c r="Z257">
        <f>ROUND(SUM(T257:Y257)/IF(VLOOKUP($A257,EnrollData2324,'2324 Jun 24 Enroll'!M$1,FALSE)+VLOOKUP($A257,EnrollData2324,'2324 Jun 24 Enroll'!D$1,FALSE)='District Calculations'!$D$25+'District Calculations'!$D$11,VLOOKUP($A257,EnrollData2324,'2324 Jun 24 Enroll'!M$1,FALSE)+VLOOKUP($A257,EnrollData2324,'2324 Jun 24 Enroll'!D$1,FALSE),'District Calculations'!$D$25+'District Calculations'!$D$11),5)</f>
        <v>1.7749999999999998E-2</v>
      </c>
      <c r="AA257" s="6" cm="1">
        <f t="array" ref="AA257">ROUND($J257*CIS_Base_Salary2324s*VLOOKUP($A257,EnrollData2324,'2324 Jun 24 Enroll'!S$1,FALSE),2)</f>
        <v>4038.59</v>
      </c>
      <c r="AB257" s="6" cm="1">
        <f t="array" ref="AB257">ROUND($J257*CIS_Inc_Salary2324s*(VLOOKUP($A257,EnrollData2324,'2324 Jun 24 Enroll'!T$1,FALSE)+VLOOKUP($A257,EnrollData2324,'2324 Jun 24 Enroll'!U$1,FALSE)),2)-AA257</f>
        <v>149.43000000000029</v>
      </c>
      <c r="AC257" s="6" cm="1">
        <f t="array" ref="AC257">ROUND($R257*CAS_Base_Salary2324s*VLOOKUP($A257,EnrollData2324,'2324 Jun 24 Enroll'!S$1,FALSE),2)</f>
        <v>443.7</v>
      </c>
      <c r="AD257" s="6" cm="1">
        <f t="array" ref="AD257">ROUND($R257*CAS_Inc_Salary2324s*VLOOKUP($A257,EnrollData2324,'2324 Jun 24 Enroll'!T$1,FALSE),2)-AC257</f>
        <v>16.410000000000025</v>
      </c>
      <c r="AE257" s="6" cm="1">
        <f t="array" ref="AE257">ROUND($Z257*CLS_Base_Salary2324s*VLOOKUP($A257,EnrollData2324,'2324 Jun 24 Enroll'!S$1,FALSE),2)</f>
        <v>926.07</v>
      </c>
      <c r="AF257" s="6" cm="1">
        <f t="array" ref="AF257">ROUND($Z257*CLS_Inc_Salary2324s*VLOOKUP($A257,EnrollData2324,'2324 Jun 24 Enroll'!T$1,FALSE),2)-AE257</f>
        <v>34.259999999999991</v>
      </c>
      <c r="AG257" cm="1">
        <f t="array" ref="AG257">ROUND(($J257+$R257)*Apport_124X2324s,2)</f>
        <v>734.29</v>
      </c>
      <c r="AH257" s="69">
        <f t="shared" si="24"/>
        <v>68.700000000000045</v>
      </c>
      <c r="AI257" cm="1">
        <f t="array" ref="AI257">ROUND($Z257*Apport_124X2324s,2)</f>
        <v>218.54</v>
      </c>
      <c r="AJ257" cm="1">
        <f t="array" ref="AJ257">ROUND($Z257*Apport_621X2324s*Apport_125X2324s,2)-AI257</f>
        <v>116.51000000000002</v>
      </c>
      <c r="AK257" cm="1">
        <f t="array" ref="AK257">ROUND((AA257+AC257)*Apport_126X2324s,2)</f>
        <v>805.47</v>
      </c>
      <c r="AL257" cm="1">
        <f t="array" ref="AL257">ROUND((AB257+AD257)*Apport_127X2324s,2)</f>
        <v>28.74</v>
      </c>
      <c r="AM257" cm="1">
        <f t="array" ref="AM257">ROUND(AE257*Apport_128X2324s,2)</f>
        <v>204.29</v>
      </c>
      <c r="AN257" cm="1">
        <f t="array" ref="AN257">ROUND(AF257*Apport_129X2324s,2)</f>
        <v>6.36</v>
      </c>
      <c r="AO257" cm="1">
        <f t="array" ref="AO257">ROUND(($J257*CIS_Inc_Salary2324s*(VLOOKUP($A257,EnrollData2324,'2324 Jun 24 Enroll'!T$1,FALSE)+VLOOKUP($A257,EnrollData2324,'2324 Jun 24 Enroll'!U$1,FALSE))/Apport_613Xpd)*Apport_614Xpd,2)</f>
        <v>69.8</v>
      </c>
      <c r="AP257" cm="1">
        <f t="array" ref="AP257">ROUND(AO257*Apport_127X2324s,2)</f>
        <v>12.1</v>
      </c>
      <c r="AQ257">
        <f t="shared" si="25"/>
        <v>30.93</v>
      </c>
      <c r="AR257" s="6" cm="1">
        <f t="array" ref="AR257">ROUND((VLOOKUP($A257,EnrollData2324,'2324 Jun 24 Enroll'!D$1,FALSE)*Apport_M802324s+VLOOKUP($A257,EnrollData2324,'2324 Jun 24 Enroll'!M$1,FALSE)*Apport_M802324s+(VLOOKUP($A257,EnrollData2324,'2324 Jun 24 Enroll'!P$1,FALSE)+VLOOKUP($A257,EnrollData2324,'2324 Jun 24 Enroll'!Q$1,FALSE)+VLOOKUP($A257,EnrollData2324,'2324 Jun 24 Enroll'!R$1,FALSE)+VLOOKUP($A257,EnrollData2324,'2324 Jun 24 Enroll'!I$1,FALSE)+VLOOKUP($A257,EnrollData2324,'2324 Jun 24 Enroll'!N$1,FALSE)+VLOOKUP($A257,EnrollData2324,'2324 Jun 24 Enroll'!O$1,FALSE)+VLOOKUP($A257,EnrollData2324,'2324 Jun 24 Enroll'!K$1,FALSE)+VLOOKUP($A257,EnrollData2324,'2324 Jun 24 Enroll'!L$1,FALSE))*Apport_M812324s)/(VLOOKUP($A257,EnrollData2324,'2324 Jun 24 Enroll'!M$1,FALSE)+VLOOKUP($A257,EnrollData2324,'2324 Jun 24 Enroll'!D$1,FALSE)),2)</f>
        <v>1577.25</v>
      </c>
      <c r="AS257" s="7">
        <f t="shared" si="26"/>
        <v>9481.44</v>
      </c>
    </row>
    <row r="258" spans="1:45">
      <c r="A258" s="40" t="s">
        <v>912</v>
      </c>
      <c r="B258" s="40" t="s">
        <v>907</v>
      </c>
      <c r="C258" s="11">
        <f>ROUND((IFERROR((1/IF(VLOOKUP($A258,EnrollData2324,28,FALSE)='District Calculations'!$D$10,VLOOKUP($A258,EnrollData2324,28,FALSE),'District Calculations'!$D$10))*(1+Apport_Z315),0))+Apport_201A2324s,6)</f>
        <v>7.3449E-2</v>
      </c>
      <c r="D258">
        <f>ROUND(IF(VLOOKUP($A258,EnrollData2324,'2324 Jun 24 Enroll'!D$1,FALSE)='District Calculations'!$D$11,VLOOKUP($A258,EnrollData2324,'2324 Jun 24 Enroll'!D$1,FALSE),'District Calculations'!$D$11)*C258,3)</f>
        <v>0</v>
      </c>
      <c r="E258">
        <f>ROUND(IF(VLOOKUP($A258,EnrollData2324,'2324 Jun 24 Enroll'!E$1,FALSE)='District Calculations'!$D$12,VLOOKUP($A258,EnrollData2324,'2324 Jun 24 Enroll'!E$1,FALSE),'District Calculations'!$D$12)*C258,3)</f>
        <v>59.53</v>
      </c>
      <c r="F258">
        <f>ROUND(IF(VLOOKUP($A258,EnrollData2324,'2324 Jun 24 Enroll'!F$1,FALSE)='District Calculations'!$D$13,VLOOKUP($A258,EnrollData2324,'2324 Jun 24 Enroll'!F$1,FALSE),'District Calculations'!$D$13)*Apport_222A2324s,3)</f>
        <v>10.101000000000001</v>
      </c>
      <c r="G258">
        <f>ROUND(IF(VLOOKUP($A258,EnrollData2324,'2324 Jun 24 Enroll'!G$1,FALSE)='District Calculations'!$D$14,VLOOKUP($A258,EnrollData2324,'2324 Jun 24 Enroll'!G$1,FALSE),'District Calculations'!$D$14)*Apport_210A2324s,3)</f>
        <v>22.395</v>
      </c>
      <c r="H258">
        <f>ROUND(IF(VLOOKUP($A258,EnrollData2324,'2324 Jun 24 Enroll'!H$1,FALSE)='District Calculations'!$D$15,VLOOKUP($A258,EnrollData2324,'2324 Jun 24 Enroll'!H$1,FALSE),'District Calculations'!$D$15)*Apport_213A2324s,3)</f>
        <v>23.091999999999999</v>
      </c>
      <c r="I258">
        <f>ROUND(IF(VLOOKUP($A258,EnrollData2324,'2324 Jun 24 Enroll'!I$1,FALSE)+VLOOKUP($A258,EnrollData2324,'2324 Jun 24 Enroll'!M$1,FALSE)-VLOOKUP($A258,EnrollData2324,'2324 Jun 24 Enroll'!J$1,FALSE)='District Calculations'!$D$16+'District Calculations'!$D$25-'District Calculations'!$D$17,VLOOKUP($A258,EnrollData2324,'2324 Jun 24 Enroll'!I$1,FALSE)+VLOOKUP($A258,EnrollData2324,'2324 Jun 24 Enroll'!M$1,FALSE)-VLOOKUP($A258,EnrollData2324,'2324 Jun 24 Enroll'!J$1,FALSE),'District Calculations'!$D$16+'District Calculations'!$D$25-'District Calculations'!$D$17)*Apport_216A2324s,3)</f>
        <v>58.183999999999997</v>
      </c>
      <c r="J258">
        <f>ROUND(SUM(D258:I258)/(IF(VLOOKUP($A258,EnrollData2324,'2324 Jun 24 Enroll'!M$1,FALSE)='District Calculations'!$D$25,VLOOKUP($A258,EnrollData2324,'2324 Jun 24 Enroll'!M$1,FALSE),'District Calculations'!$D$25)+IF(VLOOKUP($A258,EnrollData2324,'2324 Jun 24 Enroll'!D$1,FALSE)='District Calculations'!$D$11,VLOOKUP($A258,EnrollData2324,'2324 Jun 24 Enroll'!D$1,FALSE),'District Calculations'!$D$11)),5)</f>
        <v>5.5530000000000003E-2</v>
      </c>
      <c r="K258" s="11">
        <f t="shared" si="22"/>
        <v>4.3699999999999998E-3</v>
      </c>
      <c r="L258">
        <f>ROUND(IF(VLOOKUP($A258,EnrollData2324,'2324 Jun 24 Enroll'!D$1,FALSE)='District Calculations'!$D$11,VLOOKUP($A258,EnrollData2324,'2324 Jun 24 Enroll'!D$1,FALSE),'District Calculations'!$D$11)*K258,3)</f>
        <v>0</v>
      </c>
      <c r="M258">
        <f>ROUND(IF(VLOOKUP($A258,EnrollData2324,'2324 Jun 24 Enroll'!E$1,FALSE)='District Calculations'!$D$12,VLOOKUP($A258,EnrollData2324,'2324 Jun 24 Enroll'!E$1,FALSE),'District Calculations'!$D$12)*K258,3)</f>
        <v>3.5419999999999998</v>
      </c>
      <c r="N258">
        <f>ROUND(IF(VLOOKUP($A258,EnrollData2324,'2324 Jun 24 Enroll'!F$1,FALSE)='District Calculations'!$D$13,VLOOKUP($A258,EnrollData2324,'2324 Jun 24 Enroll'!F$1,FALSE),'District Calculations'!$D$13)*Apport_223A2324s,3)</f>
        <v>0.84299999999999997</v>
      </c>
      <c r="O258">
        <f>ROUND(IF(VLOOKUP($A258,EnrollData2324,'2324 Jun 24 Enroll'!G$1,FALSE)='District Calculations'!$D$14,VLOOKUP($A258,EnrollData2324,'2324 Jun 24 Enroll'!G$1,FALSE),'District Calculations'!$D$14)*Apport_211A2324s,3)</f>
        <v>1.87</v>
      </c>
      <c r="P258">
        <f>ROUND(IF(VLOOKUP($A258,EnrollData2324,'2324 Jun 24 Enroll'!H$1,FALSE)='District Calculations'!$D$14,VLOOKUP($A258,EnrollData2324,'2324 Jun 24 Enroll'!H$1,FALSE),'District Calculations'!$D$14)*Apport_214A2324s,3)</f>
        <v>1.8680000000000001</v>
      </c>
      <c r="Q258">
        <f>ROUND(IF(VLOOKUP($A258,EnrollData2324,'2324 Jun 24 Enroll'!I$1,FALSE)+VLOOKUP($A258,EnrollData2324,'2324 Jun 24 Enroll'!M$1,FALSE)-VLOOKUP($A258,EnrollData2324,'2324 Jun 24 Enroll'!J$1,FALSE)='District Calculations'!$D$16+'District Calculations'!$D$25-'District Calculations'!$D$17,VLOOKUP($A258,EnrollData2324,'2324 Jun 24 Enroll'!I$1,FALSE)+VLOOKUP($A258,EnrollData2324,'2324 Jun 24 Enroll'!M$1,FALSE)-VLOOKUP($A258,EnrollData2324,'2324 Jun 24 Enroll'!J$1,FALSE),'District Calculations'!$D$16+'District Calculations'!$D$25-'District Calculations'!$D$17)*Apport_217A2324s,3)</f>
        <v>4.702</v>
      </c>
      <c r="R258">
        <f>ROUND(SUM(L258:Q258)/IF(VLOOKUP($A258,EnrollData2324,'2324 Jun 24 Enroll'!M$1,FALSE)+VLOOKUP($A258,EnrollData2324,'2324 Jun 24 Enroll'!D$1,FALSE)='District Calculations'!$D$25+'District Calculations'!$D$11,VLOOKUP($A258,EnrollData2324,'2324 Jun 24 Enroll'!M$1,FALSE)+VLOOKUP($A258,EnrollData2324,'2324 Jun 24 Enroll'!D$1,FALSE),'District Calculations'!$D$25+'District Calculations'!$D$11),5)</f>
        <v>4.1099999999999999E-3</v>
      </c>
      <c r="S258" s="11">
        <f t="shared" si="23"/>
        <v>1.8689600000000001E-2</v>
      </c>
      <c r="T258">
        <f>ROUND(IF(VLOOKUP($A258,EnrollData2324,'2324 Jun 24 Enroll'!D$1,FALSE)='District Calculations'!$D$11,VLOOKUP($A258,EnrollData2324,'2324 Jun 24 Enroll'!D$1,FALSE),'District Calculations'!$D$11)*S258,3)</f>
        <v>0</v>
      </c>
      <c r="U258">
        <f>ROUND(IF(VLOOKUP($A258,EnrollData2324,'2324 Jun 24 Enroll'!E$1,FALSE)='District Calculations'!$D$12,VLOOKUP($A258,EnrollData2324,'2324 Jun 24 Enroll'!E$1,FALSE),'District Calculations'!$D$12)*S258,3)</f>
        <v>15.148</v>
      </c>
      <c r="V258">
        <f>ROUND(IF(VLOOKUP($A258,EnrollData2324,'2324 Jun 24 Enroll'!F$1,FALSE)='District Calculations'!$D$13,VLOOKUP($A258,EnrollData2324,'2324 Jun 24 Enroll'!F$1,FALSE),'District Calculations'!$D$13)*Apport_224A2324s,3)</f>
        <v>3.7029999999999998</v>
      </c>
      <c r="W258">
        <f>ROUND(IF(VLOOKUP($A258,EnrollData2324,'2324 Jun 24 Enroll'!G$1,FALSE)='District Calculations'!$D$14,VLOOKUP($A258,EnrollData2324,'2324 Jun 24 Enroll'!G$1,FALSE),'District Calculations'!$D$14)*Apport_212A2324s,3)</f>
        <v>8.2089999999999996</v>
      </c>
      <c r="X258">
        <f>ROUND(IF(VLOOKUP($A258,EnrollData2324,'2324 Jun 24 Enroll'!H$1,FALSE)='District Calculations'!$D$14,VLOOKUP($A258,EnrollData2324,'2324 Jun 24 Enroll'!H$1,FALSE),'District Calculations'!$D$14)*Apport_215A2324s,3)</f>
        <v>8.0969999999999995</v>
      </c>
      <c r="Y258">
        <f>ROUND(IF(VLOOKUP($A258,EnrollData2324,'2324 Jun 24 Enroll'!I$1,FALSE)+VLOOKUP($A258,EnrollData2324,'2324 Jun 24 Enroll'!M$1,FALSE)-VLOOKUP($A258,EnrollData2324,'2324 Jun 24 Enroll'!J$1,FALSE)='District Calculations'!$D$16+'District Calculations'!$D$25-'District Calculations'!$D$17,VLOOKUP($A258,EnrollData2324,'2324 Jun 24 Enroll'!I$1,FALSE)+VLOOKUP($A258,EnrollData2324,'2324 Jun 24 Enroll'!M$1,FALSE)-VLOOKUP($A258,EnrollData2324,'2324 Jun 24 Enroll'!J$1,FALSE),'District Calculations'!$D$16+'District Calculations'!$D$25-'District Calculations'!$D$17)*Apport_218A2324s,3)</f>
        <v>20.224</v>
      </c>
      <c r="Z258">
        <f>ROUND(SUM(T258:Y258)/IF(VLOOKUP($A258,EnrollData2324,'2324 Jun 24 Enroll'!M$1,FALSE)+VLOOKUP($A258,EnrollData2324,'2324 Jun 24 Enroll'!D$1,FALSE)='District Calculations'!$D$25+'District Calculations'!$D$11,VLOOKUP($A258,EnrollData2324,'2324 Jun 24 Enroll'!M$1,FALSE)+VLOOKUP($A258,EnrollData2324,'2324 Jun 24 Enroll'!D$1,FALSE),'District Calculations'!$D$25+'District Calculations'!$D$11),5)</f>
        <v>1.7749999999999998E-2</v>
      </c>
      <c r="AA258" s="6" cm="1">
        <f t="array" ref="AA258">ROUND($J258*CIS_Base_Salary2324s*VLOOKUP($A258,EnrollData2324,'2324 Jun 24 Enroll'!S$1,FALSE),2)</f>
        <v>4099.16</v>
      </c>
      <c r="AB258" s="6" cm="1">
        <f t="array" ref="AB258">ROUND($J258*CIS_Inc_Salary2324s*(VLOOKUP($A258,EnrollData2324,'2324 Jun 24 Enroll'!T$1,FALSE)+VLOOKUP($A258,EnrollData2324,'2324 Jun 24 Enroll'!U$1,FALSE)),2)-AA258</f>
        <v>151.68000000000029</v>
      </c>
      <c r="AC258" s="6" cm="1">
        <f t="array" ref="AC258">ROUND($R258*CAS_Base_Salary2324s*VLOOKUP($A258,EnrollData2324,'2324 Jun 24 Enroll'!S$1,FALSE),2)</f>
        <v>450.35</v>
      </c>
      <c r="AD258" s="6" cm="1">
        <f t="array" ref="AD258">ROUND($R258*CAS_Inc_Salary2324s*VLOOKUP($A258,EnrollData2324,'2324 Jun 24 Enroll'!T$1,FALSE),2)-AC258</f>
        <v>16.669999999999959</v>
      </c>
      <c r="AE258" s="6" cm="1">
        <f t="array" ref="AE258">ROUND($Z258*CLS_Base_Salary2324s*VLOOKUP($A258,EnrollData2324,'2324 Jun 24 Enroll'!S$1,FALSE),2)</f>
        <v>939.96</v>
      </c>
      <c r="AF258" s="6" cm="1">
        <f t="array" ref="AF258">ROUND($Z258*CLS_Inc_Salary2324s*VLOOKUP($A258,EnrollData2324,'2324 Jun 24 Enroll'!T$1,FALSE),2)-AE258</f>
        <v>34.769999999999982</v>
      </c>
      <c r="AG258" cm="1">
        <f t="array" ref="AG258">ROUND(($J258+$R258)*Apport_124X2324s,2)</f>
        <v>734.29</v>
      </c>
      <c r="AH258" s="69">
        <f t="shared" si="24"/>
        <v>68.700000000000045</v>
      </c>
      <c r="AI258" cm="1">
        <f t="array" ref="AI258">ROUND($Z258*Apport_124X2324s,2)</f>
        <v>218.54</v>
      </c>
      <c r="AJ258" cm="1">
        <f t="array" ref="AJ258">ROUND($Z258*Apport_621X2324s*Apport_125X2324s,2)-AI258</f>
        <v>116.51000000000002</v>
      </c>
      <c r="AK258" cm="1">
        <f t="array" ref="AK258">ROUND((AA258+AC258)*Apport_126X2324s,2)</f>
        <v>817.55</v>
      </c>
      <c r="AL258" cm="1">
        <f t="array" ref="AL258">ROUND((AB258+AD258)*Apport_127X2324s,2)</f>
        <v>29.18</v>
      </c>
      <c r="AM258" cm="1">
        <f t="array" ref="AM258">ROUND(AE258*Apport_128X2324s,2)</f>
        <v>207.36</v>
      </c>
      <c r="AN258" cm="1">
        <f t="array" ref="AN258">ROUND(AF258*Apport_129X2324s,2)</f>
        <v>6.45</v>
      </c>
      <c r="AO258" cm="1">
        <f t="array" ref="AO258">ROUND(($J258*CIS_Inc_Salary2324s*(VLOOKUP($A258,EnrollData2324,'2324 Jun 24 Enroll'!T$1,FALSE)+VLOOKUP($A258,EnrollData2324,'2324 Jun 24 Enroll'!U$1,FALSE))/Apport_613Xpd)*Apport_614Xpd,2)</f>
        <v>70.849999999999994</v>
      </c>
      <c r="AP258" cm="1">
        <f t="array" ref="AP258">ROUND(AO258*Apport_127X2324s,2)</f>
        <v>12.28</v>
      </c>
      <c r="AQ258">
        <f t="shared" si="25"/>
        <v>30.93</v>
      </c>
      <c r="AR258" s="6" cm="1">
        <f t="array" ref="AR258">ROUND((VLOOKUP($A258,EnrollData2324,'2324 Jun 24 Enroll'!D$1,FALSE)*Apport_M802324s+VLOOKUP($A258,EnrollData2324,'2324 Jun 24 Enroll'!M$1,FALSE)*Apport_M802324s+(VLOOKUP($A258,EnrollData2324,'2324 Jun 24 Enroll'!P$1,FALSE)+VLOOKUP($A258,EnrollData2324,'2324 Jun 24 Enroll'!Q$1,FALSE)+VLOOKUP($A258,EnrollData2324,'2324 Jun 24 Enroll'!R$1,FALSE)+VLOOKUP($A258,EnrollData2324,'2324 Jun 24 Enroll'!I$1,FALSE)+VLOOKUP($A258,EnrollData2324,'2324 Jun 24 Enroll'!N$1,FALSE)+VLOOKUP($A258,EnrollData2324,'2324 Jun 24 Enroll'!O$1,FALSE)+VLOOKUP($A258,EnrollData2324,'2324 Jun 24 Enroll'!K$1,FALSE)+VLOOKUP($A258,EnrollData2324,'2324 Jun 24 Enroll'!L$1,FALSE))*Apport_M812324s)/(VLOOKUP($A258,EnrollData2324,'2324 Jun 24 Enroll'!M$1,FALSE)+VLOOKUP($A258,EnrollData2324,'2324 Jun 24 Enroll'!D$1,FALSE)),2)</f>
        <v>1518.72</v>
      </c>
      <c r="AS258" s="7">
        <f t="shared" si="26"/>
        <v>9523.9500000000007</v>
      </c>
    </row>
    <row r="259" spans="1:45">
      <c r="A259" s="40" t="s">
        <v>1017</v>
      </c>
      <c r="B259" s="40" t="s">
        <v>1018</v>
      </c>
      <c r="C259" s="11">
        <f>ROUND((IFERROR((1/IF(VLOOKUP($A259,EnrollData2324,28,FALSE)='District Calculations'!$D$10,VLOOKUP($A259,EnrollData2324,28,FALSE),'District Calculations'!$D$10))*(1+Apport_Z315),0))+Apport_201A2324s,6)</f>
        <v>7.3449E-2</v>
      </c>
      <c r="D259">
        <f>ROUND(IF(VLOOKUP($A259,EnrollData2324,'2324 Jun 24 Enroll'!D$1,FALSE)='District Calculations'!$D$11,VLOOKUP($A259,EnrollData2324,'2324 Jun 24 Enroll'!D$1,FALSE),'District Calculations'!$D$11)*C259,3)</f>
        <v>0</v>
      </c>
      <c r="E259">
        <f>ROUND(IF(VLOOKUP($A259,EnrollData2324,'2324 Jun 24 Enroll'!E$1,FALSE)='District Calculations'!$D$12,VLOOKUP($A259,EnrollData2324,'2324 Jun 24 Enroll'!E$1,FALSE),'District Calculations'!$D$12)*C259,3)</f>
        <v>59.53</v>
      </c>
      <c r="F259">
        <f>ROUND(IF(VLOOKUP($A259,EnrollData2324,'2324 Jun 24 Enroll'!F$1,FALSE)='District Calculations'!$D$13,VLOOKUP($A259,EnrollData2324,'2324 Jun 24 Enroll'!F$1,FALSE),'District Calculations'!$D$13)*Apport_222A2324s,3)</f>
        <v>10.101000000000001</v>
      </c>
      <c r="G259">
        <f>ROUND(IF(VLOOKUP($A259,EnrollData2324,'2324 Jun 24 Enroll'!G$1,FALSE)='District Calculations'!$D$14,VLOOKUP($A259,EnrollData2324,'2324 Jun 24 Enroll'!G$1,FALSE),'District Calculations'!$D$14)*Apport_210A2324s,3)</f>
        <v>22.395</v>
      </c>
      <c r="H259">
        <f>ROUND(IF(VLOOKUP($A259,EnrollData2324,'2324 Jun 24 Enroll'!H$1,FALSE)='District Calculations'!$D$15,VLOOKUP($A259,EnrollData2324,'2324 Jun 24 Enroll'!H$1,FALSE),'District Calculations'!$D$15)*Apport_213A2324s,3)</f>
        <v>23.091999999999999</v>
      </c>
      <c r="I259">
        <f>ROUND(IF(VLOOKUP($A259,EnrollData2324,'2324 Jun 24 Enroll'!I$1,FALSE)+VLOOKUP($A259,EnrollData2324,'2324 Jun 24 Enroll'!M$1,FALSE)-VLOOKUP($A259,EnrollData2324,'2324 Jun 24 Enroll'!J$1,FALSE)='District Calculations'!$D$16+'District Calculations'!$D$25-'District Calculations'!$D$17,VLOOKUP($A259,EnrollData2324,'2324 Jun 24 Enroll'!I$1,FALSE)+VLOOKUP($A259,EnrollData2324,'2324 Jun 24 Enroll'!M$1,FALSE)-VLOOKUP($A259,EnrollData2324,'2324 Jun 24 Enroll'!J$1,FALSE),'District Calculations'!$D$16+'District Calculations'!$D$25-'District Calculations'!$D$17)*Apport_216A2324s,3)</f>
        <v>58.183999999999997</v>
      </c>
      <c r="J259">
        <f>ROUND(SUM(D259:I259)/(IF(VLOOKUP($A259,EnrollData2324,'2324 Jun 24 Enroll'!M$1,FALSE)='District Calculations'!$D$25,VLOOKUP($A259,EnrollData2324,'2324 Jun 24 Enroll'!M$1,FALSE),'District Calculations'!$D$25)+IF(VLOOKUP($A259,EnrollData2324,'2324 Jun 24 Enroll'!D$1,FALSE)='District Calculations'!$D$11,VLOOKUP($A259,EnrollData2324,'2324 Jun 24 Enroll'!D$1,FALSE),'District Calculations'!$D$11)),5)</f>
        <v>5.5530000000000003E-2</v>
      </c>
      <c r="K259" s="11">
        <f t="shared" si="22"/>
        <v>4.3699999999999998E-3</v>
      </c>
      <c r="L259">
        <f>ROUND(IF(VLOOKUP($A259,EnrollData2324,'2324 Jun 24 Enroll'!D$1,FALSE)='District Calculations'!$D$11,VLOOKUP($A259,EnrollData2324,'2324 Jun 24 Enroll'!D$1,FALSE),'District Calculations'!$D$11)*K259,3)</f>
        <v>0</v>
      </c>
      <c r="M259">
        <f>ROUND(IF(VLOOKUP($A259,EnrollData2324,'2324 Jun 24 Enroll'!E$1,FALSE)='District Calculations'!$D$12,VLOOKUP($A259,EnrollData2324,'2324 Jun 24 Enroll'!E$1,FALSE),'District Calculations'!$D$12)*K259,3)</f>
        <v>3.5419999999999998</v>
      </c>
      <c r="N259">
        <f>ROUND(IF(VLOOKUP($A259,EnrollData2324,'2324 Jun 24 Enroll'!F$1,FALSE)='District Calculations'!$D$13,VLOOKUP($A259,EnrollData2324,'2324 Jun 24 Enroll'!F$1,FALSE),'District Calculations'!$D$13)*Apport_223A2324s,3)</f>
        <v>0.84299999999999997</v>
      </c>
      <c r="O259">
        <f>ROUND(IF(VLOOKUP($A259,EnrollData2324,'2324 Jun 24 Enroll'!G$1,FALSE)='District Calculations'!$D$14,VLOOKUP($A259,EnrollData2324,'2324 Jun 24 Enroll'!G$1,FALSE),'District Calculations'!$D$14)*Apport_211A2324s,3)</f>
        <v>1.87</v>
      </c>
      <c r="P259">
        <f>ROUND(IF(VLOOKUP($A259,EnrollData2324,'2324 Jun 24 Enroll'!H$1,FALSE)='District Calculations'!$D$14,VLOOKUP($A259,EnrollData2324,'2324 Jun 24 Enroll'!H$1,FALSE),'District Calculations'!$D$14)*Apport_214A2324s,3)</f>
        <v>1.8680000000000001</v>
      </c>
      <c r="Q259">
        <f>ROUND(IF(VLOOKUP($A259,EnrollData2324,'2324 Jun 24 Enroll'!I$1,FALSE)+VLOOKUP($A259,EnrollData2324,'2324 Jun 24 Enroll'!M$1,FALSE)-VLOOKUP($A259,EnrollData2324,'2324 Jun 24 Enroll'!J$1,FALSE)='District Calculations'!$D$16+'District Calculations'!$D$25-'District Calculations'!$D$17,VLOOKUP($A259,EnrollData2324,'2324 Jun 24 Enroll'!I$1,FALSE)+VLOOKUP($A259,EnrollData2324,'2324 Jun 24 Enroll'!M$1,FALSE)-VLOOKUP($A259,EnrollData2324,'2324 Jun 24 Enroll'!J$1,FALSE),'District Calculations'!$D$16+'District Calculations'!$D$25-'District Calculations'!$D$17)*Apport_217A2324s,3)</f>
        <v>4.702</v>
      </c>
      <c r="R259">
        <f>ROUND(SUM(L259:Q259)/IF(VLOOKUP($A259,EnrollData2324,'2324 Jun 24 Enroll'!M$1,FALSE)+VLOOKUP($A259,EnrollData2324,'2324 Jun 24 Enroll'!D$1,FALSE)='District Calculations'!$D$25+'District Calculations'!$D$11,VLOOKUP($A259,EnrollData2324,'2324 Jun 24 Enroll'!M$1,FALSE)+VLOOKUP($A259,EnrollData2324,'2324 Jun 24 Enroll'!D$1,FALSE),'District Calculations'!$D$25+'District Calculations'!$D$11),5)</f>
        <v>4.1099999999999999E-3</v>
      </c>
      <c r="S259" s="11">
        <f t="shared" si="23"/>
        <v>1.8689600000000001E-2</v>
      </c>
      <c r="T259">
        <f>ROUND(IF(VLOOKUP($A259,EnrollData2324,'2324 Jun 24 Enroll'!D$1,FALSE)='District Calculations'!$D$11,VLOOKUP($A259,EnrollData2324,'2324 Jun 24 Enroll'!D$1,FALSE),'District Calculations'!$D$11)*S259,3)</f>
        <v>0</v>
      </c>
      <c r="U259">
        <f>ROUND(IF(VLOOKUP($A259,EnrollData2324,'2324 Jun 24 Enroll'!E$1,FALSE)='District Calculations'!$D$12,VLOOKUP($A259,EnrollData2324,'2324 Jun 24 Enroll'!E$1,FALSE),'District Calculations'!$D$12)*S259,3)</f>
        <v>15.148</v>
      </c>
      <c r="V259">
        <f>ROUND(IF(VLOOKUP($A259,EnrollData2324,'2324 Jun 24 Enroll'!F$1,FALSE)='District Calculations'!$D$13,VLOOKUP($A259,EnrollData2324,'2324 Jun 24 Enroll'!F$1,FALSE),'District Calculations'!$D$13)*Apport_224A2324s,3)</f>
        <v>3.7029999999999998</v>
      </c>
      <c r="W259">
        <f>ROUND(IF(VLOOKUP($A259,EnrollData2324,'2324 Jun 24 Enroll'!G$1,FALSE)='District Calculations'!$D$14,VLOOKUP($A259,EnrollData2324,'2324 Jun 24 Enroll'!G$1,FALSE),'District Calculations'!$D$14)*Apport_212A2324s,3)</f>
        <v>8.2089999999999996</v>
      </c>
      <c r="X259">
        <f>ROUND(IF(VLOOKUP($A259,EnrollData2324,'2324 Jun 24 Enroll'!H$1,FALSE)='District Calculations'!$D$14,VLOOKUP($A259,EnrollData2324,'2324 Jun 24 Enroll'!H$1,FALSE),'District Calculations'!$D$14)*Apport_215A2324s,3)</f>
        <v>8.0969999999999995</v>
      </c>
      <c r="Y259">
        <f>ROUND(IF(VLOOKUP($A259,EnrollData2324,'2324 Jun 24 Enroll'!I$1,FALSE)+VLOOKUP($A259,EnrollData2324,'2324 Jun 24 Enroll'!M$1,FALSE)-VLOOKUP($A259,EnrollData2324,'2324 Jun 24 Enroll'!J$1,FALSE)='District Calculations'!$D$16+'District Calculations'!$D$25-'District Calculations'!$D$17,VLOOKUP($A259,EnrollData2324,'2324 Jun 24 Enroll'!I$1,FALSE)+VLOOKUP($A259,EnrollData2324,'2324 Jun 24 Enroll'!M$1,FALSE)-VLOOKUP($A259,EnrollData2324,'2324 Jun 24 Enroll'!J$1,FALSE),'District Calculations'!$D$16+'District Calculations'!$D$25-'District Calculations'!$D$17)*Apport_218A2324s,3)</f>
        <v>20.224</v>
      </c>
      <c r="Z259">
        <f>ROUND(SUM(T259:Y259)/IF(VLOOKUP($A259,EnrollData2324,'2324 Jun 24 Enroll'!M$1,FALSE)+VLOOKUP($A259,EnrollData2324,'2324 Jun 24 Enroll'!D$1,FALSE)='District Calculations'!$D$25+'District Calculations'!$D$11,VLOOKUP($A259,EnrollData2324,'2324 Jun 24 Enroll'!M$1,FALSE)+VLOOKUP($A259,EnrollData2324,'2324 Jun 24 Enroll'!D$1,FALSE),'District Calculations'!$D$25+'District Calculations'!$D$11),5)</f>
        <v>1.7749999999999998E-2</v>
      </c>
      <c r="AA259" s="6" cm="1">
        <f t="array" ref="AA259">ROUND($J259*CIS_Base_Salary2324s*VLOOKUP($A259,EnrollData2324,'2324 Jun 24 Enroll'!S$1,FALSE),2)</f>
        <v>4099.16</v>
      </c>
      <c r="AB259" s="6" cm="1">
        <f t="array" ref="AB259">ROUND($J259*CIS_Inc_Salary2324s*(VLOOKUP($A259,EnrollData2324,'2324 Jun 24 Enroll'!T$1,FALSE)+VLOOKUP($A259,EnrollData2324,'2324 Jun 24 Enroll'!U$1,FALSE)),2)-AA259</f>
        <v>151.68000000000029</v>
      </c>
      <c r="AC259" s="6" cm="1">
        <f t="array" ref="AC259">ROUND($R259*CAS_Base_Salary2324s*VLOOKUP($A259,EnrollData2324,'2324 Jun 24 Enroll'!S$1,FALSE),2)</f>
        <v>450.35</v>
      </c>
      <c r="AD259" s="6" cm="1">
        <f t="array" ref="AD259">ROUND($R259*CAS_Inc_Salary2324s*VLOOKUP($A259,EnrollData2324,'2324 Jun 24 Enroll'!T$1,FALSE),2)-AC259</f>
        <v>16.669999999999959</v>
      </c>
      <c r="AE259" s="6" cm="1">
        <f t="array" ref="AE259">ROUND($Z259*CLS_Base_Salary2324s*VLOOKUP($A259,EnrollData2324,'2324 Jun 24 Enroll'!S$1,FALSE),2)</f>
        <v>939.96</v>
      </c>
      <c r="AF259" s="6" cm="1">
        <f t="array" ref="AF259">ROUND($Z259*CLS_Inc_Salary2324s*VLOOKUP($A259,EnrollData2324,'2324 Jun 24 Enroll'!T$1,FALSE),2)-AE259</f>
        <v>34.769999999999982</v>
      </c>
      <c r="AG259" cm="1">
        <f t="array" ref="AG259">ROUND(($J259+$R259)*Apport_124X2324s,2)</f>
        <v>734.29</v>
      </c>
      <c r="AH259" s="69">
        <f t="shared" si="24"/>
        <v>68.700000000000045</v>
      </c>
      <c r="AI259" cm="1">
        <f t="array" ref="AI259">ROUND($Z259*Apport_124X2324s,2)</f>
        <v>218.54</v>
      </c>
      <c r="AJ259" cm="1">
        <f t="array" ref="AJ259">ROUND($Z259*Apport_621X2324s*Apport_125X2324s,2)-AI259</f>
        <v>116.51000000000002</v>
      </c>
      <c r="AK259" cm="1">
        <f t="array" ref="AK259">ROUND((AA259+AC259)*Apport_126X2324s,2)</f>
        <v>817.55</v>
      </c>
      <c r="AL259" cm="1">
        <f t="array" ref="AL259">ROUND((AB259+AD259)*Apport_127X2324s,2)</f>
        <v>29.18</v>
      </c>
      <c r="AM259" cm="1">
        <f t="array" ref="AM259">ROUND(AE259*Apport_128X2324s,2)</f>
        <v>207.36</v>
      </c>
      <c r="AN259" cm="1">
        <f t="array" ref="AN259">ROUND(AF259*Apport_129X2324s,2)</f>
        <v>6.45</v>
      </c>
      <c r="AO259" cm="1">
        <f t="array" ref="AO259">ROUND(($J259*CIS_Inc_Salary2324s*(VLOOKUP($A259,EnrollData2324,'2324 Jun 24 Enroll'!T$1,FALSE)+VLOOKUP($A259,EnrollData2324,'2324 Jun 24 Enroll'!U$1,FALSE))/Apport_613Xpd)*Apport_614Xpd,2)</f>
        <v>70.849999999999994</v>
      </c>
      <c r="AP259" cm="1">
        <f t="array" ref="AP259">ROUND(AO259*Apport_127X2324s,2)</f>
        <v>12.28</v>
      </c>
      <c r="AQ259">
        <f t="shared" si="25"/>
        <v>30.93</v>
      </c>
      <c r="AR259" s="6" cm="1">
        <f t="array" ref="AR259">ROUND((VLOOKUP($A259,EnrollData2324,'2324 Jun 24 Enroll'!D$1,FALSE)*Apport_M802324s+VLOOKUP($A259,EnrollData2324,'2324 Jun 24 Enroll'!M$1,FALSE)*Apport_M802324s+(VLOOKUP($A259,EnrollData2324,'2324 Jun 24 Enroll'!P$1,FALSE)+VLOOKUP($A259,EnrollData2324,'2324 Jun 24 Enroll'!Q$1,FALSE)+VLOOKUP($A259,EnrollData2324,'2324 Jun 24 Enroll'!R$1,FALSE)+VLOOKUP($A259,EnrollData2324,'2324 Jun 24 Enroll'!I$1,FALSE)+VLOOKUP($A259,EnrollData2324,'2324 Jun 24 Enroll'!N$1,FALSE)+VLOOKUP($A259,EnrollData2324,'2324 Jun 24 Enroll'!O$1,FALSE)+VLOOKUP($A259,EnrollData2324,'2324 Jun 24 Enroll'!K$1,FALSE)+VLOOKUP($A259,EnrollData2324,'2324 Jun 24 Enroll'!L$1,FALSE))*Apport_M812324s)/(VLOOKUP($A259,EnrollData2324,'2324 Jun 24 Enroll'!M$1,FALSE)+VLOOKUP($A259,EnrollData2324,'2324 Jun 24 Enroll'!D$1,FALSE)),2)</f>
        <v>1704.67</v>
      </c>
      <c r="AS259" s="7">
        <f t="shared" si="26"/>
        <v>9709.9000000000015</v>
      </c>
    </row>
    <row r="260" spans="1:45">
      <c r="A260" s="40" t="s">
        <v>908</v>
      </c>
      <c r="B260" s="40" t="s">
        <v>903</v>
      </c>
      <c r="C260" s="11">
        <f>ROUND((IFERROR((1/IF(VLOOKUP($A260,EnrollData2324,28,FALSE)='District Calculations'!$D$10,VLOOKUP($A260,EnrollData2324,28,FALSE),'District Calculations'!$D$10))*(1+Apport_Z315),0))+Apport_201A2324s,6)</f>
        <v>7.3449E-2</v>
      </c>
      <c r="D260">
        <f>ROUND(IF(VLOOKUP($A260,EnrollData2324,'2324 Jun 24 Enroll'!D$1,FALSE)='District Calculations'!$D$11,VLOOKUP($A260,EnrollData2324,'2324 Jun 24 Enroll'!D$1,FALSE),'District Calculations'!$D$11)*C260,3)</f>
        <v>0</v>
      </c>
      <c r="E260">
        <f>ROUND(IF(VLOOKUP($A260,EnrollData2324,'2324 Jun 24 Enroll'!E$1,FALSE)='District Calculations'!$D$12,VLOOKUP($A260,EnrollData2324,'2324 Jun 24 Enroll'!E$1,FALSE),'District Calculations'!$D$12)*C260,3)</f>
        <v>59.53</v>
      </c>
      <c r="F260">
        <f>ROUND(IF(VLOOKUP($A260,EnrollData2324,'2324 Jun 24 Enroll'!F$1,FALSE)='District Calculations'!$D$13,VLOOKUP($A260,EnrollData2324,'2324 Jun 24 Enroll'!F$1,FALSE),'District Calculations'!$D$13)*Apport_222A2324s,3)</f>
        <v>10.101000000000001</v>
      </c>
      <c r="G260">
        <f>ROUND(IF(VLOOKUP($A260,EnrollData2324,'2324 Jun 24 Enroll'!G$1,FALSE)='District Calculations'!$D$14,VLOOKUP($A260,EnrollData2324,'2324 Jun 24 Enroll'!G$1,FALSE),'District Calculations'!$D$14)*Apport_210A2324s,3)</f>
        <v>22.395</v>
      </c>
      <c r="H260">
        <f>ROUND(IF(VLOOKUP($A260,EnrollData2324,'2324 Jun 24 Enroll'!H$1,FALSE)='District Calculations'!$D$15,VLOOKUP($A260,EnrollData2324,'2324 Jun 24 Enroll'!H$1,FALSE),'District Calculations'!$D$15)*Apport_213A2324s,3)</f>
        <v>23.091999999999999</v>
      </c>
      <c r="I260">
        <f>ROUND(IF(VLOOKUP($A260,EnrollData2324,'2324 Jun 24 Enroll'!I$1,FALSE)+VLOOKUP($A260,EnrollData2324,'2324 Jun 24 Enroll'!M$1,FALSE)-VLOOKUP($A260,EnrollData2324,'2324 Jun 24 Enroll'!J$1,FALSE)='District Calculations'!$D$16+'District Calculations'!$D$25-'District Calculations'!$D$17,VLOOKUP($A260,EnrollData2324,'2324 Jun 24 Enroll'!I$1,FALSE)+VLOOKUP($A260,EnrollData2324,'2324 Jun 24 Enroll'!M$1,FALSE)-VLOOKUP($A260,EnrollData2324,'2324 Jun 24 Enroll'!J$1,FALSE),'District Calculations'!$D$16+'District Calculations'!$D$25-'District Calculations'!$D$17)*Apport_216A2324s,3)</f>
        <v>58.183999999999997</v>
      </c>
      <c r="J260">
        <f>ROUND(SUM(D260:I260)/(IF(VLOOKUP($A260,EnrollData2324,'2324 Jun 24 Enroll'!M$1,FALSE)='District Calculations'!$D$25,VLOOKUP($A260,EnrollData2324,'2324 Jun 24 Enroll'!M$1,FALSE),'District Calculations'!$D$25)+IF(VLOOKUP($A260,EnrollData2324,'2324 Jun 24 Enroll'!D$1,FALSE)='District Calculations'!$D$11,VLOOKUP($A260,EnrollData2324,'2324 Jun 24 Enroll'!D$1,FALSE),'District Calculations'!$D$11)),5)</f>
        <v>5.5530000000000003E-2</v>
      </c>
      <c r="K260" s="11">
        <f t="shared" si="22"/>
        <v>4.3699999999999998E-3</v>
      </c>
      <c r="L260">
        <f>ROUND(IF(VLOOKUP($A260,EnrollData2324,'2324 Jun 24 Enroll'!D$1,FALSE)='District Calculations'!$D$11,VLOOKUP($A260,EnrollData2324,'2324 Jun 24 Enroll'!D$1,FALSE),'District Calculations'!$D$11)*K260,3)</f>
        <v>0</v>
      </c>
      <c r="M260">
        <f>ROUND(IF(VLOOKUP($A260,EnrollData2324,'2324 Jun 24 Enroll'!E$1,FALSE)='District Calculations'!$D$12,VLOOKUP($A260,EnrollData2324,'2324 Jun 24 Enroll'!E$1,FALSE),'District Calculations'!$D$12)*K260,3)</f>
        <v>3.5419999999999998</v>
      </c>
      <c r="N260">
        <f>ROUND(IF(VLOOKUP($A260,EnrollData2324,'2324 Jun 24 Enroll'!F$1,FALSE)='District Calculations'!$D$13,VLOOKUP($A260,EnrollData2324,'2324 Jun 24 Enroll'!F$1,FALSE),'District Calculations'!$D$13)*Apport_223A2324s,3)</f>
        <v>0.84299999999999997</v>
      </c>
      <c r="O260">
        <f>ROUND(IF(VLOOKUP($A260,EnrollData2324,'2324 Jun 24 Enroll'!G$1,FALSE)='District Calculations'!$D$14,VLOOKUP($A260,EnrollData2324,'2324 Jun 24 Enroll'!G$1,FALSE),'District Calculations'!$D$14)*Apport_211A2324s,3)</f>
        <v>1.87</v>
      </c>
      <c r="P260">
        <f>ROUND(IF(VLOOKUP($A260,EnrollData2324,'2324 Jun 24 Enroll'!H$1,FALSE)='District Calculations'!$D$14,VLOOKUP($A260,EnrollData2324,'2324 Jun 24 Enroll'!H$1,FALSE),'District Calculations'!$D$14)*Apport_214A2324s,3)</f>
        <v>1.8680000000000001</v>
      </c>
      <c r="Q260">
        <f>ROUND(IF(VLOOKUP($A260,EnrollData2324,'2324 Jun 24 Enroll'!I$1,FALSE)+VLOOKUP($A260,EnrollData2324,'2324 Jun 24 Enroll'!M$1,FALSE)-VLOOKUP($A260,EnrollData2324,'2324 Jun 24 Enroll'!J$1,FALSE)='District Calculations'!$D$16+'District Calculations'!$D$25-'District Calculations'!$D$17,VLOOKUP($A260,EnrollData2324,'2324 Jun 24 Enroll'!I$1,FALSE)+VLOOKUP($A260,EnrollData2324,'2324 Jun 24 Enroll'!M$1,FALSE)-VLOOKUP($A260,EnrollData2324,'2324 Jun 24 Enroll'!J$1,FALSE),'District Calculations'!$D$16+'District Calculations'!$D$25-'District Calculations'!$D$17)*Apport_217A2324s,3)</f>
        <v>4.702</v>
      </c>
      <c r="R260">
        <f>ROUND(SUM(L260:Q260)/IF(VLOOKUP($A260,EnrollData2324,'2324 Jun 24 Enroll'!M$1,FALSE)+VLOOKUP($A260,EnrollData2324,'2324 Jun 24 Enroll'!D$1,FALSE)='District Calculations'!$D$25+'District Calculations'!$D$11,VLOOKUP($A260,EnrollData2324,'2324 Jun 24 Enroll'!M$1,FALSE)+VLOOKUP($A260,EnrollData2324,'2324 Jun 24 Enroll'!D$1,FALSE),'District Calculations'!$D$25+'District Calculations'!$D$11),5)</f>
        <v>4.1099999999999999E-3</v>
      </c>
      <c r="S260" s="11">
        <f t="shared" si="23"/>
        <v>1.8689600000000001E-2</v>
      </c>
      <c r="T260">
        <f>ROUND(IF(VLOOKUP($A260,EnrollData2324,'2324 Jun 24 Enroll'!D$1,FALSE)='District Calculations'!$D$11,VLOOKUP($A260,EnrollData2324,'2324 Jun 24 Enroll'!D$1,FALSE),'District Calculations'!$D$11)*S260,3)</f>
        <v>0</v>
      </c>
      <c r="U260">
        <f>ROUND(IF(VLOOKUP($A260,EnrollData2324,'2324 Jun 24 Enroll'!E$1,FALSE)='District Calculations'!$D$12,VLOOKUP($A260,EnrollData2324,'2324 Jun 24 Enroll'!E$1,FALSE),'District Calculations'!$D$12)*S260,3)</f>
        <v>15.148</v>
      </c>
      <c r="V260">
        <f>ROUND(IF(VLOOKUP($A260,EnrollData2324,'2324 Jun 24 Enroll'!F$1,FALSE)='District Calculations'!$D$13,VLOOKUP($A260,EnrollData2324,'2324 Jun 24 Enroll'!F$1,FALSE),'District Calculations'!$D$13)*Apport_224A2324s,3)</f>
        <v>3.7029999999999998</v>
      </c>
      <c r="W260">
        <f>ROUND(IF(VLOOKUP($A260,EnrollData2324,'2324 Jun 24 Enroll'!G$1,FALSE)='District Calculations'!$D$14,VLOOKUP($A260,EnrollData2324,'2324 Jun 24 Enroll'!G$1,FALSE),'District Calculations'!$D$14)*Apport_212A2324s,3)</f>
        <v>8.2089999999999996</v>
      </c>
      <c r="X260">
        <f>ROUND(IF(VLOOKUP($A260,EnrollData2324,'2324 Jun 24 Enroll'!H$1,FALSE)='District Calculations'!$D$14,VLOOKUP($A260,EnrollData2324,'2324 Jun 24 Enroll'!H$1,FALSE),'District Calculations'!$D$14)*Apport_215A2324s,3)</f>
        <v>8.0969999999999995</v>
      </c>
      <c r="Y260">
        <f>ROUND(IF(VLOOKUP($A260,EnrollData2324,'2324 Jun 24 Enroll'!I$1,FALSE)+VLOOKUP($A260,EnrollData2324,'2324 Jun 24 Enroll'!M$1,FALSE)-VLOOKUP($A260,EnrollData2324,'2324 Jun 24 Enroll'!J$1,FALSE)='District Calculations'!$D$16+'District Calculations'!$D$25-'District Calculations'!$D$17,VLOOKUP($A260,EnrollData2324,'2324 Jun 24 Enroll'!I$1,FALSE)+VLOOKUP($A260,EnrollData2324,'2324 Jun 24 Enroll'!M$1,FALSE)-VLOOKUP($A260,EnrollData2324,'2324 Jun 24 Enroll'!J$1,FALSE),'District Calculations'!$D$16+'District Calculations'!$D$25-'District Calculations'!$D$17)*Apport_218A2324s,3)</f>
        <v>20.224</v>
      </c>
      <c r="Z260">
        <f>ROUND(SUM(T260:Y260)/IF(VLOOKUP($A260,EnrollData2324,'2324 Jun 24 Enroll'!M$1,FALSE)+VLOOKUP($A260,EnrollData2324,'2324 Jun 24 Enroll'!D$1,FALSE)='District Calculations'!$D$25+'District Calculations'!$D$11,VLOOKUP($A260,EnrollData2324,'2324 Jun 24 Enroll'!M$1,FALSE)+VLOOKUP($A260,EnrollData2324,'2324 Jun 24 Enroll'!D$1,FALSE),'District Calculations'!$D$25+'District Calculations'!$D$11),5)</f>
        <v>1.7749999999999998E-2</v>
      </c>
      <c r="AA260" s="6" cm="1">
        <f t="array" ref="AA260">ROUND($J260*CIS_Base_Salary2324s*VLOOKUP($A260,EnrollData2324,'2324 Jun 24 Enroll'!S$1,FALSE),2)</f>
        <v>4099.16</v>
      </c>
      <c r="AB260" s="6" cm="1">
        <f t="array" ref="AB260">ROUND($J260*CIS_Inc_Salary2324s*(VLOOKUP($A260,EnrollData2324,'2324 Jun 24 Enroll'!T$1,FALSE)+VLOOKUP($A260,EnrollData2324,'2324 Jun 24 Enroll'!U$1,FALSE)),2)-AA260</f>
        <v>151.68000000000029</v>
      </c>
      <c r="AC260" s="6" cm="1">
        <f t="array" ref="AC260">ROUND($R260*CAS_Base_Salary2324s*VLOOKUP($A260,EnrollData2324,'2324 Jun 24 Enroll'!S$1,FALSE),2)</f>
        <v>450.35</v>
      </c>
      <c r="AD260" s="6" cm="1">
        <f t="array" ref="AD260">ROUND($R260*CAS_Inc_Salary2324s*VLOOKUP($A260,EnrollData2324,'2324 Jun 24 Enroll'!T$1,FALSE),2)-AC260</f>
        <v>16.669999999999959</v>
      </c>
      <c r="AE260" s="6" cm="1">
        <f t="array" ref="AE260">ROUND($Z260*CLS_Base_Salary2324s*VLOOKUP($A260,EnrollData2324,'2324 Jun 24 Enroll'!S$1,FALSE),2)</f>
        <v>939.96</v>
      </c>
      <c r="AF260" s="6" cm="1">
        <f t="array" ref="AF260">ROUND($Z260*CLS_Inc_Salary2324s*VLOOKUP($A260,EnrollData2324,'2324 Jun 24 Enroll'!T$1,FALSE),2)-AE260</f>
        <v>34.769999999999982</v>
      </c>
      <c r="AG260" cm="1">
        <f t="array" ref="AG260">ROUND(($J260+$R260)*Apport_124X2324s,2)</f>
        <v>734.29</v>
      </c>
      <c r="AH260" s="69">
        <f t="shared" si="24"/>
        <v>68.700000000000045</v>
      </c>
      <c r="AI260" cm="1">
        <f t="array" ref="AI260">ROUND($Z260*Apport_124X2324s,2)</f>
        <v>218.54</v>
      </c>
      <c r="AJ260" cm="1">
        <f t="array" ref="AJ260">ROUND($Z260*Apport_621X2324s*Apport_125X2324s,2)-AI260</f>
        <v>116.51000000000002</v>
      </c>
      <c r="AK260" cm="1">
        <f t="array" ref="AK260">ROUND((AA260+AC260)*Apport_126X2324s,2)</f>
        <v>817.55</v>
      </c>
      <c r="AL260" cm="1">
        <f t="array" ref="AL260">ROUND((AB260+AD260)*Apport_127X2324s,2)</f>
        <v>29.18</v>
      </c>
      <c r="AM260" cm="1">
        <f t="array" ref="AM260">ROUND(AE260*Apport_128X2324s,2)</f>
        <v>207.36</v>
      </c>
      <c r="AN260" cm="1">
        <f t="array" ref="AN260">ROUND(AF260*Apport_129X2324s,2)</f>
        <v>6.45</v>
      </c>
      <c r="AO260" cm="1">
        <f t="array" ref="AO260">ROUND(($J260*CIS_Inc_Salary2324s*(VLOOKUP($A260,EnrollData2324,'2324 Jun 24 Enroll'!T$1,FALSE)+VLOOKUP($A260,EnrollData2324,'2324 Jun 24 Enroll'!U$1,FALSE))/Apport_613Xpd)*Apport_614Xpd,2)</f>
        <v>70.849999999999994</v>
      </c>
      <c r="AP260" cm="1">
        <f t="array" ref="AP260">ROUND(AO260*Apport_127X2324s,2)</f>
        <v>12.28</v>
      </c>
      <c r="AQ260">
        <f t="shared" si="25"/>
        <v>30.93</v>
      </c>
      <c r="AR260" s="6" cm="1">
        <f t="array" ref="AR260">ROUND((VLOOKUP($A260,EnrollData2324,'2324 Jun 24 Enroll'!D$1,FALSE)*Apport_M802324s+VLOOKUP($A260,EnrollData2324,'2324 Jun 24 Enroll'!M$1,FALSE)*Apport_M802324s+(VLOOKUP($A260,EnrollData2324,'2324 Jun 24 Enroll'!P$1,FALSE)+VLOOKUP($A260,EnrollData2324,'2324 Jun 24 Enroll'!Q$1,FALSE)+VLOOKUP($A260,EnrollData2324,'2324 Jun 24 Enroll'!R$1,FALSE)+VLOOKUP($A260,EnrollData2324,'2324 Jun 24 Enroll'!I$1,FALSE)+VLOOKUP($A260,EnrollData2324,'2324 Jun 24 Enroll'!N$1,FALSE)+VLOOKUP($A260,EnrollData2324,'2324 Jun 24 Enroll'!O$1,FALSE)+VLOOKUP($A260,EnrollData2324,'2324 Jun 24 Enroll'!K$1,FALSE)+VLOOKUP($A260,EnrollData2324,'2324 Jun 24 Enroll'!L$1,FALSE))*Apport_M812324s)/(VLOOKUP($A260,EnrollData2324,'2324 Jun 24 Enroll'!M$1,FALSE)+VLOOKUP($A260,EnrollData2324,'2324 Jun 24 Enroll'!D$1,FALSE)),2)</f>
        <v>1624.17</v>
      </c>
      <c r="AS260" s="7">
        <f t="shared" si="26"/>
        <v>9629.4000000000015</v>
      </c>
    </row>
    <row r="261" spans="1:45">
      <c r="A261" s="40" t="s">
        <v>661</v>
      </c>
      <c r="B261" s="40" t="s">
        <v>662</v>
      </c>
      <c r="C261" s="11">
        <f>ROUND((IFERROR((1/IF(VLOOKUP($A261,EnrollData2324,28,FALSE)='District Calculations'!$D$10,VLOOKUP($A261,EnrollData2324,28,FALSE),'District Calculations'!$D$10))*(1+Apport_Z315),0))+Apport_201A2324s,6)</f>
        <v>7.3449E-2</v>
      </c>
      <c r="D261">
        <f>ROUND(IF(VLOOKUP($A261,EnrollData2324,'2324 Jun 24 Enroll'!D$1,FALSE)='District Calculations'!$D$11,VLOOKUP($A261,EnrollData2324,'2324 Jun 24 Enroll'!D$1,FALSE),'District Calculations'!$D$11)*C261,3)</f>
        <v>0</v>
      </c>
      <c r="E261">
        <f>ROUND(IF(VLOOKUP($A261,EnrollData2324,'2324 Jun 24 Enroll'!E$1,FALSE)='District Calculations'!$D$12,VLOOKUP($A261,EnrollData2324,'2324 Jun 24 Enroll'!E$1,FALSE),'District Calculations'!$D$12)*C261,3)</f>
        <v>59.53</v>
      </c>
      <c r="F261">
        <f>ROUND(IF(VLOOKUP($A261,EnrollData2324,'2324 Jun 24 Enroll'!F$1,FALSE)='District Calculations'!$D$13,VLOOKUP($A261,EnrollData2324,'2324 Jun 24 Enroll'!F$1,FALSE),'District Calculations'!$D$13)*Apport_222A2324s,3)</f>
        <v>10.101000000000001</v>
      </c>
      <c r="G261">
        <f>ROUND(IF(VLOOKUP($A261,EnrollData2324,'2324 Jun 24 Enroll'!G$1,FALSE)='District Calculations'!$D$14,VLOOKUP($A261,EnrollData2324,'2324 Jun 24 Enroll'!G$1,FALSE),'District Calculations'!$D$14)*Apport_210A2324s,3)</f>
        <v>22.395</v>
      </c>
      <c r="H261">
        <f>ROUND(IF(VLOOKUP($A261,EnrollData2324,'2324 Jun 24 Enroll'!H$1,FALSE)='District Calculations'!$D$15,VLOOKUP($A261,EnrollData2324,'2324 Jun 24 Enroll'!H$1,FALSE),'District Calculations'!$D$15)*Apport_213A2324s,3)</f>
        <v>23.091999999999999</v>
      </c>
      <c r="I261">
        <f>ROUND(IF(VLOOKUP($A261,EnrollData2324,'2324 Jun 24 Enroll'!I$1,FALSE)+VLOOKUP($A261,EnrollData2324,'2324 Jun 24 Enroll'!M$1,FALSE)-VLOOKUP($A261,EnrollData2324,'2324 Jun 24 Enroll'!J$1,FALSE)='District Calculations'!$D$16+'District Calculations'!$D$25-'District Calculations'!$D$17,VLOOKUP($A261,EnrollData2324,'2324 Jun 24 Enroll'!I$1,FALSE)+VLOOKUP($A261,EnrollData2324,'2324 Jun 24 Enroll'!M$1,FALSE)-VLOOKUP($A261,EnrollData2324,'2324 Jun 24 Enroll'!J$1,FALSE),'District Calculations'!$D$16+'District Calculations'!$D$25-'District Calculations'!$D$17)*Apport_216A2324s,3)</f>
        <v>58.183999999999997</v>
      </c>
      <c r="J261">
        <f>ROUND(SUM(D261:I261)/(IF(VLOOKUP($A261,EnrollData2324,'2324 Jun 24 Enroll'!M$1,FALSE)='District Calculations'!$D$25,VLOOKUP($A261,EnrollData2324,'2324 Jun 24 Enroll'!M$1,FALSE),'District Calculations'!$D$25)+IF(VLOOKUP($A261,EnrollData2324,'2324 Jun 24 Enroll'!D$1,FALSE)='District Calculations'!$D$11,VLOOKUP($A261,EnrollData2324,'2324 Jun 24 Enroll'!D$1,FALSE),'District Calculations'!$D$11)),5)</f>
        <v>5.5530000000000003E-2</v>
      </c>
      <c r="K261" s="11">
        <f t="shared" si="22"/>
        <v>4.3699999999999998E-3</v>
      </c>
      <c r="L261">
        <f>ROUND(IF(VLOOKUP($A261,EnrollData2324,'2324 Jun 24 Enroll'!D$1,FALSE)='District Calculations'!$D$11,VLOOKUP($A261,EnrollData2324,'2324 Jun 24 Enroll'!D$1,FALSE),'District Calculations'!$D$11)*K261,3)</f>
        <v>0</v>
      </c>
      <c r="M261">
        <f>ROUND(IF(VLOOKUP($A261,EnrollData2324,'2324 Jun 24 Enroll'!E$1,FALSE)='District Calculations'!$D$12,VLOOKUP($A261,EnrollData2324,'2324 Jun 24 Enroll'!E$1,FALSE),'District Calculations'!$D$12)*K261,3)</f>
        <v>3.5419999999999998</v>
      </c>
      <c r="N261">
        <f>ROUND(IF(VLOOKUP($A261,EnrollData2324,'2324 Jun 24 Enroll'!F$1,FALSE)='District Calculations'!$D$13,VLOOKUP($A261,EnrollData2324,'2324 Jun 24 Enroll'!F$1,FALSE),'District Calculations'!$D$13)*Apport_223A2324s,3)</f>
        <v>0.84299999999999997</v>
      </c>
      <c r="O261">
        <f>ROUND(IF(VLOOKUP($A261,EnrollData2324,'2324 Jun 24 Enroll'!G$1,FALSE)='District Calculations'!$D$14,VLOOKUP($A261,EnrollData2324,'2324 Jun 24 Enroll'!G$1,FALSE),'District Calculations'!$D$14)*Apport_211A2324s,3)</f>
        <v>1.87</v>
      </c>
      <c r="P261">
        <f>ROUND(IF(VLOOKUP($A261,EnrollData2324,'2324 Jun 24 Enroll'!H$1,FALSE)='District Calculations'!$D$14,VLOOKUP($A261,EnrollData2324,'2324 Jun 24 Enroll'!H$1,FALSE),'District Calculations'!$D$14)*Apport_214A2324s,3)</f>
        <v>1.8680000000000001</v>
      </c>
      <c r="Q261">
        <f>ROUND(IF(VLOOKUP($A261,EnrollData2324,'2324 Jun 24 Enroll'!I$1,FALSE)+VLOOKUP($A261,EnrollData2324,'2324 Jun 24 Enroll'!M$1,FALSE)-VLOOKUP($A261,EnrollData2324,'2324 Jun 24 Enroll'!J$1,FALSE)='District Calculations'!$D$16+'District Calculations'!$D$25-'District Calculations'!$D$17,VLOOKUP($A261,EnrollData2324,'2324 Jun 24 Enroll'!I$1,FALSE)+VLOOKUP($A261,EnrollData2324,'2324 Jun 24 Enroll'!M$1,FALSE)-VLOOKUP($A261,EnrollData2324,'2324 Jun 24 Enroll'!J$1,FALSE),'District Calculations'!$D$16+'District Calculations'!$D$25-'District Calculations'!$D$17)*Apport_217A2324s,3)</f>
        <v>4.702</v>
      </c>
      <c r="R261">
        <f>ROUND(SUM(L261:Q261)/IF(VLOOKUP($A261,EnrollData2324,'2324 Jun 24 Enroll'!M$1,FALSE)+VLOOKUP($A261,EnrollData2324,'2324 Jun 24 Enroll'!D$1,FALSE)='District Calculations'!$D$25+'District Calculations'!$D$11,VLOOKUP($A261,EnrollData2324,'2324 Jun 24 Enroll'!M$1,FALSE)+VLOOKUP($A261,EnrollData2324,'2324 Jun 24 Enroll'!D$1,FALSE),'District Calculations'!$D$25+'District Calculations'!$D$11),5)</f>
        <v>4.1099999999999999E-3</v>
      </c>
      <c r="S261" s="11">
        <f t="shared" si="23"/>
        <v>1.8689600000000001E-2</v>
      </c>
      <c r="T261">
        <f>ROUND(IF(VLOOKUP($A261,EnrollData2324,'2324 Jun 24 Enroll'!D$1,FALSE)='District Calculations'!$D$11,VLOOKUP($A261,EnrollData2324,'2324 Jun 24 Enroll'!D$1,FALSE),'District Calculations'!$D$11)*S261,3)</f>
        <v>0</v>
      </c>
      <c r="U261">
        <f>ROUND(IF(VLOOKUP($A261,EnrollData2324,'2324 Jun 24 Enroll'!E$1,FALSE)='District Calculations'!$D$12,VLOOKUP($A261,EnrollData2324,'2324 Jun 24 Enroll'!E$1,FALSE),'District Calculations'!$D$12)*S261,3)</f>
        <v>15.148</v>
      </c>
      <c r="V261">
        <f>ROUND(IF(VLOOKUP($A261,EnrollData2324,'2324 Jun 24 Enroll'!F$1,FALSE)='District Calculations'!$D$13,VLOOKUP($A261,EnrollData2324,'2324 Jun 24 Enroll'!F$1,FALSE),'District Calculations'!$D$13)*Apport_224A2324s,3)</f>
        <v>3.7029999999999998</v>
      </c>
      <c r="W261">
        <f>ROUND(IF(VLOOKUP($A261,EnrollData2324,'2324 Jun 24 Enroll'!G$1,FALSE)='District Calculations'!$D$14,VLOOKUP($A261,EnrollData2324,'2324 Jun 24 Enroll'!G$1,FALSE),'District Calculations'!$D$14)*Apport_212A2324s,3)</f>
        <v>8.2089999999999996</v>
      </c>
      <c r="X261">
        <f>ROUND(IF(VLOOKUP($A261,EnrollData2324,'2324 Jun 24 Enroll'!H$1,FALSE)='District Calculations'!$D$14,VLOOKUP($A261,EnrollData2324,'2324 Jun 24 Enroll'!H$1,FALSE),'District Calculations'!$D$14)*Apport_215A2324s,3)</f>
        <v>8.0969999999999995</v>
      </c>
      <c r="Y261">
        <f>ROUND(IF(VLOOKUP($A261,EnrollData2324,'2324 Jun 24 Enroll'!I$1,FALSE)+VLOOKUP($A261,EnrollData2324,'2324 Jun 24 Enroll'!M$1,FALSE)-VLOOKUP($A261,EnrollData2324,'2324 Jun 24 Enroll'!J$1,FALSE)='District Calculations'!$D$16+'District Calculations'!$D$25-'District Calculations'!$D$17,VLOOKUP($A261,EnrollData2324,'2324 Jun 24 Enroll'!I$1,FALSE)+VLOOKUP($A261,EnrollData2324,'2324 Jun 24 Enroll'!M$1,FALSE)-VLOOKUP($A261,EnrollData2324,'2324 Jun 24 Enroll'!J$1,FALSE),'District Calculations'!$D$16+'District Calculations'!$D$25-'District Calculations'!$D$17)*Apport_218A2324s,3)</f>
        <v>20.224</v>
      </c>
      <c r="Z261">
        <f>ROUND(SUM(T261:Y261)/IF(VLOOKUP($A261,EnrollData2324,'2324 Jun 24 Enroll'!M$1,FALSE)+VLOOKUP($A261,EnrollData2324,'2324 Jun 24 Enroll'!D$1,FALSE)='District Calculations'!$D$25+'District Calculations'!$D$11,VLOOKUP($A261,EnrollData2324,'2324 Jun 24 Enroll'!M$1,FALSE)+VLOOKUP($A261,EnrollData2324,'2324 Jun 24 Enroll'!D$1,FALSE),'District Calculations'!$D$25+'District Calculations'!$D$11),5)</f>
        <v>1.7749999999999998E-2</v>
      </c>
      <c r="AA261" s="6" cm="1">
        <f t="array" ref="AA261">ROUND($J261*CIS_Base_Salary2324s*VLOOKUP($A261,EnrollData2324,'2324 Jun 24 Enroll'!S$1,FALSE),2)</f>
        <v>4038.59</v>
      </c>
      <c r="AB261" s="6" cm="1">
        <f t="array" ref="AB261">ROUND($J261*CIS_Inc_Salary2324s*(VLOOKUP($A261,EnrollData2324,'2324 Jun 24 Enroll'!T$1,FALSE)+VLOOKUP($A261,EnrollData2324,'2324 Jun 24 Enroll'!U$1,FALSE)),2)-AA261</f>
        <v>233.1899999999996</v>
      </c>
      <c r="AC261" s="6" cm="1">
        <f t="array" ref="AC261">ROUND($R261*CAS_Base_Salary2324s*VLOOKUP($A261,EnrollData2324,'2324 Jun 24 Enroll'!S$1,FALSE),2)</f>
        <v>443.7</v>
      </c>
      <c r="AD261" s="6" cm="1">
        <f t="array" ref="AD261">ROUND($R261*CAS_Inc_Salary2324s*VLOOKUP($A261,EnrollData2324,'2324 Jun 24 Enroll'!T$1,FALSE),2)-AC261</f>
        <v>16.410000000000025</v>
      </c>
      <c r="AE261" s="6" cm="1">
        <f t="array" ref="AE261">ROUND($Z261*CLS_Base_Salary2324s*VLOOKUP($A261,EnrollData2324,'2324 Jun 24 Enroll'!S$1,FALSE),2)</f>
        <v>926.07</v>
      </c>
      <c r="AF261" s="6" cm="1">
        <f t="array" ref="AF261">ROUND($Z261*CLS_Inc_Salary2324s*VLOOKUP($A261,EnrollData2324,'2324 Jun 24 Enroll'!T$1,FALSE),2)-AE261</f>
        <v>34.259999999999991</v>
      </c>
      <c r="AG261" cm="1">
        <f t="array" ref="AG261">ROUND(($J261+$R261)*Apport_124X2324s,2)</f>
        <v>734.29</v>
      </c>
      <c r="AH261" s="69">
        <f t="shared" si="24"/>
        <v>68.700000000000045</v>
      </c>
      <c r="AI261" cm="1">
        <f t="array" ref="AI261">ROUND($Z261*Apport_124X2324s,2)</f>
        <v>218.54</v>
      </c>
      <c r="AJ261" cm="1">
        <f t="array" ref="AJ261">ROUND($Z261*Apport_621X2324s*Apport_125X2324s,2)-AI261</f>
        <v>116.51000000000002</v>
      </c>
      <c r="AK261" cm="1">
        <f t="array" ref="AK261">ROUND((AA261+AC261)*Apport_126X2324s,2)</f>
        <v>805.47</v>
      </c>
      <c r="AL261" cm="1">
        <f t="array" ref="AL261">ROUND((AB261+AD261)*Apport_127X2324s,2)</f>
        <v>43.26</v>
      </c>
      <c r="AM261" cm="1">
        <f t="array" ref="AM261">ROUND(AE261*Apport_128X2324s,2)</f>
        <v>204.29</v>
      </c>
      <c r="AN261" cm="1">
        <f t="array" ref="AN261">ROUND(AF261*Apport_129X2324s,2)</f>
        <v>6.36</v>
      </c>
      <c r="AO261" cm="1">
        <f t="array" ref="AO261">ROUND(($J261*CIS_Inc_Salary2324s*(VLOOKUP($A261,EnrollData2324,'2324 Jun 24 Enroll'!T$1,FALSE)+VLOOKUP($A261,EnrollData2324,'2324 Jun 24 Enroll'!U$1,FALSE))/Apport_613Xpd)*Apport_614Xpd,2)</f>
        <v>71.2</v>
      </c>
      <c r="AP261" cm="1">
        <f t="array" ref="AP261">ROUND(AO261*Apport_127X2324s,2)</f>
        <v>12.34</v>
      </c>
      <c r="AQ261">
        <f t="shared" si="25"/>
        <v>30.93</v>
      </c>
      <c r="AR261" s="6" cm="1">
        <f t="array" ref="AR261">ROUND((VLOOKUP($A261,EnrollData2324,'2324 Jun 24 Enroll'!D$1,FALSE)*Apport_M802324s+VLOOKUP($A261,EnrollData2324,'2324 Jun 24 Enroll'!M$1,FALSE)*Apport_M802324s+(VLOOKUP($A261,EnrollData2324,'2324 Jun 24 Enroll'!P$1,FALSE)+VLOOKUP($A261,EnrollData2324,'2324 Jun 24 Enroll'!Q$1,FALSE)+VLOOKUP($A261,EnrollData2324,'2324 Jun 24 Enroll'!R$1,FALSE)+VLOOKUP($A261,EnrollData2324,'2324 Jun 24 Enroll'!I$1,FALSE)+VLOOKUP($A261,EnrollData2324,'2324 Jun 24 Enroll'!N$1,FALSE)+VLOOKUP($A261,EnrollData2324,'2324 Jun 24 Enroll'!O$1,FALSE)+VLOOKUP($A261,EnrollData2324,'2324 Jun 24 Enroll'!K$1,FALSE)+VLOOKUP($A261,EnrollData2324,'2324 Jun 24 Enroll'!L$1,FALSE))*Apport_M812324s)/(VLOOKUP($A261,EnrollData2324,'2324 Jun 24 Enroll'!M$1,FALSE)+VLOOKUP($A261,EnrollData2324,'2324 Jun 24 Enroll'!D$1,FALSE)),2)</f>
        <v>1504.44</v>
      </c>
      <c r="AS261" s="7">
        <f t="shared" si="26"/>
        <v>9508.5499999999993</v>
      </c>
    </row>
    <row r="262" spans="1:45">
      <c r="A262" s="40" t="s">
        <v>380</v>
      </c>
      <c r="B262" s="40" t="s">
        <v>381</v>
      </c>
      <c r="C262" s="11">
        <f>ROUND((IFERROR((1/IF(VLOOKUP($A262,EnrollData2324,28,FALSE)='District Calculations'!$D$10,VLOOKUP($A262,EnrollData2324,28,FALSE),'District Calculations'!$D$10))*(1+Apport_Z315),0))+Apport_201A2324s,6)</f>
        <v>7.3449E-2</v>
      </c>
      <c r="D262">
        <f>ROUND(IF(VLOOKUP($A262,EnrollData2324,'2324 Jun 24 Enroll'!D$1,FALSE)='District Calculations'!$D$11,VLOOKUP($A262,EnrollData2324,'2324 Jun 24 Enroll'!D$1,FALSE),'District Calculations'!$D$11)*C262,3)</f>
        <v>0</v>
      </c>
      <c r="E262">
        <f>ROUND(IF(VLOOKUP($A262,EnrollData2324,'2324 Jun 24 Enroll'!E$1,FALSE)='District Calculations'!$D$12,VLOOKUP($A262,EnrollData2324,'2324 Jun 24 Enroll'!E$1,FALSE),'District Calculations'!$D$12)*C262,3)</f>
        <v>59.53</v>
      </c>
      <c r="F262">
        <f>ROUND(IF(VLOOKUP($A262,EnrollData2324,'2324 Jun 24 Enroll'!F$1,FALSE)='District Calculations'!$D$13,VLOOKUP($A262,EnrollData2324,'2324 Jun 24 Enroll'!F$1,FALSE),'District Calculations'!$D$13)*Apport_222A2324s,3)</f>
        <v>10.101000000000001</v>
      </c>
      <c r="G262">
        <f>ROUND(IF(VLOOKUP($A262,EnrollData2324,'2324 Jun 24 Enroll'!G$1,FALSE)='District Calculations'!$D$14,VLOOKUP($A262,EnrollData2324,'2324 Jun 24 Enroll'!G$1,FALSE),'District Calculations'!$D$14)*Apport_210A2324s,3)</f>
        <v>22.395</v>
      </c>
      <c r="H262">
        <f>ROUND(IF(VLOOKUP($A262,EnrollData2324,'2324 Jun 24 Enroll'!H$1,FALSE)='District Calculations'!$D$15,VLOOKUP($A262,EnrollData2324,'2324 Jun 24 Enroll'!H$1,FALSE),'District Calculations'!$D$15)*Apport_213A2324s,3)</f>
        <v>23.091999999999999</v>
      </c>
      <c r="I262">
        <f>ROUND(IF(VLOOKUP($A262,EnrollData2324,'2324 Jun 24 Enroll'!I$1,FALSE)+VLOOKUP($A262,EnrollData2324,'2324 Jun 24 Enroll'!M$1,FALSE)-VLOOKUP($A262,EnrollData2324,'2324 Jun 24 Enroll'!J$1,FALSE)='District Calculations'!$D$16+'District Calculations'!$D$25-'District Calculations'!$D$17,VLOOKUP($A262,EnrollData2324,'2324 Jun 24 Enroll'!I$1,FALSE)+VLOOKUP($A262,EnrollData2324,'2324 Jun 24 Enroll'!M$1,FALSE)-VLOOKUP($A262,EnrollData2324,'2324 Jun 24 Enroll'!J$1,FALSE),'District Calculations'!$D$16+'District Calculations'!$D$25-'District Calculations'!$D$17)*Apport_216A2324s,3)</f>
        <v>58.183999999999997</v>
      </c>
      <c r="J262">
        <f>ROUND(SUM(D262:I262)/(IF(VLOOKUP($A262,EnrollData2324,'2324 Jun 24 Enroll'!M$1,FALSE)='District Calculations'!$D$25,VLOOKUP($A262,EnrollData2324,'2324 Jun 24 Enroll'!M$1,FALSE),'District Calculations'!$D$25)+IF(VLOOKUP($A262,EnrollData2324,'2324 Jun 24 Enroll'!D$1,FALSE)='District Calculations'!$D$11,VLOOKUP($A262,EnrollData2324,'2324 Jun 24 Enroll'!D$1,FALSE),'District Calculations'!$D$11)),5)</f>
        <v>5.5530000000000003E-2</v>
      </c>
      <c r="K262" s="11">
        <f t="shared" si="22"/>
        <v>4.3699999999999998E-3</v>
      </c>
      <c r="L262">
        <f>ROUND(IF(VLOOKUP($A262,EnrollData2324,'2324 Jun 24 Enroll'!D$1,FALSE)='District Calculations'!$D$11,VLOOKUP($A262,EnrollData2324,'2324 Jun 24 Enroll'!D$1,FALSE),'District Calculations'!$D$11)*K262,3)</f>
        <v>0</v>
      </c>
      <c r="M262">
        <f>ROUND(IF(VLOOKUP($A262,EnrollData2324,'2324 Jun 24 Enroll'!E$1,FALSE)='District Calculations'!$D$12,VLOOKUP($A262,EnrollData2324,'2324 Jun 24 Enroll'!E$1,FALSE),'District Calculations'!$D$12)*K262,3)</f>
        <v>3.5419999999999998</v>
      </c>
      <c r="N262">
        <f>ROUND(IF(VLOOKUP($A262,EnrollData2324,'2324 Jun 24 Enroll'!F$1,FALSE)='District Calculations'!$D$13,VLOOKUP($A262,EnrollData2324,'2324 Jun 24 Enroll'!F$1,FALSE),'District Calculations'!$D$13)*Apport_223A2324s,3)</f>
        <v>0.84299999999999997</v>
      </c>
      <c r="O262">
        <f>ROUND(IF(VLOOKUP($A262,EnrollData2324,'2324 Jun 24 Enroll'!G$1,FALSE)='District Calculations'!$D$14,VLOOKUP($A262,EnrollData2324,'2324 Jun 24 Enroll'!G$1,FALSE),'District Calculations'!$D$14)*Apport_211A2324s,3)</f>
        <v>1.87</v>
      </c>
      <c r="P262">
        <f>ROUND(IF(VLOOKUP($A262,EnrollData2324,'2324 Jun 24 Enroll'!H$1,FALSE)='District Calculations'!$D$14,VLOOKUP($A262,EnrollData2324,'2324 Jun 24 Enroll'!H$1,FALSE),'District Calculations'!$D$14)*Apport_214A2324s,3)</f>
        <v>1.8680000000000001</v>
      </c>
      <c r="Q262">
        <f>ROUND(IF(VLOOKUP($A262,EnrollData2324,'2324 Jun 24 Enroll'!I$1,FALSE)+VLOOKUP($A262,EnrollData2324,'2324 Jun 24 Enroll'!M$1,FALSE)-VLOOKUP($A262,EnrollData2324,'2324 Jun 24 Enroll'!J$1,FALSE)='District Calculations'!$D$16+'District Calculations'!$D$25-'District Calculations'!$D$17,VLOOKUP($A262,EnrollData2324,'2324 Jun 24 Enroll'!I$1,FALSE)+VLOOKUP($A262,EnrollData2324,'2324 Jun 24 Enroll'!M$1,FALSE)-VLOOKUP($A262,EnrollData2324,'2324 Jun 24 Enroll'!J$1,FALSE),'District Calculations'!$D$16+'District Calculations'!$D$25-'District Calculations'!$D$17)*Apport_217A2324s,3)</f>
        <v>4.702</v>
      </c>
      <c r="R262">
        <f>ROUND(SUM(L262:Q262)/IF(VLOOKUP($A262,EnrollData2324,'2324 Jun 24 Enroll'!M$1,FALSE)+VLOOKUP($A262,EnrollData2324,'2324 Jun 24 Enroll'!D$1,FALSE)='District Calculations'!$D$25+'District Calculations'!$D$11,VLOOKUP($A262,EnrollData2324,'2324 Jun 24 Enroll'!M$1,FALSE)+VLOOKUP($A262,EnrollData2324,'2324 Jun 24 Enroll'!D$1,FALSE),'District Calculations'!$D$25+'District Calculations'!$D$11),5)</f>
        <v>4.1099999999999999E-3</v>
      </c>
      <c r="S262" s="11">
        <f t="shared" si="23"/>
        <v>1.8689600000000001E-2</v>
      </c>
      <c r="T262">
        <f>ROUND(IF(VLOOKUP($A262,EnrollData2324,'2324 Jun 24 Enroll'!D$1,FALSE)='District Calculations'!$D$11,VLOOKUP($A262,EnrollData2324,'2324 Jun 24 Enroll'!D$1,FALSE),'District Calculations'!$D$11)*S262,3)</f>
        <v>0</v>
      </c>
      <c r="U262">
        <f>ROUND(IF(VLOOKUP($A262,EnrollData2324,'2324 Jun 24 Enroll'!E$1,FALSE)='District Calculations'!$D$12,VLOOKUP($A262,EnrollData2324,'2324 Jun 24 Enroll'!E$1,FALSE),'District Calculations'!$D$12)*S262,3)</f>
        <v>15.148</v>
      </c>
      <c r="V262">
        <f>ROUND(IF(VLOOKUP($A262,EnrollData2324,'2324 Jun 24 Enroll'!F$1,FALSE)='District Calculations'!$D$13,VLOOKUP($A262,EnrollData2324,'2324 Jun 24 Enroll'!F$1,FALSE),'District Calculations'!$D$13)*Apport_224A2324s,3)</f>
        <v>3.7029999999999998</v>
      </c>
      <c r="W262">
        <f>ROUND(IF(VLOOKUP($A262,EnrollData2324,'2324 Jun 24 Enroll'!G$1,FALSE)='District Calculations'!$D$14,VLOOKUP($A262,EnrollData2324,'2324 Jun 24 Enroll'!G$1,FALSE),'District Calculations'!$D$14)*Apport_212A2324s,3)</f>
        <v>8.2089999999999996</v>
      </c>
      <c r="X262">
        <f>ROUND(IF(VLOOKUP($A262,EnrollData2324,'2324 Jun 24 Enroll'!H$1,FALSE)='District Calculations'!$D$14,VLOOKUP($A262,EnrollData2324,'2324 Jun 24 Enroll'!H$1,FALSE),'District Calculations'!$D$14)*Apport_215A2324s,3)</f>
        <v>8.0969999999999995</v>
      </c>
      <c r="Y262">
        <f>ROUND(IF(VLOOKUP($A262,EnrollData2324,'2324 Jun 24 Enroll'!I$1,FALSE)+VLOOKUP($A262,EnrollData2324,'2324 Jun 24 Enroll'!M$1,FALSE)-VLOOKUP($A262,EnrollData2324,'2324 Jun 24 Enroll'!J$1,FALSE)='District Calculations'!$D$16+'District Calculations'!$D$25-'District Calculations'!$D$17,VLOOKUP($A262,EnrollData2324,'2324 Jun 24 Enroll'!I$1,FALSE)+VLOOKUP($A262,EnrollData2324,'2324 Jun 24 Enroll'!M$1,FALSE)-VLOOKUP($A262,EnrollData2324,'2324 Jun 24 Enroll'!J$1,FALSE),'District Calculations'!$D$16+'District Calculations'!$D$25-'District Calculations'!$D$17)*Apport_218A2324s,3)</f>
        <v>20.224</v>
      </c>
      <c r="Z262">
        <f>ROUND(SUM(T262:Y262)/IF(VLOOKUP($A262,EnrollData2324,'2324 Jun 24 Enroll'!M$1,FALSE)+VLOOKUP($A262,EnrollData2324,'2324 Jun 24 Enroll'!D$1,FALSE)='District Calculations'!$D$25+'District Calculations'!$D$11,VLOOKUP($A262,EnrollData2324,'2324 Jun 24 Enroll'!M$1,FALSE)+VLOOKUP($A262,EnrollData2324,'2324 Jun 24 Enroll'!D$1,FALSE),'District Calculations'!$D$25+'District Calculations'!$D$11),5)</f>
        <v>1.7749999999999998E-2</v>
      </c>
      <c r="AA262" s="6" cm="1">
        <f t="array" ref="AA262">ROUND($J262*CIS_Base_Salary2324s*VLOOKUP($A262,EnrollData2324,'2324 Jun 24 Enroll'!S$1,FALSE),2)</f>
        <v>4038.59</v>
      </c>
      <c r="AB262" s="6" cm="1">
        <f t="array" ref="AB262">ROUND($J262*CIS_Inc_Salary2324s*(VLOOKUP($A262,EnrollData2324,'2324 Jun 24 Enroll'!T$1,FALSE)+VLOOKUP($A262,EnrollData2324,'2324 Jun 24 Enroll'!U$1,FALSE)),2)-AA262</f>
        <v>149.43000000000029</v>
      </c>
      <c r="AC262" s="6" cm="1">
        <f t="array" ref="AC262">ROUND($R262*CAS_Base_Salary2324s*VLOOKUP($A262,EnrollData2324,'2324 Jun 24 Enroll'!S$1,FALSE),2)</f>
        <v>443.7</v>
      </c>
      <c r="AD262" s="6" cm="1">
        <f t="array" ref="AD262">ROUND($R262*CAS_Inc_Salary2324s*VLOOKUP($A262,EnrollData2324,'2324 Jun 24 Enroll'!T$1,FALSE),2)-AC262</f>
        <v>16.410000000000025</v>
      </c>
      <c r="AE262" s="6" cm="1">
        <f t="array" ref="AE262">ROUND($Z262*CLS_Base_Salary2324s*VLOOKUP($A262,EnrollData2324,'2324 Jun 24 Enroll'!S$1,FALSE),2)</f>
        <v>926.07</v>
      </c>
      <c r="AF262" s="6" cm="1">
        <f t="array" ref="AF262">ROUND($Z262*CLS_Inc_Salary2324s*VLOOKUP($A262,EnrollData2324,'2324 Jun 24 Enroll'!T$1,FALSE),2)-AE262</f>
        <v>34.259999999999991</v>
      </c>
      <c r="AG262" cm="1">
        <f t="array" ref="AG262">ROUND(($J262+$R262)*Apport_124X2324s,2)</f>
        <v>734.29</v>
      </c>
      <c r="AH262" s="69">
        <f t="shared" si="24"/>
        <v>68.700000000000045</v>
      </c>
      <c r="AI262" cm="1">
        <f t="array" ref="AI262">ROUND($Z262*Apport_124X2324s,2)</f>
        <v>218.54</v>
      </c>
      <c r="AJ262" cm="1">
        <f t="array" ref="AJ262">ROUND($Z262*Apport_621X2324s*Apport_125X2324s,2)-AI262</f>
        <v>116.51000000000002</v>
      </c>
      <c r="AK262" cm="1">
        <f t="array" ref="AK262">ROUND((AA262+AC262)*Apport_126X2324s,2)</f>
        <v>805.47</v>
      </c>
      <c r="AL262" cm="1">
        <f t="array" ref="AL262">ROUND((AB262+AD262)*Apport_127X2324s,2)</f>
        <v>28.74</v>
      </c>
      <c r="AM262" cm="1">
        <f t="array" ref="AM262">ROUND(AE262*Apport_128X2324s,2)</f>
        <v>204.29</v>
      </c>
      <c r="AN262" cm="1">
        <f t="array" ref="AN262">ROUND(AF262*Apport_129X2324s,2)</f>
        <v>6.36</v>
      </c>
      <c r="AO262" cm="1">
        <f t="array" ref="AO262">ROUND(($J262*CIS_Inc_Salary2324s*(VLOOKUP($A262,EnrollData2324,'2324 Jun 24 Enroll'!T$1,FALSE)+VLOOKUP($A262,EnrollData2324,'2324 Jun 24 Enroll'!U$1,FALSE))/Apport_613Xpd)*Apport_614Xpd,2)</f>
        <v>69.8</v>
      </c>
      <c r="AP262" cm="1">
        <f t="array" ref="AP262">ROUND(AO262*Apport_127X2324s,2)</f>
        <v>12.1</v>
      </c>
      <c r="AQ262">
        <f t="shared" si="25"/>
        <v>30.93</v>
      </c>
      <c r="AR262" s="6" cm="1">
        <f t="array" ref="AR262">ROUND((VLOOKUP($A262,EnrollData2324,'2324 Jun 24 Enroll'!D$1,FALSE)*Apport_M802324s+VLOOKUP($A262,EnrollData2324,'2324 Jun 24 Enroll'!M$1,FALSE)*Apport_M802324s+(VLOOKUP($A262,EnrollData2324,'2324 Jun 24 Enroll'!P$1,FALSE)+VLOOKUP($A262,EnrollData2324,'2324 Jun 24 Enroll'!Q$1,FALSE)+VLOOKUP($A262,EnrollData2324,'2324 Jun 24 Enroll'!R$1,FALSE)+VLOOKUP($A262,EnrollData2324,'2324 Jun 24 Enroll'!I$1,FALSE)+VLOOKUP($A262,EnrollData2324,'2324 Jun 24 Enroll'!N$1,FALSE)+VLOOKUP($A262,EnrollData2324,'2324 Jun 24 Enroll'!O$1,FALSE)+VLOOKUP($A262,EnrollData2324,'2324 Jun 24 Enroll'!K$1,FALSE)+VLOOKUP($A262,EnrollData2324,'2324 Jun 24 Enroll'!L$1,FALSE))*Apport_M812324s)/(VLOOKUP($A262,EnrollData2324,'2324 Jun 24 Enroll'!M$1,FALSE)+VLOOKUP($A262,EnrollData2324,'2324 Jun 24 Enroll'!D$1,FALSE)),2)</f>
        <v>1593.93</v>
      </c>
      <c r="AS262" s="7">
        <f t="shared" si="26"/>
        <v>9498.1200000000008</v>
      </c>
    </row>
    <row r="263" spans="1:45">
      <c r="A263" s="40" t="s">
        <v>863</v>
      </c>
      <c r="B263" s="40" t="s">
        <v>864</v>
      </c>
      <c r="C263" s="11">
        <f>ROUND((IFERROR((1/IF(VLOOKUP($A263,EnrollData2324,28,FALSE)='District Calculations'!$D$10,VLOOKUP($A263,EnrollData2324,28,FALSE),'District Calculations'!$D$10))*(1+Apport_Z315),0))+Apport_201A2324s,6)</f>
        <v>7.3449E-2</v>
      </c>
      <c r="D263">
        <f>ROUND(IF(VLOOKUP($A263,EnrollData2324,'2324 Jun 24 Enroll'!D$1,FALSE)='District Calculations'!$D$11,VLOOKUP($A263,EnrollData2324,'2324 Jun 24 Enroll'!D$1,FALSE),'District Calculations'!$D$11)*C263,3)</f>
        <v>0</v>
      </c>
      <c r="E263">
        <f>ROUND(IF(VLOOKUP($A263,EnrollData2324,'2324 Jun 24 Enroll'!E$1,FALSE)='District Calculations'!$D$12,VLOOKUP($A263,EnrollData2324,'2324 Jun 24 Enroll'!E$1,FALSE),'District Calculations'!$D$12)*C263,3)</f>
        <v>59.53</v>
      </c>
      <c r="F263">
        <f>ROUND(IF(VLOOKUP($A263,EnrollData2324,'2324 Jun 24 Enroll'!F$1,FALSE)='District Calculations'!$D$13,VLOOKUP($A263,EnrollData2324,'2324 Jun 24 Enroll'!F$1,FALSE),'District Calculations'!$D$13)*Apport_222A2324s,3)</f>
        <v>10.101000000000001</v>
      </c>
      <c r="G263">
        <f>ROUND(IF(VLOOKUP($A263,EnrollData2324,'2324 Jun 24 Enroll'!G$1,FALSE)='District Calculations'!$D$14,VLOOKUP($A263,EnrollData2324,'2324 Jun 24 Enroll'!G$1,FALSE),'District Calculations'!$D$14)*Apport_210A2324s,3)</f>
        <v>22.395</v>
      </c>
      <c r="H263">
        <f>ROUND(IF(VLOOKUP($A263,EnrollData2324,'2324 Jun 24 Enroll'!H$1,FALSE)='District Calculations'!$D$15,VLOOKUP($A263,EnrollData2324,'2324 Jun 24 Enroll'!H$1,FALSE),'District Calculations'!$D$15)*Apport_213A2324s,3)</f>
        <v>23.091999999999999</v>
      </c>
      <c r="I263">
        <f>ROUND(IF(VLOOKUP($A263,EnrollData2324,'2324 Jun 24 Enroll'!I$1,FALSE)+VLOOKUP($A263,EnrollData2324,'2324 Jun 24 Enroll'!M$1,FALSE)-VLOOKUP($A263,EnrollData2324,'2324 Jun 24 Enroll'!J$1,FALSE)='District Calculations'!$D$16+'District Calculations'!$D$25-'District Calculations'!$D$17,VLOOKUP($A263,EnrollData2324,'2324 Jun 24 Enroll'!I$1,FALSE)+VLOOKUP($A263,EnrollData2324,'2324 Jun 24 Enroll'!M$1,FALSE)-VLOOKUP($A263,EnrollData2324,'2324 Jun 24 Enroll'!J$1,FALSE),'District Calculations'!$D$16+'District Calculations'!$D$25-'District Calculations'!$D$17)*Apport_216A2324s,3)</f>
        <v>58.183999999999997</v>
      </c>
      <c r="J263">
        <f>ROUND(SUM(D263:I263)/(IF(VLOOKUP($A263,EnrollData2324,'2324 Jun 24 Enroll'!M$1,FALSE)='District Calculations'!$D$25,VLOOKUP($A263,EnrollData2324,'2324 Jun 24 Enroll'!M$1,FALSE),'District Calculations'!$D$25)+IF(VLOOKUP($A263,EnrollData2324,'2324 Jun 24 Enroll'!D$1,FALSE)='District Calculations'!$D$11,VLOOKUP($A263,EnrollData2324,'2324 Jun 24 Enroll'!D$1,FALSE),'District Calculations'!$D$11)),5)</f>
        <v>5.5530000000000003E-2</v>
      </c>
      <c r="K263" s="11">
        <f t="shared" si="22"/>
        <v>4.3699999999999998E-3</v>
      </c>
      <c r="L263">
        <f>ROUND(IF(VLOOKUP($A263,EnrollData2324,'2324 Jun 24 Enroll'!D$1,FALSE)='District Calculations'!$D$11,VLOOKUP($A263,EnrollData2324,'2324 Jun 24 Enroll'!D$1,FALSE),'District Calculations'!$D$11)*K263,3)</f>
        <v>0</v>
      </c>
      <c r="M263">
        <f>ROUND(IF(VLOOKUP($A263,EnrollData2324,'2324 Jun 24 Enroll'!E$1,FALSE)='District Calculations'!$D$12,VLOOKUP($A263,EnrollData2324,'2324 Jun 24 Enroll'!E$1,FALSE),'District Calculations'!$D$12)*K263,3)</f>
        <v>3.5419999999999998</v>
      </c>
      <c r="N263">
        <f>ROUND(IF(VLOOKUP($A263,EnrollData2324,'2324 Jun 24 Enroll'!F$1,FALSE)='District Calculations'!$D$13,VLOOKUP($A263,EnrollData2324,'2324 Jun 24 Enroll'!F$1,FALSE),'District Calculations'!$D$13)*Apport_223A2324s,3)</f>
        <v>0.84299999999999997</v>
      </c>
      <c r="O263">
        <f>ROUND(IF(VLOOKUP($A263,EnrollData2324,'2324 Jun 24 Enroll'!G$1,FALSE)='District Calculations'!$D$14,VLOOKUP($A263,EnrollData2324,'2324 Jun 24 Enroll'!G$1,FALSE),'District Calculations'!$D$14)*Apport_211A2324s,3)</f>
        <v>1.87</v>
      </c>
      <c r="P263">
        <f>ROUND(IF(VLOOKUP($A263,EnrollData2324,'2324 Jun 24 Enroll'!H$1,FALSE)='District Calculations'!$D$14,VLOOKUP($A263,EnrollData2324,'2324 Jun 24 Enroll'!H$1,FALSE),'District Calculations'!$D$14)*Apport_214A2324s,3)</f>
        <v>1.8680000000000001</v>
      </c>
      <c r="Q263">
        <f>ROUND(IF(VLOOKUP($A263,EnrollData2324,'2324 Jun 24 Enroll'!I$1,FALSE)+VLOOKUP($A263,EnrollData2324,'2324 Jun 24 Enroll'!M$1,FALSE)-VLOOKUP($A263,EnrollData2324,'2324 Jun 24 Enroll'!J$1,FALSE)='District Calculations'!$D$16+'District Calculations'!$D$25-'District Calculations'!$D$17,VLOOKUP($A263,EnrollData2324,'2324 Jun 24 Enroll'!I$1,FALSE)+VLOOKUP($A263,EnrollData2324,'2324 Jun 24 Enroll'!M$1,FALSE)-VLOOKUP($A263,EnrollData2324,'2324 Jun 24 Enroll'!J$1,FALSE),'District Calculations'!$D$16+'District Calculations'!$D$25-'District Calculations'!$D$17)*Apport_217A2324s,3)</f>
        <v>4.702</v>
      </c>
      <c r="R263">
        <f>ROUND(SUM(L263:Q263)/IF(VLOOKUP($A263,EnrollData2324,'2324 Jun 24 Enroll'!M$1,FALSE)+VLOOKUP($A263,EnrollData2324,'2324 Jun 24 Enroll'!D$1,FALSE)='District Calculations'!$D$25+'District Calculations'!$D$11,VLOOKUP($A263,EnrollData2324,'2324 Jun 24 Enroll'!M$1,FALSE)+VLOOKUP($A263,EnrollData2324,'2324 Jun 24 Enroll'!D$1,FALSE),'District Calculations'!$D$25+'District Calculations'!$D$11),5)</f>
        <v>4.1099999999999999E-3</v>
      </c>
      <c r="S263" s="11">
        <f t="shared" si="23"/>
        <v>1.8689600000000001E-2</v>
      </c>
      <c r="T263">
        <f>ROUND(IF(VLOOKUP($A263,EnrollData2324,'2324 Jun 24 Enroll'!D$1,FALSE)='District Calculations'!$D$11,VLOOKUP($A263,EnrollData2324,'2324 Jun 24 Enroll'!D$1,FALSE),'District Calculations'!$D$11)*S263,3)</f>
        <v>0</v>
      </c>
      <c r="U263">
        <f>ROUND(IF(VLOOKUP($A263,EnrollData2324,'2324 Jun 24 Enroll'!E$1,FALSE)='District Calculations'!$D$12,VLOOKUP($A263,EnrollData2324,'2324 Jun 24 Enroll'!E$1,FALSE),'District Calculations'!$D$12)*S263,3)</f>
        <v>15.148</v>
      </c>
      <c r="V263">
        <f>ROUND(IF(VLOOKUP($A263,EnrollData2324,'2324 Jun 24 Enroll'!F$1,FALSE)='District Calculations'!$D$13,VLOOKUP($A263,EnrollData2324,'2324 Jun 24 Enroll'!F$1,FALSE),'District Calculations'!$D$13)*Apport_224A2324s,3)</f>
        <v>3.7029999999999998</v>
      </c>
      <c r="W263">
        <f>ROUND(IF(VLOOKUP($A263,EnrollData2324,'2324 Jun 24 Enroll'!G$1,FALSE)='District Calculations'!$D$14,VLOOKUP($A263,EnrollData2324,'2324 Jun 24 Enroll'!G$1,FALSE),'District Calculations'!$D$14)*Apport_212A2324s,3)</f>
        <v>8.2089999999999996</v>
      </c>
      <c r="X263">
        <f>ROUND(IF(VLOOKUP($A263,EnrollData2324,'2324 Jun 24 Enroll'!H$1,FALSE)='District Calculations'!$D$14,VLOOKUP($A263,EnrollData2324,'2324 Jun 24 Enroll'!H$1,FALSE),'District Calculations'!$D$14)*Apport_215A2324s,3)</f>
        <v>8.0969999999999995</v>
      </c>
      <c r="Y263">
        <f>ROUND(IF(VLOOKUP($A263,EnrollData2324,'2324 Jun 24 Enroll'!I$1,FALSE)+VLOOKUP($A263,EnrollData2324,'2324 Jun 24 Enroll'!M$1,FALSE)-VLOOKUP($A263,EnrollData2324,'2324 Jun 24 Enroll'!J$1,FALSE)='District Calculations'!$D$16+'District Calculations'!$D$25-'District Calculations'!$D$17,VLOOKUP($A263,EnrollData2324,'2324 Jun 24 Enroll'!I$1,FALSE)+VLOOKUP($A263,EnrollData2324,'2324 Jun 24 Enroll'!M$1,FALSE)-VLOOKUP($A263,EnrollData2324,'2324 Jun 24 Enroll'!J$1,FALSE),'District Calculations'!$D$16+'District Calculations'!$D$25-'District Calculations'!$D$17)*Apport_218A2324s,3)</f>
        <v>20.224</v>
      </c>
      <c r="Z263">
        <f>ROUND(SUM(T263:Y263)/IF(VLOOKUP($A263,EnrollData2324,'2324 Jun 24 Enroll'!M$1,FALSE)+VLOOKUP($A263,EnrollData2324,'2324 Jun 24 Enroll'!D$1,FALSE)='District Calculations'!$D$25+'District Calculations'!$D$11,VLOOKUP($A263,EnrollData2324,'2324 Jun 24 Enroll'!M$1,FALSE)+VLOOKUP($A263,EnrollData2324,'2324 Jun 24 Enroll'!D$1,FALSE),'District Calculations'!$D$25+'District Calculations'!$D$11),5)</f>
        <v>1.7749999999999998E-2</v>
      </c>
      <c r="AA263" s="6" cm="1">
        <f t="array" ref="AA263">ROUND($J263*CIS_Base_Salary2324s*VLOOKUP($A263,EnrollData2324,'2324 Jun 24 Enroll'!S$1,FALSE),2)</f>
        <v>4038.59</v>
      </c>
      <c r="AB263" s="6" cm="1">
        <f t="array" ref="AB263">ROUND($J263*CIS_Inc_Salary2324s*(VLOOKUP($A263,EnrollData2324,'2324 Jun 24 Enroll'!T$1,FALSE)+VLOOKUP($A263,EnrollData2324,'2324 Jun 24 Enroll'!U$1,FALSE)),2)-AA263</f>
        <v>149.43000000000029</v>
      </c>
      <c r="AC263" s="6" cm="1">
        <f t="array" ref="AC263">ROUND($R263*CAS_Base_Salary2324s*VLOOKUP($A263,EnrollData2324,'2324 Jun 24 Enroll'!S$1,FALSE),2)</f>
        <v>443.7</v>
      </c>
      <c r="AD263" s="6" cm="1">
        <f t="array" ref="AD263">ROUND($R263*CAS_Inc_Salary2324s*VLOOKUP($A263,EnrollData2324,'2324 Jun 24 Enroll'!T$1,FALSE),2)-AC263</f>
        <v>16.410000000000025</v>
      </c>
      <c r="AE263" s="6" cm="1">
        <f t="array" ref="AE263">ROUND($Z263*CLS_Base_Salary2324s*VLOOKUP($A263,EnrollData2324,'2324 Jun 24 Enroll'!S$1,FALSE),2)</f>
        <v>926.07</v>
      </c>
      <c r="AF263" s="6" cm="1">
        <f t="array" ref="AF263">ROUND($Z263*CLS_Inc_Salary2324s*VLOOKUP($A263,EnrollData2324,'2324 Jun 24 Enroll'!T$1,FALSE),2)-AE263</f>
        <v>34.259999999999991</v>
      </c>
      <c r="AG263" cm="1">
        <f t="array" ref="AG263">ROUND(($J263+$R263)*Apport_124X2324s,2)</f>
        <v>734.29</v>
      </c>
      <c r="AH263" s="69">
        <f t="shared" si="24"/>
        <v>68.700000000000045</v>
      </c>
      <c r="AI263" cm="1">
        <f t="array" ref="AI263">ROUND($Z263*Apport_124X2324s,2)</f>
        <v>218.54</v>
      </c>
      <c r="AJ263" cm="1">
        <f t="array" ref="AJ263">ROUND($Z263*Apport_621X2324s*Apport_125X2324s,2)-AI263</f>
        <v>116.51000000000002</v>
      </c>
      <c r="AK263" cm="1">
        <f t="array" ref="AK263">ROUND((AA263+AC263)*Apport_126X2324s,2)</f>
        <v>805.47</v>
      </c>
      <c r="AL263" cm="1">
        <f t="array" ref="AL263">ROUND((AB263+AD263)*Apport_127X2324s,2)</f>
        <v>28.74</v>
      </c>
      <c r="AM263" cm="1">
        <f t="array" ref="AM263">ROUND(AE263*Apport_128X2324s,2)</f>
        <v>204.29</v>
      </c>
      <c r="AN263" cm="1">
        <f t="array" ref="AN263">ROUND(AF263*Apport_129X2324s,2)</f>
        <v>6.36</v>
      </c>
      <c r="AO263" cm="1">
        <f t="array" ref="AO263">ROUND(($J263*CIS_Inc_Salary2324s*(VLOOKUP($A263,EnrollData2324,'2324 Jun 24 Enroll'!T$1,FALSE)+VLOOKUP($A263,EnrollData2324,'2324 Jun 24 Enroll'!U$1,FALSE))/Apport_613Xpd)*Apport_614Xpd,2)</f>
        <v>69.8</v>
      </c>
      <c r="AP263" cm="1">
        <f t="array" ref="AP263">ROUND(AO263*Apport_127X2324s,2)</f>
        <v>12.1</v>
      </c>
      <c r="AQ263">
        <f t="shared" si="25"/>
        <v>30.93</v>
      </c>
      <c r="AR263" s="6" cm="1">
        <f t="array" ref="AR263">ROUND((VLOOKUP($A263,EnrollData2324,'2324 Jun 24 Enroll'!D$1,FALSE)*Apport_M802324s+VLOOKUP($A263,EnrollData2324,'2324 Jun 24 Enroll'!M$1,FALSE)*Apport_M802324s+(VLOOKUP($A263,EnrollData2324,'2324 Jun 24 Enroll'!P$1,FALSE)+VLOOKUP($A263,EnrollData2324,'2324 Jun 24 Enroll'!Q$1,FALSE)+VLOOKUP($A263,EnrollData2324,'2324 Jun 24 Enroll'!R$1,FALSE)+VLOOKUP($A263,EnrollData2324,'2324 Jun 24 Enroll'!I$1,FALSE)+VLOOKUP($A263,EnrollData2324,'2324 Jun 24 Enroll'!N$1,FALSE)+VLOOKUP($A263,EnrollData2324,'2324 Jun 24 Enroll'!O$1,FALSE)+VLOOKUP($A263,EnrollData2324,'2324 Jun 24 Enroll'!K$1,FALSE)+VLOOKUP($A263,EnrollData2324,'2324 Jun 24 Enroll'!L$1,FALSE))*Apport_M812324s)/(VLOOKUP($A263,EnrollData2324,'2324 Jun 24 Enroll'!M$1,FALSE)+VLOOKUP($A263,EnrollData2324,'2324 Jun 24 Enroll'!D$1,FALSE)),2)</f>
        <v>1589.22</v>
      </c>
      <c r="AS263" s="7">
        <f t="shared" si="26"/>
        <v>9493.41</v>
      </c>
    </row>
    <row r="264" spans="1:45">
      <c r="A264" s="40" t="s">
        <v>839</v>
      </c>
      <c r="B264" s="40" t="s">
        <v>840</v>
      </c>
      <c r="C264" s="11">
        <f>ROUND((IFERROR((1/IF(VLOOKUP($A264,EnrollData2324,28,FALSE)='District Calculations'!$D$10,VLOOKUP($A264,EnrollData2324,28,FALSE),'District Calculations'!$D$10))*(1+Apport_Z315),0))+Apport_201A2324s,6)</f>
        <v>7.3449E-2</v>
      </c>
      <c r="D264">
        <f>ROUND(IF(VLOOKUP($A264,EnrollData2324,'2324 Jun 24 Enroll'!D$1,FALSE)='District Calculations'!$D$11,VLOOKUP($A264,EnrollData2324,'2324 Jun 24 Enroll'!D$1,FALSE),'District Calculations'!$D$11)*C264,3)</f>
        <v>0</v>
      </c>
      <c r="E264">
        <f>ROUND(IF(VLOOKUP($A264,EnrollData2324,'2324 Jun 24 Enroll'!E$1,FALSE)='District Calculations'!$D$12,VLOOKUP($A264,EnrollData2324,'2324 Jun 24 Enroll'!E$1,FALSE),'District Calculations'!$D$12)*C264,3)</f>
        <v>59.53</v>
      </c>
      <c r="F264">
        <f>ROUND(IF(VLOOKUP($A264,EnrollData2324,'2324 Jun 24 Enroll'!F$1,FALSE)='District Calculations'!$D$13,VLOOKUP($A264,EnrollData2324,'2324 Jun 24 Enroll'!F$1,FALSE),'District Calculations'!$D$13)*Apport_222A2324s,3)</f>
        <v>10.101000000000001</v>
      </c>
      <c r="G264">
        <f>ROUND(IF(VLOOKUP($A264,EnrollData2324,'2324 Jun 24 Enroll'!G$1,FALSE)='District Calculations'!$D$14,VLOOKUP($A264,EnrollData2324,'2324 Jun 24 Enroll'!G$1,FALSE),'District Calculations'!$D$14)*Apport_210A2324s,3)</f>
        <v>22.395</v>
      </c>
      <c r="H264">
        <f>ROUND(IF(VLOOKUP($A264,EnrollData2324,'2324 Jun 24 Enroll'!H$1,FALSE)='District Calculations'!$D$15,VLOOKUP($A264,EnrollData2324,'2324 Jun 24 Enroll'!H$1,FALSE),'District Calculations'!$D$15)*Apport_213A2324s,3)</f>
        <v>23.091999999999999</v>
      </c>
      <c r="I264">
        <f>ROUND(IF(VLOOKUP($A264,EnrollData2324,'2324 Jun 24 Enroll'!I$1,FALSE)+VLOOKUP($A264,EnrollData2324,'2324 Jun 24 Enroll'!M$1,FALSE)-VLOOKUP($A264,EnrollData2324,'2324 Jun 24 Enroll'!J$1,FALSE)='District Calculations'!$D$16+'District Calculations'!$D$25-'District Calculations'!$D$17,VLOOKUP($A264,EnrollData2324,'2324 Jun 24 Enroll'!I$1,FALSE)+VLOOKUP($A264,EnrollData2324,'2324 Jun 24 Enroll'!M$1,FALSE)-VLOOKUP($A264,EnrollData2324,'2324 Jun 24 Enroll'!J$1,FALSE),'District Calculations'!$D$16+'District Calculations'!$D$25-'District Calculations'!$D$17)*Apport_216A2324s,3)</f>
        <v>58.183999999999997</v>
      </c>
      <c r="J264">
        <f>ROUND(SUM(D264:I264)/(IF(VLOOKUP($A264,EnrollData2324,'2324 Jun 24 Enroll'!M$1,FALSE)='District Calculations'!$D$25,VLOOKUP($A264,EnrollData2324,'2324 Jun 24 Enroll'!M$1,FALSE),'District Calculations'!$D$25)+IF(VLOOKUP($A264,EnrollData2324,'2324 Jun 24 Enroll'!D$1,FALSE)='District Calculations'!$D$11,VLOOKUP($A264,EnrollData2324,'2324 Jun 24 Enroll'!D$1,FALSE),'District Calculations'!$D$11)),5)</f>
        <v>5.5530000000000003E-2</v>
      </c>
      <c r="K264" s="11">
        <f t="shared" si="22"/>
        <v>4.3699999999999998E-3</v>
      </c>
      <c r="L264">
        <f>ROUND(IF(VLOOKUP($A264,EnrollData2324,'2324 Jun 24 Enroll'!D$1,FALSE)='District Calculations'!$D$11,VLOOKUP($A264,EnrollData2324,'2324 Jun 24 Enroll'!D$1,FALSE),'District Calculations'!$D$11)*K264,3)</f>
        <v>0</v>
      </c>
      <c r="M264">
        <f>ROUND(IF(VLOOKUP($A264,EnrollData2324,'2324 Jun 24 Enroll'!E$1,FALSE)='District Calculations'!$D$12,VLOOKUP($A264,EnrollData2324,'2324 Jun 24 Enroll'!E$1,FALSE),'District Calculations'!$D$12)*K264,3)</f>
        <v>3.5419999999999998</v>
      </c>
      <c r="N264">
        <f>ROUND(IF(VLOOKUP($A264,EnrollData2324,'2324 Jun 24 Enroll'!F$1,FALSE)='District Calculations'!$D$13,VLOOKUP($A264,EnrollData2324,'2324 Jun 24 Enroll'!F$1,FALSE),'District Calculations'!$D$13)*Apport_223A2324s,3)</f>
        <v>0.84299999999999997</v>
      </c>
      <c r="O264">
        <f>ROUND(IF(VLOOKUP($A264,EnrollData2324,'2324 Jun 24 Enroll'!G$1,FALSE)='District Calculations'!$D$14,VLOOKUP($A264,EnrollData2324,'2324 Jun 24 Enroll'!G$1,FALSE),'District Calculations'!$D$14)*Apport_211A2324s,3)</f>
        <v>1.87</v>
      </c>
      <c r="P264">
        <f>ROUND(IF(VLOOKUP($A264,EnrollData2324,'2324 Jun 24 Enroll'!H$1,FALSE)='District Calculations'!$D$14,VLOOKUP($A264,EnrollData2324,'2324 Jun 24 Enroll'!H$1,FALSE),'District Calculations'!$D$14)*Apport_214A2324s,3)</f>
        <v>1.8680000000000001</v>
      </c>
      <c r="Q264">
        <f>ROUND(IF(VLOOKUP($A264,EnrollData2324,'2324 Jun 24 Enroll'!I$1,FALSE)+VLOOKUP($A264,EnrollData2324,'2324 Jun 24 Enroll'!M$1,FALSE)-VLOOKUP($A264,EnrollData2324,'2324 Jun 24 Enroll'!J$1,FALSE)='District Calculations'!$D$16+'District Calculations'!$D$25-'District Calculations'!$D$17,VLOOKUP($A264,EnrollData2324,'2324 Jun 24 Enroll'!I$1,FALSE)+VLOOKUP($A264,EnrollData2324,'2324 Jun 24 Enroll'!M$1,FALSE)-VLOOKUP($A264,EnrollData2324,'2324 Jun 24 Enroll'!J$1,FALSE),'District Calculations'!$D$16+'District Calculations'!$D$25-'District Calculations'!$D$17)*Apport_217A2324s,3)</f>
        <v>4.702</v>
      </c>
      <c r="R264">
        <f>ROUND(SUM(L264:Q264)/IF(VLOOKUP($A264,EnrollData2324,'2324 Jun 24 Enroll'!M$1,FALSE)+VLOOKUP($A264,EnrollData2324,'2324 Jun 24 Enroll'!D$1,FALSE)='District Calculations'!$D$25+'District Calculations'!$D$11,VLOOKUP($A264,EnrollData2324,'2324 Jun 24 Enroll'!M$1,FALSE)+VLOOKUP($A264,EnrollData2324,'2324 Jun 24 Enroll'!D$1,FALSE),'District Calculations'!$D$25+'District Calculations'!$D$11),5)</f>
        <v>4.1099999999999999E-3</v>
      </c>
      <c r="S264" s="11">
        <f t="shared" si="23"/>
        <v>1.8689600000000001E-2</v>
      </c>
      <c r="T264">
        <f>ROUND(IF(VLOOKUP($A264,EnrollData2324,'2324 Jun 24 Enroll'!D$1,FALSE)='District Calculations'!$D$11,VLOOKUP($A264,EnrollData2324,'2324 Jun 24 Enroll'!D$1,FALSE),'District Calculations'!$D$11)*S264,3)</f>
        <v>0</v>
      </c>
      <c r="U264">
        <f>ROUND(IF(VLOOKUP($A264,EnrollData2324,'2324 Jun 24 Enroll'!E$1,FALSE)='District Calculations'!$D$12,VLOOKUP($A264,EnrollData2324,'2324 Jun 24 Enroll'!E$1,FALSE),'District Calculations'!$D$12)*S264,3)</f>
        <v>15.148</v>
      </c>
      <c r="V264">
        <f>ROUND(IF(VLOOKUP($A264,EnrollData2324,'2324 Jun 24 Enroll'!F$1,FALSE)='District Calculations'!$D$13,VLOOKUP($A264,EnrollData2324,'2324 Jun 24 Enroll'!F$1,FALSE),'District Calculations'!$D$13)*Apport_224A2324s,3)</f>
        <v>3.7029999999999998</v>
      </c>
      <c r="W264">
        <f>ROUND(IF(VLOOKUP($A264,EnrollData2324,'2324 Jun 24 Enroll'!G$1,FALSE)='District Calculations'!$D$14,VLOOKUP($A264,EnrollData2324,'2324 Jun 24 Enroll'!G$1,FALSE),'District Calculations'!$D$14)*Apport_212A2324s,3)</f>
        <v>8.2089999999999996</v>
      </c>
      <c r="X264">
        <f>ROUND(IF(VLOOKUP($A264,EnrollData2324,'2324 Jun 24 Enroll'!H$1,FALSE)='District Calculations'!$D$14,VLOOKUP($A264,EnrollData2324,'2324 Jun 24 Enroll'!H$1,FALSE),'District Calculations'!$D$14)*Apport_215A2324s,3)</f>
        <v>8.0969999999999995</v>
      </c>
      <c r="Y264">
        <f>ROUND(IF(VLOOKUP($A264,EnrollData2324,'2324 Jun 24 Enroll'!I$1,FALSE)+VLOOKUP($A264,EnrollData2324,'2324 Jun 24 Enroll'!M$1,FALSE)-VLOOKUP($A264,EnrollData2324,'2324 Jun 24 Enroll'!J$1,FALSE)='District Calculations'!$D$16+'District Calculations'!$D$25-'District Calculations'!$D$17,VLOOKUP($A264,EnrollData2324,'2324 Jun 24 Enroll'!I$1,FALSE)+VLOOKUP($A264,EnrollData2324,'2324 Jun 24 Enroll'!M$1,FALSE)-VLOOKUP($A264,EnrollData2324,'2324 Jun 24 Enroll'!J$1,FALSE),'District Calculations'!$D$16+'District Calculations'!$D$25-'District Calculations'!$D$17)*Apport_218A2324s,3)</f>
        <v>20.224</v>
      </c>
      <c r="Z264">
        <f>ROUND(SUM(T264:Y264)/IF(VLOOKUP($A264,EnrollData2324,'2324 Jun 24 Enroll'!M$1,FALSE)+VLOOKUP($A264,EnrollData2324,'2324 Jun 24 Enroll'!D$1,FALSE)='District Calculations'!$D$25+'District Calculations'!$D$11,VLOOKUP($A264,EnrollData2324,'2324 Jun 24 Enroll'!M$1,FALSE)+VLOOKUP($A264,EnrollData2324,'2324 Jun 24 Enroll'!D$1,FALSE),'District Calculations'!$D$25+'District Calculations'!$D$11),5)</f>
        <v>1.7749999999999998E-2</v>
      </c>
      <c r="AA264" s="6" cm="1">
        <f t="array" ref="AA264">ROUND($J264*CIS_Base_Salary2324s*VLOOKUP($A264,EnrollData2324,'2324 Jun 24 Enroll'!S$1,FALSE),2)</f>
        <v>4038.59</v>
      </c>
      <c r="AB264" s="6" cm="1">
        <f t="array" ref="AB264">ROUND($J264*CIS_Inc_Salary2324s*(VLOOKUP($A264,EnrollData2324,'2324 Jun 24 Enroll'!T$1,FALSE)+VLOOKUP($A264,EnrollData2324,'2324 Jun 24 Enroll'!U$1,FALSE)),2)-AA264</f>
        <v>149.43000000000029</v>
      </c>
      <c r="AC264" s="6" cm="1">
        <f t="array" ref="AC264">ROUND($R264*CAS_Base_Salary2324s*VLOOKUP($A264,EnrollData2324,'2324 Jun 24 Enroll'!S$1,FALSE),2)</f>
        <v>443.7</v>
      </c>
      <c r="AD264" s="6" cm="1">
        <f t="array" ref="AD264">ROUND($R264*CAS_Inc_Salary2324s*VLOOKUP($A264,EnrollData2324,'2324 Jun 24 Enroll'!T$1,FALSE),2)-AC264</f>
        <v>16.410000000000025</v>
      </c>
      <c r="AE264" s="6" cm="1">
        <f t="array" ref="AE264">ROUND($Z264*CLS_Base_Salary2324s*VLOOKUP($A264,EnrollData2324,'2324 Jun 24 Enroll'!S$1,FALSE),2)</f>
        <v>926.07</v>
      </c>
      <c r="AF264" s="6" cm="1">
        <f t="array" ref="AF264">ROUND($Z264*CLS_Inc_Salary2324s*VLOOKUP($A264,EnrollData2324,'2324 Jun 24 Enroll'!T$1,FALSE),2)-AE264</f>
        <v>34.259999999999991</v>
      </c>
      <c r="AG264" cm="1">
        <f t="array" ref="AG264">ROUND(($J264+$R264)*Apport_124X2324s,2)</f>
        <v>734.29</v>
      </c>
      <c r="AH264" s="69">
        <f t="shared" si="24"/>
        <v>68.700000000000045</v>
      </c>
      <c r="AI264" cm="1">
        <f t="array" ref="AI264">ROUND($Z264*Apport_124X2324s,2)</f>
        <v>218.54</v>
      </c>
      <c r="AJ264" cm="1">
        <f t="array" ref="AJ264">ROUND($Z264*Apport_621X2324s*Apport_125X2324s,2)-AI264</f>
        <v>116.51000000000002</v>
      </c>
      <c r="AK264" cm="1">
        <f t="array" ref="AK264">ROUND((AA264+AC264)*Apport_126X2324s,2)</f>
        <v>805.47</v>
      </c>
      <c r="AL264" cm="1">
        <f t="array" ref="AL264">ROUND((AB264+AD264)*Apport_127X2324s,2)</f>
        <v>28.74</v>
      </c>
      <c r="AM264" cm="1">
        <f t="array" ref="AM264">ROUND(AE264*Apport_128X2324s,2)</f>
        <v>204.29</v>
      </c>
      <c r="AN264" cm="1">
        <f t="array" ref="AN264">ROUND(AF264*Apport_129X2324s,2)</f>
        <v>6.36</v>
      </c>
      <c r="AO264" cm="1">
        <f t="array" ref="AO264">ROUND(($J264*CIS_Inc_Salary2324s*(VLOOKUP($A264,EnrollData2324,'2324 Jun 24 Enroll'!T$1,FALSE)+VLOOKUP($A264,EnrollData2324,'2324 Jun 24 Enroll'!U$1,FALSE))/Apport_613Xpd)*Apport_614Xpd,2)</f>
        <v>69.8</v>
      </c>
      <c r="AP264" cm="1">
        <f t="array" ref="AP264">ROUND(AO264*Apport_127X2324s,2)</f>
        <v>12.1</v>
      </c>
      <c r="AQ264">
        <f t="shared" si="25"/>
        <v>30.93</v>
      </c>
      <c r="AR264" s="6" cm="1">
        <f t="array" ref="AR264">ROUND((VLOOKUP($A264,EnrollData2324,'2324 Jun 24 Enroll'!D$1,FALSE)*Apport_M802324s+VLOOKUP($A264,EnrollData2324,'2324 Jun 24 Enroll'!M$1,FALSE)*Apport_M802324s+(VLOOKUP($A264,EnrollData2324,'2324 Jun 24 Enroll'!P$1,FALSE)+VLOOKUP($A264,EnrollData2324,'2324 Jun 24 Enroll'!Q$1,FALSE)+VLOOKUP($A264,EnrollData2324,'2324 Jun 24 Enroll'!R$1,FALSE)+VLOOKUP($A264,EnrollData2324,'2324 Jun 24 Enroll'!I$1,FALSE)+VLOOKUP($A264,EnrollData2324,'2324 Jun 24 Enroll'!N$1,FALSE)+VLOOKUP($A264,EnrollData2324,'2324 Jun 24 Enroll'!O$1,FALSE)+VLOOKUP($A264,EnrollData2324,'2324 Jun 24 Enroll'!K$1,FALSE)+VLOOKUP($A264,EnrollData2324,'2324 Jun 24 Enroll'!L$1,FALSE))*Apport_M812324s)/(VLOOKUP($A264,EnrollData2324,'2324 Jun 24 Enroll'!M$1,FALSE)+VLOOKUP($A264,EnrollData2324,'2324 Jun 24 Enroll'!D$1,FALSE)),2)</f>
        <v>1670.16</v>
      </c>
      <c r="AS264" s="7">
        <f t="shared" si="26"/>
        <v>9574.35</v>
      </c>
    </row>
    <row r="265" spans="1:45">
      <c r="A265" s="40" t="s">
        <v>400</v>
      </c>
      <c r="B265" s="40" t="s">
        <v>401</v>
      </c>
      <c r="C265" s="11">
        <f>ROUND((IFERROR((1/IF(VLOOKUP($A265,EnrollData2324,28,FALSE)='District Calculations'!$D$10,VLOOKUP($A265,EnrollData2324,28,FALSE),'District Calculations'!$D$10))*(1+Apport_Z315),0))+Apport_201A2324s,6)</f>
        <v>7.3449E-2</v>
      </c>
      <c r="D265">
        <f>ROUND(IF(VLOOKUP($A265,EnrollData2324,'2324 Jun 24 Enroll'!D$1,FALSE)='District Calculations'!$D$11,VLOOKUP($A265,EnrollData2324,'2324 Jun 24 Enroll'!D$1,FALSE),'District Calculations'!$D$11)*C265,3)</f>
        <v>0</v>
      </c>
      <c r="E265">
        <f>ROUND(IF(VLOOKUP($A265,EnrollData2324,'2324 Jun 24 Enroll'!E$1,FALSE)='District Calculations'!$D$12,VLOOKUP($A265,EnrollData2324,'2324 Jun 24 Enroll'!E$1,FALSE),'District Calculations'!$D$12)*C265,3)</f>
        <v>59.53</v>
      </c>
      <c r="F265">
        <f>ROUND(IF(VLOOKUP($A265,EnrollData2324,'2324 Jun 24 Enroll'!F$1,FALSE)='District Calculations'!$D$13,VLOOKUP($A265,EnrollData2324,'2324 Jun 24 Enroll'!F$1,FALSE),'District Calculations'!$D$13)*Apport_222A2324s,3)</f>
        <v>10.101000000000001</v>
      </c>
      <c r="G265">
        <f>ROUND(IF(VLOOKUP($A265,EnrollData2324,'2324 Jun 24 Enroll'!G$1,FALSE)='District Calculations'!$D$14,VLOOKUP($A265,EnrollData2324,'2324 Jun 24 Enroll'!G$1,FALSE),'District Calculations'!$D$14)*Apport_210A2324s,3)</f>
        <v>22.395</v>
      </c>
      <c r="H265">
        <f>ROUND(IF(VLOOKUP($A265,EnrollData2324,'2324 Jun 24 Enroll'!H$1,FALSE)='District Calculations'!$D$15,VLOOKUP($A265,EnrollData2324,'2324 Jun 24 Enroll'!H$1,FALSE),'District Calculations'!$D$15)*Apport_213A2324s,3)</f>
        <v>23.091999999999999</v>
      </c>
      <c r="I265">
        <f>ROUND(IF(VLOOKUP($A265,EnrollData2324,'2324 Jun 24 Enroll'!I$1,FALSE)+VLOOKUP($A265,EnrollData2324,'2324 Jun 24 Enroll'!M$1,FALSE)-VLOOKUP($A265,EnrollData2324,'2324 Jun 24 Enroll'!J$1,FALSE)='District Calculations'!$D$16+'District Calculations'!$D$25-'District Calculations'!$D$17,VLOOKUP($A265,EnrollData2324,'2324 Jun 24 Enroll'!I$1,FALSE)+VLOOKUP($A265,EnrollData2324,'2324 Jun 24 Enroll'!M$1,FALSE)-VLOOKUP($A265,EnrollData2324,'2324 Jun 24 Enroll'!J$1,FALSE),'District Calculations'!$D$16+'District Calculations'!$D$25-'District Calculations'!$D$17)*Apport_216A2324s,3)</f>
        <v>58.183999999999997</v>
      </c>
      <c r="J265">
        <f>ROUND(SUM(D265:I265)/(IF(VLOOKUP($A265,EnrollData2324,'2324 Jun 24 Enroll'!M$1,FALSE)='District Calculations'!$D$25,VLOOKUP($A265,EnrollData2324,'2324 Jun 24 Enroll'!M$1,FALSE),'District Calculations'!$D$25)+IF(VLOOKUP($A265,EnrollData2324,'2324 Jun 24 Enroll'!D$1,FALSE)='District Calculations'!$D$11,VLOOKUP($A265,EnrollData2324,'2324 Jun 24 Enroll'!D$1,FALSE),'District Calculations'!$D$11)),5)</f>
        <v>5.5530000000000003E-2</v>
      </c>
      <c r="K265" s="11">
        <f t="shared" si="22"/>
        <v>4.3699999999999998E-3</v>
      </c>
      <c r="L265">
        <f>ROUND(IF(VLOOKUP($A265,EnrollData2324,'2324 Jun 24 Enroll'!D$1,FALSE)='District Calculations'!$D$11,VLOOKUP($A265,EnrollData2324,'2324 Jun 24 Enroll'!D$1,FALSE),'District Calculations'!$D$11)*K265,3)</f>
        <v>0</v>
      </c>
      <c r="M265">
        <f>ROUND(IF(VLOOKUP($A265,EnrollData2324,'2324 Jun 24 Enroll'!E$1,FALSE)='District Calculations'!$D$12,VLOOKUP($A265,EnrollData2324,'2324 Jun 24 Enroll'!E$1,FALSE),'District Calculations'!$D$12)*K265,3)</f>
        <v>3.5419999999999998</v>
      </c>
      <c r="N265">
        <f>ROUND(IF(VLOOKUP($A265,EnrollData2324,'2324 Jun 24 Enroll'!F$1,FALSE)='District Calculations'!$D$13,VLOOKUP($A265,EnrollData2324,'2324 Jun 24 Enroll'!F$1,FALSE),'District Calculations'!$D$13)*Apport_223A2324s,3)</f>
        <v>0.84299999999999997</v>
      </c>
      <c r="O265">
        <f>ROUND(IF(VLOOKUP($A265,EnrollData2324,'2324 Jun 24 Enroll'!G$1,FALSE)='District Calculations'!$D$14,VLOOKUP($A265,EnrollData2324,'2324 Jun 24 Enroll'!G$1,FALSE),'District Calculations'!$D$14)*Apport_211A2324s,3)</f>
        <v>1.87</v>
      </c>
      <c r="P265">
        <f>ROUND(IF(VLOOKUP($A265,EnrollData2324,'2324 Jun 24 Enroll'!H$1,FALSE)='District Calculations'!$D$14,VLOOKUP($A265,EnrollData2324,'2324 Jun 24 Enroll'!H$1,FALSE),'District Calculations'!$D$14)*Apport_214A2324s,3)</f>
        <v>1.8680000000000001</v>
      </c>
      <c r="Q265">
        <f>ROUND(IF(VLOOKUP($A265,EnrollData2324,'2324 Jun 24 Enroll'!I$1,FALSE)+VLOOKUP($A265,EnrollData2324,'2324 Jun 24 Enroll'!M$1,FALSE)-VLOOKUP($A265,EnrollData2324,'2324 Jun 24 Enroll'!J$1,FALSE)='District Calculations'!$D$16+'District Calculations'!$D$25-'District Calculations'!$D$17,VLOOKUP($A265,EnrollData2324,'2324 Jun 24 Enroll'!I$1,FALSE)+VLOOKUP($A265,EnrollData2324,'2324 Jun 24 Enroll'!M$1,FALSE)-VLOOKUP($A265,EnrollData2324,'2324 Jun 24 Enroll'!J$1,FALSE),'District Calculations'!$D$16+'District Calculations'!$D$25-'District Calculations'!$D$17)*Apport_217A2324s,3)</f>
        <v>4.702</v>
      </c>
      <c r="R265">
        <f>ROUND(SUM(L265:Q265)/IF(VLOOKUP($A265,EnrollData2324,'2324 Jun 24 Enroll'!M$1,FALSE)+VLOOKUP($A265,EnrollData2324,'2324 Jun 24 Enroll'!D$1,FALSE)='District Calculations'!$D$25+'District Calculations'!$D$11,VLOOKUP($A265,EnrollData2324,'2324 Jun 24 Enroll'!M$1,FALSE)+VLOOKUP($A265,EnrollData2324,'2324 Jun 24 Enroll'!D$1,FALSE),'District Calculations'!$D$25+'District Calculations'!$D$11),5)</f>
        <v>4.1099999999999999E-3</v>
      </c>
      <c r="S265" s="11">
        <f t="shared" si="23"/>
        <v>1.8689600000000001E-2</v>
      </c>
      <c r="T265">
        <f>ROUND(IF(VLOOKUP($A265,EnrollData2324,'2324 Jun 24 Enroll'!D$1,FALSE)='District Calculations'!$D$11,VLOOKUP($A265,EnrollData2324,'2324 Jun 24 Enroll'!D$1,FALSE),'District Calculations'!$D$11)*S265,3)</f>
        <v>0</v>
      </c>
      <c r="U265">
        <f>ROUND(IF(VLOOKUP($A265,EnrollData2324,'2324 Jun 24 Enroll'!E$1,FALSE)='District Calculations'!$D$12,VLOOKUP($A265,EnrollData2324,'2324 Jun 24 Enroll'!E$1,FALSE),'District Calculations'!$D$12)*S265,3)</f>
        <v>15.148</v>
      </c>
      <c r="V265">
        <f>ROUND(IF(VLOOKUP($A265,EnrollData2324,'2324 Jun 24 Enroll'!F$1,FALSE)='District Calculations'!$D$13,VLOOKUP($A265,EnrollData2324,'2324 Jun 24 Enroll'!F$1,FALSE),'District Calculations'!$D$13)*Apport_224A2324s,3)</f>
        <v>3.7029999999999998</v>
      </c>
      <c r="W265">
        <f>ROUND(IF(VLOOKUP($A265,EnrollData2324,'2324 Jun 24 Enroll'!G$1,FALSE)='District Calculations'!$D$14,VLOOKUP($A265,EnrollData2324,'2324 Jun 24 Enroll'!G$1,FALSE),'District Calculations'!$D$14)*Apport_212A2324s,3)</f>
        <v>8.2089999999999996</v>
      </c>
      <c r="X265">
        <f>ROUND(IF(VLOOKUP($A265,EnrollData2324,'2324 Jun 24 Enroll'!H$1,FALSE)='District Calculations'!$D$14,VLOOKUP($A265,EnrollData2324,'2324 Jun 24 Enroll'!H$1,FALSE),'District Calculations'!$D$14)*Apport_215A2324s,3)</f>
        <v>8.0969999999999995</v>
      </c>
      <c r="Y265">
        <f>ROUND(IF(VLOOKUP($A265,EnrollData2324,'2324 Jun 24 Enroll'!I$1,FALSE)+VLOOKUP($A265,EnrollData2324,'2324 Jun 24 Enroll'!M$1,FALSE)-VLOOKUP($A265,EnrollData2324,'2324 Jun 24 Enroll'!J$1,FALSE)='District Calculations'!$D$16+'District Calculations'!$D$25-'District Calculations'!$D$17,VLOOKUP($A265,EnrollData2324,'2324 Jun 24 Enroll'!I$1,FALSE)+VLOOKUP($A265,EnrollData2324,'2324 Jun 24 Enroll'!M$1,FALSE)-VLOOKUP($A265,EnrollData2324,'2324 Jun 24 Enroll'!J$1,FALSE),'District Calculations'!$D$16+'District Calculations'!$D$25-'District Calculations'!$D$17)*Apport_218A2324s,3)</f>
        <v>20.224</v>
      </c>
      <c r="Z265">
        <f>ROUND(SUM(T265:Y265)/IF(VLOOKUP($A265,EnrollData2324,'2324 Jun 24 Enroll'!M$1,FALSE)+VLOOKUP($A265,EnrollData2324,'2324 Jun 24 Enroll'!D$1,FALSE)='District Calculations'!$D$25+'District Calculations'!$D$11,VLOOKUP($A265,EnrollData2324,'2324 Jun 24 Enroll'!M$1,FALSE)+VLOOKUP($A265,EnrollData2324,'2324 Jun 24 Enroll'!D$1,FALSE),'District Calculations'!$D$25+'District Calculations'!$D$11),5)</f>
        <v>1.7749999999999998E-2</v>
      </c>
      <c r="AA265" s="6" cm="1">
        <f t="array" ref="AA265">ROUND($J265*CIS_Base_Salary2324s*VLOOKUP($A265,EnrollData2324,'2324 Jun 24 Enroll'!S$1,FALSE),2)</f>
        <v>4038.59</v>
      </c>
      <c r="AB265" s="6" cm="1">
        <f t="array" ref="AB265">ROUND($J265*CIS_Inc_Salary2324s*(VLOOKUP($A265,EnrollData2324,'2324 Jun 24 Enroll'!T$1,FALSE)+VLOOKUP($A265,EnrollData2324,'2324 Jun 24 Enroll'!U$1,FALSE)),2)-AA265</f>
        <v>316.94999999999982</v>
      </c>
      <c r="AC265" s="6" cm="1">
        <f t="array" ref="AC265">ROUND($R265*CAS_Base_Salary2324s*VLOOKUP($A265,EnrollData2324,'2324 Jun 24 Enroll'!S$1,FALSE),2)</f>
        <v>443.7</v>
      </c>
      <c r="AD265" s="6" cm="1">
        <f t="array" ref="AD265">ROUND($R265*CAS_Inc_Salary2324s*VLOOKUP($A265,EnrollData2324,'2324 Jun 24 Enroll'!T$1,FALSE),2)-AC265</f>
        <v>16.410000000000025</v>
      </c>
      <c r="AE265" s="6" cm="1">
        <f t="array" ref="AE265">ROUND($Z265*CLS_Base_Salary2324s*VLOOKUP($A265,EnrollData2324,'2324 Jun 24 Enroll'!S$1,FALSE),2)</f>
        <v>926.07</v>
      </c>
      <c r="AF265" s="6" cm="1">
        <f t="array" ref="AF265">ROUND($Z265*CLS_Inc_Salary2324s*VLOOKUP($A265,EnrollData2324,'2324 Jun 24 Enroll'!T$1,FALSE),2)-AE265</f>
        <v>34.259999999999991</v>
      </c>
      <c r="AG265" cm="1">
        <f t="array" ref="AG265">ROUND(($J265+$R265)*Apport_124X2324s,2)</f>
        <v>734.29</v>
      </c>
      <c r="AH265" s="69">
        <f t="shared" si="24"/>
        <v>68.700000000000045</v>
      </c>
      <c r="AI265" cm="1">
        <f t="array" ref="AI265">ROUND($Z265*Apport_124X2324s,2)</f>
        <v>218.54</v>
      </c>
      <c r="AJ265" cm="1">
        <f t="array" ref="AJ265">ROUND($Z265*Apport_621X2324s*Apport_125X2324s,2)-AI265</f>
        <v>116.51000000000002</v>
      </c>
      <c r="AK265" cm="1">
        <f t="array" ref="AK265">ROUND((AA265+AC265)*Apport_126X2324s,2)</f>
        <v>805.47</v>
      </c>
      <c r="AL265" cm="1">
        <f t="array" ref="AL265">ROUND((AB265+AD265)*Apport_127X2324s,2)</f>
        <v>57.77</v>
      </c>
      <c r="AM265" cm="1">
        <f t="array" ref="AM265">ROUND(AE265*Apport_128X2324s,2)</f>
        <v>204.29</v>
      </c>
      <c r="AN265" cm="1">
        <f t="array" ref="AN265">ROUND(AF265*Apport_129X2324s,2)</f>
        <v>6.36</v>
      </c>
      <c r="AO265" cm="1">
        <f t="array" ref="AO265">ROUND(($J265*CIS_Inc_Salary2324s*(VLOOKUP($A265,EnrollData2324,'2324 Jun 24 Enroll'!T$1,FALSE)+VLOOKUP($A265,EnrollData2324,'2324 Jun 24 Enroll'!U$1,FALSE))/Apport_613Xpd)*Apport_614Xpd,2)</f>
        <v>72.59</v>
      </c>
      <c r="AP265" cm="1">
        <f t="array" ref="AP265">ROUND(AO265*Apport_127X2324s,2)</f>
        <v>12.58</v>
      </c>
      <c r="AQ265">
        <f t="shared" si="25"/>
        <v>30.93</v>
      </c>
      <c r="AR265" s="6" cm="1">
        <f t="array" ref="AR265">ROUND((VLOOKUP($A265,EnrollData2324,'2324 Jun 24 Enroll'!D$1,FALSE)*Apport_M802324s+VLOOKUP($A265,EnrollData2324,'2324 Jun 24 Enroll'!M$1,FALSE)*Apport_M802324s+(VLOOKUP($A265,EnrollData2324,'2324 Jun 24 Enroll'!P$1,FALSE)+VLOOKUP($A265,EnrollData2324,'2324 Jun 24 Enroll'!Q$1,FALSE)+VLOOKUP($A265,EnrollData2324,'2324 Jun 24 Enroll'!R$1,FALSE)+VLOOKUP($A265,EnrollData2324,'2324 Jun 24 Enroll'!I$1,FALSE)+VLOOKUP($A265,EnrollData2324,'2324 Jun 24 Enroll'!N$1,FALSE)+VLOOKUP($A265,EnrollData2324,'2324 Jun 24 Enroll'!O$1,FALSE)+VLOOKUP($A265,EnrollData2324,'2324 Jun 24 Enroll'!K$1,FALSE)+VLOOKUP($A265,EnrollData2324,'2324 Jun 24 Enroll'!L$1,FALSE))*Apport_M812324s)/(VLOOKUP($A265,EnrollData2324,'2324 Jun 24 Enroll'!M$1,FALSE)+VLOOKUP($A265,EnrollData2324,'2324 Jun 24 Enroll'!D$1,FALSE)),2)</f>
        <v>1571.23</v>
      </c>
      <c r="AS265" s="7">
        <f t="shared" si="26"/>
        <v>9675.24</v>
      </c>
    </row>
    <row r="266" spans="1:45">
      <c r="A266" s="40" t="s">
        <v>560</v>
      </c>
      <c r="B266" s="40" t="s">
        <v>561</v>
      </c>
      <c r="C266" s="11">
        <f>ROUND((IFERROR((1/IF(VLOOKUP($A266,EnrollData2324,28,FALSE)='District Calculations'!$D$10,VLOOKUP($A266,EnrollData2324,28,FALSE),'District Calculations'!$D$10))*(1+Apport_Z315),0))+Apport_201A2324s,6)</f>
        <v>7.3449E-2</v>
      </c>
      <c r="D266">
        <f>ROUND(IF(VLOOKUP($A266,EnrollData2324,'2324 Jun 24 Enroll'!D$1,FALSE)='District Calculations'!$D$11,VLOOKUP($A266,EnrollData2324,'2324 Jun 24 Enroll'!D$1,FALSE),'District Calculations'!$D$11)*C266,3)</f>
        <v>0</v>
      </c>
      <c r="E266">
        <f>ROUND(IF(VLOOKUP($A266,EnrollData2324,'2324 Jun 24 Enroll'!E$1,FALSE)='District Calculations'!$D$12,VLOOKUP($A266,EnrollData2324,'2324 Jun 24 Enroll'!E$1,FALSE),'District Calculations'!$D$12)*C266,3)</f>
        <v>59.53</v>
      </c>
      <c r="F266">
        <f>ROUND(IF(VLOOKUP($A266,EnrollData2324,'2324 Jun 24 Enroll'!F$1,FALSE)='District Calculations'!$D$13,VLOOKUP($A266,EnrollData2324,'2324 Jun 24 Enroll'!F$1,FALSE),'District Calculations'!$D$13)*Apport_222A2324s,3)</f>
        <v>10.101000000000001</v>
      </c>
      <c r="G266">
        <f>ROUND(IF(VLOOKUP($A266,EnrollData2324,'2324 Jun 24 Enroll'!G$1,FALSE)='District Calculations'!$D$14,VLOOKUP($A266,EnrollData2324,'2324 Jun 24 Enroll'!G$1,FALSE),'District Calculations'!$D$14)*Apport_210A2324s,3)</f>
        <v>22.395</v>
      </c>
      <c r="H266">
        <f>ROUND(IF(VLOOKUP($A266,EnrollData2324,'2324 Jun 24 Enroll'!H$1,FALSE)='District Calculations'!$D$15,VLOOKUP($A266,EnrollData2324,'2324 Jun 24 Enroll'!H$1,FALSE),'District Calculations'!$D$15)*Apport_213A2324s,3)</f>
        <v>23.091999999999999</v>
      </c>
      <c r="I266">
        <f>ROUND(IF(VLOOKUP($A266,EnrollData2324,'2324 Jun 24 Enroll'!I$1,FALSE)+VLOOKUP($A266,EnrollData2324,'2324 Jun 24 Enroll'!M$1,FALSE)-VLOOKUP($A266,EnrollData2324,'2324 Jun 24 Enroll'!J$1,FALSE)='District Calculations'!$D$16+'District Calculations'!$D$25-'District Calculations'!$D$17,VLOOKUP($A266,EnrollData2324,'2324 Jun 24 Enroll'!I$1,FALSE)+VLOOKUP($A266,EnrollData2324,'2324 Jun 24 Enroll'!M$1,FALSE)-VLOOKUP($A266,EnrollData2324,'2324 Jun 24 Enroll'!J$1,FALSE),'District Calculations'!$D$16+'District Calculations'!$D$25-'District Calculations'!$D$17)*Apport_216A2324s,3)</f>
        <v>58.183999999999997</v>
      </c>
      <c r="J266">
        <f>ROUND(SUM(D266:I266)/(IF(VLOOKUP($A266,EnrollData2324,'2324 Jun 24 Enroll'!M$1,FALSE)='District Calculations'!$D$25,VLOOKUP($A266,EnrollData2324,'2324 Jun 24 Enroll'!M$1,FALSE),'District Calculations'!$D$25)+IF(VLOOKUP($A266,EnrollData2324,'2324 Jun 24 Enroll'!D$1,FALSE)='District Calculations'!$D$11,VLOOKUP($A266,EnrollData2324,'2324 Jun 24 Enroll'!D$1,FALSE),'District Calculations'!$D$11)),5)</f>
        <v>5.5530000000000003E-2</v>
      </c>
      <c r="K266" s="11">
        <f t="shared" si="22"/>
        <v>4.3699999999999998E-3</v>
      </c>
      <c r="L266">
        <f>ROUND(IF(VLOOKUP($A266,EnrollData2324,'2324 Jun 24 Enroll'!D$1,FALSE)='District Calculations'!$D$11,VLOOKUP($A266,EnrollData2324,'2324 Jun 24 Enroll'!D$1,FALSE),'District Calculations'!$D$11)*K266,3)</f>
        <v>0</v>
      </c>
      <c r="M266">
        <f>ROUND(IF(VLOOKUP($A266,EnrollData2324,'2324 Jun 24 Enroll'!E$1,FALSE)='District Calculations'!$D$12,VLOOKUP($A266,EnrollData2324,'2324 Jun 24 Enroll'!E$1,FALSE),'District Calculations'!$D$12)*K266,3)</f>
        <v>3.5419999999999998</v>
      </c>
      <c r="N266">
        <f>ROUND(IF(VLOOKUP($A266,EnrollData2324,'2324 Jun 24 Enroll'!F$1,FALSE)='District Calculations'!$D$13,VLOOKUP($A266,EnrollData2324,'2324 Jun 24 Enroll'!F$1,FALSE),'District Calculations'!$D$13)*Apport_223A2324s,3)</f>
        <v>0.84299999999999997</v>
      </c>
      <c r="O266">
        <f>ROUND(IF(VLOOKUP($A266,EnrollData2324,'2324 Jun 24 Enroll'!G$1,FALSE)='District Calculations'!$D$14,VLOOKUP($A266,EnrollData2324,'2324 Jun 24 Enroll'!G$1,FALSE),'District Calculations'!$D$14)*Apport_211A2324s,3)</f>
        <v>1.87</v>
      </c>
      <c r="P266">
        <f>ROUND(IF(VLOOKUP($A266,EnrollData2324,'2324 Jun 24 Enroll'!H$1,FALSE)='District Calculations'!$D$14,VLOOKUP($A266,EnrollData2324,'2324 Jun 24 Enroll'!H$1,FALSE),'District Calculations'!$D$14)*Apport_214A2324s,3)</f>
        <v>1.8680000000000001</v>
      </c>
      <c r="Q266">
        <f>ROUND(IF(VLOOKUP($A266,EnrollData2324,'2324 Jun 24 Enroll'!I$1,FALSE)+VLOOKUP($A266,EnrollData2324,'2324 Jun 24 Enroll'!M$1,FALSE)-VLOOKUP($A266,EnrollData2324,'2324 Jun 24 Enroll'!J$1,FALSE)='District Calculations'!$D$16+'District Calculations'!$D$25-'District Calculations'!$D$17,VLOOKUP($A266,EnrollData2324,'2324 Jun 24 Enroll'!I$1,FALSE)+VLOOKUP($A266,EnrollData2324,'2324 Jun 24 Enroll'!M$1,FALSE)-VLOOKUP($A266,EnrollData2324,'2324 Jun 24 Enroll'!J$1,FALSE),'District Calculations'!$D$16+'District Calculations'!$D$25-'District Calculations'!$D$17)*Apport_217A2324s,3)</f>
        <v>4.702</v>
      </c>
      <c r="R266">
        <f>ROUND(SUM(L266:Q266)/IF(VLOOKUP($A266,EnrollData2324,'2324 Jun 24 Enroll'!M$1,FALSE)+VLOOKUP($A266,EnrollData2324,'2324 Jun 24 Enroll'!D$1,FALSE)='District Calculations'!$D$25+'District Calculations'!$D$11,VLOOKUP($A266,EnrollData2324,'2324 Jun 24 Enroll'!M$1,FALSE)+VLOOKUP($A266,EnrollData2324,'2324 Jun 24 Enroll'!D$1,FALSE),'District Calculations'!$D$25+'District Calculations'!$D$11),5)</f>
        <v>4.1099999999999999E-3</v>
      </c>
      <c r="S266" s="11">
        <f t="shared" si="23"/>
        <v>1.8689600000000001E-2</v>
      </c>
      <c r="T266">
        <f>ROUND(IF(VLOOKUP($A266,EnrollData2324,'2324 Jun 24 Enroll'!D$1,FALSE)='District Calculations'!$D$11,VLOOKUP($A266,EnrollData2324,'2324 Jun 24 Enroll'!D$1,FALSE),'District Calculations'!$D$11)*S266,3)</f>
        <v>0</v>
      </c>
      <c r="U266">
        <f>ROUND(IF(VLOOKUP($A266,EnrollData2324,'2324 Jun 24 Enroll'!E$1,FALSE)='District Calculations'!$D$12,VLOOKUP($A266,EnrollData2324,'2324 Jun 24 Enroll'!E$1,FALSE),'District Calculations'!$D$12)*S266,3)</f>
        <v>15.148</v>
      </c>
      <c r="V266">
        <f>ROUND(IF(VLOOKUP($A266,EnrollData2324,'2324 Jun 24 Enroll'!F$1,FALSE)='District Calculations'!$D$13,VLOOKUP($A266,EnrollData2324,'2324 Jun 24 Enroll'!F$1,FALSE),'District Calculations'!$D$13)*Apport_224A2324s,3)</f>
        <v>3.7029999999999998</v>
      </c>
      <c r="W266">
        <f>ROUND(IF(VLOOKUP($A266,EnrollData2324,'2324 Jun 24 Enroll'!G$1,FALSE)='District Calculations'!$D$14,VLOOKUP($A266,EnrollData2324,'2324 Jun 24 Enroll'!G$1,FALSE),'District Calculations'!$D$14)*Apport_212A2324s,3)</f>
        <v>8.2089999999999996</v>
      </c>
      <c r="X266">
        <f>ROUND(IF(VLOOKUP($A266,EnrollData2324,'2324 Jun 24 Enroll'!H$1,FALSE)='District Calculations'!$D$14,VLOOKUP($A266,EnrollData2324,'2324 Jun 24 Enroll'!H$1,FALSE),'District Calculations'!$D$14)*Apport_215A2324s,3)</f>
        <v>8.0969999999999995</v>
      </c>
      <c r="Y266">
        <f>ROUND(IF(VLOOKUP($A266,EnrollData2324,'2324 Jun 24 Enroll'!I$1,FALSE)+VLOOKUP($A266,EnrollData2324,'2324 Jun 24 Enroll'!M$1,FALSE)-VLOOKUP($A266,EnrollData2324,'2324 Jun 24 Enroll'!J$1,FALSE)='District Calculations'!$D$16+'District Calculations'!$D$25-'District Calculations'!$D$17,VLOOKUP($A266,EnrollData2324,'2324 Jun 24 Enroll'!I$1,FALSE)+VLOOKUP($A266,EnrollData2324,'2324 Jun 24 Enroll'!M$1,FALSE)-VLOOKUP($A266,EnrollData2324,'2324 Jun 24 Enroll'!J$1,FALSE),'District Calculations'!$D$16+'District Calculations'!$D$25-'District Calculations'!$D$17)*Apport_218A2324s,3)</f>
        <v>20.224</v>
      </c>
      <c r="Z266">
        <f>ROUND(SUM(T266:Y266)/IF(VLOOKUP($A266,EnrollData2324,'2324 Jun 24 Enroll'!M$1,FALSE)+VLOOKUP($A266,EnrollData2324,'2324 Jun 24 Enroll'!D$1,FALSE)='District Calculations'!$D$25+'District Calculations'!$D$11,VLOOKUP($A266,EnrollData2324,'2324 Jun 24 Enroll'!M$1,FALSE)+VLOOKUP($A266,EnrollData2324,'2324 Jun 24 Enroll'!D$1,FALSE),'District Calculations'!$D$25+'District Calculations'!$D$11),5)</f>
        <v>1.7749999999999998E-2</v>
      </c>
      <c r="AA266" s="6" cm="1">
        <f t="array" ref="AA266">ROUND($J266*CIS_Base_Salary2324s*VLOOKUP($A266,EnrollData2324,'2324 Jun 24 Enroll'!S$1,FALSE),2)</f>
        <v>4038.59</v>
      </c>
      <c r="AB266" s="6" cm="1">
        <f t="array" ref="AB266">ROUND($J266*CIS_Inc_Salary2324s*(VLOOKUP($A266,EnrollData2324,'2324 Jun 24 Enroll'!T$1,FALSE)+VLOOKUP($A266,EnrollData2324,'2324 Jun 24 Enroll'!U$1,FALSE)),2)-AA266</f>
        <v>149.43000000000029</v>
      </c>
      <c r="AC266" s="6" cm="1">
        <f t="array" ref="AC266">ROUND($R266*CAS_Base_Salary2324s*VLOOKUP($A266,EnrollData2324,'2324 Jun 24 Enroll'!S$1,FALSE),2)</f>
        <v>443.7</v>
      </c>
      <c r="AD266" s="6" cm="1">
        <f t="array" ref="AD266">ROUND($R266*CAS_Inc_Salary2324s*VLOOKUP($A266,EnrollData2324,'2324 Jun 24 Enroll'!T$1,FALSE),2)-AC266</f>
        <v>16.410000000000025</v>
      </c>
      <c r="AE266" s="6" cm="1">
        <f t="array" ref="AE266">ROUND($Z266*CLS_Base_Salary2324s*VLOOKUP($A266,EnrollData2324,'2324 Jun 24 Enroll'!S$1,FALSE),2)</f>
        <v>926.07</v>
      </c>
      <c r="AF266" s="6" cm="1">
        <f t="array" ref="AF266">ROUND($Z266*CLS_Inc_Salary2324s*VLOOKUP($A266,EnrollData2324,'2324 Jun 24 Enroll'!T$1,FALSE),2)-AE266</f>
        <v>34.259999999999991</v>
      </c>
      <c r="AG266" cm="1">
        <f t="array" ref="AG266">ROUND(($J266+$R266)*Apport_124X2324s,2)</f>
        <v>734.29</v>
      </c>
      <c r="AH266" s="69">
        <f t="shared" si="24"/>
        <v>68.700000000000045</v>
      </c>
      <c r="AI266" cm="1">
        <f t="array" ref="AI266">ROUND($Z266*Apport_124X2324s,2)</f>
        <v>218.54</v>
      </c>
      <c r="AJ266" cm="1">
        <f t="array" ref="AJ266">ROUND($Z266*Apport_621X2324s*Apport_125X2324s,2)-AI266</f>
        <v>116.51000000000002</v>
      </c>
      <c r="AK266" cm="1">
        <f t="array" ref="AK266">ROUND((AA266+AC266)*Apport_126X2324s,2)</f>
        <v>805.47</v>
      </c>
      <c r="AL266" cm="1">
        <f t="array" ref="AL266">ROUND((AB266+AD266)*Apport_127X2324s,2)</f>
        <v>28.74</v>
      </c>
      <c r="AM266" cm="1">
        <f t="array" ref="AM266">ROUND(AE266*Apport_128X2324s,2)</f>
        <v>204.29</v>
      </c>
      <c r="AN266" cm="1">
        <f t="array" ref="AN266">ROUND(AF266*Apport_129X2324s,2)</f>
        <v>6.36</v>
      </c>
      <c r="AO266" cm="1">
        <f t="array" ref="AO266">ROUND(($J266*CIS_Inc_Salary2324s*(VLOOKUP($A266,EnrollData2324,'2324 Jun 24 Enroll'!T$1,FALSE)+VLOOKUP($A266,EnrollData2324,'2324 Jun 24 Enroll'!U$1,FALSE))/Apport_613Xpd)*Apport_614Xpd,2)</f>
        <v>69.8</v>
      </c>
      <c r="AP266" cm="1">
        <f t="array" ref="AP266">ROUND(AO266*Apport_127X2324s,2)</f>
        <v>12.1</v>
      </c>
      <c r="AQ266">
        <f t="shared" si="25"/>
        <v>30.93</v>
      </c>
      <c r="AR266" s="6" cm="1">
        <f t="array" ref="AR266">ROUND((VLOOKUP($A266,EnrollData2324,'2324 Jun 24 Enroll'!D$1,FALSE)*Apport_M802324s+VLOOKUP($A266,EnrollData2324,'2324 Jun 24 Enroll'!M$1,FALSE)*Apport_M802324s+(VLOOKUP($A266,EnrollData2324,'2324 Jun 24 Enroll'!P$1,FALSE)+VLOOKUP($A266,EnrollData2324,'2324 Jun 24 Enroll'!Q$1,FALSE)+VLOOKUP($A266,EnrollData2324,'2324 Jun 24 Enroll'!R$1,FALSE)+VLOOKUP($A266,EnrollData2324,'2324 Jun 24 Enroll'!I$1,FALSE)+VLOOKUP($A266,EnrollData2324,'2324 Jun 24 Enroll'!N$1,FALSE)+VLOOKUP($A266,EnrollData2324,'2324 Jun 24 Enroll'!O$1,FALSE)+VLOOKUP($A266,EnrollData2324,'2324 Jun 24 Enroll'!K$1,FALSE)+VLOOKUP($A266,EnrollData2324,'2324 Jun 24 Enroll'!L$1,FALSE))*Apport_M812324s)/(VLOOKUP($A266,EnrollData2324,'2324 Jun 24 Enroll'!M$1,FALSE)+VLOOKUP($A266,EnrollData2324,'2324 Jun 24 Enroll'!D$1,FALSE)),2)</f>
        <v>1623.93</v>
      </c>
      <c r="AS266" s="7">
        <f t="shared" si="26"/>
        <v>9528.1200000000008</v>
      </c>
    </row>
    <row r="267" spans="1:45">
      <c r="A267" s="40" t="s">
        <v>803</v>
      </c>
      <c r="B267" s="40" t="s">
        <v>804</v>
      </c>
      <c r="C267" s="11">
        <f>ROUND((IFERROR((1/IF(VLOOKUP($A267,EnrollData2324,28,FALSE)='District Calculations'!$D$10,VLOOKUP($A267,EnrollData2324,28,FALSE),'District Calculations'!$D$10))*(1+Apport_Z315),0))+Apport_201A2324s,6)</f>
        <v>7.3449E-2</v>
      </c>
      <c r="D267">
        <f>ROUND(IF(VLOOKUP($A267,EnrollData2324,'2324 Jun 24 Enroll'!D$1,FALSE)='District Calculations'!$D$11,VLOOKUP($A267,EnrollData2324,'2324 Jun 24 Enroll'!D$1,FALSE),'District Calculations'!$D$11)*C267,3)</f>
        <v>0</v>
      </c>
      <c r="E267">
        <f>ROUND(IF(VLOOKUP($A267,EnrollData2324,'2324 Jun 24 Enroll'!E$1,FALSE)='District Calculations'!$D$12,VLOOKUP($A267,EnrollData2324,'2324 Jun 24 Enroll'!E$1,FALSE),'District Calculations'!$D$12)*C267,3)</f>
        <v>59.53</v>
      </c>
      <c r="F267">
        <f>ROUND(IF(VLOOKUP($A267,EnrollData2324,'2324 Jun 24 Enroll'!F$1,FALSE)='District Calculations'!$D$13,VLOOKUP($A267,EnrollData2324,'2324 Jun 24 Enroll'!F$1,FALSE),'District Calculations'!$D$13)*Apport_222A2324s,3)</f>
        <v>10.101000000000001</v>
      </c>
      <c r="G267">
        <f>ROUND(IF(VLOOKUP($A267,EnrollData2324,'2324 Jun 24 Enroll'!G$1,FALSE)='District Calculations'!$D$14,VLOOKUP($A267,EnrollData2324,'2324 Jun 24 Enroll'!G$1,FALSE),'District Calculations'!$D$14)*Apport_210A2324s,3)</f>
        <v>22.395</v>
      </c>
      <c r="H267">
        <f>ROUND(IF(VLOOKUP($A267,EnrollData2324,'2324 Jun 24 Enroll'!H$1,FALSE)='District Calculations'!$D$15,VLOOKUP($A267,EnrollData2324,'2324 Jun 24 Enroll'!H$1,FALSE),'District Calculations'!$D$15)*Apport_213A2324s,3)</f>
        <v>23.091999999999999</v>
      </c>
      <c r="I267">
        <f>ROUND(IF(VLOOKUP($A267,EnrollData2324,'2324 Jun 24 Enroll'!I$1,FALSE)+VLOOKUP($A267,EnrollData2324,'2324 Jun 24 Enroll'!M$1,FALSE)-VLOOKUP($A267,EnrollData2324,'2324 Jun 24 Enroll'!J$1,FALSE)='District Calculations'!$D$16+'District Calculations'!$D$25-'District Calculations'!$D$17,VLOOKUP($A267,EnrollData2324,'2324 Jun 24 Enroll'!I$1,FALSE)+VLOOKUP($A267,EnrollData2324,'2324 Jun 24 Enroll'!M$1,FALSE)-VLOOKUP($A267,EnrollData2324,'2324 Jun 24 Enroll'!J$1,FALSE),'District Calculations'!$D$16+'District Calculations'!$D$25-'District Calculations'!$D$17)*Apport_216A2324s,3)</f>
        <v>58.183999999999997</v>
      </c>
      <c r="J267">
        <f>ROUND(SUM(D267:I267)/(IF(VLOOKUP($A267,EnrollData2324,'2324 Jun 24 Enroll'!M$1,FALSE)='District Calculations'!$D$25,VLOOKUP($A267,EnrollData2324,'2324 Jun 24 Enroll'!M$1,FALSE),'District Calculations'!$D$25)+IF(VLOOKUP($A267,EnrollData2324,'2324 Jun 24 Enroll'!D$1,FALSE)='District Calculations'!$D$11,VLOOKUP($A267,EnrollData2324,'2324 Jun 24 Enroll'!D$1,FALSE),'District Calculations'!$D$11)),5)</f>
        <v>5.5530000000000003E-2</v>
      </c>
      <c r="K267" s="11">
        <f t="shared" si="22"/>
        <v>4.3699999999999998E-3</v>
      </c>
      <c r="L267">
        <f>ROUND(IF(VLOOKUP($A267,EnrollData2324,'2324 Jun 24 Enroll'!D$1,FALSE)='District Calculations'!$D$11,VLOOKUP($A267,EnrollData2324,'2324 Jun 24 Enroll'!D$1,FALSE),'District Calculations'!$D$11)*K267,3)</f>
        <v>0</v>
      </c>
      <c r="M267">
        <f>ROUND(IF(VLOOKUP($A267,EnrollData2324,'2324 Jun 24 Enroll'!E$1,FALSE)='District Calculations'!$D$12,VLOOKUP($A267,EnrollData2324,'2324 Jun 24 Enroll'!E$1,FALSE),'District Calculations'!$D$12)*K267,3)</f>
        <v>3.5419999999999998</v>
      </c>
      <c r="N267">
        <f>ROUND(IF(VLOOKUP($A267,EnrollData2324,'2324 Jun 24 Enroll'!F$1,FALSE)='District Calculations'!$D$13,VLOOKUP($A267,EnrollData2324,'2324 Jun 24 Enroll'!F$1,FALSE),'District Calculations'!$D$13)*Apport_223A2324s,3)</f>
        <v>0.84299999999999997</v>
      </c>
      <c r="O267">
        <f>ROUND(IF(VLOOKUP($A267,EnrollData2324,'2324 Jun 24 Enroll'!G$1,FALSE)='District Calculations'!$D$14,VLOOKUP($A267,EnrollData2324,'2324 Jun 24 Enroll'!G$1,FALSE),'District Calculations'!$D$14)*Apport_211A2324s,3)</f>
        <v>1.87</v>
      </c>
      <c r="P267">
        <f>ROUND(IF(VLOOKUP($A267,EnrollData2324,'2324 Jun 24 Enroll'!H$1,FALSE)='District Calculations'!$D$14,VLOOKUP($A267,EnrollData2324,'2324 Jun 24 Enroll'!H$1,FALSE),'District Calculations'!$D$14)*Apport_214A2324s,3)</f>
        <v>1.8680000000000001</v>
      </c>
      <c r="Q267">
        <f>ROUND(IF(VLOOKUP($A267,EnrollData2324,'2324 Jun 24 Enroll'!I$1,FALSE)+VLOOKUP($A267,EnrollData2324,'2324 Jun 24 Enroll'!M$1,FALSE)-VLOOKUP($A267,EnrollData2324,'2324 Jun 24 Enroll'!J$1,FALSE)='District Calculations'!$D$16+'District Calculations'!$D$25-'District Calculations'!$D$17,VLOOKUP($A267,EnrollData2324,'2324 Jun 24 Enroll'!I$1,FALSE)+VLOOKUP($A267,EnrollData2324,'2324 Jun 24 Enroll'!M$1,FALSE)-VLOOKUP($A267,EnrollData2324,'2324 Jun 24 Enroll'!J$1,FALSE),'District Calculations'!$D$16+'District Calculations'!$D$25-'District Calculations'!$D$17)*Apport_217A2324s,3)</f>
        <v>4.702</v>
      </c>
      <c r="R267">
        <f>ROUND(SUM(L267:Q267)/IF(VLOOKUP($A267,EnrollData2324,'2324 Jun 24 Enroll'!M$1,FALSE)+VLOOKUP($A267,EnrollData2324,'2324 Jun 24 Enroll'!D$1,FALSE)='District Calculations'!$D$25+'District Calculations'!$D$11,VLOOKUP($A267,EnrollData2324,'2324 Jun 24 Enroll'!M$1,FALSE)+VLOOKUP($A267,EnrollData2324,'2324 Jun 24 Enroll'!D$1,FALSE),'District Calculations'!$D$25+'District Calculations'!$D$11),5)</f>
        <v>4.1099999999999999E-3</v>
      </c>
      <c r="S267" s="11">
        <f t="shared" si="23"/>
        <v>1.8689600000000001E-2</v>
      </c>
      <c r="T267">
        <f>ROUND(IF(VLOOKUP($A267,EnrollData2324,'2324 Jun 24 Enroll'!D$1,FALSE)='District Calculations'!$D$11,VLOOKUP($A267,EnrollData2324,'2324 Jun 24 Enroll'!D$1,FALSE),'District Calculations'!$D$11)*S267,3)</f>
        <v>0</v>
      </c>
      <c r="U267">
        <f>ROUND(IF(VLOOKUP($A267,EnrollData2324,'2324 Jun 24 Enroll'!E$1,FALSE)='District Calculations'!$D$12,VLOOKUP($A267,EnrollData2324,'2324 Jun 24 Enroll'!E$1,FALSE),'District Calculations'!$D$12)*S267,3)</f>
        <v>15.148</v>
      </c>
      <c r="V267">
        <f>ROUND(IF(VLOOKUP($A267,EnrollData2324,'2324 Jun 24 Enroll'!F$1,FALSE)='District Calculations'!$D$13,VLOOKUP($A267,EnrollData2324,'2324 Jun 24 Enroll'!F$1,FALSE),'District Calculations'!$D$13)*Apport_224A2324s,3)</f>
        <v>3.7029999999999998</v>
      </c>
      <c r="W267">
        <f>ROUND(IF(VLOOKUP($A267,EnrollData2324,'2324 Jun 24 Enroll'!G$1,FALSE)='District Calculations'!$D$14,VLOOKUP($A267,EnrollData2324,'2324 Jun 24 Enroll'!G$1,FALSE),'District Calculations'!$D$14)*Apport_212A2324s,3)</f>
        <v>8.2089999999999996</v>
      </c>
      <c r="X267">
        <f>ROUND(IF(VLOOKUP($A267,EnrollData2324,'2324 Jun 24 Enroll'!H$1,FALSE)='District Calculations'!$D$14,VLOOKUP($A267,EnrollData2324,'2324 Jun 24 Enroll'!H$1,FALSE),'District Calculations'!$D$14)*Apport_215A2324s,3)</f>
        <v>8.0969999999999995</v>
      </c>
      <c r="Y267">
        <f>ROUND(IF(VLOOKUP($A267,EnrollData2324,'2324 Jun 24 Enroll'!I$1,FALSE)+VLOOKUP($A267,EnrollData2324,'2324 Jun 24 Enroll'!M$1,FALSE)-VLOOKUP($A267,EnrollData2324,'2324 Jun 24 Enroll'!J$1,FALSE)='District Calculations'!$D$16+'District Calculations'!$D$25-'District Calculations'!$D$17,VLOOKUP($A267,EnrollData2324,'2324 Jun 24 Enroll'!I$1,FALSE)+VLOOKUP($A267,EnrollData2324,'2324 Jun 24 Enroll'!M$1,FALSE)-VLOOKUP($A267,EnrollData2324,'2324 Jun 24 Enroll'!J$1,FALSE),'District Calculations'!$D$16+'District Calculations'!$D$25-'District Calculations'!$D$17)*Apport_218A2324s,3)</f>
        <v>20.224</v>
      </c>
      <c r="Z267">
        <f>ROUND(SUM(T267:Y267)/IF(VLOOKUP($A267,EnrollData2324,'2324 Jun 24 Enroll'!M$1,FALSE)+VLOOKUP($A267,EnrollData2324,'2324 Jun 24 Enroll'!D$1,FALSE)='District Calculations'!$D$25+'District Calculations'!$D$11,VLOOKUP($A267,EnrollData2324,'2324 Jun 24 Enroll'!M$1,FALSE)+VLOOKUP($A267,EnrollData2324,'2324 Jun 24 Enroll'!D$1,FALSE),'District Calculations'!$D$25+'District Calculations'!$D$11),5)</f>
        <v>1.7749999999999998E-2</v>
      </c>
      <c r="AA267" s="6" cm="1">
        <f t="array" ref="AA267">ROUND($J267*CIS_Base_Salary2324s*VLOOKUP($A267,EnrollData2324,'2324 Jun 24 Enroll'!S$1,FALSE),2)</f>
        <v>4038.59</v>
      </c>
      <c r="AB267" s="6" cm="1">
        <f t="array" ref="AB267">ROUND($J267*CIS_Inc_Salary2324s*(VLOOKUP($A267,EnrollData2324,'2324 Jun 24 Enroll'!T$1,FALSE)+VLOOKUP($A267,EnrollData2324,'2324 Jun 24 Enroll'!U$1,FALSE)),2)-AA267</f>
        <v>149.43000000000029</v>
      </c>
      <c r="AC267" s="6" cm="1">
        <f t="array" ref="AC267">ROUND($R267*CAS_Base_Salary2324s*VLOOKUP($A267,EnrollData2324,'2324 Jun 24 Enroll'!S$1,FALSE),2)</f>
        <v>443.7</v>
      </c>
      <c r="AD267" s="6" cm="1">
        <f t="array" ref="AD267">ROUND($R267*CAS_Inc_Salary2324s*VLOOKUP($A267,EnrollData2324,'2324 Jun 24 Enroll'!T$1,FALSE),2)-AC267</f>
        <v>16.410000000000025</v>
      </c>
      <c r="AE267" s="6" cm="1">
        <f t="array" ref="AE267">ROUND($Z267*CLS_Base_Salary2324s*VLOOKUP($A267,EnrollData2324,'2324 Jun 24 Enroll'!S$1,FALSE),2)</f>
        <v>926.07</v>
      </c>
      <c r="AF267" s="6" cm="1">
        <f t="array" ref="AF267">ROUND($Z267*CLS_Inc_Salary2324s*VLOOKUP($A267,EnrollData2324,'2324 Jun 24 Enroll'!T$1,FALSE),2)-AE267</f>
        <v>34.259999999999991</v>
      </c>
      <c r="AG267" cm="1">
        <f t="array" ref="AG267">ROUND(($J267+$R267)*Apport_124X2324s,2)</f>
        <v>734.29</v>
      </c>
      <c r="AH267" s="69">
        <f t="shared" si="24"/>
        <v>68.700000000000045</v>
      </c>
      <c r="AI267" cm="1">
        <f t="array" ref="AI267">ROUND($Z267*Apport_124X2324s,2)</f>
        <v>218.54</v>
      </c>
      <c r="AJ267" cm="1">
        <f t="array" ref="AJ267">ROUND($Z267*Apport_621X2324s*Apport_125X2324s,2)-AI267</f>
        <v>116.51000000000002</v>
      </c>
      <c r="AK267" cm="1">
        <f t="array" ref="AK267">ROUND((AA267+AC267)*Apport_126X2324s,2)</f>
        <v>805.47</v>
      </c>
      <c r="AL267" cm="1">
        <f t="array" ref="AL267">ROUND((AB267+AD267)*Apport_127X2324s,2)</f>
        <v>28.74</v>
      </c>
      <c r="AM267" cm="1">
        <f t="array" ref="AM267">ROUND(AE267*Apport_128X2324s,2)</f>
        <v>204.29</v>
      </c>
      <c r="AN267" cm="1">
        <f t="array" ref="AN267">ROUND(AF267*Apport_129X2324s,2)</f>
        <v>6.36</v>
      </c>
      <c r="AO267" cm="1">
        <f t="array" ref="AO267">ROUND(($J267*CIS_Inc_Salary2324s*(VLOOKUP($A267,EnrollData2324,'2324 Jun 24 Enroll'!T$1,FALSE)+VLOOKUP($A267,EnrollData2324,'2324 Jun 24 Enroll'!U$1,FALSE))/Apport_613Xpd)*Apport_614Xpd,2)</f>
        <v>69.8</v>
      </c>
      <c r="AP267" cm="1">
        <f t="array" ref="AP267">ROUND(AO267*Apport_127X2324s,2)</f>
        <v>12.1</v>
      </c>
      <c r="AQ267">
        <f t="shared" si="25"/>
        <v>30.93</v>
      </c>
      <c r="AR267" s="6" cm="1">
        <f t="array" ref="AR267">ROUND((VLOOKUP($A267,EnrollData2324,'2324 Jun 24 Enroll'!D$1,FALSE)*Apport_M802324s+VLOOKUP($A267,EnrollData2324,'2324 Jun 24 Enroll'!M$1,FALSE)*Apport_M802324s+(VLOOKUP($A267,EnrollData2324,'2324 Jun 24 Enroll'!P$1,FALSE)+VLOOKUP($A267,EnrollData2324,'2324 Jun 24 Enroll'!Q$1,FALSE)+VLOOKUP($A267,EnrollData2324,'2324 Jun 24 Enroll'!R$1,FALSE)+VLOOKUP($A267,EnrollData2324,'2324 Jun 24 Enroll'!I$1,FALSE)+VLOOKUP($A267,EnrollData2324,'2324 Jun 24 Enroll'!N$1,FALSE)+VLOOKUP($A267,EnrollData2324,'2324 Jun 24 Enroll'!O$1,FALSE)+VLOOKUP($A267,EnrollData2324,'2324 Jun 24 Enroll'!K$1,FALSE)+VLOOKUP($A267,EnrollData2324,'2324 Jun 24 Enroll'!L$1,FALSE))*Apport_M812324s)/(VLOOKUP($A267,EnrollData2324,'2324 Jun 24 Enroll'!M$1,FALSE)+VLOOKUP($A267,EnrollData2324,'2324 Jun 24 Enroll'!D$1,FALSE)),2)</f>
        <v>1504.44</v>
      </c>
      <c r="AS267" s="7">
        <f t="shared" si="26"/>
        <v>9408.630000000001</v>
      </c>
    </row>
    <row r="268" spans="1:45">
      <c r="A268" s="40" t="s">
        <v>462</v>
      </c>
      <c r="B268" s="40" t="s">
        <v>463</v>
      </c>
      <c r="C268" s="11">
        <f>ROUND((IFERROR((1/IF(VLOOKUP($A268,EnrollData2324,28,FALSE)='District Calculations'!$D$10,VLOOKUP($A268,EnrollData2324,28,FALSE),'District Calculations'!$D$10))*(1+Apport_Z315),0))+Apport_201A2324s,6)</f>
        <v>7.3449E-2</v>
      </c>
      <c r="D268">
        <f>ROUND(IF(VLOOKUP($A268,EnrollData2324,'2324 Jun 24 Enroll'!D$1,FALSE)='District Calculations'!$D$11,VLOOKUP($A268,EnrollData2324,'2324 Jun 24 Enroll'!D$1,FALSE),'District Calculations'!$D$11)*C268,3)</f>
        <v>0</v>
      </c>
      <c r="E268">
        <f>ROUND(IF(VLOOKUP($A268,EnrollData2324,'2324 Jun 24 Enroll'!E$1,FALSE)='District Calculations'!$D$12,VLOOKUP($A268,EnrollData2324,'2324 Jun 24 Enroll'!E$1,FALSE),'District Calculations'!$D$12)*C268,3)</f>
        <v>59.53</v>
      </c>
      <c r="F268">
        <f>ROUND(IF(VLOOKUP($A268,EnrollData2324,'2324 Jun 24 Enroll'!F$1,FALSE)='District Calculations'!$D$13,VLOOKUP($A268,EnrollData2324,'2324 Jun 24 Enroll'!F$1,FALSE),'District Calculations'!$D$13)*Apport_222A2324s,3)</f>
        <v>10.101000000000001</v>
      </c>
      <c r="G268">
        <f>ROUND(IF(VLOOKUP($A268,EnrollData2324,'2324 Jun 24 Enroll'!G$1,FALSE)='District Calculations'!$D$14,VLOOKUP($A268,EnrollData2324,'2324 Jun 24 Enroll'!G$1,FALSE),'District Calculations'!$D$14)*Apport_210A2324s,3)</f>
        <v>22.395</v>
      </c>
      <c r="H268">
        <f>ROUND(IF(VLOOKUP($A268,EnrollData2324,'2324 Jun 24 Enroll'!H$1,FALSE)='District Calculations'!$D$15,VLOOKUP($A268,EnrollData2324,'2324 Jun 24 Enroll'!H$1,FALSE),'District Calculations'!$D$15)*Apport_213A2324s,3)</f>
        <v>23.091999999999999</v>
      </c>
      <c r="I268">
        <f>ROUND(IF(VLOOKUP($A268,EnrollData2324,'2324 Jun 24 Enroll'!I$1,FALSE)+VLOOKUP($A268,EnrollData2324,'2324 Jun 24 Enroll'!M$1,FALSE)-VLOOKUP($A268,EnrollData2324,'2324 Jun 24 Enroll'!J$1,FALSE)='District Calculations'!$D$16+'District Calculations'!$D$25-'District Calculations'!$D$17,VLOOKUP($A268,EnrollData2324,'2324 Jun 24 Enroll'!I$1,FALSE)+VLOOKUP($A268,EnrollData2324,'2324 Jun 24 Enroll'!M$1,FALSE)-VLOOKUP($A268,EnrollData2324,'2324 Jun 24 Enroll'!J$1,FALSE),'District Calculations'!$D$16+'District Calculations'!$D$25-'District Calculations'!$D$17)*Apport_216A2324s,3)</f>
        <v>58.183999999999997</v>
      </c>
      <c r="J268">
        <f>ROUND(SUM(D268:I268)/(IF(VLOOKUP($A268,EnrollData2324,'2324 Jun 24 Enroll'!M$1,FALSE)='District Calculations'!$D$25,VLOOKUP($A268,EnrollData2324,'2324 Jun 24 Enroll'!M$1,FALSE),'District Calculations'!$D$25)+IF(VLOOKUP($A268,EnrollData2324,'2324 Jun 24 Enroll'!D$1,FALSE)='District Calculations'!$D$11,VLOOKUP($A268,EnrollData2324,'2324 Jun 24 Enroll'!D$1,FALSE),'District Calculations'!$D$11)),5)</f>
        <v>5.5530000000000003E-2</v>
      </c>
      <c r="K268" s="11">
        <f t="shared" si="22"/>
        <v>4.3699999999999998E-3</v>
      </c>
      <c r="L268">
        <f>ROUND(IF(VLOOKUP($A268,EnrollData2324,'2324 Jun 24 Enroll'!D$1,FALSE)='District Calculations'!$D$11,VLOOKUP($A268,EnrollData2324,'2324 Jun 24 Enroll'!D$1,FALSE),'District Calculations'!$D$11)*K268,3)</f>
        <v>0</v>
      </c>
      <c r="M268">
        <f>ROUND(IF(VLOOKUP($A268,EnrollData2324,'2324 Jun 24 Enroll'!E$1,FALSE)='District Calculations'!$D$12,VLOOKUP($A268,EnrollData2324,'2324 Jun 24 Enroll'!E$1,FALSE),'District Calculations'!$D$12)*K268,3)</f>
        <v>3.5419999999999998</v>
      </c>
      <c r="N268">
        <f>ROUND(IF(VLOOKUP($A268,EnrollData2324,'2324 Jun 24 Enroll'!F$1,FALSE)='District Calculations'!$D$13,VLOOKUP($A268,EnrollData2324,'2324 Jun 24 Enroll'!F$1,FALSE),'District Calculations'!$D$13)*Apport_223A2324s,3)</f>
        <v>0.84299999999999997</v>
      </c>
      <c r="O268">
        <f>ROUND(IF(VLOOKUP($A268,EnrollData2324,'2324 Jun 24 Enroll'!G$1,FALSE)='District Calculations'!$D$14,VLOOKUP($A268,EnrollData2324,'2324 Jun 24 Enroll'!G$1,FALSE),'District Calculations'!$D$14)*Apport_211A2324s,3)</f>
        <v>1.87</v>
      </c>
      <c r="P268">
        <f>ROUND(IF(VLOOKUP($A268,EnrollData2324,'2324 Jun 24 Enroll'!H$1,FALSE)='District Calculations'!$D$14,VLOOKUP($A268,EnrollData2324,'2324 Jun 24 Enroll'!H$1,FALSE),'District Calculations'!$D$14)*Apport_214A2324s,3)</f>
        <v>1.8680000000000001</v>
      </c>
      <c r="Q268">
        <f>ROUND(IF(VLOOKUP($A268,EnrollData2324,'2324 Jun 24 Enroll'!I$1,FALSE)+VLOOKUP($A268,EnrollData2324,'2324 Jun 24 Enroll'!M$1,FALSE)-VLOOKUP($A268,EnrollData2324,'2324 Jun 24 Enroll'!J$1,FALSE)='District Calculations'!$D$16+'District Calculations'!$D$25-'District Calculations'!$D$17,VLOOKUP($A268,EnrollData2324,'2324 Jun 24 Enroll'!I$1,FALSE)+VLOOKUP($A268,EnrollData2324,'2324 Jun 24 Enroll'!M$1,FALSE)-VLOOKUP($A268,EnrollData2324,'2324 Jun 24 Enroll'!J$1,FALSE),'District Calculations'!$D$16+'District Calculations'!$D$25-'District Calculations'!$D$17)*Apport_217A2324s,3)</f>
        <v>4.702</v>
      </c>
      <c r="R268">
        <f>ROUND(SUM(L268:Q268)/IF(VLOOKUP($A268,EnrollData2324,'2324 Jun 24 Enroll'!M$1,FALSE)+VLOOKUP($A268,EnrollData2324,'2324 Jun 24 Enroll'!D$1,FALSE)='District Calculations'!$D$25+'District Calculations'!$D$11,VLOOKUP($A268,EnrollData2324,'2324 Jun 24 Enroll'!M$1,FALSE)+VLOOKUP($A268,EnrollData2324,'2324 Jun 24 Enroll'!D$1,FALSE),'District Calculations'!$D$25+'District Calculations'!$D$11),5)</f>
        <v>4.1099999999999999E-3</v>
      </c>
      <c r="S268" s="11">
        <f t="shared" si="23"/>
        <v>1.8689600000000001E-2</v>
      </c>
      <c r="T268">
        <f>ROUND(IF(VLOOKUP($A268,EnrollData2324,'2324 Jun 24 Enroll'!D$1,FALSE)='District Calculations'!$D$11,VLOOKUP($A268,EnrollData2324,'2324 Jun 24 Enroll'!D$1,FALSE),'District Calculations'!$D$11)*S268,3)</f>
        <v>0</v>
      </c>
      <c r="U268">
        <f>ROUND(IF(VLOOKUP($A268,EnrollData2324,'2324 Jun 24 Enroll'!E$1,FALSE)='District Calculations'!$D$12,VLOOKUP($A268,EnrollData2324,'2324 Jun 24 Enroll'!E$1,FALSE),'District Calculations'!$D$12)*S268,3)</f>
        <v>15.148</v>
      </c>
      <c r="V268">
        <f>ROUND(IF(VLOOKUP($A268,EnrollData2324,'2324 Jun 24 Enroll'!F$1,FALSE)='District Calculations'!$D$13,VLOOKUP($A268,EnrollData2324,'2324 Jun 24 Enroll'!F$1,FALSE),'District Calculations'!$D$13)*Apport_224A2324s,3)</f>
        <v>3.7029999999999998</v>
      </c>
      <c r="W268">
        <f>ROUND(IF(VLOOKUP($A268,EnrollData2324,'2324 Jun 24 Enroll'!G$1,FALSE)='District Calculations'!$D$14,VLOOKUP($A268,EnrollData2324,'2324 Jun 24 Enroll'!G$1,FALSE),'District Calculations'!$D$14)*Apport_212A2324s,3)</f>
        <v>8.2089999999999996</v>
      </c>
      <c r="X268">
        <f>ROUND(IF(VLOOKUP($A268,EnrollData2324,'2324 Jun 24 Enroll'!H$1,FALSE)='District Calculations'!$D$14,VLOOKUP($A268,EnrollData2324,'2324 Jun 24 Enroll'!H$1,FALSE),'District Calculations'!$D$14)*Apport_215A2324s,3)</f>
        <v>8.0969999999999995</v>
      </c>
      <c r="Y268">
        <f>ROUND(IF(VLOOKUP($A268,EnrollData2324,'2324 Jun 24 Enroll'!I$1,FALSE)+VLOOKUP($A268,EnrollData2324,'2324 Jun 24 Enroll'!M$1,FALSE)-VLOOKUP($A268,EnrollData2324,'2324 Jun 24 Enroll'!J$1,FALSE)='District Calculations'!$D$16+'District Calculations'!$D$25-'District Calculations'!$D$17,VLOOKUP($A268,EnrollData2324,'2324 Jun 24 Enroll'!I$1,FALSE)+VLOOKUP($A268,EnrollData2324,'2324 Jun 24 Enroll'!M$1,FALSE)-VLOOKUP($A268,EnrollData2324,'2324 Jun 24 Enroll'!J$1,FALSE),'District Calculations'!$D$16+'District Calculations'!$D$25-'District Calculations'!$D$17)*Apport_218A2324s,3)</f>
        <v>20.224</v>
      </c>
      <c r="Z268">
        <f>ROUND(SUM(T268:Y268)/IF(VLOOKUP($A268,EnrollData2324,'2324 Jun 24 Enroll'!M$1,FALSE)+VLOOKUP($A268,EnrollData2324,'2324 Jun 24 Enroll'!D$1,FALSE)='District Calculations'!$D$25+'District Calculations'!$D$11,VLOOKUP($A268,EnrollData2324,'2324 Jun 24 Enroll'!M$1,FALSE)+VLOOKUP($A268,EnrollData2324,'2324 Jun 24 Enroll'!D$1,FALSE),'District Calculations'!$D$25+'District Calculations'!$D$11),5)</f>
        <v>1.7749999999999998E-2</v>
      </c>
      <c r="AA268" s="6" cm="1">
        <f t="array" ref="AA268">ROUND($J268*CIS_Base_Salary2324s*VLOOKUP($A268,EnrollData2324,'2324 Jun 24 Enroll'!S$1,FALSE),2)</f>
        <v>4038.59</v>
      </c>
      <c r="AB268" s="6" cm="1">
        <f t="array" ref="AB268">ROUND($J268*CIS_Inc_Salary2324s*(VLOOKUP($A268,EnrollData2324,'2324 Jun 24 Enroll'!T$1,FALSE)+VLOOKUP($A268,EnrollData2324,'2324 Jun 24 Enroll'!U$1,FALSE)),2)-AA268</f>
        <v>149.43000000000029</v>
      </c>
      <c r="AC268" s="6" cm="1">
        <f t="array" ref="AC268">ROUND($R268*CAS_Base_Salary2324s*VLOOKUP($A268,EnrollData2324,'2324 Jun 24 Enroll'!S$1,FALSE),2)</f>
        <v>443.7</v>
      </c>
      <c r="AD268" s="6" cm="1">
        <f t="array" ref="AD268">ROUND($R268*CAS_Inc_Salary2324s*VLOOKUP($A268,EnrollData2324,'2324 Jun 24 Enroll'!T$1,FALSE),2)-AC268</f>
        <v>16.410000000000025</v>
      </c>
      <c r="AE268" s="6" cm="1">
        <f t="array" ref="AE268">ROUND($Z268*CLS_Base_Salary2324s*VLOOKUP($A268,EnrollData2324,'2324 Jun 24 Enroll'!S$1,FALSE),2)</f>
        <v>926.07</v>
      </c>
      <c r="AF268" s="6" cm="1">
        <f t="array" ref="AF268">ROUND($Z268*CLS_Inc_Salary2324s*VLOOKUP($A268,EnrollData2324,'2324 Jun 24 Enroll'!T$1,FALSE),2)-AE268</f>
        <v>34.259999999999991</v>
      </c>
      <c r="AG268" cm="1">
        <f t="array" ref="AG268">ROUND(($J268+$R268)*Apport_124X2324s,2)</f>
        <v>734.29</v>
      </c>
      <c r="AH268" s="69">
        <f t="shared" si="24"/>
        <v>68.700000000000045</v>
      </c>
      <c r="AI268" cm="1">
        <f t="array" ref="AI268">ROUND($Z268*Apport_124X2324s,2)</f>
        <v>218.54</v>
      </c>
      <c r="AJ268" cm="1">
        <f t="array" ref="AJ268">ROUND($Z268*Apport_621X2324s*Apport_125X2324s,2)-AI268</f>
        <v>116.51000000000002</v>
      </c>
      <c r="AK268" cm="1">
        <f t="array" ref="AK268">ROUND((AA268+AC268)*Apport_126X2324s,2)</f>
        <v>805.47</v>
      </c>
      <c r="AL268" cm="1">
        <f t="array" ref="AL268">ROUND((AB268+AD268)*Apport_127X2324s,2)</f>
        <v>28.74</v>
      </c>
      <c r="AM268" cm="1">
        <f t="array" ref="AM268">ROUND(AE268*Apport_128X2324s,2)</f>
        <v>204.29</v>
      </c>
      <c r="AN268" cm="1">
        <f t="array" ref="AN268">ROUND(AF268*Apport_129X2324s,2)</f>
        <v>6.36</v>
      </c>
      <c r="AO268" cm="1">
        <f t="array" ref="AO268">ROUND(($J268*CIS_Inc_Salary2324s*(VLOOKUP($A268,EnrollData2324,'2324 Jun 24 Enroll'!T$1,FALSE)+VLOOKUP($A268,EnrollData2324,'2324 Jun 24 Enroll'!U$1,FALSE))/Apport_613Xpd)*Apport_614Xpd,2)</f>
        <v>69.8</v>
      </c>
      <c r="AP268" cm="1">
        <f t="array" ref="AP268">ROUND(AO268*Apport_127X2324s,2)</f>
        <v>12.1</v>
      </c>
      <c r="AQ268">
        <f t="shared" si="25"/>
        <v>30.93</v>
      </c>
      <c r="AR268" s="6" cm="1">
        <f t="array" ref="AR268">ROUND((VLOOKUP($A268,EnrollData2324,'2324 Jun 24 Enroll'!D$1,FALSE)*Apport_M802324s+VLOOKUP($A268,EnrollData2324,'2324 Jun 24 Enroll'!M$1,FALSE)*Apport_M802324s+(VLOOKUP($A268,EnrollData2324,'2324 Jun 24 Enroll'!P$1,FALSE)+VLOOKUP($A268,EnrollData2324,'2324 Jun 24 Enroll'!Q$1,FALSE)+VLOOKUP($A268,EnrollData2324,'2324 Jun 24 Enroll'!R$1,FALSE)+VLOOKUP($A268,EnrollData2324,'2324 Jun 24 Enroll'!I$1,FALSE)+VLOOKUP($A268,EnrollData2324,'2324 Jun 24 Enroll'!N$1,FALSE)+VLOOKUP($A268,EnrollData2324,'2324 Jun 24 Enroll'!O$1,FALSE)+VLOOKUP($A268,EnrollData2324,'2324 Jun 24 Enroll'!K$1,FALSE)+VLOOKUP($A268,EnrollData2324,'2324 Jun 24 Enroll'!L$1,FALSE))*Apport_M812324s)/(VLOOKUP($A268,EnrollData2324,'2324 Jun 24 Enroll'!M$1,FALSE)+VLOOKUP($A268,EnrollData2324,'2324 Jun 24 Enroll'!D$1,FALSE)),2)</f>
        <v>1504.44</v>
      </c>
      <c r="AS268" s="7">
        <f t="shared" si="26"/>
        <v>9408.630000000001</v>
      </c>
    </row>
    <row r="269" spans="1:45">
      <c r="A269" s="40" t="s">
        <v>396</v>
      </c>
      <c r="B269" s="40" t="s">
        <v>397</v>
      </c>
      <c r="C269" s="11">
        <f>ROUND((IFERROR((1/IF(VLOOKUP($A269,EnrollData2324,28,FALSE)='District Calculations'!$D$10,VLOOKUP($A269,EnrollData2324,28,FALSE),'District Calculations'!$D$10))*(1+Apport_Z315),0))+Apport_201A2324s,6)</f>
        <v>7.3449E-2</v>
      </c>
      <c r="D269">
        <f>ROUND(IF(VLOOKUP($A269,EnrollData2324,'2324 Jun 24 Enroll'!D$1,FALSE)='District Calculations'!$D$11,VLOOKUP($A269,EnrollData2324,'2324 Jun 24 Enroll'!D$1,FALSE),'District Calculations'!$D$11)*C269,3)</f>
        <v>0</v>
      </c>
      <c r="E269">
        <f>ROUND(IF(VLOOKUP($A269,EnrollData2324,'2324 Jun 24 Enroll'!E$1,FALSE)='District Calculations'!$D$12,VLOOKUP($A269,EnrollData2324,'2324 Jun 24 Enroll'!E$1,FALSE),'District Calculations'!$D$12)*C269,3)</f>
        <v>59.53</v>
      </c>
      <c r="F269">
        <f>ROUND(IF(VLOOKUP($A269,EnrollData2324,'2324 Jun 24 Enroll'!F$1,FALSE)='District Calculations'!$D$13,VLOOKUP($A269,EnrollData2324,'2324 Jun 24 Enroll'!F$1,FALSE),'District Calculations'!$D$13)*Apport_222A2324s,3)</f>
        <v>10.101000000000001</v>
      </c>
      <c r="G269">
        <f>ROUND(IF(VLOOKUP($A269,EnrollData2324,'2324 Jun 24 Enroll'!G$1,FALSE)='District Calculations'!$D$14,VLOOKUP($A269,EnrollData2324,'2324 Jun 24 Enroll'!G$1,FALSE),'District Calculations'!$D$14)*Apport_210A2324s,3)</f>
        <v>22.395</v>
      </c>
      <c r="H269">
        <f>ROUND(IF(VLOOKUP($A269,EnrollData2324,'2324 Jun 24 Enroll'!H$1,FALSE)='District Calculations'!$D$15,VLOOKUP($A269,EnrollData2324,'2324 Jun 24 Enroll'!H$1,FALSE),'District Calculations'!$D$15)*Apport_213A2324s,3)</f>
        <v>23.091999999999999</v>
      </c>
      <c r="I269">
        <f>ROUND(IF(VLOOKUP($A269,EnrollData2324,'2324 Jun 24 Enroll'!I$1,FALSE)+VLOOKUP($A269,EnrollData2324,'2324 Jun 24 Enroll'!M$1,FALSE)-VLOOKUP($A269,EnrollData2324,'2324 Jun 24 Enroll'!J$1,FALSE)='District Calculations'!$D$16+'District Calculations'!$D$25-'District Calculations'!$D$17,VLOOKUP($A269,EnrollData2324,'2324 Jun 24 Enroll'!I$1,FALSE)+VLOOKUP($A269,EnrollData2324,'2324 Jun 24 Enroll'!M$1,FALSE)-VLOOKUP($A269,EnrollData2324,'2324 Jun 24 Enroll'!J$1,FALSE),'District Calculations'!$D$16+'District Calculations'!$D$25-'District Calculations'!$D$17)*Apport_216A2324s,3)</f>
        <v>58.183999999999997</v>
      </c>
      <c r="J269">
        <f>ROUND(SUM(D269:I269)/(IF(VLOOKUP($A269,EnrollData2324,'2324 Jun 24 Enroll'!M$1,FALSE)='District Calculations'!$D$25,VLOOKUP($A269,EnrollData2324,'2324 Jun 24 Enroll'!M$1,FALSE),'District Calculations'!$D$25)+IF(VLOOKUP($A269,EnrollData2324,'2324 Jun 24 Enroll'!D$1,FALSE)='District Calculations'!$D$11,VLOOKUP($A269,EnrollData2324,'2324 Jun 24 Enroll'!D$1,FALSE),'District Calculations'!$D$11)),5)</f>
        <v>5.5530000000000003E-2</v>
      </c>
      <c r="K269" s="11">
        <f t="shared" si="22"/>
        <v>4.3699999999999998E-3</v>
      </c>
      <c r="L269">
        <f>ROUND(IF(VLOOKUP($A269,EnrollData2324,'2324 Jun 24 Enroll'!D$1,FALSE)='District Calculations'!$D$11,VLOOKUP($A269,EnrollData2324,'2324 Jun 24 Enroll'!D$1,FALSE),'District Calculations'!$D$11)*K269,3)</f>
        <v>0</v>
      </c>
      <c r="M269">
        <f>ROUND(IF(VLOOKUP($A269,EnrollData2324,'2324 Jun 24 Enroll'!E$1,FALSE)='District Calculations'!$D$12,VLOOKUP($A269,EnrollData2324,'2324 Jun 24 Enroll'!E$1,FALSE),'District Calculations'!$D$12)*K269,3)</f>
        <v>3.5419999999999998</v>
      </c>
      <c r="N269">
        <f>ROUND(IF(VLOOKUP($A269,EnrollData2324,'2324 Jun 24 Enroll'!F$1,FALSE)='District Calculations'!$D$13,VLOOKUP($A269,EnrollData2324,'2324 Jun 24 Enroll'!F$1,FALSE),'District Calculations'!$D$13)*Apport_223A2324s,3)</f>
        <v>0.84299999999999997</v>
      </c>
      <c r="O269">
        <f>ROUND(IF(VLOOKUP($A269,EnrollData2324,'2324 Jun 24 Enroll'!G$1,FALSE)='District Calculations'!$D$14,VLOOKUP($A269,EnrollData2324,'2324 Jun 24 Enroll'!G$1,FALSE),'District Calculations'!$D$14)*Apport_211A2324s,3)</f>
        <v>1.87</v>
      </c>
      <c r="P269">
        <f>ROUND(IF(VLOOKUP($A269,EnrollData2324,'2324 Jun 24 Enroll'!H$1,FALSE)='District Calculations'!$D$14,VLOOKUP($A269,EnrollData2324,'2324 Jun 24 Enroll'!H$1,FALSE),'District Calculations'!$D$14)*Apport_214A2324s,3)</f>
        <v>1.8680000000000001</v>
      </c>
      <c r="Q269">
        <f>ROUND(IF(VLOOKUP($A269,EnrollData2324,'2324 Jun 24 Enroll'!I$1,FALSE)+VLOOKUP($A269,EnrollData2324,'2324 Jun 24 Enroll'!M$1,FALSE)-VLOOKUP($A269,EnrollData2324,'2324 Jun 24 Enroll'!J$1,FALSE)='District Calculations'!$D$16+'District Calculations'!$D$25-'District Calculations'!$D$17,VLOOKUP($A269,EnrollData2324,'2324 Jun 24 Enroll'!I$1,FALSE)+VLOOKUP($A269,EnrollData2324,'2324 Jun 24 Enroll'!M$1,FALSE)-VLOOKUP($A269,EnrollData2324,'2324 Jun 24 Enroll'!J$1,FALSE),'District Calculations'!$D$16+'District Calculations'!$D$25-'District Calculations'!$D$17)*Apport_217A2324s,3)</f>
        <v>4.702</v>
      </c>
      <c r="R269">
        <f>ROUND(SUM(L269:Q269)/IF(VLOOKUP($A269,EnrollData2324,'2324 Jun 24 Enroll'!M$1,FALSE)+VLOOKUP($A269,EnrollData2324,'2324 Jun 24 Enroll'!D$1,FALSE)='District Calculations'!$D$25+'District Calculations'!$D$11,VLOOKUP($A269,EnrollData2324,'2324 Jun 24 Enroll'!M$1,FALSE)+VLOOKUP($A269,EnrollData2324,'2324 Jun 24 Enroll'!D$1,FALSE),'District Calculations'!$D$25+'District Calculations'!$D$11),5)</f>
        <v>4.1099999999999999E-3</v>
      </c>
      <c r="S269" s="11">
        <f t="shared" si="23"/>
        <v>1.8689600000000001E-2</v>
      </c>
      <c r="T269">
        <f>ROUND(IF(VLOOKUP($A269,EnrollData2324,'2324 Jun 24 Enroll'!D$1,FALSE)='District Calculations'!$D$11,VLOOKUP($A269,EnrollData2324,'2324 Jun 24 Enroll'!D$1,FALSE),'District Calculations'!$D$11)*S269,3)</f>
        <v>0</v>
      </c>
      <c r="U269">
        <f>ROUND(IF(VLOOKUP($A269,EnrollData2324,'2324 Jun 24 Enroll'!E$1,FALSE)='District Calculations'!$D$12,VLOOKUP($A269,EnrollData2324,'2324 Jun 24 Enroll'!E$1,FALSE),'District Calculations'!$D$12)*S269,3)</f>
        <v>15.148</v>
      </c>
      <c r="V269">
        <f>ROUND(IF(VLOOKUP($A269,EnrollData2324,'2324 Jun 24 Enroll'!F$1,FALSE)='District Calculations'!$D$13,VLOOKUP($A269,EnrollData2324,'2324 Jun 24 Enroll'!F$1,FALSE),'District Calculations'!$D$13)*Apport_224A2324s,3)</f>
        <v>3.7029999999999998</v>
      </c>
      <c r="W269">
        <f>ROUND(IF(VLOOKUP($A269,EnrollData2324,'2324 Jun 24 Enroll'!G$1,FALSE)='District Calculations'!$D$14,VLOOKUP($A269,EnrollData2324,'2324 Jun 24 Enroll'!G$1,FALSE),'District Calculations'!$D$14)*Apport_212A2324s,3)</f>
        <v>8.2089999999999996</v>
      </c>
      <c r="X269">
        <f>ROUND(IF(VLOOKUP($A269,EnrollData2324,'2324 Jun 24 Enroll'!H$1,FALSE)='District Calculations'!$D$14,VLOOKUP($A269,EnrollData2324,'2324 Jun 24 Enroll'!H$1,FALSE),'District Calculations'!$D$14)*Apport_215A2324s,3)</f>
        <v>8.0969999999999995</v>
      </c>
      <c r="Y269">
        <f>ROUND(IF(VLOOKUP($A269,EnrollData2324,'2324 Jun 24 Enroll'!I$1,FALSE)+VLOOKUP($A269,EnrollData2324,'2324 Jun 24 Enroll'!M$1,FALSE)-VLOOKUP($A269,EnrollData2324,'2324 Jun 24 Enroll'!J$1,FALSE)='District Calculations'!$D$16+'District Calculations'!$D$25-'District Calculations'!$D$17,VLOOKUP($A269,EnrollData2324,'2324 Jun 24 Enroll'!I$1,FALSE)+VLOOKUP($A269,EnrollData2324,'2324 Jun 24 Enroll'!M$1,FALSE)-VLOOKUP($A269,EnrollData2324,'2324 Jun 24 Enroll'!J$1,FALSE),'District Calculations'!$D$16+'District Calculations'!$D$25-'District Calculations'!$D$17)*Apport_218A2324s,3)</f>
        <v>20.224</v>
      </c>
      <c r="Z269">
        <f>ROUND(SUM(T269:Y269)/IF(VLOOKUP($A269,EnrollData2324,'2324 Jun 24 Enroll'!M$1,FALSE)+VLOOKUP($A269,EnrollData2324,'2324 Jun 24 Enroll'!D$1,FALSE)='District Calculations'!$D$25+'District Calculations'!$D$11,VLOOKUP($A269,EnrollData2324,'2324 Jun 24 Enroll'!M$1,FALSE)+VLOOKUP($A269,EnrollData2324,'2324 Jun 24 Enroll'!D$1,FALSE),'District Calculations'!$D$25+'District Calculations'!$D$11),5)</f>
        <v>1.7749999999999998E-2</v>
      </c>
      <c r="AA269" s="6" cm="1">
        <f t="array" ref="AA269">ROUND($J269*CIS_Base_Salary2324s*VLOOKUP($A269,EnrollData2324,'2324 Jun 24 Enroll'!S$1,FALSE),2)</f>
        <v>4038.59</v>
      </c>
      <c r="AB269" s="6" cm="1">
        <f t="array" ref="AB269">ROUND($J269*CIS_Inc_Salary2324s*(VLOOKUP($A269,EnrollData2324,'2324 Jun 24 Enroll'!T$1,FALSE)+VLOOKUP($A269,EnrollData2324,'2324 Jun 24 Enroll'!U$1,FALSE)),2)-AA269</f>
        <v>149.43000000000029</v>
      </c>
      <c r="AC269" s="6" cm="1">
        <f t="array" ref="AC269">ROUND($R269*CAS_Base_Salary2324s*VLOOKUP($A269,EnrollData2324,'2324 Jun 24 Enroll'!S$1,FALSE),2)</f>
        <v>443.7</v>
      </c>
      <c r="AD269" s="6" cm="1">
        <f t="array" ref="AD269">ROUND($R269*CAS_Inc_Salary2324s*VLOOKUP($A269,EnrollData2324,'2324 Jun 24 Enroll'!T$1,FALSE),2)-AC269</f>
        <v>16.410000000000025</v>
      </c>
      <c r="AE269" s="6" cm="1">
        <f t="array" ref="AE269">ROUND($Z269*CLS_Base_Salary2324s*VLOOKUP($A269,EnrollData2324,'2324 Jun 24 Enroll'!S$1,FALSE),2)</f>
        <v>926.07</v>
      </c>
      <c r="AF269" s="6" cm="1">
        <f t="array" ref="AF269">ROUND($Z269*CLS_Inc_Salary2324s*VLOOKUP($A269,EnrollData2324,'2324 Jun 24 Enroll'!T$1,FALSE),2)-AE269</f>
        <v>34.259999999999991</v>
      </c>
      <c r="AG269" cm="1">
        <f t="array" ref="AG269">ROUND(($J269+$R269)*Apport_124X2324s,2)</f>
        <v>734.29</v>
      </c>
      <c r="AH269" s="69">
        <f t="shared" si="24"/>
        <v>68.700000000000045</v>
      </c>
      <c r="AI269" cm="1">
        <f t="array" ref="AI269">ROUND($Z269*Apport_124X2324s,2)</f>
        <v>218.54</v>
      </c>
      <c r="AJ269" cm="1">
        <f t="array" ref="AJ269">ROUND($Z269*Apport_621X2324s*Apport_125X2324s,2)-AI269</f>
        <v>116.51000000000002</v>
      </c>
      <c r="AK269" cm="1">
        <f t="array" ref="AK269">ROUND((AA269+AC269)*Apport_126X2324s,2)</f>
        <v>805.47</v>
      </c>
      <c r="AL269" cm="1">
        <f t="array" ref="AL269">ROUND((AB269+AD269)*Apport_127X2324s,2)</f>
        <v>28.74</v>
      </c>
      <c r="AM269" cm="1">
        <f t="array" ref="AM269">ROUND(AE269*Apport_128X2324s,2)</f>
        <v>204.29</v>
      </c>
      <c r="AN269" cm="1">
        <f t="array" ref="AN269">ROUND(AF269*Apport_129X2324s,2)</f>
        <v>6.36</v>
      </c>
      <c r="AO269" cm="1">
        <f t="array" ref="AO269">ROUND(($J269*CIS_Inc_Salary2324s*(VLOOKUP($A269,EnrollData2324,'2324 Jun 24 Enroll'!T$1,FALSE)+VLOOKUP($A269,EnrollData2324,'2324 Jun 24 Enroll'!U$1,FALSE))/Apport_613Xpd)*Apport_614Xpd,2)</f>
        <v>69.8</v>
      </c>
      <c r="AP269" cm="1">
        <f t="array" ref="AP269">ROUND(AO269*Apport_127X2324s,2)</f>
        <v>12.1</v>
      </c>
      <c r="AQ269">
        <f t="shared" si="25"/>
        <v>30.93</v>
      </c>
      <c r="AR269" s="6" cm="1">
        <f t="array" ref="AR269">ROUND((VLOOKUP($A269,EnrollData2324,'2324 Jun 24 Enroll'!D$1,FALSE)*Apport_M802324s+VLOOKUP($A269,EnrollData2324,'2324 Jun 24 Enroll'!M$1,FALSE)*Apport_M802324s+(VLOOKUP($A269,EnrollData2324,'2324 Jun 24 Enroll'!P$1,FALSE)+VLOOKUP($A269,EnrollData2324,'2324 Jun 24 Enroll'!Q$1,FALSE)+VLOOKUP($A269,EnrollData2324,'2324 Jun 24 Enroll'!R$1,FALSE)+VLOOKUP($A269,EnrollData2324,'2324 Jun 24 Enroll'!I$1,FALSE)+VLOOKUP($A269,EnrollData2324,'2324 Jun 24 Enroll'!N$1,FALSE)+VLOOKUP($A269,EnrollData2324,'2324 Jun 24 Enroll'!O$1,FALSE)+VLOOKUP($A269,EnrollData2324,'2324 Jun 24 Enroll'!K$1,FALSE)+VLOOKUP($A269,EnrollData2324,'2324 Jun 24 Enroll'!L$1,FALSE))*Apport_M812324s)/(VLOOKUP($A269,EnrollData2324,'2324 Jun 24 Enroll'!M$1,FALSE)+VLOOKUP($A269,EnrollData2324,'2324 Jun 24 Enroll'!D$1,FALSE)),2)</f>
        <v>1568.18</v>
      </c>
      <c r="AS269" s="7">
        <f t="shared" si="26"/>
        <v>9472.3700000000008</v>
      </c>
    </row>
    <row r="270" spans="1:45">
      <c r="A270" s="40" t="s">
        <v>576</v>
      </c>
      <c r="B270" s="40" t="s">
        <v>577</v>
      </c>
      <c r="C270" s="11">
        <f>ROUND((IFERROR((1/IF(VLOOKUP($A270,EnrollData2324,28,FALSE)='District Calculations'!$D$10,VLOOKUP($A270,EnrollData2324,28,FALSE),'District Calculations'!$D$10))*(1+Apport_Z315),0))+Apport_201A2324s,6)</f>
        <v>7.3449E-2</v>
      </c>
      <c r="D270">
        <f>ROUND(IF(VLOOKUP($A270,EnrollData2324,'2324 Jun 24 Enroll'!D$1,FALSE)='District Calculations'!$D$11,VLOOKUP($A270,EnrollData2324,'2324 Jun 24 Enroll'!D$1,FALSE),'District Calculations'!$D$11)*C270,3)</f>
        <v>0</v>
      </c>
      <c r="E270">
        <f>ROUND(IF(VLOOKUP($A270,EnrollData2324,'2324 Jun 24 Enroll'!E$1,FALSE)='District Calculations'!$D$12,VLOOKUP($A270,EnrollData2324,'2324 Jun 24 Enroll'!E$1,FALSE),'District Calculations'!$D$12)*C270,3)</f>
        <v>59.53</v>
      </c>
      <c r="F270">
        <f>ROUND(IF(VLOOKUP($A270,EnrollData2324,'2324 Jun 24 Enroll'!F$1,FALSE)='District Calculations'!$D$13,VLOOKUP($A270,EnrollData2324,'2324 Jun 24 Enroll'!F$1,FALSE),'District Calculations'!$D$13)*Apport_222A2324s,3)</f>
        <v>10.101000000000001</v>
      </c>
      <c r="G270">
        <f>ROUND(IF(VLOOKUP($A270,EnrollData2324,'2324 Jun 24 Enroll'!G$1,FALSE)='District Calculations'!$D$14,VLOOKUP($A270,EnrollData2324,'2324 Jun 24 Enroll'!G$1,FALSE),'District Calculations'!$D$14)*Apport_210A2324s,3)</f>
        <v>22.395</v>
      </c>
      <c r="H270">
        <f>ROUND(IF(VLOOKUP($A270,EnrollData2324,'2324 Jun 24 Enroll'!H$1,FALSE)='District Calculations'!$D$15,VLOOKUP($A270,EnrollData2324,'2324 Jun 24 Enroll'!H$1,FALSE),'District Calculations'!$D$15)*Apport_213A2324s,3)</f>
        <v>23.091999999999999</v>
      </c>
      <c r="I270">
        <f>ROUND(IF(VLOOKUP($A270,EnrollData2324,'2324 Jun 24 Enroll'!I$1,FALSE)+VLOOKUP($A270,EnrollData2324,'2324 Jun 24 Enroll'!M$1,FALSE)-VLOOKUP($A270,EnrollData2324,'2324 Jun 24 Enroll'!J$1,FALSE)='District Calculations'!$D$16+'District Calculations'!$D$25-'District Calculations'!$D$17,VLOOKUP($A270,EnrollData2324,'2324 Jun 24 Enroll'!I$1,FALSE)+VLOOKUP($A270,EnrollData2324,'2324 Jun 24 Enroll'!M$1,FALSE)-VLOOKUP($A270,EnrollData2324,'2324 Jun 24 Enroll'!J$1,FALSE),'District Calculations'!$D$16+'District Calculations'!$D$25-'District Calculations'!$D$17)*Apport_216A2324s,3)</f>
        <v>58.183999999999997</v>
      </c>
      <c r="J270">
        <f>ROUND(SUM(D270:I270)/(IF(VLOOKUP($A270,EnrollData2324,'2324 Jun 24 Enroll'!M$1,FALSE)='District Calculations'!$D$25,VLOOKUP($A270,EnrollData2324,'2324 Jun 24 Enroll'!M$1,FALSE),'District Calculations'!$D$25)+IF(VLOOKUP($A270,EnrollData2324,'2324 Jun 24 Enroll'!D$1,FALSE)='District Calculations'!$D$11,VLOOKUP($A270,EnrollData2324,'2324 Jun 24 Enroll'!D$1,FALSE),'District Calculations'!$D$11)),5)</f>
        <v>5.5530000000000003E-2</v>
      </c>
      <c r="K270" s="11">
        <f t="shared" si="22"/>
        <v>4.3699999999999998E-3</v>
      </c>
      <c r="L270">
        <f>ROUND(IF(VLOOKUP($A270,EnrollData2324,'2324 Jun 24 Enroll'!D$1,FALSE)='District Calculations'!$D$11,VLOOKUP($A270,EnrollData2324,'2324 Jun 24 Enroll'!D$1,FALSE),'District Calculations'!$D$11)*K270,3)</f>
        <v>0</v>
      </c>
      <c r="M270">
        <f>ROUND(IF(VLOOKUP($A270,EnrollData2324,'2324 Jun 24 Enroll'!E$1,FALSE)='District Calculations'!$D$12,VLOOKUP($A270,EnrollData2324,'2324 Jun 24 Enroll'!E$1,FALSE),'District Calculations'!$D$12)*K270,3)</f>
        <v>3.5419999999999998</v>
      </c>
      <c r="N270">
        <f>ROUND(IF(VLOOKUP($A270,EnrollData2324,'2324 Jun 24 Enroll'!F$1,FALSE)='District Calculations'!$D$13,VLOOKUP($A270,EnrollData2324,'2324 Jun 24 Enroll'!F$1,FALSE),'District Calculations'!$D$13)*Apport_223A2324s,3)</f>
        <v>0.84299999999999997</v>
      </c>
      <c r="O270">
        <f>ROUND(IF(VLOOKUP($A270,EnrollData2324,'2324 Jun 24 Enroll'!G$1,FALSE)='District Calculations'!$D$14,VLOOKUP($A270,EnrollData2324,'2324 Jun 24 Enroll'!G$1,FALSE),'District Calculations'!$D$14)*Apport_211A2324s,3)</f>
        <v>1.87</v>
      </c>
      <c r="P270">
        <f>ROUND(IF(VLOOKUP($A270,EnrollData2324,'2324 Jun 24 Enroll'!H$1,FALSE)='District Calculations'!$D$14,VLOOKUP($A270,EnrollData2324,'2324 Jun 24 Enroll'!H$1,FALSE),'District Calculations'!$D$14)*Apport_214A2324s,3)</f>
        <v>1.8680000000000001</v>
      </c>
      <c r="Q270">
        <f>ROUND(IF(VLOOKUP($A270,EnrollData2324,'2324 Jun 24 Enroll'!I$1,FALSE)+VLOOKUP($A270,EnrollData2324,'2324 Jun 24 Enroll'!M$1,FALSE)-VLOOKUP($A270,EnrollData2324,'2324 Jun 24 Enroll'!J$1,FALSE)='District Calculations'!$D$16+'District Calculations'!$D$25-'District Calculations'!$D$17,VLOOKUP($A270,EnrollData2324,'2324 Jun 24 Enroll'!I$1,FALSE)+VLOOKUP($A270,EnrollData2324,'2324 Jun 24 Enroll'!M$1,FALSE)-VLOOKUP($A270,EnrollData2324,'2324 Jun 24 Enroll'!J$1,FALSE),'District Calculations'!$D$16+'District Calculations'!$D$25-'District Calculations'!$D$17)*Apport_217A2324s,3)</f>
        <v>4.702</v>
      </c>
      <c r="R270">
        <f>ROUND(SUM(L270:Q270)/IF(VLOOKUP($A270,EnrollData2324,'2324 Jun 24 Enroll'!M$1,FALSE)+VLOOKUP($A270,EnrollData2324,'2324 Jun 24 Enroll'!D$1,FALSE)='District Calculations'!$D$25+'District Calculations'!$D$11,VLOOKUP($A270,EnrollData2324,'2324 Jun 24 Enroll'!M$1,FALSE)+VLOOKUP($A270,EnrollData2324,'2324 Jun 24 Enroll'!D$1,FALSE),'District Calculations'!$D$25+'District Calculations'!$D$11),5)</f>
        <v>4.1099999999999999E-3</v>
      </c>
      <c r="S270" s="11">
        <f t="shared" si="23"/>
        <v>1.8689600000000001E-2</v>
      </c>
      <c r="T270">
        <f>ROUND(IF(VLOOKUP($A270,EnrollData2324,'2324 Jun 24 Enroll'!D$1,FALSE)='District Calculations'!$D$11,VLOOKUP($A270,EnrollData2324,'2324 Jun 24 Enroll'!D$1,FALSE),'District Calculations'!$D$11)*S270,3)</f>
        <v>0</v>
      </c>
      <c r="U270">
        <f>ROUND(IF(VLOOKUP($A270,EnrollData2324,'2324 Jun 24 Enroll'!E$1,FALSE)='District Calculations'!$D$12,VLOOKUP($A270,EnrollData2324,'2324 Jun 24 Enroll'!E$1,FALSE),'District Calculations'!$D$12)*S270,3)</f>
        <v>15.148</v>
      </c>
      <c r="V270">
        <f>ROUND(IF(VLOOKUP($A270,EnrollData2324,'2324 Jun 24 Enroll'!F$1,FALSE)='District Calculations'!$D$13,VLOOKUP($A270,EnrollData2324,'2324 Jun 24 Enroll'!F$1,FALSE),'District Calculations'!$D$13)*Apport_224A2324s,3)</f>
        <v>3.7029999999999998</v>
      </c>
      <c r="W270">
        <f>ROUND(IF(VLOOKUP($A270,EnrollData2324,'2324 Jun 24 Enroll'!G$1,FALSE)='District Calculations'!$D$14,VLOOKUP($A270,EnrollData2324,'2324 Jun 24 Enroll'!G$1,FALSE),'District Calculations'!$D$14)*Apport_212A2324s,3)</f>
        <v>8.2089999999999996</v>
      </c>
      <c r="X270">
        <f>ROUND(IF(VLOOKUP($A270,EnrollData2324,'2324 Jun 24 Enroll'!H$1,FALSE)='District Calculations'!$D$14,VLOOKUP($A270,EnrollData2324,'2324 Jun 24 Enroll'!H$1,FALSE),'District Calculations'!$D$14)*Apport_215A2324s,3)</f>
        <v>8.0969999999999995</v>
      </c>
      <c r="Y270">
        <f>ROUND(IF(VLOOKUP($A270,EnrollData2324,'2324 Jun 24 Enroll'!I$1,FALSE)+VLOOKUP($A270,EnrollData2324,'2324 Jun 24 Enroll'!M$1,FALSE)-VLOOKUP($A270,EnrollData2324,'2324 Jun 24 Enroll'!J$1,FALSE)='District Calculations'!$D$16+'District Calculations'!$D$25-'District Calculations'!$D$17,VLOOKUP($A270,EnrollData2324,'2324 Jun 24 Enroll'!I$1,FALSE)+VLOOKUP($A270,EnrollData2324,'2324 Jun 24 Enroll'!M$1,FALSE)-VLOOKUP($A270,EnrollData2324,'2324 Jun 24 Enroll'!J$1,FALSE),'District Calculations'!$D$16+'District Calculations'!$D$25-'District Calculations'!$D$17)*Apport_218A2324s,3)</f>
        <v>20.224</v>
      </c>
      <c r="Z270">
        <f>ROUND(SUM(T270:Y270)/IF(VLOOKUP($A270,EnrollData2324,'2324 Jun 24 Enroll'!M$1,FALSE)+VLOOKUP($A270,EnrollData2324,'2324 Jun 24 Enroll'!D$1,FALSE)='District Calculations'!$D$25+'District Calculations'!$D$11,VLOOKUP($A270,EnrollData2324,'2324 Jun 24 Enroll'!M$1,FALSE)+VLOOKUP($A270,EnrollData2324,'2324 Jun 24 Enroll'!D$1,FALSE),'District Calculations'!$D$25+'District Calculations'!$D$11),5)</f>
        <v>1.7749999999999998E-2</v>
      </c>
      <c r="AA270" s="6" cm="1">
        <f t="array" ref="AA270">ROUND($J270*CIS_Base_Salary2324s*VLOOKUP($A270,EnrollData2324,'2324 Jun 24 Enroll'!S$1,FALSE),2)</f>
        <v>4038.59</v>
      </c>
      <c r="AB270" s="6" cm="1">
        <f t="array" ref="AB270">ROUND($J270*CIS_Inc_Salary2324s*(VLOOKUP($A270,EnrollData2324,'2324 Jun 24 Enroll'!T$1,FALSE)+VLOOKUP($A270,EnrollData2324,'2324 Jun 24 Enroll'!U$1,FALSE)),2)-AA270</f>
        <v>149.43000000000029</v>
      </c>
      <c r="AC270" s="6" cm="1">
        <f t="array" ref="AC270">ROUND($R270*CAS_Base_Salary2324s*VLOOKUP($A270,EnrollData2324,'2324 Jun 24 Enroll'!S$1,FALSE),2)</f>
        <v>443.7</v>
      </c>
      <c r="AD270" s="6" cm="1">
        <f t="array" ref="AD270">ROUND($R270*CAS_Inc_Salary2324s*VLOOKUP($A270,EnrollData2324,'2324 Jun 24 Enroll'!T$1,FALSE),2)-AC270</f>
        <v>16.410000000000025</v>
      </c>
      <c r="AE270" s="6" cm="1">
        <f t="array" ref="AE270">ROUND($Z270*CLS_Base_Salary2324s*VLOOKUP($A270,EnrollData2324,'2324 Jun 24 Enroll'!S$1,FALSE),2)</f>
        <v>926.07</v>
      </c>
      <c r="AF270" s="6" cm="1">
        <f t="array" ref="AF270">ROUND($Z270*CLS_Inc_Salary2324s*VLOOKUP($A270,EnrollData2324,'2324 Jun 24 Enroll'!T$1,FALSE),2)-AE270</f>
        <v>34.259999999999991</v>
      </c>
      <c r="AG270" cm="1">
        <f t="array" ref="AG270">ROUND(($J270+$R270)*Apport_124X2324s,2)</f>
        <v>734.29</v>
      </c>
      <c r="AH270" s="69">
        <f t="shared" si="24"/>
        <v>68.700000000000045</v>
      </c>
      <c r="AI270" cm="1">
        <f t="array" ref="AI270">ROUND($Z270*Apport_124X2324s,2)</f>
        <v>218.54</v>
      </c>
      <c r="AJ270" cm="1">
        <f t="array" ref="AJ270">ROUND($Z270*Apport_621X2324s*Apport_125X2324s,2)-AI270</f>
        <v>116.51000000000002</v>
      </c>
      <c r="AK270" cm="1">
        <f t="array" ref="AK270">ROUND((AA270+AC270)*Apport_126X2324s,2)</f>
        <v>805.47</v>
      </c>
      <c r="AL270" cm="1">
        <f t="array" ref="AL270">ROUND((AB270+AD270)*Apport_127X2324s,2)</f>
        <v>28.74</v>
      </c>
      <c r="AM270" cm="1">
        <f t="array" ref="AM270">ROUND(AE270*Apport_128X2324s,2)</f>
        <v>204.29</v>
      </c>
      <c r="AN270" cm="1">
        <f t="array" ref="AN270">ROUND(AF270*Apport_129X2324s,2)</f>
        <v>6.36</v>
      </c>
      <c r="AO270" cm="1">
        <f t="array" ref="AO270">ROUND(($J270*CIS_Inc_Salary2324s*(VLOOKUP($A270,EnrollData2324,'2324 Jun 24 Enroll'!T$1,FALSE)+VLOOKUP($A270,EnrollData2324,'2324 Jun 24 Enroll'!U$1,FALSE))/Apport_613Xpd)*Apport_614Xpd,2)</f>
        <v>69.8</v>
      </c>
      <c r="AP270" cm="1">
        <f t="array" ref="AP270">ROUND(AO270*Apport_127X2324s,2)</f>
        <v>12.1</v>
      </c>
      <c r="AQ270">
        <f t="shared" si="25"/>
        <v>30.93</v>
      </c>
      <c r="AR270" s="6" cm="1">
        <f t="array" ref="AR270">ROUND((VLOOKUP($A270,EnrollData2324,'2324 Jun 24 Enroll'!D$1,FALSE)*Apport_M802324s+VLOOKUP($A270,EnrollData2324,'2324 Jun 24 Enroll'!M$1,FALSE)*Apport_M802324s+(VLOOKUP($A270,EnrollData2324,'2324 Jun 24 Enroll'!P$1,FALSE)+VLOOKUP($A270,EnrollData2324,'2324 Jun 24 Enroll'!Q$1,FALSE)+VLOOKUP($A270,EnrollData2324,'2324 Jun 24 Enroll'!R$1,FALSE)+VLOOKUP($A270,EnrollData2324,'2324 Jun 24 Enroll'!I$1,FALSE)+VLOOKUP($A270,EnrollData2324,'2324 Jun 24 Enroll'!N$1,FALSE)+VLOOKUP($A270,EnrollData2324,'2324 Jun 24 Enroll'!O$1,FALSE)+VLOOKUP($A270,EnrollData2324,'2324 Jun 24 Enroll'!K$1,FALSE)+VLOOKUP($A270,EnrollData2324,'2324 Jun 24 Enroll'!L$1,FALSE))*Apport_M812324s)/(VLOOKUP($A270,EnrollData2324,'2324 Jun 24 Enroll'!M$1,FALSE)+VLOOKUP($A270,EnrollData2324,'2324 Jun 24 Enroll'!D$1,FALSE)),2)</f>
        <v>1592.54</v>
      </c>
      <c r="AS270" s="7">
        <f t="shared" si="26"/>
        <v>9496.73</v>
      </c>
    </row>
    <row r="271" spans="1:45">
      <c r="A271" s="40" t="s">
        <v>639</v>
      </c>
      <c r="B271" s="40" t="s">
        <v>640</v>
      </c>
      <c r="C271" s="11">
        <f>ROUND((IFERROR((1/IF(VLOOKUP($A271,EnrollData2324,28,FALSE)='District Calculations'!$D$10,VLOOKUP($A271,EnrollData2324,28,FALSE),'District Calculations'!$D$10))*(1+Apport_Z315),0))+Apport_201A2324s,6)</f>
        <v>7.3449E-2</v>
      </c>
      <c r="D271">
        <f>ROUND(IF(VLOOKUP($A271,EnrollData2324,'2324 Jun 24 Enroll'!D$1,FALSE)='District Calculations'!$D$11,VLOOKUP($A271,EnrollData2324,'2324 Jun 24 Enroll'!D$1,FALSE),'District Calculations'!$D$11)*C271,3)</f>
        <v>0</v>
      </c>
      <c r="E271">
        <f>ROUND(IF(VLOOKUP($A271,EnrollData2324,'2324 Jun 24 Enroll'!E$1,FALSE)='District Calculations'!$D$12,VLOOKUP($A271,EnrollData2324,'2324 Jun 24 Enroll'!E$1,FALSE),'District Calculations'!$D$12)*C271,3)</f>
        <v>59.53</v>
      </c>
      <c r="F271">
        <f>ROUND(IF(VLOOKUP($A271,EnrollData2324,'2324 Jun 24 Enroll'!F$1,FALSE)='District Calculations'!$D$13,VLOOKUP($A271,EnrollData2324,'2324 Jun 24 Enroll'!F$1,FALSE),'District Calculations'!$D$13)*Apport_222A2324s,3)</f>
        <v>10.101000000000001</v>
      </c>
      <c r="G271">
        <f>ROUND(IF(VLOOKUP($A271,EnrollData2324,'2324 Jun 24 Enroll'!G$1,FALSE)='District Calculations'!$D$14,VLOOKUP($A271,EnrollData2324,'2324 Jun 24 Enroll'!G$1,FALSE),'District Calculations'!$D$14)*Apport_210A2324s,3)</f>
        <v>22.395</v>
      </c>
      <c r="H271">
        <f>ROUND(IF(VLOOKUP($A271,EnrollData2324,'2324 Jun 24 Enroll'!H$1,FALSE)='District Calculations'!$D$15,VLOOKUP($A271,EnrollData2324,'2324 Jun 24 Enroll'!H$1,FALSE),'District Calculations'!$D$15)*Apport_213A2324s,3)</f>
        <v>23.091999999999999</v>
      </c>
      <c r="I271">
        <f>ROUND(IF(VLOOKUP($A271,EnrollData2324,'2324 Jun 24 Enroll'!I$1,FALSE)+VLOOKUP($A271,EnrollData2324,'2324 Jun 24 Enroll'!M$1,FALSE)-VLOOKUP($A271,EnrollData2324,'2324 Jun 24 Enroll'!J$1,FALSE)='District Calculations'!$D$16+'District Calculations'!$D$25-'District Calculations'!$D$17,VLOOKUP($A271,EnrollData2324,'2324 Jun 24 Enroll'!I$1,FALSE)+VLOOKUP($A271,EnrollData2324,'2324 Jun 24 Enroll'!M$1,FALSE)-VLOOKUP($A271,EnrollData2324,'2324 Jun 24 Enroll'!J$1,FALSE),'District Calculations'!$D$16+'District Calculations'!$D$25-'District Calculations'!$D$17)*Apport_216A2324s,3)</f>
        <v>58.183999999999997</v>
      </c>
      <c r="J271">
        <f>ROUND(SUM(D271:I271)/(IF(VLOOKUP($A271,EnrollData2324,'2324 Jun 24 Enroll'!M$1,FALSE)='District Calculations'!$D$25,VLOOKUP($A271,EnrollData2324,'2324 Jun 24 Enroll'!M$1,FALSE),'District Calculations'!$D$25)+IF(VLOOKUP($A271,EnrollData2324,'2324 Jun 24 Enroll'!D$1,FALSE)='District Calculations'!$D$11,VLOOKUP($A271,EnrollData2324,'2324 Jun 24 Enroll'!D$1,FALSE),'District Calculations'!$D$11)),5)</f>
        <v>5.5530000000000003E-2</v>
      </c>
      <c r="K271" s="11">
        <f t="shared" si="22"/>
        <v>4.3699999999999998E-3</v>
      </c>
      <c r="L271">
        <f>ROUND(IF(VLOOKUP($A271,EnrollData2324,'2324 Jun 24 Enroll'!D$1,FALSE)='District Calculations'!$D$11,VLOOKUP($A271,EnrollData2324,'2324 Jun 24 Enroll'!D$1,FALSE),'District Calculations'!$D$11)*K271,3)</f>
        <v>0</v>
      </c>
      <c r="M271">
        <f>ROUND(IF(VLOOKUP($A271,EnrollData2324,'2324 Jun 24 Enroll'!E$1,FALSE)='District Calculations'!$D$12,VLOOKUP($A271,EnrollData2324,'2324 Jun 24 Enroll'!E$1,FALSE),'District Calculations'!$D$12)*K271,3)</f>
        <v>3.5419999999999998</v>
      </c>
      <c r="N271">
        <f>ROUND(IF(VLOOKUP($A271,EnrollData2324,'2324 Jun 24 Enroll'!F$1,FALSE)='District Calculations'!$D$13,VLOOKUP($A271,EnrollData2324,'2324 Jun 24 Enroll'!F$1,FALSE),'District Calculations'!$D$13)*Apport_223A2324s,3)</f>
        <v>0.84299999999999997</v>
      </c>
      <c r="O271">
        <f>ROUND(IF(VLOOKUP($A271,EnrollData2324,'2324 Jun 24 Enroll'!G$1,FALSE)='District Calculations'!$D$14,VLOOKUP($A271,EnrollData2324,'2324 Jun 24 Enroll'!G$1,FALSE),'District Calculations'!$D$14)*Apport_211A2324s,3)</f>
        <v>1.87</v>
      </c>
      <c r="P271">
        <f>ROUND(IF(VLOOKUP($A271,EnrollData2324,'2324 Jun 24 Enroll'!H$1,FALSE)='District Calculations'!$D$14,VLOOKUP($A271,EnrollData2324,'2324 Jun 24 Enroll'!H$1,FALSE),'District Calculations'!$D$14)*Apport_214A2324s,3)</f>
        <v>1.8680000000000001</v>
      </c>
      <c r="Q271">
        <f>ROUND(IF(VLOOKUP($A271,EnrollData2324,'2324 Jun 24 Enroll'!I$1,FALSE)+VLOOKUP($A271,EnrollData2324,'2324 Jun 24 Enroll'!M$1,FALSE)-VLOOKUP($A271,EnrollData2324,'2324 Jun 24 Enroll'!J$1,FALSE)='District Calculations'!$D$16+'District Calculations'!$D$25-'District Calculations'!$D$17,VLOOKUP($A271,EnrollData2324,'2324 Jun 24 Enroll'!I$1,FALSE)+VLOOKUP($A271,EnrollData2324,'2324 Jun 24 Enroll'!M$1,FALSE)-VLOOKUP($A271,EnrollData2324,'2324 Jun 24 Enroll'!J$1,FALSE),'District Calculations'!$D$16+'District Calculations'!$D$25-'District Calculations'!$D$17)*Apport_217A2324s,3)</f>
        <v>4.702</v>
      </c>
      <c r="R271">
        <f>ROUND(SUM(L271:Q271)/IF(VLOOKUP($A271,EnrollData2324,'2324 Jun 24 Enroll'!M$1,FALSE)+VLOOKUP($A271,EnrollData2324,'2324 Jun 24 Enroll'!D$1,FALSE)='District Calculations'!$D$25+'District Calculations'!$D$11,VLOOKUP($A271,EnrollData2324,'2324 Jun 24 Enroll'!M$1,FALSE)+VLOOKUP($A271,EnrollData2324,'2324 Jun 24 Enroll'!D$1,FALSE),'District Calculations'!$D$25+'District Calculations'!$D$11),5)</f>
        <v>4.1099999999999999E-3</v>
      </c>
      <c r="S271" s="11">
        <f t="shared" si="23"/>
        <v>1.8689600000000001E-2</v>
      </c>
      <c r="T271">
        <f>ROUND(IF(VLOOKUP($A271,EnrollData2324,'2324 Jun 24 Enroll'!D$1,FALSE)='District Calculations'!$D$11,VLOOKUP($A271,EnrollData2324,'2324 Jun 24 Enroll'!D$1,FALSE),'District Calculations'!$D$11)*S271,3)</f>
        <v>0</v>
      </c>
      <c r="U271">
        <f>ROUND(IF(VLOOKUP($A271,EnrollData2324,'2324 Jun 24 Enroll'!E$1,FALSE)='District Calculations'!$D$12,VLOOKUP($A271,EnrollData2324,'2324 Jun 24 Enroll'!E$1,FALSE),'District Calculations'!$D$12)*S271,3)</f>
        <v>15.148</v>
      </c>
      <c r="V271">
        <f>ROUND(IF(VLOOKUP($A271,EnrollData2324,'2324 Jun 24 Enroll'!F$1,FALSE)='District Calculations'!$D$13,VLOOKUP($A271,EnrollData2324,'2324 Jun 24 Enroll'!F$1,FALSE),'District Calculations'!$D$13)*Apport_224A2324s,3)</f>
        <v>3.7029999999999998</v>
      </c>
      <c r="W271">
        <f>ROUND(IF(VLOOKUP($A271,EnrollData2324,'2324 Jun 24 Enroll'!G$1,FALSE)='District Calculations'!$D$14,VLOOKUP($A271,EnrollData2324,'2324 Jun 24 Enroll'!G$1,FALSE),'District Calculations'!$D$14)*Apport_212A2324s,3)</f>
        <v>8.2089999999999996</v>
      </c>
      <c r="X271">
        <f>ROUND(IF(VLOOKUP($A271,EnrollData2324,'2324 Jun 24 Enroll'!H$1,FALSE)='District Calculations'!$D$14,VLOOKUP($A271,EnrollData2324,'2324 Jun 24 Enroll'!H$1,FALSE),'District Calculations'!$D$14)*Apport_215A2324s,3)</f>
        <v>8.0969999999999995</v>
      </c>
      <c r="Y271">
        <f>ROUND(IF(VLOOKUP($A271,EnrollData2324,'2324 Jun 24 Enroll'!I$1,FALSE)+VLOOKUP($A271,EnrollData2324,'2324 Jun 24 Enroll'!M$1,FALSE)-VLOOKUP($A271,EnrollData2324,'2324 Jun 24 Enroll'!J$1,FALSE)='District Calculations'!$D$16+'District Calculations'!$D$25-'District Calculations'!$D$17,VLOOKUP($A271,EnrollData2324,'2324 Jun 24 Enroll'!I$1,FALSE)+VLOOKUP($A271,EnrollData2324,'2324 Jun 24 Enroll'!M$1,FALSE)-VLOOKUP($A271,EnrollData2324,'2324 Jun 24 Enroll'!J$1,FALSE),'District Calculations'!$D$16+'District Calculations'!$D$25-'District Calculations'!$D$17)*Apport_218A2324s,3)</f>
        <v>20.224</v>
      </c>
      <c r="Z271">
        <f>ROUND(SUM(T271:Y271)/IF(VLOOKUP($A271,EnrollData2324,'2324 Jun 24 Enroll'!M$1,FALSE)+VLOOKUP($A271,EnrollData2324,'2324 Jun 24 Enroll'!D$1,FALSE)='District Calculations'!$D$25+'District Calculations'!$D$11,VLOOKUP($A271,EnrollData2324,'2324 Jun 24 Enroll'!M$1,FALSE)+VLOOKUP($A271,EnrollData2324,'2324 Jun 24 Enroll'!D$1,FALSE),'District Calculations'!$D$25+'District Calculations'!$D$11),5)</f>
        <v>1.7749999999999998E-2</v>
      </c>
      <c r="AA271" s="6" cm="1">
        <f t="array" ref="AA271">ROUND($J271*CIS_Base_Salary2324s*VLOOKUP($A271,EnrollData2324,'2324 Jun 24 Enroll'!S$1,FALSE),2)</f>
        <v>4038.59</v>
      </c>
      <c r="AB271" s="6" cm="1">
        <f t="array" ref="AB271">ROUND($J271*CIS_Inc_Salary2324s*(VLOOKUP($A271,EnrollData2324,'2324 Jun 24 Enroll'!T$1,FALSE)+VLOOKUP($A271,EnrollData2324,'2324 Jun 24 Enroll'!U$1,FALSE)),2)-AA271</f>
        <v>149.43000000000029</v>
      </c>
      <c r="AC271" s="6" cm="1">
        <f t="array" ref="AC271">ROUND($R271*CAS_Base_Salary2324s*VLOOKUP($A271,EnrollData2324,'2324 Jun 24 Enroll'!S$1,FALSE),2)</f>
        <v>443.7</v>
      </c>
      <c r="AD271" s="6" cm="1">
        <f t="array" ref="AD271">ROUND($R271*CAS_Inc_Salary2324s*VLOOKUP($A271,EnrollData2324,'2324 Jun 24 Enroll'!T$1,FALSE),2)-AC271</f>
        <v>16.410000000000025</v>
      </c>
      <c r="AE271" s="6" cm="1">
        <f t="array" ref="AE271">ROUND($Z271*CLS_Base_Salary2324s*VLOOKUP($A271,EnrollData2324,'2324 Jun 24 Enroll'!S$1,FALSE),2)</f>
        <v>926.07</v>
      </c>
      <c r="AF271" s="6" cm="1">
        <f t="array" ref="AF271">ROUND($Z271*CLS_Inc_Salary2324s*VLOOKUP($A271,EnrollData2324,'2324 Jun 24 Enroll'!T$1,FALSE),2)-AE271</f>
        <v>34.259999999999991</v>
      </c>
      <c r="AG271" cm="1">
        <f t="array" ref="AG271">ROUND(($J271+$R271)*Apport_124X2324s,2)</f>
        <v>734.29</v>
      </c>
      <c r="AH271" s="69">
        <f t="shared" si="24"/>
        <v>68.700000000000045</v>
      </c>
      <c r="AI271" cm="1">
        <f t="array" ref="AI271">ROUND($Z271*Apport_124X2324s,2)</f>
        <v>218.54</v>
      </c>
      <c r="AJ271" cm="1">
        <f t="array" ref="AJ271">ROUND($Z271*Apport_621X2324s*Apport_125X2324s,2)-AI271</f>
        <v>116.51000000000002</v>
      </c>
      <c r="AK271" cm="1">
        <f t="array" ref="AK271">ROUND((AA271+AC271)*Apport_126X2324s,2)</f>
        <v>805.47</v>
      </c>
      <c r="AL271" cm="1">
        <f t="array" ref="AL271">ROUND((AB271+AD271)*Apport_127X2324s,2)</f>
        <v>28.74</v>
      </c>
      <c r="AM271" cm="1">
        <f t="array" ref="AM271">ROUND(AE271*Apport_128X2324s,2)</f>
        <v>204.29</v>
      </c>
      <c r="AN271" cm="1">
        <f t="array" ref="AN271">ROUND(AF271*Apport_129X2324s,2)</f>
        <v>6.36</v>
      </c>
      <c r="AO271" cm="1">
        <f t="array" ref="AO271">ROUND(($J271*CIS_Inc_Salary2324s*(VLOOKUP($A271,EnrollData2324,'2324 Jun 24 Enroll'!T$1,FALSE)+VLOOKUP($A271,EnrollData2324,'2324 Jun 24 Enroll'!U$1,FALSE))/Apport_613Xpd)*Apport_614Xpd,2)</f>
        <v>69.8</v>
      </c>
      <c r="AP271" cm="1">
        <f t="array" ref="AP271">ROUND(AO271*Apport_127X2324s,2)</f>
        <v>12.1</v>
      </c>
      <c r="AQ271">
        <f t="shared" si="25"/>
        <v>30.93</v>
      </c>
      <c r="AR271" s="6" cm="1">
        <f t="array" ref="AR271">ROUND((VLOOKUP($A271,EnrollData2324,'2324 Jun 24 Enroll'!D$1,FALSE)*Apport_M802324s+VLOOKUP($A271,EnrollData2324,'2324 Jun 24 Enroll'!M$1,FALSE)*Apport_M802324s+(VLOOKUP($A271,EnrollData2324,'2324 Jun 24 Enroll'!P$1,FALSE)+VLOOKUP($A271,EnrollData2324,'2324 Jun 24 Enroll'!Q$1,FALSE)+VLOOKUP($A271,EnrollData2324,'2324 Jun 24 Enroll'!R$1,FALSE)+VLOOKUP($A271,EnrollData2324,'2324 Jun 24 Enroll'!I$1,FALSE)+VLOOKUP($A271,EnrollData2324,'2324 Jun 24 Enroll'!N$1,FALSE)+VLOOKUP($A271,EnrollData2324,'2324 Jun 24 Enroll'!O$1,FALSE)+VLOOKUP($A271,EnrollData2324,'2324 Jun 24 Enroll'!K$1,FALSE)+VLOOKUP($A271,EnrollData2324,'2324 Jun 24 Enroll'!L$1,FALSE))*Apport_M812324s)/(VLOOKUP($A271,EnrollData2324,'2324 Jun 24 Enroll'!M$1,FALSE)+VLOOKUP($A271,EnrollData2324,'2324 Jun 24 Enroll'!D$1,FALSE)),2)</f>
        <v>1621.54</v>
      </c>
      <c r="AS271" s="7">
        <f t="shared" si="26"/>
        <v>9525.73</v>
      </c>
    </row>
    <row r="272" spans="1:45">
      <c r="A272" s="40" t="s">
        <v>528</v>
      </c>
      <c r="B272" s="40" t="s">
        <v>529</v>
      </c>
      <c r="C272" s="11">
        <f>ROUND((IFERROR((1/IF(VLOOKUP($A272,EnrollData2324,28,FALSE)='District Calculations'!$D$10,VLOOKUP($A272,EnrollData2324,28,FALSE),'District Calculations'!$D$10))*(1+Apport_Z315),0))+Apport_201A2324s,6)</f>
        <v>7.3449E-2</v>
      </c>
      <c r="D272">
        <f>ROUND(IF(VLOOKUP($A272,EnrollData2324,'2324 Jun 24 Enroll'!D$1,FALSE)='District Calculations'!$D$11,VLOOKUP($A272,EnrollData2324,'2324 Jun 24 Enroll'!D$1,FALSE),'District Calculations'!$D$11)*C272,3)</f>
        <v>0</v>
      </c>
      <c r="E272">
        <f>ROUND(IF(VLOOKUP($A272,EnrollData2324,'2324 Jun 24 Enroll'!E$1,FALSE)='District Calculations'!$D$12,VLOOKUP($A272,EnrollData2324,'2324 Jun 24 Enroll'!E$1,FALSE),'District Calculations'!$D$12)*C272,3)</f>
        <v>59.53</v>
      </c>
      <c r="F272">
        <f>ROUND(IF(VLOOKUP($A272,EnrollData2324,'2324 Jun 24 Enroll'!F$1,FALSE)='District Calculations'!$D$13,VLOOKUP($A272,EnrollData2324,'2324 Jun 24 Enroll'!F$1,FALSE),'District Calculations'!$D$13)*Apport_222A2324s,3)</f>
        <v>10.101000000000001</v>
      </c>
      <c r="G272">
        <f>ROUND(IF(VLOOKUP($A272,EnrollData2324,'2324 Jun 24 Enroll'!G$1,FALSE)='District Calculations'!$D$14,VLOOKUP($A272,EnrollData2324,'2324 Jun 24 Enroll'!G$1,FALSE),'District Calculations'!$D$14)*Apport_210A2324s,3)</f>
        <v>22.395</v>
      </c>
      <c r="H272">
        <f>ROUND(IF(VLOOKUP($A272,EnrollData2324,'2324 Jun 24 Enroll'!H$1,FALSE)='District Calculations'!$D$15,VLOOKUP($A272,EnrollData2324,'2324 Jun 24 Enroll'!H$1,FALSE),'District Calculations'!$D$15)*Apport_213A2324s,3)</f>
        <v>23.091999999999999</v>
      </c>
      <c r="I272">
        <f>ROUND(IF(VLOOKUP($A272,EnrollData2324,'2324 Jun 24 Enroll'!I$1,FALSE)+VLOOKUP($A272,EnrollData2324,'2324 Jun 24 Enroll'!M$1,FALSE)-VLOOKUP($A272,EnrollData2324,'2324 Jun 24 Enroll'!J$1,FALSE)='District Calculations'!$D$16+'District Calculations'!$D$25-'District Calculations'!$D$17,VLOOKUP($A272,EnrollData2324,'2324 Jun 24 Enroll'!I$1,FALSE)+VLOOKUP($A272,EnrollData2324,'2324 Jun 24 Enroll'!M$1,FALSE)-VLOOKUP($A272,EnrollData2324,'2324 Jun 24 Enroll'!J$1,FALSE),'District Calculations'!$D$16+'District Calculations'!$D$25-'District Calculations'!$D$17)*Apport_216A2324s,3)</f>
        <v>58.183999999999997</v>
      </c>
      <c r="J272">
        <f>ROUND(SUM(D272:I272)/(IF(VLOOKUP($A272,EnrollData2324,'2324 Jun 24 Enroll'!M$1,FALSE)='District Calculations'!$D$25,VLOOKUP($A272,EnrollData2324,'2324 Jun 24 Enroll'!M$1,FALSE),'District Calculations'!$D$25)+IF(VLOOKUP($A272,EnrollData2324,'2324 Jun 24 Enroll'!D$1,FALSE)='District Calculations'!$D$11,VLOOKUP($A272,EnrollData2324,'2324 Jun 24 Enroll'!D$1,FALSE),'District Calculations'!$D$11)),5)</f>
        <v>5.5530000000000003E-2</v>
      </c>
      <c r="K272" s="11">
        <f t="shared" si="22"/>
        <v>4.3699999999999998E-3</v>
      </c>
      <c r="L272">
        <f>ROUND(IF(VLOOKUP($A272,EnrollData2324,'2324 Jun 24 Enroll'!D$1,FALSE)='District Calculations'!$D$11,VLOOKUP($A272,EnrollData2324,'2324 Jun 24 Enroll'!D$1,FALSE),'District Calculations'!$D$11)*K272,3)</f>
        <v>0</v>
      </c>
      <c r="M272">
        <f>ROUND(IF(VLOOKUP($A272,EnrollData2324,'2324 Jun 24 Enroll'!E$1,FALSE)='District Calculations'!$D$12,VLOOKUP($A272,EnrollData2324,'2324 Jun 24 Enroll'!E$1,FALSE),'District Calculations'!$D$12)*K272,3)</f>
        <v>3.5419999999999998</v>
      </c>
      <c r="N272">
        <f>ROUND(IF(VLOOKUP($A272,EnrollData2324,'2324 Jun 24 Enroll'!F$1,FALSE)='District Calculations'!$D$13,VLOOKUP($A272,EnrollData2324,'2324 Jun 24 Enroll'!F$1,FALSE),'District Calculations'!$D$13)*Apport_223A2324s,3)</f>
        <v>0.84299999999999997</v>
      </c>
      <c r="O272">
        <f>ROUND(IF(VLOOKUP($A272,EnrollData2324,'2324 Jun 24 Enroll'!G$1,FALSE)='District Calculations'!$D$14,VLOOKUP($A272,EnrollData2324,'2324 Jun 24 Enroll'!G$1,FALSE),'District Calculations'!$D$14)*Apport_211A2324s,3)</f>
        <v>1.87</v>
      </c>
      <c r="P272">
        <f>ROUND(IF(VLOOKUP($A272,EnrollData2324,'2324 Jun 24 Enroll'!H$1,FALSE)='District Calculations'!$D$14,VLOOKUP($A272,EnrollData2324,'2324 Jun 24 Enroll'!H$1,FALSE),'District Calculations'!$D$14)*Apport_214A2324s,3)</f>
        <v>1.8680000000000001</v>
      </c>
      <c r="Q272">
        <f>ROUND(IF(VLOOKUP($A272,EnrollData2324,'2324 Jun 24 Enroll'!I$1,FALSE)+VLOOKUP($A272,EnrollData2324,'2324 Jun 24 Enroll'!M$1,FALSE)-VLOOKUP($A272,EnrollData2324,'2324 Jun 24 Enroll'!J$1,FALSE)='District Calculations'!$D$16+'District Calculations'!$D$25-'District Calculations'!$D$17,VLOOKUP($A272,EnrollData2324,'2324 Jun 24 Enroll'!I$1,FALSE)+VLOOKUP($A272,EnrollData2324,'2324 Jun 24 Enroll'!M$1,FALSE)-VLOOKUP($A272,EnrollData2324,'2324 Jun 24 Enroll'!J$1,FALSE),'District Calculations'!$D$16+'District Calculations'!$D$25-'District Calculations'!$D$17)*Apport_217A2324s,3)</f>
        <v>4.702</v>
      </c>
      <c r="R272">
        <f>ROUND(SUM(L272:Q272)/IF(VLOOKUP($A272,EnrollData2324,'2324 Jun 24 Enroll'!M$1,FALSE)+VLOOKUP($A272,EnrollData2324,'2324 Jun 24 Enroll'!D$1,FALSE)='District Calculations'!$D$25+'District Calculations'!$D$11,VLOOKUP($A272,EnrollData2324,'2324 Jun 24 Enroll'!M$1,FALSE)+VLOOKUP($A272,EnrollData2324,'2324 Jun 24 Enroll'!D$1,FALSE),'District Calculations'!$D$25+'District Calculations'!$D$11),5)</f>
        <v>4.1099999999999999E-3</v>
      </c>
      <c r="S272" s="11">
        <f t="shared" si="23"/>
        <v>1.8689600000000001E-2</v>
      </c>
      <c r="T272">
        <f>ROUND(IF(VLOOKUP($A272,EnrollData2324,'2324 Jun 24 Enroll'!D$1,FALSE)='District Calculations'!$D$11,VLOOKUP($A272,EnrollData2324,'2324 Jun 24 Enroll'!D$1,FALSE),'District Calculations'!$D$11)*S272,3)</f>
        <v>0</v>
      </c>
      <c r="U272">
        <f>ROUND(IF(VLOOKUP($A272,EnrollData2324,'2324 Jun 24 Enroll'!E$1,FALSE)='District Calculations'!$D$12,VLOOKUP($A272,EnrollData2324,'2324 Jun 24 Enroll'!E$1,FALSE),'District Calculations'!$D$12)*S272,3)</f>
        <v>15.148</v>
      </c>
      <c r="V272">
        <f>ROUND(IF(VLOOKUP($A272,EnrollData2324,'2324 Jun 24 Enroll'!F$1,FALSE)='District Calculations'!$D$13,VLOOKUP($A272,EnrollData2324,'2324 Jun 24 Enroll'!F$1,FALSE),'District Calculations'!$D$13)*Apport_224A2324s,3)</f>
        <v>3.7029999999999998</v>
      </c>
      <c r="W272">
        <f>ROUND(IF(VLOOKUP($A272,EnrollData2324,'2324 Jun 24 Enroll'!G$1,FALSE)='District Calculations'!$D$14,VLOOKUP($A272,EnrollData2324,'2324 Jun 24 Enroll'!G$1,FALSE),'District Calculations'!$D$14)*Apport_212A2324s,3)</f>
        <v>8.2089999999999996</v>
      </c>
      <c r="X272">
        <f>ROUND(IF(VLOOKUP($A272,EnrollData2324,'2324 Jun 24 Enroll'!H$1,FALSE)='District Calculations'!$D$14,VLOOKUP($A272,EnrollData2324,'2324 Jun 24 Enroll'!H$1,FALSE),'District Calculations'!$D$14)*Apport_215A2324s,3)</f>
        <v>8.0969999999999995</v>
      </c>
      <c r="Y272">
        <f>ROUND(IF(VLOOKUP($A272,EnrollData2324,'2324 Jun 24 Enroll'!I$1,FALSE)+VLOOKUP($A272,EnrollData2324,'2324 Jun 24 Enroll'!M$1,FALSE)-VLOOKUP($A272,EnrollData2324,'2324 Jun 24 Enroll'!J$1,FALSE)='District Calculations'!$D$16+'District Calculations'!$D$25-'District Calculations'!$D$17,VLOOKUP($A272,EnrollData2324,'2324 Jun 24 Enroll'!I$1,FALSE)+VLOOKUP($A272,EnrollData2324,'2324 Jun 24 Enroll'!M$1,FALSE)-VLOOKUP($A272,EnrollData2324,'2324 Jun 24 Enroll'!J$1,FALSE),'District Calculations'!$D$16+'District Calculations'!$D$25-'District Calculations'!$D$17)*Apport_218A2324s,3)</f>
        <v>20.224</v>
      </c>
      <c r="Z272">
        <f>ROUND(SUM(T272:Y272)/IF(VLOOKUP($A272,EnrollData2324,'2324 Jun 24 Enroll'!M$1,FALSE)+VLOOKUP($A272,EnrollData2324,'2324 Jun 24 Enroll'!D$1,FALSE)='District Calculations'!$D$25+'District Calculations'!$D$11,VLOOKUP($A272,EnrollData2324,'2324 Jun 24 Enroll'!M$1,FALSE)+VLOOKUP($A272,EnrollData2324,'2324 Jun 24 Enroll'!D$1,FALSE),'District Calculations'!$D$25+'District Calculations'!$D$11),5)</f>
        <v>1.7749999999999998E-2</v>
      </c>
      <c r="AA272" s="6" cm="1">
        <f t="array" ref="AA272">ROUND($J272*CIS_Base_Salary2324s*VLOOKUP($A272,EnrollData2324,'2324 Jun 24 Enroll'!S$1,FALSE),2)</f>
        <v>4038.59</v>
      </c>
      <c r="AB272" s="6" cm="1">
        <f t="array" ref="AB272">ROUND($J272*CIS_Inc_Salary2324s*(VLOOKUP($A272,EnrollData2324,'2324 Jun 24 Enroll'!T$1,FALSE)+VLOOKUP($A272,EnrollData2324,'2324 Jun 24 Enroll'!U$1,FALSE)),2)-AA272</f>
        <v>233.1899999999996</v>
      </c>
      <c r="AC272" s="6" cm="1">
        <f t="array" ref="AC272">ROUND($R272*CAS_Base_Salary2324s*VLOOKUP($A272,EnrollData2324,'2324 Jun 24 Enroll'!S$1,FALSE),2)</f>
        <v>443.7</v>
      </c>
      <c r="AD272" s="6" cm="1">
        <f t="array" ref="AD272">ROUND($R272*CAS_Inc_Salary2324s*VLOOKUP($A272,EnrollData2324,'2324 Jun 24 Enroll'!T$1,FALSE),2)-AC272</f>
        <v>16.410000000000025</v>
      </c>
      <c r="AE272" s="6" cm="1">
        <f t="array" ref="AE272">ROUND($Z272*CLS_Base_Salary2324s*VLOOKUP($A272,EnrollData2324,'2324 Jun 24 Enroll'!S$1,FALSE),2)</f>
        <v>926.07</v>
      </c>
      <c r="AF272" s="6" cm="1">
        <f t="array" ref="AF272">ROUND($Z272*CLS_Inc_Salary2324s*VLOOKUP($A272,EnrollData2324,'2324 Jun 24 Enroll'!T$1,FALSE),2)-AE272</f>
        <v>34.259999999999991</v>
      </c>
      <c r="AG272" cm="1">
        <f t="array" ref="AG272">ROUND(($J272+$R272)*Apport_124X2324s,2)</f>
        <v>734.29</v>
      </c>
      <c r="AH272" s="69">
        <f t="shared" si="24"/>
        <v>68.700000000000045</v>
      </c>
      <c r="AI272" cm="1">
        <f t="array" ref="AI272">ROUND($Z272*Apport_124X2324s,2)</f>
        <v>218.54</v>
      </c>
      <c r="AJ272" cm="1">
        <f t="array" ref="AJ272">ROUND($Z272*Apport_621X2324s*Apport_125X2324s,2)-AI272</f>
        <v>116.51000000000002</v>
      </c>
      <c r="AK272" cm="1">
        <f t="array" ref="AK272">ROUND((AA272+AC272)*Apport_126X2324s,2)</f>
        <v>805.47</v>
      </c>
      <c r="AL272" cm="1">
        <f t="array" ref="AL272">ROUND((AB272+AD272)*Apport_127X2324s,2)</f>
        <v>43.26</v>
      </c>
      <c r="AM272" cm="1">
        <f t="array" ref="AM272">ROUND(AE272*Apport_128X2324s,2)</f>
        <v>204.29</v>
      </c>
      <c r="AN272" cm="1">
        <f t="array" ref="AN272">ROUND(AF272*Apport_129X2324s,2)</f>
        <v>6.36</v>
      </c>
      <c r="AO272" cm="1">
        <f t="array" ref="AO272">ROUND(($J272*CIS_Inc_Salary2324s*(VLOOKUP($A272,EnrollData2324,'2324 Jun 24 Enroll'!T$1,FALSE)+VLOOKUP($A272,EnrollData2324,'2324 Jun 24 Enroll'!U$1,FALSE))/Apport_613Xpd)*Apport_614Xpd,2)</f>
        <v>71.2</v>
      </c>
      <c r="AP272" cm="1">
        <f t="array" ref="AP272">ROUND(AO272*Apport_127X2324s,2)</f>
        <v>12.34</v>
      </c>
      <c r="AQ272">
        <f t="shared" si="25"/>
        <v>30.93</v>
      </c>
      <c r="AR272" s="6" cm="1">
        <f t="array" ref="AR272">ROUND((VLOOKUP($A272,EnrollData2324,'2324 Jun 24 Enroll'!D$1,FALSE)*Apport_M802324s+VLOOKUP($A272,EnrollData2324,'2324 Jun 24 Enroll'!M$1,FALSE)*Apport_M802324s+(VLOOKUP($A272,EnrollData2324,'2324 Jun 24 Enroll'!P$1,FALSE)+VLOOKUP($A272,EnrollData2324,'2324 Jun 24 Enroll'!Q$1,FALSE)+VLOOKUP($A272,EnrollData2324,'2324 Jun 24 Enroll'!R$1,FALSE)+VLOOKUP($A272,EnrollData2324,'2324 Jun 24 Enroll'!I$1,FALSE)+VLOOKUP($A272,EnrollData2324,'2324 Jun 24 Enroll'!N$1,FALSE)+VLOOKUP($A272,EnrollData2324,'2324 Jun 24 Enroll'!O$1,FALSE)+VLOOKUP($A272,EnrollData2324,'2324 Jun 24 Enroll'!K$1,FALSE)+VLOOKUP($A272,EnrollData2324,'2324 Jun 24 Enroll'!L$1,FALSE))*Apport_M812324s)/(VLOOKUP($A272,EnrollData2324,'2324 Jun 24 Enroll'!M$1,FALSE)+VLOOKUP($A272,EnrollData2324,'2324 Jun 24 Enroll'!D$1,FALSE)),2)</f>
        <v>1613.69</v>
      </c>
      <c r="AS272" s="7">
        <f t="shared" si="26"/>
        <v>9617.7999999999993</v>
      </c>
    </row>
    <row r="273" spans="1:45">
      <c r="A273" s="40" t="s">
        <v>893</v>
      </c>
      <c r="B273" s="40" t="s">
        <v>894</v>
      </c>
      <c r="C273" s="11">
        <f>ROUND((IFERROR((1/IF(VLOOKUP($A273,EnrollData2324,28,FALSE)='District Calculations'!$D$10,VLOOKUP($A273,EnrollData2324,28,FALSE),'District Calculations'!$D$10))*(1+Apport_Z315),0))+Apport_201A2324s,6)</f>
        <v>7.3449E-2</v>
      </c>
      <c r="D273">
        <f>ROUND(IF(VLOOKUP($A273,EnrollData2324,'2324 Jun 24 Enroll'!D$1,FALSE)='District Calculations'!$D$11,VLOOKUP($A273,EnrollData2324,'2324 Jun 24 Enroll'!D$1,FALSE),'District Calculations'!$D$11)*C273,3)</f>
        <v>0</v>
      </c>
      <c r="E273">
        <f>ROUND(IF(VLOOKUP($A273,EnrollData2324,'2324 Jun 24 Enroll'!E$1,FALSE)='District Calculations'!$D$12,VLOOKUP($A273,EnrollData2324,'2324 Jun 24 Enroll'!E$1,FALSE),'District Calculations'!$D$12)*C273,3)</f>
        <v>59.53</v>
      </c>
      <c r="F273">
        <f>ROUND(IF(VLOOKUP($A273,EnrollData2324,'2324 Jun 24 Enroll'!F$1,FALSE)='District Calculations'!$D$13,VLOOKUP($A273,EnrollData2324,'2324 Jun 24 Enroll'!F$1,FALSE),'District Calculations'!$D$13)*Apport_222A2324s,3)</f>
        <v>10.101000000000001</v>
      </c>
      <c r="G273">
        <f>ROUND(IF(VLOOKUP($A273,EnrollData2324,'2324 Jun 24 Enroll'!G$1,FALSE)='District Calculations'!$D$14,VLOOKUP($A273,EnrollData2324,'2324 Jun 24 Enroll'!G$1,FALSE),'District Calculations'!$D$14)*Apport_210A2324s,3)</f>
        <v>22.395</v>
      </c>
      <c r="H273">
        <f>ROUND(IF(VLOOKUP($A273,EnrollData2324,'2324 Jun 24 Enroll'!H$1,FALSE)='District Calculations'!$D$15,VLOOKUP($A273,EnrollData2324,'2324 Jun 24 Enroll'!H$1,FALSE),'District Calculations'!$D$15)*Apport_213A2324s,3)</f>
        <v>23.091999999999999</v>
      </c>
      <c r="I273">
        <f>ROUND(IF(VLOOKUP($A273,EnrollData2324,'2324 Jun 24 Enroll'!I$1,FALSE)+VLOOKUP($A273,EnrollData2324,'2324 Jun 24 Enroll'!M$1,FALSE)-VLOOKUP($A273,EnrollData2324,'2324 Jun 24 Enroll'!J$1,FALSE)='District Calculations'!$D$16+'District Calculations'!$D$25-'District Calculations'!$D$17,VLOOKUP($A273,EnrollData2324,'2324 Jun 24 Enroll'!I$1,FALSE)+VLOOKUP($A273,EnrollData2324,'2324 Jun 24 Enroll'!M$1,FALSE)-VLOOKUP($A273,EnrollData2324,'2324 Jun 24 Enroll'!J$1,FALSE),'District Calculations'!$D$16+'District Calculations'!$D$25-'District Calculations'!$D$17)*Apport_216A2324s,3)</f>
        <v>58.183999999999997</v>
      </c>
      <c r="J273">
        <f>ROUND(SUM(D273:I273)/(IF(VLOOKUP($A273,EnrollData2324,'2324 Jun 24 Enroll'!M$1,FALSE)='District Calculations'!$D$25,VLOOKUP($A273,EnrollData2324,'2324 Jun 24 Enroll'!M$1,FALSE),'District Calculations'!$D$25)+IF(VLOOKUP($A273,EnrollData2324,'2324 Jun 24 Enroll'!D$1,FALSE)='District Calculations'!$D$11,VLOOKUP($A273,EnrollData2324,'2324 Jun 24 Enroll'!D$1,FALSE),'District Calculations'!$D$11)),5)</f>
        <v>5.5530000000000003E-2</v>
      </c>
      <c r="K273" s="11">
        <f t="shared" si="22"/>
        <v>4.3699999999999998E-3</v>
      </c>
      <c r="L273">
        <f>ROUND(IF(VLOOKUP($A273,EnrollData2324,'2324 Jun 24 Enroll'!D$1,FALSE)='District Calculations'!$D$11,VLOOKUP($A273,EnrollData2324,'2324 Jun 24 Enroll'!D$1,FALSE),'District Calculations'!$D$11)*K273,3)</f>
        <v>0</v>
      </c>
      <c r="M273">
        <f>ROUND(IF(VLOOKUP($A273,EnrollData2324,'2324 Jun 24 Enroll'!E$1,FALSE)='District Calculations'!$D$12,VLOOKUP($A273,EnrollData2324,'2324 Jun 24 Enroll'!E$1,FALSE),'District Calculations'!$D$12)*K273,3)</f>
        <v>3.5419999999999998</v>
      </c>
      <c r="N273">
        <f>ROUND(IF(VLOOKUP($A273,EnrollData2324,'2324 Jun 24 Enroll'!F$1,FALSE)='District Calculations'!$D$13,VLOOKUP($A273,EnrollData2324,'2324 Jun 24 Enroll'!F$1,FALSE),'District Calculations'!$D$13)*Apport_223A2324s,3)</f>
        <v>0.84299999999999997</v>
      </c>
      <c r="O273">
        <f>ROUND(IF(VLOOKUP($A273,EnrollData2324,'2324 Jun 24 Enroll'!G$1,FALSE)='District Calculations'!$D$14,VLOOKUP($A273,EnrollData2324,'2324 Jun 24 Enroll'!G$1,FALSE),'District Calculations'!$D$14)*Apport_211A2324s,3)</f>
        <v>1.87</v>
      </c>
      <c r="P273">
        <f>ROUND(IF(VLOOKUP($A273,EnrollData2324,'2324 Jun 24 Enroll'!H$1,FALSE)='District Calculations'!$D$14,VLOOKUP($A273,EnrollData2324,'2324 Jun 24 Enroll'!H$1,FALSE),'District Calculations'!$D$14)*Apport_214A2324s,3)</f>
        <v>1.8680000000000001</v>
      </c>
      <c r="Q273">
        <f>ROUND(IF(VLOOKUP($A273,EnrollData2324,'2324 Jun 24 Enroll'!I$1,FALSE)+VLOOKUP($A273,EnrollData2324,'2324 Jun 24 Enroll'!M$1,FALSE)-VLOOKUP($A273,EnrollData2324,'2324 Jun 24 Enroll'!J$1,FALSE)='District Calculations'!$D$16+'District Calculations'!$D$25-'District Calculations'!$D$17,VLOOKUP($A273,EnrollData2324,'2324 Jun 24 Enroll'!I$1,FALSE)+VLOOKUP($A273,EnrollData2324,'2324 Jun 24 Enroll'!M$1,FALSE)-VLOOKUP($A273,EnrollData2324,'2324 Jun 24 Enroll'!J$1,FALSE),'District Calculations'!$D$16+'District Calculations'!$D$25-'District Calculations'!$D$17)*Apport_217A2324s,3)</f>
        <v>4.702</v>
      </c>
      <c r="R273">
        <f>ROUND(SUM(L273:Q273)/IF(VLOOKUP($A273,EnrollData2324,'2324 Jun 24 Enroll'!M$1,FALSE)+VLOOKUP($A273,EnrollData2324,'2324 Jun 24 Enroll'!D$1,FALSE)='District Calculations'!$D$25+'District Calculations'!$D$11,VLOOKUP($A273,EnrollData2324,'2324 Jun 24 Enroll'!M$1,FALSE)+VLOOKUP($A273,EnrollData2324,'2324 Jun 24 Enroll'!D$1,FALSE),'District Calculations'!$D$25+'District Calculations'!$D$11),5)</f>
        <v>4.1099999999999999E-3</v>
      </c>
      <c r="S273" s="11">
        <f t="shared" si="23"/>
        <v>1.8689600000000001E-2</v>
      </c>
      <c r="T273">
        <f>ROUND(IF(VLOOKUP($A273,EnrollData2324,'2324 Jun 24 Enroll'!D$1,FALSE)='District Calculations'!$D$11,VLOOKUP($A273,EnrollData2324,'2324 Jun 24 Enroll'!D$1,FALSE),'District Calculations'!$D$11)*S273,3)</f>
        <v>0</v>
      </c>
      <c r="U273">
        <f>ROUND(IF(VLOOKUP($A273,EnrollData2324,'2324 Jun 24 Enroll'!E$1,FALSE)='District Calculations'!$D$12,VLOOKUP($A273,EnrollData2324,'2324 Jun 24 Enroll'!E$1,FALSE),'District Calculations'!$D$12)*S273,3)</f>
        <v>15.148</v>
      </c>
      <c r="V273">
        <f>ROUND(IF(VLOOKUP($A273,EnrollData2324,'2324 Jun 24 Enroll'!F$1,FALSE)='District Calculations'!$D$13,VLOOKUP($A273,EnrollData2324,'2324 Jun 24 Enroll'!F$1,FALSE),'District Calculations'!$D$13)*Apport_224A2324s,3)</f>
        <v>3.7029999999999998</v>
      </c>
      <c r="W273">
        <f>ROUND(IF(VLOOKUP($A273,EnrollData2324,'2324 Jun 24 Enroll'!G$1,FALSE)='District Calculations'!$D$14,VLOOKUP($A273,EnrollData2324,'2324 Jun 24 Enroll'!G$1,FALSE),'District Calculations'!$D$14)*Apport_212A2324s,3)</f>
        <v>8.2089999999999996</v>
      </c>
      <c r="X273">
        <f>ROUND(IF(VLOOKUP($A273,EnrollData2324,'2324 Jun 24 Enroll'!H$1,FALSE)='District Calculations'!$D$14,VLOOKUP($A273,EnrollData2324,'2324 Jun 24 Enroll'!H$1,FALSE),'District Calculations'!$D$14)*Apport_215A2324s,3)</f>
        <v>8.0969999999999995</v>
      </c>
      <c r="Y273">
        <f>ROUND(IF(VLOOKUP($A273,EnrollData2324,'2324 Jun 24 Enroll'!I$1,FALSE)+VLOOKUP($A273,EnrollData2324,'2324 Jun 24 Enroll'!M$1,FALSE)-VLOOKUP($A273,EnrollData2324,'2324 Jun 24 Enroll'!J$1,FALSE)='District Calculations'!$D$16+'District Calculations'!$D$25-'District Calculations'!$D$17,VLOOKUP($A273,EnrollData2324,'2324 Jun 24 Enroll'!I$1,FALSE)+VLOOKUP($A273,EnrollData2324,'2324 Jun 24 Enroll'!M$1,FALSE)-VLOOKUP($A273,EnrollData2324,'2324 Jun 24 Enroll'!J$1,FALSE),'District Calculations'!$D$16+'District Calculations'!$D$25-'District Calculations'!$D$17)*Apport_218A2324s,3)</f>
        <v>20.224</v>
      </c>
      <c r="Z273">
        <f>ROUND(SUM(T273:Y273)/IF(VLOOKUP($A273,EnrollData2324,'2324 Jun 24 Enroll'!M$1,FALSE)+VLOOKUP($A273,EnrollData2324,'2324 Jun 24 Enroll'!D$1,FALSE)='District Calculations'!$D$25+'District Calculations'!$D$11,VLOOKUP($A273,EnrollData2324,'2324 Jun 24 Enroll'!M$1,FALSE)+VLOOKUP($A273,EnrollData2324,'2324 Jun 24 Enroll'!D$1,FALSE),'District Calculations'!$D$25+'District Calculations'!$D$11),5)</f>
        <v>1.7749999999999998E-2</v>
      </c>
      <c r="AA273" s="6" cm="1">
        <f t="array" ref="AA273">ROUND($J273*CIS_Base_Salary2324s*VLOOKUP($A273,EnrollData2324,'2324 Jun 24 Enroll'!S$1,FALSE),2)</f>
        <v>4280.8999999999996</v>
      </c>
      <c r="AB273" s="6" cm="1">
        <f t="array" ref="AB273">ROUND($J273*CIS_Inc_Salary2324s*(VLOOKUP($A273,EnrollData2324,'2324 Jun 24 Enroll'!T$1,FALSE)+VLOOKUP($A273,EnrollData2324,'2324 Jun 24 Enroll'!U$1,FALSE)),2)-AA273</f>
        <v>158.40000000000055</v>
      </c>
      <c r="AC273" s="6" cm="1">
        <f t="array" ref="AC273">ROUND($R273*CAS_Base_Salary2324s*VLOOKUP($A273,EnrollData2324,'2324 Jun 24 Enroll'!S$1,FALSE),2)</f>
        <v>470.32</v>
      </c>
      <c r="AD273" s="6" cm="1">
        <f t="array" ref="AD273">ROUND($R273*CAS_Inc_Salary2324s*VLOOKUP($A273,EnrollData2324,'2324 Jun 24 Enroll'!T$1,FALSE),2)-AC273</f>
        <v>17.400000000000034</v>
      </c>
      <c r="AE273" s="6" cm="1">
        <f t="array" ref="AE273">ROUND($Z273*CLS_Base_Salary2324s*VLOOKUP($A273,EnrollData2324,'2324 Jun 24 Enroll'!S$1,FALSE),2)</f>
        <v>981.63</v>
      </c>
      <c r="AF273" s="6" cm="1">
        <f t="array" ref="AF273">ROUND($Z273*CLS_Inc_Salary2324s*VLOOKUP($A273,EnrollData2324,'2324 Jun 24 Enroll'!T$1,FALSE),2)-AE273</f>
        <v>36.32000000000005</v>
      </c>
      <c r="AG273" cm="1">
        <f t="array" ref="AG273">ROUND(($J273+$R273)*Apport_124X2324s,2)</f>
        <v>734.29</v>
      </c>
      <c r="AH273" s="69">
        <f t="shared" si="24"/>
        <v>68.700000000000045</v>
      </c>
      <c r="AI273" cm="1">
        <f t="array" ref="AI273">ROUND($Z273*Apport_124X2324s,2)</f>
        <v>218.54</v>
      </c>
      <c r="AJ273" cm="1">
        <f t="array" ref="AJ273">ROUND($Z273*Apport_621X2324s*Apport_125X2324s,2)-AI273</f>
        <v>116.51000000000002</v>
      </c>
      <c r="AK273" cm="1">
        <f t="array" ref="AK273">ROUND((AA273+AC273)*Apport_126X2324s,2)</f>
        <v>853.79</v>
      </c>
      <c r="AL273" cm="1">
        <f t="array" ref="AL273">ROUND((AB273+AD273)*Apport_127X2324s,2)</f>
        <v>30.47</v>
      </c>
      <c r="AM273" cm="1">
        <f t="array" ref="AM273">ROUND(AE273*Apport_128X2324s,2)</f>
        <v>216.55</v>
      </c>
      <c r="AN273" cm="1">
        <f t="array" ref="AN273">ROUND(AF273*Apport_129X2324s,2)</f>
        <v>6.74</v>
      </c>
      <c r="AO273" cm="1">
        <f t="array" ref="AO273">ROUND(($J273*CIS_Inc_Salary2324s*(VLOOKUP($A273,EnrollData2324,'2324 Jun 24 Enroll'!T$1,FALSE)+VLOOKUP($A273,EnrollData2324,'2324 Jun 24 Enroll'!U$1,FALSE))/Apport_613Xpd)*Apport_614Xpd,2)</f>
        <v>73.989999999999995</v>
      </c>
      <c r="AP273" cm="1">
        <f t="array" ref="AP273">ROUND(AO273*Apport_127X2324s,2)</f>
        <v>12.82</v>
      </c>
      <c r="AQ273">
        <f t="shared" si="25"/>
        <v>30.93</v>
      </c>
      <c r="AR273" s="6" cm="1">
        <f t="array" ref="AR273">ROUND((VLOOKUP($A273,EnrollData2324,'2324 Jun 24 Enroll'!D$1,FALSE)*Apport_M802324s+VLOOKUP($A273,EnrollData2324,'2324 Jun 24 Enroll'!M$1,FALSE)*Apport_M802324s+(VLOOKUP($A273,EnrollData2324,'2324 Jun 24 Enroll'!P$1,FALSE)+VLOOKUP($A273,EnrollData2324,'2324 Jun 24 Enroll'!Q$1,FALSE)+VLOOKUP($A273,EnrollData2324,'2324 Jun 24 Enroll'!R$1,FALSE)+VLOOKUP($A273,EnrollData2324,'2324 Jun 24 Enroll'!I$1,FALSE)+VLOOKUP($A273,EnrollData2324,'2324 Jun 24 Enroll'!N$1,FALSE)+VLOOKUP($A273,EnrollData2324,'2324 Jun 24 Enroll'!O$1,FALSE)+VLOOKUP($A273,EnrollData2324,'2324 Jun 24 Enroll'!K$1,FALSE)+VLOOKUP($A273,EnrollData2324,'2324 Jun 24 Enroll'!L$1,FALSE))*Apport_M812324s)/(VLOOKUP($A273,EnrollData2324,'2324 Jun 24 Enroll'!M$1,FALSE)+VLOOKUP($A273,EnrollData2324,'2324 Jun 24 Enroll'!D$1,FALSE)),2)</f>
        <v>1567.6</v>
      </c>
      <c r="AS273" s="7">
        <f t="shared" si="26"/>
        <v>9875.9</v>
      </c>
    </row>
    <row r="274" spans="1:45">
      <c r="A274" s="40" t="s">
        <v>637</v>
      </c>
      <c r="B274" s="40" t="s">
        <v>638</v>
      </c>
      <c r="C274" s="11">
        <f>ROUND((IFERROR((1/IF(VLOOKUP($A274,EnrollData2324,28,FALSE)='District Calculations'!$D$10,VLOOKUP($A274,EnrollData2324,28,FALSE),'District Calculations'!$D$10))*(1+Apport_Z315),0))+Apport_201A2324s,6)</f>
        <v>7.3449E-2</v>
      </c>
      <c r="D274">
        <f>ROUND(IF(VLOOKUP($A274,EnrollData2324,'2324 Jun 24 Enroll'!D$1,FALSE)='District Calculations'!$D$11,VLOOKUP($A274,EnrollData2324,'2324 Jun 24 Enroll'!D$1,FALSE),'District Calculations'!$D$11)*C274,3)</f>
        <v>0</v>
      </c>
      <c r="E274">
        <f>ROUND(IF(VLOOKUP($A274,EnrollData2324,'2324 Jun 24 Enroll'!E$1,FALSE)='District Calculations'!$D$12,VLOOKUP($A274,EnrollData2324,'2324 Jun 24 Enroll'!E$1,FALSE),'District Calculations'!$D$12)*C274,3)</f>
        <v>59.53</v>
      </c>
      <c r="F274">
        <f>ROUND(IF(VLOOKUP($A274,EnrollData2324,'2324 Jun 24 Enroll'!F$1,FALSE)='District Calculations'!$D$13,VLOOKUP($A274,EnrollData2324,'2324 Jun 24 Enroll'!F$1,FALSE),'District Calculations'!$D$13)*Apport_222A2324s,3)</f>
        <v>10.101000000000001</v>
      </c>
      <c r="G274">
        <f>ROUND(IF(VLOOKUP($A274,EnrollData2324,'2324 Jun 24 Enroll'!G$1,FALSE)='District Calculations'!$D$14,VLOOKUP($A274,EnrollData2324,'2324 Jun 24 Enroll'!G$1,FALSE),'District Calculations'!$D$14)*Apport_210A2324s,3)</f>
        <v>22.395</v>
      </c>
      <c r="H274">
        <f>ROUND(IF(VLOOKUP($A274,EnrollData2324,'2324 Jun 24 Enroll'!H$1,FALSE)='District Calculations'!$D$15,VLOOKUP($A274,EnrollData2324,'2324 Jun 24 Enroll'!H$1,FALSE),'District Calculations'!$D$15)*Apport_213A2324s,3)</f>
        <v>23.091999999999999</v>
      </c>
      <c r="I274">
        <f>ROUND(IF(VLOOKUP($A274,EnrollData2324,'2324 Jun 24 Enroll'!I$1,FALSE)+VLOOKUP($A274,EnrollData2324,'2324 Jun 24 Enroll'!M$1,FALSE)-VLOOKUP($A274,EnrollData2324,'2324 Jun 24 Enroll'!J$1,FALSE)='District Calculations'!$D$16+'District Calculations'!$D$25-'District Calculations'!$D$17,VLOOKUP($A274,EnrollData2324,'2324 Jun 24 Enroll'!I$1,FALSE)+VLOOKUP($A274,EnrollData2324,'2324 Jun 24 Enroll'!M$1,FALSE)-VLOOKUP($A274,EnrollData2324,'2324 Jun 24 Enroll'!J$1,FALSE),'District Calculations'!$D$16+'District Calculations'!$D$25-'District Calculations'!$D$17)*Apport_216A2324s,3)</f>
        <v>58.183999999999997</v>
      </c>
      <c r="J274">
        <f>ROUND(SUM(D274:I274)/(IF(VLOOKUP($A274,EnrollData2324,'2324 Jun 24 Enroll'!M$1,FALSE)='District Calculations'!$D$25,VLOOKUP($A274,EnrollData2324,'2324 Jun 24 Enroll'!M$1,FALSE),'District Calculations'!$D$25)+IF(VLOOKUP($A274,EnrollData2324,'2324 Jun 24 Enroll'!D$1,FALSE)='District Calculations'!$D$11,VLOOKUP($A274,EnrollData2324,'2324 Jun 24 Enroll'!D$1,FALSE),'District Calculations'!$D$11)),5)</f>
        <v>5.5530000000000003E-2</v>
      </c>
      <c r="K274" s="11">
        <f t="shared" si="22"/>
        <v>4.3699999999999998E-3</v>
      </c>
      <c r="L274">
        <f>ROUND(IF(VLOOKUP($A274,EnrollData2324,'2324 Jun 24 Enroll'!D$1,FALSE)='District Calculations'!$D$11,VLOOKUP($A274,EnrollData2324,'2324 Jun 24 Enroll'!D$1,FALSE),'District Calculations'!$D$11)*K274,3)</f>
        <v>0</v>
      </c>
      <c r="M274">
        <f>ROUND(IF(VLOOKUP($A274,EnrollData2324,'2324 Jun 24 Enroll'!E$1,FALSE)='District Calculations'!$D$12,VLOOKUP($A274,EnrollData2324,'2324 Jun 24 Enroll'!E$1,FALSE),'District Calculations'!$D$12)*K274,3)</f>
        <v>3.5419999999999998</v>
      </c>
      <c r="N274">
        <f>ROUND(IF(VLOOKUP($A274,EnrollData2324,'2324 Jun 24 Enroll'!F$1,FALSE)='District Calculations'!$D$13,VLOOKUP($A274,EnrollData2324,'2324 Jun 24 Enroll'!F$1,FALSE),'District Calculations'!$D$13)*Apport_223A2324s,3)</f>
        <v>0.84299999999999997</v>
      </c>
      <c r="O274">
        <f>ROUND(IF(VLOOKUP($A274,EnrollData2324,'2324 Jun 24 Enroll'!G$1,FALSE)='District Calculations'!$D$14,VLOOKUP($A274,EnrollData2324,'2324 Jun 24 Enroll'!G$1,FALSE),'District Calculations'!$D$14)*Apport_211A2324s,3)</f>
        <v>1.87</v>
      </c>
      <c r="P274">
        <f>ROUND(IF(VLOOKUP($A274,EnrollData2324,'2324 Jun 24 Enroll'!H$1,FALSE)='District Calculations'!$D$14,VLOOKUP($A274,EnrollData2324,'2324 Jun 24 Enroll'!H$1,FALSE),'District Calculations'!$D$14)*Apport_214A2324s,3)</f>
        <v>1.8680000000000001</v>
      </c>
      <c r="Q274">
        <f>ROUND(IF(VLOOKUP($A274,EnrollData2324,'2324 Jun 24 Enroll'!I$1,FALSE)+VLOOKUP($A274,EnrollData2324,'2324 Jun 24 Enroll'!M$1,FALSE)-VLOOKUP($A274,EnrollData2324,'2324 Jun 24 Enroll'!J$1,FALSE)='District Calculations'!$D$16+'District Calculations'!$D$25-'District Calculations'!$D$17,VLOOKUP($A274,EnrollData2324,'2324 Jun 24 Enroll'!I$1,FALSE)+VLOOKUP($A274,EnrollData2324,'2324 Jun 24 Enroll'!M$1,FALSE)-VLOOKUP($A274,EnrollData2324,'2324 Jun 24 Enroll'!J$1,FALSE),'District Calculations'!$D$16+'District Calculations'!$D$25-'District Calculations'!$D$17)*Apport_217A2324s,3)</f>
        <v>4.702</v>
      </c>
      <c r="R274">
        <f>ROUND(SUM(L274:Q274)/IF(VLOOKUP($A274,EnrollData2324,'2324 Jun 24 Enroll'!M$1,FALSE)+VLOOKUP($A274,EnrollData2324,'2324 Jun 24 Enroll'!D$1,FALSE)='District Calculations'!$D$25+'District Calculations'!$D$11,VLOOKUP($A274,EnrollData2324,'2324 Jun 24 Enroll'!M$1,FALSE)+VLOOKUP($A274,EnrollData2324,'2324 Jun 24 Enroll'!D$1,FALSE),'District Calculations'!$D$25+'District Calculations'!$D$11),5)</f>
        <v>4.1099999999999999E-3</v>
      </c>
      <c r="S274" s="11">
        <f t="shared" si="23"/>
        <v>1.8689600000000001E-2</v>
      </c>
      <c r="T274">
        <f>ROUND(IF(VLOOKUP($A274,EnrollData2324,'2324 Jun 24 Enroll'!D$1,FALSE)='District Calculations'!$D$11,VLOOKUP($A274,EnrollData2324,'2324 Jun 24 Enroll'!D$1,FALSE),'District Calculations'!$D$11)*S274,3)</f>
        <v>0</v>
      </c>
      <c r="U274">
        <f>ROUND(IF(VLOOKUP($A274,EnrollData2324,'2324 Jun 24 Enroll'!E$1,FALSE)='District Calculations'!$D$12,VLOOKUP($A274,EnrollData2324,'2324 Jun 24 Enroll'!E$1,FALSE),'District Calculations'!$D$12)*S274,3)</f>
        <v>15.148</v>
      </c>
      <c r="V274">
        <f>ROUND(IF(VLOOKUP($A274,EnrollData2324,'2324 Jun 24 Enroll'!F$1,FALSE)='District Calculations'!$D$13,VLOOKUP($A274,EnrollData2324,'2324 Jun 24 Enroll'!F$1,FALSE),'District Calculations'!$D$13)*Apport_224A2324s,3)</f>
        <v>3.7029999999999998</v>
      </c>
      <c r="W274">
        <f>ROUND(IF(VLOOKUP($A274,EnrollData2324,'2324 Jun 24 Enroll'!G$1,FALSE)='District Calculations'!$D$14,VLOOKUP($A274,EnrollData2324,'2324 Jun 24 Enroll'!G$1,FALSE),'District Calculations'!$D$14)*Apport_212A2324s,3)</f>
        <v>8.2089999999999996</v>
      </c>
      <c r="X274">
        <f>ROUND(IF(VLOOKUP($A274,EnrollData2324,'2324 Jun 24 Enroll'!H$1,FALSE)='District Calculations'!$D$14,VLOOKUP($A274,EnrollData2324,'2324 Jun 24 Enroll'!H$1,FALSE),'District Calculations'!$D$14)*Apport_215A2324s,3)</f>
        <v>8.0969999999999995</v>
      </c>
      <c r="Y274">
        <f>ROUND(IF(VLOOKUP($A274,EnrollData2324,'2324 Jun 24 Enroll'!I$1,FALSE)+VLOOKUP($A274,EnrollData2324,'2324 Jun 24 Enroll'!M$1,FALSE)-VLOOKUP($A274,EnrollData2324,'2324 Jun 24 Enroll'!J$1,FALSE)='District Calculations'!$D$16+'District Calculations'!$D$25-'District Calculations'!$D$17,VLOOKUP($A274,EnrollData2324,'2324 Jun 24 Enroll'!I$1,FALSE)+VLOOKUP($A274,EnrollData2324,'2324 Jun 24 Enroll'!M$1,FALSE)-VLOOKUP($A274,EnrollData2324,'2324 Jun 24 Enroll'!J$1,FALSE),'District Calculations'!$D$16+'District Calculations'!$D$25-'District Calculations'!$D$17)*Apport_218A2324s,3)</f>
        <v>20.224</v>
      </c>
      <c r="Z274">
        <f>ROUND(SUM(T274:Y274)/IF(VLOOKUP($A274,EnrollData2324,'2324 Jun 24 Enroll'!M$1,FALSE)+VLOOKUP($A274,EnrollData2324,'2324 Jun 24 Enroll'!D$1,FALSE)='District Calculations'!$D$25+'District Calculations'!$D$11,VLOOKUP($A274,EnrollData2324,'2324 Jun 24 Enroll'!M$1,FALSE)+VLOOKUP($A274,EnrollData2324,'2324 Jun 24 Enroll'!D$1,FALSE),'District Calculations'!$D$25+'District Calculations'!$D$11),5)</f>
        <v>1.7749999999999998E-2</v>
      </c>
      <c r="AA274" s="6" cm="1">
        <f t="array" ref="AA274">ROUND($J274*CIS_Base_Salary2324s*VLOOKUP($A274,EnrollData2324,'2324 Jun 24 Enroll'!S$1,FALSE),2)</f>
        <v>4099.16</v>
      </c>
      <c r="AB274" s="6" cm="1">
        <f t="array" ref="AB274">ROUND($J274*CIS_Inc_Salary2324s*(VLOOKUP($A274,EnrollData2324,'2324 Jun 24 Enroll'!T$1,FALSE)+VLOOKUP($A274,EnrollData2324,'2324 Jun 24 Enroll'!U$1,FALSE)),2)-AA274</f>
        <v>151.68000000000029</v>
      </c>
      <c r="AC274" s="6" cm="1">
        <f t="array" ref="AC274">ROUND($R274*CAS_Base_Salary2324s*VLOOKUP($A274,EnrollData2324,'2324 Jun 24 Enroll'!S$1,FALSE),2)</f>
        <v>450.35</v>
      </c>
      <c r="AD274" s="6" cm="1">
        <f t="array" ref="AD274">ROUND($R274*CAS_Inc_Salary2324s*VLOOKUP($A274,EnrollData2324,'2324 Jun 24 Enroll'!T$1,FALSE),2)-AC274</f>
        <v>16.669999999999959</v>
      </c>
      <c r="AE274" s="6" cm="1">
        <f t="array" ref="AE274">ROUND($Z274*CLS_Base_Salary2324s*VLOOKUP($A274,EnrollData2324,'2324 Jun 24 Enroll'!S$1,FALSE),2)</f>
        <v>939.96</v>
      </c>
      <c r="AF274" s="6" cm="1">
        <f t="array" ref="AF274">ROUND($Z274*CLS_Inc_Salary2324s*VLOOKUP($A274,EnrollData2324,'2324 Jun 24 Enroll'!T$1,FALSE),2)-AE274</f>
        <v>34.769999999999982</v>
      </c>
      <c r="AG274" cm="1">
        <f t="array" ref="AG274">ROUND(($J274+$R274)*Apport_124X2324s,2)</f>
        <v>734.29</v>
      </c>
      <c r="AH274" s="69">
        <f t="shared" si="24"/>
        <v>68.700000000000045</v>
      </c>
      <c r="AI274" cm="1">
        <f t="array" ref="AI274">ROUND($Z274*Apport_124X2324s,2)</f>
        <v>218.54</v>
      </c>
      <c r="AJ274" cm="1">
        <f t="array" ref="AJ274">ROUND($Z274*Apport_621X2324s*Apport_125X2324s,2)-AI274</f>
        <v>116.51000000000002</v>
      </c>
      <c r="AK274" cm="1">
        <f t="array" ref="AK274">ROUND((AA274+AC274)*Apport_126X2324s,2)</f>
        <v>817.55</v>
      </c>
      <c r="AL274" cm="1">
        <f t="array" ref="AL274">ROUND((AB274+AD274)*Apport_127X2324s,2)</f>
        <v>29.18</v>
      </c>
      <c r="AM274" cm="1">
        <f t="array" ref="AM274">ROUND(AE274*Apport_128X2324s,2)</f>
        <v>207.36</v>
      </c>
      <c r="AN274" cm="1">
        <f t="array" ref="AN274">ROUND(AF274*Apport_129X2324s,2)</f>
        <v>6.45</v>
      </c>
      <c r="AO274" cm="1">
        <f t="array" ref="AO274">ROUND(($J274*CIS_Inc_Salary2324s*(VLOOKUP($A274,EnrollData2324,'2324 Jun 24 Enroll'!T$1,FALSE)+VLOOKUP($A274,EnrollData2324,'2324 Jun 24 Enroll'!U$1,FALSE))/Apport_613Xpd)*Apport_614Xpd,2)</f>
        <v>70.849999999999994</v>
      </c>
      <c r="AP274" cm="1">
        <f t="array" ref="AP274">ROUND(AO274*Apport_127X2324s,2)</f>
        <v>12.28</v>
      </c>
      <c r="AQ274">
        <f t="shared" si="25"/>
        <v>30.93</v>
      </c>
      <c r="AR274" s="6" cm="1">
        <f t="array" ref="AR274">ROUND((VLOOKUP($A274,EnrollData2324,'2324 Jun 24 Enroll'!D$1,FALSE)*Apport_M802324s+VLOOKUP($A274,EnrollData2324,'2324 Jun 24 Enroll'!M$1,FALSE)*Apport_M802324s+(VLOOKUP($A274,EnrollData2324,'2324 Jun 24 Enroll'!P$1,FALSE)+VLOOKUP($A274,EnrollData2324,'2324 Jun 24 Enroll'!Q$1,FALSE)+VLOOKUP($A274,EnrollData2324,'2324 Jun 24 Enroll'!R$1,FALSE)+VLOOKUP($A274,EnrollData2324,'2324 Jun 24 Enroll'!I$1,FALSE)+VLOOKUP($A274,EnrollData2324,'2324 Jun 24 Enroll'!N$1,FALSE)+VLOOKUP($A274,EnrollData2324,'2324 Jun 24 Enroll'!O$1,FALSE)+VLOOKUP($A274,EnrollData2324,'2324 Jun 24 Enroll'!K$1,FALSE)+VLOOKUP($A274,EnrollData2324,'2324 Jun 24 Enroll'!L$1,FALSE))*Apport_M812324s)/(VLOOKUP($A274,EnrollData2324,'2324 Jun 24 Enroll'!M$1,FALSE)+VLOOKUP($A274,EnrollData2324,'2324 Jun 24 Enroll'!D$1,FALSE)),2)</f>
        <v>1570.26</v>
      </c>
      <c r="AS274" s="7">
        <f t="shared" si="26"/>
        <v>9575.49</v>
      </c>
    </row>
    <row r="275" spans="1:45">
      <c r="A275" s="40" t="s">
        <v>311</v>
      </c>
      <c r="B275" s="40" t="s">
        <v>312</v>
      </c>
      <c r="C275" s="11">
        <f>ROUND((IFERROR((1/IF(VLOOKUP($A275,EnrollData2324,28,FALSE)='District Calculations'!$D$10,VLOOKUP($A275,EnrollData2324,28,FALSE),'District Calculations'!$D$10))*(1+Apport_Z315),0))+Apport_201A2324s,6)</f>
        <v>7.3449E-2</v>
      </c>
      <c r="D275">
        <f>ROUND(IF(VLOOKUP($A275,EnrollData2324,'2324 Jun 24 Enroll'!D$1,FALSE)='District Calculations'!$D$11,VLOOKUP($A275,EnrollData2324,'2324 Jun 24 Enroll'!D$1,FALSE),'District Calculations'!$D$11)*C275,3)</f>
        <v>0</v>
      </c>
      <c r="E275">
        <f>ROUND(IF(VLOOKUP($A275,EnrollData2324,'2324 Jun 24 Enroll'!E$1,FALSE)='District Calculations'!$D$12,VLOOKUP($A275,EnrollData2324,'2324 Jun 24 Enroll'!E$1,FALSE),'District Calculations'!$D$12)*C275,3)</f>
        <v>59.53</v>
      </c>
      <c r="F275">
        <f>ROUND(IF(VLOOKUP($A275,EnrollData2324,'2324 Jun 24 Enroll'!F$1,FALSE)='District Calculations'!$D$13,VLOOKUP($A275,EnrollData2324,'2324 Jun 24 Enroll'!F$1,FALSE),'District Calculations'!$D$13)*Apport_222A2324s,3)</f>
        <v>10.101000000000001</v>
      </c>
      <c r="G275">
        <f>ROUND(IF(VLOOKUP($A275,EnrollData2324,'2324 Jun 24 Enroll'!G$1,FALSE)='District Calculations'!$D$14,VLOOKUP($A275,EnrollData2324,'2324 Jun 24 Enroll'!G$1,FALSE),'District Calculations'!$D$14)*Apport_210A2324s,3)</f>
        <v>22.395</v>
      </c>
      <c r="H275">
        <f>ROUND(IF(VLOOKUP($A275,EnrollData2324,'2324 Jun 24 Enroll'!H$1,FALSE)='District Calculations'!$D$15,VLOOKUP($A275,EnrollData2324,'2324 Jun 24 Enroll'!H$1,FALSE),'District Calculations'!$D$15)*Apport_213A2324s,3)</f>
        <v>23.091999999999999</v>
      </c>
      <c r="I275">
        <f>ROUND(IF(VLOOKUP($A275,EnrollData2324,'2324 Jun 24 Enroll'!I$1,FALSE)+VLOOKUP($A275,EnrollData2324,'2324 Jun 24 Enroll'!M$1,FALSE)-VLOOKUP($A275,EnrollData2324,'2324 Jun 24 Enroll'!J$1,FALSE)='District Calculations'!$D$16+'District Calculations'!$D$25-'District Calculations'!$D$17,VLOOKUP($A275,EnrollData2324,'2324 Jun 24 Enroll'!I$1,FALSE)+VLOOKUP($A275,EnrollData2324,'2324 Jun 24 Enroll'!M$1,FALSE)-VLOOKUP($A275,EnrollData2324,'2324 Jun 24 Enroll'!J$1,FALSE),'District Calculations'!$D$16+'District Calculations'!$D$25-'District Calculations'!$D$17)*Apport_216A2324s,3)</f>
        <v>58.183999999999997</v>
      </c>
      <c r="J275">
        <f>ROUND(SUM(D275:I275)/(IF(VLOOKUP($A275,EnrollData2324,'2324 Jun 24 Enroll'!M$1,FALSE)='District Calculations'!$D$25,VLOOKUP($A275,EnrollData2324,'2324 Jun 24 Enroll'!M$1,FALSE),'District Calculations'!$D$25)+IF(VLOOKUP($A275,EnrollData2324,'2324 Jun 24 Enroll'!D$1,FALSE)='District Calculations'!$D$11,VLOOKUP($A275,EnrollData2324,'2324 Jun 24 Enroll'!D$1,FALSE),'District Calculations'!$D$11)),5)</f>
        <v>5.5530000000000003E-2</v>
      </c>
      <c r="K275" s="11">
        <f t="shared" si="22"/>
        <v>4.3699999999999998E-3</v>
      </c>
      <c r="L275">
        <f>ROUND(IF(VLOOKUP($A275,EnrollData2324,'2324 Jun 24 Enroll'!D$1,FALSE)='District Calculations'!$D$11,VLOOKUP($A275,EnrollData2324,'2324 Jun 24 Enroll'!D$1,FALSE),'District Calculations'!$D$11)*K275,3)</f>
        <v>0</v>
      </c>
      <c r="M275">
        <f>ROUND(IF(VLOOKUP($A275,EnrollData2324,'2324 Jun 24 Enroll'!E$1,FALSE)='District Calculations'!$D$12,VLOOKUP($A275,EnrollData2324,'2324 Jun 24 Enroll'!E$1,FALSE),'District Calculations'!$D$12)*K275,3)</f>
        <v>3.5419999999999998</v>
      </c>
      <c r="N275">
        <f>ROUND(IF(VLOOKUP($A275,EnrollData2324,'2324 Jun 24 Enroll'!F$1,FALSE)='District Calculations'!$D$13,VLOOKUP($A275,EnrollData2324,'2324 Jun 24 Enroll'!F$1,FALSE),'District Calculations'!$D$13)*Apport_223A2324s,3)</f>
        <v>0.84299999999999997</v>
      </c>
      <c r="O275">
        <f>ROUND(IF(VLOOKUP($A275,EnrollData2324,'2324 Jun 24 Enroll'!G$1,FALSE)='District Calculations'!$D$14,VLOOKUP($A275,EnrollData2324,'2324 Jun 24 Enroll'!G$1,FALSE),'District Calculations'!$D$14)*Apport_211A2324s,3)</f>
        <v>1.87</v>
      </c>
      <c r="P275">
        <f>ROUND(IF(VLOOKUP($A275,EnrollData2324,'2324 Jun 24 Enroll'!H$1,FALSE)='District Calculations'!$D$14,VLOOKUP($A275,EnrollData2324,'2324 Jun 24 Enroll'!H$1,FALSE),'District Calculations'!$D$14)*Apport_214A2324s,3)</f>
        <v>1.8680000000000001</v>
      </c>
      <c r="Q275">
        <f>ROUND(IF(VLOOKUP($A275,EnrollData2324,'2324 Jun 24 Enroll'!I$1,FALSE)+VLOOKUP($A275,EnrollData2324,'2324 Jun 24 Enroll'!M$1,FALSE)-VLOOKUP($A275,EnrollData2324,'2324 Jun 24 Enroll'!J$1,FALSE)='District Calculations'!$D$16+'District Calculations'!$D$25-'District Calculations'!$D$17,VLOOKUP($A275,EnrollData2324,'2324 Jun 24 Enroll'!I$1,FALSE)+VLOOKUP($A275,EnrollData2324,'2324 Jun 24 Enroll'!M$1,FALSE)-VLOOKUP($A275,EnrollData2324,'2324 Jun 24 Enroll'!J$1,FALSE),'District Calculations'!$D$16+'District Calculations'!$D$25-'District Calculations'!$D$17)*Apport_217A2324s,3)</f>
        <v>4.702</v>
      </c>
      <c r="R275">
        <f>ROUND(SUM(L275:Q275)/IF(VLOOKUP($A275,EnrollData2324,'2324 Jun 24 Enroll'!M$1,FALSE)+VLOOKUP($A275,EnrollData2324,'2324 Jun 24 Enroll'!D$1,FALSE)='District Calculations'!$D$25+'District Calculations'!$D$11,VLOOKUP($A275,EnrollData2324,'2324 Jun 24 Enroll'!M$1,FALSE)+VLOOKUP($A275,EnrollData2324,'2324 Jun 24 Enroll'!D$1,FALSE),'District Calculations'!$D$25+'District Calculations'!$D$11),5)</f>
        <v>4.1099999999999999E-3</v>
      </c>
      <c r="S275" s="11">
        <f t="shared" si="23"/>
        <v>1.8689600000000001E-2</v>
      </c>
      <c r="T275">
        <f>ROUND(IF(VLOOKUP($A275,EnrollData2324,'2324 Jun 24 Enroll'!D$1,FALSE)='District Calculations'!$D$11,VLOOKUP($A275,EnrollData2324,'2324 Jun 24 Enroll'!D$1,FALSE),'District Calculations'!$D$11)*S275,3)</f>
        <v>0</v>
      </c>
      <c r="U275">
        <f>ROUND(IF(VLOOKUP($A275,EnrollData2324,'2324 Jun 24 Enroll'!E$1,FALSE)='District Calculations'!$D$12,VLOOKUP($A275,EnrollData2324,'2324 Jun 24 Enroll'!E$1,FALSE),'District Calculations'!$D$12)*S275,3)</f>
        <v>15.148</v>
      </c>
      <c r="V275">
        <f>ROUND(IF(VLOOKUP($A275,EnrollData2324,'2324 Jun 24 Enroll'!F$1,FALSE)='District Calculations'!$D$13,VLOOKUP($A275,EnrollData2324,'2324 Jun 24 Enroll'!F$1,FALSE),'District Calculations'!$D$13)*Apport_224A2324s,3)</f>
        <v>3.7029999999999998</v>
      </c>
      <c r="W275">
        <f>ROUND(IF(VLOOKUP($A275,EnrollData2324,'2324 Jun 24 Enroll'!G$1,FALSE)='District Calculations'!$D$14,VLOOKUP($A275,EnrollData2324,'2324 Jun 24 Enroll'!G$1,FALSE),'District Calculations'!$D$14)*Apport_212A2324s,3)</f>
        <v>8.2089999999999996</v>
      </c>
      <c r="X275">
        <f>ROUND(IF(VLOOKUP($A275,EnrollData2324,'2324 Jun 24 Enroll'!H$1,FALSE)='District Calculations'!$D$14,VLOOKUP($A275,EnrollData2324,'2324 Jun 24 Enroll'!H$1,FALSE),'District Calculations'!$D$14)*Apport_215A2324s,3)</f>
        <v>8.0969999999999995</v>
      </c>
      <c r="Y275">
        <f>ROUND(IF(VLOOKUP($A275,EnrollData2324,'2324 Jun 24 Enroll'!I$1,FALSE)+VLOOKUP($A275,EnrollData2324,'2324 Jun 24 Enroll'!M$1,FALSE)-VLOOKUP($A275,EnrollData2324,'2324 Jun 24 Enroll'!J$1,FALSE)='District Calculations'!$D$16+'District Calculations'!$D$25-'District Calculations'!$D$17,VLOOKUP($A275,EnrollData2324,'2324 Jun 24 Enroll'!I$1,FALSE)+VLOOKUP($A275,EnrollData2324,'2324 Jun 24 Enroll'!M$1,FALSE)-VLOOKUP($A275,EnrollData2324,'2324 Jun 24 Enroll'!J$1,FALSE),'District Calculations'!$D$16+'District Calculations'!$D$25-'District Calculations'!$D$17)*Apport_218A2324s,3)</f>
        <v>20.224</v>
      </c>
      <c r="Z275">
        <f>ROUND(SUM(T275:Y275)/IF(VLOOKUP($A275,EnrollData2324,'2324 Jun 24 Enroll'!M$1,FALSE)+VLOOKUP($A275,EnrollData2324,'2324 Jun 24 Enroll'!D$1,FALSE)='District Calculations'!$D$25+'District Calculations'!$D$11,VLOOKUP($A275,EnrollData2324,'2324 Jun 24 Enroll'!M$1,FALSE)+VLOOKUP($A275,EnrollData2324,'2324 Jun 24 Enroll'!D$1,FALSE),'District Calculations'!$D$25+'District Calculations'!$D$11),5)</f>
        <v>1.7749999999999998E-2</v>
      </c>
      <c r="AA275" s="6" cm="1">
        <f t="array" ref="AA275">ROUND($J275*CIS_Base_Salary2324s*VLOOKUP($A275,EnrollData2324,'2324 Jun 24 Enroll'!S$1,FALSE),2)</f>
        <v>4038.59</v>
      </c>
      <c r="AB275" s="6" cm="1">
        <f t="array" ref="AB275">ROUND($J275*CIS_Inc_Salary2324s*(VLOOKUP($A275,EnrollData2324,'2324 Jun 24 Enroll'!T$1,FALSE)+VLOOKUP($A275,EnrollData2324,'2324 Jun 24 Enroll'!U$1,FALSE)),2)-AA275</f>
        <v>149.43000000000029</v>
      </c>
      <c r="AC275" s="6" cm="1">
        <f t="array" ref="AC275">ROUND($R275*CAS_Base_Salary2324s*VLOOKUP($A275,EnrollData2324,'2324 Jun 24 Enroll'!S$1,FALSE),2)</f>
        <v>443.7</v>
      </c>
      <c r="AD275" s="6" cm="1">
        <f t="array" ref="AD275">ROUND($R275*CAS_Inc_Salary2324s*VLOOKUP($A275,EnrollData2324,'2324 Jun 24 Enroll'!T$1,FALSE),2)-AC275</f>
        <v>16.410000000000025</v>
      </c>
      <c r="AE275" s="6" cm="1">
        <f t="array" ref="AE275">ROUND($Z275*CLS_Base_Salary2324s*VLOOKUP($A275,EnrollData2324,'2324 Jun 24 Enroll'!S$1,FALSE),2)</f>
        <v>926.07</v>
      </c>
      <c r="AF275" s="6" cm="1">
        <f t="array" ref="AF275">ROUND($Z275*CLS_Inc_Salary2324s*VLOOKUP($A275,EnrollData2324,'2324 Jun 24 Enroll'!T$1,FALSE),2)-AE275</f>
        <v>34.259999999999991</v>
      </c>
      <c r="AG275" cm="1">
        <f t="array" ref="AG275">ROUND(($J275+$R275)*Apport_124X2324s,2)</f>
        <v>734.29</v>
      </c>
      <c r="AH275" s="69">
        <f t="shared" si="24"/>
        <v>68.700000000000045</v>
      </c>
      <c r="AI275" cm="1">
        <f t="array" ref="AI275">ROUND($Z275*Apport_124X2324s,2)</f>
        <v>218.54</v>
      </c>
      <c r="AJ275" cm="1">
        <f t="array" ref="AJ275">ROUND($Z275*Apport_621X2324s*Apport_125X2324s,2)-AI275</f>
        <v>116.51000000000002</v>
      </c>
      <c r="AK275" cm="1">
        <f t="array" ref="AK275">ROUND((AA275+AC275)*Apport_126X2324s,2)</f>
        <v>805.47</v>
      </c>
      <c r="AL275" cm="1">
        <f t="array" ref="AL275">ROUND((AB275+AD275)*Apport_127X2324s,2)</f>
        <v>28.74</v>
      </c>
      <c r="AM275" cm="1">
        <f t="array" ref="AM275">ROUND(AE275*Apport_128X2324s,2)</f>
        <v>204.29</v>
      </c>
      <c r="AN275" cm="1">
        <f t="array" ref="AN275">ROUND(AF275*Apport_129X2324s,2)</f>
        <v>6.36</v>
      </c>
      <c r="AO275" cm="1">
        <f t="array" ref="AO275">ROUND(($J275*CIS_Inc_Salary2324s*(VLOOKUP($A275,EnrollData2324,'2324 Jun 24 Enroll'!T$1,FALSE)+VLOOKUP($A275,EnrollData2324,'2324 Jun 24 Enroll'!U$1,FALSE))/Apport_613Xpd)*Apport_614Xpd,2)</f>
        <v>69.8</v>
      </c>
      <c r="AP275" cm="1">
        <f t="array" ref="AP275">ROUND(AO275*Apport_127X2324s,2)</f>
        <v>12.1</v>
      </c>
      <c r="AQ275">
        <f t="shared" si="25"/>
        <v>30.93</v>
      </c>
      <c r="AR275" s="6" cm="1">
        <f t="array" ref="AR275">ROUND((VLOOKUP($A275,EnrollData2324,'2324 Jun 24 Enroll'!D$1,FALSE)*Apport_M802324s+VLOOKUP($A275,EnrollData2324,'2324 Jun 24 Enroll'!M$1,FALSE)*Apport_M802324s+(VLOOKUP($A275,EnrollData2324,'2324 Jun 24 Enroll'!P$1,FALSE)+VLOOKUP($A275,EnrollData2324,'2324 Jun 24 Enroll'!Q$1,FALSE)+VLOOKUP($A275,EnrollData2324,'2324 Jun 24 Enroll'!R$1,FALSE)+VLOOKUP($A275,EnrollData2324,'2324 Jun 24 Enroll'!I$1,FALSE)+VLOOKUP($A275,EnrollData2324,'2324 Jun 24 Enroll'!N$1,FALSE)+VLOOKUP($A275,EnrollData2324,'2324 Jun 24 Enroll'!O$1,FALSE)+VLOOKUP($A275,EnrollData2324,'2324 Jun 24 Enroll'!K$1,FALSE)+VLOOKUP($A275,EnrollData2324,'2324 Jun 24 Enroll'!L$1,FALSE))*Apport_M812324s)/(VLOOKUP($A275,EnrollData2324,'2324 Jun 24 Enroll'!M$1,FALSE)+VLOOKUP($A275,EnrollData2324,'2324 Jun 24 Enroll'!D$1,FALSE)),2)</f>
        <v>1579.24</v>
      </c>
      <c r="AS275" s="7">
        <f t="shared" si="26"/>
        <v>9483.43</v>
      </c>
    </row>
    <row r="276" spans="1:45">
      <c r="A276" s="40" t="s">
        <v>313</v>
      </c>
      <c r="B276" s="40" t="s">
        <v>314</v>
      </c>
      <c r="C276" s="11">
        <f>ROUND((IFERROR((1/IF(VLOOKUP($A276,EnrollData2324,28,FALSE)='District Calculations'!$D$10,VLOOKUP($A276,EnrollData2324,28,FALSE),'District Calculations'!$D$10))*(1+Apport_Z315),0))+Apport_201A2324s,6)</f>
        <v>7.3449E-2</v>
      </c>
      <c r="D276">
        <f>ROUND(IF(VLOOKUP($A276,EnrollData2324,'2324 Jun 24 Enroll'!D$1,FALSE)='District Calculations'!$D$11,VLOOKUP($A276,EnrollData2324,'2324 Jun 24 Enroll'!D$1,FALSE),'District Calculations'!$D$11)*C276,3)</f>
        <v>0</v>
      </c>
      <c r="E276">
        <f>ROUND(IF(VLOOKUP($A276,EnrollData2324,'2324 Jun 24 Enroll'!E$1,FALSE)='District Calculations'!$D$12,VLOOKUP($A276,EnrollData2324,'2324 Jun 24 Enroll'!E$1,FALSE),'District Calculations'!$D$12)*C276,3)</f>
        <v>59.53</v>
      </c>
      <c r="F276">
        <f>ROUND(IF(VLOOKUP($A276,EnrollData2324,'2324 Jun 24 Enroll'!F$1,FALSE)='District Calculations'!$D$13,VLOOKUP($A276,EnrollData2324,'2324 Jun 24 Enroll'!F$1,FALSE),'District Calculations'!$D$13)*Apport_222A2324s,3)</f>
        <v>10.101000000000001</v>
      </c>
      <c r="G276">
        <f>ROUND(IF(VLOOKUP($A276,EnrollData2324,'2324 Jun 24 Enroll'!G$1,FALSE)='District Calculations'!$D$14,VLOOKUP($A276,EnrollData2324,'2324 Jun 24 Enroll'!G$1,FALSE),'District Calculations'!$D$14)*Apport_210A2324s,3)</f>
        <v>22.395</v>
      </c>
      <c r="H276">
        <f>ROUND(IF(VLOOKUP($A276,EnrollData2324,'2324 Jun 24 Enroll'!H$1,FALSE)='District Calculations'!$D$15,VLOOKUP($A276,EnrollData2324,'2324 Jun 24 Enroll'!H$1,FALSE),'District Calculations'!$D$15)*Apport_213A2324s,3)</f>
        <v>23.091999999999999</v>
      </c>
      <c r="I276">
        <f>ROUND(IF(VLOOKUP($A276,EnrollData2324,'2324 Jun 24 Enroll'!I$1,FALSE)+VLOOKUP($A276,EnrollData2324,'2324 Jun 24 Enroll'!M$1,FALSE)-VLOOKUP($A276,EnrollData2324,'2324 Jun 24 Enroll'!J$1,FALSE)='District Calculations'!$D$16+'District Calculations'!$D$25-'District Calculations'!$D$17,VLOOKUP($A276,EnrollData2324,'2324 Jun 24 Enroll'!I$1,FALSE)+VLOOKUP($A276,EnrollData2324,'2324 Jun 24 Enroll'!M$1,FALSE)-VLOOKUP($A276,EnrollData2324,'2324 Jun 24 Enroll'!J$1,FALSE),'District Calculations'!$D$16+'District Calculations'!$D$25-'District Calculations'!$D$17)*Apport_216A2324s,3)</f>
        <v>58.183999999999997</v>
      </c>
      <c r="J276">
        <f>ROUND(SUM(D276:I276)/(IF(VLOOKUP($A276,EnrollData2324,'2324 Jun 24 Enroll'!M$1,FALSE)='District Calculations'!$D$25,VLOOKUP($A276,EnrollData2324,'2324 Jun 24 Enroll'!M$1,FALSE),'District Calculations'!$D$25)+IF(VLOOKUP($A276,EnrollData2324,'2324 Jun 24 Enroll'!D$1,FALSE)='District Calculations'!$D$11,VLOOKUP($A276,EnrollData2324,'2324 Jun 24 Enroll'!D$1,FALSE),'District Calculations'!$D$11)),5)</f>
        <v>5.5530000000000003E-2</v>
      </c>
      <c r="K276" s="11">
        <f t="shared" si="22"/>
        <v>4.3699999999999998E-3</v>
      </c>
      <c r="L276">
        <f>ROUND(IF(VLOOKUP($A276,EnrollData2324,'2324 Jun 24 Enroll'!D$1,FALSE)='District Calculations'!$D$11,VLOOKUP($A276,EnrollData2324,'2324 Jun 24 Enroll'!D$1,FALSE),'District Calculations'!$D$11)*K276,3)</f>
        <v>0</v>
      </c>
      <c r="M276">
        <f>ROUND(IF(VLOOKUP($A276,EnrollData2324,'2324 Jun 24 Enroll'!E$1,FALSE)='District Calculations'!$D$12,VLOOKUP($A276,EnrollData2324,'2324 Jun 24 Enroll'!E$1,FALSE),'District Calculations'!$D$12)*K276,3)</f>
        <v>3.5419999999999998</v>
      </c>
      <c r="N276">
        <f>ROUND(IF(VLOOKUP($A276,EnrollData2324,'2324 Jun 24 Enroll'!F$1,FALSE)='District Calculations'!$D$13,VLOOKUP($A276,EnrollData2324,'2324 Jun 24 Enroll'!F$1,FALSE),'District Calculations'!$D$13)*Apport_223A2324s,3)</f>
        <v>0.84299999999999997</v>
      </c>
      <c r="O276">
        <f>ROUND(IF(VLOOKUP($A276,EnrollData2324,'2324 Jun 24 Enroll'!G$1,FALSE)='District Calculations'!$D$14,VLOOKUP($A276,EnrollData2324,'2324 Jun 24 Enroll'!G$1,FALSE),'District Calculations'!$D$14)*Apport_211A2324s,3)</f>
        <v>1.87</v>
      </c>
      <c r="P276">
        <f>ROUND(IF(VLOOKUP($A276,EnrollData2324,'2324 Jun 24 Enroll'!H$1,FALSE)='District Calculations'!$D$14,VLOOKUP($A276,EnrollData2324,'2324 Jun 24 Enroll'!H$1,FALSE),'District Calculations'!$D$14)*Apport_214A2324s,3)</f>
        <v>1.8680000000000001</v>
      </c>
      <c r="Q276">
        <f>ROUND(IF(VLOOKUP($A276,EnrollData2324,'2324 Jun 24 Enroll'!I$1,FALSE)+VLOOKUP($A276,EnrollData2324,'2324 Jun 24 Enroll'!M$1,FALSE)-VLOOKUP($A276,EnrollData2324,'2324 Jun 24 Enroll'!J$1,FALSE)='District Calculations'!$D$16+'District Calculations'!$D$25-'District Calculations'!$D$17,VLOOKUP($A276,EnrollData2324,'2324 Jun 24 Enroll'!I$1,FALSE)+VLOOKUP($A276,EnrollData2324,'2324 Jun 24 Enroll'!M$1,FALSE)-VLOOKUP($A276,EnrollData2324,'2324 Jun 24 Enroll'!J$1,FALSE),'District Calculations'!$D$16+'District Calculations'!$D$25-'District Calculations'!$D$17)*Apport_217A2324s,3)</f>
        <v>4.702</v>
      </c>
      <c r="R276">
        <f>ROUND(SUM(L276:Q276)/IF(VLOOKUP($A276,EnrollData2324,'2324 Jun 24 Enroll'!M$1,FALSE)+VLOOKUP($A276,EnrollData2324,'2324 Jun 24 Enroll'!D$1,FALSE)='District Calculations'!$D$25+'District Calculations'!$D$11,VLOOKUP($A276,EnrollData2324,'2324 Jun 24 Enroll'!M$1,FALSE)+VLOOKUP($A276,EnrollData2324,'2324 Jun 24 Enroll'!D$1,FALSE),'District Calculations'!$D$25+'District Calculations'!$D$11),5)</f>
        <v>4.1099999999999999E-3</v>
      </c>
      <c r="S276" s="11">
        <f t="shared" si="23"/>
        <v>1.8689600000000001E-2</v>
      </c>
      <c r="T276">
        <f>ROUND(IF(VLOOKUP($A276,EnrollData2324,'2324 Jun 24 Enroll'!D$1,FALSE)='District Calculations'!$D$11,VLOOKUP($A276,EnrollData2324,'2324 Jun 24 Enroll'!D$1,FALSE),'District Calculations'!$D$11)*S276,3)</f>
        <v>0</v>
      </c>
      <c r="U276">
        <f>ROUND(IF(VLOOKUP($A276,EnrollData2324,'2324 Jun 24 Enroll'!E$1,FALSE)='District Calculations'!$D$12,VLOOKUP($A276,EnrollData2324,'2324 Jun 24 Enroll'!E$1,FALSE),'District Calculations'!$D$12)*S276,3)</f>
        <v>15.148</v>
      </c>
      <c r="V276">
        <f>ROUND(IF(VLOOKUP($A276,EnrollData2324,'2324 Jun 24 Enroll'!F$1,FALSE)='District Calculations'!$D$13,VLOOKUP($A276,EnrollData2324,'2324 Jun 24 Enroll'!F$1,FALSE),'District Calculations'!$D$13)*Apport_224A2324s,3)</f>
        <v>3.7029999999999998</v>
      </c>
      <c r="W276">
        <f>ROUND(IF(VLOOKUP($A276,EnrollData2324,'2324 Jun 24 Enroll'!G$1,FALSE)='District Calculations'!$D$14,VLOOKUP($A276,EnrollData2324,'2324 Jun 24 Enroll'!G$1,FALSE),'District Calculations'!$D$14)*Apport_212A2324s,3)</f>
        <v>8.2089999999999996</v>
      </c>
      <c r="X276">
        <f>ROUND(IF(VLOOKUP($A276,EnrollData2324,'2324 Jun 24 Enroll'!H$1,FALSE)='District Calculations'!$D$14,VLOOKUP($A276,EnrollData2324,'2324 Jun 24 Enroll'!H$1,FALSE),'District Calculations'!$D$14)*Apport_215A2324s,3)</f>
        <v>8.0969999999999995</v>
      </c>
      <c r="Y276">
        <f>ROUND(IF(VLOOKUP($A276,EnrollData2324,'2324 Jun 24 Enroll'!I$1,FALSE)+VLOOKUP($A276,EnrollData2324,'2324 Jun 24 Enroll'!M$1,FALSE)-VLOOKUP($A276,EnrollData2324,'2324 Jun 24 Enroll'!J$1,FALSE)='District Calculations'!$D$16+'District Calculations'!$D$25-'District Calculations'!$D$17,VLOOKUP($A276,EnrollData2324,'2324 Jun 24 Enroll'!I$1,FALSE)+VLOOKUP($A276,EnrollData2324,'2324 Jun 24 Enroll'!M$1,FALSE)-VLOOKUP($A276,EnrollData2324,'2324 Jun 24 Enroll'!J$1,FALSE),'District Calculations'!$D$16+'District Calculations'!$D$25-'District Calculations'!$D$17)*Apport_218A2324s,3)</f>
        <v>20.224</v>
      </c>
      <c r="Z276">
        <f>ROUND(SUM(T276:Y276)/IF(VLOOKUP($A276,EnrollData2324,'2324 Jun 24 Enroll'!M$1,FALSE)+VLOOKUP($A276,EnrollData2324,'2324 Jun 24 Enroll'!D$1,FALSE)='District Calculations'!$D$25+'District Calculations'!$D$11,VLOOKUP($A276,EnrollData2324,'2324 Jun 24 Enroll'!M$1,FALSE)+VLOOKUP($A276,EnrollData2324,'2324 Jun 24 Enroll'!D$1,FALSE),'District Calculations'!$D$25+'District Calculations'!$D$11),5)</f>
        <v>1.7749999999999998E-2</v>
      </c>
      <c r="AA276" s="6" cm="1">
        <f t="array" ref="AA276">ROUND($J276*CIS_Base_Salary2324s*VLOOKUP($A276,EnrollData2324,'2324 Jun 24 Enroll'!S$1,FALSE),2)</f>
        <v>4038.59</v>
      </c>
      <c r="AB276" s="6" cm="1">
        <f t="array" ref="AB276">ROUND($J276*CIS_Inc_Salary2324s*(VLOOKUP($A276,EnrollData2324,'2324 Jun 24 Enroll'!T$1,FALSE)+VLOOKUP($A276,EnrollData2324,'2324 Jun 24 Enroll'!U$1,FALSE)),2)-AA276</f>
        <v>316.94999999999982</v>
      </c>
      <c r="AC276" s="6" cm="1">
        <f t="array" ref="AC276">ROUND($R276*CAS_Base_Salary2324s*VLOOKUP($A276,EnrollData2324,'2324 Jun 24 Enroll'!S$1,FALSE),2)</f>
        <v>443.7</v>
      </c>
      <c r="AD276" s="6" cm="1">
        <f t="array" ref="AD276">ROUND($R276*CAS_Inc_Salary2324s*VLOOKUP($A276,EnrollData2324,'2324 Jun 24 Enroll'!T$1,FALSE),2)-AC276</f>
        <v>16.410000000000025</v>
      </c>
      <c r="AE276" s="6" cm="1">
        <f t="array" ref="AE276">ROUND($Z276*CLS_Base_Salary2324s*VLOOKUP($A276,EnrollData2324,'2324 Jun 24 Enroll'!S$1,FALSE),2)</f>
        <v>926.07</v>
      </c>
      <c r="AF276" s="6" cm="1">
        <f t="array" ref="AF276">ROUND($Z276*CLS_Inc_Salary2324s*VLOOKUP($A276,EnrollData2324,'2324 Jun 24 Enroll'!T$1,FALSE),2)-AE276</f>
        <v>34.259999999999991</v>
      </c>
      <c r="AG276" cm="1">
        <f t="array" ref="AG276">ROUND(($J276+$R276)*Apport_124X2324s,2)</f>
        <v>734.29</v>
      </c>
      <c r="AH276" s="69">
        <f t="shared" si="24"/>
        <v>68.700000000000045</v>
      </c>
      <c r="AI276" cm="1">
        <f t="array" ref="AI276">ROUND($Z276*Apport_124X2324s,2)</f>
        <v>218.54</v>
      </c>
      <c r="AJ276" cm="1">
        <f t="array" ref="AJ276">ROUND($Z276*Apport_621X2324s*Apport_125X2324s,2)-AI276</f>
        <v>116.51000000000002</v>
      </c>
      <c r="AK276" cm="1">
        <f t="array" ref="AK276">ROUND((AA276+AC276)*Apport_126X2324s,2)</f>
        <v>805.47</v>
      </c>
      <c r="AL276" cm="1">
        <f t="array" ref="AL276">ROUND((AB276+AD276)*Apport_127X2324s,2)</f>
        <v>57.77</v>
      </c>
      <c r="AM276" cm="1">
        <f t="array" ref="AM276">ROUND(AE276*Apport_128X2324s,2)</f>
        <v>204.29</v>
      </c>
      <c r="AN276" cm="1">
        <f t="array" ref="AN276">ROUND(AF276*Apport_129X2324s,2)</f>
        <v>6.36</v>
      </c>
      <c r="AO276" cm="1">
        <f t="array" ref="AO276">ROUND(($J276*CIS_Inc_Salary2324s*(VLOOKUP($A276,EnrollData2324,'2324 Jun 24 Enroll'!T$1,FALSE)+VLOOKUP($A276,EnrollData2324,'2324 Jun 24 Enroll'!U$1,FALSE))/Apport_613Xpd)*Apport_614Xpd,2)</f>
        <v>72.59</v>
      </c>
      <c r="AP276" cm="1">
        <f t="array" ref="AP276">ROUND(AO276*Apport_127X2324s,2)</f>
        <v>12.58</v>
      </c>
      <c r="AQ276">
        <f t="shared" si="25"/>
        <v>30.93</v>
      </c>
      <c r="AR276" s="6" cm="1">
        <f t="array" ref="AR276">ROUND((VLOOKUP($A276,EnrollData2324,'2324 Jun 24 Enroll'!D$1,FALSE)*Apport_M802324s+VLOOKUP($A276,EnrollData2324,'2324 Jun 24 Enroll'!M$1,FALSE)*Apport_M802324s+(VLOOKUP($A276,EnrollData2324,'2324 Jun 24 Enroll'!P$1,FALSE)+VLOOKUP($A276,EnrollData2324,'2324 Jun 24 Enroll'!Q$1,FALSE)+VLOOKUP($A276,EnrollData2324,'2324 Jun 24 Enroll'!R$1,FALSE)+VLOOKUP($A276,EnrollData2324,'2324 Jun 24 Enroll'!I$1,FALSE)+VLOOKUP($A276,EnrollData2324,'2324 Jun 24 Enroll'!N$1,FALSE)+VLOOKUP($A276,EnrollData2324,'2324 Jun 24 Enroll'!O$1,FALSE)+VLOOKUP($A276,EnrollData2324,'2324 Jun 24 Enroll'!K$1,FALSE)+VLOOKUP($A276,EnrollData2324,'2324 Jun 24 Enroll'!L$1,FALSE))*Apport_M812324s)/(VLOOKUP($A276,EnrollData2324,'2324 Jun 24 Enroll'!M$1,FALSE)+VLOOKUP($A276,EnrollData2324,'2324 Jun 24 Enroll'!D$1,FALSE)),2)</f>
        <v>1582.39</v>
      </c>
      <c r="AS276" s="7">
        <f t="shared" si="26"/>
        <v>9686.4</v>
      </c>
    </row>
    <row r="277" spans="1:45">
      <c r="A277" s="40" t="s">
        <v>715</v>
      </c>
      <c r="B277" s="40" t="s">
        <v>716</v>
      </c>
      <c r="C277" s="11">
        <f>ROUND((IFERROR((1/IF(VLOOKUP($A277,EnrollData2324,28,FALSE)='District Calculations'!$D$10,VLOOKUP($A277,EnrollData2324,28,FALSE),'District Calculations'!$D$10))*(1+Apport_Z315),0))+Apport_201A2324s,6)</f>
        <v>7.3449E-2</v>
      </c>
      <c r="D277">
        <f>ROUND(IF(VLOOKUP($A277,EnrollData2324,'2324 Jun 24 Enroll'!D$1,FALSE)='District Calculations'!$D$11,VLOOKUP($A277,EnrollData2324,'2324 Jun 24 Enroll'!D$1,FALSE),'District Calculations'!$D$11)*C277,3)</f>
        <v>0</v>
      </c>
      <c r="E277">
        <f>ROUND(IF(VLOOKUP($A277,EnrollData2324,'2324 Jun 24 Enroll'!E$1,FALSE)='District Calculations'!$D$12,VLOOKUP($A277,EnrollData2324,'2324 Jun 24 Enroll'!E$1,FALSE),'District Calculations'!$D$12)*C277,3)</f>
        <v>59.53</v>
      </c>
      <c r="F277">
        <f>ROUND(IF(VLOOKUP($A277,EnrollData2324,'2324 Jun 24 Enroll'!F$1,FALSE)='District Calculations'!$D$13,VLOOKUP($A277,EnrollData2324,'2324 Jun 24 Enroll'!F$1,FALSE),'District Calculations'!$D$13)*Apport_222A2324s,3)</f>
        <v>10.101000000000001</v>
      </c>
      <c r="G277">
        <f>ROUND(IF(VLOOKUP($A277,EnrollData2324,'2324 Jun 24 Enroll'!G$1,FALSE)='District Calculations'!$D$14,VLOOKUP($A277,EnrollData2324,'2324 Jun 24 Enroll'!G$1,FALSE),'District Calculations'!$D$14)*Apport_210A2324s,3)</f>
        <v>22.395</v>
      </c>
      <c r="H277">
        <f>ROUND(IF(VLOOKUP($A277,EnrollData2324,'2324 Jun 24 Enroll'!H$1,FALSE)='District Calculations'!$D$15,VLOOKUP($A277,EnrollData2324,'2324 Jun 24 Enroll'!H$1,FALSE),'District Calculations'!$D$15)*Apport_213A2324s,3)</f>
        <v>23.091999999999999</v>
      </c>
      <c r="I277">
        <f>ROUND(IF(VLOOKUP($A277,EnrollData2324,'2324 Jun 24 Enroll'!I$1,FALSE)+VLOOKUP($A277,EnrollData2324,'2324 Jun 24 Enroll'!M$1,FALSE)-VLOOKUP($A277,EnrollData2324,'2324 Jun 24 Enroll'!J$1,FALSE)='District Calculations'!$D$16+'District Calculations'!$D$25-'District Calculations'!$D$17,VLOOKUP($A277,EnrollData2324,'2324 Jun 24 Enroll'!I$1,FALSE)+VLOOKUP($A277,EnrollData2324,'2324 Jun 24 Enroll'!M$1,FALSE)-VLOOKUP($A277,EnrollData2324,'2324 Jun 24 Enroll'!J$1,FALSE),'District Calculations'!$D$16+'District Calculations'!$D$25-'District Calculations'!$D$17)*Apport_216A2324s,3)</f>
        <v>58.183999999999997</v>
      </c>
      <c r="J277">
        <f>ROUND(SUM(D277:I277)/(IF(VLOOKUP($A277,EnrollData2324,'2324 Jun 24 Enroll'!M$1,FALSE)='District Calculations'!$D$25,VLOOKUP($A277,EnrollData2324,'2324 Jun 24 Enroll'!M$1,FALSE),'District Calculations'!$D$25)+IF(VLOOKUP($A277,EnrollData2324,'2324 Jun 24 Enroll'!D$1,FALSE)='District Calculations'!$D$11,VLOOKUP($A277,EnrollData2324,'2324 Jun 24 Enroll'!D$1,FALSE),'District Calculations'!$D$11)),5)</f>
        <v>5.5530000000000003E-2</v>
      </c>
      <c r="K277" s="11">
        <f t="shared" si="22"/>
        <v>4.3699999999999998E-3</v>
      </c>
      <c r="L277">
        <f>ROUND(IF(VLOOKUP($A277,EnrollData2324,'2324 Jun 24 Enroll'!D$1,FALSE)='District Calculations'!$D$11,VLOOKUP($A277,EnrollData2324,'2324 Jun 24 Enroll'!D$1,FALSE),'District Calculations'!$D$11)*K277,3)</f>
        <v>0</v>
      </c>
      <c r="M277">
        <f>ROUND(IF(VLOOKUP($A277,EnrollData2324,'2324 Jun 24 Enroll'!E$1,FALSE)='District Calculations'!$D$12,VLOOKUP($A277,EnrollData2324,'2324 Jun 24 Enroll'!E$1,FALSE),'District Calculations'!$D$12)*K277,3)</f>
        <v>3.5419999999999998</v>
      </c>
      <c r="N277">
        <f>ROUND(IF(VLOOKUP($A277,EnrollData2324,'2324 Jun 24 Enroll'!F$1,FALSE)='District Calculations'!$D$13,VLOOKUP($A277,EnrollData2324,'2324 Jun 24 Enroll'!F$1,FALSE),'District Calculations'!$D$13)*Apport_223A2324s,3)</f>
        <v>0.84299999999999997</v>
      </c>
      <c r="O277">
        <f>ROUND(IF(VLOOKUP($A277,EnrollData2324,'2324 Jun 24 Enroll'!G$1,FALSE)='District Calculations'!$D$14,VLOOKUP($A277,EnrollData2324,'2324 Jun 24 Enroll'!G$1,FALSE),'District Calculations'!$D$14)*Apport_211A2324s,3)</f>
        <v>1.87</v>
      </c>
      <c r="P277">
        <f>ROUND(IF(VLOOKUP($A277,EnrollData2324,'2324 Jun 24 Enroll'!H$1,FALSE)='District Calculations'!$D$14,VLOOKUP($A277,EnrollData2324,'2324 Jun 24 Enroll'!H$1,FALSE),'District Calculations'!$D$14)*Apport_214A2324s,3)</f>
        <v>1.8680000000000001</v>
      </c>
      <c r="Q277">
        <f>ROUND(IF(VLOOKUP($A277,EnrollData2324,'2324 Jun 24 Enroll'!I$1,FALSE)+VLOOKUP($A277,EnrollData2324,'2324 Jun 24 Enroll'!M$1,FALSE)-VLOOKUP($A277,EnrollData2324,'2324 Jun 24 Enroll'!J$1,FALSE)='District Calculations'!$D$16+'District Calculations'!$D$25-'District Calculations'!$D$17,VLOOKUP($A277,EnrollData2324,'2324 Jun 24 Enroll'!I$1,FALSE)+VLOOKUP($A277,EnrollData2324,'2324 Jun 24 Enroll'!M$1,FALSE)-VLOOKUP($A277,EnrollData2324,'2324 Jun 24 Enroll'!J$1,FALSE),'District Calculations'!$D$16+'District Calculations'!$D$25-'District Calculations'!$D$17)*Apport_217A2324s,3)</f>
        <v>4.702</v>
      </c>
      <c r="R277">
        <f>ROUND(SUM(L277:Q277)/IF(VLOOKUP($A277,EnrollData2324,'2324 Jun 24 Enroll'!M$1,FALSE)+VLOOKUP($A277,EnrollData2324,'2324 Jun 24 Enroll'!D$1,FALSE)='District Calculations'!$D$25+'District Calculations'!$D$11,VLOOKUP($A277,EnrollData2324,'2324 Jun 24 Enroll'!M$1,FALSE)+VLOOKUP($A277,EnrollData2324,'2324 Jun 24 Enroll'!D$1,FALSE),'District Calculations'!$D$25+'District Calculations'!$D$11),5)</f>
        <v>4.1099999999999999E-3</v>
      </c>
      <c r="S277" s="11">
        <f t="shared" si="23"/>
        <v>1.8689600000000001E-2</v>
      </c>
      <c r="T277">
        <f>ROUND(IF(VLOOKUP($A277,EnrollData2324,'2324 Jun 24 Enroll'!D$1,FALSE)='District Calculations'!$D$11,VLOOKUP($A277,EnrollData2324,'2324 Jun 24 Enroll'!D$1,FALSE),'District Calculations'!$D$11)*S277,3)</f>
        <v>0</v>
      </c>
      <c r="U277">
        <f>ROUND(IF(VLOOKUP($A277,EnrollData2324,'2324 Jun 24 Enroll'!E$1,FALSE)='District Calculations'!$D$12,VLOOKUP($A277,EnrollData2324,'2324 Jun 24 Enroll'!E$1,FALSE),'District Calculations'!$D$12)*S277,3)</f>
        <v>15.148</v>
      </c>
      <c r="V277">
        <f>ROUND(IF(VLOOKUP($A277,EnrollData2324,'2324 Jun 24 Enroll'!F$1,FALSE)='District Calculations'!$D$13,VLOOKUP($A277,EnrollData2324,'2324 Jun 24 Enroll'!F$1,FALSE),'District Calculations'!$D$13)*Apport_224A2324s,3)</f>
        <v>3.7029999999999998</v>
      </c>
      <c r="W277">
        <f>ROUND(IF(VLOOKUP($A277,EnrollData2324,'2324 Jun 24 Enroll'!G$1,FALSE)='District Calculations'!$D$14,VLOOKUP($A277,EnrollData2324,'2324 Jun 24 Enroll'!G$1,FALSE),'District Calculations'!$D$14)*Apport_212A2324s,3)</f>
        <v>8.2089999999999996</v>
      </c>
      <c r="X277">
        <f>ROUND(IF(VLOOKUP($A277,EnrollData2324,'2324 Jun 24 Enroll'!H$1,FALSE)='District Calculations'!$D$14,VLOOKUP($A277,EnrollData2324,'2324 Jun 24 Enroll'!H$1,FALSE),'District Calculations'!$D$14)*Apport_215A2324s,3)</f>
        <v>8.0969999999999995</v>
      </c>
      <c r="Y277">
        <f>ROUND(IF(VLOOKUP($A277,EnrollData2324,'2324 Jun 24 Enroll'!I$1,FALSE)+VLOOKUP($A277,EnrollData2324,'2324 Jun 24 Enroll'!M$1,FALSE)-VLOOKUP($A277,EnrollData2324,'2324 Jun 24 Enroll'!J$1,FALSE)='District Calculations'!$D$16+'District Calculations'!$D$25-'District Calculations'!$D$17,VLOOKUP($A277,EnrollData2324,'2324 Jun 24 Enroll'!I$1,FALSE)+VLOOKUP($A277,EnrollData2324,'2324 Jun 24 Enroll'!M$1,FALSE)-VLOOKUP($A277,EnrollData2324,'2324 Jun 24 Enroll'!J$1,FALSE),'District Calculations'!$D$16+'District Calculations'!$D$25-'District Calculations'!$D$17)*Apport_218A2324s,3)</f>
        <v>20.224</v>
      </c>
      <c r="Z277">
        <f>ROUND(SUM(T277:Y277)/IF(VLOOKUP($A277,EnrollData2324,'2324 Jun 24 Enroll'!M$1,FALSE)+VLOOKUP($A277,EnrollData2324,'2324 Jun 24 Enroll'!D$1,FALSE)='District Calculations'!$D$25+'District Calculations'!$D$11,VLOOKUP($A277,EnrollData2324,'2324 Jun 24 Enroll'!M$1,FALSE)+VLOOKUP($A277,EnrollData2324,'2324 Jun 24 Enroll'!D$1,FALSE),'District Calculations'!$D$25+'District Calculations'!$D$11),5)</f>
        <v>1.7749999999999998E-2</v>
      </c>
      <c r="AA277" s="6" cm="1">
        <f t="array" ref="AA277">ROUND($J277*CIS_Base_Salary2324s*VLOOKUP($A277,EnrollData2324,'2324 Jun 24 Enroll'!S$1,FALSE),2)</f>
        <v>4038.59</v>
      </c>
      <c r="AB277" s="6" cm="1">
        <f t="array" ref="AB277">ROUND($J277*CIS_Inc_Salary2324s*(VLOOKUP($A277,EnrollData2324,'2324 Jun 24 Enroll'!T$1,FALSE)+VLOOKUP($A277,EnrollData2324,'2324 Jun 24 Enroll'!U$1,FALSE)),2)-AA277</f>
        <v>149.43000000000029</v>
      </c>
      <c r="AC277" s="6" cm="1">
        <f t="array" ref="AC277">ROUND($R277*CAS_Base_Salary2324s*VLOOKUP($A277,EnrollData2324,'2324 Jun 24 Enroll'!S$1,FALSE),2)</f>
        <v>443.7</v>
      </c>
      <c r="AD277" s="6" cm="1">
        <f t="array" ref="AD277">ROUND($R277*CAS_Inc_Salary2324s*VLOOKUP($A277,EnrollData2324,'2324 Jun 24 Enroll'!T$1,FALSE),2)-AC277</f>
        <v>16.410000000000025</v>
      </c>
      <c r="AE277" s="6" cm="1">
        <f t="array" ref="AE277">ROUND($Z277*CLS_Base_Salary2324s*VLOOKUP($A277,EnrollData2324,'2324 Jun 24 Enroll'!S$1,FALSE),2)</f>
        <v>926.07</v>
      </c>
      <c r="AF277" s="6" cm="1">
        <f t="array" ref="AF277">ROUND($Z277*CLS_Inc_Salary2324s*VLOOKUP($A277,EnrollData2324,'2324 Jun 24 Enroll'!T$1,FALSE),2)-AE277</f>
        <v>34.259999999999991</v>
      </c>
      <c r="AG277" cm="1">
        <f t="array" ref="AG277">ROUND(($J277+$R277)*Apport_124X2324s,2)</f>
        <v>734.29</v>
      </c>
      <c r="AH277" s="69">
        <f t="shared" si="24"/>
        <v>68.700000000000045</v>
      </c>
      <c r="AI277" cm="1">
        <f t="array" ref="AI277">ROUND($Z277*Apport_124X2324s,2)</f>
        <v>218.54</v>
      </c>
      <c r="AJ277" cm="1">
        <f t="array" ref="AJ277">ROUND($Z277*Apport_621X2324s*Apport_125X2324s,2)-AI277</f>
        <v>116.51000000000002</v>
      </c>
      <c r="AK277" cm="1">
        <f t="array" ref="AK277">ROUND((AA277+AC277)*Apport_126X2324s,2)</f>
        <v>805.47</v>
      </c>
      <c r="AL277" cm="1">
        <f t="array" ref="AL277">ROUND((AB277+AD277)*Apport_127X2324s,2)</f>
        <v>28.74</v>
      </c>
      <c r="AM277" cm="1">
        <f t="array" ref="AM277">ROUND(AE277*Apport_128X2324s,2)</f>
        <v>204.29</v>
      </c>
      <c r="AN277" cm="1">
        <f t="array" ref="AN277">ROUND(AF277*Apport_129X2324s,2)</f>
        <v>6.36</v>
      </c>
      <c r="AO277" cm="1">
        <f t="array" ref="AO277">ROUND(($J277*CIS_Inc_Salary2324s*(VLOOKUP($A277,EnrollData2324,'2324 Jun 24 Enroll'!T$1,FALSE)+VLOOKUP($A277,EnrollData2324,'2324 Jun 24 Enroll'!U$1,FALSE))/Apport_613Xpd)*Apport_614Xpd,2)</f>
        <v>69.8</v>
      </c>
      <c r="AP277" cm="1">
        <f t="array" ref="AP277">ROUND(AO277*Apport_127X2324s,2)</f>
        <v>12.1</v>
      </c>
      <c r="AQ277">
        <f t="shared" si="25"/>
        <v>30.93</v>
      </c>
      <c r="AR277" s="6" cm="1">
        <f t="array" ref="AR277">ROUND((VLOOKUP($A277,EnrollData2324,'2324 Jun 24 Enroll'!D$1,FALSE)*Apport_M802324s+VLOOKUP($A277,EnrollData2324,'2324 Jun 24 Enroll'!M$1,FALSE)*Apport_M802324s+(VLOOKUP($A277,EnrollData2324,'2324 Jun 24 Enroll'!P$1,FALSE)+VLOOKUP($A277,EnrollData2324,'2324 Jun 24 Enroll'!Q$1,FALSE)+VLOOKUP($A277,EnrollData2324,'2324 Jun 24 Enroll'!R$1,FALSE)+VLOOKUP($A277,EnrollData2324,'2324 Jun 24 Enroll'!I$1,FALSE)+VLOOKUP($A277,EnrollData2324,'2324 Jun 24 Enroll'!N$1,FALSE)+VLOOKUP($A277,EnrollData2324,'2324 Jun 24 Enroll'!O$1,FALSE)+VLOOKUP($A277,EnrollData2324,'2324 Jun 24 Enroll'!K$1,FALSE)+VLOOKUP($A277,EnrollData2324,'2324 Jun 24 Enroll'!L$1,FALSE))*Apport_M812324s)/(VLOOKUP($A277,EnrollData2324,'2324 Jun 24 Enroll'!M$1,FALSE)+VLOOKUP($A277,EnrollData2324,'2324 Jun 24 Enroll'!D$1,FALSE)),2)</f>
        <v>1561.32</v>
      </c>
      <c r="AS277" s="7">
        <f t="shared" si="26"/>
        <v>9465.51</v>
      </c>
    </row>
    <row r="278" spans="1:45">
      <c r="A278" s="40" t="s">
        <v>496</v>
      </c>
      <c r="B278" s="40" t="s">
        <v>497</v>
      </c>
      <c r="C278" s="11">
        <f>ROUND((IFERROR((1/IF(VLOOKUP($A278,EnrollData2324,28,FALSE)='District Calculations'!$D$10,VLOOKUP($A278,EnrollData2324,28,FALSE),'District Calculations'!$D$10))*(1+Apport_Z315),0))+Apport_201A2324s,6)</f>
        <v>7.3449E-2</v>
      </c>
      <c r="D278">
        <f>ROUND(IF(VLOOKUP($A278,EnrollData2324,'2324 Jun 24 Enroll'!D$1,FALSE)='District Calculations'!$D$11,VLOOKUP($A278,EnrollData2324,'2324 Jun 24 Enroll'!D$1,FALSE),'District Calculations'!$D$11)*C278,3)</f>
        <v>0</v>
      </c>
      <c r="E278">
        <f>ROUND(IF(VLOOKUP($A278,EnrollData2324,'2324 Jun 24 Enroll'!E$1,FALSE)='District Calculations'!$D$12,VLOOKUP($A278,EnrollData2324,'2324 Jun 24 Enroll'!E$1,FALSE),'District Calculations'!$D$12)*C278,3)</f>
        <v>59.53</v>
      </c>
      <c r="F278">
        <f>ROUND(IF(VLOOKUP($A278,EnrollData2324,'2324 Jun 24 Enroll'!F$1,FALSE)='District Calculations'!$D$13,VLOOKUP($A278,EnrollData2324,'2324 Jun 24 Enroll'!F$1,FALSE),'District Calculations'!$D$13)*Apport_222A2324s,3)</f>
        <v>10.101000000000001</v>
      </c>
      <c r="G278">
        <f>ROUND(IF(VLOOKUP($A278,EnrollData2324,'2324 Jun 24 Enroll'!G$1,FALSE)='District Calculations'!$D$14,VLOOKUP($A278,EnrollData2324,'2324 Jun 24 Enroll'!G$1,FALSE),'District Calculations'!$D$14)*Apport_210A2324s,3)</f>
        <v>22.395</v>
      </c>
      <c r="H278">
        <f>ROUND(IF(VLOOKUP($A278,EnrollData2324,'2324 Jun 24 Enroll'!H$1,FALSE)='District Calculations'!$D$15,VLOOKUP($A278,EnrollData2324,'2324 Jun 24 Enroll'!H$1,FALSE),'District Calculations'!$D$15)*Apport_213A2324s,3)</f>
        <v>23.091999999999999</v>
      </c>
      <c r="I278">
        <f>ROUND(IF(VLOOKUP($A278,EnrollData2324,'2324 Jun 24 Enroll'!I$1,FALSE)+VLOOKUP($A278,EnrollData2324,'2324 Jun 24 Enroll'!M$1,FALSE)-VLOOKUP($A278,EnrollData2324,'2324 Jun 24 Enroll'!J$1,FALSE)='District Calculations'!$D$16+'District Calculations'!$D$25-'District Calculations'!$D$17,VLOOKUP($A278,EnrollData2324,'2324 Jun 24 Enroll'!I$1,FALSE)+VLOOKUP($A278,EnrollData2324,'2324 Jun 24 Enroll'!M$1,FALSE)-VLOOKUP($A278,EnrollData2324,'2324 Jun 24 Enroll'!J$1,FALSE),'District Calculations'!$D$16+'District Calculations'!$D$25-'District Calculations'!$D$17)*Apport_216A2324s,3)</f>
        <v>58.183999999999997</v>
      </c>
      <c r="J278">
        <f>ROUND(SUM(D278:I278)/(IF(VLOOKUP($A278,EnrollData2324,'2324 Jun 24 Enroll'!M$1,FALSE)='District Calculations'!$D$25,VLOOKUP($A278,EnrollData2324,'2324 Jun 24 Enroll'!M$1,FALSE),'District Calculations'!$D$25)+IF(VLOOKUP($A278,EnrollData2324,'2324 Jun 24 Enroll'!D$1,FALSE)='District Calculations'!$D$11,VLOOKUP($A278,EnrollData2324,'2324 Jun 24 Enroll'!D$1,FALSE),'District Calculations'!$D$11)),5)</f>
        <v>5.5530000000000003E-2</v>
      </c>
      <c r="K278" s="11">
        <f t="shared" si="22"/>
        <v>4.3699999999999998E-3</v>
      </c>
      <c r="L278">
        <f>ROUND(IF(VLOOKUP($A278,EnrollData2324,'2324 Jun 24 Enroll'!D$1,FALSE)='District Calculations'!$D$11,VLOOKUP($A278,EnrollData2324,'2324 Jun 24 Enroll'!D$1,FALSE),'District Calculations'!$D$11)*K278,3)</f>
        <v>0</v>
      </c>
      <c r="M278">
        <f>ROUND(IF(VLOOKUP($A278,EnrollData2324,'2324 Jun 24 Enroll'!E$1,FALSE)='District Calculations'!$D$12,VLOOKUP($A278,EnrollData2324,'2324 Jun 24 Enroll'!E$1,FALSE),'District Calculations'!$D$12)*K278,3)</f>
        <v>3.5419999999999998</v>
      </c>
      <c r="N278">
        <f>ROUND(IF(VLOOKUP($A278,EnrollData2324,'2324 Jun 24 Enroll'!F$1,FALSE)='District Calculations'!$D$13,VLOOKUP($A278,EnrollData2324,'2324 Jun 24 Enroll'!F$1,FALSE),'District Calculations'!$D$13)*Apport_223A2324s,3)</f>
        <v>0.84299999999999997</v>
      </c>
      <c r="O278">
        <f>ROUND(IF(VLOOKUP($A278,EnrollData2324,'2324 Jun 24 Enroll'!G$1,FALSE)='District Calculations'!$D$14,VLOOKUP($A278,EnrollData2324,'2324 Jun 24 Enroll'!G$1,FALSE),'District Calculations'!$D$14)*Apport_211A2324s,3)</f>
        <v>1.87</v>
      </c>
      <c r="P278">
        <f>ROUND(IF(VLOOKUP($A278,EnrollData2324,'2324 Jun 24 Enroll'!H$1,FALSE)='District Calculations'!$D$14,VLOOKUP($A278,EnrollData2324,'2324 Jun 24 Enroll'!H$1,FALSE),'District Calculations'!$D$14)*Apport_214A2324s,3)</f>
        <v>1.8680000000000001</v>
      </c>
      <c r="Q278">
        <f>ROUND(IF(VLOOKUP($A278,EnrollData2324,'2324 Jun 24 Enroll'!I$1,FALSE)+VLOOKUP($A278,EnrollData2324,'2324 Jun 24 Enroll'!M$1,FALSE)-VLOOKUP($A278,EnrollData2324,'2324 Jun 24 Enroll'!J$1,FALSE)='District Calculations'!$D$16+'District Calculations'!$D$25-'District Calculations'!$D$17,VLOOKUP($A278,EnrollData2324,'2324 Jun 24 Enroll'!I$1,FALSE)+VLOOKUP($A278,EnrollData2324,'2324 Jun 24 Enroll'!M$1,FALSE)-VLOOKUP($A278,EnrollData2324,'2324 Jun 24 Enroll'!J$1,FALSE),'District Calculations'!$D$16+'District Calculations'!$D$25-'District Calculations'!$D$17)*Apport_217A2324s,3)</f>
        <v>4.702</v>
      </c>
      <c r="R278">
        <f>ROUND(SUM(L278:Q278)/IF(VLOOKUP($A278,EnrollData2324,'2324 Jun 24 Enroll'!M$1,FALSE)+VLOOKUP($A278,EnrollData2324,'2324 Jun 24 Enroll'!D$1,FALSE)='District Calculations'!$D$25+'District Calculations'!$D$11,VLOOKUP($A278,EnrollData2324,'2324 Jun 24 Enroll'!M$1,FALSE)+VLOOKUP($A278,EnrollData2324,'2324 Jun 24 Enroll'!D$1,FALSE),'District Calculations'!$D$25+'District Calculations'!$D$11),5)</f>
        <v>4.1099999999999999E-3</v>
      </c>
      <c r="S278" s="11">
        <f t="shared" si="23"/>
        <v>1.8689600000000001E-2</v>
      </c>
      <c r="T278">
        <f>ROUND(IF(VLOOKUP($A278,EnrollData2324,'2324 Jun 24 Enroll'!D$1,FALSE)='District Calculations'!$D$11,VLOOKUP($A278,EnrollData2324,'2324 Jun 24 Enroll'!D$1,FALSE),'District Calculations'!$D$11)*S278,3)</f>
        <v>0</v>
      </c>
      <c r="U278">
        <f>ROUND(IF(VLOOKUP($A278,EnrollData2324,'2324 Jun 24 Enroll'!E$1,FALSE)='District Calculations'!$D$12,VLOOKUP($A278,EnrollData2324,'2324 Jun 24 Enroll'!E$1,FALSE),'District Calculations'!$D$12)*S278,3)</f>
        <v>15.148</v>
      </c>
      <c r="V278">
        <f>ROUND(IF(VLOOKUP($A278,EnrollData2324,'2324 Jun 24 Enroll'!F$1,FALSE)='District Calculations'!$D$13,VLOOKUP($A278,EnrollData2324,'2324 Jun 24 Enroll'!F$1,FALSE),'District Calculations'!$D$13)*Apport_224A2324s,3)</f>
        <v>3.7029999999999998</v>
      </c>
      <c r="W278">
        <f>ROUND(IF(VLOOKUP($A278,EnrollData2324,'2324 Jun 24 Enroll'!G$1,FALSE)='District Calculations'!$D$14,VLOOKUP($A278,EnrollData2324,'2324 Jun 24 Enroll'!G$1,FALSE),'District Calculations'!$D$14)*Apport_212A2324s,3)</f>
        <v>8.2089999999999996</v>
      </c>
      <c r="X278">
        <f>ROUND(IF(VLOOKUP($A278,EnrollData2324,'2324 Jun 24 Enroll'!H$1,FALSE)='District Calculations'!$D$14,VLOOKUP($A278,EnrollData2324,'2324 Jun 24 Enroll'!H$1,FALSE),'District Calculations'!$D$14)*Apport_215A2324s,3)</f>
        <v>8.0969999999999995</v>
      </c>
      <c r="Y278">
        <f>ROUND(IF(VLOOKUP($A278,EnrollData2324,'2324 Jun 24 Enroll'!I$1,FALSE)+VLOOKUP($A278,EnrollData2324,'2324 Jun 24 Enroll'!M$1,FALSE)-VLOOKUP($A278,EnrollData2324,'2324 Jun 24 Enroll'!J$1,FALSE)='District Calculations'!$D$16+'District Calculations'!$D$25-'District Calculations'!$D$17,VLOOKUP($A278,EnrollData2324,'2324 Jun 24 Enroll'!I$1,FALSE)+VLOOKUP($A278,EnrollData2324,'2324 Jun 24 Enroll'!M$1,FALSE)-VLOOKUP($A278,EnrollData2324,'2324 Jun 24 Enroll'!J$1,FALSE),'District Calculations'!$D$16+'District Calculations'!$D$25-'District Calculations'!$D$17)*Apport_218A2324s,3)</f>
        <v>20.224</v>
      </c>
      <c r="Z278">
        <f>ROUND(SUM(T278:Y278)/IF(VLOOKUP($A278,EnrollData2324,'2324 Jun 24 Enroll'!M$1,FALSE)+VLOOKUP($A278,EnrollData2324,'2324 Jun 24 Enroll'!D$1,FALSE)='District Calculations'!$D$25+'District Calculations'!$D$11,VLOOKUP($A278,EnrollData2324,'2324 Jun 24 Enroll'!M$1,FALSE)+VLOOKUP($A278,EnrollData2324,'2324 Jun 24 Enroll'!D$1,FALSE),'District Calculations'!$D$25+'District Calculations'!$D$11),5)</f>
        <v>1.7749999999999998E-2</v>
      </c>
      <c r="AA278" s="6" cm="1">
        <f t="array" ref="AA278">ROUND($J278*CIS_Base_Salary2324s*VLOOKUP($A278,EnrollData2324,'2324 Jun 24 Enroll'!S$1,FALSE),2)</f>
        <v>4038.59</v>
      </c>
      <c r="AB278" s="6" cm="1">
        <f t="array" ref="AB278">ROUND($J278*CIS_Inc_Salary2324s*(VLOOKUP($A278,EnrollData2324,'2324 Jun 24 Enroll'!T$1,FALSE)+VLOOKUP($A278,EnrollData2324,'2324 Jun 24 Enroll'!U$1,FALSE)),2)-AA278</f>
        <v>149.43000000000029</v>
      </c>
      <c r="AC278" s="6" cm="1">
        <f t="array" ref="AC278">ROUND($R278*CAS_Base_Salary2324s*VLOOKUP($A278,EnrollData2324,'2324 Jun 24 Enroll'!S$1,FALSE),2)</f>
        <v>443.7</v>
      </c>
      <c r="AD278" s="6" cm="1">
        <f t="array" ref="AD278">ROUND($R278*CAS_Inc_Salary2324s*VLOOKUP($A278,EnrollData2324,'2324 Jun 24 Enroll'!T$1,FALSE),2)-AC278</f>
        <v>16.410000000000025</v>
      </c>
      <c r="AE278" s="6" cm="1">
        <f t="array" ref="AE278">ROUND($Z278*CLS_Base_Salary2324s*VLOOKUP($A278,EnrollData2324,'2324 Jun 24 Enroll'!S$1,FALSE),2)</f>
        <v>926.07</v>
      </c>
      <c r="AF278" s="6" cm="1">
        <f t="array" ref="AF278">ROUND($Z278*CLS_Inc_Salary2324s*VLOOKUP($A278,EnrollData2324,'2324 Jun 24 Enroll'!T$1,FALSE),2)-AE278</f>
        <v>34.259999999999991</v>
      </c>
      <c r="AG278" cm="1">
        <f t="array" ref="AG278">ROUND(($J278+$R278)*Apport_124X2324s,2)</f>
        <v>734.29</v>
      </c>
      <c r="AH278" s="69">
        <f t="shared" si="24"/>
        <v>68.700000000000045</v>
      </c>
      <c r="AI278" cm="1">
        <f t="array" ref="AI278">ROUND($Z278*Apport_124X2324s,2)</f>
        <v>218.54</v>
      </c>
      <c r="AJ278" cm="1">
        <f t="array" ref="AJ278">ROUND($Z278*Apport_621X2324s*Apport_125X2324s,2)-AI278</f>
        <v>116.51000000000002</v>
      </c>
      <c r="AK278" cm="1">
        <f t="array" ref="AK278">ROUND((AA278+AC278)*Apport_126X2324s,2)</f>
        <v>805.47</v>
      </c>
      <c r="AL278" cm="1">
        <f t="array" ref="AL278">ROUND((AB278+AD278)*Apport_127X2324s,2)</f>
        <v>28.74</v>
      </c>
      <c r="AM278" cm="1">
        <f t="array" ref="AM278">ROUND(AE278*Apport_128X2324s,2)</f>
        <v>204.29</v>
      </c>
      <c r="AN278" cm="1">
        <f t="array" ref="AN278">ROUND(AF278*Apport_129X2324s,2)</f>
        <v>6.36</v>
      </c>
      <c r="AO278" cm="1">
        <f t="array" ref="AO278">ROUND(($J278*CIS_Inc_Salary2324s*(VLOOKUP($A278,EnrollData2324,'2324 Jun 24 Enroll'!T$1,FALSE)+VLOOKUP($A278,EnrollData2324,'2324 Jun 24 Enroll'!U$1,FALSE))/Apport_613Xpd)*Apport_614Xpd,2)</f>
        <v>69.8</v>
      </c>
      <c r="AP278" cm="1">
        <f t="array" ref="AP278">ROUND(AO278*Apport_127X2324s,2)</f>
        <v>12.1</v>
      </c>
      <c r="AQ278">
        <f t="shared" si="25"/>
        <v>30.93</v>
      </c>
      <c r="AR278" s="6" cm="1">
        <f t="array" ref="AR278">ROUND((VLOOKUP($A278,EnrollData2324,'2324 Jun 24 Enroll'!D$1,FALSE)*Apport_M802324s+VLOOKUP($A278,EnrollData2324,'2324 Jun 24 Enroll'!M$1,FALSE)*Apport_M802324s+(VLOOKUP($A278,EnrollData2324,'2324 Jun 24 Enroll'!P$1,FALSE)+VLOOKUP($A278,EnrollData2324,'2324 Jun 24 Enroll'!Q$1,FALSE)+VLOOKUP($A278,EnrollData2324,'2324 Jun 24 Enroll'!R$1,FALSE)+VLOOKUP($A278,EnrollData2324,'2324 Jun 24 Enroll'!I$1,FALSE)+VLOOKUP($A278,EnrollData2324,'2324 Jun 24 Enroll'!N$1,FALSE)+VLOOKUP($A278,EnrollData2324,'2324 Jun 24 Enroll'!O$1,FALSE)+VLOOKUP($A278,EnrollData2324,'2324 Jun 24 Enroll'!K$1,FALSE)+VLOOKUP($A278,EnrollData2324,'2324 Jun 24 Enroll'!L$1,FALSE))*Apport_M812324s)/(VLOOKUP($A278,EnrollData2324,'2324 Jun 24 Enroll'!M$1,FALSE)+VLOOKUP($A278,EnrollData2324,'2324 Jun 24 Enroll'!D$1,FALSE)),2)</f>
        <v>1504.44</v>
      </c>
      <c r="AS278" s="7">
        <f t="shared" si="26"/>
        <v>9408.630000000001</v>
      </c>
    </row>
    <row r="279" spans="1:45">
      <c r="A279" s="40" t="s">
        <v>735</v>
      </c>
      <c r="B279" s="40" t="s">
        <v>736</v>
      </c>
      <c r="C279" s="11">
        <f>ROUND((IFERROR((1/IF(VLOOKUP($A279,EnrollData2324,28,FALSE)='District Calculations'!$D$10,VLOOKUP($A279,EnrollData2324,28,FALSE),'District Calculations'!$D$10))*(1+Apport_Z315),0))+Apport_201A2324s,6)</f>
        <v>7.3449E-2</v>
      </c>
      <c r="D279">
        <f>ROUND(IF(VLOOKUP($A279,EnrollData2324,'2324 Jun 24 Enroll'!D$1,FALSE)='District Calculations'!$D$11,VLOOKUP($A279,EnrollData2324,'2324 Jun 24 Enroll'!D$1,FALSE),'District Calculations'!$D$11)*C279,3)</f>
        <v>0</v>
      </c>
      <c r="E279">
        <f>ROUND(IF(VLOOKUP($A279,EnrollData2324,'2324 Jun 24 Enroll'!E$1,FALSE)='District Calculations'!$D$12,VLOOKUP($A279,EnrollData2324,'2324 Jun 24 Enroll'!E$1,FALSE),'District Calculations'!$D$12)*C279,3)</f>
        <v>59.53</v>
      </c>
      <c r="F279">
        <f>ROUND(IF(VLOOKUP($A279,EnrollData2324,'2324 Jun 24 Enroll'!F$1,FALSE)='District Calculations'!$D$13,VLOOKUP($A279,EnrollData2324,'2324 Jun 24 Enroll'!F$1,FALSE),'District Calculations'!$D$13)*Apport_222A2324s,3)</f>
        <v>10.101000000000001</v>
      </c>
      <c r="G279">
        <f>ROUND(IF(VLOOKUP($A279,EnrollData2324,'2324 Jun 24 Enroll'!G$1,FALSE)='District Calculations'!$D$14,VLOOKUP($A279,EnrollData2324,'2324 Jun 24 Enroll'!G$1,FALSE),'District Calculations'!$D$14)*Apport_210A2324s,3)</f>
        <v>22.395</v>
      </c>
      <c r="H279">
        <f>ROUND(IF(VLOOKUP($A279,EnrollData2324,'2324 Jun 24 Enroll'!H$1,FALSE)='District Calculations'!$D$15,VLOOKUP($A279,EnrollData2324,'2324 Jun 24 Enroll'!H$1,FALSE),'District Calculations'!$D$15)*Apport_213A2324s,3)</f>
        <v>23.091999999999999</v>
      </c>
      <c r="I279">
        <f>ROUND(IF(VLOOKUP($A279,EnrollData2324,'2324 Jun 24 Enroll'!I$1,FALSE)+VLOOKUP($A279,EnrollData2324,'2324 Jun 24 Enroll'!M$1,FALSE)-VLOOKUP($A279,EnrollData2324,'2324 Jun 24 Enroll'!J$1,FALSE)='District Calculations'!$D$16+'District Calculations'!$D$25-'District Calculations'!$D$17,VLOOKUP($A279,EnrollData2324,'2324 Jun 24 Enroll'!I$1,FALSE)+VLOOKUP($A279,EnrollData2324,'2324 Jun 24 Enroll'!M$1,FALSE)-VLOOKUP($A279,EnrollData2324,'2324 Jun 24 Enroll'!J$1,FALSE),'District Calculations'!$D$16+'District Calculations'!$D$25-'District Calculations'!$D$17)*Apport_216A2324s,3)</f>
        <v>58.183999999999997</v>
      </c>
      <c r="J279">
        <f>ROUND(SUM(D279:I279)/(IF(VLOOKUP($A279,EnrollData2324,'2324 Jun 24 Enroll'!M$1,FALSE)='District Calculations'!$D$25,VLOOKUP($A279,EnrollData2324,'2324 Jun 24 Enroll'!M$1,FALSE),'District Calculations'!$D$25)+IF(VLOOKUP($A279,EnrollData2324,'2324 Jun 24 Enroll'!D$1,FALSE)='District Calculations'!$D$11,VLOOKUP($A279,EnrollData2324,'2324 Jun 24 Enroll'!D$1,FALSE),'District Calculations'!$D$11)),5)</f>
        <v>5.5530000000000003E-2</v>
      </c>
      <c r="K279" s="11">
        <f t="shared" si="22"/>
        <v>4.3699999999999998E-3</v>
      </c>
      <c r="L279">
        <f>ROUND(IF(VLOOKUP($A279,EnrollData2324,'2324 Jun 24 Enroll'!D$1,FALSE)='District Calculations'!$D$11,VLOOKUP($A279,EnrollData2324,'2324 Jun 24 Enroll'!D$1,FALSE),'District Calculations'!$D$11)*K279,3)</f>
        <v>0</v>
      </c>
      <c r="M279">
        <f>ROUND(IF(VLOOKUP($A279,EnrollData2324,'2324 Jun 24 Enroll'!E$1,FALSE)='District Calculations'!$D$12,VLOOKUP($A279,EnrollData2324,'2324 Jun 24 Enroll'!E$1,FALSE),'District Calculations'!$D$12)*K279,3)</f>
        <v>3.5419999999999998</v>
      </c>
      <c r="N279">
        <f>ROUND(IF(VLOOKUP($A279,EnrollData2324,'2324 Jun 24 Enroll'!F$1,FALSE)='District Calculations'!$D$13,VLOOKUP($A279,EnrollData2324,'2324 Jun 24 Enroll'!F$1,FALSE),'District Calculations'!$D$13)*Apport_223A2324s,3)</f>
        <v>0.84299999999999997</v>
      </c>
      <c r="O279">
        <f>ROUND(IF(VLOOKUP($A279,EnrollData2324,'2324 Jun 24 Enroll'!G$1,FALSE)='District Calculations'!$D$14,VLOOKUP($A279,EnrollData2324,'2324 Jun 24 Enroll'!G$1,FALSE),'District Calculations'!$D$14)*Apport_211A2324s,3)</f>
        <v>1.87</v>
      </c>
      <c r="P279">
        <f>ROUND(IF(VLOOKUP($A279,EnrollData2324,'2324 Jun 24 Enroll'!H$1,FALSE)='District Calculations'!$D$14,VLOOKUP($A279,EnrollData2324,'2324 Jun 24 Enroll'!H$1,FALSE),'District Calculations'!$D$14)*Apport_214A2324s,3)</f>
        <v>1.8680000000000001</v>
      </c>
      <c r="Q279">
        <f>ROUND(IF(VLOOKUP($A279,EnrollData2324,'2324 Jun 24 Enroll'!I$1,FALSE)+VLOOKUP($A279,EnrollData2324,'2324 Jun 24 Enroll'!M$1,FALSE)-VLOOKUP($A279,EnrollData2324,'2324 Jun 24 Enroll'!J$1,FALSE)='District Calculations'!$D$16+'District Calculations'!$D$25-'District Calculations'!$D$17,VLOOKUP($A279,EnrollData2324,'2324 Jun 24 Enroll'!I$1,FALSE)+VLOOKUP($A279,EnrollData2324,'2324 Jun 24 Enroll'!M$1,FALSE)-VLOOKUP($A279,EnrollData2324,'2324 Jun 24 Enroll'!J$1,FALSE),'District Calculations'!$D$16+'District Calculations'!$D$25-'District Calculations'!$D$17)*Apport_217A2324s,3)</f>
        <v>4.702</v>
      </c>
      <c r="R279">
        <f>ROUND(SUM(L279:Q279)/IF(VLOOKUP($A279,EnrollData2324,'2324 Jun 24 Enroll'!M$1,FALSE)+VLOOKUP($A279,EnrollData2324,'2324 Jun 24 Enroll'!D$1,FALSE)='District Calculations'!$D$25+'District Calculations'!$D$11,VLOOKUP($A279,EnrollData2324,'2324 Jun 24 Enroll'!M$1,FALSE)+VLOOKUP($A279,EnrollData2324,'2324 Jun 24 Enroll'!D$1,FALSE),'District Calculations'!$D$25+'District Calculations'!$D$11),5)</f>
        <v>4.1099999999999999E-3</v>
      </c>
      <c r="S279" s="11">
        <f t="shared" si="23"/>
        <v>1.8689600000000001E-2</v>
      </c>
      <c r="T279">
        <f>ROUND(IF(VLOOKUP($A279,EnrollData2324,'2324 Jun 24 Enroll'!D$1,FALSE)='District Calculations'!$D$11,VLOOKUP($A279,EnrollData2324,'2324 Jun 24 Enroll'!D$1,FALSE),'District Calculations'!$D$11)*S279,3)</f>
        <v>0</v>
      </c>
      <c r="U279">
        <f>ROUND(IF(VLOOKUP($A279,EnrollData2324,'2324 Jun 24 Enroll'!E$1,FALSE)='District Calculations'!$D$12,VLOOKUP($A279,EnrollData2324,'2324 Jun 24 Enroll'!E$1,FALSE),'District Calculations'!$D$12)*S279,3)</f>
        <v>15.148</v>
      </c>
      <c r="V279">
        <f>ROUND(IF(VLOOKUP($A279,EnrollData2324,'2324 Jun 24 Enroll'!F$1,FALSE)='District Calculations'!$D$13,VLOOKUP($A279,EnrollData2324,'2324 Jun 24 Enroll'!F$1,FALSE),'District Calculations'!$D$13)*Apport_224A2324s,3)</f>
        <v>3.7029999999999998</v>
      </c>
      <c r="W279">
        <f>ROUND(IF(VLOOKUP($A279,EnrollData2324,'2324 Jun 24 Enroll'!G$1,FALSE)='District Calculations'!$D$14,VLOOKUP($A279,EnrollData2324,'2324 Jun 24 Enroll'!G$1,FALSE),'District Calculations'!$D$14)*Apport_212A2324s,3)</f>
        <v>8.2089999999999996</v>
      </c>
      <c r="X279">
        <f>ROUND(IF(VLOOKUP($A279,EnrollData2324,'2324 Jun 24 Enroll'!H$1,FALSE)='District Calculations'!$D$14,VLOOKUP($A279,EnrollData2324,'2324 Jun 24 Enroll'!H$1,FALSE),'District Calculations'!$D$14)*Apport_215A2324s,3)</f>
        <v>8.0969999999999995</v>
      </c>
      <c r="Y279">
        <f>ROUND(IF(VLOOKUP($A279,EnrollData2324,'2324 Jun 24 Enroll'!I$1,FALSE)+VLOOKUP($A279,EnrollData2324,'2324 Jun 24 Enroll'!M$1,FALSE)-VLOOKUP($A279,EnrollData2324,'2324 Jun 24 Enroll'!J$1,FALSE)='District Calculations'!$D$16+'District Calculations'!$D$25-'District Calculations'!$D$17,VLOOKUP($A279,EnrollData2324,'2324 Jun 24 Enroll'!I$1,FALSE)+VLOOKUP($A279,EnrollData2324,'2324 Jun 24 Enroll'!M$1,FALSE)-VLOOKUP($A279,EnrollData2324,'2324 Jun 24 Enroll'!J$1,FALSE),'District Calculations'!$D$16+'District Calculations'!$D$25-'District Calculations'!$D$17)*Apport_218A2324s,3)</f>
        <v>20.224</v>
      </c>
      <c r="Z279">
        <f>ROUND(SUM(T279:Y279)/IF(VLOOKUP($A279,EnrollData2324,'2324 Jun 24 Enroll'!M$1,FALSE)+VLOOKUP($A279,EnrollData2324,'2324 Jun 24 Enroll'!D$1,FALSE)='District Calculations'!$D$25+'District Calculations'!$D$11,VLOOKUP($A279,EnrollData2324,'2324 Jun 24 Enroll'!M$1,FALSE)+VLOOKUP($A279,EnrollData2324,'2324 Jun 24 Enroll'!D$1,FALSE),'District Calculations'!$D$25+'District Calculations'!$D$11),5)</f>
        <v>1.7749999999999998E-2</v>
      </c>
      <c r="AA279" s="6" cm="1">
        <f t="array" ref="AA279">ROUND($J279*CIS_Base_Salary2324s*VLOOKUP($A279,EnrollData2324,'2324 Jun 24 Enroll'!S$1,FALSE),2)</f>
        <v>4038.59</v>
      </c>
      <c r="AB279" s="6" cm="1">
        <f t="array" ref="AB279">ROUND($J279*CIS_Inc_Salary2324s*(VLOOKUP($A279,EnrollData2324,'2324 Jun 24 Enroll'!T$1,FALSE)+VLOOKUP($A279,EnrollData2324,'2324 Jun 24 Enroll'!U$1,FALSE)),2)-AA279</f>
        <v>149.43000000000029</v>
      </c>
      <c r="AC279" s="6" cm="1">
        <f t="array" ref="AC279">ROUND($R279*CAS_Base_Salary2324s*VLOOKUP($A279,EnrollData2324,'2324 Jun 24 Enroll'!S$1,FALSE),2)</f>
        <v>443.7</v>
      </c>
      <c r="AD279" s="6" cm="1">
        <f t="array" ref="AD279">ROUND($R279*CAS_Inc_Salary2324s*VLOOKUP($A279,EnrollData2324,'2324 Jun 24 Enroll'!T$1,FALSE),2)-AC279</f>
        <v>16.410000000000025</v>
      </c>
      <c r="AE279" s="6" cm="1">
        <f t="array" ref="AE279">ROUND($Z279*CLS_Base_Salary2324s*VLOOKUP($A279,EnrollData2324,'2324 Jun 24 Enroll'!S$1,FALSE),2)</f>
        <v>926.07</v>
      </c>
      <c r="AF279" s="6" cm="1">
        <f t="array" ref="AF279">ROUND($Z279*CLS_Inc_Salary2324s*VLOOKUP($A279,EnrollData2324,'2324 Jun 24 Enroll'!T$1,FALSE),2)-AE279</f>
        <v>34.259999999999991</v>
      </c>
      <c r="AG279" cm="1">
        <f t="array" ref="AG279">ROUND(($J279+$R279)*Apport_124X2324s,2)</f>
        <v>734.29</v>
      </c>
      <c r="AH279" s="69">
        <f t="shared" si="24"/>
        <v>68.700000000000045</v>
      </c>
      <c r="AI279" cm="1">
        <f t="array" ref="AI279">ROUND($Z279*Apport_124X2324s,2)</f>
        <v>218.54</v>
      </c>
      <c r="AJ279" cm="1">
        <f t="array" ref="AJ279">ROUND($Z279*Apport_621X2324s*Apport_125X2324s,2)-AI279</f>
        <v>116.51000000000002</v>
      </c>
      <c r="AK279" cm="1">
        <f t="array" ref="AK279">ROUND((AA279+AC279)*Apport_126X2324s,2)</f>
        <v>805.47</v>
      </c>
      <c r="AL279" cm="1">
        <f t="array" ref="AL279">ROUND((AB279+AD279)*Apport_127X2324s,2)</f>
        <v>28.74</v>
      </c>
      <c r="AM279" cm="1">
        <f t="array" ref="AM279">ROUND(AE279*Apport_128X2324s,2)</f>
        <v>204.29</v>
      </c>
      <c r="AN279" cm="1">
        <f t="array" ref="AN279">ROUND(AF279*Apport_129X2324s,2)</f>
        <v>6.36</v>
      </c>
      <c r="AO279" cm="1">
        <f t="array" ref="AO279">ROUND(($J279*CIS_Inc_Salary2324s*(VLOOKUP($A279,EnrollData2324,'2324 Jun 24 Enroll'!T$1,FALSE)+VLOOKUP($A279,EnrollData2324,'2324 Jun 24 Enroll'!U$1,FALSE))/Apport_613Xpd)*Apport_614Xpd,2)</f>
        <v>69.8</v>
      </c>
      <c r="AP279" cm="1">
        <f t="array" ref="AP279">ROUND(AO279*Apport_127X2324s,2)</f>
        <v>12.1</v>
      </c>
      <c r="AQ279">
        <f t="shared" si="25"/>
        <v>30.93</v>
      </c>
      <c r="AR279" s="6" cm="1">
        <f t="array" ref="AR279">ROUND((VLOOKUP($A279,EnrollData2324,'2324 Jun 24 Enroll'!D$1,FALSE)*Apport_M802324s+VLOOKUP($A279,EnrollData2324,'2324 Jun 24 Enroll'!M$1,FALSE)*Apport_M802324s+(VLOOKUP($A279,EnrollData2324,'2324 Jun 24 Enroll'!P$1,FALSE)+VLOOKUP($A279,EnrollData2324,'2324 Jun 24 Enroll'!Q$1,FALSE)+VLOOKUP($A279,EnrollData2324,'2324 Jun 24 Enroll'!R$1,FALSE)+VLOOKUP($A279,EnrollData2324,'2324 Jun 24 Enroll'!I$1,FALSE)+VLOOKUP($A279,EnrollData2324,'2324 Jun 24 Enroll'!N$1,FALSE)+VLOOKUP($A279,EnrollData2324,'2324 Jun 24 Enroll'!O$1,FALSE)+VLOOKUP($A279,EnrollData2324,'2324 Jun 24 Enroll'!K$1,FALSE)+VLOOKUP($A279,EnrollData2324,'2324 Jun 24 Enroll'!L$1,FALSE))*Apport_M812324s)/(VLOOKUP($A279,EnrollData2324,'2324 Jun 24 Enroll'!M$1,FALSE)+VLOOKUP($A279,EnrollData2324,'2324 Jun 24 Enroll'!D$1,FALSE)),2)</f>
        <v>1563.21</v>
      </c>
      <c r="AS279" s="7">
        <f t="shared" si="26"/>
        <v>9467.4000000000015</v>
      </c>
    </row>
    <row r="280" spans="1:45">
      <c r="A280" s="40" t="s">
        <v>817</v>
      </c>
      <c r="B280" s="40" t="s">
        <v>818</v>
      </c>
      <c r="C280" s="11">
        <f>ROUND((IFERROR((1/IF(VLOOKUP($A280,EnrollData2324,28,FALSE)='District Calculations'!$D$10,VLOOKUP($A280,EnrollData2324,28,FALSE),'District Calculations'!$D$10))*(1+Apport_Z315),0))+Apport_201A2324s,6)</f>
        <v>7.3449E-2</v>
      </c>
      <c r="D280">
        <f>ROUND(IF(VLOOKUP($A280,EnrollData2324,'2324 Jun 24 Enroll'!D$1,FALSE)='District Calculations'!$D$11,VLOOKUP($A280,EnrollData2324,'2324 Jun 24 Enroll'!D$1,FALSE),'District Calculations'!$D$11)*C280,3)</f>
        <v>0</v>
      </c>
      <c r="E280">
        <f>ROUND(IF(VLOOKUP($A280,EnrollData2324,'2324 Jun 24 Enroll'!E$1,FALSE)='District Calculations'!$D$12,VLOOKUP($A280,EnrollData2324,'2324 Jun 24 Enroll'!E$1,FALSE),'District Calculations'!$D$12)*C280,3)</f>
        <v>59.53</v>
      </c>
      <c r="F280">
        <f>ROUND(IF(VLOOKUP($A280,EnrollData2324,'2324 Jun 24 Enroll'!F$1,FALSE)='District Calculations'!$D$13,VLOOKUP($A280,EnrollData2324,'2324 Jun 24 Enroll'!F$1,FALSE),'District Calculations'!$D$13)*Apport_222A2324s,3)</f>
        <v>10.101000000000001</v>
      </c>
      <c r="G280">
        <f>ROUND(IF(VLOOKUP($A280,EnrollData2324,'2324 Jun 24 Enroll'!G$1,FALSE)='District Calculations'!$D$14,VLOOKUP($A280,EnrollData2324,'2324 Jun 24 Enroll'!G$1,FALSE),'District Calculations'!$D$14)*Apport_210A2324s,3)</f>
        <v>22.395</v>
      </c>
      <c r="H280">
        <f>ROUND(IF(VLOOKUP($A280,EnrollData2324,'2324 Jun 24 Enroll'!H$1,FALSE)='District Calculations'!$D$15,VLOOKUP($A280,EnrollData2324,'2324 Jun 24 Enroll'!H$1,FALSE),'District Calculations'!$D$15)*Apport_213A2324s,3)</f>
        <v>23.091999999999999</v>
      </c>
      <c r="I280">
        <f>ROUND(IF(VLOOKUP($A280,EnrollData2324,'2324 Jun 24 Enroll'!I$1,FALSE)+VLOOKUP($A280,EnrollData2324,'2324 Jun 24 Enroll'!M$1,FALSE)-VLOOKUP($A280,EnrollData2324,'2324 Jun 24 Enroll'!J$1,FALSE)='District Calculations'!$D$16+'District Calculations'!$D$25-'District Calculations'!$D$17,VLOOKUP($A280,EnrollData2324,'2324 Jun 24 Enroll'!I$1,FALSE)+VLOOKUP($A280,EnrollData2324,'2324 Jun 24 Enroll'!M$1,FALSE)-VLOOKUP($A280,EnrollData2324,'2324 Jun 24 Enroll'!J$1,FALSE),'District Calculations'!$D$16+'District Calculations'!$D$25-'District Calculations'!$D$17)*Apport_216A2324s,3)</f>
        <v>58.183999999999997</v>
      </c>
      <c r="J280">
        <f>ROUND(SUM(D280:I280)/(IF(VLOOKUP($A280,EnrollData2324,'2324 Jun 24 Enroll'!M$1,FALSE)='District Calculations'!$D$25,VLOOKUP($A280,EnrollData2324,'2324 Jun 24 Enroll'!M$1,FALSE),'District Calculations'!$D$25)+IF(VLOOKUP($A280,EnrollData2324,'2324 Jun 24 Enroll'!D$1,FALSE)='District Calculations'!$D$11,VLOOKUP($A280,EnrollData2324,'2324 Jun 24 Enroll'!D$1,FALSE),'District Calculations'!$D$11)),5)</f>
        <v>5.5530000000000003E-2</v>
      </c>
      <c r="K280" s="11">
        <f t="shared" si="22"/>
        <v>4.3699999999999998E-3</v>
      </c>
      <c r="L280">
        <f>ROUND(IF(VLOOKUP($A280,EnrollData2324,'2324 Jun 24 Enroll'!D$1,FALSE)='District Calculations'!$D$11,VLOOKUP($A280,EnrollData2324,'2324 Jun 24 Enroll'!D$1,FALSE),'District Calculations'!$D$11)*K280,3)</f>
        <v>0</v>
      </c>
      <c r="M280">
        <f>ROUND(IF(VLOOKUP($A280,EnrollData2324,'2324 Jun 24 Enroll'!E$1,FALSE)='District Calculations'!$D$12,VLOOKUP($A280,EnrollData2324,'2324 Jun 24 Enroll'!E$1,FALSE),'District Calculations'!$D$12)*K280,3)</f>
        <v>3.5419999999999998</v>
      </c>
      <c r="N280">
        <f>ROUND(IF(VLOOKUP($A280,EnrollData2324,'2324 Jun 24 Enroll'!F$1,FALSE)='District Calculations'!$D$13,VLOOKUP($A280,EnrollData2324,'2324 Jun 24 Enroll'!F$1,FALSE),'District Calculations'!$D$13)*Apport_223A2324s,3)</f>
        <v>0.84299999999999997</v>
      </c>
      <c r="O280">
        <f>ROUND(IF(VLOOKUP($A280,EnrollData2324,'2324 Jun 24 Enroll'!G$1,FALSE)='District Calculations'!$D$14,VLOOKUP($A280,EnrollData2324,'2324 Jun 24 Enroll'!G$1,FALSE),'District Calculations'!$D$14)*Apport_211A2324s,3)</f>
        <v>1.87</v>
      </c>
      <c r="P280">
        <f>ROUND(IF(VLOOKUP($A280,EnrollData2324,'2324 Jun 24 Enroll'!H$1,FALSE)='District Calculations'!$D$14,VLOOKUP($A280,EnrollData2324,'2324 Jun 24 Enroll'!H$1,FALSE),'District Calculations'!$D$14)*Apport_214A2324s,3)</f>
        <v>1.8680000000000001</v>
      </c>
      <c r="Q280">
        <f>ROUND(IF(VLOOKUP($A280,EnrollData2324,'2324 Jun 24 Enroll'!I$1,FALSE)+VLOOKUP($A280,EnrollData2324,'2324 Jun 24 Enroll'!M$1,FALSE)-VLOOKUP($A280,EnrollData2324,'2324 Jun 24 Enroll'!J$1,FALSE)='District Calculations'!$D$16+'District Calculations'!$D$25-'District Calculations'!$D$17,VLOOKUP($A280,EnrollData2324,'2324 Jun 24 Enroll'!I$1,FALSE)+VLOOKUP($A280,EnrollData2324,'2324 Jun 24 Enroll'!M$1,FALSE)-VLOOKUP($A280,EnrollData2324,'2324 Jun 24 Enroll'!J$1,FALSE),'District Calculations'!$D$16+'District Calculations'!$D$25-'District Calculations'!$D$17)*Apport_217A2324s,3)</f>
        <v>4.702</v>
      </c>
      <c r="R280">
        <f>ROUND(SUM(L280:Q280)/IF(VLOOKUP($A280,EnrollData2324,'2324 Jun 24 Enroll'!M$1,FALSE)+VLOOKUP($A280,EnrollData2324,'2324 Jun 24 Enroll'!D$1,FALSE)='District Calculations'!$D$25+'District Calculations'!$D$11,VLOOKUP($A280,EnrollData2324,'2324 Jun 24 Enroll'!M$1,FALSE)+VLOOKUP($A280,EnrollData2324,'2324 Jun 24 Enroll'!D$1,FALSE),'District Calculations'!$D$25+'District Calculations'!$D$11),5)</f>
        <v>4.1099999999999999E-3</v>
      </c>
      <c r="S280" s="11">
        <f t="shared" si="23"/>
        <v>1.8689600000000001E-2</v>
      </c>
      <c r="T280">
        <f>ROUND(IF(VLOOKUP($A280,EnrollData2324,'2324 Jun 24 Enroll'!D$1,FALSE)='District Calculations'!$D$11,VLOOKUP($A280,EnrollData2324,'2324 Jun 24 Enroll'!D$1,FALSE),'District Calculations'!$D$11)*S280,3)</f>
        <v>0</v>
      </c>
      <c r="U280">
        <f>ROUND(IF(VLOOKUP($A280,EnrollData2324,'2324 Jun 24 Enroll'!E$1,FALSE)='District Calculations'!$D$12,VLOOKUP($A280,EnrollData2324,'2324 Jun 24 Enroll'!E$1,FALSE),'District Calculations'!$D$12)*S280,3)</f>
        <v>15.148</v>
      </c>
      <c r="V280">
        <f>ROUND(IF(VLOOKUP($A280,EnrollData2324,'2324 Jun 24 Enroll'!F$1,FALSE)='District Calculations'!$D$13,VLOOKUP($A280,EnrollData2324,'2324 Jun 24 Enroll'!F$1,FALSE),'District Calculations'!$D$13)*Apport_224A2324s,3)</f>
        <v>3.7029999999999998</v>
      </c>
      <c r="W280">
        <f>ROUND(IF(VLOOKUP($A280,EnrollData2324,'2324 Jun 24 Enroll'!G$1,FALSE)='District Calculations'!$D$14,VLOOKUP($A280,EnrollData2324,'2324 Jun 24 Enroll'!G$1,FALSE),'District Calculations'!$D$14)*Apport_212A2324s,3)</f>
        <v>8.2089999999999996</v>
      </c>
      <c r="X280">
        <f>ROUND(IF(VLOOKUP($A280,EnrollData2324,'2324 Jun 24 Enroll'!H$1,FALSE)='District Calculations'!$D$14,VLOOKUP($A280,EnrollData2324,'2324 Jun 24 Enroll'!H$1,FALSE),'District Calculations'!$D$14)*Apport_215A2324s,3)</f>
        <v>8.0969999999999995</v>
      </c>
      <c r="Y280">
        <f>ROUND(IF(VLOOKUP($A280,EnrollData2324,'2324 Jun 24 Enroll'!I$1,FALSE)+VLOOKUP($A280,EnrollData2324,'2324 Jun 24 Enroll'!M$1,FALSE)-VLOOKUP($A280,EnrollData2324,'2324 Jun 24 Enroll'!J$1,FALSE)='District Calculations'!$D$16+'District Calculations'!$D$25-'District Calculations'!$D$17,VLOOKUP($A280,EnrollData2324,'2324 Jun 24 Enroll'!I$1,FALSE)+VLOOKUP($A280,EnrollData2324,'2324 Jun 24 Enroll'!M$1,FALSE)-VLOOKUP($A280,EnrollData2324,'2324 Jun 24 Enroll'!J$1,FALSE),'District Calculations'!$D$16+'District Calculations'!$D$25-'District Calculations'!$D$17)*Apport_218A2324s,3)</f>
        <v>20.224</v>
      </c>
      <c r="Z280">
        <f>ROUND(SUM(T280:Y280)/IF(VLOOKUP($A280,EnrollData2324,'2324 Jun 24 Enroll'!M$1,FALSE)+VLOOKUP($A280,EnrollData2324,'2324 Jun 24 Enroll'!D$1,FALSE)='District Calculations'!$D$25+'District Calculations'!$D$11,VLOOKUP($A280,EnrollData2324,'2324 Jun 24 Enroll'!M$1,FALSE)+VLOOKUP($A280,EnrollData2324,'2324 Jun 24 Enroll'!D$1,FALSE),'District Calculations'!$D$25+'District Calculations'!$D$11),5)</f>
        <v>1.7749999999999998E-2</v>
      </c>
      <c r="AA280" s="6" cm="1">
        <f t="array" ref="AA280">ROUND($J280*CIS_Base_Salary2324s*VLOOKUP($A280,EnrollData2324,'2324 Jun 24 Enroll'!S$1,FALSE),2)</f>
        <v>4038.59</v>
      </c>
      <c r="AB280" s="6" cm="1">
        <f t="array" ref="AB280">ROUND($J280*CIS_Inc_Salary2324s*(VLOOKUP($A280,EnrollData2324,'2324 Jun 24 Enroll'!T$1,FALSE)+VLOOKUP($A280,EnrollData2324,'2324 Jun 24 Enroll'!U$1,FALSE)),2)-AA280</f>
        <v>149.43000000000029</v>
      </c>
      <c r="AC280" s="6" cm="1">
        <f t="array" ref="AC280">ROUND($R280*CAS_Base_Salary2324s*VLOOKUP($A280,EnrollData2324,'2324 Jun 24 Enroll'!S$1,FALSE),2)</f>
        <v>443.7</v>
      </c>
      <c r="AD280" s="6" cm="1">
        <f t="array" ref="AD280">ROUND($R280*CAS_Inc_Salary2324s*VLOOKUP($A280,EnrollData2324,'2324 Jun 24 Enroll'!T$1,FALSE),2)-AC280</f>
        <v>16.410000000000025</v>
      </c>
      <c r="AE280" s="6" cm="1">
        <f t="array" ref="AE280">ROUND($Z280*CLS_Base_Salary2324s*VLOOKUP($A280,EnrollData2324,'2324 Jun 24 Enroll'!S$1,FALSE),2)</f>
        <v>926.07</v>
      </c>
      <c r="AF280" s="6" cm="1">
        <f t="array" ref="AF280">ROUND($Z280*CLS_Inc_Salary2324s*VLOOKUP($A280,EnrollData2324,'2324 Jun 24 Enroll'!T$1,FALSE),2)-AE280</f>
        <v>34.259999999999991</v>
      </c>
      <c r="AG280" cm="1">
        <f t="array" ref="AG280">ROUND(($J280+$R280)*Apport_124X2324s,2)</f>
        <v>734.29</v>
      </c>
      <c r="AH280" s="69">
        <f t="shared" si="24"/>
        <v>68.700000000000045</v>
      </c>
      <c r="AI280" cm="1">
        <f t="array" ref="AI280">ROUND($Z280*Apport_124X2324s,2)</f>
        <v>218.54</v>
      </c>
      <c r="AJ280" cm="1">
        <f t="array" ref="AJ280">ROUND($Z280*Apport_621X2324s*Apport_125X2324s,2)-AI280</f>
        <v>116.51000000000002</v>
      </c>
      <c r="AK280" cm="1">
        <f t="array" ref="AK280">ROUND((AA280+AC280)*Apport_126X2324s,2)</f>
        <v>805.47</v>
      </c>
      <c r="AL280" cm="1">
        <f t="array" ref="AL280">ROUND((AB280+AD280)*Apport_127X2324s,2)</f>
        <v>28.74</v>
      </c>
      <c r="AM280" cm="1">
        <f t="array" ref="AM280">ROUND(AE280*Apport_128X2324s,2)</f>
        <v>204.29</v>
      </c>
      <c r="AN280" cm="1">
        <f t="array" ref="AN280">ROUND(AF280*Apport_129X2324s,2)</f>
        <v>6.36</v>
      </c>
      <c r="AO280" cm="1">
        <f t="array" ref="AO280">ROUND(($J280*CIS_Inc_Salary2324s*(VLOOKUP($A280,EnrollData2324,'2324 Jun 24 Enroll'!T$1,FALSE)+VLOOKUP($A280,EnrollData2324,'2324 Jun 24 Enroll'!U$1,FALSE))/Apport_613Xpd)*Apport_614Xpd,2)</f>
        <v>69.8</v>
      </c>
      <c r="AP280" cm="1">
        <f t="array" ref="AP280">ROUND(AO280*Apport_127X2324s,2)</f>
        <v>12.1</v>
      </c>
      <c r="AQ280">
        <f t="shared" si="25"/>
        <v>30.93</v>
      </c>
      <c r="AR280" s="6" cm="1">
        <f t="array" ref="AR280">ROUND((VLOOKUP($A280,EnrollData2324,'2324 Jun 24 Enroll'!D$1,FALSE)*Apport_M802324s+VLOOKUP($A280,EnrollData2324,'2324 Jun 24 Enroll'!M$1,FALSE)*Apport_M802324s+(VLOOKUP($A280,EnrollData2324,'2324 Jun 24 Enroll'!P$1,FALSE)+VLOOKUP($A280,EnrollData2324,'2324 Jun 24 Enroll'!Q$1,FALSE)+VLOOKUP($A280,EnrollData2324,'2324 Jun 24 Enroll'!R$1,FALSE)+VLOOKUP($A280,EnrollData2324,'2324 Jun 24 Enroll'!I$1,FALSE)+VLOOKUP($A280,EnrollData2324,'2324 Jun 24 Enroll'!N$1,FALSE)+VLOOKUP($A280,EnrollData2324,'2324 Jun 24 Enroll'!O$1,FALSE)+VLOOKUP($A280,EnrollData2324,'2324 Jun 24 Enroll'!K$1,FALSE)+VLOOKUP($A280,EnrollData2324,'2324 Jun 24 Enroll'!L$1,FALSE))*Apport_M812324s)/(VLOOKUP($A280,EnrollData2324,'2324 Jun 24 Enroll'!M$1,FALSE)+VLOOKUP($A280,EnrollData2324,'2324 Jun 24 Enroll'!D$1,FALSE)),2)</f>
        <v>1564.33</v>
      </c>
      <c r="AS280" s="7">
        <f t="shared" si="26"/>
        <v>9468.52</v>
      </c>
    </row>
    <row r="281" spans="1:45">
      <c r="A281" s="40" t="s">
        <v>932</v>
      </c>
      <c r="B281" s="40" t="s">
        <v>1019</v>
      </c>
      <c r="C281" s="11">
        <f>ROUND((IFERROR((1/IF(VLOOKUP($A281,EnrollData2324,28,FALSE)='District Calculations'!$D$10,VLOOKUP($A281,EnrollData2324,28,FALSE),'District Calculations'!$D$10))*(1+Apport_Z315),0))+Apport_201A2324s,6)</f>
        <v>7.3449E-2</v>
      </c>
      <c r="D281">
        <f>ROUND(IF(VLOOKUP($A281,EnrollData2324,'2324 Jun 24 Enroll'!D$1,FALSE)='District Calculations'!$D$11,VLOOKUP($A281,EnrollData2324,'2324 Jun 24 Enroll'!D$1,FALSE),'District Calculations'!$D$11)*C281,3)</f>
        <v>0</v>
      </c>
      <c r="E281">
        <f>ROUND(IF(VLOOKUP($A281,EnrollData2324,'2324 Jun 24 Enroll'!E$1,FALSE)='District Calculations'!$D$12,VLOOKUP($A281,EnrollData2324,'2324 Jun 24 Enroll'!E$1,FALSE),'District Calculations'!$D$12)*C281,3)</f>
        <v>59.53</v>
      </c>
      <c r="F281">
        <f>ROUND(IF(VLOOKUP($A281,EnrollData2324,'2324 Jun 24 Enroll'!F$1,FALSE)='District Calculations'!$D$13,VLOOKUP($A281,EnrollData2324,'2324 Jun 24 Enroll'!F$1,FALSE),'District Calculations'!$D$13)*Apport_222A2324s,3)</f>
        <v>10.101000000000001</v>
      </c>
      <c r="G281">
        <f>ROUND(IF(VLOOKUP($A281,EnrollData2324,'2324 Jun 24 Enroll'!G$1,FALSE)='District Calculations'!$D$14,VLOOKUP($A281,EnrollData2324,'2324 Jun 24 Enroll'!G$1,FALSE),'District Calculations'!$D$14)*Apport_210A2324s,3)</f>
        <v>22.395</v>
      </c>
      <c r="H281">
        <f>ROUND(IF(VLOOKUP($A281,EnrollData2324,'2324 Jun 24 Enroll'!H$1,FALSE)='District Calculations'!$D$15,VLOOKUP($A281,EnrollData2324,'2324 Jun 24 Enroll'!H$1,FALSE),'District Calculations'!$D$15)*Apport_213A2324s,3)</f>
        <v>23.091999999999999</v>
      </c>
      <c r="I281">
        <f>ROUND(IF(VLOOKUP($A281,EnrollData2324,'2324 Jun 24 Enroll'!I$1,FALSE)+VLOOKUP($A281,EnrollData2324,'2324 Jun 24 Enroll'!M$1,FALSE)-VLOOKUP($A281,EnrollData2324,'2324 Jun 24 Enroll'!J$1,FALSE)='District Calculations'!$D$16+'District Calculations'!$D$25-'District Calculations'!$D$17,VLOOKUP($A281,EnrollData2324,'2324 Jun 24 Enroll'!I$1,FALSE)+VLOOKUP($A281,EnrollData2324,'2324 Jun 24 Enroll'!M$1,FALSE)-VLOOKUP($A281,EnrollData2324,'2324 Jun 24 Enroll'!J$1,FALSE),'District Calculations'!$D$16+'District Calculations'!$D$25-'District Calculations'!$D$17)*Apport_216A2324s,3)</f>
        <v>58.183999999999997</v>
      </c>
      <c r="J281">
        <f>ROUND(SUM(D281:I281)/(IF(VLOOKUP($A281,EnrollData2324,'2324 Jun 24 Enroll'!M$1,FALSE)='District Calculations'!$D$25,VLOOKUP($A281,EnrollData2324,'2324 Jun 24 Enroll'!M$1,FALSE),'District Calculations'!$D$25)+IF(VLOOKUP($A281,EnrollData2324,'2324 Jun 24 Enroll'!D$1,FALSE)='District Calculations'!$D$11,VLOOKUP($A281,EnrollData2324,'2324 Jun 24 Enroll'!D$1,FALSE),'District Calculations'!$D$11)),5)</f>
        <v>5.5530000000000003E-2</v>
      </c>
      <c r="K281" s="11">
        <f t="shared" si="22"/>
        <v>4.3699999999999998E-3</v>
      </c>
      <c r="L281">
        <f>ROUND(IF(VLOOKUP($A281,EnrollData2324,'2324 Jun 24 Enroll'!D$1,FALSE)='District Calculations'!$D$11,VLOOKUP($A281,EnrollData2324,'2324 Jun 24 Enroll'!D$1,FALSE),'District Calculations'!$D$11)*K281,3)</f>
        <v>0</v>
      </c>
      <c r="M281">
        <f>ROUND(IF(VLOOKUP($A281,EnrollData2324,'2324 Jun 24 Enroll'!E$1,FALSE)='District Calculations'!$D$12,VLOOKUP($A281,EnrollData2324,'2324 Jun 24 Enroll'!E$1,FALSE),'District Calculations'!$D$12)*K281,3)</f>
        <v>3.5419999999999998</v>
      </c>
      <c r="N281">
        <f>ROUND(IF(VLOOKUP($A281,EnrollData2324,'2324 Jun 24 Enroll'!F$1,FALSE)='District Calculations'!$D$13,VLOOKUP($A281,EnrollData2324,'2324 Jun 24 Enroll'!F$1,FALSE),'District Calculations'!$D$13)*Apport_223A2324s,3)</f>
        <v>0.84299999999999997</v>
      </c>
      <c r="O281">
        <f>ROUND(IF(VLOOKUP($A281,EnrollData2324,'2324 Jun 24 Enroll'!G$1,FALSE)='District Calculations'!$D$14,VLOOKUP($A281,EnrollData2324,'2324 Jun 24 Enroll'!G$1,FALSE),'District Calculations'!$D$14)*Apport_211A2324s,3)</f>
        <v>1.87</v>
      </c>
      <c r="P281">
        <f>ROUND(IF(VLOOKUP($A281,EnrollData2324,'2324 Jun 24 Enroll'!H$1,FALSE)='District Calculations'!$D$14,VLOOKUP($A281,EnrollData2324,'2324 Jun 24 Enroll'!H$1,FALSE),'District Calculations'!$D$14)*Apport_214A2324s,3)</f>
        <v>1.8680000000000001</v>
      </c>
      <c r="Q281">
        <f>ROUND(IF(VLOOKUP($A281,EnrollData2324,'2324 Jun 24 Enroll'!I$1,FALSE)+VLOOKUP($A281,EnrollData2324,'2324 Jun 24 Enroll'!M$1,FALSE)-VLOOKUP($A281,EnrollData2324,'2324 Jun 24 Enroll'!J$1,FALSE)='District Calculations'!$D$16+'District Calculations'!$D$25-'District Calculations'!$D$17,VLOOKUP($A281,EnrollData2324,'2324 Jun 24 Enroll'!I$1,FALSE)+VLOOKUP($A281,EnrollData2324,'2324 Jun 24 Enroll'!M$1,FALSE)-VLOOKUP($A281,EnrollData2324,'2324 Jun 24 Enroll'!J$1,FALSE),'District Calculations'!$D$16+'District Calculations'!$D$25-'District Calculations'!$D$17)*Apport_217A2324s,3)</f>
        <v>4.702</v>
      </c>
      <c r="R281">
        <f>ROUND(SUM(L281:Q281)/IF(VLOOKUP($A281,EnrollData2324,'2324 Jun 24 Enroll'!M$1,FALSE)+VLOOKUP($A281,EnrollData2324,'2324 Jun 24 Enroll'!D$1,FALSE)='District Calculations'!$D$25+'District Calculations'!$D$11,VLOOKUP($A281,EnrollData2324,'2324 Jun 24 Enroll'!M$1,FALSE)+VLOOKUP($A281,EnrollData2324,'2324 Jun 24 Enroll'!D$1,FALSE),'District Calculations'!$D$25+'District Calculations'!$D$11),5)</f>
        <v>4.1099999999999999E-3</v>
      </c>
      <c r="S281" s="11">
        <f t="shared" si="23"/>
        <v>1.8689600000000001E-2</v>
      </c>
      <c r="T281">
        <f>ROUND(IF(VLOOKUP($A281,EnrollData2324,'2324 Jun 24 Enroll'!D$1,FALSE)='District Calculations'!$D$11,VLOOKUP($A281,EnrollData2324,'2324 Jun 24 Enroll'!D$1,FALSE),'District Calculations'!$D$11)*S281,3)</f>
        <v>0</v>
      </c>
      <c r="U281">
        <f>ROUND(IF(VLOOKUP($A281,EnrollData2324,'2324 Jun 24 Enroll'!E$1,FALSE)='District Calculations'!$D$12,VLOOKUP($A281,EnrollData2324,'2324 Jun 24 Enroll'!E$1,FALSE),'District Calculations'!$D$12)*S281,3)</f>
        <v>15.148</v>
      </c>
      <c r="V281">
        <f>ROUND(IF(VLOOKUP($A281,EnrollData2324,'2324 Jun 24 Enroll'!F$1,FALSE)='District Calculations'!$D$13,VLOOKUP($A281,EnrollData2324,'2324 Jun 24 Enroll'!F$1,FALSE),'District Calculations'!$D$13)*Apport_224A2324s,3)</f>
        <v>3.7029999999999998</v>
      </c>
      <c r="W281">
        <f>ROUND(IF(VLOOKUP($A281,EnrollData2324,'2324 Jun 24 Enroll'!G$1,FALSE)='District Calculations'!$D$14,VLOOKUP($A281,EnrollData2324,'2324 Jun 24 Enroll'!G$1,FALSE),'District Calculations'!$D$14)*Apport_212A2324s,3)</f>
        <v>8.2089999999999996</v>
      </c>
      <c r="X281">
        <f>ROUND(IF(VLOOKUP($A281,EnrollData2324,'2324 Jun 24 Enroll'!H$1,FALSE)='District Calculations'!$D$14,VLOOKUP($A281,EnrollData2324,'2324 Jun 24 Enroll'!H$1,FALSE),'District Calculations'!$D$14)*Apport_215A2324s,3)</f>
        <v>8.0969999999999995</v>
      </c>
      <c r="Y281">
        <f>ROUND(IF(VLOOKUP($A281,EnrollData2324,'2324 Jun 24 Enroll'!I$1,FALSE)+VLOOKUP($A281,EnrollData2324,'2324 Jun 24 Enroll'!M$1,FALSE)-VLOOKUP($A281,EnrollData2324,'2324 Jun 24 Enroll'!J$1,FALSE)='District Calculations'!$D$16+'District Calculations'!$D$25-'District Calculations'!$D$17,VLOOKUP($A281,EnrollData2324,'2324 Jun 24 Enroll'!I$1,FALSE)+VLOOKUP($A281,EnrollData2324,'2324 Jun 24 Enroll'!M$1,FALSE)-VLOOKUP($A281,EnrollData2324,'2324 Jun 24 Enroll'!J$1,FALSE),'District Calculations'!$D$16+'District Calculations'!$D$25-'District Calculations'!$D$17)*Apport_218A2324s,3)</f>
        <v>20.224</v>
      </c>
      <c r="Z281">
        <f>ROUND(SUM(T281:Y281)/IF(VLOOKUP($A281,EnrollData2324,'2324 Jun 24 Enroll'!M$1,FALSE)+VLOOKUP($A281,EnrollData2324,'2324 Jun 24 Enroll'!D$1,FALSE)='District Calculations'!$D$25+'District Calculations'!$D$11,VLOOKUP($A281,EnrollData2324,'2324 Jun 24 Enroll'!M$1,FALSE)+VLOOKUP($A281,EnrollData2324,'2324 Jun 24 Enroll'!D$1,FALSE),'District Calculations'!$D$25+'District Calculations'!$D$11),5)</f>
        <v>1.7749999999999998E-2</v>
      </c>
      <c r="AA281" s="6" cm="1">
        <f t="array" ref="AA281">ROUND($J281*CIS_Base_Salary2324s*VLOOKUP($A281,EnrollData2324,'2324 Jun 24 Enroll'!S$1,FALSE),2)</f>
        <v>4099.16</v>
      </c>
      <c r="AB281" s="6" cm="1">
        <f t="array" ref="AB281">ROUND($J281*CIS_Inc_Salary2324s*(VLOOKUP($A281,EnrollData2324,'2324 Jun 24 Enroll'!T$1,FALSE)+VLOOKUP($A281,EnrollData2324,'2324 Jun 24 Enroll'!U$1,FALSE)),2)-AA281</f>
        <v>151.68000000000029</v>
      </c>
      <c r="AC281" s="6" cm="1">
        <f t="array" ref="AC281">ROUND($R281*CAS_Base_Salary2324s*VLOOKUP($A281,EnrollData2324,'2324 Jun 24 Enroll'!S$1,FALSE),2)</f>
        <v>450.35</v>
      </c>
      <c r="AD281" s="6" cm="1">
        <f t="array" ref="AD281">ROUND($R281*CAS_Inc_Salary2324s*VLOOKUP($A281,EnrollData2324,'2324 Jun 24 Enroll'!T$1,FALSE),2)-AC281</f>
        <v>16.669999999999959</v>
      </c>
      <c r="AE281" s="6" cm="1">
        <f t="array" ref="AE281">ROUND($Z281*CLS_Base_Salary2324s*VLOOKUP($A281,EnrollData2324,'2324 Jun 24 Enroll'!S$1,FALSE),2)</f>
        <v>939.96</v>
      </c>
      <c r="AF281" s="6" cm="1">
        <f t="array" ref="AF281">ROUND($Z281*CLS_Inc_Salary2324s*VLOOKUP($A281,EnrollData2324,'2324 Jun 24 Enroll'!T$1,FALSE),2)-AE281</f>
        <v>34.769999999999982</v>
      </c>
      <c r="AG281" cm="1">
        <f t="array" ref="AG281">ROUND(($J281+$R281)*Apport_124X2324s,2)</f>
        <v>734.29</v>
      </c>
      <c r="AH281" s="69">
        <f t="shared" si="24"/>
        <v>68.700000000000045</v>
      </c>
      <c r="AI281" cm="1">
        <f t="array" ref="AI281">ROUND($Z281*Apport_124X2324s,2)</f>
        <v>218.54</v>
      </c>
      <c r="AJ281" cm="1">
        <f t="array" ref="AJ281">ROUND($Z281*Apport_621X2324s*Apport_125X2324s,2)-AI281</f>
        <v>116.51000000000002</v>
      </c>
      <c r="AK281" cm="1">
        <f t="array" ref="AK281">ROUND((AA281+AC281)*Apport_126X2324s,2)</f>
        <v>817.55</v>
      </c>
      <c r="AL281" cm="1">
        <f t="array" ref="AL281">ROUND((AB281+AD281)*Apport_127X2324s,2)</f>
        <v>29.18</v>
      </c>
      <c r="AM281" cm="1">
        <f t="array" ref="AM281">ROUND(AE281*Apport_128X2324s,2)</f>
        <v>207.36</v>
      </c>
      <c r="AN281" cm="1">
        <f t="array" ref="AN281">ROUND(AF281*Apport_129X2324s,2)</f>
        <v>6.45</v>
      </c>
      <c r="AO281" cm="1">
        <f t="array" ref="AO281">ROUND(($J281*CIS_Inc_Salary2324s*(VLOOKUP($A281,EnrollData2324,'2324 Jun 24 Enroll'!T$1,FALSE)+VLOOKUP($A281,EnrollData2324,'2324 Jun 24 Enroll'!U$1,FALSE))/Apport_613Xpd)*Apport_614Xpd,2)</f>
        <v>70.849999999999994</v>
      </c>
      <c r="AP281" cm="1">
        <f t="array" ref="AP281">ROUND(AO281*Apport_127X2324s,2)</f>
        <v>12.28</v>
      </c>
      <c r="AQ281">
        <f t="shared" si="25"/>
        <v>30.93</v>
      </c>
      <c r="AR281" s="6" cm="1">
        <f t="array" ref="AR281">ROUND((VLOOKUP($A281,EnrollData2324,'2324 Jun 24 Enroll'!D$1,FALSE)*Apport_M802324s+VLOOKUP($A281,EnrollData2324,'2324 Jun 24 Enroll'!M$1,FALSE)*Apport_M802324s+(VLOOKUP($A281,EnrollData2324,'2324 Jun 24 Enroll'!P$1,FALSE)+VLOOKUP($A281,EnrollData2324,'2324 Jun 24 Enroll'!Q$1,FALSE)+VLOOKUP($A281,EnrollData2324,'2324 Jun 24 Enroll'!R$1,FALSE)+VLOOKUP($A281,EnrollData2324,'2324 Jun 24 Enroll'!I$1,FALSE)+VLOOKUP($A281,EnrollData2324,'2324 Jun 24 Enroll'!N$1,FALSE)+VLOOKUP($A281,EnrollData2324,'2324 Jun 24 Enroll'!O$1,FALSE)+VLOOKUP($A281,EnrollData2324,'2324 Jun 24 Enroll'!K$1,FALSE)+VLOOKUP($A281,EnrollData2324,'2324 Jun 24 Enroll'!L$1,FALSE))*Apport_M812324s)/(VLOOKUP($A281,EnrollData2324,'2324 Jun 24 Enroll'!M$1,FALSE)+VLOOKUP($A281,EnrollData2324,'2324 Jun 24 Enroll'!D$1,FALSE)),2)</f>
        <v>1504.44</v>
      </c>
      <c r="AS281" s="7">
        <f t="shared" si="26"/>
        <v>9509.67</v>
      </c>
    </row>
    <row r="282" spans="1:45">
      <c r="A282" s="40" t="s">
        <v>851</v>
      </c>
      <c r="B282" s="40" t="s">
        <v>852</v>
      </c>
      <c r="C282" s="11">
        <f>ROUND((IFERROR((1/IF(VLOOKUP($A282,EnrollData2324,28,FALSE)='District Calculations'!$D$10,VLOOKUP($A282,EnrollData2324,28,FALSE),'District Calculations'!$D$10))*(1+Apport_Z315),0))+Apport_201A2324s,6)</f>
        <v>7.3449E-2</v>
      </c>
      <c r="D282">
        <f>ROUND(IF(VLOOKUP($A282,EnrollData2324,'2324 Jun 24 Enroll'!D$1,FALSE)='District Calculations'!$D$11,VLOOKUP($A282,EnrollData2324,'2324 Jun 24 Enroll'!D$1,FALSE),'District Calculations'!$D$11)*C282,3)</f>
        <v>0</v>
      </c>
      <c r="E282">
        <f>ROUND(IF(VLOOKUP($A282,EnrollData2324,'2324 Jun 24 Enroll'!E$1,FALSE)='District Calculations'!$D$12,VLOOKUP($A282,EnrollData2324,'2324 Jun 24 Enroll'!E$1,FALSE),'District Calculations'!$D$12)*C282,3)</f>
        <v>59.53</v>
      </c>
      <c r="F282">
        <f>ROUND(IF(VLOOKUP($A282,EnrollData2324,'2324 Jun 24 Enroll'!F$1,FALSE)='District Calculations'!$D$13,VLOOKUP($A282,EnrollData2324,'2324 Jun 24 Enroll'!F$1,FALSE),'District Calculations'!$D$13)*Apport_222A2324s,3)</f>
        <v>10.101000000000001</v>
      </c>
      <c r="G282">
        <f>ROUND(IF(VLOOKUP($A282,EnrollData2324,'2324 Jun 24 Enroll'!G$1,FALSE)='District Calculations'!$D$14,VLOOKUP($A282,EnrollData2324,'2324 Jun 24 Enroll'!G$1,FALSE),'District Calculations'!$D$14)*Apport_210A2324s,3)</f>
        <v>22.395</v>
      </c>
      <c r="H282">
        <f>ROUND(IF(VLOOKUP($A282,EnrollData2324,'2324 Jun 24 Enroll'!H$1,FALSE)='District Calculations'!$D$15,VLOOKUP($A282,EnrollData2324,'2324 Jun 24 Enroll'!H$1,FALSE),'District Calculations'!$D$15)*Apport_213A2324s,3)</f>
        <v>23.091999999999999</v>
      </c>
      <c r="I282">
        <f>ROUND(IF(VLOOKUP($A282,EnrollData2324,'2324 Jun 24 Enroll'!I$1,FALSE)+VLOOKUP($A282,EnrollData2324,'2324 Jun 24 Enroll'!M$1,FALSE)-VLOOKUP($A282,EnrollData2324,'2324 Jun 24 Enroll'!J$1,FALSE)='District Calculations'!$D$16+'District Calculations'!$D$25-'District Calculations'!$D$17,VLOOKUP($A282,EnrollData2324,'2324 Jun 24 Enroll'!I$1,FALSE)+VLOOKUP($A282,EnrollData2324,'2324 Jun 24 Enroll'!M$1,FALSE)-VLOOKUP($A282,EnrollData2324,'2324 Jun 24 Enroll'!J$1,FALSE),'District Calculations'!$D$16+'District Calculations'!$D$25-'District Calculations'!$D$17)*Apport_216A2324s,3)</f>
        <v>58.183999999999997</v>
      </c>
      <c r="J282">
        <f>ROUND(SUM(D282:I282)/(IF(VLOOKUP($A282,EnrollData2324,'2324 Jun 24 Enroll'!M$1,FALSE)='District Calculations'!$D$25,VLOOKUP($A282,EnrollData2324,'2324 Jun 24 Enroll'!M$1,FALSE),'District Calculations'!$D$25)+IF(VLOOKUP($A282,EnrollData2324,'2324 Jun 24 Enroll'!D$1,FALSE)='District Calculations'!$D$11,VLOOKUP($A282,EnrollData2324,'2324 Jun 24 Enroll'!D$1,FALSE),'District Calculations'!$D$11)),5)</f>
        <v>5.5530000000000003E-2</v>
      </c>
      <c r="K282" s="11">
        <f t="shared" si="22"/>
        <v>4.3699999999999998E-3</v>
      </c>
      <c r="L282">
        <f>ROUND(IF(VLOOKUP($A282,EnrollData2324,'2324 Jun 24 Enroll'!D$1,FALSE)='District Calculations'!$D$11,VLOOKUP($A282,EnrollData2324,'2324 Jun 24 Enroll'!D$1,FALSE),'District Calculations'!$D$11)*K282,3)</f>
        <v>0</v>
      </c>
      <c r="M282">
        <f>ROUND(IF(VLOOKUP($A282,EnrollData2324,'2324 Jun 24 Enroll'!E$1,FALSE)='District Calculations'!$D$12,VLOOKUP($A282,EnrollData2324,'2324 Jun 24 Enroll'!E$1,FALSE),'District Calculations'!$D$12)*K282,3)</f>
        <v>3.5419999999999998</v>
      </c>
      <c r="N282">
        <f>ROUND(IF(VLOOKUP($A282,EnrollData2324,'2324 Jun 24 Enroll'!F$1,FALSE)='District Calculations'!$D$13,VLOOKUP($A282,EnrollData2324,'2324 Jun 24 Enroll'!F$1,FALSE),'District Calculations'!$D$13)*Apport_223A2324s,3)</f>
        <v>0.84299999999999997</v>
      </c>
      <c r="O282">
        <f>ROUND(IF(VLOOKUP($A282,EnrollData2324,'2324 Jun 24 Enroll'!G$1,FALSE)='District Calculations'!$D$14,VLOOKUP($A282,EnrollData2324,'2324 Jun 24 Enroll'!G$1,FALSE),'District Calculations'!$D$14)*Apport_211A2324s,3)</f>
        <v>1.87</v>
      </c>
      <c r="P282">
        <f>ROUND(IF(VLOOKUP($A282,EnrollData2324,'2324 Jun 24 Enroll'!H$1,FALSE)='District Calculations'!$D$14,VLOOKUP($A282,EnrollData2324,'2324 Jun 24 Enroll'!H$1,FALSE),'District Calculations'!$D$14)*Apport_214A2324s,3)</f>
        <v>1.8680000000000001</v>
      </c>
      <c r="Q282">
        <f>ROUND(IF(VLOOKUP($A282,EnrollData2324,'2324 Jun 24 Enroll'!I$1,FALSE)+VLOOKUP($A282,EnrollData2324,'2324 Jun 24 Enroll'!M$1,FALSE)-VLOOKUP($A282,EnrollData2324,'2324 Jun 24 Enroll'!J$1,FALSE)='District Calculations'!$D$16+'District Calculations'!$D$25-'District Calculations'!$D$17,VLOOKUP($A282,EnrollData2324,'2324 Jun 24 Enroll'!I$1,FALSE)+VLOOKUP($A282,EnrollData2324,'2324 Jun 24 Enroll'!M$1,FALSE)-VLOOKUP($A282,EnrollData2324,'2324 Jun 24 Enroll'!J$1,FALSE),'District Calculations'!$D$16+'District Calculations'!$D$25-'District Calculations'!$D$17)*Apport_217A2324s,3)</f>
        <v>4.702</v>
      </c>
      <c r="R282">
        <f>ROUND(SUM(L282:Q282)/IF(VLOOKUP($A282,EnrollData2324,'2324 Jun 24 Enroll'!M$1,FALSE)+VLOOKUP($A282,EnrollData2324,'2324 Jun 24 Enroll'!D$1,FALSE)='District Calculations'!$D$25+'District Calculations'!$D$11,VLOOKUP($A282,EnrollData2324,'2324 Jun 24 Enroll'!M$1,FALSE)+VLOOKUP($A282,EnrollData2324,'2324 Jun 24 Enroll'!D$1,FALSE),'District Calculations'!$D$25+'District Calculations'!$D$11),5)</f>
        <v>4.1099999999999999E-3</v>
      </c>
      <c r="S282" s="11">
        <f t="shared" si="23"/>
        <v>1.8689600000000001E-2</v>
      </c>
      <c r="T282">
        <f>ROUND(IF(VLOOKUP($A282,EnrollData2324,'2324 Jun 24 Enroll'!D$1,FALSE)='District Calculations'!$D$11,VLOOKUP($A282,EnrollData2324,'2324 Jun 24 Enroll'!D$1,FALSE),'District Calculations'!$D$11)*S282,3)</f>
        <v>0</v>
      </c>
      <c r="U282">
        <f>ROUND(IF(VLOOKUP($A282,EnrollData2324,'2324 Jun 24 Enroll'!E$1,FALSE)='District Calculations'!$D$12,VLOOKUP($A282,EnrollData2324,'2324 Jun 24 Enroll'!E$1,FALSE),'District Calculations'!$D$12)*S282,3)</f>
        <v>15.148</v>
      </c>
      <c r="V282">
        <f>ROUND(IF(VLOOKUP($A282,EnrollData2324,'2324 Jun 24 Enroll'!F$1,FALSE)='District Calculations'!$D$13,VLOOKUP($A282,EnrollData2324,'2324 Jun 24 Enroll'!F$1,FALSE),'District Calculations'!$D$13)*Apport_224A2324s,3)</f>
        <v>3.7029999999999998</v>
      </c>
      <c r="W282">
        <f>ROUND(IF(VLOOKUP($A282,EnrollData2324,'2324 Jun 24 Enroll'!G$1,FALSE)='District Calculations'!$D$14,VLOOKUP($A282,EnrollData2324,'2324 Jun 24 Enroll'!G$1,FALSE),'District Calculations'!$D$14)*Apport_212A2324s,3)</f>
        <v>8.2089999999999996</v>
      </c>
      <c r="X282">
        <f>ROUND(IF(VLOOKUP($A282,EnrollData2324,'2324 Jun 24 Enroll'!H$1,FALSE)='District Calculations'!$D$14,VLOOKUP($A282,EnrollData2324,'2324 Jun 24 Enroll'!H$1,FALSE),'District Calculations'!$D$14)*Apport_215A2324s,3)</f>
        <v>8.0969999999999995</v>
      </c>
      <c r="Y282">
        <f>ROUND(IF(VLOOKUP($A282,EnrollData2324,'2324 Jun 24 Enroll'!I$1,FALSE)+VLOOKUP($A282,EnrollData2324,'2324 Jun 24 Enroll'!M$1,FALSE)-VLOOKUP($A282,EnrollData2324,'2324 Jun 24 Enroll'!J$1,FALSE)='District Calculations'!$D$16+'District Calculations'!$D$25-'District Calculations'!$D$17,VLOOKUP($A282,EnrollData2324,'2324 Jun 24 Enroll'!I$1,FALSE)+VLOOKUP($A282,EnrollData2324,'2324 Jun 24 Enroll'!M$1,FALSE)-VLOOKUP($A282,EnrollData2324,'2324 Jun 24 Enroll'!J$1,FALSE),'District Calculations'!$D$16+'District Calculations'!$D$25-'District Calculations'!$D$17)*Apport_218A2324s,3)</f>
        <v>20.224</v>
      </c>
      <c r="Z282">
        <f>ROUND(SUM(T282:Y282)/IF(VLOOKUP($A282,EnrollData2324,'2324 Jun 24 Enroll'!M$1,FALSE)+VLOOKUP($A282,EnrollData2324,'2324 Jun 24 Enroll'!D$1,FALSE)='District Calculations'!$D$25+'District Calculations'!$D$11,VLOOKUP($A282,EnrollData2324,'2324 Jun 24 Enroll'!M$1,FALSE)+VLOOKUP($A282,EnrollData2324,'2324 Jun 24 Enroll'!D$1,FALSE),'District Calculations'!$D$25+'District Calculations'!$D$11),5)</f>
        <v>1.7749999999999998E-2</v>
      </c>
      <c r="AA282" s="6" cm="1">
        <f t="array" ref="AA282">ROUND($J282*CIS_Base_Salary2324s*VLOOKUP($A282,EnrollData2324,'2324 Jun 24 Enroll'!S$1,FALSE),2)</f>
        <v>4038.59</v>
      </c>
      <c r="AB282" s="6" cm="1">
        <f t="array" ref="AB282">ROUND($J282*CIS_Inc_Salary2324s*(VLOOKUP($A282,EnrollData2324,'2324 Jun 24 Enroll'!T$1,FALSE)+VLOOKUP($A282,EnrollData2324,'2324 Jun 24 Enroll'!U$1,FALSE)),2)-AA282</f>
        <v>233.1899999999996</v>
      </c>
      <c r="AC282" s="6" cm="1">
        <f t="array" ref="AC282">ROUND($R282*CAS_Base_Salary2324s*VLOOKUP($A282,EnrollData2324,'2324 Jun 24 Enroll'!S$1,FALSE),2)</f>
        <v>443.7</v>
      </c>
      <c r="AD282" s="6" cm="1">
        <f t="array" ref="AD282">ROUND($R282*CAS_Inc_Salary2324s*VLOOKUP($A282,EnrollData2324,'2324 Jun 24 Enroll'!T$1,FALSE),2)-AC282</f>
        <v>16.410000000000025</v>
      </c>
      <c r="AE282" s="6" cm="1">
        <f t="array" ref="AE282">ROUND($Z282*CLS_Base_Salary2324s*VLOOKUP($A282,EnrollData2324,'2324 Jun 24 Enroll'!S$1,FALSE),2)</f>
        <v>926.07</v>
      </c>
      <c r="AF282" s="6" cm="1">
        <f t="array" ref="AF282">ROUND($Z282*CLS_Inc_Salary2324s*VLOOKUP($A282,EnrollData2324,'2324 Jun 24 Enroll'!T$1,FALSE),2)-AE282</f>
        <v>34.259999999999991</v>
      </c>
      <c r="AG282" cm="1">
        <f t="array" ref="AG282">ROUND(($J282+$R282)*Apport_124X2324s,2)</f>
        <v>734.29</v>
      </c>
      <c r="AH282" s="69">
        <f t="shared" si="24"/>
        <v>68.700000000000045</v>
      </c>
      <c r="AI282" cm="1">
        <f t="array" ref="AI282">ROUND($Z282*Apport_124X2324s,2)</f>
        <v>218.54</v>
      </c>
      <c r="AJ282" cm="1">
        <f t="array" ref="AJ282">ROUND($Z282*Apport_621X2324s*Apport_125X2324s,2)-AI282</f>
        <v>116.51000000000002</v>
      </c>
      <c r="AK282" cm="1">
        <f t="array" ref="AK282">ROUND((AA282+AC282)*Apport_126X2324s,2)</f>
        <v>805.47</v>
      </c>
      <c r="AL282" cm="1">
        <f t="array" ref="AL282">ROUND((AB282+AD282)*Apport_127X2324s,2)</f>
        <v>43.26</v>
      </c>
      <c r="AM282" cm="1">
        <f t="array" ref="AM282">ROUND(AE282*Apport_128X2324s,2)</f>
        <v>204.29</v>
      </c>
      <c r="AN282" cm="1">
        <f t="array" ref="AN282">ROUND(AF282*Apport_129X2324s,2)</f>
        <v>6.36</v>
      </c>
      <c r="AO282" cm="1">
        <f t="array" ref="AO282">ROUND(($J282*CIS_Inc_Salary2324s*(VLOOKUP($A282,EnrollData2324,'2324 Jun 24 Enroll'!T$1,FALSE)+VLOOKUP($A282,EnrollData2324,'2324 Jun 24 Enroll'!U$1,FALSE))/Apport_613Xpd)*Apport_614Xpd,2)</f>
        <v>71.2</v>
      </c>
      <c r="AP282" cm="1">
        <f t="array" ref="AP282">ROUND(AO282*Apport_127X2324s,2)</f>
        <v>12.34</v>
      </c>
      <c r="AQ282">
        <f t="shared" si="25"/>
        <v>30.93</v>
      </c>
      <c r="AR282" s="6" cm="1">
        <f t="array" ref="AR282">ROUND((VLOOKUP($A282,EnrollData2324,'2324 Jun 24 Enroll'!D$1,FALSE)*Apport_M802324s+VLOOKUP($A282,EnrollData2324,'2324 Jun 24 Enroll'!M$1,FALSE)*Apport_M802324s+(VLOOKUP($A282,EnrollData2324,'2324 Jun 24 Enroll'!P$1,FALSE)+VLOOKUP($A282,EnrollData2324,'2324 Jun 24 Enroll'!Q$1,FALSE)+VLOOKUP($A282,EnrollData2324,'2324 Jun 24 Enroll'!R$1,FALSE)+VLOOKUP($A282,EnrollData2324,'2324 Jun 24 Enroll'!I$1,FALSE)+VLOOKUP($A282,EnrollData2324,'2324 Jun 24 Enroll'!N$1,FALSE)+VLOOKUP($A282,EnrollData2324,'2324 Jun 24 Enroll'!O$1,FALSE)+VLOOKUP($A282,EnrollData2324,'2324 Jun 24 Enroll'!K$1,FALSE)+VLOOKUP($A282,EnrollData2324,'2324 Jun 24 Enroll'!L$1,FALSE))*Apport_M812324s)/(VLOOKUP($A282,EnrollData2324,'2324 Jun 24 Enroll'!M$1,FALSE)+VLOOKUP($A282,EnrollData2324,'2324 Jun 24 Enroll'!D$1,FALSE)),2)</f>
        <v>1580.61</v>
      </c>
      <c r="AS282" s="7">
        <f t="shared" si="26"/>
        <v>9584.7199999999993</v>
      </c>
    </row>
    <row r="283" spans="1:45">
      <c r="A283" s="40" t="s">
        <v>392</v>
      </c>
      <c r="B283" s="40" t="s">
        <v>393</v>
      </c>
      <c r="C283" s="11">
        <f>ROUND((IFERROR((1/IF(VLOOKUP($A283,EnrollData2324,28,FALSE)='District Calculations'!$D$10,VLOOKUP($A283,EnrollData2324,28,FALSE),'District Calculations'!$D$10))*(1+Apport_Z315),0))+Apport_201A2324s,6)</f>
        <v>7.3449E-2</v>
      </c>
      <c r="D283">
        <f>ROUND(IF(VLOOKUP($A283,EnrollData2324,'2324 Jun 24 Enroll'!D$1,FALSE)='District Calculations'!$D$11,VLOOKUP($A283,EnrollData2324,'2324 Jun 24 Enroll'!D$1,FALSE),'District Calculations'!$D$11)*C283,3)</f>
        <v>0</v>
      </c>
      <c r="E283">
        <f>ROUND(IF(VLOOKUP($A283,EnrollData2324,'2324 Jun 24 Enroll'!E$1,FALSE)='District Calculations'!$D$12,VLOOKUP($A283,EnrollData2324,'2324 Jun 24 Enroll'!E$1,FALSE),'District Calculations'!$D$12)*C283,3)</f>
        <v>59.53</v>
      </c>
      <c r="F283">
        <f>ROUND(IF(VLOOKUP($A283,EnrollData2324,'2324 Jun 24 Enroll'!F$1,FALSE)='District Calculations'!$D$13,VLOOKUP($A283,EnrollData2324,'2324 Jun 24 Enroll'!F$1,FALSE),'District Calculations'!$D$13)*Apport_222A2324s,3)</f>
        <v>10.101000000000001</v>
      </c>
      <c r="G283">
        <f>ROUND(IF(VLOOKUP($A283,EnrollData2324,'2324 Jun 24 Enroll'!G$1,FALSE)='District Calculations'!$D$14,VLOOKUP($A283,EnrollData2324,'2324 Jun 24 Enroll'!G$1,FALSE),'District Calculations'!$D$14)*Apport_210A2324s,3)</f>
        <v>22.395</v>
      </c>
      <c r="H283">
        <f>ROUND(IF(VLOOKUP($A283,EnrollData2324,'2324 Jun 24 Enroll'!H$1,FALSE)='District Calculations'!$D$15,VLOOKUP($A283,EnrollData2324,'2324 Jun 24 Enroll'!H$1,FALSE),'District Calculations'!$D$15)*Apport_213A2324s,3)</f>
        <v>23.091999999999999</v>
      </c>
      <c r="I283">
        <f>ROUND(IF(VLOOKUP($A283,EnrollData2324,'2324 Jun 24 Enroll'!I$1,FALSE)+VLOOKUP($A283,EnrollData2324,'2324 Jun 24 Enroll'!M$1,FALSE)-VLOOKUP($A283,EnrollData2324,'2324 Jun 24 Enroll'!J$1,FALSE)='District Calculations'!$D$16+'District Calculations'!$D$25-'District Calculations'!$D$17,VLOOKUP($A283,EnrollData2324,'2324 Jun 24 Enroll'!I$1,FALSE)+VLOOKUP($A283,EnrollData2324,'2324 Jun 24 Enroll'!M$1,FALSE)-VLOOKUP($A283,EnrollData2324,'2324 Jun 24 Enroll'!J$1,FALSE),'District Calculations'!$D$16+'District Calculations'!$D$25-'District Calculations'!$D$17)*Apport_216A2324s,3)</f>
        <v>58.183999999999997</v>
      </c>
      <c r="J283">
        <f>ROUND(SUM(D283:I283)/(IF(VLOOKUP($A283,EnrollData2324,'2324 Jun 24 Enroll'!M$1,FALSE)='District Calculations'!$D$25,VLOOKUP($A283,EnrollData2324,'2324 Jun 24 Enroll'!M$1,FALSE),'District Calculations'!$D$25)+IF(VLOOKUP($A283,EnrollData2324,'2324 Jun 24 Enroll'!D$1,FALSE)='District Calculations'!$D$11,VLOOKUP($A283,EnrollData2324,'2324 Jun 24 Enroll'!D$1,FALSE),'District Calculations'!$D$11)),5)</f>
        <v>5.5530000000000003E-2</v>
      </c>
      <c r="K283" s="11">
        <f t="shared" si="22"/>
        <v>4.3699999999999998E-3</v>
      </c>
      <c r="L283">
        <f>ROUND(IF(VLOOKUP($A283,EnrollData2324,'2324 Jun 24 Enroll'!D$1,FALSE)='District Calculations'!$D$11,VLOOKUP($A283,EnrollData2324,'2324 Jun 24 Enroll'!D$1,FALSE),'District Calculations'!$D$11)*K283,3)</f>
        <v>0</v>
      </c>
      <c r="M283">
        <f>ROUND(IF(VLOOKUP($A283,EnrollData2324,'2324 Jun 24 Enroll'!E$1,FALSE)='District Calculations'!$D$12,VLOOKUP($A283,EnrollData2324,'2324 Jun 24 Enroll'!E$1,FALSE),'District Calculations'!$D$12)*K283,3)</f>
        <v>3.5419999999999998</v>
      </c>
      <c r="N283">
        <f>ROUND(IF(VLOOKUP($A283,EnrollData2324,'2324 Jun 24 Enroll'!F$1,FALSE)='District Calculations'!$D$13,VLOOKUP($A283,EnrollData2324,'2324 Jun 24 Enroll'!F$1,FALSE),'District Calculations'!$D$13)*Apport_223A2324s,3)</f>
        <v>0.84299999999999997</v>
      </c>
      <c r="O283">
        <f>ROUND(IF(VLOOKUP($A283,EnrollData2324,'2324 Jun 24 Enroll'!G$1,FALSE)='District Calculations'!$D$14,VLOOKUP($A283,EnrollData2324,'2324 Jun 24 Enroll'!G$1,FALSE),'District Calculations'!$D$14)*Apport_211A2324s,3)</f>
        <v>1.87</v>
      </c>
      <c r="P283">
        <f>ROUND(IF(VLOOKUP($A283,EnrollData2324,'2324 Jun 24 Enroll'!H$1,FALSE)='District Calculations'!$D$14,VLOOKUP($A283,EnrollData2324,'2324 Jun 24 Enroll'!H$1,FALSE),'District Calculations'!$D$14)*Apport_214A2324s,3)</f>
        <v>1.8680000000000001</v>
      </c>
      <c r="Q283">
        <f>ROUND(IF(VLOOKUP($A283,EnrollData2324,'2324 Jun 24 Enroll'!I$1,FALSE)+VLOOKUP($A283,EnrollData2324,'2324 Jun 24 Enroll'!M$1,FALSE)-VLOOKUP($A283,EnrollData2324,'2324 Jun 24 Enroll'!J$1,FALSE)='District Calculations'!$D$16+'District Calculations'!$D$25-'District Calculations'!$D$17,VLOOKUP($A283,EnrollData2324,'2324 Jun 24 Enroll'!I$1,FALSE)+VLOOKUP($A283,EnrollData2324,'2324 Jun 24 Enroll'!M$1,FALSE)-VLOOKUP($A283,EnrollData2324,'2324 Jun 24 Enroll'!J$1,FALSE),'District Calculations'!$D$16+'District Calculations'!$D$25-'District Calculations'!$D$17)*Apport_217A2324s,3)</f>
        <v>4.702</v>
      </c>
      <c r="R283">
        <f>ROUND(SUM(L283:Q283)/IF(VLOOKUP($A283,EnrollData2324,'2324 Jun 24 Enroll'!M$1,FALSE)+VLOOKUP($A283,EnrollData2324,'2324 Jun 24 Enroll'!D$1,FALSE)='District Calculations'!$D$25+'District Calculations'!$D$11,VLOOKUP($A283,EnrollData2324,'2324 Jun 24 Enroll'!M$1,FALSE)+VLOOKUP($A283,EnrollData2324,'2324 Jun 24 Enroll'!D$1,FALSE),'District Calculations'!$D$25+'District Calculations'!$D$11),5)</f>
        <v>4.1099999999999999E-3</v>
      </c>
      <c r="S283" s="11">
        <f t="shared" si="23"/>
        <v>1.8689600000000001E-2</v>
      </c>
      <c r="T283">
        <f>ROUND(IF(VLOOKUP($A283,EnrollData2324,'2324 Jun 24 Enroll'!D$1,FALSE)='District Calculations'!$D$11,VLOOKUP($A283,EnrollData2324,'2324 Jun 24 Enroll'!D$1,FALSE),'District Calculations'!$D$11)*S283,3)</f>
        <v>0</v>
      </c>
      <c r="U283">
        <f>ROUND(IF(VLOOKUP($A283,EnrollData2324,'2324 Jun 24 Enroll'!E$1,FALSE)='District Calculations'!$D$12,VLOOKUP($A283,EnrollData2324,'2324 Jun 24 Enroll'!E$1,FALSE),'District Calculations'!$D$12)*S283,3)</f>
        <v>15.148</v>
      </c>
      <c r="V283">
        <f>ROUND(IF(VLOOKUP($A283,EnrollData2324,'2324 Jun 24 Enroll'!F$1,FALSE)='District Calculations'!$D$13,VLOOKUP($A283,EnrollData2324,'2324 Jun 24 Enroll'!F$1,FALSE),'District Calculations'!$D$13)*Apport_224A2324s,3)</f>
        <v>3.7029999999999998</v>
      </c>
      <c r="W283">
        <f>ROUND(IF(VLOOKUP($A283,EnrollData2324,'2324 Jun 24 Enroll'!G$1,FALSE)='District Calculations'!$D$14,VLOOKUP($A283,EnrollData2324,'2324 Jun 24 Enroll'!G$1,FALSE),'District Calculations'!$D$14)*Apport_212A2324s,3)</f>
        <v>8.2089999999999996</v>
      </c>
      <c r="X283">
        <f>ROUND(IF(VLOOKUP($A283,EnrollData2324,'2324 Jun 24 Enroll'!H$1,FALSE)='District Calculations'!$D$14,VLOOKUP($A283,EnrollData2324,'2324 Jun 24 Enroll'!H$1,FALSE),'District Calculations'!$D$14)*Apport_215A2324s,3)</f>
        <v>8.0969999999999995</v>
      </c>
      <c r="Y283">
        <f>ROUND(IF(VLOOKUP($A283,EnrollData2324,'2324 Jun 24 Enroll'!I$1,FALSE)+VLOOKUP($A283,EnrollData2324,'2324 Jun 24 Enroll'!M$1,FALSE)-VLOOKUP($A283,EnrollData2324,'2324 Jun 24 Enroll'!J$1,FALSE)='District Calculations'!$D$16+'District Calculations'!$D$25-'District Calculations'!$D$17,VLOOKUP($A283,EnrollData2324,'2324 Jun 24 Enroll'!I$1,FALSE)+VLOOKUP($A283,EnrollData2324,'2324 Jun 24 Enroll'!M$1,FALSE)-VLOOKUP($A283,EnrollData2324,'2324 Jun 24 Enroll'!J$1,FALSE),'District Calculations'!$D$16+'District Calculations'!$D$25-'District Calculations'!$D$17)*Apport_218A2324s,3)</f>
        <v>20.224</v>
      </c>
      <c r="Z283">
        <f>ROUND(SUM(T283:Y283)/IF(VLOOKUP($A283,EnrollData2324,'2324 Jun 24 Enroll'!M$1,FALSE)+VLOOKUP($A283,EnrollData2324,'2324 Jun 24 Enroll'!D$1,FALSE)='District Calculations'!$D$25+'District Calculations'!$D$11,VLOOKUP($A283,EnrollData2324,'2324 Jun 24 Enroll'!M$1,FALSE)+VLOOKUP($A283,EnrollData2324,'2324 Jun 24 Enroll'!D$1,FALSE),'District Calculations'!$D$25+'District Calculations'!$D$11),5)</f>
        <v>1.7749999999999998E-2</v>
      </c>
      <c r="AA283" s="6" cm="1">
        <f t="array" ref="AA283">ROUND($J283*CIS_Base_Salary2324s*VLOOKUP($A283,EnrollData2324,'2324 Jun 24 Enroll'!S$1,FALSE),2)</f>
        <v>4038.59</v>
      </c>
      <c r="AB283" s="6" cm="1">
        <f t="array" ref="AB283">ROUND($J283*CIS_Inc_Salary2324s*(VLOOKUP($A283,EnrollData2324,'2324 Jun 24 Enroll'!T$1,FALSE)+VLOOKUP($A283,EnrollData2324,'2324 Jun 24 Enroll'!U$1,FALSE)),2)-AA283</f>
        <v>149.43000000000029</v>
      </c>
      <c r="AC283" s="6" cm="1">
        <f t="array" ref="AC283">ROUND($R283*CAS_Base_Salary2324s*VLOOKUP($A283,EnrollData2324,'2324 Jun 24 Enroll'!S$1,FALSE),2)</f>
        <v>443.7</v>
      </c>
      <c r="AD283" s="6" cm="1">
        <f t="array" ref="AD283">ROUND($R283*CAS_Inc_Salary2324s*VLOOKUP($A283,EnrollData2324,'2324 Jun 24 Enroll'!T$1,FALSE),2)-AC283</f>
        <v>16.410000000000025</v>
      </c>
      <c r="AE283" s="6" cm="1">
        <f t="array" ref="AE283">ROUND($Z283*CLS_Base_Salary2324s*VLOOKUP($A283,EnrollData2324,'2324 Jun 24 Enroll'!S$1,FALSE),2)</f>
        <v>926.07</v>
      </c>
      <c r="AF283" s="6" cm="1">
        <f t="array" ref="AF283">ROUND($Z283*CLS_Inc_Salary2324s*VLOOKUP($A283,EnrollData2324,'2324 Jun 24 Enroll'!T$1,FALSE),2)-AE283</f>
        <v>34.259999999999991</v>
      </c>
      <c r="AG283" cm="1">
        <f t="array" ref="AG283">ROUND(($J283+$R283)*Apport_124X2324s,2)</f>
        <v>734.29</v>
      </c>
      <c r="AH283" s="69">
        <f t="shared" si="24"/>
        <v>68.700000000000045</v>
      </c>
      <c r="AI283" cm="1">
        <f t="array" ref="AI283">ROUND($Z283*Apport_124X2324s,2)</f>
        <v>218.54</v>
      </c>
      <c r="AJ283" cm="1">
        <f t="array" ref="AJ283">ROUND($Z283*Apport_621X2324s*Apport_125X2324s,2)-AI283</f>
        <v>116.51000000000002</v>
      </c>
      <c r="AK283" cm="1">
        <f t="array" ref="AK283">ROUND((AA283+AC283)*Apport_126X2324s,2)</f>
        <v>805.47</v>
      </c>
      <c r="AL283" cm="1">
        <f t="array" ref="AL283">ROUND((AB283+AD283)*Apport_127X2324s,2)</f>
        <v>28.74</v>
      </c>
      <c r="AM283" cm="1">
        <f t="array" ref="AM283">ROUND(AE283*Apport_128X2324s,2)</f>
        <v>204.29</v>
      </c>
      <c r="AN283" cm="1">
        <f t="array" ref="AN283">ROUND(AF283*Apport_129X2324s,2)</f>
        <v>6.36</v>
      </c>
      <c r="AO283" cm="1">
        <f t="array" ref="AO283">ROUND(($J283*CIS_Inc_Salary2324s*(VLOOKUP($A283,EnrollData2324,'2324 Jun 24 Enroll'!T$1,FALSE)+VLOOKUP($A283,EnrollData2324,'2324 Jun 24 Enroll'!U$1,FALSE))/Apport_613Xpd)*Apport_614Xpd,2)</f>
        <v>69.8</v>
      </c>
      <c r="AP283" cm="1">
        <f t="array" ref="AP283">ROUND(AO283*Apport_127X2324s,2)</f>
        <v>12.1</v>
      </c>
      <c r="AQ283">
        <f t="shared" si="25"/>
        <v>30.93</v>
      </c>
      <c r="AR283" s="6" cm="1">
        <f t="array" ref="AR283">ROUND((VLOOKUP($A283,EnrollData2324,'2324 Jun 24 Enroll'!D$1,FALSE)*Apport_M802324s+VLOOKUP($A283,EnrollData2324,'2324 Jun 24 Enroll'!M$1,FALSE)*Apport_M802324s+(VLOOKUP($A283,EnrollData2324,'2324 Jun 24 Enroll'!P$1,FALSE)+VLOOKUP($A283,EnrollData2324,'2324 Jun 24 Enroll'!Q$1,FALSE)+VLOOKUP($A283,EnrollData2324,'2324 Jun 24 Enroll'!R$1,FALSE)+VLOOKUP($A283,EnrollData2324,'2324 Jun 24 Enroll'!I$1,FALSE)+VLOOKUP($A283,EnrollData2324,'2324 Jun 24 Enroll'!N$1,FALSE)+VLOOKUP($A283,EnrollData2324,'2324 Jun 24 Enroll'!O$1,FALSE)+VLOOKUP($A283,EnrollData2324,'2324 Jun 24 Enroll'!K$1,FALSE)+VLOOKUP($A283,EnrollData2324,'2324 Jun 24 Enroll'!L$1,FALSE))*Apport_M812324s)/(VLOOKUP($A283,EnrollData2324,'2324 Jun 24 Enroll'!M$1,FALSE)+VLOOKUP($A283,EnrollData2324,'2324 Jun 24 Enroll'!D$1,FALSE)),2)</f>
        <v>1569.08</v>
      </c>
      <c r="AS283" s="7">
        <f t="shared" si="26"/>
        <v>9473.27</v>
      </c>
    </row>
    <row r="284" spans="1:45">
      <c r="A284" s="40" t="s">
        <v>827</v>
      </c>
      <c r="B284" s="40" t="s">
        <v>828</v>
      </c>
      <c r="C284" s="11">
        <f>ROUND((IFERROR((1/IF(VLOOKUP($A284,EnrollData2324,28,FALSE)='District Calculations'!$D$10,VLOOKUP($A284,EnrollData2324,28,FALSE),'District Calculations'!$D$10))*(1+Apport_Z315),0))+Apport_201A2324s,6)</f>
        <v>7.3449E-2</v>
      </c>
      <c r="D284">
        <f>ROUND(IF(VLOOKUP($A284,EnrollData2324,'2324 Jun 24 Enroll'!D$1,FALSE)='District Calculations'!$D$11,VLOOKUP($A284,EnrollData2324,'2324 Jun 24 Enroll'!D$1,FALSE),'District Calculations'!$D$11)*C284,3)</f>
        <v>0</v>
      </c>
      <c r="E284">
        <f>ROUND(IF(VLOOKUP($A284,EnrollData2324,'2324 Jun 24 Enroll'!E$1,FALSE)='District Calculations'!$D$12,VLOOKUP($A284,EnrollData2324,'2324 Jun 24 Enroll'!E$1,FALSE),'District Calculations'!$D$12)*C284,3)</f>
        <v>59.53</v>
      </c>
      <c r="F284">
        <f>ROUND(IF(VLOOKUP($A284,EnrollData2324,'2324 Jun 24 Enroll'!F$1,FALSE)='District Calculations'!$D$13,VLOOKUP($A284,EnrollData2324,'2324 Jun 24 Enroll'!F$1,FALSE),'District Calculations'!$D$13)*Apport_222A2324s,3)</f>
        <v>10.101000000000001</v>
      </c>
      <c r="G284">
        <f>ROUND(IF(VLOOKUP($A284,EnrollData2324,'2324 Jun 24 Enroll'!G$1,FALSE)='District Calculations'!$D$14,VLOOKUP($A284,EnrollData2324,'2324 Jun 24 Enroll'!G$1,FALSE),'District Calculations'!$D$14)*Apport_210A2324s,3)</f>
        <v>22.395</v>
      </c>
      <c r="H284">
        <f>ROUND(IF(VLOOKUP($A284,EnrollData2324,'2324 Jun 24 Enroll'!H$1,FALSE)='District Calculations'!$D$15,VLOOKUP($A284,EnrollData2324,'2324 Jun 24 Enroll'!H$1,FALSE),'District Calculations'!$D$15)*Apport_213A2324s,3)</f>
        <v>23.091999999999999</v>
      </c>
      <c r="I284">
        <f>ROUND(IF(VLOOKUP($A284,EnrollData2324,'2324 Jun 24 Enroll'!I$1,FALSE)+VLOOKUP($A284,EnrollData2324,'2324 Jun 24 Enroll'!M$1,FALSE)-VLOOKUP($A284,EnrollData2324,'2324 Jun 24 Enroll'!J$1,FALSE)='District Calculations'!$D$16+'District Calculations'!$D$25-'District Calculations'!$D$17,VLOOKUP($A284,EnrollData2324,'2324 Jun 24 Enroll'!I$1,FALSE)+VLOOKUP($A284,EnrollData2324,'2324 Jun 24 Enroll'!M$1,FALSE)-VLOOKUP($A284,EnrollData2324,'2324 Jun 24 Enroll'!J$1,FALSE),'District Calculations'!$D$16+'District Calculations'!$D$25-'District Calculations'!$D$17)*Apport_216A2324s,3)</f>
        <v>58.183999999999997</v>
      </c>
      <c r="J284">
        <f>ROUND(SUM(D284:I284)/(IF(VLOOKUP($A284,EnrollData2324,'2324 Jun 24 Enroll'!M$1,FALSE)='District Calculations'!$D$25,VLOOKUP($A284,EnrollData2324,'2324 Jun 24 Enroll'!M$1,FALSE),'District Calculations'!$D$25)+IF(VLOOKUP($A284,EnrollData2324,'2324 Jun 24 Enroll'!D$1,FALSE)='District Calculations'!$D$11,VLOOKUP($A284,EnrollData2324,'2324 Jun 24 Enroll'!D$1,FALSE),'District Calculations'!$D$11)),5)</f>
        <v>5.5530000000000003E-2</v>
      </c>
      <c r="K284" s="11">
        <f t="shared" si="22"/>
        <v>4.3699999999999998E-3</v>
      </c>
      <c r="L284">
        <f>ROUND(IF(VLOOKUP($A284,EnrollData2324,'2324 Jun 24 Enroll'!D$1,FALSE)='District Calculations'!$D$11,VLOOKUP($A284,EnrollData2324,'2324 Jun 24 Enroll'!D$1,FALSE),'District Calculations'!$D$11)*K284,3)</f>
        <v>0</v>
      </c>
      <c r="M284">
        <f>ROUND(IF(VLOOKUP($A284,EnrollData2324,'2324 Jun 24 Enroll'!E$1,FALSE)='District Calculations'!$D$12,VLOOKUP($A284,EnrollData2324,'2324 Jun 24 Enroll'!E$1,FALSE),'District Calculations'!$D$12)*K284,3)</f>
        <v>3.5419999999999998</v>
      </c>
      <c r="N284">
        <f>ROUND(IF(VLOOKUP($A284,EnrollData2324,'2324 Jun 24 Enroll'!F$1,FALSE)='District Calculations'!$D$13,VLOOKUP($A284,EnrollData2324,'2324 Jun 24 Enroll'!F$1,FALSE),'District Calculations'!$D$13)*Apport_223A2324s,3)</f>
        <v>0.84299999999999997</v>
      </c>
      <c r="O284">
        <f>ROUND(IF(VLOOKUP($A284,EnrollData2324,'2324 Jun 24 Enroll'!G$1,FALSE)='District Calculations'!$D$14,VLOOKUP($A284,EnrollData2324,'2324 Jun 24 Enroll'!G$1,FALSE),'District Calculations'!$D$14)*Apport_211A2324s,3)</f>
        <v>1.87</v>
      </c>
      <c r="P284">
        <f>ROUND(IF(VLOOKUP($A284,EnrollData2324,'2324 Jun 24 Enroll'!H$1,FALSE)='District Calculations'!$D$14,VLOOKUP($A284,EnrollData2324,'2324 Jun 24 Enroll'!H$1,FALSE),'District Calculations'!$D$14)*Apport_214A2324s,3)</f>
        <v>1.8680000000000001</v>
      </c>
      <c r="Q284">
        <f>ROUND(IF(VLOOKUP($A284,EnrollData2324,'2324 Jun 24 Enroll'!I$1,FALSE)+VLOOKUP($A284,EnrollData2324,'2324 Jun 24 Enroll'!M$1,FALSE)-VLOOKUP($A284,EnrollData2324,'2324 Jun 24 Enroll'!J$1,FALSE)='District Calculations'!$D$16+'District Calculations'!$D$25-'District Calculations'!$D$17,VLOOKUP($A284,EnrollData2324,'2324 Jun 24 Enroll'!I$1,FALSE)+VLOOKUP($A284,EnrollData2324,'2324 Jun 24 Enroll'!M$1,FALSE)-VLOOKUP($A284,EnrollData2324,'2324 Jun 24 Enroll'!J$1,FALSE),'District Calculations'!$D$16+'District Calculations'!$D$25-'District Calculations'!$D$17)*Apport_217A2324s,3)</f>
        <v>4.702</v>
      </c>
      <c r="R284">
        <f>ROUND(SUM(L284:Q284)/IF(VLOOKUP($A284,EnrollData2324,'2324 Jun 24 Enroll'!M$1,FALSE)+VLOOKUP($A284,EnrollData2324,'2324 Jun 24 Enroll'!D$1,FALSE)='District Calculations'!$D$25+'District Calculations'!$D$11,VLOOKUP($A284,EnrollData2324,'2324 Jun 24 Enroll'!M$1,FALSE)+VLOOKUP($A284,EnrollData2324,'2324 Jun 24 Enroll'!D$1,FALSE),'District Calculations'!$D$25+'District Calculations'!$D$11),5)</f>
        <v>4.1099999999999999E-3</v>
      </c>
      <c r="S284" s="11">
        <f t="shared" si="23"/>
        <v>1.8689600000000001E-2</v>
      </c>
      <c r="T284">
        <f>ROUND(IF(VLOOKUP($A284,EnrollData2324,'2324 Jun 24 Enroll'!D$1,FALSE)='District Calculations'!$D$11,VLOOKUP($A284,EnrollData2324,'2324 Jun 24 Enroll'!D$1,FALSE),'District Calculations'!$D$11)*S284,3)</f>
        <v>0</v>
      </c>
      <c r="U284">
        <f>ROUND(IF(VLOOKUP($A284,EnrollData2324,'2324 Jun 24 Enroll'!E$1,FALSE)='District Calculations'!$D$12,VLOOKUP($A284,EnrollData2324,'2324 Jun 24 Enroll'!E$1,FALSE),'District Calculations'!$D$12)*S284,3)</f>
        <v>15.148</v>
      </c>
      <c r="V284">
        <f>ROUND(IF(VLOOKUP($A284,EnrollData2324,'2324 Jun 24 Enroll'!F$1,FALSE)='District Calculations'!$D$13,VLOOKUP($A284,EnrollData2324,'2324 Jun 24 Enroll'!F$1,FALSE),'District Calculations'!$D$13)*Apport_224A2324s,3)</f>
        <v>3.7029999999999998</v>
      </c>
      <c r="W284">
        <f>ROUND(IF(VLOOKUP($A284,EnrollData2324,'2324 Jun 24 Enroll'!G$1,FALSE)='District Calculations'!$D$14,VLOOKUP($A284,EnrollData2324,'2324 Jun 24 Enroll'!G$1,FALSE),'District Calculations'!$D$14)*Apport_212A2324s,3)</f>
        <v>8.2089999999999996</v>
      </c>
      <c r="X284">
        <f>ROUND(IF(VLOOKUP($A284,EnrollData2324,'2324 Jun 24 Enroll'!H$1,FALSE)='District Calculations'!$D$14,VLOOKUP($A284,EnrollData2324,'2324 Jun 24 Enroll'!H$1,FALSE),'District Calculations'!$D$14)*Apport_215A2324s,3)</f>
        <v>8.0969999999999995</v>
      </c>
      <c r="Y284">
        <f>ROUND(IF(VLOOKUP($A284,EnrollData2324,'2324 Jun 24 Enroll'!I$1,FALSE)+VLOOKUP($A284,EnrollData2324,'2324 Jun 24 Enroll'!M$1,FALSE)-VLOOKUP($A284,EnrollData2324,'2324 Jun 24 Enroll'!J$1,FALSE)='District Calculations'!$D$16+'District Calculations'!$D$25-'District Calculations'!$D$17,VLOOKUP($A284,EnrollData2324,'2324 Jun 24 Enroll'!I$1,FALSE)+VLOOKUP($A284,EnrollData2324,'2324 Jun 24 Enroll'!M$1,FALSE)-VLOOKUP($A284,EnrollData2324,'2324 Jun 24 Enroll'!J$1,FALSE),'District Calculations'!$D$16+'District Calculations'!$D$25-'District Calculations'!$D$17)*Apport_218A2324s,3)</f>
        <v>20.224</v>
      </c>
      <c r="Z284">
        <f>ROUND(SUM(T284:Y284)/IF(VLOOKUP($A284,EnrollData2324,'2324 Jun 24 Enroll'!M$1,FALSE)+VLOOKUP($A284,EnrollData2324,'2324 Jun 24 Enroll'!D$1,FALSE)='District Calculations'!$D$25+'District Calculations'!$D$11,VLOOKUP($A284,EnrollData2324,'2324 Jun 24 Enroll'!M$1,FALSE)+VLOOKUP($A284,EnrollData2324,'2324 Jun 24 Enroll'!D$1,FALSE),'District Calculations'!$D$25+'District Calculations'!$D$11),5)</f>
        <v>1.7749999999999998E-2</v>
      </c>
      <c r="AA284" s="6" cm="1">
        <f t="array" ref="AA284">ROUND($J284*CIS_Base_Salary2324s*VLOOKUP($A284,EnrollData2324,'2324 Jun 24 Enroll'!S$1,FALSE),2)</f>
        <v>4038.59</v>
      </c>
      <c r="AB284" s="6" cm="1">
        <f t="array" ref="AB284">ROUND($J284*CIS_Inc_Salary2324s*(VLOOKUP($A284,EnrollData2324,'2324 Jun 24 Enroll'!T$1,FALSE)+VLOOKUP($A284,EnrollData2324,'2324 Jun 24 Enroll'!U$1,FALSE)),2)-AA284</f>
        <v>149.43000000000029</v>
      </c>
      <c r="AC284" s="6" cm="1">
        <f t="array" ref="AC284">ROUND($R284*CAS_Base_Salary2324s*VLOOKUP($A284,EnrollData2324,'2324 Jun 24 Enroll'!S$1,FALSE),2)</f>
        <v>443.7</v>
      </c>
      <c r="AD284" s="6" cm="1">
        <f t="array" ref="AD284">ROUND($R284*CAS_Inc_Salary2324s*VLOOKUP($A284,EnrollData2324,'2324 Jun 24 Enroll'!T$1,FALSE),2)-AC284</f>
        <v>16.410000000000025</v>
      </c>
      <c r="AE284" s="6" cm="1">
        <f t="array" ref="AE284">ROUND($Z284*CLS_Base_Salary2324s*VLOOKUP($A284,EnrollData2324,'2324 Jun 24 Enroll'!S$1,FALSE),2)</f>
        <v>926.07</v>
      </c>
      <c r="AF284" s="6" cm="1">
        <f t="array" ref="AF284">ROUND($Z284*CLS_Inc_Salary2324s*VLOOKUP($A284,EnrollData2324,'2324 Jun 24 Enroll'!T$1,FALSE),2)-AE284</f>
        <v>34.259999999999991</v>
      </c>
      <c r="AG284" cm="1">
        <f t="array" ref="AG284">ROUND(($J284+$R284)*Apport_124X2324s,2)</f>
        <v>734.29</v>
      </c>
      <c r="AH284" s="69">
        <f t="shared" si="24"/>
        <v>68.700000000000045</v>
      </c>
      <c r="AI284" cm="1">
        <f t="array" ref="AI284">ROUND($Z284*Apport_124X2324s,2)</f>
        <v>218.54</v>
      </c>
      <c r="AJ284" cm="1">
        <f t="array" ref="AJ284">ROUND($Z284*Apport_621X2324s*Apport_125X2324s,2)-AI284</f>
        <v>116.51000000000002</v>
      </c>
      <c r="AK284" cm="1">
        <f t="array" ref="AK284">ROUND((AA284+AC284)*Apport_126X2324s,2)</f>
        <v>805.47</v>
      </c>
      <c r="AL284" cm="1">
        <f t="array" ref="AL284">ROUND((AB284+AD284)*Apport_127X2324s,2)</f>
        <v>28.74</v>
      </c>
      <c r="AM284" cm="1">
        <f t="array" ref="AM284">ROUND(AE284*Apport_128X2324s,2)</f>
        <v>204.29</v>
      </c>
      <c r="AN284" cm="1">
        <f t="array" ref="AN284">ROUND(AF284*Apport_129X2324s,2)</f>
        <v>6.36</v>
      </c>
      <c r="AO284" cm="1">
        <f t="array" ref="AO284">ROUND(($J284*CIS_Inc_Salary2324s*(VLOOKUP($A284,EnrollData2324,'2324 Jun 24 Enroll'!T$1,FALSE)+VLOOKUP($A284,EnrollData2324,'2324 Jun 24 Enroll'!U$1,FALSE))/Apport_613Xpd)*Apport_614Xpd,2)</f>
        <v>69.8</v>
      </c>
      <c r="AP284" cm="1">
        <f t="array" ref="AP284">ROUND(AO284*Apport_127X2324s,2)</f>
        <v>12.1</v>
      </c>
      <c r="AQ284">
        <f t="shared" si="25"/>
        <v>30.93</v>
      </c>
      <c r="AR284" s="6" cm="1">
        <f t="array" ref="AR284">ROUND((VLOOKUP($A284,EnrollData2324,'2324 Jun 24 Enroll'!D$1,FALSE)*Apport_M802324s+VLOOKUP($A284,EnrollData2324,'2324 Jun 24 Enroll'!M$1,FALSE)*Apport_M802324s+(VLOOKUP($A284,EnrollData2324,'2324 Jun 24 Enroll'!P$1,FALSE)+VLOOKUP($A284,EnrollData2324,'2324 Jun 24 Enroll'!Q$1,FALSE)+VLOOKUP($A284,EnrollData2324,'2324 Jun 24 Enroll'!R$1,FALSE)+VLOOKUP($A284,EnrollData2324,'2324 Jun 24 Enroll'!I$1,FALSE)+VLOOKUP($A284,EnrollData2324,'2324 Jun 24 Enroll'!N$1,FALSE)+VLOOKUP($A284,EnrollData2324,'2324 Jun 24 Enroll'!O$1,FALSE)+VLOOKUP($A284,EnrollData2324,'2324 Jun 24 Enroll'!K$1,FALSE)+VLOOKUP($A284,EnrollData2324,'2324 Jun 24 Enroll'!L$1,FALSE))*Apport_M812324s)/(VLOOKUP($A284,EnrollData2324,'2324 Jun 24 Enroll'!M$1,FALSE)+VLOOKUP($A284,EnrollData2324,'2324 Jun 24 Enroll'!D$1,FALSE)),2)</f>
        <v>1574.03</v>
      </c>
      <c r="AS284" s="7">
        <f t="shared" si="26"/>
        <v>9478.2200000000012</v>
      </c>
    </row>
    <row r="285" spans="1:45">
      <c r="A285" s="40" t="s">
        <v>398</v>
      </c>
      <c r="B285" s="40" t="s">
        <v>399</v>
      </c>
      <c r="C285" s="11">
        <f>ROUND((IFERROR((1/IF(VLOOKUP($A285,EnrollData2324,28,FALSE)='District Calculations'!$D$10,VLOOKUP($A285,EnrollData2324,28,FALSE),'District Calculations'!$D$10))*(1+Apport_Z315),0))+Apport_201A2324s,6)</f>
        <v>7.3449E-2</v>
      </c>
      <c r="D285">
        <f>ROUND(IF(VLOOKUP($A285,EnrollData2324,'2324 Jun 24 Enroll'!D$1,FALSE)='District Calculations'!$D$11,VLOOKUP($A285,EnrollData2324,'2324 Jun 24 Enroll'!D$1,FALSE),'District Calculations'!$D$11)*C285,3)</f>
        <v>0</v>
      </c>
      <c r="E285">
        <f>ROUND(IF(VLOOKUP($A285,EnrollData2324,'2324 Jun 24 Enroll'!E$1,FALSE)='District Calculations'!$D$12,VLOOKUP($A285,EnrollData2324,'2324 Jun 24 Enroll'!E$1,FALSE),'District Calculations'!$D$12)*C285,3)</f>
        <v>59.53</v>
      </c>
      <c r="F285">
        <f>ROUND(IF(VLOOKUP($A285,EnrollData2324,'2324 Jun 24 Enroll'!F$1,FALSE)='District Calculations'!$D$13,VLOOKUP($A285,EnrollData2324,'2324 Jun 24 Enroll'!F$1,FALSE),'District Calculations'!$D$13)*Apport_222A2324s,3)</f>
        <v>10.101000000000001</v>
      </c>
      <c r="G285">
        <f>ROUND(IF(VLOOKUP($A285,EnrollData2324,'2324 Jun 24 Enroll'!G$1,FALSE)='District Calculations'!$D$14,VLOOKUP($A285,EnrollData2324,'2324 Jun 24 Enroll'!G$1,FALSE),'District Calculations'!$D$14)*Apport_210A2324s,3)</f>
        <v>22.395</v>
      </c>
      <c r="H285">
        <f>ROUND(IF(VLOOKUP($A285,EnrollData2324,'2324 Jun 24 Enroll'!H$1,FALSE)='District Calculations'!$D$15,VLOOKUP($A285,EnrollData2324,'2324 Jun 24 Enroll'!H$1,FALSE),'District Calculations'!$D$15)*Apport_213A2324s,3)</f>
        <v>23.091999999999999</v>
      </c>
      <c r="I285">
        <f>ROUND(IF(VLOOKUP($A285,EnrollData2324,'2324 Jun 24 Enroll'!I$1,FALSE)+VLOOKUP($A285,EnrollData2324,'2324 Jun 24 Enroll'!M$1,FALSE)-VLOOKUP($A285,EnrollData2324,'2324 Jun 24 Enroll'!J$1,FALSE)='District Calculations'!$D$16+'District Calculations'!$D$25-'District Calculations'!$D$17,VLOOKUP($A285,EnrollData2324,'2324 Jun 24 Enroll'!I$1,FALSE)+VLOOKUP($A285,EnrollData2324,'2324 Jun 24 Enroll'!M$1,FALSE)-VLOOKUP($A285,EnrollData2324,'2324 Jun 24 Enroll'!J$1,FALSE),'District Calculations'!$D$16+'District Calculations'!$D$25-'District Calculations'!$D$17)*Apport_216A2324s,3)</f>
        <v>58.183999999999997</v>
      </c>
      <c r="J285">
        <f>ROUND(SUM(D285:I285)/(IF(VLOOKUP($A285,EnrollData2324,'2324 Jun 24 Enroll'!M$1,FALSE)='District Calculations'!$D$25,VLOOKUP($A285,EnrollData2324,'2324 Jun 24 Enroll'!M$1,FALSE),'District Calculations'!$D$25)+IF(VLOOKUP($A285,EnrollData2324,'2324 Jun 24 Enroll'!D$1,FALSE)='District Calculations'!$D$11,VLOOKUP($A285,EnrollData2324,'2324 Jun 24 Enroll'!D$1,FALSE),'District Calculations'!$D$11)),5)</f>
        <v>5.5530000000000003E-2</v>
      </c>
      <c r="K285" s="11">
        <f t="shared" si="22"/>
        <v>4.3699999999999998E-3</v>
      </c>
      <c r="L285">
        <f>ROUND(IF(VLOOKUP($A285,EnrollData2324,'2324 Jun 24 Enroll'!D$1,FALSE)='District Calculations'!$D$11,VLOOKUP($A285,EnrollData2324,'2324 Jun 24 Enroll'!D$1,FALSE),'District Calculations'!$D$11)*K285,3)</f>
        <v>0</v>
      </c>
      <c r="M285">
        <f>ROUND(IF(VLOOKUP($A285,EnrollData2324,'2324 Jun 24 Enroll'!E$1,FALSE)='District Calculations'!$D$12,VLOOKUP($A285,EnrollData2324,'2324 Jun 24 Enroll'!E$1,FALSE),'District Calculations'!$D$12)*K285,3)</f>
        <v>3.5419999999999998</v>
      </c>
      <c r="N285">
        <f>ROUND(IF(VLOOKUP($A285,EnrollData2324,'2324 Jun 24 Enroll'!F$1,FALSE)='District Calculations'!$D$13,VLOOKUP($A285,EnrollData2324,'2324 Jun 24 Enroll'!F$1,FALSE),'District Calculations'!$D$13)*Apport_223A2324s,3)</f>
        <v>0.84299999999999997</v>
      </c>
      <c r="O285">
        <f>ROUND(IF(VLOOKUP($A285,EnrollData2324,'2324 Jun 24 Enroll'!G$1,FALSE)='District Calculations'!$D$14,VLOOKUP($A285,EnrollData2324,'2324 Jun 24 Enroll'!G$1,FALSE),'District Calculations'!$D$14)*Apport_211A2324s,3)</f>
        <v>1.87</v>
      </c>
      <c r="P285">
        <f>ROUND(IF(VLOOKUP($A285,EnrollData2324,'2324 Jun 24 Enroll'!H$1,FALSE)='District Calculations'!$D$14,VLOOKUP($A285,EnrollData2324,'2324 Jun 24 Enroll'!H$1,FALSE),'District Calculations'!$D$14)*Apport_214A2324s,3)</f>
        <v>1.8680000000000001</v>
      </c>
      <c r="Q285">
        <f>ROUND(IF(VLOOKUP($A285,EnrollData2324,'2324 Jun 24 Enroll'!I$1,FALSE)+VLOOKUP($A285,EnrollData2324,'2324 Jun 24 Enroll'!M$1,FALSE)-VLOOKUP($A285,EnrollData2324,'2324 Jun 24 Enroll'!J$1,FALSE)='District Calculations'!$D$16+'District Calculations'!$D$25-'District Calculations'!$D$17,VLOOKUP($A285,EnrollData2324,'2324 Jun 24 Enroll'!I$1,FALSE)+VLOOKUP($A285,EnrollData2324,'2324 Jun 24 Enroll'!M$1,FALSE)-VLOOKUP($A285,EnrollData2324,'2324 Jun 24 Enroll'!J$1,FALSE),'District Calculations'!$D$16+'District Calculations'!$D$25-'District Calculations'!$D$17)*Apport_217A2324s,3)</f>
        <v>4.702</v>
      </c>
      <c r="R285">
        <f>ROUND(SUM(L285:Q285)/IF(VLOOKUP($A285,EnrollData2324,'2324 Jun 24 Enroll'!M$1,FALSE)+VLOOKUP($A285,EnrollData2324,'2324 Jun 24 Enroll'!D$1,FALSE)='District Calculations'!$D$25+'District Calculations'!$D$11,VLOOKUP($A285,EnrollData2324,'2324 Jun 24 Enroll'!M$1,FALSE)+VLOOKUP($A285,EnrollData2324,'2324 Jun 24 Enroll'!D$1,FALSE),'District Calculations'!$D$25+'District Calculations'!$D$11),5)</f>
        <v>4.1099999999999999E-3</v>
      </c>
      <c r="S285" s="11">
        <f t="shared" si="23"/>
        <v>1.8689600000000001E-2</v>
      </c>
      <c r="T285">
        <f>ROUND(IF(VLOOKUP($A285,EnrollData2324,'2324 Jun 24 Enroll'!D$1,FALSE)='District Calculations'!$D$11,VLOOKUP($A285,EnrollData2324,'2324 Jun 24 Enroll'!D$1,FALSE),'District Calculations'!$D$11)*S285,3)</f>
        <v>0</v>
      </c>
      <c r="U285">
        <f>ROUND(IF(VLOOKUP($A285,EnrollData2324,'2324 Jun 24 Enroll'!E$1,FALSE)='District Calculations'!$D$12,VLOOKUP($A285,EnrollData2324,'2324 Jun 24 Enroll'!E$1,FALSE),'District Calculations'!$D$12)*S285,3)</f>
        <v>15.148</v>
      </c>
      <c r="V285">
        <f>ROUND(IF(VLOOKUP($A285,EnrollData2324,'2324 Jun 24 Enroll'!F$1,FALSE)='District Calculations'!$D$13,VLOOKUP($A285,EnrollData2324,'2324 Jun 24 Enroll'!F$1,FALSE),'District Calculations'!$D$13)*Apport_224A2324s,3)</f>
        <v>3.7029999999999998</v>
      </c>
      <c r="W285">
        <f>ROUND(IF(VLOOKUP($A285,EnrollData2324,'2324 Jun 24 Enroll'!G$1,FALSE)='District Calculations'!$D$14,VLOOKUP($A285,EnrollData2324,'2324 Jun 24 Enroll'!G$1,FALSE),'District Calculations'!$D$14)*Apport_212A2324s,3)</f>
        <v>8.2089999999999996</v>
      </c>
      <c r="X285">
        <f>ROUND(IF(VLOOKUP($A285,EnrollData2324,'2324 Jun 24 Enroll'!H$1,FALSE)='District Calculations'!$D$14,VLOOKUP($A285,EnrollData2324,'2324 Jun 24 Enroll'!H$1,FALSE),'District Calculations'!$D$14)*Apport_215A2324s,3)</f>
        <v>8.0969999999999995</v>
      </c>
      <c r="Y285">
        <f>ROUND(IF(VLOOKUP($A285,EnrollData2324,'2324 Jun 24 Enroll'!I$1,FALSE)+VLOOKUP($A285,EnrollData2324,'2324 Jun 24 Enroll'!M$1,FALSE)-VLOOKUP($A285,EnrollData2324,'2324 Jun 24 Enroll'!J$1,FALSE)='District Calculations'!$D$16+'District Calculations'!$D$25-'District Calculations'!$D$17,VLOOKUP($A285,EnrollData2324,'2324 Jun 24 Enroll'!I$1,FALSE)+VLOOKUP($A285,EnrollData2324,'2324 Jun 24 Enroll'!M$1,FALSE)-VLOOKUP($A285,EnrollData2324,'2324 Jun 24 Enroll'!J$1,FALSE),'District Calculations'!$D$16+'District Calculations'!$D$25-'District Calculations'!$D$17)*Apport_218A2324s,3)</f>
        <v>20.224</v>
      </c>
      <c r="Z285">
        <f>ROUND(SUM(T285:Y285)/IF(VLOOKUP($A285,EnrollData2324,'2324 Jun 24 Enroll'!M$1,FALSE)+VLOOKUP($A285,EnrollData2324,'2324 Jun 24 Enroll'!D$1,FALSE)='District Calculations'!$D$25+'District Calculations'!$D$11,VLOOKUP($A285,EnrollData2324,'2324 Jun 24 Enroll'!M$1,FALSE)+VLOOKUP($A285,EnrollData2324,'2324 Jun 24 Enroll'!D$1,FALSE),'District Calculations'!$D$25+'District Calculations'!$D$11),5)</f>
        <v>1.7749999999999998E-2</v>
      </c>
      <c r="AA285" s="6" cm="1">
        <f t="array" ref="AA285">ROUND($J285*CIS_Base_Salary2324s*VLOOKUP($A285,EnrollData2324,'2324 Jun 24 Enroll'!S$1,FALSE),2)</f>
        <v>4038.59</v>
      </c>
      <c r="AB285" s="6" cm="1">
        <f t="array" ref="AB285">ROUND($J285*CIS_Inc_Salary2324s*(VLOOKUP($A285,EnrollData2324,'2324 Jun 24 Enroll'!T$1,FALSE)+VLOOKUP($A285,EnrollData2324,'2324 Jun 24 Enroll'!U$1,FALSE)),2)-AA285</f>
        <v>233.1899999999996</v>
      </c>
      <c r="AC285" s="6" cm="1">
        <f t="array" ref="AC285">ROUND($R285*CAS_Base_Salary2324s*VLOOKUP($A285,EnrollData2324,'2324 Jun 24 Enroll'!S$1,FALSE),2)</f>
        <v>443.7</v>
      </c>
      <c r="AD285" s="6" cm="1">
        <f t="array" ref="AD285">ROUND($R285*CAS_Inc_Salary2324s*VLOOKUP($A285,EnrollData2324,'2324 Jun 24 Enroll'!T$1,FALSE),2)-AC285</f>
        <v>16.410000000000025</v>
      </c>
      <c r="AE285" s="6" cm="1">
        <f t="array" ref="AE285">ROUND($Z285*CLS_Base_Salary2324s*VLOOKUP($A285,EnrollData2324,'2324 Jun 24 Enroll'!S$1,FALSE),2)</f>
        <v>926.07</v>
      </c>
      <c r="AF285" s="6" cm="1">
        <f t="array" ref="AF285">ROUND($Z285*CLS_Inc_Salary2324s*VLOOKUP($A285,EnrollData2324,'2324 Jun 24 Enroll'!T$1,FALSE),2)-AE285</f>
        <v>34.259999999999991</v>
      </c>
      <c r="AG285" cm="1">
        <f t="array" ref="AG285">ROUND(($J285+$R285)*Apport_124X2324s,2)</f>
        <v>734.29</v>
      </c>
      <c r="AH285" s="69">
        <f t="shared" si="24"/>
        <v>68.700000000000045</v>
      </c>
      <c r="AI285" cm="1">
        <f t="array" ref="AI285">ROUND($Z285*Apport_124X2324s,2)</f>
        <v>218.54</v>
      </c>
      <c r="AJ285" cm="1">
        <f t="array" ref="AJ285">ROUND($Z285*Apport_621X2324s*Apport_125X2324s,2)-AI285</f>
        <v>116.51000000000002</v>
      </c>
      <c r="AK285" cm="1">
        <f t="array" ref="AK285">ROUND((AA285+AC285)*Apport_126X2324s,2)</f>
        <v>805.47</v>
      </c>
      <c r="AL285" cm="1">
        <f t="array" ref="AL285">ROUND((AB285+AD285)*Apport_127X2324s,2)</f>
        <v>43.26</v>
      </c>
      <c r="AM285" cm="1">
        <f t="array" ref="AM285">ROUND(AE285*Apport_128X2324s,2)</f>
        <v>204.29</v>
      </c>
      <c r="AN285" cm="1">
        <f t="array" ref="AN285">ROUND(AF285*Apport_129X2324s,2)</f>
        <v>6.36</v>
      </c>
      <c r="AO285" cm="1">
        <f t="array" ref="AO285">ROUND(($J285*CIS_Inc_Salary2324s*(VLOOKUP($A285,EnrollData2324,'2324 Jun 24 Enroll'!T$1,FALSE)+VLOOKUP($A285,EnrollData2324,'2324 Jun 24 Enroll'!U$1,FALSE))/Apport_613Xpd)*Apport_614Xpd,2)</f>
        <v>71.2</v>
      </c>
      <c r="AP285" cm="1">
        <f t="array" ref="AP285">ROUND(AO285*Apport_127X2324s,2)</f>
        <v>12.34</v>
      </c>
      <c r="AQ285">
        <f t="shared" si="25"/>
        <v>30.93</v>
      </c>
      <c r="AR285" s="6" cm="1">
        <f t="array" ref="AR285">ROUND((VLOOKUP($A285,EnrollData2324,'2324 Jun 24 Enroll'!D$1,FALSE)*Apport_M802324s+VLOOKUP($A285,EnrollData2324,'2324 Jun 24 Enroll'!M$1,FALSE)*Apport_M802324s+(VLOOKUP($A285,EnrollData2324,'2324 Jun 24 Enroll'!P$1,FALSE)+VLOOKUP($A285,EnrollData2324,'2324 Jun 24 Enroll'!Q$1,FALSE)+VLOOKUP($A285,EnrollData2324,'2324 Jun 24 Enroll'!R$1,FALSE)+VLOOKUP($A285,EnrollData2324,'2324 Jun 24 Enroll'!I$1,FALSE)+VLOOKUP($A285,EnrollData2324,'2324 Jun 24 Enroll'!N$1,FALSE)+VLOOKUP($A285,EnrollData2324,'2324 Jun 24 Enroll'!O$1,FALSE)+VLOOKUP($A285,EnrollData2324,'2324 Jun 24 Enroll'!K$1,FALSE)+VLOOKUP($A285,EnrollData2324,'2324 Jun 24 Enroll'!L$1,FALSE))*Apport_M812324s)/(VLOOKUP($A285,EnrollData2324,'2324 Jun 24 Enroll'!M$1,FALSE)+VLOOKUP($A285,EnrollData2324,'2324 Jun 24 Enroll'!D$1,FALSE)),2)</f>
        <v>1561.65</v>
      </c>
      <c r="AS285" s="7">
        <f t="shared" si="26"/>
        <v>9565.76</v>
      </c>
    </row>
    <row r="286" spans="1:45">
      <c r="A286" s="40" t="s">
        <v>699</v>
      </c>
      <c r="B286" s="40" t="s">
        <v>700</v>
      </c>
      <c r="C286" s="11">
        <f>ROUND((IFERROR((1/IF(VLOOKUP($A286,EnrollData2324,28,FALSE)='District Calculations'!$D$10,VLOOKUP($A286,EnrollData2324,28,FALSE),'District Calculations'!$D$10))*(1+Apport_Z315),0))+Apport_201A2324s,6)</f>
        <v>7.3449E-2</v>
      </c>
      <c r="D286">
        <f>ROUND(IF(VLOOKUP($A286,EnrollData2324,'2324 Jun 24 Enroll'!D$1,FALSE)='District Calculations'!$D$11,VLOOKUP($A286,EnrollData2324,'2324 Jun 24 Enroll'!D$1,FALSE),'District Calculations'!$D$11)*C286,3)</f>
        <v>0</v>
      </c>
      <c r="E286">
        <f>ROUND(IF(VLOOKUP($A286,EnrollData2324,'2324 Jun 24 Enroll'!E$1,FALSE)='District Calculations'!$D$12,VLOOKUP($A286,EnrollData2324,'2324 Jun 24 Enroll'!E$1,FALSE),'District Calculations'!$D$12)*C286,3)</f>
        <v>59.53</v>
      </c>
      <c r="F286">
        <f>ROUND(IF(VLOOKUP($A286,EnrollData2324,'2324 Jun 24 Enroll'!F$1,FALSE)='District Calculations'!$D$13,VLOOKUP($A286,EnrollData2324,'2324 Jun 24 Enroll'!F$1,FALSE),'District Calculations'!$D$13)*Apport_222A2324s,3)</f>
        <v>10.101000000000001</v>
      </c>
      <c r="G286">
        <f>ROUND(IF(VLOOKUP($A286,EnrollData2324,'2324 Jun 24 Enroll'!G$1,FALSE)='District Calculations'!$D$14,VLOOKUP($A286,EnrollData2324,'2324 Jun 24 Enroll'!G$1,FALSE),'District Calculations'!$D$14)*Apport_210A2324s,3)</f>
        <v>22.395</v>
      </c>
      <c r="H286">
        <f>ROUND(IF(VLOOKUP($A286,EnrollData2324,'2324 Jun 24 Enroll'!H$1,FALSE)='District Calculations'!$D$15,VLOOKUP($A286,EnrollData2324,'2324 Jun 24 Enroll'!H$1,FALSE),'District Calculations'!$D$15)*Apport_213A2324s,3)</f>
        <v>23.091999999999999</v>
      </c>
      <c r="I286">
        <f>ROUND(IF(VLOOKUP($A286,EnrollData2324,'2324 Jun 24 Enroll'!I$1,FALSE)+VLOOKUP($A286,EnrollData2324,'2324 Jun 24 Enroll'!M$1,FALSE)-VLOOKUP($A286,EnrollData2324,'2324 Jun 24 Enroll'!J$1,FALSE)='District Calculations'!$D$16+'District Calculations'!$D$25-'District Calculations'!$D$17,VLOOKUP($A286,EnrollData2324,'2324 Jun 24 Enroll'!I$1,FALSE)+VLOOKUP($A286,EnrollData2324,'2324 Jun 24 Enroll'!M$1,FALSE)-VLOOKUP($A286,EnrollData2324,'2324 Jun 24 Enroll'!J$1,FALSE),'District Calculations'!$D$16+'District Calculations'!$D$25-'District Calculations'!$D$17)*Apport_216A2324s,3)</f>
        <v>58.183999999999997</v>
      </c>
      <c r="J286">
        <f>ROUND(SUM(D286:I286)/(IF(VLOOKUP($A286,EnrollData2324,'2324 Jun 24 Enroll'!M$1,FALSE)='District Calculations'!$D$25,VLOOKUP($A286,EnrollData2324,'2324 Jun 24 Enroll'!M$1,FALSE),'District Calculations'!$D$25)+IF(VLOOKUP($A286,EnrollData2324,'2324 Jun 24 Enroll'!D$1,FALSE)='District Calculations'!$D$11,VLOOKUP($A286,EnrollData2324,'2324 Jun 24 Enroll'!D$1,FALSE),'District Calculations'!$D$11)),5)</f>
        <v>5.5530000000000003E-2</v>
      </c>
      <c r="K286" s="11">
        <f t="shared" si="22"/>
        <v>4.3699999999999998E-3</v>
      </c>
      <c r="L286">
        <f>ROUND(IF(VLOOKUP($A286,EnrollData2324,'2324 Jun 24 Enroll'!D$1,FALSE)='District Calculations'!$D$11,VLOOKUP($A286,EnrollData2324,'2324 Jun 24 Enroll'!D$1,FALSE),'District Calculations'!$D$11)*K286,3)</f>
        <v>0</v>
      </c>
      <c r="M286">
        <f>ROUND(IF(VLOOKUP($A286,EnrollData2324,'2324 Jun 24 Enroll'!E$1,FALSE)='District Calculations'!$D$12,VLOOKUP($A286,EnrollData2324,'2324 Jun 24 Enroll'!E$1,FALSE),'District Calculations'!$D$12)*K286,3)</f>
        <v>3.5419999999999998</v>
      </c>
      <c r="N286">
        <f>ROUND(IF(VLOOKUP($A286,EnrollData2324,'2324 Jun 24 Enroll'!F$1,FALSE)='District Calculations'!$D$13,VLOOKUP($A286,EnrollData2324,'2324 Jun 24 Enroll'!F$1,FALSE),'District Calculations'!$D$13)*Apport_223A2324s,3)</f>
        <v>0.84299999999999997</v>
      </c>
      <c r="O286">
        <f>ROUND(IF(VLOOKUP($A286,EnrollData2324,'2324 Jun 24 Enroll'!G$1,FALSE)='District Calculations'!$D$14,VLOOKUP($A286,EnrollData2324,'2324 Jun 24 Enroll'!G$1,FALSE),'District Calculations'!$D$14)*Apport_211A2324s,3)</f>
        <v>1.87</v>
      </c>
      <c r="P286">
        <f>ROUND(IF(VLOOKUP($A286,EnrollData2324,'2324 Jun 24 Enroll'!H$1,FALSE)='District Calculations'!$D$14,VLOOKUP($A286,EnrollData2324,'2324 Jun 24 Enroll'!H$1,FALSE),'District Calculations'!$D$14)*Apport_214A2324s,3)</f>
        <v>1.8680000000000001</v>
      </c>
      <c r="Q286">
        <f>ROUND(IF(VLOOKUP($A286,EnrollData2324,'2324 Jun 24 Enroll'!I$1,FALSE)+VLOOKUP($A286,EnrollData2324,'2324 Jun 24 Enroll'!M$1,FALSE)-VLOOKUP($A286,EnrollData2324,'2324 Jun 24 Enroll'!J$1,FALSE)='District Calculations'!$D$16+'District Calculations'!$D$25-'District Calculations'!$D$17,VLOOKUP($A286,EnrollData2324,'2324 Jun 24 Enroll'!I$1,FALSE)+VLOOKUP($A286,EnrollData2324,'2324 Jun 24 Enroll'!M$1,FALSE)-VLOOKUP($A286,EnrollData2324,'2324 Jun 24 Enroll'!J$1,FALSE),'District Calculations'!$D$16+'District Calculations'!$D$25-'District Calculations'!$D$17)*Apport_217A2324s,3)</f>
        <v>4.702</v>
      </c>
      <c r="R286">
        <f>ROUND(SUM(L286:Q286)/IF(VLOOKUP($A286,EnrollData2324,'2324 Jun 24 Enroll'!M$1,FALSE)+VLOOKUP($A286,EnrollData2324,'2324 Jun 24 Enroll'!D$1,FALSE)='District Calculations'!$D$25+'District Calculations'!$D$11,VLOOKUP($A286,EnrollData2324,'2324 Jun 24 Enroll'!M$1,FALSE)+VLOOKUP($A286,EnrollData2324,'2324 Jun 24 Enroll'!D$1,FALSE),'District Calculations'!$D$25+'District Calculations'!$D$11),5)</f>
        <v>4.1099999999999999E-3</v>
      </c>
      <c r="S286" s="11">
        <f t="shared" si="23"/>
        <v>1.8689600000000001E-2</v>
      </c>
      <c r="T286">
        <f>ROUND(IF(VLOOKUP($A286,EnrollData2324,'2324 Jun 24 Enroll'!D$1,FALSE)='District Calculations'!$D$11,VLOOKUP($A286,EnrollData2324,'2324 Jun 24 Enroll'!D$1,FALSE),'District Calculations'!$D$11)*S286,3)</f>
        <v>0</v>
      </c>
      <c r="U286">
        <f>ROUND(IF(VLOOKUP($A286,EnrollData2324,'2324 Jun 24 Enroll'!E$1,FALSE)='District Calculations'!$D$12,VLOOKUP($A286,EnrollData2324,'2324 Jun 24 Enroll'!E$1,FALSE),'District Calculations'!$D$12)*S286,3)</f>
        <v>15.148</v>
      </c>
      <c r="V286">
        <f>ROUND(IF(VLOOKUP($A286,EnrollData2324,'2324 Jun 24 Enroll'!F$1,FALSE)='District Calculations'!$D$13,VLOOKUP($A286,EnrollData2324,'2324 Jun 24 Enroll'!F$1,FALSE),'District Calculations'!$D$13)*Apport_224A2324s,3)</f>
        <v>3.7029999999999998</v>
      </c>
      <c r="W286">
        <f>ROUND(IF(VLOOKUP($A286,EnrollData2324,'2324 Jun 24 Enroll'!G$1,FALSE)='District Calculations'!$D$14,VLOOKUP($A286,EnrollData2324,'2324 Jun 24 Enroll'!G$1,FALSE),'District Calculations'!$D$14)*Apport_212A2324s,3)</f>
        <v>8.2089999999999996</v>
      </c>
      <c r="X286">
        <f>ROUND(IF(VLOOKUP($A286,EnrollData2324,'2324 Jun 24 Enroll'!H$1,FALSE)='District Calculations'!$D$14,VLOOKUP($A286,EnrollData2324,'2324 Jun 24 Enroll'!H$1,FALSE),'District Calculations'!$D$14)*Apport_215A2324s,3)</f>
        <v>8.0969999999999995</v>
      </c>
      <c r="Y286">
        <f>ROUND(IF(VLOOKUP($A286,EnrollData2324,'2324 Jun 24 Enroll'!I$1,FALSE)+VLOOKUP($A286,EnrollData2324,'2324 Jun 24 Enroll'!M$1,FALSE)-VLOOKUP($A286,EnrollData2324,'2324 Jun 24 Enroll'!J$1,FALSE)='District Calculations'!$D$16+'District Calculations'!$D$25-'District Calculations'!$D$17,VLOOKUP($A286,EnrollData2324,'2324 Jun 24 Enroll'!I$1,FALSE)+VLOOKUP($A286,EnrollData2324,'2324 Jun 24 Enroll'!M$1,FALSE)-VLOOKUP($A286,EnrollData2324,'2324 Jun 24 Enroll'!J$1,FALSE),'District Calculations'!$D$16+'District Calculations'!$D$25-'District Calculations'!$D$17)*Apport_218A2324s,3)</f>
        <v>20.224</v>
      </c>
      <c r="Z286">
        <f>ROUND(SUM(T286:Y286)/IF(VLOOKUP($A286,EnrollData2324,'2324 Jun 24 Enroll'!M$1,FALSE)+VLOOKUP($A286,EnrollData2324,'2324 Jun 24 Enroll'!D$1,FALSE)='District Calculations'!$D$25+'District Calculations'!$D$11,VLOOKUP($A286,EnrollData2324,'2324 Jun 24 Enroll'!M$1,FALSE)+VLOOKUP($A286,EnrollData2324,'2324 Jun 24 Enroll'!D$1,FALSE),'District Calculations'!$D$25+'District Calculations'!$D$11),5)</f>
        <v>1.7749999999999998E-2</v>
      </c>
      <c r="AA286" s="6" cm="1">
        <f t="array" ref="AA286">ROUND($J286*CIS_Base_Salary2324s*VLOOKUP($A286,EnrollData2324,'2324 Jun 24 Enroll'!S$1,FALSE),2)</f>
        <v>4038.59</v>
      </c>
      <c r="AB286" s="6" cm="1">
        <f t="array" ref="AB286">ROUND($J286*CIS_Inc_Salary2324s*(VLOOKUP($A286,EnrollData2324,'2324 Jun 24 Enroll'!T$1,FALSE)+VLOOKUP($A286,EnrollData2324,'2324 Jun 24 Enroll'!U$1,FALSE)),2)-AA286</f>
        <v>149.43000000000029</v>
      </c>
      <c r="AC286" s="6" cm="1">
        <f t="array" ref="AC286">ROUND($R286*CAS_Base_Salary2324s*VLOOKUP($A286,EnrollData2324,'2324 Jun 24 Enroll'!S$1,FALSE),2)</f>
        <v>443.7</v>
      </c>
      <c r="AD286" s="6" cm="1">
        <f t="array" ref="AD286">ROUND($R286*CAS_Inc_Salary2324s*VLOOKUP($A286,EnrollData2324,'2324 Jun 24 Enroll'!T$1,FALSE),2)-AC286</f>
        <v>16.410000000000025</v>
      </c>
      <c r="AE286" s="6" cm="1">
        <f t="array" ref="AE286">ROUND($Z286*CLS_Base_Salary2324s*VLOOKUP($A286,EnrollData2324,'2324 Jun 24 Enroll'!S$1,FALSE),2)</f>
        <v>926.07</v>
      </c>
      <c r="AF286" s="6" cm="1">
        <f t="array" ref="AF286">ROUND($Z286*CLS_Inc_Salary2324s*VLOOKUP($A286,EnrollData2324,'2324 Jun 24 Enroll'!T$1,FALSE),2)-AE286</f>
        <v>34.259999999999991</v>
      </c>
      <c r="AG286" cm="1">
        <f t="array" ref="AG286">ROUND(($J286+$R286)*Apport_124X2324s,2)</f>
        <v>734.29</v>
      </c>
      <c r="AH286" s="69">
        <f t="shared" si="24"/>
        <v>68.700000000000045</v>
      </c>
      <c r="AI286" cm="1">
        <f t="array" ref="AI286">ROUND($Z286*Apport_124X2324s,2)</f>
        <v>218.54</v>
      </c>
      <c r="AJ286" cm="1">
        <f t="array" ref="AJ286">ROUND($Z286*Apport_621X2324s*Apport_125X2324s,2)-AI286</f>
        <v>116.51000000000002</v>
      </c>
      <c r="AK286" cm="1">
        <f t="array" ref="AK286">ROUND((AA286+AC286)*Apport_126X2324s,2)</f>
        <v>805.47</v>
      </c>
      <c r="AL286" cm="1">
        <f t="array" ref="AL286">ROUND((AB286+AD286)*Apport_127X2324s,2)</f>
        <v>28.74</v>
      </c>
      <c r="AM286" cm="1">
        <f t="array" ref="AM286">ROUND(AE286*Apport_128X2324s,2)</f>
        <v>204.29</v>
      </c>
      <c r="AN286" cm="1">
        <f t="array" ref="AN286">ROUND(AF286*Apport_129X2324s,2)</f>
        <v>6.36</v>
      </c>
      <c r="AO286" cm="1">
        <f t="array" ref="AO286">ROUND(($J286*CIS_Inc_Salary2324s*(VLOOKUP($A286,EnrollData2324,'2324 Jun 24 Enroll'!T$1,FALSE)+VLOOKUP($A286,EnrollData2324,'2324 Jun 24 Enroll'!U$1,FALSE))/Apport_613Xpd)*Apport_614Xpd,2)</f>
        <v>69.8</v>
      </c>
      <c r="AP286" cm="1">
        <f t="array" ref="AP286">ROUND(AO286*Apport_127X2324s,2)</f>
        <v>12.1</v>
      </c>
      <c r="AQ286">
        <f t="shared" si="25"/>
        <v>30.93</v>
      </c>
      <c r="AR286" s="6" cm="1">
        <f t="array" ref="AR286">ROUND((VLOOKUP($A286,EnrollData2324,'2324 Jun 24 Enroll'!D$1,FALSE)*Apport_M802324s+VLOOKUP($A286,EnrollData2324,'2324 Jun 24 Enroll'!M$1,FALSE)*Apport_M802324s+(VLOOKUP($A286,EnrollData2324,'2324 Jun 24 Enroll'!P$1,FALSE)+VLOOKUP($A286,EnrollData2324,'2324 Jun 24 Enroll'!Q$1,FALSE)+VLOOKUP($A286,EnrollData2324,'2324 Jun 24 Enroll'!R$1,FALSE)+VLOOKUP($A286,EnrollData2324,'2324 Jun 24 Enroll'!I$1,FALSE)+VLOOKUP($A286,EnrollData2324,'2324 Jun 24 Enroll'!N$1,FALSE)+VLOOKUP($A286,EnrollData2324,'2324 Jun 24 Enroll'!O$1,FALSE)+VLOOKUP($A286,EnrollData2324,'2324 Jun 24 Enroll'!K$1,FALSE)+VLOOKUP($A286,EnrollData2324,'2324 Jun 24 Enroll'!L$1,FALSE))*Apport_M812324s)/(VLOOKUP($A286,EnrollData2324,'2324 Jun 24 Enroll'!M$1,FALSE)+VLOOKUP($A286,EnrollData2324,'2324 Jun 24 Enroll'!D$1,FALSE)),2)</f>
        <v>1556.08</v>
      </c>
      <c r="AS286" s="7">
        <f t="shared" si="26"/>
        <v>9460.27</v>
      </c>
    </row>
    <row r="287" spans="1:45">
      <c r="A287" s="40" t="s">
        <v>335</v>
      </c>
      <c r="B287" s="40" t="s">
        <v>336</v>
      </c>
      <c r="C287" s="11">
        <f>ROUND((IFERROR((1/IF(VLOOKUP($A287,EnrollData2324,28,FALSE)='District Calculations'!$D$10,VLOOKUP($A287,EnrollData2324,28,FALSE),'District Calculations'!$D$10))*(1+Apport_Z315),0))+Apport_201A2324s,6)</f>
        <v>7.3449E-2</v>
      </c>
      <c r="D287">
        <f>ROUND(IF(VLOOKUP($A287,EnrollData2324,'2324 Jun 24 Enroll'!D$1,FALSE)='District Calculations'!$D$11,VLOOKUP($A287,EnrollData2324,'2324 Jun 24 Enroll'!D$1,FALSE),'District Calculations'!$D$11)*C287,3)</f>
        <v>0</v>
      </c>
      <c r="E287">
        <f>ROUND(IF(VLOOKUP($A287,EnrollData2324,'2324 Jun 24 Enroll'!E$1,FALSE)='District Calculations'!$D$12,VLOOKUP($A287,EnrollData2324,'2324 Jun 24 Enroll'!E$1,FALSE),'District Calculations'!$D$12)*C287,3)</f>
        <v>59.53</v>
      </c>
      <c r="F287">
        <f>ROUND(IF(VLOOKUP($A287,EnrollData2324,'2324 Jun 24 Enroll'!F$1,FALSE)='District Calculations'!$D$13,VLOOKUP($A287,EnrollData2324,'2324 Jun 24 Enroll'!F$1,FALSE),'District Calculations'!$D$13)*Apport_222A2324s,3)</f>
        <v>10.101000000000001</v>
      </c>
      <c r="G287">
        <f>ROUND(IF(VLOOKUP($A287,EnrollData2324,'2324 Jun 24 Enroll'!G$1,FALSE)='District Calculations'!$D$14,VLOOKUP($A287,EnrollData2324,'2324 Jun 24 Enroll'!G$1,FALSE),'District Calculations'!$D$14)*Apport_210A2324s,3)</f>
        <v>22.395</v>
      </c>
      <c r="H287">
        <f>ROUND(IF(VLOOKUP($A287,EnrollData2324,'2324 Jun 24 Enroll'!H$1,FALSE)='District Calculations'!$D$15,VLOOKUP($A287,EnrollData2324,'2324 Jun 24 Enroll'!H$1,FALSE),'District Calculations'!$D$15)*Apport_213A2324s,3)</f>
        <v>23.091999999999999</v>
      </c>
      <c r="I287">
        <f>ROUND(IF(VLOOKUP($A287,EnrollData2324,'2324 Jun 24 Enroll'!I$1,FALSE)+VLOOKUP($A287,EnrollData2324,'2324 Jun 24 Enroll'!M$1,FALSE)-VLOOKUP($A287,EnrollData2324,'2324 Jun 24 Enroll'!J$1,FALSE)='District Calculations'!$D$16+'District Calculations'!$D$25-'District Calculations'!$D$17,VLOOKUP($A287,EnrollData2324,'2324 Jun 24 Enroll'!I$1,FALSE)+VLOOKUP($A287,EnrollData2324,'2324 Jun 24 Enroll'!M$1,FALSE)-VLOOKUP($A287,EnrollData2324,'2324 Jun 24 Enroll'!J$1,FALSE),'District Calculations'!$D$16+'District Calculations'!$D$25-'District Calculations'!$D$17)*Apport_216A2324s,3)</f>
        <v>58.183999999999997</v>
      </c>
      <c r="J287">
        <f>ROUND(SUM(D287:I287)/(IF(VLOOKUP($A287,EnrollData2324,'2324 Jun 24 Enroll'!M$1,FALSE)='District Calculations'!$D$25,VLOOKUP($A287,EnrollData2324,'2324 Jun 24 Enroll'!M$1,FALSE),'District Calculations'!$D$25)+IF(VLOOKUP($A287,EnrollData2324,'2324 Jun 24 Enroll'!D$1,FALSE)='District Calculations'!$D$11,VLOOKUP($A287,EnrollData2324,'2324 Jun 24 Enroll'!D$1,FALSE),'District Calculations'!$D$11)),5)</f>
        <v>5.5530000000000003E-2</v>
      </c>
      <c r="K287" s="11">
        <f t="shared" ref="K287:K325" si="27">ROUND(((($C287+Apport_203A2324s+Apport_202A2324s)*Apport_557X)*Apport_558X)+Apport_202A2324s,6)</f>
        <v>4.3699999999999998E-3</v>
      </c>
      <c r="L287">
        <f>ROUND(IF(VLOOKUP($A287,EnrollData2324,'2324 Jun 24 Enroll'!D$1,FALSE)='District Calculations'!$D$11,VLOOKUP($A287,EnrollData2324,'2324 Jun 24 Enroll'!D$1,FALSE),'District Calculations'!$D$11)*K287,3)</f>
        <v>0</v>
      </c>
      <c r="M287">
        <f>ROUND(IF(VLOOKUP($A287,EnrollData2324,'2324 Jun 24 Enroll'!E$1,FALSE)='District Calculations'!$D$12,VLOOKUP($A287,EnrollData2324,'2324 Jun 24 Enroll'!E$1,FALSE),'District Calculations'!$D$12)*K287,3)</f>
        <v>3.5419999999999998</v>
      </c>
      <c r="N287">
        <f>ROUND(IF(VLOOKUP($A287,EnrollData2324,'2324 Jun 24 Enroll'!F$1,FALSE)='District Calculations'!$D$13,VLOOKUP($A287,EnrollData2324,'2324 Jun 24 Enroll'!F$1,FALSE),'District Calculations'!$D$13)*Apport_223A2324s,3)</f>
        <v>0.84299999999999997</v>
      </c>
      <c r="O287">
        <f>ROUND(IF(VLOOKUP($A287,EnrollData2324,'2324 Jun 24 Enroll'!G$1,FALSE)='District Calculations'!$D$14,VLOOKUP($A287,EnrollData2324,'2324 Jun 24 Enroll'!G$1,FALSE),'District Calculations'!$D$14)*Apport_211A2324s,3)</f>
        <v>1.87</v>
      </c>
      <c r="P287">
        <f>ROUND(IF(VLOOKUP($A287,EnrollData2324,'2324 Jun 24 Enroll'!H$1,FALSE)='District Calculations'!$D$14,VLOOKUP($A287,EnrollData2324,'2324 Jun 24 Enroll'!H$1,FALSE),'District Calculations'!$D$14)*Apport_214A2324s,3)</f>
        <v>1.8680000000000001</v>
      </c>
      <c r="Q287">
        <f>ROUND(IF(VLOOKUP($A287,EnrollData2324,'2324 Jun 24 Enroll'!I$1,FALSE)+VLOOKUP($A287,EnrollData2324,'2324 Jun 24 Enroll'!M$1,FALSE)-VLOOKUP($A287,EnrollData2324,'2324 Jun 24 Enroll'!J$1,FALSE)='District Calculations'!$D$16+'District Calculations'!$D$25-'District Calculations'!$D$17,VLOOKUP($A287,EnrollData2324,'2324 Jun 24 Enroll'!I$1,FALSE)+VLOOKUP($A287,EnrollData2324,'2324 Jun 24 Enroll'!M$1,FALSE)-VLOOKUP($A287,EnrollData2324,'2324 Jun 24 Enroll'!J$1,FALSE),'District Calculations'!$D$16+'District Calculations'!$D$25-'District Calculations'!$D$17)*Apport_217A2324s,3)</f>
        <v>4.702</v>
      </c>
      <c r="R287">
        <f>ROUND(SUM(L287:Q287)/IF(VLOOKUP($A287,EnrollData2324,'2324 Jun 24 Enroll'!M$1,FALSE)+VLOOKUP($A287,EnrollData2324,'2324 Jun 24 Enroll'!D$1,FALSE)='District Calculations'!$D$25+'District Calculations'!$D$11,VLOOKUP($A287,EnrollData2324,'2324 Jun 24 Enroll'!M$1,FALSE)+VLOOKUP($A287,EnrollData2324,'2324 Jun 24 Enroll'!D$1,FALSE),'District Calculations'!$D$25+'District Calculations'!$D$11),5)</f>
        <v>4.1099999999999999E-3</v>
      </c>
      <c r="S287" s="11">
        <f t="shared" ref="S287:S325" si="28">ROUND(((($C287+Apport_203A2324s+Apport_202A2324s)*Apport_557X)*Apport_559X)+Apport_203A2324s,7)</f>
        <v>1.8689600000000001E-2</v>
      </c>
      <c r="T287">
        <f>ROUND(IF(VLOOKUP($A287,EnrollData2324,'2324 Jun 24 Enroll'!D$1,FALSE)='District Calculations'!$D$11,VLOOKUP($A287,EnrollData2324,'2324 Jun 24 Enroll'!D$1,FALSE),'District Calculations'!$D$11)*S287,3)</f>
        <v>0</v>
      </c>
      <c r="U287">
        <f>ROUND(IF(VLOOKUP($A287,EnrollData2324,'2324 Jun 24 Enroll'!E$1,FALSE)='District Calculations'!$D$12,VLOOKUP($A287,EnrollData2324,'2324 Jun 24 Enroll'!E$1,FALSE),'District Calculations'!$D$12)*S287,3)</f>
        <v>15.148</v>
      </c>
      <c r="V287">
        <f>ROUND(IF(VLOOKUP($A287,EnrollData2324,'2324 Jun 24 Enroll'!F$1,FALSE)='District Calculations'!$D$13,VLOOKUP($A287,EnrollData2324,'2324 Jun 24 Enroll'!F$1,FALSE),'District Calculations'!$D$13)*Apport_224A2324s,3)</f>
        <v>3.7029999999999998</v>
      </c>
      <c r="W287">
        <f>ROUND(IF(VLOOKUP($A287,EnrollData2324,'2324 Jun 24 Enroll'!G$1,FALSE)='District Calculations'!$D$14,VLOOKUP($A287,EnrollData2324,'2324 Jun 24 Enroll'!G$1,FALSE),'District Calculations'!$D$14)*Apport_212A2324s,3)</f>
        <v>8.2089999999999996</v>
      </c>
      <c r="X287">
        <f>ROUND(IF(VLOOKUP($A287,EnrollData2324,'2324 Jun 24 Enroll'!H$1,FALSE)='District Calculations'!$D$14,VLOOKUP($A287,EnrollData2324,'2324 Jun 24 Enroll'!H$1,FALSE),'District Calculations'!$D$14)*Apport_215A2324s,3)</f>
        <v>8.0969999999999995</v>
      </c>
      <c r="Y287">
        <f>ROUND(IF(VLOOKUP($A287,EnrollData2324,'2324 Jun 24 Enroll'!I$1,FALSE)+VLOOKUP($A287,EnrollData2324,'2324 Jun 24 Enroll'!M$1,FALSE)-VLOOKUP($A287,EnrollData2324,'2324 Jun 24 Enroll'!J$1,FALSE)='District Calculations'!$D$16+'District Calculations'!$D$25-'District Calculations'!$D$17,VLOOKUP($A287,EnrollData2324,'2324 Jun 24 Enroll'!I$1,FALSE)+VLOOKUP($A287,EnrollData2324,'2324 Jun 24 Enroll'!M$1,FALSE)-VLOOKUP($A287,EnrollData2324,'2324 Jun 24 Enroll'!J$1,FALSE),'District Calculations'!$D$16+'District Calculations'!$D$25-'District Calculations'!$D$17)*Apport_218A2324s,3)</f>
        <v>20.224</v>
      </c>
      <c r="Z287">
        <f>ROUND(SUM(T287:Y287)/IF(VLOOKUP($A287,EnrollData2324,'2324 Jun 24 Enroll'!M$1,FALSE)+VLOOKUP($A287,EnrollData2324,'2324 Jun 24 Enroll'!D$1,FALSE)='District Calculations'!$D$25+'District Calculations'!$D$11,VLOOKUP($A287,EnrollData2324,'2324 Jun 24 Enroll'!M$1,FALSE)+VLOOKUP($A287,EnrollData2324,'2324 Jun 24 Enroll'!D$1,FALSE),'District Calculations'!$D$25+'District Calculations'!$D$11),5)</f>
        <v>1.7749999999999998E-2</v>
      </c>
      <c r="AA287" s="6" cm="1">
        <f t="array" ref="AA287">ROUND($J287*CIS_Base_Salary2324s*VLOOKUP($A287,EnrollData2324,'2324 Jun 24 Enroll'!S$1,FALSE),2)</f>
        <v>4341.4799999999996</v>
      </c>
      <c r="AB287" s="6" cm="1">
        <f t="array" ref="AB287">ROUND($J287*CIS_Inc_Salary2324s*(VLOOKUP($A287,EnrollData2324,'2324 Jun 24 Enroll'!T$1,FALSE)+VLOOKUP($A287,EnrollData2324,'2324 Jun 24 Enroll'!U$1,FALSE)),2)-AA287</f>
        <v>160.64000000000033</v>
      </c>
      <c r="AC287" s="6" cm="1">
        <f t="array" ref="AC287">ROUND($R287*CAS_Base_Salary2324s*VLOOKUP($A287,EnrollData2324,'2324 Jun 24 Enroll'!S$1,FALSE),2)</f>
        <v>476.97</v>
      </c>
      <c r="AD287" s="6" cm="1">
        <f t="array" ref="AD287">ROUND($R287*CAS_Inc_Salary2324s*VLOOKUP($A287,EnrollData2324,'2324 Jun 24 Enroll'!T$1,FALSE),2)-AC287</f>
        <v>17.649999999999977</v>
      </c>
      <c r="AE287" s="6" cm="1">
        <f t="array" ref="AE287">ROUND($Z287*CLS_Base_Salary2324s*VLOOKUP($A287,EnrollData2324,'2324 Jun 24 Enroll'!S$1,FALSE),2)</f>
        <v>995.53</v>
      </c>
      <c r="AF287" s="6" cm="1">
        <f t="array" ref="AF287">ROUND($Z287*CLS_Inc_Salary2324s*VLOOKUP($A287,EnrollData2324,'2324 Jun 24 Enroll'!T$1,FALSE),2)-AE287</f>
        <v>36.819999999999936</v>
      </c>
      <c r="AG287" cm="1">
        <f t="array" ref="AG287">ROUND(($J287+$R287)*Apport_124X2324s,2)</f>
        <v>734.29</v>
      </c>
      <c r="AH287" s="69">
        <f t="shared" ref="AH287:AH325" si="29">ROUND(($J287+$R287)*Apport_621X2324s*Apport_125XC2324s,2)-AG287</f>
        <v>68.700000000000045</v>
      </c>
      <c r="AI287" cm="1">
        <f t="array" ref="AI287">ROUND($Z287*Apport_124X2324s,2)</f>
        <v>218.54</v>
      </c>
      <c r="AJ287" cm="1">
        <f t="array" ref="AJ287">ROUND($Z287*Apport_621X2324s*Apport_125X2324s,2)-AI287</f>
        <v>116.51000000000002</v>
      </c>
      <c r="AK287" cm="1">
        <f t="array" ref="AK287">ROUND((AA287+AC287)*Apport_126X2324s,2)</f>
        <v>865.88</v>
      </c>
      <c r="AL287" cm="1">
        <f t="array" ref="AL287">ROUND((AB287+AD287)*Apport_127X2324s,2)</f>
        <v>30.9</v>
      </c>
      <c r="AM287" cm="1">
        <f t="array" ref="AM287">ROUND(AE287*Apport_128X2324s,2)</f>
        <v>219.61</v>
      </c>
      <c r="AN287" cm="1">
        <f t="array" ref="AN287">ROUND(AF287*Apport_129X2324s,2)</f>
        <v>6.83</v>
      </c>
      <c r="AO287" cm="1">
        <f t="array" ref="AO287">ROUND(($J287*CIS_Inc_Salary2324s*(VLOOKUP($A287,EnrollData2324,'2324 Jun 24 Enroll'!T$1,FALSE)+VLOOKUP($A287,EnrollData2324,'2324 Jun 24 Enroll'!U$1,FALSE))/Apport_613Xpd)*Apport_614Xpd,2)</f>
        <v>75.040000000000006</v>
      </c>
      <c r="AP287" cm="1">
        <f t="array" ref="AP287">ROUND(AO287*Apport_127X2324s,2)</f>
        <v>13</v>
      </c>
      <c r="AQ287">
        <f t="shared" ref="AQ287:AQ325" si="30">ROUND((J287*Apport_581X)*(Apport_116X*Apport_132X),2)</f>
        <v>30.93</v>
      </c>
      <c r="AR287" s="6" cm="1">
        <f t="array" ref="AR287">ROUND((VLOOKUP($A287,EnrollData2324,'2324 Jun 24 Enroll'!D$1,FALSE)*Apport_M802324s+VLOOKUP($A287,EnrollData2324,'2324 Jun 24 Enroll'!M$1,FALSE)*Apport_M802324s+(VLOOKUP($A287,EnrollData2324,'2324 Jun 24 Enroll'!P$1,FALSE)+VLOOKUP($A287,EnrollData2324,'2324 Jun 24 Enroll'!Q$1,FALSE)+VLOOKUP($A287,EnrollData2324,'2324 Jun 24 Enroll'!R$1,FALSE)+VLOOKUP($A287,EnrollData2324,'2324 Jun 24 Enroll'!I$1,FALSE)+VLOOKUP($A287,EnrollData2324,'2324 Jun 24 Enroll'!N$1,FALSE)+VLOOKUP($A287,EnrollData2324,'2324 Jun 24 Enroll'!O$1,FALSE)+VLOOKUP($A287,EnrollData2324,'2324 Jun 24 Enroll'!K$1,FALSE)+VLOOKUP($A287,EnrollData2324,'2324 Jun 24 Enroll'!L$1,FALSE))*Apport_M812324s)/(VLOOKUP($A287,EnrollData2324,'2324 Jun 24 Enroll'!M$1,FALSE)+VLOOKUP($A287,EnrollData2324,'2324 Jun 24 Enroll'!D$1,FALSE)),2)</f>
        <v>1575.6</v>
      </c>
      <c r="AS287" s="7">
        <f t="shared" si="26"/>
        <v>9984.92</v>
      </c>
    </row>
    <row r="288" spans="1:45">
      <c r="A288" s="40" t="s">
        <v>466</v>
      </c>
      <c r="B288" s="40" t="s">
        <v>467</v>
      </c>
      <c r="C288" s="11">
        <f>ROUND((IFERROR((1/IF(VLOOKUP($A288,EnrollData2324,28,FALSE)='District Calculations'!$D$10,VLOOKUP($A288,EnrollData2324,28,FALSE),'District Calculations'!$D$10))*(1+Apport_Z315),0))+Apport_201A2324s,6)</f>
        <v>7.3449E-2</v>
      </c>
      <c r="D288">
        <f>ROUND(IF(VLOOKUP($A288,EnrollData2324,'2324 Jun 24 Enroll'!D$1,FALSE)='District Calculations'!$D$11,VLOOKUP($A288,EnrollData2324,'2324 Jun 24 Enroll'!D$1,FALSE),'District Calculations'!$D$11)*C288,3)</f>
        <v>0</v>
      </c>
      <c r="E288">
        <f>ROUND(IF(VLOOKUP($A288,EnrollData2324,'2324 Jun 24 Enroll'!E$1,FALSE)='District Calculations'!$D$12,VLOOKUP($A288,EnrollData2324,'2324 Jun 24 Enroll'!E$1,FALSE),'District Calculations'!$D$12)*C288,3)</f>
        <v>59.53</v>
      </c>
      <c r="F288">
        <f>ROUND(IF(VLOOKUP($A288,EnrollData2324,'2324 Jun 24 Enroll'!F$1,FALSE)='District Calculations'!$D$13,VLOOKUP($A288,EnrollData2324,'2324 Jun 24 Enroll'!F$1,FALSE),'District Calculations'!$D$13)*Apport_222A2324s,3)</f>
        <v>10.101000000000001</v>
      </c>
      <c r="G288">
        <f>ROUND(IF(VLOOKUP($A288,EnrollData2324,'2324 Jun 24 Enroll'!G$1,FALSE)='District Calculations'!$D$14,VLOOKUP($A288,EnrollData2324,'2324 Jun 24 Enroll'!G$1,FALSE),'District Calculations'!$D$14)*Apport_210A2324s,3)</f>
        <v>22.395</v>
      </c>
      <c r="H288">
        <f>ROUND(IF(VLOOKUP($A288,EnrollData2324,'2324 Jun 24 Enroll'!H$1,FALSE)='District Calculations'!$D$15,VLOOKUP($A288,EnrollData2324,'2324 Jun 24 Enroll'!H$1,FALSE),'District Calculations'!$D$15)*Apport_213A2324s,3)</f>
        <v>23.091999999999999</v>
      </c>
      <c r="I288">
        <f>ROUND(IF(VLOOKUP($A288,EnrollData2324,'2324 Jun 24 Enroll'!I$1,FALSE)+VLOOKUP($A288,EnrollData2324,'2324 Jun 24 Enroll'!M$1,FALSE)-VLOOKUP($A288,EnrollData2324,'2324 Jun 24 Enroll'!J$1,FALSE)='District Calculations'!$D$16+'District Calculations'!$D$25-'District Calculations'!$D$17,VLOOKUP($A288,EnrollData2324,'2324 Jun 24 Enroll'!I$1,FALSE)+VLOOKUP($A288,EnrollData2324,'2324 Jun 24 Enroll'!M$1,FALSE)-VLOOKUP($A288,EnrollData2324,'2324 Jun 24 Enroll'!J$1,FALSE),'District Calculations'!$D$16+'District Calculations'!$D$25-'District Calculations'!$D$17)*Apport_216A2324s,3)</f>
        <v>58.183999999999997</v>
      </c>
      <c r="J288">
        <f>ROUND(SUM(D288:I288)/(IF(VLOOKUP($A288,EnrollData2324,'2324 Jun 24 Enroll'!M$1,FALSE)='District Calculations'!$D$25,VLOOKUP($A288,EnrollData2324,'2324 Jun 24 Enroll'!M$1,FALSE),'District Calculations'!$D$25)+IF(VLOOKUP($A288,EnrollData2324,'2324 Jun 24 Enroll'!D$1,FALSE)='District Calculations'!$D$11,VLOOKUP($A288,EnrollData2324,'2324 Jun 24 Enroll'!D$1,FALSE),'District Calculations'!$D$11)),5)</f>
        <v>5.5530000000000003E-2</v>
      </c>
      <c r="K288" s="11">
        <f t="shared" si="27"/>
        <v>4.3699999999999998E-3</v>
      </c>
      <c r="L288">
        <f>ROUND(IF(VLOOKUP($A288,EnrollData2324,'2324 Jun 24 Enroll'!D$1,FALSE)='District Calculations'!$D$11,VLOOKUP($A288,EnrollData2324,'2324 Jun 24 Enroll'!D$1,FALSE),'District Calculations'!$D$11)*K288,3)</f>
        <v>0</v>
      </c>
      <c r="M288">
        <f>ROUND(IF(VLOOKUP($A288,EnrollData2324,'2324 Jun 24 Enroll'!E$1,FALSE)='District Calculations'!$D$12,VLOOKUP($A288,EnrollData2324,'2324 Jun 24 Enroll'!E$1,FALSE),'District Calculations'!$D$12)*K288,3)</f>
        <v>3.5419999999999998</v>
      </c>
      <c r="N288">
        <f>ROUND(IF(VLOOKUP($A288,EnrollData2324,'2324 Jun 24 Enroll'!F$1,FALSE)='District Calculations'!$D$13,VLOOKUP($A288,EnrollData2324,'2324 Jun 24 Enroll'!F$1,FALSE),'District Calculations'!$D$13)*Apport_223A2324s,3)</f>
        <v>0.84299999999999997</v>
      </c>
      <c r="O288">
        <f>ROUND(IF(VLOOKUP($A288,EnrollData2324,'2324 Jun 24 Enroll'!G$1,FALSE)='District Calculations'!$D$14,VLOOKUP($A288,EnrollData2324,'2324 Jun 24 Enroll'!G$1,FALSE),'District Calculations'!$D$14)*Apport_211A2324s,3)</f>
        <v>1.87</v>
      </c>
      <c r="P288">
        <f>ROUND(IF(VLOOKUP($A288,EnrollData2324,'2324 Jun 24 Enroll'!H$1,FALSE)='District Calculations'!$D$14,VLOOKUP($A288,EnrollData2324,'2324 Jun 24 Enroll'!H$1,FALSE),'District Calculations'!$D$14)*Apport_214A2324s,3)</f>
        <v>1.8680000000000001</v>
      </c>
      <c r="Q288">
        <f>ROUND(IF(VLOOKUP($A288,EnrollData2324,'2324 Jun 24 Enroll'!I$1,FALSE)+VLOOKUP($A288,EnrollData2324,'2324 Jun 24 Enroll'!M$1,FALSE)-VLOOKUP($A288,EnrollData2324,'2324 Jun 24 Enroll'!J$1,FALSE)='District Calculations'!$D$16+'District Calculations'!$D$25-'District Calculations'!$D$17,VLOOKUP($A288,EnrollData2324,'2324 Jun 24 Enroll'!I$1,FALSE)+VLOOKUP($A288,EnrollData2324,'2324 Jun 24 Enroll'!M$1,FALSE)-VLOOKUP($A288,EnrollData2324,'2324 Jun 24 Enroll'!J$1,FALSE),'District Calculations'!$D$16+'District Calculations'!$D$25-'District Calculations'!$D$17)*Apport_217A2324s,3)</f>
        <v>4.702</v>
      </c>
      <c r="R288">
        <f>ROUND(SUM(L288:Q288)/IF(VLOOKUP($A288,EnrollData2324,'2324 Jun 24 Enroll'!M$1,FALSE)+VLOOKUP($A288,EnrollData2324,'2324 Jun 24 Enroll'!D$1,FALSE)='District Calculations'!$D$25+'District Calculations'!$D$11,VLOOKUP($A288,EnrollData2324,'2324 Jun 24 Enroll'!M$1,FALSE)+VLOOKUP($A288,EnrollData2324,'2324 Jun 24 Enroll'!D$1,FALSE),'District Calculations'!$D$25+'District Calculations'!$D$11),5)</f>
        <v>4.1099999999999999E-3</v>
      </c>
      <c r="S288" s="11">
        <f t="shared" si="28"/>
        <v>1.8689600000000001E-2</v>
      </c>
      <c r="T288">
        <f>ROUND(IF(VLOOKUP($A288,EnrollData2324,'2324 Jun 24 Enroll'!D$1,FALSE)='District Calculations'!$D$11,VLOOKUP($A288,EnrollData2324,'2324 Jun 24 Enroll'!D$1,FALSE),'District Calculations'!$D$11)*S288,3)</f>
        <v>0</v>
      </c>
      <c r="U288">
        <f>ROUND(IF(VLOOKUP($A288,EnrollData2324,'2324 Jun 24 Enroll'!E$1,FALSE)='District Calculations'!$D$12,VLOOKUP($A288,EnrollData2324,'2324 Jun 24 Enroll'!E$1,FALSE),'District Calculations'!$D$12)*S288,3)</f>
        <v>15.148</v>
      </c>
      <c r="V288">
        <f>ROUND(IF(VLOOKUP($A288,EnrollData2324,'2324 Jun 24 Enroll'!F$1,FALSE)='District Calculations'!$D$13,VLOOKUP($A288,EnrollData2324,'2324 Jun 24 Enroll'!F$1,FALSE),'District Calculations'!$D$13)*Apport_224A2324s,3)</f>
        <v>3.7029999999999998</v>
      </c>
      <c r="W288">
        <f>ROUND(IF(VLOOKUP($A288,EnrollData2324,'2324 Jun 24 Enroll'!G$1,FALSE)='District Calculations'!$D$14,VLOOKUP($A288,EnrollData2324,'2324 Jun 24 Enroll'!G$1,FALSE),'District Calculations'!$D$14)*Apport_212A2324s,3)</f>
        <v>8.2089999999999996</v>
      </c>
      <c r="X288">
        <f>ROUND(IF(VLOOKUP($A288,EnrollData2324,'2324 Jun 24 Enroll'!H$1,FALSE)='District Calculations'!$D$14,VLOOKUP($A288,EnrollData2324,'2324 Jun 24 Enroll'!H$1,FALSE),'District Calculations'!$D$14)*Apport_215A2324s,3)</f>
        <v>8.0969999999999995</v>
      </c>
      <c r="Y288">
        <f>ROUND(IF(VLOOKUP($A288,EnrollData2324,'2324 Jun 24 Enroll'!I$1,FALSE)+VLOOKUP($A288,EnrollData2324,'2324 Jun 24 Enroll'!M$1,FALSE)-VLOOKUP($A288,EnrollData2324,'2324 Jun 24 Enroll'!J$1,FALSE)='District Calculations'!$D$16+'District Calculations'!$D$25-'District Calculations'!$D$17,VLOOKUP($A288,EnrollData2324,'2324 Jun 24 Enroll'!I$1,FALSE)+VLOOKUP($A288,EnrollData2324,'2324 Jun 24 Enroll'!M$1,FALSE)-VLOOKUP($A288,EnrollData2324,'2324 Jun 24 Enroll'!J$1,FALSE),'District Calculations'!$D$16+'District Calculations'!$D$25-'District Calculations'!$D$17)*Apport_218A2324s,3)</f>
        <v>20.224</v>
      </c>
      <c r="Z288">
        <f>ROUND(SUM(T288:Y288)/IF(VLOOKUP($A288,EnrollData2324,'2324 Jun 24 Enroll'!M$1,FALSE)+VLOOKUP($A288,EnrollData2324,'2324 Jun 24 Enroll'!D$1,FALSE)='District Calculations'!$D$25+'District Calculations'!$D$11,VLOOKUP($A288,EnrollData2324,'2324 Jun 24 Enroll'!M$1,FALSE)+VLOOKUP($A288,EnrollData2324,'2324 Jun 24 Enroll'!D$1,FALSE),'District Calculations'!$D$25+'District Calculations'!$D$11),5)</f>
        <v>1.7749999999999998E-2</v>
      </c>
      <c r="AA288" s="6" cm="1">
        <f t="array" ref="AA288">ROUND($J288*CIS_Base_Salary2324s*VLOOKUP($A288,EnrollData2324,'2324 Jun 24 Enroll'!S$1,FALSE),2)</f>
        <v>4341.4799999999996</v>
      </c>
      <c r="AB288" s="6" cm="1">
        <f t="array" ref="AB288">ROUND($J288*CIS_Inc_Salary2324s*(VLOOKUP($A288,EnrollData2324,'2324 Jun 24 Enroll'!T$1,FALSE)+VLOOKUP($A288,EnrollData2324,'2324 Jun 24 Enroll'!U$1,FALSE)),2)-AA288</f>
        <v>160.64000000000033</v>
      </c>
      <c r="AC288" s="6" cm="1">
        <f t="array" ref="AC288">ROUND($R288*CAS_Base_Salary2324s*VLOOKUP($A288,EnrollData2324,'2324 Jun 24 Enroll'!S$1,FALSE),2)</f>
        <v>476.97</v>
      </c>
      <c r="AD288" s="6" cm="1">
        <f t="array" ref="AD288">ROUND($R288*CAS_Inc_Salary2324s*VLOOKUP($A288,EnrollData2324,'2324 Jun 24 Enroll'!T$1,FALSE),2)-AC288</f>
        <v>17.649999999999977</v>
      </c>
      <c r="AE288" s="6" cm="1">
        <f t="array" ref="AE288">ROUND($Z288*CLS_Base_Salary2324s*VLOOKUP($A288,EnrollData2324,'2324 Jun 24 Enroll'!S$1,FALSE),2)</f>
        <v>995.53</v>
      </c>
      <c r="AF288" s="6" cm="1">
        <f t="array" ref="AF288">ROUND($Z288*CLS_Inc_Salary2324s*VLOOKUP($A288,EnrollData2324,'2324 Jun 24 Enroll'!T$1,FALSE),2)-AE288</f>
        <v>36.819999999999936</v>
      </c>
      <c r="AG288" cm="1">
        <f t="array" ref="AG288">ROUND(($J288+$R288)*Apport_124X2324s,2)</f>
        <v>734.29</v>
      </c>
      <c r="AH288" s="69">
        <f t="shared" si="29"/>
        <v>68.700000000000045</v>
      </c>
      <c r="AI288" cm="1">
        <f t="array" ref="AI288">ROUND($Z288*Apport_124X2324s,2)</f>
        <v>218.54</v>
      </c>
      <c r="AJ288" cm="1">
        <f t="array" ref="AJ288">ROUND($Z288*Apport_621X2324s*Apport_125X2324s,2)-AI288</f>
        <v>116.51000000000002</v>
      </c>
      <c r="AK288" cm="1">
        <f t="array" ref="AK288">ROUND((AA288+AC288)*Apport_126X2324s,2)</f>
        <v>865.88</v>
      </c>
      <c r="AL288" cm="1">
        <f t="array" ref="AL288">ROUND((AB288+AD288)*Apport_127X2324s,2)</f>
        <v>30.9</v>
      </c>
      <c r="AM288" cm="1">
        <f t="array" ref="AM288">ROUND(AE288*Apport_128X2324s,2)</f>
        <v>219.61</v>
      </c>
      <c r="AN288" cm="1">
        <f t="array" ref="AN288">ROUND(AF288*Apport_129X2324s,2)</f>
        <v>6.83</v>
      </c>
      <c r="AO288" cm="1">
        <f t="array" ref="AO288">ROUND(($J288*CIS_Inc_Salary2324s*(VLOOKUP($A288,EnrollData2324,'2324 Jun 24 Enroll'!T$1,FALSE)+VLOOKUP($A288,EnrollData2324,'2324 Jun 24 Enroll'!U$1,FALSE))/Apport_613Xpd)*Apport_614Xpd,2)</f>
        <v>75.040000000000006</v>
      </c>
      <c r="AP288" cm="1">
        <f t="array" ref="AP288">ROUND(AO288*Apport_127X2324s,2)</f>
        <v>13</v>
      </c>
      <c r="AQ288">
        <f t="shared" si="30"/>
        <v>30.93</v>
      </c>
      <c r="AR288" s="6" cm="1">
        <f t="array" ref="AR288">ROUND((VLOOKUP($A288,EnrollData2324,'2324 Jun 24 Enroll'!D$1,FALSE)*Apport_M802324s+VLOOKUP($A288,EnrollData2324,'2324 Jun 24 Enroll'!M$1,FALSE)*Apport_M802324s+(VLOOKUP($A288,EnrollData2324,'2324 Jun 24 Enroll'!P$1,FALSE)+VLOOKUP($A288,EnrollData2324,'2324 Jun 24 Enroll'!Q$1,FALSE)+VLOOKUP($A288,EnrollData2324,'2324 Jun 24 Enroll'!R$1,FALSE)+VLOOKUP($A288,EnrollData2324,'2324 Jun 24 Enroll'!I$1,FALSE)+VLOOKUP($A288,EnrollData2324,'2324 Jun 24 Enroll'!N$1,FALSE)+VLOOKUP($A288,EnrollData2324,'2324 Jun 24 Enroll'!O$1,FALSE)+VLOOKUP($A288,EnrollData2324,'2324 Jun 24 Enroll'!K$1,FALSE)+VLOOKUP($A288,EnrollData2324,'2324 Jun 24 Enroll'!L$1,FALSE))*Apport_M812324s)/(VLOOKUP($A288,EnrollData2324,'2324 Jun 24 Enroll'!M$1,FALSE)+VLOOKUP($A288,EnrollData2324,'2324 Jun 24 Enroll'!D$1,FALSE)),2)</f>
        <v>1570.08</v>
      </c>
      <c r="AS288" s="7">
        <f t="shared" si="26"/>
        <v>9979.4</v>
      </c>
    </row>
    <row r="289" spans="1:45">
      <c r="A289" s="40" t="s">
        <v>343</v>
      </c>
      <c r="B289" s="40" t="s">
        <v>344</v>
      </c>
      <c r="C289" s="11">
        <f>ROUND((IFERROR((1/IF(VLOOKUP($A289,EnrollData2324,28,FALSE)='District Calculations'!$D$10,VLOOKUP($A289,EnrollData2324,28,FALSE),'District Calculations'!$D$10))*(1+Apport_Z315),0))+Apport_201A2324s,6)</f>
        <v>7.3449E-2</v>
      </c>
      <c r="D289">
        <f>ROUND(IF(VLOOKUP($A289,EnrollData2324,'2324 Jun 24 Enroll'!D$1,FALSE)='District Calculations'!$D$11,VLOOKUP($A289,EnrollData2324,'2324 Jun 24 Enroll'!D$1,FALSE),'District Calculations'!$D$11)*C289,3)</f>
        <v>0</v>
      </c>
      <c r="E289">
        <f>ROUND(IF(VLOOKUP($A289,EnrollData2324,'2324 Jun 24 Enroll'!E$1,FALSE)='District Calculations'!$D$12,VLOOKUP($A289,EnrollData2324,'2324 Jun 24 Enroll'!E$1,FALSE),'District Calculations'!$D$12)*C289,3)</f>
        <v>59.53</v>
      </c>
      <c r="F289">
        <f>ROUND(IF(VLOOKUP($A289,EnrollData2324,'2324 Jun 24 Enroll'!F$1,FALSE)='District Calculations'!$D$13,VLOOKUP($A289,EnrollData2324,'2324 Jun 24 Enroll'!F$1,FALSE),'District Calculations'!$D$13)*Apport_222A2324s,3)</f>
        <v>10.101000000000001</v>
      </c>
      <c r="G289">
        <f>ROUND(IF(VLOOKUP($A289,EnrollData2324,'2324 Jun 24 Enroll'!G$1,FALSE)='District Calculations'!$D$14,VLOOKUP($A289,EnrollData2324,'2324 Jun 24 Enroll'!G$1,FALSE),'District Calculations'!$D$14)*Apport_210A2324s,3)</f>
        <v>22.395</v>
      </c>
      <c r="H289">
        <f>ROUND(IF(VLOOKUP($A289,EnrollData2324,'2324 Jun 24 Enroll'!H$1,FALSE)='District Calculations'!$D$15,VLOOKUP($A289,EnrollData2324,'2324 Jun 24 Enroll'!H$1,FALSE),'District Calculations'!$D$15)*Apport_213A2324s,3)</f>
        <v>23.091999999999999</v>
      </c>
      <c r="I289">
        <f>ROUND(IF(VLOOKUP($A289,EnrollData2324,'2324 Jun 24 Enroll'!I$1,FALSE)+VLOOKUP($A289,EnrollData2324,'2324 Jun 24 Enroll'!M$1,FALSE)-VLOOKUP($A289,EnrollData2324,'2324 Jun 24 Enroll'!J$1,FALSE)='District Calculations'!$D$16+'District Calculations'!$D$25-'District Calculations'!$D$17,VLOOKUP($A289,EnrollData2324,'2324 Jun 24 Enroll'!I$1,FALSE)+VLOOKUP($A289,EnrollData2324,'2324 Jun 24 Enroll'!M$1,FALSE)-VLOOKUP($A289,EnrollData2324,'2324 Jun 24 Enroll'!J$1,FALSE),'District Calculations'!$D$16+'District Calculations'!$D$25-'District Calculations'!$D$17)*Apport_216A2324s,3)</f>
        <v>58.183999999999997</v>
      </c>
      <c r="J289">
        <f>ROUND(SUM(D289:I289)/(IF(VLOOKUP($A289,EnrollData2324,'2324 Jun 24 Enroll'!M$1,FALSE)='District Calculations'!$D$25,VLOOKUP($A289,EnrollData2324,'2324 Jun 24 Enroll'!M$1,FALSE),'District Calculations'!$D$25)+IF(VLOOKUP($A289,EnrollData2324,'2324 Jun 24 Enroll'!D$1,FALSE)='District Calculations'!$D$11,VLOOKUP($A289,EnrollData2324,'2324 Jun 24 Enroll'!D$1,FALSE),'District Calculations'!$D$11)),5)</f>
        <v>5.5530000000000003E-2</v>
      </c>
      <c r="K289" s="11">
        <f t="shared" si="27"/>
        <v>4.3699999999999998E-3</v>
      </c>
      <c r="L289">
        <f>ROUND(IF(VLOOKUP($A289,EnrollData2324,'2324 Jun 24 Enroll'!D$1,FALSE)='District Calculations'!$D$11,VLOOKUP($A289,EnrollData2324,'2324 Jun 24 Enroll'!D$1,FALSE),'District Calculations'!$D$11)*K289,3)</f>
        <v>0</v>
      </c>
      <c r="M289">
        <f>ROUND(IF(VLOOKUP($A289,EnrollData2324,'2324 Jun 24 Enroll'!E$1,FALSE)='District Calculations'!$D$12,VLOOKUP($A289,EnrollData2324,'2324 Jun 24 Enroll'!E$1,FALSE),'District Calculations'!$D$12)*K289,3)</f>
        <v>3.5419999999999998</v>
      </c>
      <c r="N289">
        <f>ROUND(IF(VLOOKUP($A289,EnrollData2324,'2324 Jun 24 Enroll'!F$1,FALSE)='District Calculations'!$D$13,VLOOKUP($A289,EnrollData2324,'2324 Jun 24 Enroll'!F$1,FALSE),'District Calculations'!$D$13)*Apport_223A2324s,3)</f>
        <v>0.84299999999999997</v>
      </c>
      <c r="O289">
        <f>ROUND(IF(VLOOKUP($A289,EnrollData2324,'2324 Jun 24 Enroll'!G$1,FALSE)='District Calculations'!$D$14,VLOOKUP($A289,EnrollData2324,'2324 Jun 24 Enroll'!G$1,FALSE),'District Calculations'!$D$14)*Apport_211A2324s,3)</f>
        <v>1.87</v>
      </c>
      <c r="P289">
        <f>ROUND(IF(VLOOKUP($A289,EnrollData2324,'2324 Jun 24 Enroll'!H$1,FALSE)='District Calculations'!$D$14,VLOOKUP($A289,EnrollData2324,'2324 Jun 24 Enroll'!H$1,FALSE),'District Calculations'!$D$14)*Apport_214A2324s,3)</f>
        <v>1.8680000000000001</v>
      </c>
      <c r="Q289">
        <f>ROUND(IF(VLOOKUP($A289,EnrollData2324,'2324 Jun 24 Enroll'!I$1,FALSE)+VLOOKUP($A289,EnrollData2324,'2324 Jun 24 Enroll'!M$1,FALSE)-VLOOKUP($A289,EnrollData2324,'2324 Jun 24 Enroll'!J$1,FALSE)='District Calculations'!$D$16+'District Calculations'!$D$25-'District Calculations'!$D$17,VLOOKUP($A289,EnrollData2324,'2324 Jun 24 Enroll'!I$1,FALSE)+VLOOKUP($A289,EnrollData2324,'2324 Jun 24 Enroll'!M$1,FALSE)-VLOOKUP($A289,EnrollData2324,'2324 Jun 24 Enroll'!J$1,FALSE),'District Calculations'!$D$16+'District Calculations'!$D$25-'District Calculations'!$D$17)*Apport_217A2324s,3)</f>
        <v>4.702</v>
      </c>
      <c r="R289">
        <f>ROUND(SUM(L289:Q289)/IF(VLOOKUP($A289,EnrollData2324,'2324 Jun 24 Enroll'!M$1,FALSE)+VLOOKUP($A289,EnrollData2324,'2324 Jun 24 Enroll'!D$1,FALSE)='District Calculations'!$D$25+'District Calculations'!$D$11,VLOOKUP($A289,EnrollData2324,'2324 Jun 24 Enroll'!M$1,FALSE)+VLOOKUP($A289,EnrollData2324,'2324 Jun 24 Enroll'!D$1,FALSE),'District Calculations'!$D$25+'District Calculations'!$D$11),5)</f>
        <v>4.1099999999999999E-3</v>
      </c>
      <c r="S289" s="11">
        <f t="shared" si="28"/>
        <v>1.8689600000000001E-2</v>
      </c>
      <c r="T289">
        <f>ROUND(IF(VLOOKUP($A289,EnrollData2324,'2324 Jun 24 Enroll'!D$1,FALSE)='District Calculations'!$D$11,VLOOKUP($A289,EnrollData2324,'2324 Jun 24 Enroll'!D$1,FALSE),'District Calculations'!$D$11)*S289,3)</f>
        <v>0</v>
      </c>
      <c r="U289">
        <f>ROUND(IF(VLOOKUP($A289,EnrollData2324,'2324 Jun 24 Enroll'!E$1,FALSE)='District Calculations'!$D$12,VLOOKUP($A289,EnrollData2324,'2324 Jun 24 Enroll'!E$1,FALSE),'District Calculations'!$D$12)*S289,3)</f>
        <v>15.148</v>
      </c>
      <c r="V289">
        <f>ROUND(IF(VLOOKUP($A289,EnrollData2324,'2324 Jun 24 Enroll'!F$1,FALSE)='District Calculations'!$D$13,VLOOKUP($A289,EnrollData2324,'2324 Jun 24 Enroll'!F$1,FALSE),'District Calculations'!$D$13)*Apport_224A2324s,3)</f>
        <v>3.7029999999999998</v>
      </c>
      <c r="W289">
        <f>ROUND(IF(VLOOKUP($A289,EnrollData2324,'2324 Jun 24 Enroll'!G$1,FALSE)='District Calculations'!$D$14,VLOOKUP($A289,EnrollData2324,'2324 Jun 24 Enroll'!G$1,FALSE),'District Calculations'!$D$14)*Apport_212A2324s,3)</f>
        <v>8.2089999999999996</v>
      </c>
      <c r="X289">
        <f>ROUND(IF(VLOOKUP($A289,EnrollData2324,'2324 Jun 24 Enroll'!H$1,FALSE)='District Calculations'!$D$14,VLOOKUP($A289,EnrollData2324,'2324 Jun 24 Enroll'!H$1,FALSE),'District Calculations'!$D$14)*Apport_215A2324s,3)</f>
        <v>8.0969999999999995</v>
      </c>
      <c r="Y289">
        <f>ROUND(IF(VLOOKUP($A289,EnrollData2324,'2324 Jun 24 Enroll'!I$1,FALSE)+VLOOKUP($A289,EnrollData2324,'2324 Jun 24 Enroll'!M$1,FALSE)-VLOOKUP($A289,EnrollData2324,'2324 Jun 24 Enroll'!J$1,FALSE)='District Calculations'!$D$16+'District Calculations'!$D$25-'District Calculations'!$D$17,VLOOKUP($A289,EnrollData2324,'2324 Jun 24 Enroll'!I$1,FALSE)+VLOOKUP($A289,EnrollData2324,'2324 Jun 24 Enroll'!M$1,FALSE)-VLOOKUP($A289,EnrollData2324,'2324 Jun 24 Enroll'!J$1,FALSE),'District Calculations'!$D$16+'District Calculations'!$D$25-'District Calculations'!$D$17)*Apport_218A2324s,3)</f>
        <v>20.224</v>
      </c>
      <c r="Z289">
        <f>ROUND(SUM(T289:Y289)/IF(VLOOKUP($A289,EnrollData2324,'2324 Jun 24 Enroll'!M$1,FALSE)+VLOOKUP($A289,EnrollData2324,'2324 Jun 24 Enroll'!D$1,FALSE)='District Calculations'!$D$25+'District Calculations'!$D$11,VLOOKUP($A289,EnrollData2324,'2324 Jun 24 Enroll'!M$1,FALSE)+VLOOKUP($A289,EnrollData2324,'2324 Jun 24 Enroll'!D$1,FALSE),'District Calculations'!$D$25+'District Calculations'!$D$11),5)</f>
        <v>1.7749999999999998E-2</v>
      </c>
      <c r="AA289" s="6" cm="1">
        <f t="array" ref="AA289">ROUND($J289*CIS_Base_Salary2324s*VLOOKUP($A289,EnrollData2324,'2324 Jun 24 Enroll'!S$1,FALSE),2)</f>
        <v>4523.22</v>
      </c>
      <c r="AB289" s="6" cm="1">
        <f t="array" ref="AB289">ROUND($J289*CIS_Inc_Salary2324s*(VLOOKUP($A289,EnrollData2324,'2324 Jun 24 Enroll'!T$1,FALSE)+VLOOKUP($A289,EnrollData2324,'2324 Jun 24 Enroll'!U$1,FALSE)),2)-AA289</f>
        <v>251.11999999999989</v>
      </c>
      <c r="AC289" s="6" cm="1">
        <f t="array" ref="AC289">ROUND($R289*CAS_Base_Salary2324s*VLOOKUP($A289,EnrollData2324,'2324 Jun 24 Enroll'!S$1,FALSE),2)</f>
        <v>496.94</v>
      </c>
      <c r="AD289" s="6" cm="1">
        <f t="array" ref="AD289">ROUND($R289*CAS_Inc_Salary2324s*VLOOKUP($A289,EnrollData2324,'2324 Jun 24 Enroll'!T$1,FALSE),2)-AC289</f>
        <v>18.390000000000043</v>
      </c>
      <c r="AE289" s="6" cm="1">
        <f t="array" ref="AE289">ROUND($Z289*CLS_Base_Salary2324s*VLOOKUP($A289,EnrollData2324,'2324 Jun 24 Enroll'!S$1,FALSE),2)</f>
        <v>1037.2</v>
      </c>
      <c r="AF289" s="6" cm="1">
        <f t="array" ref="AF289">ROUND($Z289*CLS_Inc_Salary2324s*VLOOKUP($A289,EnrollData2324,'2324 Jun 24 Enroll'!T$1,FALSE),2)-AE289</f>
        <v>38.369999999999891</v>
      </c>
      <c r="AG289" cm="1">
        <f t="array" ref="AG289">ROUND(($J289+$R289)*Apport_124X2324s,2)</f>
        <v>734.29</v>
      </c>
      <c r="AH289" s="69">
        <f t="shared" si="29"/>
        <v>68.700000000000045</v>
      </c>
      <c r="AI289" cm="1">
        <f t="array" ref="AI289">ROUND($Z289*Apport_124X2324s,2)</f>
        <v>218.54</v>
      </c>
      <c r="AJ289" cm="1">
        <f t="array" ref="AJ289">ROUND($Z289*Apport_621X2324s*Apport_125X2324s,2)-AI289</f>
        <v>116.51000000000002</v>
      </c>
      <c r="AK289" cm="1">
        <f t="array" ref="AK289">ROUND((AA289+AC289)*Apport_126X2324s,2)</f>
        <v>902.12</v>
      </c>
      <c r="AL289" cm="1">
        <f t="array" ref="AL289">ROUND((AB289+AD289)*Apport_127X2324s,2)</f>
        <v>46.71</v>
      </c>
      <c r="AM289" cm="1">
        <f t="array" ref="AM289">ROUND(AE289*Apport_128X2324s,2)</f>
        <v>228.81</v>
      </c>
      <c r="AN289" cm="1">
        <f t="array" ref="AN289">ROUND(AF289*Apport_129X2324s,2)</f>
        <v>7.12</v>
      </c>
      <c r="AO289" cm="1">
        <f t="array" ref="AO289">ROUND(($J289*CIS_Inc_Salary2324s*(VLOOKUP($A289,EnrollData2324,'2324 Jun 24 Enroll'!T$1,FALSE)+VLOOKUP($A289,EnrollData2324,'2324 Jun 24 Enroll'!U$1,FALSE))/Apport_613Xpd)*Apport_614Xpd,2)</f>
        <v>79.569999999999993</v>
      </c>
      <c r="AP289" cm="1">
        <f t="array" ref="AP289">ROUND(AO289*Apport_127X2324s,2)</f>
        <v>13.79</v>
      </c>
      <c r="AQ289">
        <f t="shared" si="30"/>
        <v>30.93</v>
      </c>
      <c r="AR289" s="6" cm="1">
        <f t="array" ref="AR289">ROUND((VLOOKUP($A289,EnrollData2324,'2324 Jun 24 Enroll'!D$1,FALSE)*Apport_M802324s+VLOOKUP($A289,EnrollData2324,'2324 Jun 24 Enroll'!M$1,FALSE)*Apport_M802324s+(VLOOKUP($A289,EnrollData2324,'2324 Jun 24 Enroll'!P$1,FALSE)+VLOOKUP($A289,EnrollData2324,'2324 Jun 24 Enroll'!Q$1,FALSE)+VLOOKUP($A289,EnrollData2324,'2324 Jun 24 Enroll'!R$1,FALSE)+VLOOKUP($A289,EnrollData2324,'2324 Jun 24 Enroll'!I$1,FALSE)+VLOOKUP($A289,EnrollData2324,'2324 Jun 24 Enroll'!N$1,FALSE)+VLOOKUP($A289,EnrollData2324,'2324 Jun 24 Enroll'!O$1,FALSE)+VLOOKUP($A289,EnrollData2324,'2324 Jun 24 Enroll'!K$1,FALSE)+VLOOKUP($A289,EnrollData2324,'2324 Jun 24 Enroll'!L$1,FALSE))*Apport_M812324s)/(VLOOKUP($A289,EnrollData2324,'2324 Jun 24 Enroll'!M$1,FALSE)+VLOOKUP($A289,EnrollData2324,'2324 Jun 24 Enroll'!D$1,FALSE)),2)</f>
        <v>1568.96</v>
      </c>
      <c r="AS289" s="7">
        <f t="shared" si="26"/>
        <v>10381.290000000001</v>
      </c>
    </row>
    <row r="290" spans="1:45">
      <c r="A290" s="40" t="s">
        <v>566</v>
      </c>
      <c r="B290" s="40" t="s">
        <v>567</v>
      </c>
      <c r="C290" s="11">
        <f>ROUND((IFERROR((1/IF(VLOOKUP($A290,EnrollData2324,28,FALSE)='District Calculations'!$D$10,VLOOKUP($A290,EnrollData2324,28,FALSE),'District Calculations'!$D$10))*(1+Apport_Z315),0))+Apport_201A2324s,6)</f>
        <v>7.3449E-2</v>
      </c>
      <c r="D290">
        <f>ROUND(IF(VLOOKUP($A290,EnrollData2324,'2324 Jun 24 Enroll'!D$1,FALSE)='District Calculations'!$D$11,VLOOKUP($A290,EnrollData2324,'2324 Jun 24 Enroll'!D$1,FALSE),'District Calculations'!$D$11)*C290,3)</f>
        <v>0</v>
      </c>
      <c r="E290">
        <f>ROUND(IF(VLOOKUP($A290,EnrollData2324,'2324 Jun 24 Enroll'!E$1,FALSE)='District Calculations'!$D$12,VLOOKUP($A290,EnrollData2324,'2324 Jun 24 Enroll'!E$1,FALSE),'District Calculations'!$D$12)*C290,3)</f>
        <v>59.53</v>
      </c>
      <c r="F290">
        <f>ROUND(IF(VLOOKUP($A290,EnrollData2324,'2324 Jun 24 Enroll'!F$1,FALSE)='District Calculations'!$D$13,VLOOKUP($A290,EnrollData2324,'2324 Jun 24 Enroll'!F$1,FALSE),'District Calculations'!$D$13)*Apport_222A2324s,3)</f>
        <v>10.101000000000001</v>
      </c>
      <c r="G290">
        <f>ROUND(IF(VLOOKUP($A290,EnrollData2324,'2324 Jun 24 Enroll'!G$1,FALSE)='District Calculations'!$D$14,VLOOKUP($A290,EnrollData2324,'2324 Jun 24 Enroll'!G$1,FALSE),'District Calculations'!$D$14)*Apport_210A2324s,3)</f>
        <v>22.395</v>
      </c>
      <c r="H290">
        <f>ROUND(IF(VLOOKUP($A290,EnrollData2324,'2324 Jun 24 Enroll'!H$1,FALSE)='District Calculations'!$D$15,VLOOKUP($A290,EnrollData2324,'2324 Jun 24 Enroll'!H$1,FALSE),'District Calculations'!$D$15)*Apport_213A2324s,3)</f>
        <v>23.091999999999999</v>
      </c>
      <c r="I290">
        <f>ROUND(IF(VLOOKUP($A290,EnrollData2324,'2324 Jun 24 Enroll'!I$1,FALSE)+VLOOKUP($A290,EnrollData2324,'2324 Jun 24 Enroll'!M$1,FALSE)-VLOOKUP($A290,EnrollData2324,'2324 Jun 24 Enroll'!J$1,FALSE)='District Calculations'!$D$16+'District Calculations'!$D$25-'District Calculations'!$D$17,VLOOKUP($A290,EnrollData2324,'2324 Jun 24 Enroll'!I$1,FALSE)+VLOOKUP($A290,EnrollData2324,'2324 Jun 24 Enroll'!M$1,FALSE)-VLOOKUP($A290,EnrollData2324,'2324 Jun 24 Enroll'!J$1,FALSE),'District Calculations'!$D$16+'District Calculations'!$D$25-'District Calculations'!$D$17)*Apport_216A2324s,3)</f>
        <v>58.183999999999997</v>
      </c>
      <c r="J290">
        <f>ROUND(SUM(D290:I290)/(IF(VLOOKUP($A290,EnrollData2324,'2324 Jun 24 Enroll'!M$1,FALSE)='District Calculations'!$D$25,VLOOKUP($A290,EnrollData2324,'2324 Jun 24 Enroll'!M$1,FALSE),'District Calculations'!$D$25)+IF(VLOOKUP($A290,EnrollData2324,'2324 Jun 24 Enroll'!D$1,FALSE)='District Calculations'!$D$11,VLOOKUP($A290,EnrollData2324,'2324 Jun 24 Enroll'!D$1,FALSE),'District Calculations'!$D$11)),5)</f>
        <v>5.5530000000000003E-2</v>
      </c>
      <c r="K290" s="11">
        <f t="shared" si="27"/>
        <v>4.3699999999999998E-3</v>
      </c>
      <c r="L290">
        <f>ROUND(IF(VLOOKUP($A290,EnrollData2324,'2324 Jun 24 Enroll'!D$1,FALSE)='District Calculations'!$D$11,VLOOKUP($A290,EnrollData2324,'2324 Jun 24 Enroll'!D$1,FALSE),'District Calculations'!$D$11)*K290,3)</f>
        <v>0</v>
      </c>
      <c r="M290">
        <f>ROUND(IF(VLOOKUP($A290,EnrollData2324,'2324 Jun 24 Enroll'!E$1,FALSE)='District Calculations'!$D$12,VLOOKUP($A290,EnrollData2324,'2324 Jun 24 Enroll'!E$1,FALSE),'District Calculations'!$D$12)*K290,3)</f>
        <v>3.5419999999999998</v>
      </c>
      <c r="N290">
        <f>ROUND(IF(VLOOKUP($A290,EnrollData2324,'2324 Jun 24 Enroll'!F$1,FALSE)='District Calculations'!$D$13,VLOOKUP($A290,EnrollData2324,'2324 Jun 24 Enroll'!F$1,FALSE),'District Calculations'!$D$13)*Apport_223A2324s,3)</f>
        <v>0.84299999999999997</v>
      </c>
      <c r="O290">
        <f>ROUND(IF(VLOOKUP($A290,EnrollData2324,'2324 Jun 24 Enroll'!G$1,FALSE)='District Calculations'!$D$14,VLOOKUP($A290,EnrollData2324,'2324 Jun 24 Enroll'!G$1,FALSE),'District Calculations'!$D$14)*Apport_211A2324s,3)</f>
        <v>1.87</v>
      </c>
      <c r="P290">
        <f>ROUND(IF(VLOOKUP($A290,EnrollData2324,'2324 Jun 24 Enroll'!H$1,FALSE)='District Calculations'!$D$14,VLOOKUP($A290,EnrollData2324,'2324 Jun 24 Enroll'!H$1,FALSE),'District Calculations'!$D$14)*Apport_214A2324s,3)</f>
        <v>1.8680000000000001</v>
      </c>
      <c r="Q290">
        <f>ROUND(IF(VLOOKUP($A290,EnrollData2324,'2324 Jun 24 Enroll'!I$1,FALSE)+VLOOKUP($A290,EnrollData2324,'2324 Jun 24 Enroll'!M$1,FALSE)-VLOOKUP($A290,EnrollData2324,'2324 Jun 24 Enroll'!J$1,FALSE)='District Calculations'!$D$16+'District Calculations'!$D$25-'District Calculations'!$D$17,VLOOKUP($A290,EnrollData2324,'2324 Jun 24 Enroll'!I$1,FALSE)+VLOOKUP($A290,EnrollData2324,'2324 Jun 24 Enroll'!M$1,FALSE)-VLOOKUP($A290,EnrollData2324,'2324 Jun 24 Enroll'!J$1,FALSE),'District Calculations'!$D$16+'District Calculations'!$D$25-'District Calculations'!$D$17)*Apport_217A2324s,3)</f>
        <v>4.702</v>
      </c>
      <c r="R290">
        <f>ROUND(SUM(L290:Q290)/IF(VLOOKUP($A290,EnrollData2324,'2324 Jun 24 Enroll'!M$1,FALSE)+VLOOKUP($A290,EnrollData2324,'2324 Jun 24 Enroll'!D$1,FALSE)='District Calculations'!$D$25+'District Calculations'!$D$11,VLOOKUP($A290,EnrollData2324,'2324 Jun 24 Enroll'!M$1,FALSE)+VLOOKUP($A290,EnrollData2324,'2324 Jun 24 Enroll'!D$1,FALSE),'District Calculations'!$D$25+'District Calculations'!$D$11),5)</f>
        <v>4.1099999999999999E-3</v>
      </c>
      <c r="S290" s="11">
        <f t="shared" si="28"/>
        <v>1.8689600000000001E-2</v>
      </c>
      <c r="T290">
        <f>ROUND(IF(VLOOKUP($A290,EnrollData2324,'2324 Jun 24 Enroll'!D$1,FALSE)='District Calculations'!$D$11,VLOOKUP($A290,EnrollData2324,'2324 Jun 24 Enroll'!D$1,FALSE),'District Calculations'!$D$11)*S290,3)</f>
        <v>0</v>
      </c>
      <c r="U290">
        <f>ROUND(IF(VLOOKUP($A290,EnrollData2324,'2324 Jun 24 Enroll'!E$1,FALSE)='District Calculations'!$D$12,VLOOKUP($A290,EnrollData2324,'2324 Jun 24 Enroll'!E$1,FALSE),'District Calculations'!$D$12)*S290,3)</f>
        <v>15.148</v>
      </c>
      <c r="V290">
        <f>ROUND(IF(VLOOKUP($A290,EnrollData2324,'2324 Jun 24 Enroll'!F$1,FALSE)='District Calculations'!$D$13,VLOOKUP($A290,EnrollData2324,'2324 Jun 24 Enroll'!F$1,FALSE),'District Calculations'!$D$13)*Apport_224A2324s,3)</f>
        <v>3.7029999999999998</v>
      </c>
      <c r="W290">
        <f>ROUND(IF(VLOOKUP($A290,EnrollData2324,'2324 Jun 24 Enroll'!G$1,FALSE)='District Calculations'!$D$14,VLOOKUP($A290,EnrollData2324,'2324 Jun 24 Enroll'!G$1,FALSE),'District Calculations'!$D$14)*Apport_212A2324s,3)</f>
        <v>8.2089999999999996</v>
      </c>
      <c r="X290">
        <f>ROUND(IF(VLOOKUP($A290,EnrollData2324,'2324 Jun 24 Enroll'!H$1,FALSE)='District Calculations'!$D$14,VLOOKUP($A290,EnrollData2324,'2324 Jun 24 Enroll'!H$1,FALSE),'District Calculations'!$D$14)*Apport_215A2324s,3)</f>
        <v>8.0969999999999995</v>
      </c>
      <c r="Y290">
        <f>ROUND(IF(VLOOKUP($A290,EnrollData2324,'2324 Jun 24 Enroll'!I$1,FALSE)+VLOOKUP($A290,EnrollData2324,'2324 Jun 24 Enroll'!M$1,FALSE)-VLOOKUP($A290,EnrollData2324,'2324 Jun 24 Enroll'!J$1,FALSE)='District Calculations'!$D$16+'District Calculations'!$D$25-'District Calculations'!$D$17,VLOOKUP($A290,EnrollData2324,'2324 Jun 24 Enroll'!I$1,FALSE)+VLOOKUP($A290,EnrollData2324,'2324 Jun 24 Enroll'!M$1,FALSE)-VLOOKUP($A290,EnrollData2324,'2324 Jun 24 Enroll'!J$1,FALSE),'District Calculations'!$D$16+'District Calculations'!$D$25-'District Calculations'!$D$17)*Apport_218A2324s,3)</f>
        <v>20.224</v>
      </c>
      <c r="Z290">
        <f>ROUND(SUM(T290:Y290)/IF(VLOOKUP($A290,EnrollData2324,'2324 Jun 24 Enroll'!M$1,FALSE)+VLOOKUP($A290,EnrollData2324,'2324 Jun 24 Enroll'!D$1,FALSE)='District Calculations'!$D$25+'District Calculations'!$D$11,VLOOKUP($A290,EnrollData2324,'2324 Jun 24 Enroll'!M$1,FALSE)+VLOOKUP($A290,EnrollData2324,'2324 Jun 24 Enroll'!D$1,FALSE),'District Calculations'!$D$25+'District Calculations'!$D$11),5)</f>
        <v>1.7749999999999998E-2</v>
      </c>
      <c r="AA290" s="6" cm="1">
        <f t="array" ref="AA290">ROUND($J290*CIS_Base_Salary2324s*VLOOKUP($A290,EnrollData2324,'2324 Jun 24 Enroll'!S$1,FALSE),2)</f>
        <v>4523.22</v>
      </c>
      <c r="AB290" s="6" cm="1">
        <f t="array" ref="AB290">ROUND($J290*CIS_Inc_Salary2324s*(VLOOKUP($A290,EnrollData2324,'2324 Jun 24 Enroll'!T$1,FALSE)+VLOOKUP($A290,EnrollData2324,'2324 Jun 24 Enroll'!U$1,FALSE)),2)-AA290</f>
        <v>167.35999999999967</v>
      </c>
      <c r="AC290" s="6" cm="1">
        <f t="array" ref="AC290">ROUND($R290*CAS_Base_Salary2324s*VLOOKUP($A290,EnrollData2324,'2324 Jun 24 Enroll'!S$1,FALSE),2)</f>
        <v>496.94</v>
      </c>
      <c r="AD290" s="6" cm="1">
        <f t="array" ref="AD290">ROUND($R290*CAS_Inc_Salary2324s*VLOOKUP($A290,EnrollData2324,'2324 Jun 24 Enroll'!T$1,FALSE),2)-AC290</f>
        <v>18.390000000000043</v>
      </c>
      <c r="AE290" s="6" cm="1">
        <f t="array" ref="AE290">ROUND($Z290*CLS_Base_Salary2324s*VLOOKUP($A290,EnrollData2324,'2324 Jun 24 Enroll'!S$1,FALSE),2)</f>
        <v>1037.2</v>
      </c>
      <c r="AF290" s="6" cm="1">
        <f t="array" ref="AF290">ROUND($Z290*CLS_Inc_Salary2324s*VLOOKUP($A290,EnrollData2324,'2324 Jun 24 Enroll'!T$1,FALSE),2)-AE290</f>
        <v>38.369999999999891</v>
      </c>
      <c r="AG290" cm="1">
        <f t="array" ref="AG290">ROUND(($J290+$R290)*Apport_124X2324s,2)</f>
        <v>734.29</v>
      </c>
      <c r="AH290" s="69">
        <f t="shared" si="29"/>
        <v>68.700000000000045</v>
      </c>
      <c r="AI290" cm="1">
        <f t="array" ref="AI290">ROUND($Z290*Apport_124X2324s,2)</f>
        <v>218.54</v>
      </c>
      <c r="AJ290" cm="1">
        <f t="array" ref="AJ290">ROUND($Z290*Apport_621X2324s*Apport_125X2324s,2)-AI290</f>
        <v>116.51000000000002</v>
      </c>
      <c r="AK290" cm="1">
        <f t="array" ref="AK290">ROUND((AA290+AC290)*Apport_126X2324s,2)</f>
        <v>902.12</v>
      </c>
      <c r="AL290" cm="1">
        <f t="array" ref="AL290">ROUND((AB290+AD290)*Apport_127X2324s,2)</f>
        <v>32.19</v>
      </c>
      <c r="AM290" cm="1">
        <f t="array" ref="AM290">ROUND(AE290*Apport_128X2324s,2)</f>
        <v>228.81</v>
      </c>
      <c r="AN290" cm="1">
        <f t="array" ref="AN290">ROUND(AF290*Apport_129X2324s,2)</f>
        <v>7.12</v>
      </c>
      <c r="AO290" cm="1">
        <f t="array" ref="AO290">ROUND(($J290*CIS_Inc_Salary2324s*(VLOOKUP($A290,EnrollData2324,'2324 Jun 24 Enroll'!T$1,FALSE)+VLOOKUP($A290,EnrollData2324,'2324 Jun 24 Enroll'!U$1,FALSE))/Apport_613Xpd)*Apport_614Xpd,2)</f>
        <v>78.180000000000007</v>
      </c>
      <c r="AP290" cm="1">
        <f t="array" ref="AP290">ROUND(AO290*Apport_127X2324s,2)</f>
        <v>13.55</v>
      </c>
      <c r="AQ290">
        <f t="shared" si="30"/>
        <v>30.93</v>
      </c>
      <c r="AR290" s="6" cm="1">
        <f t="array" ref="AR290">ROUND((VLOOKUP($A290,EnrollData2324,'2324 Jun 24 Enroll'!D$1,FALSE)*Apport_M802324s+VLOOKUP($A290,EnrollData2324,'2324 Jun 24 Enroll'!M$1,FALSE)*Apport_M802324s+(VLOOKUP($A290,EnrollData2324,'2324 Jun 24 Enroll'!P$1,FALSE)+VLOOKUP($A290,EnrollData2324,'2324 Jun 24 Enroll'!Q$1,FALSE)+VLOOKUP($A290,EnrollData2324,'2324 Jun 24 Enroll'!R$1,FALSE)+VLOOKUP($A290,EnrollData2324,'2324 Jun 24 Enroll'!I$1,FALSE)+VLOOKUP($A290,EnrollData2324,'2324 Jun 24 Enroll'!N$1,FALSE)+VLOOKUP($A290,EnrollData2324,'2324 Jun 24 Enroll'!O$1,FALSE)+VLOOKUP($A290,EnrollData2324,'2324 Jun 24 Enroll'!K$1,FALSE)+VLOOKUP($A290,EnrollData2324,'2324 Jun 24 Enroll'!L$1,FALSE))*Apport_M812324s)/(VLOOKUP($A290,EnrollData2324,'2324 Jun 24 Enroll'!M$1,FALSE)+VLOOKUP($A290,EnrollData2324,'2324 Jun 24 Enroll'!D$1,FALSE)),2)</f>
        <v>1582.32</v>
      </c>
      <c r="AS290" s="7">
        <f t="shared" si="26"/>
        <v>10294.74</v>
      </c>
    </row>
    <row r="291" spans="1:45">
      <c r="A291" s="40" t="s">
        <v>588</v>
      </c>
      <c r="B291" s="40" t="s">
        <v>589</v>
      </c>
      <c r="C291" s="11">
        <f>ROUND((IFERROR((1/IF(VLOOKUP($A291,EnrollData2324,28,FALSE)='District Calculations'!$D$10,VLOOKUP($A291,EnrollData2324,28,FALSE),'District Calculations'!$D$10))*(1+Apport_Z315),0))+Apport_201A2324s,6)</f>
        <v>7.3449E-2</v>
      </c>
      <c r="D291">
        <f>ROUND(IF(VLOOKUP($A291,EnrollData2324,'2324 Jun 24 Enroll'!D$1,FALSE)='District Calculations'!$D$11,VLOOKUP($A291,EnrollData2324,'2324 Jun 24 Enroll'!D$1,FALSE),'District Calculations'!$D$11)*C291,3)</f>
        <v>0</v>
      </c>
      <c r="E291">
        <f>ROUND(IF(VLOOKUP($A291,EnrollData2324,'2324 Jun 24 Enroll'!E$1,FALSE)='District Calculations'!$D$12,VLOOKUP($A291,EnrollData2324,'2324 Jun 24 Enroll'!E$1,FALSE),'District Calculations'!$D$12)*C291,3)</f>
        <v>59.53</v>
      </c>
      <c r="F291">
        <f>ROUND(IF(VLOOKUP($A291,EnrollData2324,'2324 Jun 24 Enroll'!F$1,FALSE)='District Calculations'!$D$13,VLOOKUP($A291,EnrollData2324,'2324 Jun 24 Enroll'!F$1,FALSE),'District Calculations'!$D$13)*Apport_222A2324s,3)</f>
        <v>10.101000000000001</v>
      </c>
      <c r="G291">
        <f>ROUND(IF(VLOOKUP($A291,EnrollData2324,'2324 Jun 24 Enroll'!G$1,FALSE)='District Calculations'!$D$14,VLOOKUP($A291,EnrollData2324,'2324 Jun 24 Enroll'!G$1,FALSE),'District Calculations'!$D$14)*Apport_210A2324s,3)</f>
        <v>22.395</v>
      </c>
      <c r="H291">
        <f>ROUND(IF(VLOOKUP($A291,EnrollData2324,'2324 Jun 24 Enroll'!H$1,FALSE)='District Calculations'!$D$15,VLOOKUP($A291,EnrollData2324,'2324 Jun 24 Enroll'!H$1,FALSE),'District Calculations'!$D$15)*Apport_213A2324s,3)</f>
        <v>23.091999999999999</v>
      </c>
      <c r="I291">
        <f>ROUND(IF(VLOOKUP($A291,EnrollData2324,'2324 Jun 24 Enroll'!I$1,FALSE)+VLOOKUP($A291,EnrollData2324,'2324 Jun 24 Enroll'!M$1,FALSE)-VLOOKUP($A291,EnrollData2324,'2324 Jun 24 Enroll'!J$1,FALSE)='District Calculations'!$D$16+'District Calculations'!$D$25-'District Calculations'!$D$17,VLOOKUP($A291,EnrollData2324,'2324 Jun 24 Enroll'!I$1,FALSE)+VLOOKUP($A291,EnrollData2324,'2324 Jun 24 Enroll'!M$1,FALSE)-VLOOKUP($A291,EnrollData2324,'2324 Jun 24 Enroll'!J$1,FALSE),'District Calculations'!$D$16+'District Calculations'!$D$25-'District Calculations'!$D$17)*Apport_216A2324s,3)</f>
        <v>58.183999999999997</v>
      </c>
      <c r="J291">
        <f>ROUND(SUM(D291:I291)/(IF(VLOOKUP($A291,EnrollData2324,'2324 Jun 24 Enroll'!M$1,FALSE)='District Calculations'!$D$25,VLOOKUP($A291,EnrollData2324,'2324 Jun 24 Enroll'!M$1,FALSE),'District Calculations'!$D$25)+IF(VLOOKUP($A291,EnrollData2324,'2324 Jun 24 Enroll'!D$1,FALSE)='District Calculations'!$D$11,VLOOKUP($A291,EnrollData2324,'2324 Jun 24 Enroll'!D$1,FALSE),'District Calculations'!$D$11)),5)</f>
        <v>5.5530000000000003E-2</v>
      </c>
      <c r="K291" s="11">
        <f t="shared" si="27"/>
        <v>4.3699999999999998E-3</v>
      </c>
      <c r="L291">
        <f>ROUND(IF(VLOOKUP($A291,EnrollData2324,'2324 Jun 24 Enroll'!D$1,FALSE)='District Calculations'!$D$11,VLOOKUP($A291,EnrollData2324,'2324 Jun 24 Enroll'!D$1,FALSE),'District Calculations'!$D$11)*K291,3)</f>
        <v>0</v>
      </c>
      <c r="M291">
        <f>ROUND(IF(VLOOKUP($A291,EnrollData2324,'2324 Jun 24 Enroll'!E$1,FALSE)='District Calculations'!$D$12,VLOOKUP($A291,EnrollData2324,'2324 Jun 24 Enroll'!E$1,FALSE),'District Calculations'!$D$12)*K291,3)</f>
        <v>3.5419999999999998</v>
      </c>
      <c r="N291">
        <f>ROUND(IF(VLOOKUP($A291,EnrollData2324,'2324 Jun 24 Enroll'!F$1,FALSE)='District Calculations'!$D$13,VLOOKUP($A291,EnrollData2324,'2324 Jun 24 Enroll'!F$1,FALSE),'District Calculations'!$D$13)*Apport_223A2324s,3)</f>
        <v>0.84299999999999997</v>
      </c>
      <c r="O291">
        <f>ROUND(IF(VLOOKUP($A291,EnrollData2324,'2324 Jun 24 Enroll'!G$1,FALSE)='District Calculations'!$D$14,VLOOKUP($A291,EnrollData2324,'2324 Jun 24 Enroll'!G$1,FALSE),'District Calculations'!$D$14)*Apport_211A2324s,3)</f>
        <v>1.87</v>
      </c>
      <c r="P291">
        <f>ROUND(IF(VLOOKUP($A291,EnrollData2324,'2324 Jun 24 Enroll'!H$1,FALSE)='District Calculations'!$D$14,VLOOKUP($A291,EnrollData2324,'2324 Jun 24 Enroll'!H$1,FALSE),'District Calculations'!$D$14)*Apport_214A2324s,3)</f>
        <v>1.8680000000000001</v>
      </c>
      <c r="Q291">
        <f>ROUND(IF(VLOOKUP($A291,EnrollData2324,'2324 Jun 24 Enroll'!I$1,FALSE)+VLOOKUP($A291,EnrollData2324,'2324 Jun 24 Enroll'!M$1,FALSE)-VLOOKUP($A291,EnrollData2324,'2324 Jun 24 Enroll'!J$1,FALSE)='District Calculations'!$D$16+'District Calculations'!$D$25-'District Calculations'!$D$17,VLOOKUP($A291,EnrollData2324,'2324 Jun 24 Enroll'!I$1,FALSE)+VLOOKUP($A291,EnrollData2324,'2324 Jun 24 Enroll'!M$1,FALSE)-VLOOKUP($A291,EnrollData2324,'2324 Jun 24 Enroll'!J$1,FALSE),'District Calculations'!$D$16+'District Calculations'!$D$25-'District Calculations'!$D$17)*Apport_217A2324s,3)</f>
        <v>4.702</v>
      </c>
      <c r="R291">
        <f>ROUND(SUM(L291:Q291)/IF(VLOOKUP($A291,EnrollData2324,'2324 Jun 24 Enroll'!M$1,FALSE)+VLOOKUP($A291,EnrollData2324,'2324 Jun 24 Enroll'!D$1,FALSE)='District Calculations'!$D$25+'District Calculations'!$D$11,VLOOKUP($A291,EnrollData2324,'2324 Jun 24 Enroll'!M$1,FALSE)+VLOOKUP($A291,EnrollData2324,'2324 Jun 24 Enroll'!D$1,FALSE),'District Calculations'!$D$25+'District Calculations'!$D$11),5)</f>
        <v>4.1099999999999999E-3</v>
      </c>
      <c r="S291" s="11">
        <f t="shared" si="28"/>
        <v>1.8689600000000001E-2</v>
      </c>
      <c r="T291">
        <f>ROUND(IF(VLOOKUP($A291,EnrollData2324,'2324 Jun 24 Enroll'!D$1,FALSE)='District Calculations'!$D$11,VLOOKUP($A291,EnrollData2324,'2324 Jun 24 Enroll'!D$1,FALSE),'District Calculations'!$D$11)*S291,3)</f>
        <v>0</v>
      </c>
      <c r="U291">
        <f>ROUND(IF(VLOOKUP($A291,EnrollData2324,'2324 Jun 24 Enroll'!E$1,FALSE)='District Calculations'!$D$12,VLOOKUP($A291,EnrollData2324,'2324 Jun 24 Enroll'!E$1,FALSE),'District Calculations'!$D$12)*S291,3)</f>
        <v>15.148</v>
      </c>
      <c r="V291">
        <f>ROUND(IF(VLOOKUP($A291,EnrollData2324,'2324 Jun 24 Enroll'!F$1,FALSE)='District Calculations'!$D$13,VLOOKUP($A291,EnrollData2324,'2324 Jun 24 Enroll'!F$1,FALSE),'District Calculations'!$D$13)*Apport_224A2324s,3)</f>
        <v>3.7029999999999998</v>
      </c>
      <c r="W291">
        <f>ROUND(IF(VLOOKUP($A291,EnrollData2324,'2324 Jun 24 Enroll'!G$1,FALSE)='District Calculations'!$D$14,VLOOKUP($A291,EnrollData2324,'2324 Jun 24 Enroll'!G$1,FALSE),'District Calculations'!$D$14)*Apport_212A2324s,3)</f>
        <v>8.2089999999999996</v>
      </c>
      <c r="X291">
        <f>ROUND(IF(VLOOKUP($A291,EnrollData2324,'2324 Jun 24 Enroll'!H$1,FALSE)='District Calculations'!$D$14,VLOOKUP($A291,EnrollData2324,'2324 Jun 24 Enroll'!H$1,FALSE),'District Calculations'!$D$14)*Apport_215A2324s,3)</f>
        <v>8.0969999999999995</v>
      </c>
      <c r="Y291">
        <f>ROUND(IF(VLOOKUP($A291,EnrollData2324,'2324 Jun 24 Enroll'!I$1,FALSE)+VLOOKUP($A291,EnrollData2324,'2324 Jun 24 Enroll'!M$1,FALSE)-VLOOKUP($A291,EnrollData2324,'2324 Jun 24 Enroll'!J$1,FALSE)='District Calculations'!$D$16+'District Calculations'!$D$25-'District Calculations'!$D$17,VLOOKUP($A291,EnrollData2324,'2324 Jun 24 Enroll'!I$1,FALSE)+VLOOKUP($A291,EnrollData2324,'2324 Jun 24 Enroll'!M$1,FALSE)-VLOOKUP($A291,EnrollData2324,'2324 Jun 24 Enroll'!J$1,FALSE),'District Calculations'!$D$16+'District Calculations'!$D$25-'District Calculations'!$D$17)*Apport_218A2324s,3)</f>
        <v>20.224</v>
      </c>
      <c r="Z291">
        <f>ROUND(SUM(T291:Y291)/IF(VLOOKUP($A291,EnrollData2324,'2324 Jun 24 Enroll'!M$1,FALSE)+VLOOKUP($A291,EnrollData2324,'2324 Jun 24 Enroll'!D$1,FALSE)='District Calculations'!$D$25+'District Calculations'!$D$11,VLOOKUP($A291,EnrollData2324,'2324 Jun 24 Enroll'!M$1,FALSE)+VLOOKUP($A291,EnrollData2324,'2324 Jun 24 Enroll'!D$1,FALSE),'District Calculations'!$D$25+'District Calculations'!$D$11),5)</f>
        <v>1.7749999999999998E-2</v>
      </c>
      <c r="AA291" s="6" cm="1">
        <f t="array" ref="AA291">ROUND($J291*CIS_Base_Salary2324s*VLOOKUP($A291,EnrollData2324,'2324 Jun 24 Enroll'!S$1,FALSE),2)</f>
        <v>4523.22</v>
      </c>
      <c r="AB291" s="6" cm="1">
        <f t="array" ref="AB291">ROUND($J291*CIS_Inc_Salary2324s*(VLOOKUP($A291,EnrollData2324,'2324 Jun 24 Enroll'!T$1,FALSE)+VLOOKUP($A291,EnrollData2324,'2324 Jun 24 Enroll'!U$1,FALSE)),2)-AA291</f>
        <v>167.35999999999967</v>
      </c>
      <c r="AC291" s="6" cm="1">
        <f t="array" ref="AC291">ROUND($R291*CAS_Base_Salary2324s*VLOOKUP($A291,EnrollData2324,'2324 Jun 24 Enroll'!S$1,FALSE),2)</f>
        <v>496.94</v>
      </c>
      <c r="AD291" s="6" cm="1">
        <f t="array" ref="AD291">ROUND($R291*CAS_Inc_Salary2324s*VLOOKUP($A291,EnrollData2324,'2324 Jun 24 Enroll'!T$1,FALSE),2)-AC291</f>
        <v>18.390000000000043</v>
      </c>
      <c r="AE291" s="6" cm="1">
        <f t="array" ref="AE291">ROUND($Z291*CLS_Base_Salary2324s*VLOOKUP($A291,EnrollData2324,'2324 Jun 24 Enroll'!S$1,FALSE),2)</f>
        <v>1037.2</v>
      </c>
      <c r="AF291" s="6" cm="1">
        <f t="array" ref="AF291">ROUND($Z291*CLS_Inc_Salary2324s*VLOOKUP($A291,EnrollData2324,'2324 Jun 24 Enroll'!T$1,FALSE),2)-AE291</f>
        <v>38.369999999999891</v>
      </c>
      <c r="AG291" cm="1">
        <f t="array" ref="AG291">ROUND(($J291+$R291)*Apport_124X2324s,2)</f>
        <v>734.29</v>
      </c>
      <c r="AH291" s="69">
        <f t="shared" si="29"/>
        <v>68.700000000000045</v>
      </c>
      <c r="AI291" cm="1">
        <f t="array" ref="AI291">ROUND($Z291*Apport_124X2324s,2)</f>
        <v>218.54</v>
      </c>
      <c r="AJ291" cm="1">
        <f t="array" ref="AJ291">ROUND($Z291*Apport_621X2324s*Apport_125X2324s,2)-AI291</f>
        <v>116.51000000000002</v>
      </c>
      <c r="AK291" cm="1">
        <f t="array" ref="AK291">ROUND((AA291+AC291)*Apport_126X2324s,2)</f>
        <v>902.12</v>
      </c>
      <c r="AL291" cm="1">
        <f t="array" ref="AL291">ROUND((AB291+AD291)*Apport_127X2324s,2)</f>
        <v>32.19</v>
      </c>
      <c r="AM291" cm="1">
        <f t="array" ref="AM291">ROUND(AE291*Apport_128X2324s,2)</f>
        <v>228.81</v>
      </c>
      <c r="AN291" cm="1">
        <f t="array" ref="AN291">ROUND(AF291*Apport_129X2324s,2)</f>
        <v>7.12</v>
      </c>
      <c r="AO291" cm="1">
        <f t="array" ref="AO291">ROUND(($J291*CIS_Inc_Salary2324s*(VLOOKUP($A291,EnrollData2324,'2324 Jun 24 Enroll'!T$1,FALSE)+VLOOKUP($A291,EnrollData2324,'2324 Jun 24 Enroll'!U$1,FALSE))/Apport_613Xpd)*Apport_614Xpd,2)</f>
        <v>78.180000000000007</v>
      </c>
      <c r="AP291" cm="1">
        <f t="array" ref="AP291">ROUND(AO291*Apport_127X2324s,2)</f>
        <v>13.55</v>
      </c>
      <c r="AQ291">
        <f t="shared" si="30"/>
        <v>30.93</v>
      </c>
      <c r="AR291" s="6" cm="1">
        <f t="array" ref="AR291">ROUND((VLOOKUP($A291,EnrollData2324,'2324 Jun 24 Enroll'!D$1,FALSE)*Apport_M802324s+VLOOKUP($A291,EnrollData2324,'2324 Jun 24 Enroll'!M$1,FALSE)*Apport_M802324s+(VLOOKUP($A291,EnrollData2324,'2324 Jun 24 Enroll'!P$1,FALSE)+VLOOKUP($A291,EnrollData2324,'2324 Jun 24 Enroll'!Q$1,FALSE)+VLOOKUP($A291,EnrollData2324,'2324 Jun 24 Enroll'!R$1,FALSE)+VLOOKUP($A291,EnrollData2324,'2324 Jun 24 Enroll'!I$1,FALSE)+VLOOKUP($A291,EnrollData2324,'2324 Jun 24 Enroll'!N$1,FALSE)+VLOOKUP($A291,EnrollData2324,'2324 Jun 24 Enroll'!O$1,FALSE)+VLOOKUP($A291,EnrollData2324,'2324 Jun 24 Enroll'!K$1,FALSE)+VLOOKUP($A291,EnrollData2324,'2324 Jun 24 Enroll'!L$1,FALSE))*Apport_M812324s)/(VLOOKUP($A291,EnrollData2324,'2324 Jun 24 Enroll'!M$1,FALSE)+VLOOKUP($A291,EnrollData2324,'2324 Jun 24 Enroll'!D$1,FALSE)),2)</f>
        <v>1583.63</v>
      </c>
      <c r="AS291" s="7">
        <f t="shared" ref="AS291:AS325" si="31">SUM(AA291:AR291)</f>
        <v>10296.049999999999</v>
      </c>
    </row>
    <row r="292" spans="1:45">
      <c r="A292" s="40" t="s">
        <v>625</v>
      </c>
      <c r="B292" s="40" t="s">
        <v>626</v>
      </c>
      <c r="C292" s="11">
        <f>ROUND((IFERROR((1/IF(VLOOKUP($A292,EnrollData2324,28,FALSE)='District Calculations'!$D$10,VLOOKUP($A292,EnrollData2324,28,FALSE),'District Calculations'!$D$10))*(1+Apport_Z315),0))+Apport_201A2324s,6)</f>
        <v>7.3449E-2</v>
      </c>
      <c r="D292">
        <f>ROUND(IF(VLOOKUP($A292,EnrollData2324,'2324 Jun 24 Enroll'!D$1,FALSE)='District Calculations'!$D$11,VLOOKUP($A292,EnrollData2324,'2324 Jun 24 Enroll'!D$1,FALSE),'District Calculations'!$D$11)*C292,3)</f>
        <v>0</v>
      </c>
      <c r="E292">
        <f>ROUND(IF(VLOOKUP($A292,EnrollData2324,'2324 Jun 24 Enroll'!E$1,FALSE)='District Calculations'!$D$12,VLOOKUP($A292,EnrollData2324,'2324 Jun 24 Enroll'!E$1,FALSE),'District Calculations'!$D$12)*C292,3)</f>
        <v>59.53</v>
      </c>
      <c r="F292">
        <f>ROUND(IF(VLOOKUP($A292,EnrollData2324,'2324 Jun 24 Enroll'!F$1,FALSE)='District Calculations'!$D$13,VLOOKUP($A292,EnrollData2324,'2324 Jun 24 Enroll'!F$1,FALSE),'District Calculations'!$D$13)*Apport_222A2324s,3)</f>
        <v>10.101000000000001</v>
      </c>
      <c r="G292">
        <f>ROUND(IF(VLOOKUP($A292,EnrollData2324,'2324 Jun 24 Enroll'!G$1,FALSE)='District Calculations'!$D$14,VLOOKUP($A292,EnrollData2324,'2324 Jun 24 Enroll'!G$1,FALSE),'District Calculations'!$D$14)*Apport_210A2324s,3)</f>
        <v>22.395</v>
      </c>
      <c r="H292">
        <f>ROUND(IF(VLOOKUP($A292,EnrollData2324,'2324 Jun 24 Enroll'!H$1,FALSE)='District Calculations'!$D$15,VLOOKUP($A292,EnrollData2324,'2324 Jun 24 Enroll'!H$1,FALSE),'District Calculations'!$D$15)*Apport_213A2324s,3)</f>
        <v>23.091999999999999</v>
      </c>
      <c r="I292">
        <f>ROUND(IF(VLOOKUP($A292,EnrollData2324,'2324 Jun 24 Enroll'!I$1,FALSE)+VLOOKUP($A292,EnrollData2324,'2324 Jun 24 Enroll'!M$1,FALSE)-VLOOKUP($A292,EnrollData2324,'2324 Jun 24 Enroll'!J$1,FALSE)='District Calculations'!$D$16+'District Calculations'!$D$25-'District Calculations'!$D$17,VLOOKUP($A292,EnrollData2324,'2324 Jun 24 Enroll'!I$1,FALSE)+VLOOKUP($A292,EnrollData2324,'2324 Jun 24 Enroll'!M$1,FALSE)-VLOOKUP($A292,EnrollData2324,'2324 Jun 24 Enroll'!J$1,FALSE),'District Calculations'!$D$16+'District Calculations'!$D$25-'District Calculations'!$D$17)*Apport_216A2324s,3)</f>
        <v>58.183999999999997</v>
      </c>
      <c r="J292">
        <f>ROUND(SUM(D292:I292)/(IF(VLOOKUP($A292,EnrollData2324,'2324 Jun 24 Enroll'!M$1,FALSE)='District Calculations'!$D$25,VLOOKUP($A292,EnrollData2324,'2324 Jun 24 Enroll'!M$1,FALSE),'District Calculations'!$D$25)+IF(VLOOKUP($A292,EnrollData2324,'2324 Jun 24 Enroll'!D$1,FALSE)='District Calculations'!$D$11,VLOOKUP($A292,EnrollData2324,'2324 Jun 24 Enroll'!D$1,FALSE),'District Calculations'!$D$11)),5)</f>
        <v>5.5530000000000003E-2</v>
      </c>
      <c r="K292" s="11">
        <f t="shared" si="27"/>
        <v>4.3699999999999998E-3</v>
      </c>
      <c r="L292">
        <f>ROUND(IF(VLOOKUP($A292,EnrollData2324,'2324 Jun 24 Enroll'!D$1,FALSE)='District Calculations'!$D$11,VLOOKUP($A292,EnrollData2324,'2324 Jun 24 Enroll'!D$1,FALSE),'District Calculations'!$D$11)*K292,3)</f>
        <v>0</v>
      </c>
      <c r="M292">
        <f>ROUND(IF(VLOOKUP($A292,EnrollData2324,'2324 Jun 24 Enroll'!E$1,FALSE)='District Calculations'!$D$12,VLOOKUP($A292,EnrollData2324,'2324 Jun 24 Enroll'!E$1,FALSE),'District Calculations'!$D$12)*K292,3)</f>
        <v>3.5419999999999998</v>
      </c>
      <c r="N292">
        <f>ROUND(IF(VLOOKUP($A292,EnrollData2324,'2324 Jun 24 Enroll'!F$1,FALSE)='District Calculations'!$D$13,VLOOKUP($A292,EnrollData2324,'2324 Jun 24 Enroll'!F$1,FALSE),'District Calculations'!$D$13)*Apport_223A2324s,3)</f>
        <v>0.84299999999999997</v>
      </c>
      <c r="O292">
        <f>ROUND(IF(VLOOKUP($A292,EnrollData2324,'2324 Jun 24 Enroll'!G$1,FALSE)='District Calculations'!$D$14,VLOOKUP($A292,EnrollData2324,'2324 Jun 24 Enroll'!G$1,FALSE),'District Calculations'!$D$14)*Apport_211A2324s,3)</f>
        <v>1.87</v>
      </c>
      <c r="P292">
        <f>ROUND(IF(VLOOKUP($A292,EnrollData2324,'2324 Jun 24 Enroll'!H$1,FALSE)='District Calculations'!$D$14,VLOOKUP($A292,EnrollData2324,'2324 Jun 24 Enroll'!H$1,FALSE),'District Calculations'!$D$14)*Apport_214A2324s,3)</f>
        <v>1.8680000000000001</v>
      </c>
      <c r="Q292">
        <f>ROUND(IF(VLOOKUP($A292,EnrollData2324,'2324 Jun 24 Enroll'!I$1,FALSE)+VLOOKUP($A292,EnrollData2324,'2324 Jun 24 Enroll'!M$1,FALSE)-VLOOKUP($A292,EnrollData2324,'2324 Jun 24 Enroll'!J$1,FALSE)='District Calculations'!$D$16+'District Calculations'!$D$25-'District Calculations'!$D$17,VLOOKUP($A292,EnrollData2324,'2324 Jun 24 Enroll'!I$1,FALSE)+VLOOKUP($A292,EnrollData2324,'2324 Jun 24 Enroll'!M$1,FALSE)-VLOOKUP($A292,EnrollData2324,'2324 Jun 24 Enroll'!J$1,FALSE),'District Calculations'!$D$16+'District Calculations'!$D$25-'District Calculations'!$D$17)*Apport_217A2324s,3)</f>
        <v>4.702</v>
      </c>
      <c r="R292">
        <f>ROUND(SUM(L292:Q292)/IF(VLOOKUP($A292,EnrollData2324,'2324 Jun 24 Enroll'!M$1,FALSE)+VLOOKUP($A292,EnrollData2324,'2324 Jun 24 Enroll'!D$1,FALSE)='District Calculations'!$D$25+'District Calculations'!$D$11,VLOOKUP($A292,EnrollData2324,'2324 Jun 24 Enroll'!M$1,FALSE)+VLOOKUP($A292,EnrollData2324,'2324 Jun 24 Enroll'!D$1,FALSE),'District Calculations'!$D$25+'District Calculations'!$D$11),5)</f>
        <v>4.1099999999999999E-3</v>
      </c>
      <c r="S292" s="11">
        <f t="shared" si="28"/>
        <v>1.8689600000000001E-2</v>
      </c>
      <c r="T292">
        <f>ROUND(IF(VLOOKUP($A292,EnrollData2324,'2324 Jun 24 Enroll'!D$1,FALSE)='District Calculations'!$D$11,VLOOKUP($A292,EnrollData2324,'2324 Jun 24 Enroll'!D$1,FALSE),'District Calculations'!$D$11)*S292,3)</f>
        <v>0</v>
      </c>
      <c r="U292">
        <f>ROUND(IF(VLOOKUP($A292,EnrollData2324,'2324 Jun 24 Enroll'!E$1,FALSE)='District Calculations'!$D$12,VLOOKUP($A292,EnrollData2324,'2324 Jun 24 Enroll'!E$1,FALSE),'District Calculations'!$D$12)*S292,3)</f>
        <v>15.148</v>
      </c>
      <c r="V292">
        <f>ROUND(IF(VLOOKUP($A292,EnrollData2324,'2324 Jun 24 Enroll'!F$1,FALSE)='District Calculations'!$D$13,VLOOKUP($A292,EnrollData2324,'2324 Jun 24 Enroll'!F$1,FALSE),'District Calculations'!$D$13)*Apport_224A2324s,3)</f>
        <v>3.7029999999999998</v>
      </c>
      <c r="W292">
        <f>ROUND(IF(VLOOKUP($A292,EnrollData2324,'2324 Jun 24 Enroll'!G$1,FALSE)='District Calculations'!$D$14,VLOOKUP($A292,EnrollData2324,'2324 Jun 24 Enroll'!G$1,FALSE),'District Calculations'!$D$14)*Apport_212A2324s,3)</f>
        <v>8.2089999999999996</v>
      </c>
      <c r="X292">
        <f>ROUND(IF(VLOOKUP($A292,EnrollData2324,'2324 Jun 24 Enroll'!H$1,FALSE)='District Calculations'!$D$14,VLOOKUP($A292,EnrollData2324,'2324 Jun 24 Enroll'!H$1,FALSE),'District Calculations'!$D$14)*Apport_215A2324s,3)</f>
        <v>8.0969999999999995</v>
      </c>
      <c r="Y292">
        <f>ROUND(IF(VLOOKUP($A292,EnrollData2324,'2324 Jun 24 Enroll'!I$1,FALSE)+VLOOKUP($A292,EnrollData2324,'2324 Jun 24 Enroll'!M$1,FALSE)-VLOOKUP($A292,EnrollData2324,'2324 Jun 24 Enroll'!J$1,FALSE)='District Calculations'!$D$16+'District Calculations'!$D$25-'District Calculations'!$D$17,VLOOKUP($A292,EnrollData2324,'2324 Jun 24 Enroll'!I$1,FALSE)+VLOOKUP($A292,EnrollData2324,'2324 Jun 24 Enroll'!M$1,FALSE)-VLOOKUP($A292,EnrollData2324,'2324 Jun 24 Enroll'!J$1,FALSE),'District Calculations'!$D$16+'District Calculations'!$D$25-'District Calculations'!$D$17)*Apport_218A2324s,3)</f>
        <v>20.224</v>
      </c>
      <c r="Z292">
        <f>ROUND(SUM(T292:Y292)/IF(VLOOKUP($A292,EnrollData2324,'2324 Jun 24 Enroll'!M$1,FALSE)+VLOOKUP($A292,EnrollData2324,'2324 Jun 24 Enroll'!D$1,FALSE)='District Calculations'!$D$25+'District Calculations'!$D$11,VLOOKUP($A292,EnrollData2324,'2324 Jun 24 Enroll'!M$1,FALSE)+VLOOKUP($A292,EnrollData2324,'2324 Jun 24 Enroll'!D$1,FALSE),'District Calculations'!$D$25+'District Calculations'!$D$11),5)</f>
        <v>1.7749999999999998E-2</v>
      </c>
      <c r="AA292" s="6" cm="1">
        <f t="array" ref="AA292">ROUND($J292*CIS_Base_Salary2324s*VLOOKUP($A292,EnrollData2324,'2324 Jun 24 Enroll'!S$1,FALSE),2)</f>
        <v>4280.8999999999996</v>
      </c>
      <c r="AB292" s="6" cm="1">
        <f t="array" ref="AB292">ROUND($J292*CIS_Inc_Salary2324s*(VLOOKUP($A292,EnrollData2324,'2324 Jun 24 Enroll'!T$1,FALSE)+VLOOKUP($A292,EnrollData2324,'2324 Jun 24 Enroll'!U$1,FALSE)),2)-AA292</f>
        <v>158.40000000000055</v>
      </c>
      <c r="AC292" s="6" cm="1">
        <f t="array" ref="AC292">ROUND($R292*CAS_Base_Salary2324s*VLOOKUP($A292,EnrollData2324,'2324 Jun 24 Enroll'!S$1,FALSE),2)</f>
        <v>470.32</v>
      </c>
      <c r="AD292" s="6" cm="1">
        <f t="array" ref="AD292">ROUND($R292*CAS_Inc_Salary2324s*VLOOKUP($A292,EnrollData2324,'2324 Jun 24 Enroll'!T$1,FALSE),2)-AC292</f>
        <v>17.400000000000034</v>
      </c>
      <c r="AE292" s="6" cm="1">
        <f t="array" ref="AE292">ROUND($Z292*CLS_Base_Salary2324s*VLOOKUP($A292,EnrollData2324,'2324 Jun 24 Enroll'!S$1,FALSE),2)</f>
        <v>981.63</v>
      </c>
      <c r="AF292" s="6" cm="1">
        <f t="array" ref="AF292">ROUND($Z292*CLS_Inc_Salary2324s*VLOOKUP($A292,EnrollData2324,'2324 Jun 24 Enroll'!T$1,FALSE),2)-AE292</f>
        <v>36.32000000000005</v>
      </c>
      <c r="AG292" cm="1">
        <f t="array" ref="AG292">ROUND(($J292+$R292)*Apport_124X2324s,2)</f>
        <v>734.29</v>
      </c>
      <c r="AH292" s="69">
        <f t="shared" si="29"/>
        <v>68.700000000000045</v>
      </c>
      <c r="AI292" cm="1">
        <f t="array" ref="AI292">ROUND($Z292*Apport_124X2324s,2)</f>
        <v>218.54</v>
      </c>
      <c r="AJ292" cm="1">
        <f t="array" ref="AJ292">ROUND($Z292*Apport_621X2324s*Apport_125X2324s,2)-AI292</f>
        <v>116.51000000000002</v>
      </c>
      <c r="AK292" cm="1">
        <f t="array" ref="AK292">ROUND((AA292+AC292)*Apport_126X2324s,2)</f>
        <v>853.79</v>
      </c>
      <c r="AL292" cm="1">
        <f t="array" ref="AL292">ROUND((AB292+AD292)*Apport_127X2324s,2)</f>
        <v>30.47</v>
      </c>
      <c r="AM292" cm="1">
        <f t="array" ref="AM292">ROUND(AE292*Apport_128X2324s,2)</f>
        <v>216.55</v>
      </c>
      <c r="AN292" cm="1">
        <f t="array" ref="AN292">ROUND(AF292*Apport_129X2324s,2)</f>
        <v>6.74</v>
      </c>
      <c r="AO292" cm="1">
        <f t="array" ref="AO292">ROUND(($J292*CIS_Inc_Salary2324s*(VLOOKUP($A292,EnrollData2324,'2324 Jun 24 Enroll'!T$1,FALSE)+VLOOKUP($A292,EnrollData2324,'2324 Jun 24 Enroll'!U$1,FALSE))/Apport_613Xpd)*Apport_614Xpd,2)</f>
        <v>73.989999999999995</v>
      </c>
      <c r="AP292" cm="1">
        <f t="array" ref="AP292">ROUND(AO292*Apport_127X2324s,2)</f>
        <v>12.82</v>
      </c>
      <c r="AQ292">
        <f t="shared" si="30"/>
        <v>30.93</v>
      </c>
      <c r="AR292" s="6" cm="1">
        <f t="array" ref="AR292">ROUND((VLOOKUP($A292,EnrollData2324,'2324 Jun 24 Enroll'!D$1,FALSE)*Apport_M802324s+VLOOKUP($A292,EnrollData2324,'2324 Jun 24 Enroll'!M$1,FALSE)*Apport_M802324s+(VLOOKUP($A292,EnrollData2324,'2324 Jun 24 Enroll'!P$1,FALSE)+VLOOKUP($A292,EnrollData2324,'2324 Jun 24 Enroll'!Q$1,FALSE)+VLOOKUP($A292,EnrollData2324,'2324 Jun 24 Enroll'!R$1,FALSE)+VLOOKUP($A292,EnrollData2324,'2324 Jun 24 Enroll'!I$1,FALSE)+VLOOKUP($A292,EnrollData2324,'2324 Jun 24 Enroll'!N$1,FALSE)+VLOOKUP($A292,EnrollData2324,'2324 Jun 24 Enroll'!O$1,FALSE)+VLOOKUP($A292,EnrollData2324,'2324 Jun 24 Enroll'!K$1,FALSE)+VLOOKUP($A292,EnrollData2324,'2324 Jun 24 Enroll'!L$1,FALSE))*Apport_M812324s)/(VLOOKUP($A292,EnrollData2324,'2324 Jun 24 Enroll'!M$1,FALSE)+VLOOKUP($A292,EnrollData2324,'2324 Jun 24 Enroll'!D$1,FALSE)),2)</f>
        <v>1557.76</v>
      </c>
      <c r="AS292" s="7">
        <f t="shared" si="31"/>
        <v>9866.06</v>
      </c>
    </row>
    <row r="293" spans="1:45">
      <c r="A293" s="40" t="s">
        <v>606</v>
      </c>
      <c r="B293" s="40" t="s">
        <v>607</v>
      </c>
      <c r="C293" s="11">
        <f>ROUND((IFERROR((1/IF(VLOOKUP($A293,EnrollData2324,28,FALSE)='District Calculations'!$D$10,VLOOKUP($A293,EnrollData2324,28,FALSE),'District Calculations'!$D$10))*(1+Apport_Z315),0))+Apport_201A2324s,6)</f>
        <v>7.3449E-2</v>
      </c>
      <c r="D293">
        <f>ROUND(IF(VLOOKUP($A293,EnrollData2324,'2324 Jun 24 Enroll'!D$1,FALSE)='District Calculations'!$D$11,VLOOKUP($A293,EnrollData2324,'2324 Jun 24 Enroll'!D$1,FALSE),'District Calculations'!$D$11)*C293,3)</f>
        <v>0</v>
      </c>
      <c r="E293">
        <f>ROUND(IF(VLOOKUP($A293,EnrollData2324,'2324 Jun 24 Enroll'!E$1,FALSE)='District Calculations'!$D$12,VLOOKUP($A293,EnrollData2324,'2324 Jun 24 Enroll'!E$1,FALSE),'District Calculations'!$D$12)*C293,3)</f>
        <v>59.53</v>
      </c>
      <c r="F293">
        <f>ROUND(IF(VLOOKUP($A293,EnrollData2324,'2324 Jun 24 Enroll'!F$1,FALSE)='District Calculations'!$D$13,VLOOKUP($A293,EnrollData2324,'2324 Jun 24 Enroll'!F$1,FALSE),'District Calculations'!$D$13)*Apport_222A2324s,3)</f>
        <v>10.101000000000001</v>
      </c>
      <c r="G293">
        <f>ROUND(IF(VLOOKUP($A293,EnrollData2324,'2324 Jun 24 Enroll'!G$1,FALSE)='District Calculations'!$D$14,VLOOKUP($A293,EnrollData2324,'2324 Jun 24 Enroll'!G$1,FALSE),'District Calculations'!$D$14)*Apport_210A2324s,3)</f>
        <v>22.395</v>
      </c>
      <c r="H293">
        <f>ROUND(IF(VLOOKUP($A293,EnrollData2324,'2324 Jun 24 Enroll'!H$1,FALSE)='District Calculations'!$D$15,VLOOKUP($A293,EnrollData2324,'2324 Jun 24 Enroll'!H$1,FALSE),'District Calculations'!$D$15)*Apport_213A2324s,3)</f>
        <v>23.091999999999999</v>
      </c>
      <c r="I293">
        <f>ROUND(IF(VLOOKUP($A293,EnrollData2324,'2324 Jun 24 Enroll'!I$1,FALSE)+VLOOKUP($A293,EnrollData2324,'2324 Jun 24 Enroll'!M$1,FALSE)-VLOOKUP($A293,EnrollData2324,'2324 Jun 24 Enroll'!J$1,FALSE)='District Calculations'!$D$16+'District Calculations'!$D$25-'District Calculations'!$D$17,VLOOKUP($A293,EnrollData2324,'2324 Jun 24 Enroll'!I$1,FALSE)+VLOOKUP($A293,EnrollData2324,'2324 Jun 24 Enroll'!M$1,FALSE)-VLOOKUP($A293,EnrollData2324,'2324 Jun 24 Enroll'!J$1,FALSE),'District Calculations'!$D$16+'District Calculations'!$D$25-'District Calculations'!$D$17)*Apport_216A2324s,3)</f>
        <v>58.183999999999997</v>
      </c>
      <c r="J293">
        <f>ROUND(SUM(D293:I293)/(IF(VLOOKUP($A293,EnrollData2324,'2324 Jun 24 Enroll'!M$1,FALSE)='District Calculations'!$D$25,VLOOKUP($A293,EnrollData2324,'2324 Jun 24 Enroll'!M$1,FALSE),'District Calculations'!$D$25)+IF(VLOOKUP($A293,EnrollData2324,'2324 Jun 24 Enroll'!D$1,FALSE)='District Calculations'!$D$11,VLOOKUP($A293,EnrollData2324,'2324 Jun 24 Enroll'!D$1,FALSE),'District Calculations'!$D$11)),5)</f>
        <v>5.5530000000000003E-2</v>
      </c>
      <c r="K293" s="11">
        <f t="shared" si="27"/>
        <v>4.3699999999999998E-3</v>
      </c>
      <c r="L293">
        <f>ROUND(IF(VLOOKUP($A293,EnrollData2324,'2324 Jun 24 Enroll'!D$1,FALSE)='District Calculations'!$D$11,VLOOKUP($A293,EnrollData2324,'2324 Jun 24 Enroll'!D$1,FALSE),'District Calculations'!$D$11)*K293,3)</f>
        <v>0</v>
      </c>
      <c r="M293">
        <f>ROUND(IF(VLOOKUP($A293,EnrollData2324,'2324 Jun 24 Enroll'!E$1,FALSE)='District Calculations'!$D$12,VLOOKUP($A293,EnrollData2324,'2324 Jun 24 Enroll'!E$1,FALSE),'District Calculations'!$D$12)*K293,3)</f>
        <v>3.5419999999999998</v>
      </c>
      <c r="N293">
        <f>ROUND(IF(VLOOKUP($A293,EnrollData2324,'2324 Jun 24 Enroll'!F$1,FALSE)='District Calculations'!$D$13,VLOOKUP($A293,EnrollData2324,'2324 Jun 24 Enroll'!F$1,FALSE),'District Calculations'!$D$13)*Apport_223A2324s,3)</f>
        <v>0.84299999999999997</v>
      </c>
      <c r="O293">
        <f>ROUND(IF(VLOOKUP($A293,EnrollData2324,'2324 Jun 24 Enroll'!G$1,FALSE)='District Calculations'!$D$14,VLOOKUP($A293,EnrollData2324,'2324 Jun 24 Enroll'!G$1,FALSE),'District Calculations'!$D$14)*Apport_211A2324s,3)</f>
        <v>1.87</v>
      </c>
      <c r="P293">
        <f>ROUND(IF(VLOOKUP($A293,EnrollData2324,'2324 Jun 24 Enroll'!H$1,FALSE)='District Calculations'!$D$14,VLOOKUP($A293,EnrollData2324,'2324 Jun 24 Enroll'!H$1,FALSE),'District Calculations'!$D$14)*Apport_214A2324s,3)</f>
        <v>1.8680000000000001</v>
      </c>
      <c r="Q293">
        <f>ROUND(IF(VLOOKUP($A293,EnrollData2324,'2324 Jun 24 Enroll'!I$1,FALSE)+VLOOKUP($A293,EnrollData2324,'2324 Jun 24 Enroll'!M$1,FALSE)-VLOOKUP($A293,EnrollData2324,'2324 Jun 24 Enroll'!J$1,FALSE)='District Calculations'!$D$16+'District Calculations'!$D$25-'District Calculations'!$D$17,VLOOKUP($A293,EnrollData2324,'2324 Jun 24 Enroll'!I$1,FALSE)+VLOOKUP($A293,EnrollData2324,'2324 Jun 24 Enroll'!M$1,FALSE)-VLOOKUP($A293,EnrollData2324,'2324 Jun 24 Enroll'!J$1,FALSE),'District Calculations'!$D$16+'District Calculations'!$D$25-'District Calculations'!$D$17)*Apport_217A2324s,3)</f>
        <v>4.702</v>
      </c>
      <c r="R293">
        <f>ROUND(SUM(L293:Q293)/IF(VLOOKUP($A293,EnrollData2324,'2324 Jun 24 Enroll'!M$1,FALSE)+VLOOKUP($A293,EnrollData2324,'2324 Jun 24 Enroll'!D$1,FALSE)='District Calculations'!$D$25+'District Calculations'!$D$11,VLOOKUP($A293,EnrollData2324,'2324 Jun 24 Enroll'!M$1,FALSE)+VLOOKUP($A293,EnrollData2324,'2324 Jun 24 Enroll'!D$1,FALSE),'District Calculations'!$D$25+'District Calculations'!$D$11),5)</f>
        <v>4.1099999999999999E-3</v>
      </c>
      <c r="S293" s="11">
        <f t="shared" si="28"/>
        <v>1.8689600000000001E-2</v>
      </c>
      <c r="T293">
        <f>ROUND(IF(VLOOKUP($A293,EnrollData2324,'2324 Jun 24 Enroll'!D$1,FALSE)='District Calculations'!$D$11,VLOOKUP($A293,EnrollData2324,'2324 Jun 24 Enroll'!D$1,FALSE),'District Calculations'!$D$11)*S293,3)</f>
        <v>0</v>
      </c>
      <c r="U293">
        <f>ROUND(IF(VLOOKUP($A293,EnrollData2324,'2324 Jun 24 Enroll'!E$1,FALSE)='District Calculations'!$D$12,VLOOKUP($A293,EnrollData2324,'2324 Jun 24 Enroll'!E$1,FALSE),'District Calculations'!$D$12)*S293,3)</f>
        <v>15.148</v>
      </c>
      <c r="V293">
        <f>ROUND(IF(VLOOKUP($A293,EnrollData2324,'2324 Jun 24 Enroll'!F$1,FALSE)='District Calculations'!$D$13,VLOOKUP($A293,EnrollData2324,'2324 Jun 24 Enroll'!F$1,FALSE),'District Calculations'!$D$13)*Apport_224A2324s,3)</f>
        <v>3.7029999999999998</v>
      </c>
      <c r="W293">
        <f>ROUND(IF(VLOOKUP($A293,EnrollData2324,'2324 Jun 24 Enroll'!G$1,FALSE)='District Calculations'!$D$14,VLOOKUP($A293,EnrollData2324,'2324 Jun 24 Enroll'!G$1,FALSE),'District Calculations'!$D$14)*Apport_212A2324s,3)</f>
        <v>8.2089999999999996</v>
      </c>
      <c r="X293">
        <f>ROUND(IF(VLOOKUP($A293,EnrollData2324,'2324 Jun 24 Enroll'!H$1,FALSE)='District Calculations'!$D$14,VLOOKUP($A293,EnrollData2324,'2324 Jun 24 Enroll'!H$1,FALSE),'District Calculations'!$D$14)*Apport_215A2324s,3)</f>
        <v>8.0969999999999995</v>
      </c>
      <c r="Y293">
        <f>ROUND(IF(VLOOKUP($A293,EnrollData2324,'2324 Jun 24 Enroll'!I$1,FALSE)+VLOOKUP($A293,EnrollData2324,'2324 Jun 24 Enroll'!M$1,FALSE)-VLOOKUP($A293,EnrollData2324,'2324 Jun 24 Enroll'!J$1,FALSE)='District Calculations'!$D$16+'District Calculations'!$D$25-'District Calculations'!$D$17,VLOOKUP($A293,EnrollData2324,'2324 Jun 24 Enroll'!I$1,FALSE)+VLOOKUP($A293,EnrollData2324,'2324 Jun 24 Enroll'!M$1,FALSE)-VLOOKUP($A293,EnrollData2324,'2324 Jun 24 Enroll'!J$1,FALSE),'District Calculations'!$D$16+'District Calculations'!$D$25-'District Calculations'!$D$17)*Apport_218A2324s,3)</f>
        <v>20.224</v>
      </c>
      <c r="Z293">
        <f>ROUND(SUM(T293:Y293)/IF(VLOOKUP($A293,EnrollData2324,'2324 Jun 24 Enroll'!M$1,FALSE)+VLOOKUP($A293,EnrollData2324,'2324 Jun 24 Enroll'!D$1,FALSE)='District Calculations'!$D$25+'District Calculations'!$D$11,VLOOKUP($A293,EnrollData2324,'2324 Jun 24 Enroll'!M$1,FALSE)+VLOOKUP($A293,EnrollData2324,'2324 Jun 24 Enroll'!D$1,FALSE),'District Calculations'!$D$25+'District Calculations'!$D$11),5)</f>
        <v>1.7749999999999998E-2</v>
      </c>
      <c r="AA293" s="6" cm="1">
        <f t="array" ref="AA293">ROUND($J293*CIS_Base_Salary2324s*VLOOKUP($A293,EnrollData2324,'2324 Jun 24 Enroll'!S$1,FALSE),2)</f>
        <v>4402.0600000000004</v>
      </c>
      <c r="AB293" s="6" cm="1">
        <f t="array" ref="AB293">ROUND($J293*CIS_Inc_Salary2324s*(VLOOKUP($A293,EnrollData2324,'2324 Jun 24 Enroll'!T$1,FALSE)+VLOOKUP($A293,EnrollData2324,'2324 Jun 24 Enroll'!U$1,FALSE)),2)-AA293</f>
        <v>162.8799999999992</v>
      </c>
      <c r="AC293" s="6" cm="1">
        <f t="array" ref="AC293">ROUND($R293*CAS_Base_Salary2324s*VLOOKUP($A293,EnrollData2324,'2324 Jun 24 Enroll'!S$1,FALSE),2)</f>
        <v>483.63</v>
      </c>
      <c r="AD293" s="6" cm="1">
        <f t="array" ref="AD293">ROUND($R293*CAS_Inc_Salary2324s*VLOOKUP($A293,EnrollData2324,'2324 Jun 24 Enroll'!T$1,FALSE),2)-AC293</f>
        <v>17.889999999999986</v>
      </c>
      <c r="AE293" s="6" cm="1">
        <f t="array" ref="AE293">ROUND($Z293*CLS_Base_Salary2324s*VLOOKUP($A293,EnrollData2324,'2324 Jun 24 Enroll'!S$1,FALSE),2)</f>
        <v>1009.42</v>
      </c>
      <c r="AF293" s="6" cm="1">
        <f t="array" ref="AF293">ROUND($Z293*CLS_Inc_Salary2324s*VLOOKUP($A293,EnrollData2324,'2324 Jun 24 Enroll'!T$1,FALSE),2)-AE293</f>
        <v>37.340000000000032</v>
      </c>
      <c r="AG293" cm="1">
        <f t="array" ref="AG293">ROUND(($J293+$R293)*Apport_124X2324s,2)</f>
        <v>734.29</v>
      </c>
      <c r="AH293" s="69">
        <f t="shared" si="29"/>
        <v>68.700000000000045</v>
      </c>
      <c r="AI293" cm="1">
        <f t="array" ref="AI293">ROUND($Z293*Apport_124X2324s,2)</f>
        <v>218.54</v>
      </c>
      <c r="AJ293" cm="1">
        <f t="array" ref="AJ293">ROUND($Z293*Apport_621X2324s*Apport_125X2324s,2)-AI293</f>
        <v>116.51000000000002</v>
      </c>
      <c r="AK293" cm="1">
        <f t="array" ref="AK293">ROUND((AA293+AC293)*Apport_126X2324s,2)</f>
        <v>877.96</v>
      </c>
      <c r="AL293" cm="1">
        <f t="array" ref="AL293">ROUND((AB293+AD293)*Apport_127X2324s,2)</f>
        <v>31.33</v>
      </c>
      <c r="AM293" cm="1">
        <f t="array" ref="AM293">ROUND(AE293*Apport_128X2324s,2)</f>
        <v>222.68</v>
      </c>
      <c r="AN293" cm="1">
        <f t="array" ref="AN293">ROUND(AF293*Apport_129X2324s,2)</f>
        <v>6.93</v>
      </c>
      <c r="AO293" cm="1">
        <f t="array" ref="AO293">ROUND(($J293*CIS_Inc_Salary2324s*(VLOOKUP($A293,EnrollData2324,'2324 Jun 24 Enroll'!T$1,FALSE)+VLOOKUP($A293,EnrollData2324,'2324 Jun 24 Enroll'!U$1,FALSE))/Apport_613Xpd)*Apport_614Xpd,2)</f>
        <v>76.08</v>
      </c>
      <c r="AP293" cm="1">
        <f t="array" ref="AP293">ROUND(AO293*Apport_127X2324s,2)</f>
        <v>13.18</v>
      </c>
      <c r="AQ293">
        <f t="shared" si="30"/>
        <v>30.93</v>
      </c>
      <c r="AR293" s="6" cm="1">
        <f t="array" ref="AR293">ROUND((VLOOKUP($A293,EnrollData2324,'2324 Jun 24 Enroll'!D$1,FALSE)*Apport_M802324s+VLOOKUP($A293,EnrollData2324,'2324 Jun 24 Enroll'!M$1,FALSE)*Apport_M802324s+(VLOOKUP($A293,EnrollData2324,'2324 Jun 24 Enroll'!P$1,FALSE)+VLOOKUP($A293,EnrollData2324,'2324 Jun 24 Enroll'!Q$1,FALSE)+VLOOKUP($A293,EnrollData2324,'2324 Jun 24 Enroll'!R$1,FALSE)+VLOOKUP($A293,EnrollData2324,'2324 Jun 24 Enroll'!I$1,FALSE)+VLOOKUP($A293,EnrollData2324,'2324 Jun 24 Enroll'!N$1,FALSE)+VLOOKUP($A293,EnrollData2324,'2324 Jun 24 Enroll'!O$1,FALSE)+VLOOKUP($A293,EnrollData2324,'2324 Jun 24 Enroll'!K$1,FALSE)+VLOOKUP($A293,EnrollData2324,'2324 Jun 24 Enroll'!L$1,FALSE))*Apport_M812324s)/(VLOOKUP($A293,EnrollData2324,'2324 Jun 24 Enroll'!M$1,FALSE)+VLOOKUP($A293,EnrollData2324,'2324 Jun 24 Enroll'!D$1,FALSE)),2)</f>
        <v>1567.88</v>
      </c>
      <c r="AS293" s="7">
        <f t="shared" si="31"/>
        <v>10078.23</v>
      </c>
    </row>
    <row r="294" spans="1:45">
      <c r="A294" s="40" t="s">
        <v>1020</v>
      </c>
      <c r="B294" s="40" t="s">
        <v>1021</v>
      </c>
      <c r="C294" s="11">
        <f>ROUND((IFERROR((1/IF(VLOOKUP($A294,EnrollData2324,28,FALSE)='District Calculations'!$D$10,VLOOKUP($A294,EnrollData2324,28,FALSE),'District Calculations'!$D$10))*(1+Apport_Z315),0))+Apport_201A2324s,6)</f>
        <v>7.3449E-2</v>
      </c>
      <c r="D294">
        <f>ROUND(IF(VLOOKUP($A294,EnrollData2324,'2324 Jun 24 Enroll'!D$1,FALSE)='District Calculations'!$D$11,VLOOKUP($A294,EnrollData2324,'2324 Jun 24 Enroll'!D$1,FALSE),'District Calculations'!$D$11)*C294,3)</f>
        <v>0</v>
      </c>
      <c r="E294">
        <f>ROUND(IF(VLOOKUP($A294,EnrollData2324,'2324 Jun 24 Enroll'!E$1,FALSE)='District Calculations'!$D$12,VLOOKUP($A294,EnrollData2324,'2324 Jun 24 Enroll'!E$1,FALSE),'District Calculations'!$D$12)*C294,3)</f>
        <v>59.53</v>
      </c>
      <c r="F294">
        <f>ROUND(IF(VLOOKUP($A294,EnrollData2324,'2324 Jun 24 Enroll'!F$1,FALSE)='District Calculations'!$D$13,VLOOKUP($A294,EnrollData2324,'2324 Jun 24 Enroll'!F$1,FALSE),'District Calculations'!$D$13)*Apport_222A2324s,3)</f>
        <v>10.101000000000001</v>
      </c>
      <c r="G294">
        <f>ROUND(IF(VLOOKUP($A294,EnrollData2324,'2324 Jun 24 Enroll'!G$1,FALSE)='District Calculations'!$D$14,VLOOKUP($A294,EnrollData2324,'2324 Jun 24 Enroll'!G$1,FALSE),'District Calculations'!$D$14)*Apport_210A2324s,3)</f>
        <v>22.395</v>
      </c>
      <c r="H294">
        <f>ROUND(IF(VLOOKUP($A294,EnrollData2324,'2324 Jun 24 Enroll'!H$1,FALSE)='District Calculations'!$D$15,VLOOKUP($A294,EnrollData2324,'2324 Jun 24 Enroll'!H$1,FALSE),'District Calculations'!$D$15)*Apport_213A2324s,3)</f>
        <v>23.091999999999999</v>
      </c>
      <c r="I294">
        <f>ROUND(IF(VLOOKUP($A294,EnrollData2324,'2324 Jun 24 Enroll'!I$1,FALSE)+VLOOKUP($A294,EnrollData2324,'2324 Jun 24 Enroll'!M$1,FALSE)-VLOOKUP($A294,EnrollData2324,'2324 Jun 24 Enroll'!J$1,FALSE)='District Calculations'!$D$16+'District Calculations'!$D$25-'District Calculations'!$D$17,VLOOKUP($A294,EnrollData2324,'2324 Jun 24 Enroll'!I$1,FALSE)+VLOOKUP($A294,EnrollData2324,'2324 Jun 24 Enroll'!M$1,FALSE)-VLOOKUP($A294,EnrollData2324,'2324 Jun 24 Enroll'!J$1,FALSE),'District Calculations'!$D$16+'District Calculations'!$D$25-'District Calculations'!$D$17)*Apport_216A2324s,3)</f>
        <v>58.183999999999997</v>
      </c>
      <c r="J294">
        <f>ROUND(SUM(D294:I294)/(IF(VLOOKUP($A294,EnrollData2324,'2324 Jun 24 Enroll'!M$1,FALSE)='District Calculations'!$D$25,VLOOKUP($A294,EnrollData2324,'2324 Jun 24 Enroll'!M$1,FALSE),'District Calculations'!$D$25)+IF(VLOOKUP($A294,EnrollData2324,'2324 Jun 24 Enroll'!D$1,FALSE)='District Calculations'!$D$11,VLOOKUP($A294,EnrollData2324,'2324 Jun 24 Enroll'!D$1,FALSE),'District Calculations'!$D$11)),5)</f>
        <v>5.5530000000000003E-2</v>
      </c>
      <c r="K294" s="11">
        <f t="shared" si="27"/>
        <v>4.3699999999999998E-3</v>
      </c>
      <c r="L294">
        <f>ROUND(IF(VLOOKUP($A294,EnrollData2324,'2324 Jun 24 Enroll'!D$1,FALSE)='District Calculations'!$D$11,VLOOKUP($A294,EnrollData2324,'2324 Jun 24 Enroll'!D$1,FALSE),'District Calculations'!$D$11)*K294,3)</f>
        <v>0</v>
      </c>
      <c r="M294">
        <f>ROUND(IF(VLOOKUP($A294,EnrollData2324,'2324 Jun 24 Enroll'!E$1,FALSE)='District Calculations'!$D$12,VLOOKUP($A294,EnrollData2324,'2324 Jun 24 Enroll'!E$1,FALSE),'District Calculations'!$D$12)*K294,3)</f>
        <v>3.5419999999999998</v>
      </c>
      <c r="N294">
        <f>ROUND(IF(VLOOKUP($A294,EnrollData2324,'2324 Jun 24 Enroll'!F$1,FALSE)='District Calculations'!$D$13,VLOOKUP($A294,EnrollData2324,'2324 Jun 24 Enroll'!F$1,FALSE),'District Calculations'!$D$13)*Apport_223A2324s,3)</f>
        <v>0.84299999999999997</v>
      </c>
      <c r="O294">
        <f>ROUND(IF(VLOOKUP($A294,EnrollData2324,'2324 Jun 24 Enroll'!G$1,FALSE)='District Calculations'!$D$14,VLOOKUP($A294,EnrollData2324,'2324 Jun 24 Enroll'!G$1,FALSE),'District Calculations'!$D$14)*Apport_211A2324s,3)</f>
        <v>1.87</v>
      </c>
      <c r="P294">
        <f>ROUND(IF(VLOOKUP($A294,EnrollData2324,'2324 Jun 24 Enroll'!H$1,FALSE)='District Calculations'!$D$14,VLOOKUP($A294,EnrollData2324,'2324 Jun 24 Enroll'!H$1,FALSE),'District Calculations'!$D$14)*Apport_214A2324s,3)</f>
        <v>1.8680000000000001</v>
      </c>
      <c r="Q294">
        <f>ROUND(IF(VLOOKUP($A294,EnrollData2324,'2324 Jun 24 Enroll'!I$1,FALSE)+VLOOKUP($A294,EnrollData2324,'2324 Jun 24 Enroll'!M$1,FALSE)-VLOOKUP($A294,EnrollData2324,'2324 Jun 24 Enroll'!J$1,FALSE)='District Calculations'!$D$16+'District Calculations'!$D$25-'District Calculations'!$D$17,VLOOKUP($A294,EnrollData2324,'2324 Jun 24 Enroll'!I$1,FALSE)+VLOOKUP($A294,EnrollData2324,'2324 Jun 24 Enroll'!M$1,FALSE)-VLOOKUP($A294,EnrollData2324,'2324 Jun 24 Enroll'!J$1,FALSE),'District Calculations'!$D$16+'District Calculations'!$D$25-'District Calculations'!$D$17)*Apport_217A2324s,3)</f>
        <v>4.702</v>
      </c>
      <c r="R294">
        <f>ROUND(SUM(L294:Q294)/IF(VLOOKUP($A294,EnrollData2324,'2324 Jun 24 Enroll'!M$1,FALSE)+VLOOKUP($A294,EnrollData2324,'2324 Jun 24 Enroll'!D$1,FALSE)='District Calculations'!$D$25+'District Calculations'!$D$11,VLOOKUP($A294,EnrollData2324,'2324 Jun 24 Enroll'!M$1,FALSE)+VLOOKUP($A294,EnrollData2324,'2324 Jun 24 Enroll'!D$1,FALSE),'District Calculations'!$D$25+'District Calculations'!$D$11),5)</f>
        <v>4.1099999999999999E-3</v>
      </c>
      <c r="S294" s="11">
        <f t="shared" si="28"/>
        <v>1.8689600000000001E-2</v>
      </c>
      <c r="T294">
        <f>ROUND(IF(VLOOKUP($A294,EnrollData2324,'2324 Jun 24 Enroll'!D$1,FALSE)='District Calculations'!$D$11,VLOOKUP($A294,EnrollData2324,'2324 Jun 24 Enroll'!D$1,FALSE),'District Calculations'!$D$11)*S294,3)</f>
        <v>0</v>
      </c>
      <c r="U294">
        <f>ROUND(IF(VLOOKUP($A294,EnrollData2324,'2324 Jun 24 Enroll'!E$1,FALSE)='District Calculations'!$D$12,VLOOKUP($A294,EnrollData2324,'2324 Jun 24 Enroll'!E$1,FALSE),'District Calculations'!$D$12)*S294,3)</f>
        <v>15.148</v>
      </c>
      <c r="V294">
        <f>ROUND(IF(VLOOKUP($A294,EnrollData2324,'2324 Jun 24 Enroll'!F$1,FALSE)='District Calculations'!$D$13,VLOOKUP($A294,EnrollData2324,'2324 Jun 24 Enroll'!F$1,FALSE),'District Calculations'!$D$13)*Apport_224A2324s,3)</f>
        <v>3.7029999999999998</v>
      </c>
      <c r="W294">
        <f>ROUND(IF(VLOOKUP($A294,EnrollData2324,'2324 Jun 24 Enroll'!G$1,FALSE)='District Calculations'!$D$14,VLOOKUP($A294,EnrollData2324,'2324 Jun 24 Enroll'!G$1,FALSE),'District Calculations'!$D$14)*Apport_212A2324s,3)</f>
        <v>8.2089999999999996</v>
      </c>
      <c r="X294">
        <f>ROUND(IF(VLOOKUP($A294,EnrollData2324,'2324 Jun 24 Enroll'!H$1,FALSE)='District Calculations'!$D$14,VLOOKUP($A294,EnrollData2324,'2324 Jun 24 Enroll'!H$1,FALSE),'District Calculations'!$D$14)*Apport_215A2324s,3)</f>
        <v>8.0969999999999995</v>
      </c>
      <c r="Y294">
        <f>ROUND(IF(VLOOKUP($A294,EnrollData2324,'2324 Jun 24 Enroll'!I$1,FALSE)+VLOOKUP($A294,EnrollData2324,'2324 Jun 24 Enroll'!M$1,FALSE)-VLOOKUP($A294,EnrollData2324,'2324 Jun 24 Enroll'!J$1,FALSE)='District Calculations'!$D$16+'District Calculations'!$D$25-'District Calculations'!$D$17,VLOOKUP($A294,EnrollData2324,'2324 Jun 24 Enroll'!I$1,FALSE)+VLOOKUP($A294,EnrollData2324,'2324 Jun 24 Enroll'!M$1,FALSE)-VLOOKUP($A294,EnrollData2324,'2324 Jun 24 Enroll'!J$1,FALSE),'District Calculations'!$D$16+'District Calculations'!$D$25-'District Calculations'!$D$17)*Apport_218A2324s,3)</f>
        <v>20.224</v>
      </c>
      <c r="Z294">
        <f>ROUND(SUM(T294:Y294)/IF(VLOOKUP($A294,EnrollData2324,'2324 Jun 24 Enroll'!M$1,FALSE)+VLOOKUP($A294,EnrollData2324,'2324 Jun 24 Enroll'!D$1,FALSE)='District Calculations'!$D$25+'District Calculations'!$D$11,VLOOKUP($A294,EnrollData2324,'2324 Jun 24 Enroll'!M$1,FALSE)+VLOOKUP($A294,EnrollData2324,'2324 Jun 24 Enroll'!D$1,FALSE),'District Calculations'!$D$25+'District Calculations'!$D$11),5)</f>
        <v>1.7749999999999998E-2</v>
      </c>
      <c r="AA294" s="6" cm="1">
        <f t="array" ref="AA294">ROUND($J294*CIS_Base_Salary2324s*VLOOKUP($A294,EnrollData2324,'2324 Jun 24 Enroll'!S$1,FALSE),2)</f>
        <v>4341.4799999999996</v>
      </c>
      <c r="AB294" s="6" cm="1">
        <f t="array" ref="AB294">ROUND($J294*CIS_Inc_Salary2324s*(VLOOKUP($A294,EnrollData2324,'2324 Jun 24 Enroll'!T$1,FALSE)+VLOOKUP($A294,EnrollData2324,'2324 Jun 24 Enroll'!U$1,FALSE)),2)-AA294</f>
        <v>160.64000000000033</v>
      </c>
      <c r="AC294" s="6" cm="1">
        <f t="array" ref="AC294">ROUND($R294*CAS_Base_Salary2324s*VLOOKUP($A294,EnrollData2324,'2324 Jun 24 Enroll'!S$1,FALSE),2)</f>
        <v>476.97</v>
      </c>
      <c r="AD294" s="6" cm="1">
        <f t="array" ref="AD294">ROUND($R294*CAS_Inc_Salary2324s*VLOOKUP($A294,EnrollData2324,'2324 Jun 24 Enroll'!T$1,FALSE),2)-AC294</f>
        <v>17.649999999999977</v>
      </c>
      <c r="AE294" s="6" cm="1">
        <f t="array" ref="AE294">ROUND($Z294*CLS_Base_Salary2324s*VLOOKUP($A294,EnrollData2324,'2324 Jun 24 Enroll'!S$1,FALSE),2)</f>
        <v>995.53</v>
      </c>
      <c r="AF294" s="6" cm="1">
        <f t="array" ref="AF294">ROUND($Z294*CLS_Inc_Salary2324s*VLOOKUP($A294,EnrollData2324,'2324 Jun 24 Enroll'!T$1,FALSE),2)-AE294</f>
        <v>36.819999999999936</v>
      </c>
      <c r="AG294" cm="1">
        <f t="array" ref="AG294">ROUND(($J294+$R294)*Apport_124X2324s,2)</f>
        <v>734.29</v>
      </c>
      <c r="AH294" s="69">
        <f t="shared" si="29"/>
        <v>68.700000000000045</v>
      </c>
      <c r="AI294" cm="1">
        <f t="array" ref="AI294">ROUND($Z294*Apport_124X2324s,2)</f>
        <v>218.54</v>
      </c>
      <c r="AJ294" cm="1">
        <f t="array" ref="AJ294">ROUND($Z294*Apport_621X2324s*Apport_125X2324s,2)-AI294</f>
        <v>116.51000000000002</v>
      </c>
      <c r="AK294" cm="1">
        <f t="array" ref="AK294">ROUND((AA294+AC294)*Apport_126X2324s,2)</f>
        <v>865.88</v>
      </c>
      <c r="AL294" cm="1">
        <f t="array" ref="AL294">ROUND((AB294+AD294)*Apport_127X2324s,2)</f>
        <v>30.9</v>
      </c>
      <c r="AM294" cm="1">
        <f t="array" ref="AM294">ROUND(AE294*Apport_128X2324s,2)</f>
        <v>219.61</v>
      </c>
      <c r="AN294" cm="1">
        <f t="array" ref="AN294">ROUND(AF294*Apport_129X2324s,2)</f>
        <v>6.83</v>
      </c>
      <c r="AO294" cm="1">
        <f t="array" ref="AO294">ROUND(($J294*CIS_Inc_Salary2324s*(VLOOKUP($A294,EnrollData2324,'2324 Jun 24 Enroll'!T$1,FALSE)+VLOOKUP($A294,EnrollData2324,'2324 Jun 24 Enroll'!U$1,FALSE))/Apport_613Xpd)*Apport_614Xpd,2)</f>
        <v>75.040000000000006</v>
      </c>
      <c r="AP294" cm="1">
        <f t="array" ref="AP294">ROUND(AO294*Apport_127X2324s,2)</f>
        <v>13</v>
      </c>
      <c r="AQ294">
        <f t="shared" si="30"/>
        <v>30.93</v>
      </c>
      <c r="AR294" s="6" cm="1">
        <f t="array" ref="AR294">ROUND((VLOOKUP($A294,EnrollData2324,'2324 Jun 24 Enroll'!D$1,FALSE)*Apport_M802324s+VLOOKUP($A294,EnrollData2324,'2324 Jun 24 Enroll'!M$1,FALSE)*Apport_M802324s+(VLOOKUP($A294,EnrollData2324,'2324 Jun 24 Enroll'!P$1,FALSE)+VLOOKUP($A294,EnrollData2324,'2324 Jun 24 Enroll'!Q$1,FALSE)+VLOOKUP($A294,EnrollData2324,'2324 Jun 24 Enroll'!R$1,FALSE)+VLOOKUP($A294,EnrollData2324,'2324 Jun 24 Enroll'!I$1,FALSE)+VLOOKUP($A294,EnrollData2324,'2324 Jun 24 Enroll'!N$1,FALSE)+VLOOKUP($A294,EnrollData2324,'2324 Jun 24 Enroll'!O$1,FALSE)+VLOOKUP($A294,EnrollData2324,'2324 Jun 24 Enroll'!K$1,FALSE)+VLOOKUP($A294,EnrollData2324,'2324 Jun 24 Enroll'!L$1,FALSE))*Apport_M812324s)/(VLOOKUP($A294,EnrollData2324,'2324 Jun 24 Enroll'!M$1,FALSE)+VLOOKUP($A294,EnrollData2324,'2324 Jun 24 Enroll'!D$1,FALSE)),2)</f>
        <v>1704.67</v>
      </c>
      <c r="AS294" s="7">
        <f t="shared" si="31"/>
        <v>10113.99</v>
      </c>
    </row>
    <row r="295" spans="1:45">
      <c r="A295" s="40" t="s">
        <v>897</v>
      </c>
      <c r="B295" s="40" t="s">
        <v>898</v>
      </c>
      <c r="C295" s="11">
        <f>ROUND((IFERROR((1/IF(VLOOKUP($A295,EnrollData2324,28,FALSE)='District Calculations'!$D$10,VLOOKUP($A295,EnrollData2324,28,FALSE),'District Calculations'!$D$10))*(1+Apport_Z315),0))+Apport_201A2324s,6)</f>
        <v>7.3449E-2</v>
      </c>
      <c r="D295">
        <f>ROUND(IF(VLOOKUP($A295,EnrollData2324,'2324 Jun 24 Enroll'!D$1,FALSE)='District Calculations'!$D$11,VLOOKUP($A295,EnrollData2324,'2324 Jun 24 Enroll'!D$1,FALSE),'District Calculations'!$D$11)*C295,3)</f>
        <v>0</v>
      </c>
      <c r="E295">
        <f>ROUND(IF(VLOOKUP($A295,EnrollData2324,'2324 Jun 24 Enroll'!E$1,FALSE)='District Calculations'!$D$12,VLOOKUP($A295,EnrollData2324,'2324 Jun 24 Enroll'!E$1,FALSE),'District Calculations'!$D$12)*C295,3)</f>
        <v>59.53</v>
      </c>
      <c r="F295">
        <f>ROUND(IF(VLOOKUP($A295,EnrollData2324,'2324 Jun 24 Enroll'!F$1,FALSE)='District Calculations'!$D$13,VLOOKUP($A295,EnrollData2324,'2324 Jun 24 Enroll'!F$1,FALSE),'District Calculations'!$D$13)*Apport_222A2324s,3)</f>
        <v>10.101000000000001</v>
      </c>
      <c r="G295">
        <f>ROUND(IF(VLOOKUP($A295,EnrollData2324,'2324 Jun 24 Enroll'!G$1,FALSE)='District Calculations'!$D$14,VLOOKUP($A295,EnrollData2324,'2324 Jun 24 Enroll'!G$1,FALSE),'District Calculations'!$D$14)*Apport_210A2324s,3)</f>
        <v>22.395</v>
      </c>
      <c r="H295">
        <f>ROUND(IF(VLOOKUP($A295,EnrollData2324,'2324 Jun 24 Enroll'!H$1,FALSE)='District Calculations'!$D$15,VLOOKUP($A295,EnrollData2324,'2324 Jun 24 Enroll'!H$1,FALSE),'District Calculations'!$D$15)*Apport_213A2324s,3)</f>
        <v>23.091999999999999</v>
      </c>
      <c r="I295">
        <f>ROUND(IF(VLOOKUP($A295,EnrollData2324,'2324 Jun 24 Enroll'!I$1,FALSE)+VLOOKUP($A295,EnrollData2324,'2324 Jun 24 Enroll'!M$1,FALSE)-VLOOKUP($A295,EnrollData2324,'2324 Jun 24 Enroll'!J$1,FALSE)='District Calculations'!$D$16+'District Calculations'!$D$25-'District Calculations'!$D$17,VLOOKUP($A295,EnrollData2324,'2324 Jun 24 Enroll'!I$1,FALSE)+VLOOKUP($A295,EnrollData2324,'2324 Jun 24 Enroll'!M$1,FALSE)-VLOOKUP($A295,EnrollData2324,'2324 Jun 24 Enroll'!J$1,FALSE),'District Calculations'!$D$16+'District Calculations'!$D$25-'District Calculations'!$D$17)*Apport_216A2324s,3)</f>
        <v>58.183999999999997</v>
      </c>
      <c r="J295">
        <f>ROUND(SUM(D295:I295)/(IF(VLOOKUP($A295,EnrollData2324,'2324 Jun 24 Enroll'!M$1,FALSE)='District Calculations'!$D$25,VLOOKUP($A295,EnrollData2324,'2324 Jun 24 Enroll'!M$1,FALSE),'District Calculations'!$D$25)+IF(VLOOKUP($A295,EnrollData2324,'2324 Jun 24 Enroll'!D$1,FALSE)='District Calculations'!$D$11,VLOOKUP($A295,EnrollData2324,'2324 Jun 24 Enroll'!D$1,FALSE),'District Calculations'!$D$11)),5)</f>
        <v>5.5530000000000003E-2</v>
      </c>
      <c r="K295" s="11">
        <f t="shared" si="27"/>
        <v>4.3699999999999998E-3</v>
      </c>
      <c r="L295">
        <f>ROUND(IF(VLOOKUP($A295,EnrollData2324,'2324 Jun 24 Enroll'!D$1,FALSE)='District Calculations'!$D$11,VLOOKUP($A295,EnrollData2324,'2324 Jun 24 Enroll'!D$1,FALSE),'District Calculations'!$D$11)*K295,3)</f>
        <v>0</v>
      </c>
      <c r="M295">
        <f>ROUND(IF(VLOOKUP($A295,EnrollData2324,'2324 Jun 24 Enroll'!E$1,FALSE)='District Calculations'!$D$12,VLOOKUP($A295,EnrollData2324,'2324 Jun 24 Enroll'!E$1,FALSE),'District Calculations'!$D$12)*K295,3)</f>
        <v>3.5419999999999998</v>
      </c>
      <c r="N295">
        <f>ROUND(IF(VLOOKUP($A295,EnrollData2324,'2324 Jun 24 Enroll'!F$1,FALSE)='District Calculations'!$D$13,VLOOKUP($A295,EnrollData2324,'2324 Jun 24 Enroll'!F$1,FALSE),'District Calculations'!$D$13)*Apport_223A2324s,3)</f>
        <v>0.84299999999999997</v>
      </c>
      <c r="O295">
        <f>ROUND(IF(VLOOKUP($A295,EnrollData2324,'2324 Jun 24 Enroll'!G$1,FALSE)='District Calculations'!$D$14,VLOOKUP($A295,EnrollData2324,'2324 Jun 24 Enroll'!G$1,FALSE),'District Calculations'!$D$14)*Apport_211A2324s,3)</f>
        <v>1.87</v>
      </c>
      <c r="P295">
        <f>ROUND(IF(VLOOKUP($A295,EnrollData2324,'2324 Jun 24 Enroll'!H$1,FALSE)='District Calculations'!$D$14,VLOOKUP($A295,EnrollData2324,'2324 Jun 24 Enroll'!H$1,FALSE),'District Calculations'!$D$14)*Apport_214A2324s,3)</f>
        <v>1.8680000000000001</v>
      </c>
      <c r="Q295">
        <f>ROUND(IF(VLOOKUP($A295,EnrollData2324,'2324 Jun 24 Enroll'!I$1,FALSE)+VLOOKUP($A295,EnrollData2324,'2324 Jun 24 Enroll'!M$1,FALSE)-VLOOKUP($A295,EnrollData2324,'2324 Jun 24 Enroll'!J$1,FALSE)='District Calculations'!$D$16+'District Calculations'!$D$25-'District Calculations'!$D$17,VLOOKUP($A295,EnrollData2324,'2324 Jun 24 Enroll'!I$1,FALSE)+VLOOKUP($A295,EnrollData2324,'2324 Jun 24 Enroll'!M$1,FALSE)-VLOOKUP($A295,EnrollData2324,'2324 Jun 24 Enroll'!J$1,FALSE),'District Calculations'!$D$16+'District Calculations'!$D$25-'District Calculations'!$D$17)*Apport_217A2324s,3)</f>
        <v>4.702</v>
      </c>
      <c r="R295">
        <f>ROUND(SUM(L295:Q295)/IF(VLOOKUP($A295,EnrollData2324,'2324 Jun 24 Enroll'!M$1,FALSE)+VLOOKUP($A295,EnrollData2324,'2324 Jun 24 Enroll'!D$1,FALSE)='District Calculations'!$D$25+'District Calculations'!$D$11,VLOOKUP($A295,EnrollData2324,'2324 Jun 24 Enroll'!M$1,FALSE)+VLOOKUP($A295,EnrollData2324,'2324 Jun 24 Enroll'!D$1,FALSE),'District Calculations'!$D$25+'District Calculations'!$D$11),5)</f>
        <v>4.1099999999999999E-3</v>
      </c>
      <c r="S295" s="11">
        <f t="shared" si="28"/>
        <v>1.8689600000000001E-2</v>
      </c>
      <c r="T295">
        <f>ROUND(IF(VLOOKUP($A295,EnrollData2324,'2324 Jun 24 Enroll'!D$1,FALSE)='District Calculations'!$D$11,VLOOKUP($A295,EnrollData2324,'2324 Jun 24 Enroll'!D$1,FALSE),'District Calculations'!$D$11)*S295,3)</f>
        <v>0</v>
      </c>
      <c r="U295">
        <f>ROUND(IF(VLOOKUP($A295,EnrollData2324,'2324 Jun 24 Enroll'!E$1,FALSE)='District Calculations'!$D$12,VLOOKUP($A295,EnrollData2324,'2324 Jun 24 Enroll'!E$1,FALSE),'District Calculations'!$D$12)*S295,3)</f>
        <v>15.148</v>
      </c>
      <c r="V295">
        <f>ROUND(IF(VLOOKUP($A295,EnrollData2324,'2324 Jun 24 Enroll'!F$1,FALSE)='District Calculations'!$D$13,VLOOKUP($A295,EnrollData2324,'2324 Jun 24 Enroll'!F$1,FALSE),'District Calculations'!$D$13)*Apport_224A2324s,3)</f>
        <v>3.7029999999999998</v>
      </c>
      <c r="W295">
        <f>ROUND(IF(VLOOKUP($A295,EnrollData2324,'2324 Jun 24 Enroll'!G$1,FALSE)='District Calculations'!$D$14,VLOOKUP($A295,EnrollData2324,'2324 Jun 24 Enroll'!G$1,FALSE),'District Calculations'!$D$14)*Apport_212A2324s,3)</f>
        <v>8.2089999999999996</v>
      </c>
      <c r="X295">
        <f>ROUND(IF(VLOOKUP($A295,EnrollData2324,'2324 Jun 24 Enroll'!H$1,FALSE)='District Calculations'!$D$14,VLOOKUP($A295,EnrollData2324,'2324 Jun 24 Enroll'!H$1,FALSE),'District Calculations'!$D$14)*Apport_215A2324s,3)</f>
        <v>8.0969999999999995</v>
      </c>
      <c r="Y295">
        <f>ROUND(IF(VLOOKUP($A295,EnrollData2324,'2324 Jun 24 Enroll'!I$1,FALSE)+VLOOKUP($A295,EnrollData2324,'2324 Jun 24 Enroll'!M$1,FALSE)-VLOOKUP($A295,EnrollData2324,'2324 Jun 24 Enroll'!J$1,FALSE)='District Calculations'!$D$16+'District Calculations'!$D$25-'District Calculations'!$D$17,VLOOKUP($A295,EnrollData2324,'2324 Jun 24 Enroll'!I$1,FALSE)+VLOOKUP($A295,EnrollData2324,'2324 Jun 24 Enroll'!M$1,FALSE)-VLOOKUP($A295,EnrollData2324,'2324 Jun 24 Enroll'!J$1,FALSE),'District Calculations'!$D$16+'District Calculations'!$D$25-'District Calculations'!$D$17)*Apport_218A2324s,3)</f>
        <v>20.224</v>
      </c>
      <c r="Z295">
        <f>ROUND(SUM(T295:Y295)/IF(VLOOKUP($A295,EnrollData2324,'2324 Jun 24 Enroll'!M$1,FALSE)+VLOOKUP($A295,EnrollData2324,'2324 Jun 24 Enroll'!D$1,FALSE)='District Calculations'!$D$25+'District Calculations'!$D$11,VLOOKUP($A295,EnrollData2324,'2324 Jun 24 Enroll'!M$1,FALSE)+VLOOKUP($A295,EnrollData2324,'2324 Jun 24 Enroll'!D$1,FALSE),'District Calculations'!$D$25+'District Calculations'!$D$11),5)</f>
        <v>1.7749999999999998E-2</v>
      </c>
      <c r="AA295" s="6" cm="1">
        <f t="array" ref="AA295">ROUND($J295*CIS_Base_Salary2324s*VLOOKUP($A295,EnrollData2324,'2324 Jun 24 Enroll'!S$1,FALSE),2)</f>
        <v>4341.4799999999996</v>
      </c>
      <c r="AB295" s="6" cm="1">
        <f t="array" ref="AB295">ROUND($J295*CIS_Inc_Salary2324s*(VLOOKUP($A295,EnrollData2324,'2324 Jun 24 Enroll'!T$1,FALSE)+VLOOKUP($A295,EnrollData2324,'2324 Jun 24 Enroll'!U$1,FALSE)),2)-AA295</f>
        <v>160.64000000000033</v>
      </c>
      <c r="AC295" s="6" cm="1">
        <f t="array" ref="AC295">ROUND($R295*CAS_Base_Salary2324s*VLOOKUP($A295,EnrollData2324,'2324 Jun 24 Enroll'!S$1,FALSE),2)</f>
        <v>476.97</v>
      </c>
      <c r="AD295" s="6" cm="1">
        <f t="array" ref="AD295">ROUND($R295*CAS_Inc_Salary2324s*VLOOKUP($A295,EnrollData2324,'2324 Jun 24 Enroll'!T$1,FALSE),2)-AC295</f>
        <v>17.649999999999977</v>
      </c>
      <c r="AE295" s="6" cm="1">
        <f t="array" ref="AE295">ROUND($Z295*CLS_Base_Salary2324s*VLOOKUP($A295,EnrollData2324,'2324 Jun 24 Enroll'!S$1,FALSE),2)</f>
        <v>995.53</v>
      </c>
      <c r="AF295" s="6" cm="1">
        <f t="array" ref="AF295">ROUND($Z295*CLS_Inc_Salary2324s*VLOOKUP($A295,EnrollData2324,'2324 Jun 24 Enroll'!T$1,FALSE),2)-AE295</f>
        <v>36.819999999999936</v>
      </c>
      <c r="AG295" cm="1">
        <f t="array" ref="AG295">ROUND(($J295+$R295)*Apport_124X2324s,2)</f>
        <v>734.29</v>
      </c>
      <c r="AH295" s="69">
        <f t="shared" si="29"/>
        <v>68.700000000000045</v>
      </c>
      <c r="AI295" cm="1">
        <f t="array" ref="AI295">ROUND($Z295*Apport_124X2324s,2)</f>
        <v>218.54</v>
      </c>
      <c r="AJ295" cm="1">
        <f t="array" ref="AJ295">ROUND($Z295*Apport_621X2324s*Apport_125X2324s,2)-AI295</f>
        <v>116.51000000000002</v>
      </c>
      <c r="AK295" cm="1">
        <f t="array" ref="AK295">ROUND((AA295+AC295)*Apport_126X2324s,2)</f>
        <v>865.88</v>
      </c>
      <c r="AL295" cm="1">
        <f t="array" ref="AL295">ROUND((AB295+AD295)*Apport_127X2324s,2)</f>
        <v>30.9</v>
      </c>
      <c r="AM295" cm="1">
        <f t="array" ref="AM295">ROUND(AE295*Apport_128X2324s,2)</f>
        <v>219.61</v>
      </c>
      <c r="AN295" cm="1">
        <f t="array" ref="AN295">ROUND(AF295*Apport_129X2324s,2)</f>
        <v>6.83</v>
      </c>
      <c r="AO295" cm="1">
        <f t="array" ref="AO295">ROUND(($J295*CIS_Inc_Salary2324s*(VLOOKUP($A295,EnrollData2324,'2324 Jun 24 Enroll'!T$1,FALSE)+VLOOKUP($A295,EnrollData2324,'2324 Jun 24 Enroll'!U$1,FALSE))/Apport_613Xpd)*Apport_614Xpd,2)</f>
        <v>75.040000000000006</v>
      </c>
      <c r="AP295" cm="1">
        <f t="array" ref="AP295">ROUND(AO295*Apport_127X2324s,2)</f>
        <v>13</v>
      </c>
      <c r="AQ295">
        <f t="shared" si="30"/>
        <v>30.93</v>
      </c>
      <c r="AR295" s="6" cm="1">
        <f t="array" ref="AR295">ROUND((VLOOKUP($A295,EnrollData2324,'2324 Jun 24 Enroll'!D$1,FALSE)*Apport_M802324s+VLOOKUP($A295,EnrollData2324,'2324 Jun 24 Enroll'!M$1,FALSE)*Apport_M802324s+(VLOOKUP($A295,EnrollData2324,'2324 Jun 24 Enroll'!P$1,FALSE)+VLOOKUP($A295,EnrollData2324,'2324 Jun 24 Enroll'!Q$1,FALSE)+VLOOKUP($A295,EnrollData2324,'2324 Jun 24 Enroll'!R$1,FALSE)+VLOOKUP($A295,EnrollData2324,'2324 Jun 24 Enroll'!I$1,FALSE)+VLOOKUP($A295,EnrollData2324,'2324 Jun 24 Enroll'!N$1,FALSE)+VLOOKUP($A295,EnrollData2324,'2324 Jun 24 Enroll'!O$1,FALSE)+VLOOKUP($A295,EnrollData2324,'2324 Jun 24 Enroll'!K$1,FALSE)+VLOOKUP($A295,EnrollData2324,'2324 Jun 24 Enroll'!L$1,FALSE))*Apport_M812324s)/(VLOOKUP($A295,EnrollData2324,'2324 Jun 24 Enroll'!M$1,FALSE)+VLOOKUP($A295,EnrollData2324,'2324 Jun 24 Enroll'!D$1,FALSE)),2)</f>
        <v>1564.36</v>
      </c>
      <c r="AS295" s="7">
        <f t="shared" si="31"/>
        <v>9973.68</v>
      </c>
    </row>
    <row r="296" spans="1:45">
      <c r="A296" s="40" t="s">
        <v>540</v>
      </c>
      <c r="B296" s="40" t="s">
        <v>541</v>
      </c>
      <c r="C296" s="11">
        <f>ROUND((IFERROR((1/IF(VLOOKUP($A296,EnrollData2324,28,FALSE)='District Calculations'!$D$10,VLOOKUP($A296,EnrollData2324,28,FALSE),'District Calculations'!$D$10))*(1+Apport_Z315),0))+Apport_201A2324s,6)</f>
        <v>7.3449E-2</v>
      </c>
      <c r="D296">
        <f>ROUND(IF(VLOOKUP($A296,EnrollData2324,'2324 Jun 24 Enroll'!D$1,FALSE)='District Calculations'!$D$11,VLOOKUP($A296,EnrollData2324,'2324 Jun 24 Enroll'!D$1,FALSE),'District Calculations'!$D$11)*C296,3)</f>
        <v>0</v>
      </c>
      <c r="E296">
        <f>ROUND(IF(VLOOKUP($A296,EnrollData2324,'2324 Jun 24 Enroll'!E$1,FALSE)='District Calculations'!$D$12,VLOOKUP($A296,EnrollData2324,'2324 Jun 24 Enroll'!E$1,FALSE),'District Calculations'!$D$12)*C296,3)</f>
        <v>59.53</v>
      </c>
      <c r="F296">
        <f>ROUND(IF(VLOOKUP($A296,EnrollData2324,'2324 Jun 24 Enroll'!F$1,FALSE)='District Calculations'!$D$13,VLOOKUP($A296,EnrollData2324,'2324 Jun 24 Enroll'!F$1,FALSE),'District Calculations'!$D$13)*Apport_222A2324s,3)</f>
        <v>10.101000000000001</v>
      </c>
      <c r="G296">
        <f>ROUND(IF(VLOOKUP($A296,EnrollData2324,'2324 Jun 24 Enroll'!G$1,FALSE)='District Calculations'!$D$14,VLOOKUP($A296,EnrollData2324,'2324 Jun 24 Enroll'!G$1,FALSE),'District Calculations'!$D$14)*Apport_210A2324s,3)</f>
        <v>22.395</v>
      </c>
      <c r="H296">
        <f>ROUND(IF(VLOOKUP($A296,EnrollData2324,'2324 Jun 24 Enroll'!H$1,FALSE)='District Calculations'!$D$15,VLOOKUP($A296,EnrollData2324,'2324 Jun 24 Enroll'!H$1,FALSE),'District Calculations'!$D$15)*Apport_213A2324s,3)</f>
        <v>23.091999999999999</v>
      </c>
      <c r="I296">
        <f>ROUND(IF(VLOOKUP($A296,EnrollData2324,'2324 Jun 24 Enroll'!I$1,FALSE)+VLOOKUP($A296,EnrollData2324,'2324 Jun 24 Enroll'!M$1,FALSE)-VLOOKUP($A296,EnrollData2324,'2324 Jun 24 Enroll'!J$1,FALSE)='District Calculations'!$D$16+'District Calculations'!$D$25-'District Calculations'!$D$17,VLOOKUP($A296,EnrollData2324,'2324 Jun 24 Enroll'!I$1,FALSE)+VLOOKUP($A296,EnrollData2324,'2324 Jun 24 Enroll'!M$1,FALSE)-VLOOKUP($A296,EnrollData2324,'2324 Jun 24 Enroll'!J$1,FALSE),'District Calculations'!$D$16+'District Calculations'!$D$25-'District Calculations'!$D$17)*Apport_216A2324s,3)</f>
        <v>58.183999999999997</v>
      </c>
      <c r="J296">
        <f>ROUND(SUM(D296:I296)/(IF(VLOOKUP($A296,EnrollData2324,'2324 Jun 24 Enroll'!M$1,FALSE)='District Calculations'!$D$25,VLOOKUP($A296,EnrollData2324,'2324 Jun 24 Enroll'!M$1,FALSE),'District Calculations'!$D$25)+IF(VLOOKUP($A296,EnrollData2324,'2324 Jun 24 Enroll'!D$1,FALSE)='District Calculations'!$D$11,VLOOKUP($A296,EnrollData2324,'2324 Jun 24 Enroll'!D$1,FALSE),'District Calculations'!$D$11)),5)</f>
        <v>5.5530000000000003E-2</v>
      </c>
      <c r="K296" s="11">
        <f t="shared" si="27"/>
        <v>4.3699999999999998E-3</v>
      </c>
      <c r="L296">
        <f>ROUND(IF(VLOOKUP($A296,EnrollData2324,'2324 Jun 24 Enroll'!D$1,FALSE)='District Calculations'!$D$11,VLOOKUP($A296,EnrollData2324,'2324 Jun 24 Enroll'!D$1,FALSE),'District Calculations'!$D$11)*K296,3)</f>
        <v>0</v>
      </c>
      <c r="M296">
        <f>ROUND(IF(VLOOKUP($A296,EnrollData2324,'2324 Jun 24 Enroll'!E$1,FALSE)='District Calculations'!$D$12,VLOOKUP($A296,EnrollData2324,'2324 Jun 24 Enroll'!E$1,FALSE),'District Calculations'!$D$12)*K296,3)</f>
        <v>3.5419999999999998</v>
      </c>
      <c r="N296">
        <f>ROUND(IF(VLOOKUP($A296,EnrollData2324,'2324 Jun 24 Enroll'!F$1,FALSE)='District Calculations'!$D$13,VLOOKUP($A296,EnrollData2324,'2324 Jun 24 Enroll'!F$1,FALSE),'District Calculations'!$D$13)*Apport_223A2324s,3)</f>
        <v>0.84299999999999997</v>
      </c>
      <c r="O296">
        <f>ROUND(IF(VLOOKUP($A296,EnrollData2324,'2324 Jun 24 Enroll'!G$1,FALSE)='District Calculations'!$D$14,VLOOKUP($A296,EnrollData2324,'2324 Jun 24 Enroll'!G$1,FALSE),'District Calculations'!$D$14)*Apport_211A2324s,3)</f>
        <v>1.87</v>
      </c>
      <c r="P296">
        <f>ROUND(IF(VLOOKUP($A296,EnrollData2324,'2324 Jun 24 Enroll'!H$1,FALSE)='District Calculations'!$D$14,VLOOKUP($A296,EnrollData2324,'2324 Jun 24 Enroll'!H$1,FALSE),'District Calculations'!$D$14)*Apport_214A2324s,3)</f>
        <v>1.8680000000000001</v>
      </c>
      <c r="Q296">
        <f>ROUND(IF(VLOOKUP($A296,EnrollData2324,'2324 Jun 24 Enroll'!I$1,FALSE)+VLOOKUP($A296,EnrollData2324,'2324 Jun 24 Enroll'!M$1,FALSE)-VLOOKUP($A296,EnrollData2324,'2324 Jun 24 Enroll'!J$1,FALSE)='District Calculations'!$D$16+'District Calculations'!$D$25-'District Calculations'!$D$17,VLOOKUP($A296,EnrollData2324,'2324 Jun 24 Enroll'!I$1,FALSE)+VLOOKUP($A296,EnrollData2324,'2324 Jun 24 Enroll'!M$1,FALSE)-VLOOKUP($A296,EnrollData2324,'2324 Jun 24 Enroll'!J$1,FALSE),'District Calculations'!$D$16+'District Calculations'!$D$25-'District Calculations'!$D$17)*Apport_217A2324s,3)</f>
        <v>4.702</v>
      </c>
      <c r="R296">
        <f>ROUND(SUM(L296:Q296)/IF(VLOOKUP($A296,EnrollData2324,'2324 Jun 24 Enroll'!M$1,FALSE)+VLOOKUP($A296,EnrollData2324,'2324 Jun 24 Enroll'!D$1,FALSE)='District Calculations'!$D$25+'District Calculations'!$D$11,VLOOKUP($A296,EnrollData2324,'2324 Jun 24 Enroll'!M$1,FALSE)+VLOOKUP($A296,EnrollData2324,'2324 Jun 24 Enroll'!D$1,FALSE),'District Calculations'!$D$25+'District Calculations'!$D$11),5)</f>
        <v>4.1099999999999999E-3</v>
      </c>
      <c r="S296" s="11">
        <f t="shared" si="28"/>
        <v>1.8689600000000001E-2</v>
      </c>
      <c r="T296">
        <f>ROUND(IF(VLOOKUP($A296,EnrollData2324,'2324 Jun 24 Enroll'!D$1,FALSE)='District Calculations'!$D$11,VLOOKUP($A296,EnrollData2324,'2324 Jun 24 Enroll'!D$1,FALSE),'District Calculations'!$D$11)*S296,3)</f>
        <v>0</v>
      </c>
      <c r="U296">
        <f>ROUND(IF(VLOOKUP($A296,EnrollData2324,'2324 Jun 24 Enroll'!E$1,FALSE)='District Calculations'!$D$12,VLOOKUP($A296,EnrollData2324,'2324 Jun 24 Enroll'!E$1,FALSE),'District Calculations'!$D$12)*S296,3)</f>
        <v>15.148</v>
      </c>
      <c r="V296">
        <f>ROUND(IF(VLOOKUP($A296,EnrollData2324,'2324 Jun 24 Enroll'!F$1,FALSE)='District Calculations'!$D$13,VLOOKUP($A296,EnrollData2324,'2324 Jun 24 Enroll'!F$1,FALSE),'District Calculations'!$D$13)*Apport_224A2324s,3)</f>
        <v>3.7029999999999998</v>
      </c>
      <c r="W296">
        <f>ROUND(IF(VLOOKUP($A296,EnrollData2324,'2324 Jun 24 Enroll'!G$1,FALSE)='District Calculations'!$D$14,VLOOKUP($A296,EnrollData2324,'2324 Jun 24 Enroll'!G$1,FALSE),'District Calculations'!$D$14)*Apport_212A2324s,3)</f>
        <v>8.2089999999999996</v>
      </c>
      <c r="X296">
        <f>ROUND(IF(VLOOKUP($A296,EnrollData2324,'2324 Jun 24 Enroll'!H$1,FALSE)='District Calculations'!$D$14,VLOOKUP($A296,EnrollData2324,'2324 Jun 24 Enroll'!H$1,FALSE),'District Calculations'!$D$14)*Apport_215A2324s,3)</f>
        <v>8.0969999999999995</v>
      </c>
      <c r="Y296">
        <f>ROUND(IF(VLOOKUP($A296,EnrollData2324,'2324 Jun 24 Enroll'!I$1,FALSE)+VLOOKUP($A296,EnrollData2324,'2324 Jun 24 Enroll'!M$1,FALSE)-VLOOKUP($A296,EnrollData2324,'2324 Jun 24 Enroll'!J$1,FALSE)='District Calculations'!$D$16+'District Calculations'!$D$25-'District Calculations'!$D$17,VLOOKUP($A296,EnrollData2324,'2324 Jun 24 Enroll'!I$1,FALSE)+VLOOKUP($A296,EnrollData2324,'2324 Jun 24 Enroll'!M$1,FALSE)-VLOOKUP($A296,EnrollData2324,'2324 Jun 24 Enroll'!J$1,FALSE),'District Calculations'!$D$16+'District Calculations'!$D$25-'District Calculations'!$D$17)*Apport_218A2324s,3)</f>
        <v>20.224</v>
      </c>
      <c r="Z296">
        <f>ROUND(SUM(T296:Y296)/IF(VLOOKUP($A296,EnrollData2324,'2324 Jun 24 Enroll'!M$1,FALSE)+VLOOKUP($A296,EnrollData2324,'2324 Jun 24 Enroll'!D$1,FALSE)='District Calculations'!$D$25+'District Calculations'!$D$11,VLOOKUP($A296,EnrollData2324,'2324 Jun 24 Enroll'!M$1,FALSE)+VLOOKUP($A296,EnrollData2324,'2324 Jun 24 Enroll'!D$1,FALSE),'District Calculations'!$D$25+'District Calculations'!$D$11),5)</f>
        <v>1.7749999999999998E-2</v>
      </c>
      <c r="AA296" s="6" cm="1">
        <f t="array" ref="AA296">ROUND($J296*CIS_Base_Salary2324s*VLOOKUP($A296,EnrollData2324,'2324 Jun 24 Enroll'!S$1,FALSE),2)</f>
        <v>4038.59</v>
      </c>
      <c r="AB296" s="6" cm="1">
        <f t="array" ref="AB296">ROUND($J296*CIS_Inc_Salary2324s*(VLOOKUP($A296,EnrollData2324,'2324 Jun 24 Enroll'!T$1,FALSE)+VLOOKUP($A296,EnrollData2324,'2324 Jun 24 Enroll'!U$1,FALSE)),2)-AA296</f>
        <v>233.1899999999996</v>
      </c>
      <c r="AC296" s="6" cm="1">
        <f t="array" ref="AC296">ROUND($R296*CAS_Base_Salary2324s*VLOOKUP($A296,EnrollData2324,'2324 Jun 24 Enroll'!S$1,FALSE),2)</f>
        <v>443.7</v>
      </c>
      <c r="AD296" s="6" cm="1">
        <f t="array" ref="AD296">ROUND($R296*CAS_Inc_Salary2324s*VLOOKUP($A296,EnrollData2324,'2324 Jun 24 Enroll'!T$1,FALSE),2)-AC296</f>
        <v>16.410000000000025</v>
      </c>
      <c r="AE296" s="6" cm="1">
        <f t="array" ref="AE296">ROUND($Z296*CLS_Base_Salary2324s*VLOOKUP($A296,EnrollData2324,'2324 Jun 24 Enroll'!S$1,FALSE),2)</f>
        <v>926.07</v>
      </c>
      <c r="AF296" s="6" cm="1">
        <f t="array" ref="AF296">ROUND($Z296*CLS_Inc_Salary2324s*VLOOKUP($A296,EnrollData2324,'2324 Jun 24 Enroll'!T$1,FALSE),2)-AE296</f>
        <v>34.259999999999991</v>
      </c>
      <c r="AG296" cm="1">
        <f t="array" ref="AG296">ROUND(($J296+$R296)*Apport_124X2324s,2)</f>
        <v>734.29</v>
      </c>
      <c r="AH296" s="69">
        <f t="shared" si="29"/>
        <v>68.700000000000045</v>
      </c>
      <c r="AI296" cm="1">
        <f t="array" ref="AI296">ROUND($Z296*Apport_124X2324s,2)</f>
        <v>218.54</v>
      </c>
      <c r="AJ296" cm="1">
        <f t="array" ref="AJ296">ROUND($Z296*Apport_621X2324s*Apport_125X2324s,2)-AI296</f>
        <v>116.51000000000002</v>
      </c>
      <c r="AK296" cm="1">
        <f t="array" ref="AK296">ROUND((AA296+AC296)*Apport_126X2324s,2)</f>
        <v>805.47</v>
      </c>
      <c r="AL296" cm="1">
        <f t="array" ref="AL296">ROUND((AB296+AD296)*Apport_127X2324s,2)</f>
        <v>43.26</v>
      </c>
      <c r="AM296" cm="1">
        <f t="array" ref="AM296">ROUND(AE296*Apport_128X2324s,2)</f>
        <v>204.29</v>
      </c>
      <c r="AN296" cm="1">
        <f t="array" ref="AN296">ROUND(AF296*Apport_129X2324s,2)</f>
        <v>6.36</v>
      </c>
      <c r="AO296" cm="1">
        <f t="array" ref="AO296">ROUND(($J296*CIS_Inc_Salary2324s*(VLOOKUP($A296,EnrollData2324,'2324 Jun 24 Enroll'!T$1,FALSE)+VLOOKUP($A296,EnrollData2324,'2324 Jun 24 Enroll'!U$1,FALSE))/Apport_613Xpd)*Apport_614Xpd,2)</f>
        <v>71.2</v>
      </c>
      <c r="AP296" cm="1">
        <f t="array" ref="AP296">ROUND(AO296*Apport_127X2324s,2)</f>
        <v>12.34</v>
      </c>
      <c r="AQ296">
        <f t="shared" si="30"/>
        <v>30.93</v>
      </c>
      <c r="AR296" s="6" cm="1">
        <f t="array" ref="AR296">ROUND((VLOOKUP($A296,EnrollData2324,'2324 Jun 24 Enroll'!D$1,FALSE)*Apport_M802324s+VLOOKUP($A296,EnrollData2324,'2324 Jun 24 Enroll'!M$1,FALSE)*Apport_M802324s+(VLOOKUP($A296,EnrollData2324,'2324 Jun 24 Enroll'!P$1,FALSE)+VLOOKUP($A296,EnrollData2324,'2324 Jun 24 Enroll'!Q$1,FALSE)+VLOOKUP($A296,EnrollData2324,'2324 Jun 24 Enroll'!R$1,FALSE)+VLOOKUP($A296,EnrollData2324,'2324 Jun 24 Enroll'!I$1,FALSE)+VLOOKUP($A296,EnrollData2324,'2324 Jun 24 Enroll'!N$1,FALSE)+VLOOKUP($A296,EnrollData2324,'2324 Jun 24 Enroll'!O$1,FALSE)+VLOOKUP($A296,EnrollData2324,'2324 Jun 24 Enroll'!K$1,FALSE)+VLOOKUP($A296,EnrollData2324,'2324 Jun 24 Enroll'!L$1,FALSE))*Apport_M812324s)/(VLOOKUP($A296,EnrollData2324,'2324 Jun 24 Enroll'!M$1,FALSE)+VLOOKUP($A296,EnrollData2324,'2324 Jun 24 Enroll'!D$1,FALSE)),2)</f>
        <v>1580.08</v>
      </c>
      <c r="AS296" s="7">
        <f t="shared" si="31"/>
        <v>9584.1899999999987</v>
      </c>
    </row>
    <row r="297" spans="1:45">
      <c r="A297" s="40" t="s">
        <v>552</v>
      </c>
      <c r="B297" s="40" t="s">
        <v>553</v>
      </c>
      <c r="C297" s="11">
        <f>ROUND((IFERROR((1/IF(VLOOKUP($A297,EnrollData2324,28,FALSE)='District Calculations'!$D$10,VLOOKUP($A297,EnrollData2324,28,FALSE),'District Calculations'!$D$10))*(1+Apport_Z315),0))+Apport_201A2324s,6)</f>
        <v>7.3449E-2</v>
      </c>
      <c r="D297">
        <f>ROUND(IF(VLOOKUP($A297,EnrollData2324,'2324 Jun 24 Enroll'!D$1,FALSE)='District Calculations'!$D$11,VLOOKUP($A297,EnrollData2324,'2324 Jun 24 Enroll'!D$1,FALSE),'District Calculations'!$D$11)*C297,3)</f>
        <v>0</v>
      </c>
      <c r="E297">
        <f>ROUND(IF(VLOOKUP($A297,EnrollData2324,'2324 Jun 24 Enroll'!E$1,FALSE)='District Calculations'!$D$12,VLOOKUP($A297,EnrollData2324,'2324 Jun 24 Enroll'!E$1,FALSE),'District Calculations'!$D$12)*C297,3)</f>
        <v>59.53</v>
      </c>
      <c r="F297">
        <f>ROUND(IF(VLOOKUP($A297,EnrollData2324,'2324 Jun 24 Enroll'!F$1,FALSE)='District Calculations'!$D$13,VLOOKUP($A297,EnrollData2324,'2324 Jun 24 Enroll'!F$1,FALSE),'District Calculations'!$D$13)*Apport_222A2324s,3)</f>
        <v>10.101000000000001</v>
      </c>
      <c r="G297">
        <f>ROUND(IF(VLOOKUP($A297,EnrollData2324,'2324 Jun 24 Enroll'!G$1,FALSE)='District Calculations'!$D$14,VLOOKUP($A297,EnrollData2324,'2324 Jun 24 Enroll'!G$1,FALSE),'District Calculations'!$D$14)*Apport_210A2324s,3)</f>
        <v>22.395</v>
      </c>
      <c r="H297">
        <f>ROUND(IF(VLOOKUP($A297,EnrollData2324,'2324 Jun 24 Enroll'!H$1,FALSE)='District Calculations'!$D$15,VLOOKUP($A297,EnrollData2324,'2324 Jun 24 Enroll'!H$1,FALSE),'District Calculations'!$D$15)*Apport_213A2324s,3)</f>
        <v>23.091999999999999</v>
      </c>
      <c r="I297">
        <f>ROUND(IF(VLOOKUP($A297,EnrollData2324,'2324 Jun 24 Enroll'!I$1,FALSE)+VLOOKUP($A297,EnrollData2324,'2324 Jun 24 Enroll'!M$1,FALSE)-VLOOKUP($A297,EnrollData2324,'2324 Jun 24 Enroll'!J$1,FALSE)='District Calculations'!$D$16+'District Calculations'!$D$25-'District Calculations'!$D$17,VLOOKUP($A297,EnrollData2324,'2324 Jun 24 Enroll'!I$1,FALSE)+VLOOKUP($A297,EnrollData2324,'2324 Jun 24 Enroll'!M$1,FALSE)-VLOOKUP($A297,EnrollData2324,'2324 Jun 24 Enroll'!J$1,FALSE),'District Calculations'!$D$16+'District Calculations'!$D$25-'District Calculations'!$D$17)*Apport_216A2324s,3)</f>
        <v>58.183999999999997</v>
      </c>
      <c r="J297">
        <f>ROUND(SUM(D297:I297)/(IF(VLOOKUP($A297,EnrollData2324,'2324 Jun 24 Enroll'!M$1,FALSE)='District Calculations'!$D$25,VLOOKUP($A297,EnrollData2324,'2324 Jun 24 Enroll'!M$1,FALSE),'District Calculations'!$D$25)+IF(VLOOKUP($A297,EnrollData2324,'2324 Jun 24 Enroll'!D$1,FALSE)='District Calculations'!$D$11,VLOOKUP($A297,EnrollData2324,'2324 Jun 24 Enroll'!D$1,FALSE),'District Calculations'!$D$11)),5)</f>
        <v>5.5530000000000003E-2</v>
      </c>
      <c r="K297" s="11">
        <f t="shared" si="27"/>
        <v>4.3699999999999998E-3</v>
      </c>
      <c r="L297">
        <f>ROUND(IF(VLOOKUP($A297,EnrollData2324,'2324 Jun 24 Enroll'!D$1,FALSE)='District Calculations'!$D$11,VLOOKUP($A297,EnrollData2324,'2324 Jun 24 Enroll'!D$1,FALSE),'District Calculations'!$D$11)*K297,3)</f>
        <v>0</v>
      </c>
      <c r="M297">
        <f>ROUND(IF(VLOOKUP($A297,EnrollData2324,'2324 Jun 24 Enroll'!E$1,FALSE)='District Calculations'!$D$12,VLOOKUP($A297,EnrollData2324,'2324 Jun 24 Enroll'!E$1,FALSE),'District Calculations'!$D$12)*K297,3)</f>
        <v>3.5419999999999998</v>
      </c>
      <c r="N297">
        <f>ROUND(IF(VLOOKUP($A297,EnrollData2324,'2324 Jun 24 Enroll'!F$1,FALSE)='District Calculations'!$D$13,VLOOKUP($A297,EnrollData2324,'2324 Jun 24 Enroll'!F$1,FALSE),'District Calculations'!$D$13)*Apport_223A2324s,3)</f>
        <v>0.84299999999999997</v>
      </c>
      <c r="O297">
        <f>ROUND(IF(VLOOKUP($A297,EnrollData2324,'2324 Jun 24 Enroll'!G$1,FALSE)='District Calculations'!$D$14,VLOOKUP($A297,EnrollData2324,'2324 Jun 24 Enroll'!G$1,FALSE),'District Calculations'!$D$14)*Apport_211A2324s,3)</f>
        <v>1.87</v>
      </c>
      <c r="P297">
        <f>ROUND(IF(VLOOKUP($A297,EnrollData2324,'2324 Jun 24 Enroll'!H$1,FALSE)='District Calculations'!$D$14,VLOOKUP($A297,EnrollData2324,'2324 Jun 24 Enroll'!H$1,FALSE),'District Calculations'!$D$14)*Apport_214A2324s,3)</f>
        <v>1.8680000000000001</v>
      </c>
      <c r="Q297">
        <f>ROUND(IF(VLOOKUP($A297,EnrollData2324,'2324 Jun 24 Enroll'!I$1,FALSE)+VLOOKUP($A297,EnrollData2324,'2324 Jun 24 Enroll'!M$1,FALSE)-VLOOKUP($A297,EnrollData2324,'2324 Jun 24 Enroll'!J$1,FALSE)='District Calculations'!$D$16+'District Calculations'!$D$25-'District Calculations'!$D$17,VLOOKUP($A297,EnrollData2324,'2324 Jun 24 Enroll'!I$1,FALSE)+VLOOKUP($A297,EnrollData2324,'2324 Jun 24 Enroll'!M$1,FALSE)-VLOOKUP($A297,EnrollData2324,'2324 Jun 24 Enroll'!J$1,FALSE),'District Calculations'!$D$16+'District Calculations'!$D$25-'District Calculations'!$D$17)*Apport_217A2324s,3)</f>
        <v>4.702</v>
      </c>
      <c r="R297">
        <f>ROUND(SUM(L297:Q297)/IF(VLOOKUP($A297,EnrollData2324,'2324 Jun 24 Enroll'!M$1,FALSE)+VLOOKUP($A297,EnrollData2324,'2324 Jun 24 Enroll'!D$1,FALSE)='District Calculations'!$D$25+'District Calculations'!$D$11,VLOOKUP($A297,EnrollData2324,'2324 Jun 24 Enroll'!M$1,FALSE)+VLOOKUP($A297,EnrollData2324,'2324 Jun 24 Enroll'!D$1,FALSE),'District Calculations'!$D$25+'District Calculations'!$D$11),5)</f>
        <v>4.1099999999999999E-3</v>
      </c>
      <c r="S297" s="11">
        <f t="shared" si="28"/>
        <v>1.8689600000000001E-2</v>
      </c>
      <c r="T297">
        <f>ROUND(IF(VLOOKUP($A297,EnrollData2324,'2324 Jun 24 Enroll'!D$1,FALSE)='District Calculations'!$D$11,VLOOKUP($A297,EnrollData2324,'2324 Jun 24 Enroll'!D$1,FALSE),'District Calculations'!$D$11)*S297,3)</f>
        <v>0</v>
      </c>
      <c r="U297">
        <f>ROUND(IF(VLOOKUP($A297,EnrollData2324,'2324 Jun 24 Enroll'!E$1,FALSE)='District Calculations'!$D$12,VLOOKUP($A297,EnrollData2324,'2324 Jun 24 Enroll'!E$1,FALSE),'District Calculations'!$D$12)*S297,3)</f>
        <v>15.148</v>
      </c>
      <c r="V297">
        <f>ROUND(IF(VLOOKUP($A297,EnrollData2324,'2324 Jun 24 Enroll'!F$1,FALSE)='District Calculations'!$D$13,VLOOKUP($A297,EnrollData2324,'2324 Jun 24 Enroll'!F$1,FALSE),'District Calculations'!$D$13)*Apport_224A2324s,3)</f>
        <v>3.7029999999999998</v>
      </c>
      <c r="W297">
        <f>ROUND(IF(VLOOKUP($A297,EnrollData2324,'2324 Jun 24 Enroll'!G$1,FALSE)='District Calculations'!$D$14,VLOOKUP($A297,EnrollData2324,'2324 Jun 24 Enroll'!G$1,FALSE),'District Calculations'!$D$14)*Apport_212A2324s,3)</f>
        <v>8.2089999999999996</v>
      </c>
      <c r="X297">
        <f>ROUND(IF(VLOOKUP($A297,EnrollData2324,'2324 Jun 24 Enroll'!H$1,FALSE)='District Calculations'!$D$14,VLOOKUP($A297,EnrollData2324,'2324 Jun 24 Enroll'!H$1,FALSE),'District Calculations'!$D$14)*Apport_215A2324s,3)</f>
        <v>8.0969999999999995</v>
      </c>
      <c r="Y297">
        <f>ROUND(IF(VLOOKUP($A297,EnrollData2324,'2324 Jun 24 Enroll'!I$1,FALSE)+VLOOKUP($A297,EnrollData2324,'2324 Jun 24 Enroll'!M$1,FALSE)-VLOOKUP($A297,EnrollData2324,'2324 Jun 24 Enroll'!J$1,FALSE)='District Calculations'!$D$16+'District Calculations'!$D$25-'District Calculations'!$D$17,VLOOKUP($A297,EnrollData2324,'2324 Jun 24 Enroll'!I$1,FALSE)+VLOOKUP($A297,EnrollData2324,'2324 Jun 24 Enroll'!M$1,FALSE)-VLOOKUP($A297,EnrollData2324,'2324 Jun 24 Enroll'!J$1,FALSE),'District Calculations'!$D$16+'District Calculations'!$D$25-'District Calculations'!$D$17)*Apport_218A2324s,3)</f>
        <v>20.224</v>
      </c>
      <c r="Z297">
        <f>ROUND(SUM(T297:Y297)/IF(VLOOKUP($A297,EnrollData2324,'2324 Jun 24 Enroll'!M$1,FALSE)+VLOOKUP($A297,EnrollData2324,'2324 Jun 24 Enroll'!D$1,FALSE)='District Calculations'!$D$25+'District Calculations'!$D$11,VLOOKUP($A297,EnrollData2324,'2324 Jun 24 Enroll'!M$1,FALSE)+VLOOKUP($A297,EnrollData2324,'2324 Jun 24 Enroll'!D$1,FALSE),'District Calculations'!$D$25+'District Calculations'!$D$11),5)</f>
        <v>1.7749999999999998E-2</v>
      </c>
      <c r="AA297" s="6" cm="1">
        <f t="array" ref="AA297">ROUND($J297*CIS_Base_Salary2324s*VLOOKUP($A297,EnrollData2324,'2324 Jun 24 Enroll'!S$1,FALSE),2)</f>
        <v>4038.59</v>
      </c>
      <c r="AB297" s="6" cm="1">
        <f t="array" ref="AB297">ROUND($J297*CIS_Inc_Salary2324s*(VLOOKUP($A297,EnrollData2324,'2324 Jun 24 Enroll'!T$1,FALSE)+VLOOKUP($A297,EnrollData2324,'2324 Jun 24 Enroll'!U$1,FALSE)),2)-AA297</f>
        <v>149.43000000000029</v>
      </c>
      <c r="AC297" s="6" cm="1">
        <f t="array" ref="AC297">ROUND($R297*CAS_Base_Salary2324s*VLOOKUP($A297,EnrollData2324,'2324 Jun 24 Enroll'!S$1,FALSE),2)</f>
        <v>443.7</v>
      </c>
      <c r="AD297" s="6" cm="1">
        <f t="array" ref="AD297">ROUND($R297*CAS_Inc_Salary2324s*VLOOKUP($A297,EnrollData2324,'2324 Jun 24 Enroll'!T$1,FALSE),2)-AC297</f>
        <v>16.410000000000025</v>
      </c>
      <c r="AE297" s="6" cm="1">
        <f t="array" ref="AE297">ROUND($Z297*CLS_Base_Salary2324s*VLOOKUP($A297,EnrollData2324,'2324 Jun 24 Enroll'!S$1,FALSE),2)</f>
        <v>926.07</v>
      </c>
      <c r="AF297" s="6" cm="1">
        <f t="array" ref="AF297">ROUND($Z297*CLS_Inc_Salary2324s*VLOOKUP($A297,EnrollData2324,'2324 Jun 24 Enroll'!T$1,FALSE),2)-AE297</f>
        <v>34.259999999999991</v>
      </c>
      <c r="AG297" cm="1">
        <f t="array" ref="AG297">ROUND(($J297+$R297)*Apport_124X2324s,2)</f>
        <v>734.29</v>
      </c>
      <c r="AH297" s="69">
        <f t="shared" si="29"/>
        <v>68.700000000000045</v>
      </c>
      <c r="AI297" cm="1">
        <f t="array" ref="AI297">ROUND($Z297*Apport_124X2324s,2)</f>
        <v>218.54</v>
      </c>
      <c r="AJ297" cm="1">
        <f t="array" ref="AJ297">ROUND($Z297*Apport_621X2324s*Apport_125X2324s,2)-AI297</f>
        <v>116.51000000000002</v>
      </c>
      <c r="AK297" cm="1">
        <f t="array" ref="AK297">ROUND((AA297+AC297)*Apport_126X2324s,2)</f>
        <v>805.47</v>
      </c>
      <c r="AL297" cm="1">
        <f t="array" ref="AL297">ROUND((AB297+AD297)*Apport_127X2324s,2)</f>
        <v>28.74</v>
      </c>
      <c r="AM297" cm="1">
        <f t="array" ref="AM297">ROUND(AE297*Apport_128X2324s,2)</f>
        <v>204.29</v>
      </c>
      <c r="AN297" cm="1">
        <f t="array" ref="AN297">ROUND(AF297*Apport_129X2324s,2)</f>
        <v>6.36</v>
      </c>
      <c r="AO297" cm="1">
        <f t="array" ref="AO297">ROUND(($J297*CIS_Inc_Salary2324s*(VLOOKUP($A297,EnrollData2324,'2324 Jun 24 Enroll'!T$1,FALSE)+VLOOKUP($A297,EnrollData2324,'2324 Jun 24 Enroll'!U$1,FALSE))/Apport_613Xpd)*Apport_614Xpd,2)</f>
        <v>69.8</v>
      </c>
      <c r="AP297" cm="1">
        <f t="array" ref="AP297">ROUND(AO297*Apport_127X2324s,2)</f>
        <v>12.1</v>
      </c>
      <c r="AQ297">
        <f t="shared" si="30"/>
        <v>30.93</v>
      </c>
      <c r="AR297" s="6" cm="1">
        <f t="array" ref="AR297">ROUND((VLOOKUP($A297,EnrollData2324,'2324 Jun 24 Enroll'!D$1,FALSE)*Apport_M802324s+VLOOKUP($A297,EnrollData2324,'2324 Jun 24 Enroll'!M$1,FALSE)*Apport_M802324s+(VLOOKUP($A297,EnrollData2324,'2324 Jun 24 Enroll'!P$1,FALSE)+VLOOKUP($A297,EnrollData2324,'2324 Jun 24 Enroll'!Q$1,FALSE)+VLOOKUP($A297,EnrollData2324,'2324 Jun 24 Enroll'!R$1,FALSE)+VLOOKUP($A297,EnrollData2324,'2324 Jun 24 Enroll'!I$1,FALSE)+VLOOKUP($A297,EnrollData2324,'2324 Jun 24 Enroll'!N$1,FALSE)+VLOOKUP($A297,EnrollData2324,'2324 Jun 24 Enroll'!O$1,FALSE)+VLOOKUP($A297,EnrollData2324,'2324 Jun 24 Enroll'!K$1,FALSE)+VLOOKUP($A297,EnrollData2324,'2324 Jun 24 Enroll'!L$1,FALSE))*Apport_M812324s)/(VLOOKUP($A297,EnrollData2324,'2324 Jun 24 Enroll'!M$1,FALSE)+VLOOKUP($A297,EnrollData2324,'2324 Jun 24 Enroll'!D$1,FALSE)),2)</f>
        <v>1504.44</v>
      </c>
      <c r="AS297" s="7">
        <f t="shared" si="31"/>
        <v>9408.630000000001</v>
      </c>
    </row>
    <row r="298" spans="1:45">
      <c r="A298" s="40" t="s">
        <v>815</v>
      </c>
      <c r="B298" s="40" t="s">
        <v>816</v>
      </c>
      <c r="C298" s="11">
        <f>ROUND((IFERROR((1/IF(VLOOKUP($A298,EnrollData2324,28,FALSE)='District Calculations'!$D$10,VLOOKUP($A298,EnrollData2324,28,FALSE),'District Calculations'!$D$10))*(1+Apport_Z315),0))+Apport_201A2324s,6)</f>
        <v>7.3449E-2</v>
      </c>
      <c r="D298">
        <f>ROUND(IF(VLOOKUP($A298,EnrollData2324,'2324 Jun 24 Enroll'!D$1,FALSE)='District Calculations'!$D$11,VLOOKUP($A298,EnrollData2324,'2324 Jun 24 Enroll'!D$1,FALSE),'District Calculations'!$D$11)*C298,3)</f>
        <v>0</v>
      </c>
      <c r="E298">
        <f>ROUND(IF(VLOOKUP($A298,EnrollData2324,'2324 Jun 24 Enroll'!E$1,FALSE)='District Calculations'!$D$12,VLOOKUP($A298,EnrollData2324,'2324 Jun 24 Enroll'!E$1,FALSE),'District Calculations'!$D$12)*C298,3)</f>
        <v>59.53</v>
      </c>
      <c r="F298">
        <f>ROUND(IF(VLOOKUP($A298,EnrollData2324,'2324 Jun 24 Enroll'!F$1,FALSE)='District Calculations'!$D$13,VLOOKUP($A298,EnrollData2324,'2324 Jun 24 Enroll'!F$1,FALSE),'District Calculations'!$D$13)*Apport_222A2324s,3)</f>
        <v>10.101000000000001</v>
      </c>
      <c r="G298">
        <f>ROUND(IF(VLOOKUP($A298,EnrollData2324,'2324 Jun 24 Enroll'!G$1,FALSE)='District Calculations'!$D$14,VLOOKUP($A298,EnrollData2324,'2324 Jun 24 Enroll'!G$1,FALSE),'District Calculations'!$D$14)*Apport_210A2324s,3)</f>
        <v>22.395</v>
      </c>
      <c r="H298">
        <f>ROUND(IF(VLOOKUP($A298,EnrollData2324,'2324 Jun 24 Enroll'!H$1,FALSE)='District Calculations'!$D$15,VLOOKUP($A298,EnrollData2324,'2324 Jun 24 Enroll'!H$1,FALSE),'District Calculations'!$D$15)*Apport_213A2324s,3)</f>
        <v>23.091999999999999</v>
      </c>
      <c r="I298">
        <f>ROUND(IF(VLOOKUP($A298,EnrollData2324,'2324 Jun 24 Enroll'!I$1,FALSE)+VLOOKUP($A298,EnrollData2324,'2324 Jun 24 Enroll'!M$1,FALSE)-VLOOKUP($A298,EnrollData2324,'2324 Jun 24 Enroll'!J$1,FALSE)='District Calculations'!$D$16+'District Calculations'!$D$25-'District Calculations'!$D$17,VLOOKUP($A298,EnrollData2324,'2324 Jun 24 Enroll'!I$1,FALSE)+VLOOKUP($A298,EnrollData2324,'2324 Jun 24 Enroll'!M$1,FALSE)-VLOOKUP($A298,EnrollData2324,'2324 Jun 24 Enroll'!J$1,FALSE),'District Calculations'!$D$16+'District Calculations'!$D$25-'District Calculations'!$D$17)*Apport_216A2324s,3)</f>
        <v>58.183999999999997</v>
      </c>
      <c r="J298">
        <f>ROUND(SUM(D298:I298)/(IF(VLOOKUP($A298,EnrollData2324,'2324 Jun 24 Enroll'!M$1,FALSE)='District Calculations'!$D$25,VLOOKUP($A298,EnrollData2324,'2324 Jun 24 Enroll'!M$1,FALSE),'District Calculations'!$D$25)+IF(VLOOKUP($A298,EnrollData2324,'2324 Jun 24 Enroll'!D$1,FALSE)='District Calculations'!$D$11,VLOOKUP($A298,EnrollData2324,'2324 Jun 24 Enroll'!D$1,FALSE),'District Calculations'!$D$11)),5)</f>
        <v>5.5530000000000003E-2</v>
      </c>
      <c r="K298" s="11">
        <f t="shared" si="27"/>
        <v>4.3699999999999998E-3</v>
      </c>
      <c r="L298">
        <f>ROUND(IF(VLOOKUP($A298,EnrollData2324,'2324 Jun 24 Enroll'!D$1,FALSE)='District Calculations'!$D$11,VLOOKUP($A298,EnrollData2324,'2324 Jun 24 Enroll'!D$1,FALSE),'District Calculations'!$D$11)*K298,3)</f>
        <v>0</v>
      </c>
      <c r="M298">
        <f>ROUND(IF(VLOOKUP($A298,EnrollData2324,'2324 Jun 24 Enroll'!E$1,FALSE)='District Calculations'!$D$12,VLOOKUP($A298,EnrollData2324,'2324 Jun 24 Enroll'!E$1,FALSE),'District Calculations'!$D$12)*K298,3)</f>
        <v>3.5419999999999998</v>
      </c>
      <c r="N298">
        <f>ROUND(IF(VLOOKUP($A298,EnrollData2324,'2324 Jun 24 Enroll'!F$1,FALSE)='District Calculations'!$D$13,VLOOKUP($A298,EnrollData2324,'2324 Jun 24 Enroll'!F$1,FALSE),'District Calculations'!$D$13)*Apport_223A2324s,3)</f>
        <v>0.84299999999999997</v>
      </c>
      <c r="O298">
        <f>ROUND(IF(VLOOKUP($A298,EnrollData2324,'2324 Jun 24 Enroll'!G$1,FALSE)='District Calculations'!$D$14,VLOOKUP($A298,EnrollData2324,'2324 Jun 24 Enroll'!G$1,FALSE),'District Calculations'!$D$14)*Apport_211A2324s,3)</f>
        <v>1.87</v>
      </c>
      <c r="P298">
        <f>ROUND(IF(VLOOKUP($A298,EnrollData2324,'2324 Jun 24 Enroll'!H$1,FALSE)='District Calculations'!$D$14,VLOOKUP($A298,EnrollData2324,'2324 Jun 24 Enroll'!H$1,FALSE),'District Calculations'!$D$14)*Apport_214A2324s,3)</f>
        <v>1.8680000000000001</v>
      </c>
      <c r="Q298">
        <f>ROUND(IF(VLOOKUP($A298,EnrollData2324,'2324 Jun 24 Enroll'!I$1,FALSE)+VLOOKUP($A298,EnrollData2324,'2324 Jun 24 Enroll'!M$1,FALSE)-VLOOKUP($A298,EnrollData2324,'2324 Jun 24 Enroll'!J$1,FALSE)='District Calculations'!$D$16+'District Calculations'!$D$25-'District Calculations'!$D$17,VLOOKUP($A298,EnrollData2324,'2324 Jun 24 Enroll'!I$1,FALSE)+VLOOKUP($A298,EnrollData2324,'2324 Jun 24 Enroll'!M$1,FALSE)-VLOOKUP($A298,EnrollData2324,'2324 Jun 24 Enroll'!J$1,FALSE),'District Calculations'!$D$16+'District Calculations'!$D$25-'District Calculations'!$D$17)*Apport_217A2324s,3)</f>
        <v>4.702</v>
      </c>
      <c r="R298">
        <f>ROUND(SUM(L298:Q298)/IF(VLOOKUP($A298,EnrollData2324,'2324 Jun 24 Enroll'!M$1,FALSE)+VLOOKUP($A298,EnrollData2324,'2324 Jun 24 Enroll'!D$1,FALSE)='District Calculations'!$D$25+'District Calculations'!$D$11,VLOOKUP($A298,EnrollData2324,'2324 Jun 24 Enroll'!M$1,FALSE)+VLOOKUP($A298,EnrollData2324,'2324 Jun 24 Enroll'!D$1,FALSE),'District Calculations'!$D$25+'District Calculations'!$D$11),5)</f>
        <v>4.1099999999999999E-3</v>
      </c>
      <c r="S298" s="11">
        <f t="shared" si="28"/>
        <v>1.8689600000000001E-2</v>
      </c>
      <c r="T298">
        <f>ROUND(IF(VLOOKUP($A298,EnrollData2324,'2324 Jun 24 Enroll'!D$1,FALSE)='District Calculations'!$D$11,VLOOKUP($A298,EnrollData2324,'2324 Jun 24 Enroll'!D$1,FALSE),'District Calculations'!$D$11)*S298,3)</f>
        <v>0</v>
      </c>
      <c r="U298">
        <f>ROUND(IF(VLOOKUP($A298,EnrollData2324,'2324 Jun 24 Enroll'!E$1,FALSE)='District Calculations'!$D$12,VLOOKUP($A298,EnrollData2324,'2324 Jun 24 Enroll'!E$1,FALSE),'District Calculations'!$D$12)*S298,3)</f>
        <v>15.148</v>
      </c>
      <c r="V298">
        <f>ROUND(IF(VLOOKUP($A298,EnrollData2324,'2324 Jun 24 Enroll'!F$1,FALSE)='District Calculations'!$D$13,VLOOKUP($A298,EnrollData2324,'2324 Jun 24 Enroll'!F$1,FALSE),'District Calculations'!$D$13)*Apport_224A2324s,3)</f>
        <v>3.7029999999999998</v>
      </c>
      <c r="W298">
        <f>ROUND(IF(VLOOKUP($A298,EnrollData2324,'2324 Jun 24 Enroll'!G$1,FALSE)='District Calculations'!$D$14,VLOOKUP($A298,EnrollData2324,'2324 Jun 24 Enroll'!G$1,FALSE),'District Calculations'!$D$14)*Apport_212A2324s,3)</f>
        <v>8.2089999999999996</v>
      </c>
      <c r="X298">
        <f>ROUND(IF(VLOOKUP($A298,EnrollData2324,'2324 Jun 24 Enroll'!H$1,FALSE)='District Calculations'!$D$14,VLOOKUP($A298,EnrollData2324,'2324 Jun 24 Enroll'!H$1,FALSE),'District Calculations'!$D$14)*Apport_215A2324s,3)</f>
        <v>8.0969999999999995</v>
      </c>
      <c r="Y298">
        <f>ROUND(IF(VLOOKUP($A298,EnrollData2324,'2324 Jun 24 Enroll'!I$1,FALSE)+VLOOKUP($A298,EnrollData2324,'2324 Jun 24 Enroll'!M$1,FALSE)-VLOOKUP($A298,EnrollData2324,'2324 Jun 24 Enroll'!J$1,FALSE)='District Calculations'!$D$16+'District Calculations'!$D$25-'District Calculations'!$D$17,VLOOKUP($A298,EnrollData2324,'2324 Jun 24 Enroll'!I$1,FALSE)+VLOOKUP($A298,EnrollData2324,'2324 Jun 24 Enroll'!M$1,FALSE)-VLOOKUP($A298,EnrollData2324,'2324 Jun 24 Enroll'!J$1,FALSE),'District Calculations'!$D$16+'District Calculations'!$D$25-'District Calculations'!$D$17)*Apport_218A2324s,3)</f>
        <v>20.224</v>
      </c>
      <c r="Z298">
        <f>ROUND(SUM(T298:Y298)/IF(VLOOKUP($A298,EnrollData2324,'2324 Jun 24 Enroll'!M$1,FALSE)+VLOOKUP($A298,EnrollData2324,'2324 Jun 24 Enroll'!D$1,FALSE)='District Calculations'!$D$25+'District Calculations'!$D$11,VLOOKUP($A298,EnrollData2324,'2324 Jun 24 Enroll'!M$1,FALSE)+VLOOKUP($A298,EnrollData2324,'2324 Jun 24 Enroll'!D$1,FALSE),'District Calculations'!$D$25+'District Calculations'!$D$11),5)</f>
        <v>1.7749999999999998E-2</v>
      </c>
      <c r="AA298" s="6" cm="1">
        <f t="array" ref="AA298">ROUND($J298*CIS_Base_Salary2324s*VLOOKUP($A298,EnrollData2324,'2324 Jun 24 Enroll'!S$1,FALSE),2)</f>
        <v>4038.59</v>
      </c>
      <c r="AB298" s="6" cm="1">
        <f t="array" ref="AB298">ROUND($J298*CIS_Inc_Salary2324s*(VLOOKUP($A298,EnrollData2324,'2324 Jun 24 Enroll'!T$1,FALSE)+VLOOKUP($A298,EnrollData2324,'2324 Jun 24 Enroll'!U$1,FALSE)),2)-AA298</f>
        <v>233.1899999999996</v>
      </c>
      <c r="AC298" s="6" cm="1">
        <f t="array" ref="AC298">ROUND($R298*CAS_Base_Salary2324s*VLOOKUP($A298,EnrollData2324,'2324 Jun 24 Enroll'!S$1,FALSE),2)</f>
        <v>443.7</v>
      </c>
      <c r="AD298" s="6" cm="1">
        <f t="array" ref="AD298">ROUND($R298*CAS_Inc_Salary2324s*VLOOKUP($A298,EnrollData2324,'2324 Jun 24 Enroll'!T$1,FALSE),2)-AC298</f>
        <v>16.410000000000025</v>
      </c>
      <c r="AE298" s="6" cm="1">
        <f t="array" ref="AE298">ROUND($Z298*CLS_Base_Salary2324s*VLOOKUP($A298,EnrollData2324,'2324 Jun 24 Enroll'!S$1,FALSE),2)</f>
        <v>926.07</v>
      </c>
      <c r="AF298" s="6" cm="1">
        <f t="array" ref="AF298">ROUND($Z298*CLS_Inc_Salary2324s*VLOOKUP($A298,EnrollData2324,'2324 Jun 24 Enroll'!T$1,FALSE),2)-AE298</f>
        <v>34.259999999999991</v>
      </c>
      <c r="AG298" cm="1">
        <f t="array" ref="AG298">ROUND(($J298+$R298)*Apport_124X2324s,2)</f>
        <v>734.29</v>
      </c>
      <c r="AH298" s="69">
        <f t="shared" si="29"/>
        <v>68.700000000000045</v>
      </c>
      <c r="AI298" cm="1">
        <f t="array" ref="AI298">ROUND($Z298*Apport_124X2324s,2)</f>
        <v>218.54</v>
      </c>
      <c r="AJ298" cm="1">
        <f t="array" ref="AJ298">ROUND($Z298*Apport_621X2324s*Apport_125X2324s,2)-AI298</f>
        <v>116.51000000000002</v>
      </c>
      <c r="AK298" cm="1">
        <f t="array" ref="AK298">ROUND((AA298+AC298)*Apport_126X2324s,2)</f>
        <v>805.47</v>
      </c>
      <c r="AL298" cm="1">
        <f t="array" ref="AL298">ROUND((AB298+AD298)*Apport_127X2324s,2)</f>
        <v>43.26</v>
      </c>
      <c r="AM298" cm="1">
        <f t="array" ref="AM298">ROUND(AE298*Apport_128X2324s,2)</f>
        <v>204.29</v>
      </c>
      <c r="AN298" cm="1">
        <f t="array" ref="AN298">ROUND(AF298*Apport_129X2324s,2)</f>
        <v>6.36</v>
      </c>
      <c r="AO298" cm="1">
        <f t="array" ref="AO298">ROUND(($J298*CIS_Inc_Salary2324s*(VLOOKUP($A298,EnrollData2324,'2324 Jun 24 Enroll'!T$1,FALSE)+VLOOKUP($A298,EnrollData2324,'2324 Jun 24 Enroll'!U$1,FALSE))/Apport_613Xpd)*Apport_614Xpd,2)</f>
        <v>71.2</v>
      </c>
      <c r="AP298" cm="1">
        <f t="array" ref="AP298">ROUND(AO298*Apport_127X2324s,2)</f>
        <v>12.34</v>
      </c>
      <c r="AQ298">
        <f t="shared" si="30"/>
        <v>30.93</v>
      </c>
      <c r="AR298" s="6" cm="1">
        <f t="array" ref="AR298">ROUND((VLOOKUP($A298,EnrollData2324,'2324 Jun 24 Enroll'!D$1,FALSE)*Apport_M802324s+VLOOKUP($A298,EnrollData2324,'2324 Jun 24 Enroll'!M$1,FALSE)*Apport_M802324s+(VLOOKUP($A298,EnrollData2324,'2324 Jun 24 Enroll'!P$1,FALSE)+VLOOKUP($A298,EnrollData2324,'2324 Jun 24 Enroll'!Q$1,FALSE)+VLOOKUP($A298,EnrollData2324,'2324 Jun 24 Enroll'!R$1,FALSE)+VLOOKUP($A298,EnrollData2324,'2324 Jun 24 Enroll'!I$1,FALSE)+VLOOKUP($A298,EnrollData2324,'2324 Jun 24 Enroll'!N$1,FALSE)+VLOOKUP($A298,EnrollData2324,'2324 Jun 24 Enroll'!O$1,FALSE)+VLOOKUP($A298,EnrollData2324,'2324 Jun 24 Enroll'!K$1,FALSE)+VLOOKUP($A298,EnrollData2324,'2324 Jun 24 Enroll'!L$1,FALSE))*Apport_M812324s)/(VLOOKUP($A298,EnrollData2324,'2324 Jun 24 Enroll'!M$1,FALSE)+VLOOKUP($A298,EnrollData2324,'2324 Jun 24 Enroll'!D$1,FALSE)),2)</f>
        <v>1561.57</v>
      </c>
      <c r="AS298" s="7">
        <f t="shared" si="31"/>
        <v>9565.68</v>
      </c>
    </row>
    <row r="299" spans="1:45">
      <c r="A299" s="40" t="s">
        <v>703</v>
      </c>
      <c r="B299" s="40" t="s">
        <v>704</v>
      </c>
      <c r="C299" s="11">
        <f>ROUND((IFERROR((1/IF(VLOOKUP($A299,EnrollData2324,28,FALSE)='District Calculations'!$D$10,VLOOKUP($A299,EnrollData2324,28,FALSE),'District Calculations'!$D$10))*(1+Apport_Z315),0))+Apport_201A2324s,6)</f>
        <v>7.3449E-2</v>
      </c>
      <c r="D299">
        <f>ROUND(IF(VLOOKUP($A299,EnrollData2324,'2324 Jun 24 Enroll'!D$1,FALSE)='District Calculations'!$D$11,VLOOKUP($A299,EnrollData2324,'2324 Jun 24 Enroll'!D$1,FALSE),'District Calculations'!$D$11)*C299,3)</f>
        <v>0</v>
      </c>
      <c r="E299">
        <f>ROUND(IF(VLOOKUP($A299,EnrollData2324,'2324 Jun 24 Enroll'!E$1,FALSE)='District Calculations'!$D$12,VLOOKUP($A299,EnrollData2324,'2324 Jun 24 Enroll'!E$1,FALSE),'District Calculations'!$D$12)*C299,3)</f>
        <v>59.53</v>
      </c>
      <c r="F299">
        <f>ROUND(IF(VLOOKUP($A299,EnrollData2324,'2324 Jun 24 Enroll'!F$1,FALSE)='District Calculations'!$D$13,VLOOKUP($A299,EnrollData2324,'2324 Jun 24 Enroll'!F$1,FALSE),'District Calculations'!$D$13)*Apport_222A2324s,3)</f>
        <v>10.101000000000001</v>
      </c>
      <c r="G299">
        <f>ROUND(IF(VLOOKUP($A299,EnrollData2324,'2324 Jun 24 Enroll'!G$1,FALSE)='District Calculations'!$D$14,VLOOKUP($A299,EnrollData2324,'2324 Jun 24 Enroll'!G$1,FALSE),'District Calculations'!$D$14)*Apport_210A2324s,3)</f>
        <v>22.395</v>
      </c>
      <c r="H299">
        <f>ROUND(IF(VLOOKUP($A299,EnrollData2324,'2324 Jun 24 Enroll'!H$1,FALSE)='District Calculations'!$D$15,VLOOKUP($A299,EnrollData2324,'2324 Jun 24 Enroll'!H$1,FALSE),'District Calculations'!$D$15)*Apport_213A2324s,3)</f>
        <v>23.091999999999999</v>
      </c>
      <c r="I299">
        <f>ROUND(IF(VLOOKUP($A299,EnrollData2324,'2324 Jun 24 Enroll'!I$1,FALSE)+VLOOKUP($A299,EnrollData2324,'2324 Jun 24 Enroll'!M$1,FALSE)-VLOOKUP($A299,EnrollData2324,'2324 Jun 24 Enroll'!J$1,FALSE)='District Calculations'!$D$16+'District Calculations'!$D$25-'District Calculations'!$D$17,VLOOKUP($A299,EnrollData2324,'2324 Jun 24 Enroll'!I$1,FALSE)+VLOOKUP($A299,EnrollData2324,'2324 Jun 24 Enroll'!M$1,FALSE)-VLOOKUP($A299,EnrollData2324,'2324 Jun 24 Enroll'!J$1,FALSE),'District Calculations'!$D$16+'District Calculations'!$D$25-'District Calculations'!$D$17)*Apport_216A2324s,3)</f>
        <v>58.183999999999997</v>
      </c>
      <c r="J299">
        <f>ROUND(SUM(D299:I299)/(IF(VLOOKUP($A299,EnrollData2324,'2324 Jun 24 Enroll'!M$1,FALSE)='District Calculations'!$D$25,VLOOKUP($A299,EnrollData2324,'2324 Jun 24 Enroll'!M$1,FALSE),'District Calculations'!$D$25)+IF(VLOOKUP($A299,EnrollData2324,'2324 Jun 24 Enroll'!D$1,FALSE)='District Calculations'!$D$11,VLOOKUP($A299,EnrollData2324,'2324 Jun 24 Enroll'!D$1,FALSE),'District Calculations'!$D$11)),5)</f>
        <v>5.5530000000000003E-2</v>
      </c>
      <c r="K299" s="11">
        <f t="shared" si="27"/>
        <v>4.3699999999999998E-3</v>
      </c>
      <c r="L299">
        <f>ROUND(IF(VLOOKUP($A299,EnrollData2324,'2324 Jun 24 Enroll'!D$1,FALSE)='District Calculations'!$D$11,VLOOKUP($A299,EnrollData2324,'2324 Jun 24 Enroll'!D$1,FALSE),'District Calculations'!$D$11)*K299,3)</f>
        <v>0</v>
      </c>
      <c r="M299">
        <f>ROUND(IF(VLOOKUP($A299,EnrollData2324,'2324 Jun 24 Enroll'!E$1,FALSE)='District Calculations'!$D$12,VLOOKUP($A299,EnrollData2324,'2324 Jun 24 Enroll'!E$1,FALSE),'District Calculations'!$D$12)*K299,3)</f>
        <v>3.5419999999999998</v>
      </c>
      <c r="N299">
        <f>ROUND(IF(VLOOKUP($A299,EnrollData2324,'2324 Jun 24 Enroll'!F$1,FALSE)='District Calculations'!$D$13,VLOOKUP($A299,EnrollData2324,'2324 Jun 24 Enroll'!F$1,FALSE),'District Calculations'!$D$13)*Apport_223A2324s,3)</f>
        <v>0.84299999999999997</v>
      </c>
      <c r="O299">
        <f>ROUND(IF(VLOOKUP($A299,EnrollData2324,'2324 Jun 24 Enroll'!G$1,FALSE)='District Calculations'!$D$14,VLOOKUP($A299,EnrollData2324,'2324 Jun 24 Enroll'!G$1,FALSE),'District Calculations'!$D$14)*Apport_211A2324s,3)</f>
        <v>1.87</v>
      </c>
      <c r="P299">
        <f>ROUND(IF(VLOOKUP($A299,EnrollData2324,'2324 Jun 24 Enroll'!H$1,FALSE)='District Calculations'!$D$14,VLOOKUP($A299,EnrollData2324,'2324 Jun 24 Enroll'!H$1,FALSE),'District Calculations'!$D$14)*Apport_214A2324s,3)</f>
        <v>1.8680000000000001</v>
      </c>
      <c r="Q299">
        <f>ROUND(IF(VLOOKUP($A299,EnrollData2324,'2324 Jun 24 Enroll'!I$1,FALSE)+VLOOKUP($A299,EnrollData2324,'2324 Jun 24 Enroll'!M$1,FALSE)-VLOOKUP($A299,EnrollData2324,'2324 Jun 24 Enroll'!J$1,FALSE)='District Calculations'!$D$16+'District Calculations'!$D$25-'District Calculations'!$D$17,VLOOKUP($A299,EnrollData2324,'2324 Jun 24 Enroll'!I$1,FALSE)+VLOOKUP($A299,EnrollData2324,'2324 Jun 24 Enroll'!M$1,FALSE)-VLOOKUP($A299,EnrollData2324,'2324 Jun 24 Enroll'!J$1,FALSE),'District Calculations'!$D$16+'District Calculations'!$D$25-'District Calculations'!$D$17)*Apport_217A2324s,3)</f>
        <v>4.702</v>
      </c>
      <c r="R299">
        <f>ROUND(SUM(L299:Q299)/IF(VLOOKUP($A299,EnrollData2324,'2324 Jun 24 Enroll'!M$1,FALSE)+VLOOKUP($A299,EnrollData2324,'2324 Jun 24 Enroll'!D$1,FALSE)='District Calculations'!$D$25+'District Calculations'!$D$11,VLOOKUP($A299,EnrollData2324,'2324 Jun 24 Enroll'!M$1,FALSE)+VLOOKUP($A299,EnrollData2324,'2324 Jun 24 Enroll'!D$1,FALSE),'District Calculations'!$D$25+'District Calculations'!$D$11),5)</f>
        <v>4.1099999999999999E-3</v>
      </c>
      <c r="S299" s="11">
        <f t="shared" si="28"/>
        <v>1.8689600000000001E-2</v>
      </c>
      <c r="T299">
        <f>ROUND(IF(VLOOKUP($A299,EnrollData2324,'2324 Jun 24 Enroll'!D$1,FALSE)='District Calculations'!$D$11,VLOOKUP($A299,EnrollData2324,'2324 Jun 24 Enroll'!D$1,FALSE),'District Calculations'!$D$11)*S299,3)</f>
        <v>0</v>
      </c>
      <c r="U299">
        <f>ROUND(IF(VLOOKUP($A299,EnrollData2324,'2324 Jun 24 Enroll'!E$1,FALSE)='District Calculations'!$D$12,VLOOKUP($A299,EnrollData2324,'2324 Jun 24 Enroll'!E$1,FALSE),'District Calculations'!$D$12)*S299,3)</f>
        <v>15.148</v>
      </c>
      <c r="V299">
        <f>ROUND(IF(VLOOKUP($A299,EnrollData2324,'2324 Jun 24 Enroll'!F$1,FALSE)='District Calculations'!$D$13,VLOOKUP($A299,EnrollData2324,'2324 Jun 24 Enroll'!F$1,FALSE),'District Calculations'!$D$13)*Apport_224A2324s,3)</f>
        <v>3.7029999999999998</v>
      </c>
      <c r="W299">
        <f>ROUND(IF(VLOOKUP($A299,EnrollData2324,'2324 Jun 24 Enroll'!G$1,FALSE)='District Calculations'!$D$14,VLOOKUP($A299,EnrollData2324,'2324 Jun 24 Enroll'!G$1,FALSE),'District Calculations'!$D$14)*Apport_212A2324s,3)</f>
        <v>8.2089999999999996</v>
      </c>
      <c r="X299">
        <f>ROUND(IF(VLOOKUP($A299,EnrollData2324,'2324 Jun 24 Enroll'!H$1,FALSE)='District Calculations'!$D$14,VLOOKUP($A299,EnrollData2324,'2324 Jun 24 Enroll'!H$1,FALSE),'District Calculations'!$D$14)*Apport_215A2324s,3)</f>
        <v>8.0969999999999995</v>
      </c>
      <c r="Y299">
        <f>ROUND(IF(VLOOKUP($A299,EnrollData2324,'2324 Jun 24 Enroll'!I$1,FALSE)+VLOOKUP($A299,EnrollData2324,'2324 Jun 24 Enroll'!M$1,FALSE)-VLOOKUP($A299,EnrollData2324,'2324 Jun 24 Enroll'!J$1,FALSE)='District Calculations'!$D$16+'District Calculations'!$D$25-'District Calculations'!$D$17,VLOOKUP($A299,EnrollData2324,'2324 Jun 24 Enroll'!I$1,FALSE)+VLOOKUP($A299,EnrollData2324,'2324 Jun 24 Enroll'!M$1,FALSE)-VLOOKUP($A299,EnrollData2324,'2324 Jun 24 Enroll'!J$1,FALSE),'District Calculations'!$D$16+'District Calculations'!$D$25-'District Calculations'!$D$17)*Apport_218A2324s,3)</f>
        <v>20.224</v>
      </c>
      <c r="Z299">
        <f>ROUND(SUM(T299:Y299)/IF(VLOOKUP($A299,EnrollData2324,'2324 Jun 24 Enroll'!M$1,FALSE)+VLOOKUP($A299,EnrollData2324,'2324 Jun 24 Enroll'!D$1,FALSE)='District Calculations'!$D$25+'District Calculations'!$D$11,VLOOKUP($A299,EnrollData2324,'2324 Jun 24 Enroll'!M$1,FALSE)+VLOOKUP($A299,EnrollData2324,'2324 Jun 24 Enroll'!D$1,FALSE),'District Calculations'!$D$25+'District Calculations'!$D$11),5)</f>
        <v>1.7749999999999998E-2</v>
      </c>
      <c r="AA299" s="6" cm="1">
        <f t="array" ref="AA299">ROUND($J299*CIS_Base_Salary2324s*VLOOKUP($A299,EnrollData2324,'2324 Jun 24 Enroll'!S$1,FALSE),2)</f>
        <v>4038.59</v>
      </c>
      <c r="AB299" s="6" cm="1">
        <f t="array" ref="AB299">ROUND($J299*CIS_Inc_Salary2324s*(VLOOKUP($A299,EnrollData2324,'2324 Jun 24 Enroll'!T$1,FALSE)+VLOOKUP($A299,EnrollData2324,'2324 Jun 24 Enroll'!U$1,FALSE)),2)-AA299</f>
        <v>149.43000000000029</v>
      </c>
      <c r="AC299" s="6" cm="1">
        <f t="array" ref="AC299">ROUND($R299*CAS_Base_Salary2324s*VLOOKUP($A299,EnrollData2324,'2324 Jun 24 Enroll'!S$1,FALSE),2)</f>
        <v>443.7</v>
      </c>
      <c r="AD299" s="6" cm="1">
        <f t="array" ref="AD299">ROUND($R299*CAS_Inc_Salary2324s*VLOOKUP($A299,EnrollData2324,'2324 Jun 24 Enroll'!T$1,FALSE),2)-AC299</f>
        <v>16.410000000000025</v>
      </c>
      <c r="AE299" s="6" cm="1">
        <f t="array" ref="AE299">ROUND($Z299*CLS_Base_Salary2324s*VLOOKUP($A299,EnrollData2324,'2324 Jun 24 Enroll'!S$1,FALSE),2)</f>
        <v>926.07</v>
      </c>
      <c r="AF299" s="6" cm="1">
        <f t="array" ref="AF299">ROUND($Z299*CLS_Inc_Salary2324s*VLOOKUP($A299,EnrollData2324,'2324 Jun 24 Enroll'!T$1,FALSE),2)-AE299</f>
        <v>34.259999999999991</v>
      </c>
      <c r="AG299" cm="1">
        <f t="array" ref="AG299">ROUND(($J299+$R299)*Apport_124X2324s,2)</f>
        <v>734.29</v>
      </c>
      <c r="AH299" s="69">
        <f t="shared" si="29"/>
        <v>68.700000000000045</v>
      </c>
      <c r="AI299" cm="1">
        <f t="array" ref="AI299">ROUND($Z299*Apport_124X2324s,2)</f>
        <v>218.54</v>
      </c>
      <c r="AJ299" cm="1">
        <f t="array" ref="AJ299">ROUND($Z299*Apport_621X2324s*Apport_125X2324s,2)-AI299</f>
        <v>116.51000000000002</v>
      </c>
      <c r="AK299" cm="1">
        <f t="array" ref="AK299">ROUND((AA299+AC299)*Apport_126X2324s,2)</f>
        <v>805.47</v>
      </c>
      <c r="AL299" cm="1">
        <f t="array" ref="AL299">ROUND((AB299+AD299)*Apport_127X2324s,2)</f>
        <v>28.74</v>
      </c>
      <c r="AM299" cm="1">
        <f t="array" ref="AM299">ROUND(AE299*Apport_128X2324s,2)</f>
        <v>204.29</v>
      </c>
      <c r="AN299" cm="1">
        <f t="array" ref="AN299">ROUND(AF299*Apport_129X2324s,2)</f>
        <v>6.36</v>
      </c>
      <c r="AO299" cm="1">
        <f t="array" ref="AO299">ROUND(($J299*CIS_Inc_Salary2324s*(VLOOKUP($A299,EnrollData2324,'2324 Jun 24 Enroll'!T$1,FALSE)+VLOOKUP($A299,EnrollData2324,'2324 Jun 24 Enroll'!U$1,FALSE))/Apport_613Xpd)*Apport_614Xpd,2)</f>
        <v>69.8</v>
      </c>
      <c r="AP299" cm="1">
        <f t="array" ref="AP299">ROUND(AO299*Apport_127X2324s,2)</f>
        <v>12.1</v>
      </c>
      <c r="AQ299">
        <f t="shared" si="30"/>
        <v>30.93</v>
      </c>
      <c r="AR299" s="6" cm="1">
        <f t="array" ref="AR299">ROUND((VLOOKUP($A299,EnrollData2324,'2324 Jun 24 Enroll'!D$1,FALSE)*Apport_M802324s+VLOOKUP($A299,EnrollData2324,'2324 Jun 24 Enroll'!M$1,FALSE)*Apport_M802324s+(VLOOKUP($A299,EnrollData2324,'2324 Jun 24 Enroll'!P$1,FALSE)+VLOOKUP($A299,EnrollData2324,'2324 Jun 24 Enroll'!Q$1,FALSE)+VLOOKUP($A299,EnrollData2324,'2324 Jun 24 Enroll'!R$1,FALSE)+VLOOKUP($A299,EnrollData2324,'2324 Jun 24 Enroll'!I$1,FALSE)+VLOOKUP($A299,EnrollData2324,'2324 Jun 24 Enroll'!N$1,FALSE)+VLOOKUP($A299,EnrollData2324,'2324 Jun 24 Enroll'!O$1,FALSE)+VLOOKUP($A299,EnrollData2324,'2324 Jun 24 Enroll'!K$1,FALSE)+VLOOKUP($A299,EnrollData2324,'2324 Jun 24 Enroll'!L$1,FALSE))*Apport_M812324s)/(VLOOKUP($A299,EnrollData2324,'2324 Jun 24 Enroll'!M$1,FALSE)+VLOOKUP($A299,EnrollData2324,'2324 Jun 24 Enroll'!D$1,FALSE)),2)</f>
        <v>1567.58</v>
      </c>
      <c r="AS299" s="7">
        <f t="shared" si="31"/>
        <v>9471.77</v>
      </c>
    </row>
    <row r="300" spans="1:45">
      <c r="A300" s="40" t="s">
        <v>390</v>
      </c>
      <c r="B300" s="40" t="s">
        <v>391</v>
      </c>
      <c r="C300" s="11">
        <f>ROUND((IFERROR((1/IF(VLOOKUP($A300,EnrollData2324,28,FALSE)='District Calculations'!$D$10,VLOOKUP($A300,EnrollData2324,28,FALSE),'District Calculations'!$D$10))*(1+Apport_Z315),0))+Apport_201A2324s,6)</f>
        <v>7.3449E-2</v>
      </c>
      <c r="D300">
        <f>ROUND(IF(VLOOKUP($A300,EnrollData2324,'2324 Jun 24 Enroll'!D$1,FALSE)='District Calculations'!$D$11,VLOOKUP($A300,EnrollData2324,'2324 Jun 24 Enroll'!D$1,FALSE),'District Calculations'!$D$11)*C300,3)</f>
        <v>0</v>
      </c>
      <c r="E300">
        <f>ROUND(IF(VLOOKUP($A300,EnrollData2324,'2324 Jun 24 Enroll'!E$1,FALSE)='District Calculations'!$D$12,VLOOKUP($A300,EnrollData2324,'2324 Jun 24 Enroll'!E$1,FALSE),'District Calculations'!$D$12)*C300,3)</f>
        <v>59.53</v>
      </c>
      <c r="F300">
        <f>ROUND(IF(VLOOKUP($A300,EnrollData2324,'2324 Jun 24 Enroll'!F$1,FALSE)='District Calculations'!$D$13,VLOOKUP($A300,EnrollData2324,'2324 Jun 24 Enroll'!F$1,FALSE),'District Calculations'!$D$13)*Apport_222A2324s,3)</f>
        <v>10.101000000000001</v>
      </c>
      <c r="G300">
        <f>ROUND(IF(VLOOKUP($A300,EnrollData2324,'2324 Jun 24 Enroll'!G$1,FALSE)='District Calculations'!$D$14,VLOOKUP($A300,EnrollData2324,'2324 Jun 24 Enroll'!G$1,FALSE),'District Calculations'!$D$14)*Apport_210A2324s,3)</f>
        <v>22.395</v>
      </c>
      <c r="H300">
        <f>ROUND(IF(VLOOKUP($A300,EnrollData2324,'2324 Jun 24 Enroll'!H$1,FALSE)='District Calculations'!$D$15,VLOOKUP($A300,EnrollData2324,'2324 Jun 24 Enroll'!H$1,FALSE),'District Calculations'!$D$15)*Apport_213A2324s,3)</f>
        <v>23.091999999999999</v>
      </c>
      <c r="I300">
        <f>ROUND(IF(VLOOKUP($A300,EnrollData2324,'2324 Jun 24 Enroll'!I$1,FALSE)+VLOOKUP($A300,EnrollData2324,'2324 Jun 24 Enroll'!M$1,FALSE)-VLOOKUP($A300,EnrollData2324,'2324 Jun 24 Enroll'!J$1,FALSE)='District Calculations'!$D$16+'District Calculations'!$D$25-'District Calculations'!$D$17,VLOOKUP($A300,EnrollData2324,'2324 Jun 24 Enroll'!I$1,FALSE)+VLOOKUP($A300,EnrollData2324,'2324 Jun 24 Enroll'!M$1,FALSE)-VLOOKUP($A300,EnrollData2324,'2324 Jun 24 Enroll'!J$1,FALSE),'District Calculations'!$D$16+'District Calculations'!$D$25-'District Calculations'!$D$17)*Apport_216A2324s,3)</f>
        <v>58.183999999999997</v>
      </c>
      <c r="J300">
        <f>ROUND(SUM(D300:I300)/(IF(VLOOKUP($A300,EnrollData2324,'2324 Jun 24 Enroll'!M$1,FALSE)='District Calculations'!$D$25,VLOOKUP($A300,EnrollData2324,'2324 Jun 24 Enroll'!M$1,FALSE),'District Calculations'!$D$25)+IF(VLOOKUP($A300,EnrollData2324,'2324 Jun 24 Enroll'!D$1,FALSE)='District Calculations'!$D$11,VLOOKUP($A300,EnrollData2324,'2324 Jun 24 Enroll'!D$1,FALSE),'District Calculations'!$D$11)),5)</f>
        <v>5.5530000000000003E-2</v>
      </c>
      <c r="K300" s="11">
        <f t="shared" si="27"/>
        <v>4.3699999999999998E-3</v>
      </c>
      <c r="L300">
        <f>ROUND(IF(VLOOKUP($A300,EnrollData2324,'2324 Jun 24 Enroll'!D$1,FALSE)='District Calculations'!$D$11,VLOOKUP($A300,EnrollData2324,'2324 Jun 24 Enroll'!D$1,FALSE),'District Calculations'!$D$11)*K300,3)</f>
        <v>0</v>
      </c>
      <c r="M300">
        <f>ROUND(IF(VLOOKUP($A300,EnrollData2324,'2324 Jun 24 Enroll'!E$1,FALSE)='District Calculations'!$D$12,VLOOKUP($A300,EnrollData2324,'2324 Jun 24 Enroll'!E$1,FALSE),'District Calculations'!$D$12)*K300,3)</f>
        <v>3.5419999999999998</v>
      </c>
      <c r="N300">
        <f>ROUND(IF(VLOOKUP($A300,EnrollData2324,'2324 Jun 24 Enroll'!F$1,FALSE)='District Calculations'!$D$13,VLOOKUP($A300,EnrollData2324,'2324 Jun 24 Enroll'!F$1,FALSE),'District Calculations'!$D$13)*Apport_223A2324s,3)</f>
        <v>0.84299999999999997</v>
      </c>
      <c r="O300">
        <f>ROUND(IF(VLOOKUP($A300,EnrollData2324,'2324 Jun 24 Enroll'!G$1,FALSE)='District Calculations'!$D$14,VLOOKUP($A300,EnrollData2324,'2324 Jun 24 Enroll'!G$1,FALSE),'District Calculations'!$D$14)*Apport_211A2324s,3)</f>
        <v>1.87</v>
      </c>
      <c r="P300">
        <f>ROUND(IF(VLOOKUP($A300,EnrollData2324,'2324 Jun 24 Enroll'!H$1,FALSE)='District Calculations'!$D$14,VLOOKUP($A300,EnrollData2324,'2324 Jun 24 Enroll'!H$1,FALSE),'District Calculations'!$D$14)*Apport_214A2324s,3)</f>
        <v>1.8680000000000001</v>
      </c>
      <c r="Q300">
        <f>ROUND(IF(VLOOKUP($A300,EnrollData2324,'2324 Jun 24 Enroll'!I$1,FALSE)+VLOOKUP($A300,EnrollData2324,'2324 Jun 24 Enroll'!M$1,FALSE)-VLOOKUP($A300,EnrollData2324,'2324 Jun 24 Enroll'!J$1,FALSE)='District Calculations'!$D$16+'District Calculations'!$D$25-'District Calculations'!$D$17,VLOOKUP($A300,EnrollData2324,'2324 Jun 24 Enroll'!I$1,FALSE)+VLOOKUP($A300,EnrollData2324,'2324 Jun 24 Enroll'!M$1,FALSE)-VLOOKUP($A300,EnrollData2324,'2324 Jun 24 Enroll'!J$1,FALSE),'District Calculations'!$D$16+'District Calculations'!$D$25-'District Calculations'!$D$17)*Apport_217A2324s,3)</f>
        <v>4.702</v>
      </c>
      <c r="R300">
        <f>ROUND(SUM(L300:Q300)/IF(VLOOKUP($A300,EnrollData2324,'2324 Jun 24 Enroll'!M$1,FALSE)+VLOOKUP($A300,EnrollData2324,'2324 Jun 24 Enroll'!D$1,FALSE)='District Calculations'!$D$25+'District Calculations'!$D$11,VLOOKUP($A300,EnrollData2324,'2324 Jun 24 Enroll'!M$1,FALSE)+VLOOKUP($A300,EnrollData2324,'2324 Jun 24 Enroll'!D$1,FALSE),'District Calculations'!$D$25+'District Calculations'!$D$11),5)</f>
        <v>4.1099999999999999E-3</v>
      </c>
      <c r="S300" s="11">
        <f t="shared" si="28"/>
        <v>1.8689600000000001E-2</v>
      </c>
      <c r="T300">
        <f>ROUND(IF(VLOOKUP($A300,EnrollData2324,'2324 Jun 24 Enroll'!D$1,FALSE)='District Calculations'!$D$11,VLOOKUP($A300,EnrollData2324,'2324 Jun 24 Enroll'!D$1,FALSE),'District Calculations'!$D$11)*S300,3)</f>
        <v>0</v>
      </c>
      <c r="U300">
        <f>ROUND(IF(VLOOKUP($A300,EnrollData2324,'2324 Jun 24 Enroll'!E$1,FALSE)='District Calculations'!$D$12,VLOOKUP($A300,EnrollData2324,'2324 Jun 24 Enroll'!E$1,FALSE),'District Calculations'!$D$12)*S300,3)</f>
        <v>15.148</v>
      </c>
      <c r="V300">
        <f>ROUND(IF(VLOOKUP($A300,EnrollData2324,'2324 Jun 24 Enroll'!F$1,FALSE)='District Calculations'!$D$13,VLOOKUP($A300,EnrollData2324,'2324 Jun 24 Enroll'!F$1,FALSE),'District Calculations'!$D$13)*Apport_224A2324s,3)</f>
        <v>3.7029999999999998</v>
      </c>
      <c r="W300">
        <f>ROUND(IF(VLOOKUP($A300,EnrollData2324,'2324 Jun 24 Enroll'!G$1,FALSE)='District Calculations'!$D$14,VLOOKUP($A300,EnrollData2324,'2324 Jun 24 Enroll'!G$1,FALSE),'District Calculations'!$D$14)*Apport_212A2324s,3)</f>
        <v>8.2089999999999996</v>
      </c>
      <c r="X300">
        <f>ROUND(IF(VLOOKUP($A300,EnrollData2324,'2324 Jun 24 Enroll'!H$1,FALSE)='District Calculations'!$D$14,VLOOKUP($A300,EnrollData2324,'2324 Jun 24 Enroll'!H$1,FALSE),'District Calculations'!$D$14)*Apport_215A2324s,3)</f>
        <v>8.0969999999999995</v>
      </c>
      <c r="Y300">
        <f>ROUND(IF(VLOOKUP($A300,EnrollData2324,'2324 Jun 24 Enroll'!I$1,FALSE)+VLOOKUP($A300,EnrollData2324,'2324 Jun 24 Enroll'!M$1,FALSE)-VLOOKUP($A300,EnrollData2324,'2324 Jun 24 Enroll'!J$1,FALSE)='District Calculations'!$D$16+'District Calculations'!$D$25-'District Calculations'!$D$17,VLOOKUP($A300,EnrollData2324,'2324 Jun 24 Enroll'!I$1,FALSE)+VLOOKUP($A300,EnrollData2324,'2324 Jun 24 Enroll'!M$1,FALSE)-VLOOKUP($A300,EnrollData2324,'2324 Jun 24 Enroll'!J$1,FALSE),'District Calculations'!$D$16+'District Calculations'!$D$25-'District Calculations'!$D$17)*Apport_218A2324s,3)</f>
        <v>20.224</v>
      </c>
      <c r="Z300">
        <f>ROUND(SUM(T300:Y300)/IF(VLOOKUP($A300,EnrollData2324,'2324 Jun 24 Enroll'!M$1,FALSE)+VLOOKUP($A300,EnrollData2324,'2324 Jun 24 Enroll'!D$1,FALSE)='District Calculations'!$D$25+'District Calculations'!$D$11,VLOOKUP($A300,EnrollData2324,'2324 Jun 24 Enroll'!M$1,FALSE)+VLOOKUP($A300,EnrollData2324,'2324 Jun 24 Enroll'!D$1,FALSE),'District Calculations'!$D$25+'District Calculations'!$D$11),5)</f>
        <v>1.7749999999999998E-2</v>
      </c>
      <c r="AA300" s="6" cm="1">
        <f t="array" ref="AA300">ROUND($J300*CIS_Base_Salary2324s*VLOOKUP($A300,EnrollData2324,'2324 Jun 24 Enroll'!S$1,FALSE),2)</f>
        <v>4038.59</v>
      </c>
      <c r="AB300" s="6" cm="1">
        <f t="array" ref="AB300">ROUND($J300*CIS_Inc_Salary2324s*(VLOOKUP($A300,EnrollData2324,'2324 Jun 24 Enroll'!T$1,FALSE)+VLOOKUP($A300,EnrollData2324,'2324 Jun 24 Enroll'!U$1,FALSE)),2)-AA300</f>
        <v>316.94999999999982</v>
      </c>
      <c r="AC300" s="6" cm="1">
        <f t="array" ref="AC300">ROUND($R300*CAS_Base_Salary2324s*VLOOKUP($A300,EnrollData2324,'2324 Jun 24 Enroll'!S$1,FALSE),2)</f>
        <v>443.7</v>
      </c>
      <c r="AD300" s="6" cm="1">
        <f t="array" ref="AD300">ROUND($R300*CAS_Inc_Salary2324s*VLOOKUP($A300,EnrollData2324,'2324 Jun 24 Enroll'!T$1,FALSE),2)-AC300</f>
        <v>16.410000000000025</v>
      </c>
      <c r="AE300" s="6" cm="1">
        <f t="array" ref="AE300">ROUND($Z300*CLS_Base_Salary2324s*VLOOKUP($A300,EnrollData2324,'2324 Jun 24 Enroll'!S$1,FALSE),2)</f>
        <v>926.07</v>
      </c>
      <c r="AF300" s="6" cm="1">
        <f t="array" ref="AF300">ROUND($Z300*CLS_Inc_Salary2324s*VLOOKUP($A300,EnrollData2324,'2324 Jun 24 Enroll'!T$1,FALSE),2)-AE300</f>
        <v>34.259999999999991</v>
      </c>
      <c r="AG300" cm="1">
        <f t="array" ref="AG300">ROUND(($J300+$R300)*Apport_124X2324s,2)</f>
        <v>734.29</v>
      </c>
      <c r="AH300" s="69">
        <f t="shared" si="29"/>
        <v>68.700000000000045</v>
      </c>
      <c r="AI300" cm="1">
        <f t="array" ref="AI300">ROUND($Z300*Apport_124X2324s,2)</f>
        <v>218.54</v>
      </c>
      <c r="AJ300" cm="1">
        <f t="array" ref="AJ300">ROUND($Z300*Apport_621X2324s*Apport_125X2324s,2)-AI300</f>
        <v>116.51000000000002</v>
      </c>
      <c r="AK300" cm="1">
        <f t="array" ref="AK300">ROUND((AA300+AC300)*Apport_126X2324s,2)</f>
        <v>805.47</v>
      </c>
      <c r="AL300" cm="1">
        <f t="array" ref="AL300">ROUND((AB300+AD300)*Apport_127X2324s,2)</f>
        <v>57.77</v>
      </c>
      <c r="AM300" cm="1">
        <f t="array" ref="AM300">ROUND(AE300*Apport_128X2324s,2)</f>
        <v>204.29</v>
      </c>
      <c r="AN300" cm="1">
        <f t="array" ref="AN300">ROUND(AF300*Apport_129X2324s,2)</f>
        <v>6.36</v>
      </c>
      <c r="AO300" cm="1">
        <f t="array" ref="AO300">ROUND(($J300*CIS_Inc_Salary2324s*(VLOOKUP($A300,EnrollData2324,'2324 Jun 24 Enroll'!T$1,FALSE)+VLOOKUP($A300,EnrollData2324,'2324 Jun 24 Enroll'!U$1,FALSE))/Apport_613Xpd)*Apport_614Xpd,2)</f>
        <v>72.59</v>
      </c>
      <c r="AP300" cm="1">
        <f t="array" ref="AP300">ROUND(AO300*Apport_127X2324s,2)</f>
        <v>12.58</v>
      </c>
      <c r="AQ300">
        <f t="shared" si="30"/>
        <v>30.93</v>
      </c>
      <c r="AR300" s="6" cm="1">
        <f t="array" ref="AR300">ROUND((VLOOKUP($A300,EnrollData2324,'2324 Jun 24 Enroll'!D$1,FALSE)*Apport_M802324s+VLOOKUP($A300,EnrollData2324,'2324 Jun 24 Enroll'!M$1,FALSE)*Apport_M802324s+(VLOOKUP($A300,EnrollData2324,'2324 Jun 24 Enroll'!P$1,FALSE)+VLOOKUP($A300,EnrollData2324,'2324 Jun 24 Enroll'!Q$1,FALSE)+VLOOKUP($A300,EnrollData2324,'2324 Jun 24 Enroll'!R$1,FALSE)+VLOOKUP($A300,EnrollData2324,'2324 Jun 24 Enroll'!I$1,FALSE)+VLOOKUP($A300,EnrollData2324,'2324 Jun 24 Enroll'!N$1,FALSE)+VLOOKUP($A300,EnrollData2324,'2324 Jun 24 Enroll'!O$1,FALSE)+VLOOKUP($A300,EnrollData2324,'2324 Jun 24 Enroll'!K$1,FALSE)+VLOOKUP($A300,EnrollData2324,'2324 Jun 24 Enroll'!L$1,FALSE))*Apport_M812324s)/(VLOOKUP($A300,EnrollData2324,'2324 Jun 24 Enroll'!M$1,FALSE)+VLOOKUP($A300,EnrollData2324,'2324 Jun 24 Enroll'!D$1,FALSE)),2)</f>
        <v>1567.68</v>
      </c>
      <c r="AS300" s="7">
        <f t="shared" si="31"/>
        <v>9671.69</v>
      </c>
    </row>
    <row r="301" spans="1:45">
      <c r="A301" s="40" t="s">
        <v>679</v>
      </c>
      <c r="B301" s="40" t="s">
        <v>680</v>
      </c>
      <c r="C301" s="11">
        <f>ROUND((IFERROR((1/IF(VLOOKUP($A301,EnrollData2324,28,FALSE)='District Calculations'!$D$10,VLOOKUP($A301,EnrollData2324,28,FALSE),'District Calculations'!$D$10))*(1+Apport_Z315),0))+Apport_201A2324s,6)</f>
        <v>7.3449E-2</v>
      </c>
      <c r="D301">
        <f>ROUND(IF(VLOOKUP($A301,EnrollData2324,'2324 Jun 24 Enroll'!D$1,FALSE)='District Calculations'!$D$11,VLOOKUP($A301,EnrollData2324,'2324 Jun 24 Enroll'!D$1,FALSE),'District Calculations'!$D$11)*C301,3)</f>
        <v>0</v>
      </c>
      <c r="E301">
        <f>ROUND(IF(VLOOKUP($A301,EnrollData2324,'2324 Jun 24 Enroll'!E$1,FALSE)='District Calculations'!$D$12,VLOOKUP($A301,EnrollData2324,'2324 Jun 24 Enroll'!E$1,FALSE),'District Calculations'!$D$12)*C301,3)</f>
        <v>59.53</v>
      </c>
      <c r="F301">
        <f>ROUND(IF(VLOOKUP($A301,EnrollData2324,'2324 Jun 24 Enroll'!F$1,FALSE)='District Calculations'!$D$13,VLOOKUP($A301,EnrollData2324,'2324 Jun 24 Enroll'!F$1,FALSE),'District Calculations'!$D$13)*Apport_222A2324s,3)</f>
        <v>10.101000000000001</v>
      </c>
      <c r="G301">
        <f>ROUND(IF(VLOOKUP($A301,EnrollData2324,'2324 Jun 24 Enroll'!G$1,FALSE)='District Calculations'!$D$14,VLOOKUP($A301,EnrollData2324,'2324 Jun 24 Enroll'!G$1,FALSE),'District Calculations'!$D$14)*Apport_210A2324s,3)</f>
        <v>22.395</v>
      </c>
      <c r="H301">
        <f>ROUND(IF(VLOOKUP($A301,EnrollData2324,'2324 Jun 24 Enroll'!H$1,FALSE)='District Calculations'!$D$15,VLOOKUP($A301,EnrollData2324,'2324 Jun 24 Enroll'!H$1,FALSE),'District Calculations'!$D$15)*Apport_213A2324s,3)</f>
        <v>23.091999999999999</v>
      </c>
      <c r="I301">
        <f>ROUND(IF(VLOOKUP($A301,EnrollData2324,'2324 Jun 24 Enroll'!I$1,FALSE)+VLOOKUP($A301,EnrollData2324,'2324 Jun 24 Enroll'!M$1,FALSE)-VLOOKUP($A301,EnrollData2324,'2324 Jun 24 Enroll'!J$1,FALSE)='District Calculations'!$D$16+'District Calculations'!$D$25-'District Calculations'!$D$17,VLOOKUP($A301,EnrollData2324,'2324 Jun 24 Enroll'!I$1,FALSE)+VLOOKUP($A301,EnrollData2324,'2324 Jun 24 Enroll'!M$1,FALSE)-VLOOKUP($A301,EnrollData2324,'2324 Jun 24 Enroll'!J$1,FALSE),'District Calculations'!$D$16+'District Calculations'!$D$25-'District Calculations'!$D$17)*Apport_216A2324s,3)</f>
        <v>58.183999999999997</v>
      </c>
      <c r="J301">
        <f>ROUND(SUM(D301:I301)/(IF(VLOOKUP($A301,EnrollData2324,'2324 Jun 24 Enroll'!M$1,FALSE)='District Calculations'!$D$25,VLOOKUP($A301,EnrollData2324,'2324 Jun 24 Enroll'!M$1,FALSE),'District Calculations'!$D$25)+IF(VLOOKUP($A301,EnrollData2324,'2324 Jun 24 Enroll'!D$1,FALSE)='District Calculations'!$D$11,VLOOKUP($A301,EnrollData2324,'2324 Jun 24 Enroll'!D$1,FALSE),'District Calculations'!$D$11)),5)</f>
        <v>5.5530000000000003E-2</v>
      </c>
      <c r="K301" s="11">
        <f t="shared" si="27"/>
        <v>4.3699999999999998E-3</v>
      </c>
      <c r="L301">
        <f>ROUND(IF(VLOOKUP($A301,EnrollData2324,'2324 Jun 24 Enroll'!D$1,FALSE)='District Calculations'!$D$11,VLOOKUP($A301,EnrollData2324,'2324 Jun 24 Enroll'!D$1,FALSE),'District Calculations'!$D$11)*K301,3)</f>
        <v>0</v>
      </c>
      <c r="M301">
        <f>ROUND(IF(VLOOKUP($A301,EnrollData2324,'2324 Jun 24 Enroll'!E$1,FALSE)='District Calculations'!$D$12,VLOOKUP($A301,EnrollData2324,'2324 Jun 24 Enroll'!E$1,FALSE),'District Calculations'!$D$12)*K301,3)</f>
        <v>3.5419999999999998</v>
      </c>
      <c r="N301">
        <f>ROUND(IF(VLOOKUP($A301,EnrollData2324,'2324 Jun 24 Enroll'!F$1,FALSE)='District Calculations'!$D$13,VLOOKUP($A301,EnrollData2324,'2324 Jun 24 Enroll'!F$1,FALSE),'District Calculations'!$D$13)*Apport_223A2324s,3)</f>
        <v>0.84299999999999997</v>
      </c>
      <c r="O301">
        <f>ROUND(IF(VLOOKUP($A301,EnrollData2324,'2324 Jun 24 Enroll'!G$1,FALSE)='District Calculations'!$D$14,VLOOKUP($A301,EnrollData2324,'2324 Jun 24 Enroll'!G$1,FALSE),'District Calculations'!$D$14)*Apport_211A2324s,3)</f>
        <v>1.87</v>
      </c>
      <c r="P301">
        <f>ROUND(IF(VLOOKUP($A301,EnrollData2324,'2324 Jun 24 Enroll'!H$1,FALSE)='District Calculations'!$D$14,VLOOKUP($A301,EnrollData2324,'2324 Jun 24 Enroll'!H$1,FALSE),'District Calculations'!$D$14)*Apport_214A2324s,3)</f>
        <v>1.8680000000000001</v>
      </c>
      <c r="Q301">
        <f>ROUND(IF(VLOOKUP($A301,EnrollData2324,'2324 Jun 24 Enroll'!I$1,FALSE)+VLOOKUP($A301,EnrollData2324,'2324 Jun 24 Enroll'!M$1,FALSE)-VLOOKUP($A301,EnrollData2324,'2324 Jun 24 Enroll'!J$1,FALSE)='District Calculations'!$D$16+'District Calculations'!$D$25-'District Calculations'!$D$17,VLOOKUP($A301,EnrollData2324,'2324 Jun 24 Enroll'!I$1,FALSE)+VLOOKUP($A301,EnrollData2324,'2324 Jun 24 Enroll'!M$1,FALSE)-VLOOKUP($A301,EnrollData2324,'2324 Jun 24 Enroll'!J$1,FALSE),'District Calculations'!$D$16+'District Calculations'!$D$25-'District Calculations'!$D$17)*Apport_217A2324s,3)</f>
        <v>4.702</v>
      </c>
      <c r="R301">
        <f>ROUND(SUM(L301:Q301)/IF(VLOOKUP($A301,EnrollData2324,'2324 Jun 24 Enroll'!M$1,FALSE)+VLOOKUP($A301,EnrollData2324,'2324 Jun 24 Enroll'!D$1,FALSE)='District Calculations'!$D$25+'District Calculations'!$D$11,VLOOKUP($A301,EnrollData2324,'2324 Jun 24 Enroll'!M$1,FALSE)+VLOOKUP($A301,EnrollData2324,'2324 Jun 24 Enroll'!D$1,FALSE),'District Calculations'!$D$25+'District Calculations'!$D$11),5)</f>
        <v>4.1099999999999999E-3</v>
      </c>
      <c r="S301" s="11">
        <f t="shared" si="28"/>
        <v>1.8689600000000001E-2</v>
      </c>
      <c r="T301">
        <f>ROUND(IF(VLOOKUP($A301,EnrollData2324,'2324 Jun 24 Enroll'!D$1,FALSE)='District Calculations'!$D$11,VLOOKUP($A301,EnrollData2324,'2324 Jun 24 Enroll'!D$1,FALSE),'District Calculations'!$D$11)*S301,3)</f>
        <v>0</v>
      </c>
      <c r="U301">
        <f>ROUND(IF(VLOOKUP($A301,EnrollData2324,'2324 Jun 24 Enroll'!E$1,FALSE)='District Calculations'!$D$12,VLOOKUP($A301,EnrollData2324,'2324 Jun 24 Enroll'!E$1,FALSE),'District Calculations'!$D$12)*S301,3)</f>
        <v>15.148</v>
      </c>
      <c r="V301">
        <f>ROUND(IF(VLOOKUP($A301,EnrollData2324,'2324 Jun 24 Enroll'!F$1,FALSE)='District Calculations'!$D$13,VLOOKUP($A301,EnrollData2324,'2324 Jun 24 Enroll'!F$1,FALSE),'District Calculations'!$D$13)*Apport_224A2324s,3)</f>
        <v>3.7029999999999998</v>
      </c>
      <c r="W301">
        <f>ROUND(IF(VLOOKUP($A301,EnrollData2324,'2324 Jun 24 Enroll'!G$1,FALSE)='District Calculations'!$D$14,VLOOKUP($A301,EnrollData2324,'2324 Jun 24 Enroll'!G$1,FALSE),'District Calculations'!$D$14)*Apport_212A2324s,3)</f>
        <v>8.2089999999999996</v>
      </c>
      <c r="X301">
        <f>ROUND(IF(VLOOKUP($A301,EnrollData2324,'2324 Jun 24 Enroll'!H$1,FALSE)='District Calculations'!$D$14,VLOOKUP($A301,EnrollData2324,'2324 Jun 24 Enroll'!H$1,FALSE),'District Calculations'!$D$14)*Apport_215A2324s,3)</f>
        <v>8.0969999999999995</v>
      </c>
      <c r="Y301">
        <f>ROUND(IF(VLOOKUP($A301,EnrollData2324,'2324 Jun 24 Enroll'!I$1,FALSE)+VLOOKUP($A301,EnrollData2324,'2324 Jun 24 Enroll'!M$1,FALSE)-VLOOKUP($A301,EnrollData2324,'2324 Jun 24 Enroll'!J$1,FALSE)='District Calculations'!$D$16+'District Calculations'!$D$25-'District Calculations'!$D$17,VLOOKUP($A301,EnrollData2324,'2324 Jun 24 Enroll'!I$1,FALSE)+VLOOKUP($A301,EnrollData2324,'2324 Jun 24 Enroll'!M$1,FALSE)-VLOOKUP($A301,EnrollData2324,'2324 Jun 24 Enroll'!J$1,FALSE),'District Calculations'!$D$16+'District Calculations'!$D$25-'District Calculations'!$D$17)*Apport_218A2324s,3)</f>
        <v>20.224</v>
      </c>
      <c r="Z301">
        <f>ROUND(SUM(T301:Y301)/IF(VLOOKUP($A301,EnrollData2324,'2324 Jun 24 Enroll'!M$1,FALSE)+VLOOKUP($A301,EnrollData2324,'2324 Jun 24 Enroll'!D$1,FALSE)='District Calculations'!$D$25+'District Calculations'!$D$11,VLOOKUP($A301,EnrollData2324,'2324 Jun 24 Enroll'!M$1,FALSE)+VLOOKUP($A301,EnrollData2324,'2324 Jun 24 Enroll'!D$1,FALSE),'District Calculations'!$D$25+'District Calculations'!$D$11),5)</f>
        <v>1.7749999999999998E-2</v>
      </c>
      <c r="AA301" s="6" cm="1">
        <f t="array" ref="AA301">ROUND($J301*CIS_Base_Salary2324s*VLOOKUP($A301,EnrollData2324,'2324 Jun 24 Enroll'!S$1,FALSE),2)</f>
        <v>4038.59</v>
      </c>
      <c r="AB301" s="6" cm="1">
        <f t="array" ref="AB301">ROUND($J301*CIS_Inc_Salary2324s*(VLOOKUP($A301,EnrollData2324,'2324 Jun 24 Enroll'!T$1,FALSE)+VLOOKUP($A301,EnrollData2324,'2324 Jun 24 Enroll'!U$1,FALSE)),2)-AA301</f>
        <v>149.43000000000029</v>
      </c>
      <c r="AC301" s="6" cm="1">
        <f t="array" ref="AC301">ROUND($R301*CAS_Base_Salary2324s*VLOOKUP($A301,EnrollData2324,'2324 Jun 24 Enroll'!S$1,FALSE),2)</f>
        <v>443.7</v>
      </c>
      <c r="AD301" s="6" cm="1">
        <f t="array" ref="AD301">ROUND($R301*CAS_Inc_Salary2324s*VLOOKUP($A301,EnrollData2324,'2324 Jun 24 Enroll'!T$1,FALSE),2)-AC301</f>
        <v>16.410000000000025</v>
      </c>
      <c r="AE301" s="6" cm="1">
        <f t="array" ref="AE301">ROUND($Z301*CLS_Base_Salary2324s*VLOOKUP($A301,EnrollData2324,'2324 Jun 24 Enroll'!S$1,FALSE),2)</f>
        <v>926.07</v>
      </c>
      <c r="AF301" s="6" cm="1">
        <f t="array" ref="AF301">ROUND($Z301*CLS_Inc_Salary2324s*VLOOKUP($A301,EnrollData2324,'2324 Jun 24 Enroll'!T$1,FALSE),2)-AE301</f>
        <v>34.259999999999991</v>
      </c>
      <c r="AG301" cm="1">
        <f t="array" ref="AG301">ROUND(($J301+$R301)*Apport_124X2324s,2)</f>
        <v>734.29</v>
      </c>
      <c r="AH301" s="69">
        <f t="shared" si="29"/>
        <v>68.700000000000045</v>
      </c>
      <c r="AI301" cm="1">
        <f t="array" ref="AI301">ROUND($Z301*Apport_124X2324s,2)</f>
        <v>218.54</v>
      </c>
      <c r="AJ301" cm="1">
        <f t="array" ref="AJ301">ROUND($Z301*Apport_621X2324s*Apport_125X2324s,2)-AI301</f>
        <v>116.51000000000002</v>
      </c>
      <c r="AK301" cm="1">
        <f t="array" ref="AK301">ROUND((AA301+AC301)*Apport_126X2324s,2)</f>
        <v>805.47</v>
      </c>
      <c r="AL301" cm="1">
        <f t="array" ref="AL301">ROUND((AB301+AD301)*Apport_127X2324s,2)</f>
        <v>28.74</v>
      </c>
      <c r="AM301" cm="1">
        <f t="array" ref="AM301">ROUND(AE301*Apport_128X2324s,2)</f>
        <v>204.29</v>
      </c>
      <c r="AN301" cm="1">
        <f t="array" ref="AN301">ROUND(AF301*Apport_129X2324s,2)</f>
        <v>6.36</v>
      </c>
      <c r="AO301" cm="1">
        <f t="array" ref="AO301">ROUND(($J301*CIS_Inc_Salary2324s*(VLOOKUP($A301,EnrollData2324,'2324 Jun 24 Enroll'!T$1,FALSE)+VLOOKUP($A301,EnrollData2324,'2324 Jun 24 Enroll'!U$1,FALSE))/Apport_613Xpd)*Apport_614Xpd,2)</f>
        <v>69.8</v>
      </c>
      <c r="AP301" cm="1">
        <f t="array" ref="AP301">ROUND(AO301*Apport_127X2324s,2)</f>
        <v>12.1</v>
      </c>
      <c r="AQ301">
        <f t="shared" si="30"/>
        <v>30.93</v>
      </c>
      <c r="AR301" s="6" cm="1">
        <f t="array" ref="AR301">ROUND((VLOOKUP($A301,EnrollData2324,'2324 Jun 24 Enroll'!D$1,FALSE)*Apport_M802324s+VLOOKUP($A301,EnrollData2324,'2324 Jun 24 Enroll'!M$1,FALSE)*Apport_M802324s+(VLOOKUP($A301,EnrollData2324,'2324 Jun 24 Enroll'!P$1,FALSE)+VLOOKUP($A301,EnrollData2324,'2324 Jun 24 Enroll'!Q$1,FALSE)+VLOOKUP($A301,EnrollData2324,'2324 Jun 24 Enroll'!R$1,FALSE)+VLOOKUP($A301,EnrollData2324,'2324 Jun 24 Enroll'!I$1,FALSE)+VLOOKUP($A301,EnrollData2324,'2324 Jun 24 Enroll'!N$1,FALSE)+VLOOKUP($A301,EnrollData2324,'2324 Jun 24 Enroll'!O$1,FALSE)+VLOOKUP($A301,EnrollData2324,'2324 Jun 24 Enroll'!K$1,FALSE)+VLOOKUP($A301,EnrollData2324,'2324 Jun 24 Enroll'!L$1,FALSE))*Apport_M812324s)/(VLOOKUP($A301,EnrollData2324,'2324 Jun 24 Enroll'!M$1,FALSE)+VLOOKUP($A301,EnrollData2324,'2324 Jun 24 Enroll'!D$1,FALSE)),2)</f>
        <v>1560.24</v>
      </c>
      <c r="AS301" s="7">
        <f t="shared" si="31"/>
        <v>9464.43</v>
      </c>
    </row>
    <row r="302" spans="1:45">
      <c r="A302" s="40" t="s">
        <v>476</v>
      </c>
      <c r="B302" s="40" t="s">
        <v>477</v>
      </c>
      <c r="C302" s="11">
        <f>ROUND((IFERROR((1/IF(VLOOKUP($A302,EnrollData2324,28,FALSE)='District Calculations'!$D$10,VLOOKUP($A302,EnrollData2324,28,FALSE),'District Calculations'!$D$10))*(1+Apport_Z315),0))+Apport_201A2324s,6)</f>
        <v>7.3449E-2</v>
      </c>
      <c r="D302">
        <f>ROUND(IF(VLOOKUP($A302,EnrollData2324,'2324 Jun 24 Enroll'!D$1,FALSE)='District Calculations'!$D$11,VLOOKUP($A302,EnrollData2324,'2324 Jun 24 Enroll'!D$1,FALSE),'District Calculations'!$D$11)*C302,3)</f>
        <v>0</v>
      </c>
      <c r="E302">
        <f>ROUND(IF(VLOOKUP($A302,EnrollData2324,'2324 Jun 24 Enroll'!E$1,FALSE)='District Calculations'!$D$12,VLOOKUP($A302,EnrollData2324,'2324 Jun 24 Enroll'!E$1,FALSE),'District Calculations'!$D$12)*C302,3)</f>
        <v>59.53</v>
      </c>
      <c r="F302">
        <f>ROUND(IF(VLOOKUP($A302,EnrollData2324,'2324 Jun 24 Enroll'!F$1,FALSE)='District Calculations'!$D$13,VLOOKUP($A302,EnrollData2324,'2324 Jun 24 Enroll'!F$1,FALSE),'District Calculations'!$D$13)*Apport_222A2324s,3)</f>
        <v>10.101000000000001</v>
      </c>
      <c r="G302">
        <f>ROUND(IF(VLOOKUP($A302,EnrollData2324,'2324 Jun 24 Enroll'!G$1,FALSE)='District Calculations'!$D$14,VLOOKUP($A302,EnrollData2324,'2324 Jun 24 Enroll'!G$1,FALSE),'District Calculations'!$D$14)*Apport_210A2324s,3)</f>
        <v>22.395</v>
      </c>
      <c r="H302">
        <f>ROUND(IF(VLOOKUP($A302,EnrollData2324,'2324 Jun 24 Enroll'!H$1,FALSE)='District Calculations'!$D$15,VLOOKUP($A302,EnrollData2324,'2324 Jun 24 Enroll'!H$1,FALSE),'District Calculations'!$D$15)*Apport_213A2324s,3)</f>
        <v>23.091999999999999</v>
      </c>
      <c r="I302">
        <f>ROUND(IF(VLOOKUP($A302,EnrollData2324,'2324 Jun 24 Enroll'!I$1,FALSE)+VLOOKUP($A302,EnrollData2324,'2324 Jun 24 Enroll'!M$1,FALSE)-VLOOKUP($A302,EnrollData2324,'2324 Jun 24 Enroll'!J$1,FALSE)='District Calculations'!$D$16+'District Calculations'!$D$25-'District Calculations'!$D$17,VLOOKUP($A302,EnrollData2324,'2324 Jun 24 Enroll'!I$1,FALSE)+VLOOKUP($A302,EnrollData2324,'2324 Jun 24 Enroll'!M$1,FALSE)-VLOOKUP($A302,EnrollData2324,'2324 Jun 24 Enroll'!J$1,FALSE),'District Calculations'!$D$16+'District Calculations'!$D$25-'District Calculations'!$D$17)*Apport_216A2324s,3)</f>
        <v>58.183999999999997</v>
      </c>
      <c r="J302">
        <f>ROUND(SUM(D302:I302)/(IF(VLOOKUP($A302,EnrollData2324,'2324 Jun 24 Enroll'!M$1,FALSE)='District Calculations'!$D$25,VLOOKUP($A302,EnrollData2324,'2324 Jun 24 Enroll'!M$1,FALSE),'District Calculations'!$D$25)+IF(VLOOKUP($A302,EnrollData2324,'2324 Jun 24 Enroll'!D$1,FALSE)='District Calculations'!$D$11,VLOOKUP($A302,EnrollData2324,'2324 Jun 24 Enroll'!D$1,FALSE),'District Calculations'!$D$11)),5)</f>
        <v>5.5530000000000003E-2</v>
      </c>
      <c r="K302" s="11">
        <f t="shared" si="27"/>
        <v>4.3699999999999998E-3</v>
      </c>
      <c r="L302">
        <f>ROUND(IF(VLOOKUP($A302,EnrollData2324,'2324 Jun 24 Enroll'!D$1,FALSE)='District Calculations'!$D$11,VLOOKUP($A302,EnrollData2324,'2324 Jun 24 Enroll'!D$1,FALSE),'District Calculations'!$D$11)*K302,3)</f>
        <v>0</v>
      </c>
      <c r="M302">
        <f>ROUND(IF(VLOOKUP($A302,EnrollData2324,'2324 Jun 24 Enroll'!E$1,FALSE)='District Calculations'!$D$12,VLOOKUP($A302,EnrollData2324,'2324 Jun 24 Enroll'!E$1,FALSE),'District Calculations'!$D$12)*K302,3)</f>
        <v>3.5419999999999998</v>
      </c>
      <c r="N302">
        <f>ROUND(IF(VLOOKUP($A302,EnrollData2324,'2324 Jun 24 Enroll'!F$1,FALSE)='District Calculations'!$D$13,VLOOKUP($A302,EnrollData2324,'2324 Jun 24 Enroll'!F$1,FALSE),'District Calculations'!$D$13)*Apport_223A2324s,3)</f>
        <v>0.84299999999999997</v>
      </c>
      <c r="O302">
        <f>ROUND(IF(VLOOKUP($A302,EnrollData2324,'2324 Jun 24 Enroll'!G$1,FALSE)='District Calculations'!$D$14,VLOOKUP($A302,EnrollData2324,'2324 Jun 24 Enroll'!G$1,FALSE),'District Calculations'!$D$14)*Apport_211A2324s,3)</f>
        <v>1.87</v>
      </c>
      <c r="P302">
        <f>ROUND(IF(VLOOKUP($A302,EnrollData2324,'2324 Jun 24 Enroll'!H$1,FALSE)='District Calculations'!$D$14,VLOOKUP($A302,EnrollData2324,'2324 Jun 24 Enroll'!H$1,FALSE),'District Calculations'!$D$14)*Apport_214A2324s,3)</f>
        <v>1.8680000000000001</v>
      </c>
      <c r="Q302">
        <f>ROUND(IF(VLOOKUP($A302,EnrollData2324,'2324 Jun 24 Enroll'!I$1,FALSE)+VLOOKUP($A302,EnrollData2324,'2324 Jun 24 Enroll'!M$1,FALSE)-VLOOKUP($A302,EnrollData2324,'2324 Jun 24 Enroll'!J$1,FALSE)='District Calculations'!$D$16+'District Calculations'!$D$25-'District Calculations'!$D$17,VLOOKUP($A302,EnrollData2324,'2324 Jun 24 Enroll'!I$1,FALSE)+VLOOKUP($A302,EnrollData2324,'2324 Jun 24 Enroll'!M$1,FALSE)-VLOOKUP($A302,EnrollData2324,'2324 Jun 24 Enroll'!J$1,FALSE),'District Calculations'!$D$16+'District Calculations'!$D$25-'District Calculations'!$D$17)*Apport_217A2324s,3)</f>
        <v>4.702</v>
      </c>
      <c r="R302">
        <f>ROUND(SUM(L302:Q302)/IF(VLOOKUP($A302,EnrollData2324,'2324 Jun 24 Enroll'!M$1,FALSE)+VLOOKUP($A302,EnrollData2324,'2324 Jun 24 Enroll'!D$1,FALSE)='District Calculations'!$D$25+'District Calculations'!$D$11,VLOOKUP($A302,EnrollData2324,'2324 Jun 24 Enroll'!M$1,FALSE)+VLOOKUP($A302,EnrollData2324,'2324 Jun 24 Enroll'!D$1,FALSE),'District Calculations'!$D$25+'District Calculations'!$D$11),5)</f>
        <v>4.1099999999999999E-3</v>
      </c>
      <c r="S302" s="11">
        <f t="shared" si="28"/>
        <v>1.8689600000000001E-2</v>
      </c>
      <c r="T302">
        <f>ROUND(IF(VLOOKUP($A302,EnrollData2324,'2324 Jun 24 Enroll'!D$1,FALSE)='District Calculations'!$D$11,VLOOKUP($A302,EnrollData2324,'2324 Jun 24 Enroll'!D$1,FALSE),'District Calculations'!$D$11)*S302,3)</f>
        <v>0</v>
      </c>
      <c r="U302">
        <f>ROUND(IF(VLOOKUP($A302,EnrollData2324,'2324 Jun 24 Enroll'!E$1,FALSE)='District Calculations'!$D$12,VLOOKUP($A302,EnrollData2324,'2324 Jun 24 Enroll'!E$1,FALSE),'District Calculations'!$D$12)*S302,3)</f>
        <v>15.148</v>
      </c>
      <c r="V302">
        <f>ROUND(IF(VLOOKUP($A302,EnrollData2324,'2324 Jun 24 Enroll'!F$1,FALSE)='District Calculations'!$D$13,VLOOKUP($A302,EnrollData2324,'2324 Jun 24 Enroll'!F$1,FALSE),'District Calculations'!$D$13)*Apport_224A2324s,3)</f>
        <v>3.7029999999999998</v>
      </c>
      <c r="W302">
        <f>ROUND(IF(VLOOKUP($A302,EnrollData2324,'2324 Jun 24 Enroll'!G$1,FALSE)='District Calculations'!$D$14,VLOOKUP($A302,EnrollData2324,'2324 Jun 24 Enroll'!G$1,FALSE),'District Calculations'!$D$14)*Apport_212A2324s,3)</f>
        <v>8.2089999999999996</v>
      </c>
      <c r="X302">
        <f>ROUND(IF(VLOOKUP($A302,EnrollData2324,'2324 Jun 24 Enroll'!H$1,FALSE)='District Calculations'!$D$14,VLOOKUP($A302,EnrollData2324,'2324 Jun 24 Enroll'!H$1,FALSE),'District Calculations'!$D$14)*Apport_215A2324s,3)</f>
        <v>8.0969999999999995</v>
      </c>
      <c r="Y302">
        <f>ROUND(IF(VLOOKUP($A302,EnrollData2324,'2324 Jun 24 Enroll'!I$1,FALSE)+VLOOKUP($A302,EnrollData2324,'2324 Jun 24 Enroll'!M$1,FALSE)-VLOOKUP($A302,EnrollData2324,'2324 Jun 24 Enroll'!J$1,FALSE)='District Calculations'!$D$16+'District Calculations'!$D$25-'District Calculations'!$D$17,VLOOKUP($A302,EnrollData2324,'2324 Jun 24 Enroll'!I$1,FALSE)+VLOOKUP($A302,EnrollData2324,'2324 Jun 24 Enroll'!M$1,FALSE)-VLOOKUP($A302,EnrollData2324,'2324 Jun 24 Enroll'!J$1,FALSE),'District Calculations'!$D$16+'District Calculations'!$D$25-'District Calculations'!$D$17)*Apport_218A2324s,3)</f>
        <v>20.224</v>
      </c>
      <c r="Z302">
        <f>ROUND(SUM(T302:Y302)/IF(VLOOKUP($A302,EnrollData2324,'2324 Jun 24 Enroll'!M$1,FALSE)+VLOOKUP($A302,EnrollData2324,'2324 Jun 24 Enroll'!D$1,FALSE)='District Calculations'!$D$25+'District Calculations'!$D$11,VLOOKUP($A302,EnrollData2324,'2324 Jun 24 Enroll'!M$1,FALSE)+VLOOKUP($A302,EnrollData2324,'2324 Jun 24 Enroll'!D$1,FALSE),'District Calculations'!$D$25+'District Calculations'!$D$11),5)</f>
        <v>1.7749999999999998E-2</v>
      </c>
      <c r="AA302" s="6" cm="1">
        <f t="array" ref="AA302">ROUND($J302*CIS_Base_Salary2324s*VLOOKUP($A302,EnrollData2324,'2324 Jun 24 Enroll'!S$1,FALSE),2)</f>
        <v>4038.59</v>
      </c>
      <c r="AB302" s="6" cm="1">
        <f t="array" ref="AB302">ROUND($J302*CIS_Inc_Salary2324s*(VLOOKUP($A302,EnrollData2324,'2324 Jun 24 Enroll'!T$1,FALSE)+VLOOKUP($A302,EnrollData2324,'2324 Jun 24 Enroll'!U$1,FALSE)),2)-AA302</f>
        <v>149.43000000000029</v>
      </c>
      <c r="AC302" s="6" cm="1">
        <f t="array" ref="AC302">ROUND($R302*CAS_Base_Salary2324s*VLOOKUP($A302,EnrollData2324,'2324 Jun 24 Enroll'!S$1,FALSE),2)</f>
        <v>443.7</v>
      </c>
      <c r="AD302" s="6" cm="1">
        <f t="array" ref="AD302">ROUND($R302*CAS_Inc_Salary2324s*VLOOKUP($A302,EnrollData2324,'2324 Jun 24 Enroll'!T$1,FALSE),2)-AC302</f>
        <v>16.410000000000025</v>
      </c>
      <c r="AE302" s="6" cm="1">
        <f t="array" ref="AE302">ROUND($Z302*CLS_Base_Salary2324s*VLOOKUP($A302,EnrollData2324,'2324 Jun 24 Enroll'!S$1,FALSE),2)</f>
        <v>926.07</v>
      </c>
      <c r="AF302" s="6" cm="1">
        <f t="array" ref="AF302">ROUND($Z302*CLS_Inc_Salary2324s*VLOOKUP($A302,EnrollData2324,'2324 Jun 24 Enroll'!T$1,FALSE),2)-AE302</f>
        <v>34.259999999999991</v>
      </c>
      <c r="AG302" cm="1">
        <f t="array" ref="AG302">ROUND(($J302+$R302)*Apport_124X2324s,2)</f>
        <v>734.29</v>
      </c>
      <c r="AH302" s="69">
        <f t="shared" si="29"/>
        <v>68.700000000000045</v>
      </c>
      <c r="AI302" cm="1">
        <f t="array" ref="AI302">ROUND($Z302*Apport_124X2324s,2)</f>
        <v>218.54</v>
      </c>
      <c r="AJ302" cm="1">
        <f t="array" ref="AJ302">ROUND($Z302*Apport_621X2324s*Apport_125X2324s,2)-AI302</f>
        <v>116.51000000000002</v>
      </c>
      <c r="AK302" cm="1">
        <f t="array" ref="AK302">ROUND((AA302+AC302)*Apport_126X2324s,2)</f>
        <v>805.47</v>
      </c>
      <c r="AL302" cm="1">
        <f t="array" ref="AL302">ROUND((AB302+AD302)*Apport_127X2324s,2)</f>
        <v>28.74</v>
      </c>
      <c r="AM302" cm="1">
        <f t="array" ref="AM302">ROUND(AE302*Apport_128X2324s,2)</f>
        <v>204.29</v>
      </c>
      <c r="AN302" cm="1">
        <f t="array" ref="AN302">ROUND(AF302*Apport_129X2324s,2)</f>
        <v>6.36</v>
      </c>
      <c r="AO302" cm="1">
        <f t="array" ref="AO302">ROUND(($J302*CIS_Inc_Salary2324s*(VLOOKUP($A302,EnrollData2324,'2324 Jun 24 Enroll'!T$1,FALSE)+VLOOKUP($A302,EnrollData2324,'2324 Jun 24 Enroll'!U$1,FALSE))/Apport_613Xpd)*Apport_614Xpd,2)</f>
        <v>69.8</v>
      </c>
      <c r="AP302" cm="1">
        <f t="array" ref="AP302">ROUND(AO302*Apport_127X2324s,2)</f>
        <v>12.1</v>
      </c>
      <c r="AQ302">
        <f t="shared" si="30"/>
        <v>30.93</v>
      </c>
      <c r="AR302" s="6" cm="1">
        <f t="array" ref="AR302">ROUND((VLOOKUP($A302,EnrollData2324,'2324 Jun 24 Enroll'!D$1,FALSE)*Apport_M802324s+VLOOKUP($A302,EnrollData2324,'2324 Jun 24 Enroll'!M$1,FALSE)*Apport_M802324s+(VLOOKUP($A302,EnrollData2324,'2324 Jun 24 Enroll'!P$1,FALSE)+VLOOKUP($A302,EnrollData2324,'2324 Jun 24 Enroll'!Q$1,FALSE)+VLOOKUP($A302,EnrollData2324,'2324 Jun 24 Enroll'!R$1,FALSE)+VLOOKUP($A302,EnrollData2324,'2324 Jun 24 Enroll'!I$1,FALSE)+VLOOKUP($A302,EnrollData2324,'2324 Jun 24 Enroll'!N$1,FALSE)+VLOOKUP($A302,EnrollData2324,'2324 Jun 24 Enroll'!O$1,FALSE)+VLOOKUP($A302,EnrollData2324,'2324 Jun 24 Enroll'!K$1,FALSE)+VLOOKUP($A302,EnrollData2324,'2324 Jun 24 Enroll'!L$1,FALSE))*Apport_M812324s)/(VLOOKUP($A302,EnrollData2324,'2324 Jun 24 Enroll'!M$1,FALSE)+VLOOKUP($A302,EnrollData2324,'2324 Jun 24 Enroll'!D$1,FALSE)),2)</f>
        <v>1572.48</v>
      </c>
      <c r="AS302" s="7">
        <f t="shared" si="31"/>
        <v>9476.67</v>
      </c>
    </row>
    <row r="303" spans="1:45">
      <c r="A303" s="40" t="s">
        <v>797</v>
      </c>
      <c r="B303" s="40" t="s">
        <v>798</v>
      </c>
      <c r="C303" s="11">
        <f>ROUND((IFERROR((1/IF(VLOOKUP($A303,EnrollData2324,28,FALSE)='District Calculations'!$D$10,VLOOKUP($A303,EnrollData2324,28,FALSE),'District Calculations'!$D$10))*(1+Apport_Z315),0))+Apport_201A2324s,6)</f>
        <v>7.3449E-2</v>
      </c>
      <c r="D303">
        <f>ROUND(IF(VLOOKUP($A303,EnrollData2324,'2324 Jun 24 Enroll'!D$1,FALSE)='District Calculations'!$D$11,VLOOKUP($A303,EnrollData2324,'2324 Jun 24 Enroll'!D$1,FALSE),'District Calculations'!$D$11)*C303,3)</f>
        <v>0</v>
      </c>
      <c r="E303">
        <f>ROUND(IF(VLOOKUP($A303,EnrollData2324,'2324 Jun 24 Enroll'!E$1,FALSE)='District Calculations'!$D$12,VLOOKUP($A303,EnrollData2324,'2324 Jun 24 Enroll'!E$1,FALSE),'District Calculations'!$D$12)*C303,3)</f>
        <v>59.53</v>
      </c>
      <c r="F303">
        <f>ROUND(IF(VLOOKUP($A303,EnrollData2324,'2324 Jun 24 Enroll'!F$1,FALSE)='District Calculations'!$D$13,VLOOKUP($A303,EnrollData2324,'2324 Jun 24 Enroll'!F$1,FALSE),'District Calculations'!$D$13)*Apport_222A2324s,3)</f>
        <v>10.101000000000001</v>
      </c>
      <c r="G303">
        <f>ROUND(IF(VLOOKUP($A303,EnrollData2324,'2324 Jun 24 Enroll'!G$1,FALSE)='District Calculations'!$D$14,VLOOKUP($A303,EnrollData2324,'2324 Jun 24 Enroll'!G$1,FALSE),'District Calculations'!$D$14)*Apport_210A2324s,3)</f>
        <v>22.395</v>
      </c>
      <c r="H303">
        <f>ROUND(IF(VLOOKUP($A303,EnrollData2324,'2324 Jun 24 Enroll'!H$1,FALSE)='District Calculations'!$D$15,VLOOKUP($A303,EnrollData2324,'2324 Jun 24 Enroll'!H$1,FALSE),'District Calculations'!$D$15)*Apport_213A2324s,3)</f>
        <v>23.091999999999999</v>
      </c>
      <c r="I303">
        <f>ROUND(IF(VLOOKUP($A303,EnrollData2324,'2324 Jun 24 Enroll'!I$1,FALSE)+VLOOKUP($A303,EnrollData2324,'2324 Jun 24 Enroll'!M$1,FALSE)-VLOOKUP($A303,EnrollData2324,'2324 Jun 24 Enroll'!J$1,FALSE)='District Calculations'!$D$16+'District Calculations'!$D$25-'District Calculations'!$D$17,VLOOKUP($A303,EnrollData2324,'2324 Jun 24 Enroll'!I$1,FALSE)+VLOOKUP($A303,EnrollData2324,'2324 Jun 24 Enroll'!M$1,FALSE)-VLOOKUP($A303,EnrollData2324,'2324 Jun 24 Enroll'!J$1,FALSE),'District Calculations'!$D$16+'District Calculations'!$D$25-'District Calculations'!$D$17)*Apport_216A2324s,3)</f>
        <v>58.183999999999997</v>
      </c>
      <c r="J303">
        <f>ROUND(SUM(D303:I303)/(IF(VLOOKUP($A303,EnrollData2324,'2324 Jun 24 Enroll'!M$1,FALSE)='District Calculations'!$D$25,VLOOKUP($A303,EnrollData2324,'2324 Jun 24 Enroll'!M$1,FALSE),'District Calculations'!$D$25)+IF(VLOOKUP($A303,EnrollData2324,'2324 Jun 24 Enroll'!D$1,FALSE)='District Calculations'!$D$11,VLOOKUP($A303,EnrollData2324,'2324 Jun 24 Enroll'!D$1,FALSE),'District Calculations'!$D$11)),5)</f>
        <v>5.5530000000000003E-2</v>
      </c>
      <c r="K303" s="11">
        <f t="shared" si="27"/>
        <v>4.3699999999999998E-3</v>
      </c>
      <c r="L303">
        <f>ROUND(IF(VLOOKUP($A303,EnrollData2324,'2324 Jun 24 Enroll'!D$1,FALSE)='District Calculations'!$D$11,VLOOKUP($A303,EnrollData2324,'2324 Jun 24 Enroll'!D$1,FALSE),'District Calculations'!$D$11)*K303,3)</f>
        <v>0</v>
      </c>
      <c r="M303">
        <f>ROUND(IF(VLOOKUP($A303,EnrollData2324,'2324 Jun 24 Enroll'!E$1,FALSE)='District Calculations'!$D$12,VLOOKUP($A303,EnrollData2324,'2324 Jun 24 Enroll'!E$1,FALSE),'District Calculations'!$D$12)*K303,3)</f>
        <v>3.5419999999999998</v>
      </c>
      <c r="N303">
        <f>ROUND(IF(VLOOKUP($A303,EnrollData2324,'2324 Jun 24 Enroll'!F$1,FALSE)='District Calculations'!$D$13,VLOOKUP($A303,EnrollData2324,'2324 Jun 24 Enroll'!F$1,FALSE),'District Calculations'!$D$13)*Apport_223A2324s,3)</f>
        <v>0.84299999999999997</v>
      </c>
      <c r="O303">
        <f>ROUND(IF(VLOOKUP($A303,EnrollData2324,'2324 Jun 24 Enroll'!G$1,FALSE)='District Calculations'!$D$14,VLOOKUP($A303,EnrollData2324,'2324 Jun 24 Enroll'!G$1,FALSE),'District Calculations'!$D$14)*Apport_211A2324s,3)</f>
        <v>1.87</v>
      </c>
      <c r="P303">
        <f>ROUND(IF(VLOOKUP($A303,EnrollData2324,'2324 Jun 24 Enroll'!H$1,FALSE)='District Calculations'!$D$14,VLOOKUP($A303,EnrollData2324,'2324 Jun 24 Enroll'!H$1,FALSE),'District Calculations'!$D$14)*Apport_214A2324s,3)</f>
        <v>1.8680000000000001</v>
      </c>
      <c r="Q303">
        <f>ROUND(IF(VLOOKUP($A303,EnrollData2324,'2324 Jun 24 Enroll'!I$1,FALSE)+VLOOKUP($A303,EnrollData2324,'2324 Jun 24 Enroll'!M$1,FALSE)-VLOOKUP($A303,EnrollData2324,'2324 Jun 24 Enroll'!J$1,FALSE)='District Calculations'!$D$16+'District Calculations'!$D$25-'District Calculations'!$D$17,VLOOKUP($A303,EnrollData2324,'2324 Jun 24 Enroll'!I$1,FALSE)+VLOOKUP($A303,EnrollData2324,'2324 Jun 24 Enroll'!M$1,FALSE)-VLOOKUP($A303,EnrollData2324,'2324 Jun 24 Enroll'!J$1,FALSE),'District Calculations'!$D$16+'District Calculations'!$D$25-'District Calculations'!$D$17)*Apport_217A2324s,3)</f>
        <v>4.702</v>
      </c>
      <c r="R303">
        <f>ROUND(SUM(L303:Q303)/IF(VLOOKUP($A303,EnrollData2324,'2324 Jun 24 Enroll'!M$1,FALSE)+VLOOKUP($A303,EnrollData2324,'2324 Jun 24 Enroll'!D$1,FALSE)='District Calculations'!$D$25+'District Calculations'!$D$11,VLOOKUP($A303,EnrollData2324,'2324 Jun 24 Enroll'!M$1,FALSE)+VLOOKUP($A303,EnrollData2324,'2324 Jun 24 Enroll'!D$1,FALSE),'District Calculations'!$D$25+'District Calculations'!$D$11),5)</f>
        <v>4.1099999999999999E-3</v>
      </c>
      <c r="S303" s="11">
        <f t="shared" si="28"/>
        <v>1.8689600000000001E-2</v>
      </c>
      <c r="T303">
        <f>ROUND(IF(VLOOKUP($A303,EnrollData2324,'2324 Jun 24 Enroll'!D$1,FALSE)='District Calculations'!$D$11,VLOOKUP($A303,EnrollData2324,'2324 Jun 24 Enroll'!D$1,FALSE),'District Calculations'!$D$11)*S303,3)</f>
        <v>0</v>
      </c>
      <c r="U303">
        <f>ROUND(IF(VLOOKUP($A303,EnrollData2324,'2324 Jun 24 Enroll'!E$1,FALSE)='District Calculations'!$D$12,VLOOKUP($A303,EnrollData2324,'2324 Jun 24 Enroll'!E$1,FALSE),'District Calculations'!$D$12)*S303,3)</f>
        <v>15.148</v>
      </c>
      <c r="V303">
        <f>ROUND(IF(VLOOKUP($A303,EnrollData2324,'2324 Jun 24 Enroll'!F$1,FALSE)='District Calculations'!$D$13,VLOOKUP($A303,EnrollData2324,'2324 Jun 24 Enroll'!F$1,FALSE),'District Calculations'!$D$13)*Apport_224A2324s,3)</f>
        <v>3.7029999999999998</v>
      </c>
      <c r="W303">
        <f>ROUND(IF(VLOOKUP($A303,EnrollData2324,'2324 Jun 24 Enroll'!G$1,FALSE)='District Calculations'!$D$14,VLOOKUP($A303,EnrollData2324,'2324 Jun 24 Enroll'!G$1,FALSE),'District Calculations'!$D$14)*Apport_212A2324s,3)</f>
        <v>8.2089999999999996</v>
      </c>
      <c r="X303">
        <f>ROUND(IF(VLOOKUP($A303,EnrollData2324,'2324 Jun 24 Enroll'!H$1,FALSE)='District Calculations'!$D$14,VLOOKUP($A303,EnrollData2324,'2324 Jun 24 Enroll'!H$1,FALSE),'District Calculations'!$D$14)*Apport_215A2324s,3)</f>
        <v>8.0969999999999995</v>
      </c>
      <c r="Y303">
        <f>ROUND(IF(VLOOKUP($A303,EnrollData2324,'2324 Jun 24 Enroll'!I$1,FALSE)+VLOOKUP($A303,EnrollData2324,'2324 Jun 24 Enroll'!M$1,FALSE)-VLOOKUP($A303,EnrollData2324,'2324 Jun 24 Enroll'!J$1,FALSE)='District Calculations'!$D$16+'District Calculations'!$D$25-'District Calculations'!$D$17,VLOOKUP($A303,EnrollData2324,'2324 Jun 24 Enroll'!I$1,FALSE)+VLOOKUP($A303,EnrollData2324,'2324 Jun 24 Enroll'!M$1,FALSE)-VLOOKUP($A303,EnrollData2324,'2324 Jun 24 Enroll'!J$1,FALSE),'District Calculations'!$D$16+'District Calculations'!$D$25-'District Calculations'!$D$17)*Apport_218A2324s,3)</f>
        <v>20.224</v>
      </c>
      <c r="Z303">
        <f>ROUND(SUM(T303:Y303)/IF(VLOOKUP($A303,EnrollData2324,'2324 Jun 24 Enroll'!M$1,FALSE)+VLOOKUP($A303,EnrollData2324,'2324 Jun 24 Enroll'!D$1,FALSE)='District Calculations'!$D$25+'District Calculations'!$D$11,VLOOKUP($A303,EnrollData2324,'2324 Jun 24 Enroll'!M$1,FALSE)+VLOOKUP($A303,EnrollData2324,'2324 Jun 24 Enroll'!D$1,FALSE),'District Calculations'!$D$25+'District Calculations'!$D$11),5)</f>
        <v>1.7749999999999998E-2</v>
      </c>
      <c r="AA303" s="6" cm="1">
        <f t="array" ref="AA303">ROUND($J303*CIS_Base_Salary2324s*VLOOKUP($A303,EnrollData2324,'2324 Jun 24 Enroll'!S$1,FALSE),2)</f>
        <v>4038.59</v>
      </c>
      <c r="AB303" s="6" cm="1">
        <f t="array" ref="AB303">ROUND($J303*CIS_Inc_Salary2324s*(VLOOKUP($A303,EnrollData2324,'2324 Jun 24 Enroll'!T$1,FALSE)+VLOOKUP($A303,EnrollData2324,'2324 Jun 24 Enroll'!U$1,FALSE)),2)-AA303</f>
        <v>316.94999999999982</v>
      </c>
      <c r="AC303" s="6" cm="1">
        <f t="array" ref="AC303">ROUND($R303*CAS_Base_Salary2324s*VLOOKUP($A303,EnrollData2324,'2324 Jun 24 Enroll'!S$1,FALSE),2)</f>
        <v>443.7</v>
      </c>
      <c r="AD303" s="6" cm="1">
        <f t="array" ref="AD303">ROUND($R303*CAS_Inc_Salary2324s*VLOOKUP($A303,EnrollData2324,'2324 Jun 24 Enroll'!T$1,FALSE),2)-AC303</f>
        <v>16.410000000000025</v>
      </c>
      <c r="AE303" s="6" cm="1">
        <f t="array" ref="AE303">ROUND($Z303*CLS_Base_Salary2324s*VLOOKUP($A303,EnrollData2324,'2324 Jun 24 Enroll'!S$1,FALSE),2)</f>
        <v>926.07</v>
      </c>
      <c r="AF303" s="6" cm="1">
        <f t="array" ref="AF303">ROUND($Z303*CLS_Inc_Salary2324s*VLOOKUP($A303,EnrollData2324,'2324 Jun 24 Enroll'!T$1,FALSE),2)-AE303</f>
        <v>34.259999999999991</v>
      </c>
      <c r="AG303" cm="1">
        <f t="array" ref="AG303">ROUND(($J303+$R303)*Apport_124X2324s,2)</f>
        <v>734.29</v>
      </c>
      <c r="AH303" s="69">
        <f t="shared" si="29"/>
        <v>68.700000000000045</v>
      </c>
      <c r="AI303" cm="1">
        <f t="array" ref="AI303">ROUND($Z303*Apport_124X2324s,2)</f>
        <v>218.54</v>
      </c>
      <c r="AJ303" cm="1">
        <f t="array" ref="AJ303">ROUND($Z303*Apport_621X2324s*Apport_125X2324s,2)-AI303</f>
        <v>116.51000000000002</v>
      </c>
      <c r="AK303" cm="1">
        <f t="array" ref="AK303">ROUND((AA303+AC303)*Apport_126X2324s,2)</f>
        <v>805.47</v>
      </c>
      <c r="AL303" cm="1">
        <f t="array" ref="AL303">ROUND((AB303+AD303)*Apport_127X2324s,2)</f>
        <v>57.77</v>
      </c>
      <c r="AM303" cm="1">
        <f t="array" ref="AM303">ROUND(AE303*Apport_128X2324s,2)</f>
        <v>204.29</v>
      </c>
      <c r="AN303" cm="1">
        <f t="array" ref="AN303">ROUND(AF303*Apport_129X2324s,2)</f>
        <v>6.36</v>
      </c>
      <c r="AO303" cm="1">
        <f t="array" ref="AO303">ROUND(($J303*CIS_Inc_Salary2324s*(VLOOKUP($A303,EnrollData2324,'2324 Jun 24 Enroll'!T$1,FALSE)+VLOOKUP($A303,EnrollData2324,'2324 Jun 24 Enroll'!U$1,FALSE))/Apport_613Xpd)*Apport_614Xpd,2)</f>
        <v>72.59</v>
      </c>
      <c r="AP303" cm="1">
        <f t="array" ref="AP303">ROUND(AO303*Apport_127X2324s,2)</f>
        <v>12.58</v>
      </c>
      <c r="AQ303">
        <f t="shared" si="30"/>
        <v>30.93</v>
      </c>
      <c r="AR303" s="6" cm="1">
        <f t="array" ref="AR303">ROUND((VLOOKUP($A303,EnrollData2324,'2324 Jun 24 Enroll'!D$1,FALSE)*Apport_M802324s+VLOOKUP($A303,EnrollData2324,'2324 Jun 24 Enroll'!M$1,FALSE)*Apport_M802324s+(VLOOKUP($A303,EnrollData2324,'2324 Jun 24 Enroll'!P$1,FALSE)+VLOOKUP($A303,EnrollData2324,'2324 Jun 24 Enroll'!Q$1,FALSE)+VLOOKUP($A303,EnrollData2324,'2324 Jun 24 Enroll'!R$1,FALSE)+VLOOKUP($A303,EnrollData2324,'2324 Jun 24 Enroll'!I$1,FALSE)+VLOOKUP($A303,EnrollData2324,'2324 Jun 24 Enroll'!N$1,FALSE)+VLOOKUP($A303,EnrollData2324,'2324 Jun 24 Enroll'!O$1,FALSE)+VLOOKUP($A303,EnrollData2324,'2324 Jun 24 Enroll'!K$1,FALSE)+VLOOKUP($A303,EnrollData2324,'2324 Jun 24 Enroll'!L$1,FALSE))*Apport_M812324s)/(VLOOKUP($A303,EnrollData2324,'2324 Jun 24 Enroll'!M$1,FALSE)+VLOOKUP($A303,EnrollData2324,'2324 Jun 24 Enroll'!D$1,FALSE)),2)</f>
        <v>1504.44</v>
      </c>
      <c r="AS303" s="7">
        <f t="shared" si="31"/>
        <v>9608.4500000000007</v>
      </c>
    </row>
    <row r="304" spans="1:45">
      <c r="A304" s="40" t="s">
        <v>394</v>
      </c>
      <c r="B304" s="40" t="s">
        <v>395</v>
      </c>
      <c r="C304" s="11">
        <f>ROUND((IFERROR((1/IF(VLOOKUP($A304,EnrollData2324,28,FALSE)='District Calculations'!$D$10,VLOOKUP($A304,EnrollData2324,28,FALSE),'District Calculations'!$D$10))*(1+Apport_Z315),0))+Apport_201A2324s,6)</f>
        <v>7.3449E-2</v>
      </c>
      <c r="D304">
        <f>ROUND(IF(VLOOKUP($A304,EnrollData2324,'2324 Jun 24 Enroll'!D$1,FALSE)='District Calculations'!$D$11,VLOOKUP($A304,EnrollData2324,'2324 Jun 24 Enroll'!D$1,FALSE),'District Calculations'!$D$11)*C304,3)</f>
        <v>0</v>
      </c>
      <c r="E304">
        <f>ROUND(IF(VLOOKUP($A304,EnrollData2324,'2324 Jun 24 Enroll'!E$1,FALSE)='District Calculations'!$D$12,VLOOKUP($A304,EnrollData2324,'2324 Jun 24 Enroll'!E$1,FALSE),'District Calculations'!$D$12)*C304,3)</f>
        <v>59.53</v>
      </c>
      <c r="F304">
        <f>ROUND(IF(VLOOKUP($A304,EnrollData2324,'2324 Jun 24 Enroll'!F$1,FALSE)='District Calculations'!$D$13,VLOOKUP($A304,EnrollData2324,'2324 Jun 24 Enroll'!F$1,FALSE),'District Calculations'!$D$13)*Apport_222A2324s,3)</f>
        <v>10.101000000000001</v>
      </c>
      <c r="G304">
        <f>ROUND(IF(VLOOKUP($A304,EnrollData2324,'2324 Jun 24 Enroll'!G$1,FALSE)='District Calculations'!$D$14,VLOOKUP($A304,EnrollData2324,'2324 Jun 24 Enroll'!G$1,FALSE),'District Calculations'!$D$14)*Apport_210A2324s,3)</f>
        <v>22.395</v>
      </c>
      <c r="H304">
        <f>ROUND(IF(VLOOKUP($A304,EnrollData2324,'2324 Jun 24 Enroll'!H$1,FALSE)='District Calculations'!$D$15,VLOOKUP($A304,EnrollData2324,'2324 Jun 24 Enroll'!H$1,FALSE),'District Calculations'!$D$15)*Apport_213A2324s,3)</f>
        <v>23.091999999999999</v>
      </c>
      <c r="I304">
        <f>ROUND(IF(VLOOKUP($A304,EnrollData2324,'2324 Jun 24 Enroll'!I$1,FALSE)+VLOOKUP($A304,EnrollData2324,'2324 Jun 24 Enroll'!M$1,FALSE)-VLOOKUP($A304,EnrollData2324,'2324 Jun 24 Enroll'!J$1,FALSE)='District Calculations'!$D$16+'District Calculations'!$D$25-'District Calculations'!$D$17,VLOOKUP($A304,EnrollData2324,'2324 Jun 24 Enroll'!I$1,FALSE)+VLOOKUP($A304,EnrollData2324,'2324 Jun 24 Enroll'!M$1,FALSE)-VLOOKUP($A304,EnrollData2324,'2324 Jun 24 Enroll'!J$1,FALSE),'District Calculations'!$D$16+'District Calculations'!$D$25-'District Calculations'!$D$17)*Apport_216A2324s,3)</f>
        <v>58.183999999999997</v>
      </c>
      <c r="J304">
        <f>ROUND(SUM(D304:I304)/(IF(VLOOKUP($A304,EnrollData2324,'2324 Jun 24 Enroll'!M$1,FALSE)='District Calculations'!$D$25,VLOOKUP($A304,EnrollData2324,'2324 Jun 24 Enroll'!M$1,FALSE),'District Calculations'!$D$25)+IF(VLOOKUP($A304,EnrollData2324,'2324 Jun 24 Enroll'!D$1,FALSE)='District Calculations'!$D$11,VLOOKUP($A304,EnrollData2324,'2324 Jun 24 Enroll'!D$1,FALSE),'District Calculations'!$D$11)),5)</f>
        <v>5.5530000000000003E-2</v>
      </c>
      <c r="K304" s="11">
        <f t="shared" si="27"/>
        <v>4.3699999999999998E-3</v>
      </c>
      <c r="L304">
        <f>ROUND(IF(VLOOKUP($A304,EnrollData2324,'2324 Jun 24 Enroll'!D$1,FALSE)='District Calculations'!$D$11,VLOOKUP($A304,EnrollData2324,'2324 Jun 24 Enroll'!D$1,FALSE),'District Calculations'!$D$11)*K304,3)</f>
        <v>0</v>
      </c>
      <c r="M304">
        <f>ROUND(IF(VLOOKUP($A304,EnrollData2324,'2324 Jun 24 Enroll'!E$1,FALSE)='District Calculations'!$D$12,VLOOKUP($A304,EnrollData2324,'2324 Jun 24 Enroll'!E$1,FALSE),'District Calculations'!$D$12)*K304,3)</f>
        <v>3.5419999999999998</v>
      </c>
      <c r="N304">
        <f>ROUND(IF(VLOOKUP($A304,EnrollData2324,'2324 Jun 24 Enroll'!F$1,FALSE)='District Calculations'!$D$13,VLOOKUP($A304,EnrollData2324,'2324 Jun 24 Enroll'!F$1,FALSE),'District Calculations'!$D$13)*Apport_223A2324s,3)</f>
        <v>0.84299999999999997</v>
      </c>
      <c r="O304">
        <f>ROUND(IF(VLOOKUP($A304,EnrollData2324,'2324 Jun 24 Enroll'!G$1,FALSE)='District Calculations'!$D$14,VLOOKUP($A304,EnrollData2324,'2324 Jun 24 Enroll'!G$1,FALSE),'District Calculations'!$D$14)*Apport_211A2324s,3)</f>
        <v>1.87</v>
      </c>
      <c r="P304">
        <f>ROUND(IF(VLOOKUP($A304,EnrollData2324,'2324 Jun 24 Enroll'!H$1,FALSE)='District Calculations'!$D$14,VLOOKUP($A304,EnrollData2324,'2324 Jun 24 Enroll'!H$1,FALSE),'District Calculations'!$D$14)*Apport_214A2324s,3)</f>
        <v>1.8680000000000001</v>
      </c>
      <c r="Q304">
        <f>ROUND(IF(VLOOKUP($A304,EnrollData2324,'2324 Jun 24 Enroll'!I$1,FALSE)+VLOOKUP($A304,EnrollData2324,'2324 Jun 24 Enroll'!M$1,FALSE)-VLOOKUP($A304,EnrollData2324,'2324 Jun 24 Enroll'!J$1,FALSE)='District Calculations'!$D$16+'District Calculations'!$D$25-'District Calculations'!$D$17,VLOOKUP($A304,EnrollData2324,'2324 Jun 24 Enroll'!I$1,FALSE)+VLOOKUP($A304,EnrollData2324,'2324 Jun 24 Enroll'!M$1,FALSE)-VLOOKUP($A304,EnrollData2324,'2324 Jun 24 Enroll'!J$1,FALSE),'District Calculations'!$D$16+'District Calculations'!$D$25-'District Calculations'!$D$17)*Apport_217A2324s,3)</f>
        <v>4.702</v>
      </c>
      <c r="R304">
        <f>ROUND(SUM(L304:Q304)/IF(VLOOKUP($A304,EnrollData2324,'2324 Jun 24 Enroll'!M$1,FALSE)+VLOOKUP($A304,EnrollData2324,'2324 Jun 24 Enroll'!D$1,FALSE)='District Calculations'!$D$25+'District Calculations'!$D$11,VLOOKUP($A304,EnrollData2324,'2324 Jun 24 Enroll'!M$1,FALSE)+VLOOKUP($A304,EnrollData2324,'2324 Jun 24 Enroll'!D$1,FALSE),'District Calculations'!$D$25+'District Calculations'!$D$11),5)</f>
        <v>4.1099999999999999E-3</v>
      </c>
      <c r="S304" s="11">
        <f t="shared" si="28"/>
        <v>1.8689600000000001E-2</v>
      </c>
      <c r="T304">
        <f>ROUND(IF(VLOOKUP($A304,EnrollData2324,'2324 Jun 24 Enroll'!D$1,FALSE)='District Calculations'!$D$11,VLOOKUP($A304,EnrollData2324,'2324 Jun 24 Enroll'!D$1,FALSE),'District Calculations'!$D$11)*S304,3)</f>
        <v>0</v>
      </c>
      <c r="U304">
        <f>ROUND(IF(VLOOKUP($A304,EnrollData2324,'2324 Jun 24 Enroll'!E$1,FALSE)='District Calculations'!$D$12,VLOOKUP($A304,EnrollData2324,'2324 Jun 24 Enroll'!E$1,FALSE),'District Calculations'!$D$12)*S304,3)</f>
        <v>15.148</v>
      </c>
      <c r="V304">
        <f>ROUND(IF(VLOOKUP($A304,EnrollData2324,'2324 Jun 24 Enroll'!F$1,FALSE)='District Calculations'!$D$13,VLOOKUP($A304,EnrollData2324,'2324 Jun 24 Enroll'!F$1,FALSE),'District Calculations'!$D$13)*Apport_224A2324s,3)</f>
        <v>3.7029999999999998</v>
      </c>
      <c r="W304">
        <f>ROUND(IF(VLOOKUP($A304,EnrollData2324,'2324 Jun 24 Enroll'!G$1,FALSE)='District Calculations'!$D$14,VLOOKUP($A304,EnrollData2324,'2324 Jun 24 Enroll'!G$1,FALSE),'District Calculations'!$D$14)*Apport_212A2324s,3)</f>
        <v>8.2089999999999996</v>
      </c>
      <c r="X304">
        <f>ROUND(IF(VLOOKUP($A304,EnrollData2324,'2324 Jun 24 Enroll'!H$1,FALSE)='District Calculations'!$D$14,VLOOKUP($A304,EnrollData2324,'2324 Jun 24 Enroll'!H$1,FALSE),'District Calculations'!$D$14)*Apport_215A2324s,3)</f>
        <v>8.0969999999999995</v>
      </c>
      <c r="Y304">
        <f>ROUND(IF(VLOOKUP($A304,EnrollData2324,'2324 Jun 24 Enroll'!I$1,FALSE)+VLOOKUP($A304,EnrollData2324,'2324 Jun 24 Enroll'!M$1,FALSE)-VLOOKUP($A304,EnrollData2324,'2324 Jun 24 Enroll'!J$1,FALSE)='District Calculations'!$D$16+'District Calculations'!$D$25-'District Calculations'!$D$17,VLOOKUP($A304,EnrollData2324,'2324 Jun 24 Enroll'!I$1,FALSE)+VLOOKUP($A304,EnrollData2324,'2324 Jun 24 Enroll'!M$1,FALSE)-VLOOKUP($A304,EnrollData2324,'2324 Jun 24 Enroll'!J$1,FALSE),'District Calculations'!$D$16+'District Calculations'!$D$25-'District Calculations'!$D$17)*Apport_218A2324s,3)</f>
        <v>20.224</v>
      </c>
      <c r="Z304">
        <f>ROUND(SUM(T304:Y304)/IF(VLOOKUP($A304,EnrollData2324,'2324 Jun 24 Enroll'!M$1,FALSE)+VLOOKUP($A304,EnrollData2324,'2324 Jun 24 Enroll'!D$1,FALSE)='District Calculations'!$D$25+'District Calculations'!$D$11,VLOOKUP($A304,EnrollData2324,'2324 Jun 24 Enroll'!M$1,FALSE)+VLOOKUP($A304,EnrollData2324,'2324 Jun 24 Enroll'!D$1,FALSE),'District Calculations'!$D$25+'District Calculations'!$D$11),5)</f>
        <v>1.7749999999999998E-2</v>
      </c>
      <c r="AA304" s="6" cm="1">
        <f t="array" ref="AA304">ROUND($J304*CIS_Base_Salary2324s*VLOOKUP($A304,EnrollData2324,'2324 Jun 24 Enroll'!S$1,FALSE),2)</f>
        <v>4038.59</v>
      </c>
      <c r="AB304" s="6" cm="1">
        <f t="array" ref="AB304">ROUND($J304*CIS_Inc_Salary2324s*(VLOOKUP($A304,EnrollData2324,'2324 Jun 24 Enroll'!T$1,FALSE)+VLOOKUP($A304,EnrollData2324,'2324 Jun 24 Enroll'!U$1,FALSE)),2)-AA304</f>
        <v>233.1899999999996</v>
      </c>
      <c r="AC304" s="6" cm="1">
        <f t="array" ref="AC304">ROUND($R304*CAS_Base_Salary2324s*VLOOKUP($A304,EnrollData2324,'2324 Jun 24 Enroll'!S$1,FALSE),2)</f>
        <v>443.7</v>
      </c>
      <c r="AD304" s="6" cm="1">
        <f t="array" ref="AD304">ROUND($R304*CAS_Inc_Salary2324s*VLOOKUP($A304,EnrollData2324,'2324 Jun 24 Enroll'!T$1,FALSE),2)-AC304</f>
        <v>16.410000000000025</v>
      </c>
      <c r="AE304" s="6" cm="1">
        <f t="array" ref="AE304">ROUND($Z304*CLS_Base_Salary2324s*VLOOKUP($A304,EnrollData2324,'2324 Jun 24 Enroll'!S$1,FALSE),2)</f>
        <v>926.07</v>
      </c>
      <c r="AF304" s="6" cm="1">
        <f t="array" ref="AF304">ROUND($Z304*CLS_Inc_Salary2324s*VLOOKUP($A304,EnrollData2324,'2324 Jun 24 Enroll'!T$1,FALSE),2)-AE304</f>
        <v>34.259999999999991</v>
      </c>
      <c r="AG304" cm="1">
        <f t="array" ref="AG304">ROUND(($J304+$R304)*Apport_124X2324s,2)</f>
        <v>734.29</v>
      </c>
      <c r="AH304" s="69">
        <f t="shared" si="29"/>
        <v>68.700000000000045</v>
      </c>
      <c r="AI304" cm="1">
        <f t="array" ref="AI304">ROUND($Z304*Apport_124X2324s,2)</f>
        <v>218.54</v>
      </c>
      <c r="AJ304" cm="1">
        <f t="array" ref="AJ304">ROUND($Z304*Apport_621X2324s*Apport_125X2324s,2)-AI304</f>
        <v>116.51000000000002</v>
      </c>
      <c r="AK304" cm="1">
        <f t="array" ref="AK304">ROUND((AA304+AC304)*Apport_126X2324s,2)</f>
        <v>805.47</v>
      </c>
      <c r="AL304" cm="1">
        <f t="array" ref="AL304">ROUND((AB304+AD304)*Apport_127X2324s,2)</f>
        <v>43.26</v>
      </c>
      <c r="AM304" cm="1">
        <f t="array" ref="AM304">ROUND(AE304*Apport_128X2324s,2)</f>
        <v>204.29</v>
      </c>
      <c r="AN304" cm="1">
        <f t="array" ref="AN304">ROUND(AF304*Apport_129X2324s,2)</f>
        <v>6.36</v>
      </c>
      <c r="AO304" cm="1">
        <f t="array" ref="AO304">ROUND(($J304*CIS_Inc_Salary2324s*(VLOOKUP($A304,EnrollData2324,'2324 Jun 24 Enroll'!T$1,FALSE)+VLOOKUP($A304,EnrollData2324,'2324 Jun 24 Enroll'!U$1,FALSE))/Apport_613Xpd)*Apport_614Xpd,2)</f>
        <v>71.2</v>
      </c>
      <c r="AP304" cm="1">
        <f t="array" ref="AP304">ROUND(AO304*Apport_127X2324s,2)</f>
        <v>12.34</v>
      </c>
      <c r="AQ304">
        <f t="shared" si="30"/>
        <v>30.93</v>
      </c>
      <c r="AR304" s="6" cm="1">
        <f t="array" ref="AR304">ROUND((VLOOKUP($A304,EnrollData2324,'2324 Jun 24 Enroll'!D$1,FALSE)*Apport_M802324s+VLOOKUP($A304,EnrollData2324,'2324 Jun 24 Enroll'!M$1,FALSE)*Apport_M802324s+(VLOOKUP($A304,EnrollData2324,'2324 Jun 24 Enroll'!P$1,FALSE)+VLOOKUP($A304,EnrollData2324,'2324 Jun 24 Enroll'!Q$1,FALSE)+VLOOKUP($A304,EnrollData2324,'2324 Jun 24 Enroll'!R$1,FALSE)+VLOOKUP($A304,EnrollData2324,'2324 Jun 24 Enroll'!I$1,FALSE)+VLOOKUP($A304,EnrollData2324,'2324 Jun 24 Enroll'!N$1,FALSE)+VLOOKUP($A304,EnrollData2324,'2324 Jun 24 Enroll'!O$1,FALSE)+VLOOKUP($A304,EnrollData2324,'2324 Jun 24 Enroll'!K$1,FALSE)+VLOOKUP($A304,EnrollData2324,'2324 Jun 24 Enroll'!L$1,FALSE))*Apport_M812324s)/(VLOOKUP($A304,EnrollData2324,'2324 Jun 24 Enroll'!M$1,FALSE)+VLOOKUP($A304,EnrollData2324,'2324 Jun 24 Enroll'!D$1,FALSE)),2)</f>
        <v>1548.35</v>
      </c>
      <c r="AS304" s="7">
        <f t="shared" si="31"/>
        <v>9552.4599999999991</v>
      </c>
    </row>
    <row r="305" spans="1:45">
      <c r="A305" s="40" t="s">
        <v>448</v>
      </c>
      <c r="B305" s="40" t="s">
        <v>449</v>
      </c>
      <c r="C305" s="11">
        <f>ROUND((IFERROR((1/IF(VLOOKUP($A305,EnrollData2324,28,FALSE)='District Calculations'!$D$10,VLOOKUP($A305,EnrollData2324,28,FALSE),'District Calculations'!$D$10))*(1+Apport_Z315),0))+Apport_201A2324s,6)</f>
        <v>7.3449E-2</v>
      </c>
      <c r="D305">
        <f>ROUND(IF(VLOOKUP($A305,EnrollData2324,'2324 Jun 24 Enroll'!D$1,FALSE)='District Calculations'!$D$11,VLOOKUP($A305,EnrollData2324,'2324 Jun 24 Enroll'!D$1,FALSE),'District Calculations'!$D$11)*C305,3)</f>
        <v>0</v>
      </c>
      <c r="E305">
        <f>ROUND(IF(VLOOKUP($A305,EnrollData2324,'2324 Jun 24 Enroll'!E$1,FALSE)='District Calculations'!$D$12,VLOOKUP($A305,EnrollData2324,'2324 Jun 24 Enroll'!E$1,FALSE),'District Calculations'!$D$12)*C305,3)</f>
        <v>59.53</v>
      </c>
      <c r="F305">
        <f>ROUND(IF(VLOOKUP($A305,EnrollData2324,'2324 Jun 24 Enroll'!F$1,FALSE)='District Calculations'!$D$13,VLOOKUP($A305,EnrollData2324,'2324 Jun 24 Enroll'!F$1,FALSE),'District Calculations'!$D$13)*Apport_222A2324s,3)</f>
        <v>10.101000000000001</v>
      </c>
      <c r="G305">
        <f>ROUND(IF(VLOOKUP($A305,EnrollData2324,'2324 Jun 24 Enroll'!G$1,FALSE)='District Calculations'!$D$14,VLOOKUP($A305,EnrollData2324,'2324 Jun 24 Enroll'!G$1,FALSE),'District Calculations'!$D$14)*Apport_210A2324s,3)</f>
        <v>22.395</v>
      </c>
      <c r="H305">
        <f>ROUND(IF(VLOOKUP($A305,EnrollData2324,'2324 Jun 24 Enroll'!H$1,FALSE)='District Calculations'!$D$15,VLOOKUP($A305,EnrollData2324,'2324 Jun 24 Enroll'!H$1,FALSE),'District Calculations'!$D$15)*Apport_213A2324s,3)</f>
        <v>23.091999999999999</v>
      </c>
      <c r="I305">
        <f>ROUND(IF(VLOOKUP($A305,EnrollData2324,'2324 Jun 24 Enroll'!I$1,FALSE)+VLOOKUP($A305,EnrollData2324,'2324 Jun 24 Enroll'!M$1,FALSE)-VLOOKUP($A305,EnrollData2324,'2324 Jun 24 Enroll'!J$1,FALSE)='District Calculations'!$D$16+'District Calculations'!$D$25-'District Calculations'!$D$17,VLOOKUP($A305,EnrollData2324,'2324 Jun 24 Enroll'!I$1,FALSE)+VLOOKUP($A305,EnrollData2324,'2324 Jun 24 Enroll'!M$1,FALSE)-VLOOKUP($A305,EnrollData2324,'2324 Jun 24 Enroll'!J$1,FALSE),'District Calculations'!$D$16+'District Calculations'!$D$25-'District Calculations'!$D$17)*Apport_216A2324s,3)</f>
        <v>58.183999999999997</v>
      </c>
      <c r="J305">
        <f>ROUND(SUM(D305:I305)/(IF(VLOOKUP($A305,EnrollData2324,'2324 Jun 24 Enroll'!M$1,FALSE)='District Calculations'!$D$25,VLOOKUP($A305,EnrollData2324,'2324 Jun 24 Enroll'!M$1,FALSE),'District Calculations'!$D$25)+IF(VLOOKUP($A305,EnrollData2324,'2324 Jun 24 Enroll'!D$1,FALSE)='District Calculations'!$D$11,VLOOKUP($A305,EnrollData2324,'2324 Jun 24 Enroll'!D$1,FALSE),'District Calculations'!$D$11)),5)</f>
        <v>5.5530000000000003E-2</v>
      </c>
      <c r="K305" s="11">
        <f t="shared" si="27"/>
        <v>4.3699999999999998E-3</v>
      </c>
      <c r="L305">
        <f>ROUND(IF(VLOOKUP($A305,EnrollData2324,'2324 Jun 24 Enroll'!D$1,FALSE)='District Calculations'!$D$11,VLOOKUP($A305,EnrollData2324,'2324 Jun 24 Enroll'!D$1,FALSE),'District Calculations'!$D$11)*K305,3)</f>
        <v>0</v>
      </c>
      <c r="M305">
        <f>ROUND(IF(VLOOKUP($A305,EnrollData2324,'2324 Jun 24 Enroll'!E$1,FALSE)='District Calculations'!$D$12,VLOOKUP($A305,EnrollData2324,'2324 Jun 24 Enroll'!E$1,FALSE),'District Calculations'!$D$12)*K305,3)</f>
        <v>3.5419999999999998</v>
      </c>
      <c r="N305">
        <f>ROUND(IF(VLOOKUP($A305,EnrollData2324,'2324 Jun 24 Enroll'!F$1,FALSE)='District Calculations'!$D$13,VLOOKUP($A305,EnrollData2324,'2324 Jun 24 Enroll'!F$1,FALSE),'District Calculations'!$D$13)*Apport_223A2324s,3)</f>
        <v>0.84299999999999997</v>
      </c>
      <c r="O305">
        <f>ROUND(IF(VLOOKUP($A305,EnrollData2324,'2324 Jun 24 Enroll'!G$1,FALSE)='District Calculations'!$D$14,VLOOKUP($A305,EnrollData2324,'2324 Jun 24 Enroll'!G$1,FALSE),'District Calculations'!$D$14)*Apport_211A2324s,3)</f>
        <v>1.87</v>
      </c>
      <c r="P305">
        <f>ROUND(IF(VLOOKUP($A305,EnrollData2324,'2324 Jun 24 Enroll'!H$1,FALSE)='District Calculations'!$D$14,VLOOKUP($A305,EnrollData2324,'2324 Jun 24 Enroll'!H$1,FALSE),'District Calculations'!$D$14)*Apport_214A2324s,3)</f>
        <v>1.8680000000000001</v>
      </c>
      <c r="Q305">
        <f>ROUND(IF(VLOOKUP($A305,EnrollData2324,'2324 Jun 24 Enroll'!I$1,FALSE)+VLOOKUP($A305,EnrollData2324,'2324 Jun 24 Enroll'!M$1,FALSE)-VLOOKUP($A305,EnrollData2324,'2324 Jun 24 Enroll'!J$1,FALSE)='District Calculations'!$D$16+'District Calculations'!$D$25-'District Calculations'!$D$17,VLOOKUP($A305,EnrollData2324,'2324 Jun 24 Enroll'!I$1,FALSE)+VLOOKUP($A305,EnrollData2324,'2324 Jun 24 Enroll'!M$1,FALSE)-VLOOKUP($A305,EnrollData2324,'2324 Jun 24 Enroll'!J$1,FALSE),'District Calculations'!$D$16+'District Calculations'!$D$25-'District Calculations'!$D$17)*Apport_217A2324s,3)</f>
        <v>4.702</v>
      </c>
      <c r="R305">
        <f>ROUND(SUM(L305:Q305)/IF(VLOOKUP($A305,EnrollData2324,'2324 Jun 24 Enroll'!M$1,FALSE)+VLOOKUP($A305,EnrollData2324,'2324 Jun 24 Enroll'!D$1,FALSE)='District Calculations'!$D$25+'District Calculations'!$D$11,VLOOKUP($A305,EnrollData2324,'2324 Jun 24 Enroll'!M$1,FALSE)+VLOOKUP($A305,EnrollData2324,'2324 Jun 24 Enroll'!D$1,FALSE),'District Calculations'!$D$25+'District Calculations'!$D$11),5)</f>
        <v>4.1099999999999999E-3</v>
      </c>
      <c r="S305" s="11">
        <f t="shared" si="28"/>
        <v>1.8689600000000001E-2</v>
      </c>
      <c r="T305">
        <f>ROUND(IF(VLOOKUP($A305,EnrollData2324,'2324 Jun 24 Enroll'!D$1,FALSE)='District Calculations'!$D$11,VLOOKUP($A305,EnrollData2324,'2324 Jun 24 Enroll'!D$1,FALSE),'District Calculations'!$D$11)*S305,3)</f>
        <v>0</v>
      </c>
      <c r="U305">
        <f>ROUND(IF(VLOOKUP($A305,EnrollData2324,'2324 Jun 24 Enroll'!E$1,FALSE)='District Calculations'!$D$12,VLOOKUP($A305,EnrollData2324,'2324 Jun 24 Enroll'!E$1,FALSE),'District Calculations'!$D$12)*S305,3)</f>
        <v>15.148</v>
      </c>
      <c r="V305">
        <f>ROUND(IF(VLOOKUP($A305,EnrollData2324,'2324 Jun 24 Enroll'!F$1,FALSE)='District Calculations'!$D$13,VLOOKUP($A305,EnrollData2324,'2324 Jun 24 Enroll'!F$1,FALSE),'District Calculations'!$D$13)*Apport_224A2324s,3)</f>
        <v>3.7029999999999998</v>
      </c>
      <c r="W305">
        <f>ROUND(IF(VLOOKUP($A305,EnrollData2324,'2324 Jun 24 Enroll'!G$1,FALSE)='District Calculations'!$D$14,VLOOKUP($A305,EnrollData2324,'2324 Jun 24 Enroll'!G$1,FALSE),'District Calculations'!$D$14)*Apport_212A2324s,3)</f>
        <v>8.2089999999999996</v>
      </c>
      <c r="X305">
        <f>ROUND(IF(VLOOKUP($A305,EnrollData2324,'2324 Jun 24 Enroll'!H$1,FALSE)='District Calculations'!$D$14,VLOOKUP($A305,EnrollData2324,'2324 Jun 24 Enroll'!H$1,FALSE),'District Calculations'!$D$14)*Apport_215A2324s,3)</f>
        <v>8.0969999999999995</v>
      </c>
      <c r="Y305">
        <f>ROUND(IF(VLOOKUP($A305,EnrollData2324,'2324 Jun 24 Enroll'!I$1,FALSE)+VLOOKUP($A305,EnrollData2324,'2324 Jun 24 Enroll'!M$1,FALSE)-VLOOKUP($A305,EnrollData2324,'2324 Jun 24 Enroll'!J$1,FALSE)='District Calculations'!$D$16+'District Calculations'!$D$25-'District Calculations'!$D$17,VLOOKUP($A305,EnrollData2324,'2324 Jun 24 Enroll'!I$1,FALSE)+VLOOKUP($A305,EnrollData2324,'2324 Jun 24 Enroll'!M$1,FALSE)-VLOOKUP($A305,EnrollData2324,'2324 Jun 24 Enroll'!J$1,FALSE),'District Calculations'!$D$16+'District Calculations'!$D$25-'District Calculations'!$D$17)*Apport_218A2324s,3)</f>
        <v>20.224</v>
      </c>
      <c r="Z305">
        <f>ROUND(SUM(T305:Y305)/IF(VLOOKUP($A305,EnrollData2324,'2324 Jun 24 Enroll'!M$1,FALSE)+VLOOKUP($A305,EnrollData2324,'2324 Jun 24 Enroll'!D$1,FALSE)='District Calculations'!$D$25+'District Calculations'!$D$11,VLOOKUP($A305,EnrollData2324,'2324 Jun 24 Enroll'!M$1,FALSE)+VLOOKUP($A305,EnrollData2324,'2324 Jun 24 Enroll'!D$1,FALSE),'District Calculations'!$D$25+'District Calculations'!$D$11),5)</f>
        <v>1.7749999999999998E-2</v>
      </c>
      <c r="AA305" s="6" cm="1">
        <f t="array" ref="AA305">ROUND($J305*CIS_Base_Salary2324s*VLOOKUP($A305,EnrollData2324,'2324 Jun 24 Enroll'!S$1,FALSE),2)</f>
        <v>4038.59</v>
      </c>
      <c r="AB305" s="6" cm="1">
        <f t="array" ref="AB305">ROUND($J305*CIS_Inc_Salary2324s*(VLOOKUP($A305,EnrollData2324,'2324 Jun 24 Enroll'!T$1,FALSE)+VLOOKUP($A305,EnrollData2324,'2324 Jun 24 Enroll'!U$1,FALSE)),2)-AA305</f>
        <v>149.43000000000029</v>
      </c>
      <c r="AC305" s="6" cm="1">
        <f t="array" ref="AC305">ROUND($R305*CAS_Base_Salary2324s*VLOOKUP($A305,EnrollData2324,'2324 Jun 24 Enroll'!S$1,FALSE),2)</f>
        <v>443.7</v>
      </c>
      <c r="AD305" s="6" cm="1">
        <f t="array" ref="AD305">ROUND($R305*CAS_Inc_Salary2324s*VLOOKUP($A305,EnrollData2324,'2324 Jun 24 Enroll'!T$1,FALSE),2)-AC305</f>
        <v>16.410000000000025</v>
      </c>
      <c r="AE305" s="6" cm="1">
        <f t="array" ref="AE305">ROUND($Z305*CLS_Base_Salary2324s*VLOOKUP($A305,EnrollData2324,'2324 Jun 24 Enroll'!S$1,FALSE),2)</f>
        <v>926.07</v>
      </c>
      <c r="AF305" s="6" cm="1">
        <f t="array" ref="AF305">ROUND($Z305*CLS_Inc_Salary2324s*VLOOKUP($A305,EnrollData2324,'2324 Jun 24 Enroll'!T$1,FALSE),2)-AE305</f>
        <v>34.259999999999991</v>
      </c>
      <c r="AG305" cm="1">
        <f t="array" ref="AG305">ROUND(($J305+$R305)*Apport_124X2324s,2)</f>
        <v>734.29</v>
      </c>
      <c r="AH305" s="69">
        <f t="shared" si="29"/>
        <v>68.700000000000045</v>
      </c>
      <c r="AI305" cm="1">
        <f t="array" ref="AI305">ROUND($Z305*Apport_124X2324s,2)</f>
        <v>218.54</v>
      </c>
      <c r="AJ305" cm="1">
        <f t="array" ref="AJ305">ROUND($Z305*Apport_621X2324s*Apport_125X2324s,2)-AI305</f>
        <v>116.51000000000002</v>
      </c>
      <c r="AK305" cm="1">
        <f t="array" ref="AK305">ROUND((AA305+AC305)*Apport_126X2324s,2)</f>
        <v>805.47</v>
      </c>
      <c r="AL305" cm="1">
        <f t="array" ref="AL305">ROUND((AB305+AD305)*Apport_127X2324s,2)</f>
        <v>28.74</v>
      </c>
      <c r="AM305" cm="1">
        <f t="array" ref="AM305">ROUND(AE305*Apport_128X2324s,2)</f>
        <v>204.29</v>
      </c>
      <c r="AN305" cm="1">
        <f t="array" ref="AN305">ROUND(AF305*Apport_129X2324s,2)</f>
        <v>6.36</v>
      </c>
      <c r="AO305" cm="1">
        <f t="array" ref="AO305">ROUND(($J305*CIS_Inc_Salary2324s*(VLOOKUP($A305,EnrollData2324,'2324 Jun 24 Enroll'!T$1,FALSE)+VLOOKUP($A305,EnrollData2324,'2324 Jun 24 Enroll'!U$1,FALSE))/Apport_613Xpd)*Apport_614Xpd,2)</f>
        <v>69.8</v>
      </c>
      <c r="AP305" cm="1">
        <f t="array" ref="AP305">ROUND(AO305*Apport_127X2324s,2)</f>
        <v>12.1</v>
      </c>
      <c r="AQ305">
        <f t="shared" si="30"/>
        <v>30.93</v>
      </c>
      <c r="AR305" s="6" cm="1">
        <f t="array" ref="AR305">ROUND((VLOOKUP($A305,EnrollData2324,'2324 Jun 24 Enroll'!D$1,FALSE)*Apport_M802324s+VLOOKUP($A305,EnrollData2324,'2324 Jun 24 Enroll'!M$1,FALSE)*Apport_M802324s+(VLOOKUP($A305,EnrollData2324,'2324 Jun 24 Enroll'!P$1,FALSE)+VLOOKUP($A305,EnrollData2324,'2324 Jun 24 Enroll'!Q$1,FALSE)+VLOOKUP($A305,EnrollData2324,'2324 Jun 24 Enroll'!R$1,FALSE)+VLOOKUP($A305,EnrollData2324,'2324 Jun 24 Enroll'!I$1,FALSE)+VLOOKUP($A305,EnrollData2324,'2324 Jun 24 Enroll'!N$1,FALSE)+VLOOKUP($A305,EnrollData2324,'2324 Jun 24 Enroll'!O$1,FALSE)+VLOOKUP($A305,EnrollData2324,'2324 Jun 24 Enroll'!K$1,FALSE)+VLOOKUP($A305,EnrollData2324,'2324 Jun 24 Enroll'!L$1,FALSE))*Apport_M812324s)/(VLOOKUP($A305,EnrollData2324,'2324 Jun 24 Enroll'!M$1,FALSE)+VLOOKUP($A305,EnrollData2324,'2324 Jun 24 Enroll'!D$1,FALSE)),2)</f>
        <v>1552.69</v>
      </c>
      <c r="AS305" s="7">
        <f t="shared" si="31"/>
        <v>9456.880000000001</v>
      </c>
    </row>
    <row r="306" spans="1:45">
      <c r="A306" s="40" t="s">
        <v>739</v>
      </c>
      <c r="B306" s="40" t="s">
        <v>740</v>
      </c>
      <c r="C306" s="11">
        <f>ROUND((IFERROR((1/IF(VLOOKUP($A306,EnrollData2324,28,FALSE)='District Calculations'!$D$10,VLOOKUP($A306,EnrollData2324,28,FALSE),'District Calculations'!$D$10))*(1+Apport_Z315),0))+Apport_201A2324s,6)</f>
        <v>7.3449E-2</v>
      </c>
      <c r="D306">
        <f>ROUND(IF(VLOOKUP($A306,EnrollData2324,'2324 Jun 24 Enroll'!D$1,FALSE)='District Calculations'!$D$11,VLOOKUP($A306,EnrollData2324,'2324 Jun 24 Enroll'!D$1,FALSE),'District Calculations'!$D$11)*C306,3)</f>
        <v>0</v>
      </c>
      <c r="E306">
        <f>ROUND(IF(VLOOKUP($A306,EnrollData2324,'2324 Jun 24 Enroll'!E$1,FALSE)='District Calculations'!$D$12,VLOOKUP($A306,EnrollData2324,'2324 Jun 24 Enroll'!E$1,FALSE),'District Calculations'!$D$12)*C306,3)</f>
        <v>59.53</v>
      </c>
      <c r="F306">
        <f>ROUND(IF(VLOOKUP($A306,EnrollData2324,'2324 Jun 24 Enroll'!F$1,FALSE)='District Calculations'!$D$13,VLOOKUP($A306,EnrollData2324,'2324 Jun 24 Enroll'!F$1,FALSE),'District Calculations'!$D$13)*Apport_222A2324s,3)</f>
        <v>10.101000000000001</v>
      </c>
      <c r="G306">
        <f>ROUND(IF(VLOOKUP($A306,EnrollData2324,'2324 Jun 24 Enroll'!G$1,FALSE)='District Calculations'!$D$14,VLOOKUP($A306,EnrollData2324,'2324 Jun 24 Enroll'!G$1,FALSE),'District Calculations'!$D$14)*Apport_210A2324s,3)</f>
        <v>22.395</v>
      </c>
      <c r="H306">
        <f>ROUND(IF(VLOOKUP($A306,EnrollData2324,'2324 Jun 24 Enroll'!H$1,FALSE)='District Calculations'!$D$15,VLOOKUP($A306,EnrollData2324,'2324 Jun 24 Enroll'!H$1,FALSE),'District Calculations'!$D$15)*Apport_213A2324s,3)</f>
        <v>23.091999999999999</v>
      </c>
      <c r="I306">
        <f>ROUND(IF(VLOOKUP($A306,EnrollData2324,'2324 Jun 24 Enroll'!I$1,FALSE)+VLOOKUP($A306,EnrollData2324,'2324 Jun 24 Enroll'!M$1,FALSE)-VLOOKUP($A306,EnrollData2324,'2324 Jun 24 Enroll'!J$1,FALSE)='District Calculations'!$D$16+'District Calculations'!$D$25-'District Calculations'!$D$17,VLOOKUP($A306,EnrollData2324,'2324 Jun 24 Enroll'!I$1,FALSE)+VLOOKUP($A306,EnrollData2324,'2324 Jun 24 Enroll'!M$1,FALSE)-VLOOKUP($A306,EnrollData2324,'2324 Jun 24 Enroll'!J$1,FALSE),'District Calculations'!$D$16+'District Calculations'!$D$25-'District Calculations'!$D$17)*Apport_216A2324s,3)</f>
        <v>58.183999999999997</v>
      </c>
      <c r="J306">
        <f>ROUND(SUM(D306:I306)/(IF(VLOOKUP($A306,EnrollData2324,'2324 Jun 24 Enroll'!M$1,FALSE)='District Calculations'!$D$25,VLOOKUP($A306,EnrollData2324,'2324 Jun 24 Enroll'!M$1,FALSE),'District Calculations'!$D$25)+IF(VLOOKUP($A306,EnrollData2324,'2324 Jun 24 Enroll'!D$1,FALSE)='District Calculations'!$D$11,VLOOKUP($A306,EnrollData2324,'2324 Jun 24 Enroll'!D$1,FALSE),'District Calculations'!$D$11)),5)</f>
        <v>5.5530000000000003E-2</v>
      </c>
      <c r="K306" s="11">
        <f t="shared" si="27"/>
        <v>4.3699999999999998E-3</v>
      </c>
      <c r="L306">
        <f>ROUND(IF(VLOOKUP($A306,EnrollData2324,'2324 Jun 24 Enroll'!D$1,FALSE)='District Calculations'!$D$11,VLOOKUP($A306,EnrollData2324,'2324 Jun 24 Enroll'!D$1,FALSE),'District Calculations'!$D$11)*K306,3)</f>
        <v>0</v>
      </c>
      <c r="M306">
        <f>ROUND(IF(VLOOKUP($A306,EnrollData2324,'2324 Jun 24 Enroll'!E$1,FALSE)='District Calculations'!$D$12,VLOOKUP($A306,EnrollData2324,'2324 Jun 24 Enroll'!E$1,FALSE),'District Calculations'!$D$12)*K306,3)</f>
        <v>3.5419999999999998</v>
      </c>
      <c r="N306">
        <f>ROUND(IF(VLOOKUP($A306,EnrollData2324,'2324 Jun 24 Enroll'!F$1,FALSE)='District Calculations'!$D$13,VLOOKUP($A306,EnrollData2324,'2324 Jun 24 Enroll'!F$1,FALSE),'District Calculations'!$D$13)*Apport_223A2324s,3)</f>
        <v>0.84299999999999997</v>
      </c>
      <c r="O306">
        <f>ROUND(IF(VLOOKUP($A306,EnrollData2324,'2324 Jun 24 Enroll'!G$1,FALSE)='District Calculations'!$D$14,VLOOKUP($A306,EnrollData2324,'2324 Jun 24 Enroll'!G$1,FALSE),'District Calculations'!$D$14)*Apport_211A2324s,3)</f>
        <v>1.87</v>
      </c>
      <c r="P306">
        <f>ROUND(IF(VLOOKUP($A306,EnrollData2324,'2324 Jun 24 Enroll'!H$1,FALSE)='District Calculations'!$D$14,VLOOKUP($A306,EnrollData2324,'2324 Jun 24 Enroll'!H$1,FALSE),'District Calculations'!$D$14)*Apport_214A2324s,3)</f>
        <v>1.8680000000000001</v>
      </c>
      <c r="Q306">
        <f>ROUND(IF(VLOOKUP($A306,EnrollData2324,'2324 Jun 24 Enroll'!I$1,FALSE)+VLOOKUP($A306,EnrollData2324,'2324 Jun 24 Enroll'!M$1,FALSE)-VLOOKUP($A306,EnrollData2324,'2324 Jun 24 Enroll'!J$1,FALSE)='District Calculations'!$D$16+'District Calculations'!$D$25-'District Calculations'!$D$17,VLOOKUP($A306,EnrollData2324,'2324 Jun 24 Enroll'!I$1,FALSE)+VLOOKUP($A306,EnrollData2324,'2324 Jun 24 Enroll'!M$1,FALSE)-VLOOKUP($A306,EnrollData2324,'2324 Jun 24 Enroll'!J$1,FALSE),'District Calculations'!$D$16+'District Calculations'!$D$25-'District Calculations'!$D$17)*Apport_217A2324s,3)</f>
        <v>4.702</v>
      </c>
      <c r="R306">
        <f>ROUND(SUM(L306:Q306)/IF(VLOOKUP($A306,EnrollData2324,'2324 Jun 24 Enroll'!M$1,FALSE)+VLOOKUP($A306,EnrollData2324,'2324 Jun 24 Enroll'!D$1,FALSE)='District Calculations'!$D$25+'District Calculations'!$D$11,VLOOKUP($A306,EnrollData2324,'2324 Jun 24 Enroll'!M$1,FALSE)+VLOOKUP($A306,EnrollData2324,'2324 Jun 24 Enroll'!D$1,FALSE),'District Calculations'!$D$25+'District Calculations'!$D$11),5)</f>
        <v>4.1099999999999999E-3</v>
      </c>
      <c r="S306" s="11">
        <f t="shared" si="28"/>
        <v>1.8689600000000001E-2</v>
      </c>
      <c r="T306">
        <f>ROUND(IF(VLOOKUP($A306,EnrollData2324,'2324 Jun 24 Enroll'!D$1,FALSE)='District Calculations'!$D$11,VLOOKUP($A306,EnrollData2324,'2324 Jun 24 Enroll'!D$1,FALSE),'District Calculations'!$D$11)*S306,3)</f>
        <v>0</v>
      </c>
      <c r="U306">
        <f>ROUND(IF(VLOOKUP($A306,EnrollData2324,'2324 Jun 24 Enroll'!E$1,FALSE)='District Calculations'!$D$12,VLOOKUP($A306,EnrollData2324,'2324 Jun 24 Enroll'!E$1,FALSE),'District Calculations'!$D$12)*S306,3)</f>
        <v>15.148</v>
      </c>
      <c r="V306">
        <f>ROUND(IF(VLOOKUP($A306,EnrollData2324,'2324 Jun 24 Enroll'!F$1,FALSE)='District Calculations'!$D$13,VLOOKUP($A306,EnrollData2324,'2324 Jun 24 Enroll'!F$1,FALSE),'District Calculations'!$D$13)*Apport_224A2324s,3)</f>
        <v>3.7029999999999998</v>
      </c>
      <c r="W306">
        <f>ROUND(IF(VLOOKUP($A306,EnrollData2324,'2324 Jun 24 Enroll'!G$1,FALSE)='District Calculations'!$D$14,VLOOKUP($A306,EnrollData2324,'2324 Jun 24 Enroll'!G$1,FALSE),'District Calculations'!$D$14)*Apport_212A2324s,3)</f>
        <v>8.2089999999999996</v>
      </c>
      <c r="X306">
        <f>ROUND(IF(VLOOKUP($A306,EnrollData2324,'2324 Jun 24 Enroll'!H$1,FALSE)='District Calculations'!$D$14,VLOOKUP($A306,EnrollData2324,'2324 Jun 24 Enroll'!H$1,FALSE),'District Calculations'!$D$14)*Apport_215A2324s,3)</f>
        <v>8.0969999999999995</v>
      </c>
      <c r="Y306">
        <f>ROUND(IF(VLOOKUP($A306,EnrollData2324,'2324 Jun 24 Enroll'!I$1,FALSE)+VLOOKUP($A306,EnrollData2324,'2324 Jun 24 Enroll'!M$1,FALSE)-VLOOKUP($A306,EnrollData2324,'2324 Jun 24 Enroll'!J$1,FALSE)='District Calculations'!$D$16+'District Calculations'!$D$25-'District Calculations'!$D$17,VLOOKUP($A306,EnrollData2324,'2324 Jun 24 Enroll'!I$1,FALSE)+VLOOKUP($A306,EnrollData2324,'2324 Jun 24 Enroll'!M$1,FALSE)-VLOOKUP($A306,EnrollData2324,'2324 Jun 24 Enroll'!J$1,FALSE),'District Calculations'!$D$16+'District Calculations'!$D$25-'District Calculations'!$D$17)*Apport_218A2324s,3)</f>
        <v>20.224</v>
      </c>
      <c r="Z306">
        <f>ROUND(SUM(T306:Y306)/IF(VLOOKUP($A306,EnrollData2324,'2324 Jun 24 Enroll'!M$1,FALSE)+VLOOKUP($A306,EnrollData2324,'2324 Jun 24 Enroll'!D$1,FALSE)='District Calculations'!$D$25+'District Calculations'!$D$11,VLOOKUP($A306,EnrollData2324,'2324 Jun 24 Enroll'!M$1,FALSE)+VLOOKUP($A306,EnrollData2324,'2324 Jun 24 Enroll'!D$1,FALSE),'District Calculations'!$D$25+'District Calculations'!$D$11),5)</f>
        <v>1.7749999999999998E-2</v>
      </c>
      <c r="AA306" s="6" cm="1">
        <f t="array" ref="AA306">ROUND($J306*CIS_Base_Salary2324s*VLOOKUP($A306,EnrollData2324,'2324 Jun 24 Enroll'!S$1,FALSE),2)</f>
        <v>4038.59</v>
      </c>
      <c r="AB306" s="6" cm="1">
        <f t="array" ref="AB306">ROUND($J306*CIS_Inc_Salary2324s*(VLOOKUP($A306,EnrollData2324,'2324 Jun 24 Enroll'!T$1,FALSE)+VLOOKUP($A306,EnrollData2324,'2324 Jun 24 Enroll'!U$1,FALSE)),2)-AA306</f>
        <v>316.94999999999982</v>
      </c>
      <c r="AC306" s="6" cm="1">
        <f t="array" ref="AC306">ROUND($R306*CAS_Base_Salary2324s*VLOOKUP($A306,EnrollData2324,'2324 Jun 24 Enroll'!S$1,FALSE),2)</f>
        <v>443.7</v>
      </c>
      <c r="AD306" s="6" cm="1">
        <f t="array" ref="AD306">ROUND($R306*CAS_Inc_Salary2324s*VLOOKUP($A306,EnrollData2324,'2324 Jun 24 Enroll'!T$1,FALSE),2)-AC306</f>
        <v>16.410000000000025</v>
      </c>
      <c r="AE306" s="6" cm="1">
        <f t="array" ref="AE306">ROUND($Z306*CLS_Base_Salary2324s*VLOOKUP($A306,EnrollData2324,'2324 Jun 24 Enroll'!S$1,FALSE),2)</f>
        <v>926.07</v>
      </c>
      <c r="AF306" s="6" cm="1">
        <f t="array" ref="AF306">ROUND($Z306*CLS_Inc_Salary2324s*VLOOKUP($A306,EnrollData2324,'2324 Jun 24 Enroll'!T$1,FALSE),2)-AE306</f>
        <v>34.259999999999991</v>
      </c>
      <c r="AG306" cm="1">
        <f t="array" ref="AG306">ROUND(($J306+$R306)*Apport_124X2324s,2)</f>
        <v>734.29</v>
      </c>
      <c r="AH306" s="69">
        <f t="shared" si="29"/>
        <v>68.700000000000045</v>
      </c>
      <c r="AI306" cm="1">
        <f t="array" ref="AI306">ROUND($Z306*Apport_124X2324s,2)</f>
        <v>218.54</v>
      </c>
      <c r="AJ306" cm="1">
        <f t="array" ref="AJ306">ROUND($Z306*Apport_621X2324s*Apport_125X2324s,2)-AI306</f>
        <v>116.51000000000002</v>
      </c>
      <c r="AK306" cm="1">
        <f t="array" ref="AK306">ROUND((AA306+AC306)*Apport_126X2324s,2)</f>
        <v>805.47</v>
      </c>
      <c r="AL306" cm="1">
        <f t="array" ref="AL306">ROUND((AB306+AD306)*Apport_127X2324s,2)</f>
        <v>57.77</v>
      </c>
      <c r="AM306" cm="1">
        <f t="array" ref="AM306">ROUND(AE306*Apport_128X2324s,2)</f>
        <v>204.29</v>
      </c>
      <c r="AN306" cm="1">
        <f t="array" ref="AN306">ROUND(AF306*Apport_129X2324s,2)</f>
        <v>6.36</v>
      </c>
      <c r="AO306" cm="1">
        <f t="array" ref="AO306">ROUND(($J306*CIS_Inc_Salary2324s*(VLOOKUP($A306,EnrollData2324,'2324 Jun 24 Enroll'!T$1,FALSE)+VLOOKUP($A306,EnrollData2324,'2324 Jun 24 Enroll'!U$1,FALSE))/Apport_613Xpd)*Apport_614Xpd,2)</f>
        <v>72.59</v>
      </c>
      <c r="AP306" cm="1">
        <f t="array" ref="AP306">ROUND(AO306*Apport_127X2324s,2)</f>
        <v>12.58</v>
      </c>
      <c r="AQ306">
        <f t="shared" si="30"/>
        <v>30.93</v>
      </c>
      <c r="AR306" s="6" cm="1">
        <f t="array" ref="AR306">ROUND((VLOOKUP($A306,EnrollData2324,'2324 Jun 24 Enroll'!D$1,FALSE)*Apport_M802324s+VLOOKUP($A306,EnrollData2324,'2324 Jun 24 Enroll'!M$1,FALSE)*Apport_M802324s+(VLOOKUP($A306,EnrollData2324,'2324 Jun 24 Enroll'!P$1,FALSE)+VLOOKUP($A306,EnrollData2324,'2324 Jun 24 Enroll'!Q$1,FALSE)+VLOOKUP($A306,EnrollData2324,'2324 Jun 24 Enroll'!R$1,FALSE)+VLOOKUP($A306,EnrollData2324,'2324 Jun 24 Enroll'!I$1,FALSE)+VLOOKUP($A306,EnrollData2324,'2324 Jun 24 Enroll'!N$1,FALSE)+VLOOKUP($A306,EnrollData2324,'2324 Jun 24 Enroll'!O$1,FALSE)+VLOOKUP($A306,EnrollData2324,'2324 Jun 24 Enroll'!K$1,FALSE)+VLOOKUP($A306,EnrollData2324,'2324 Jun 24 Enroll'!L$1,FALSE))*Apport_M812324s)/(VLOOKUP($A306,EnrollData2324,'2324 Jun 24 Enroll'!M$1,FALSE)+VLOOKUP($A306,EnrollData2324,'2324 Jun 24 Enroll'!D$1,FALSE)),2)</f>
        <v>1553.24</v>
      </c>
      <c r="AS306" s="7">
        <f t="shared" si="31"/>
        <v>9657.25</v>
      </c>
    </row>
    <row r="307" spans="1:45">
      <c r="A307" s="40" t="s">
        <v>785</v>
      </c>
      <c r="B307" s="40" t="s">
        <v>786</v>
      </c>
      <c r="C307" s="11">
        <f>ROUND((IFERROR((1/IF(VLOOKUP($A307,EnrollData2324,28,FALSE)='District Calculations'!$D$10,VLOOKUP($A307,EnrollData2324,28,FALSE),'District Calculations'!$D$10))*(1+Apport_Z315),0))+Apport_201A2324s,6)</f>
        <v>7.3449E-2</v>
      </c>
      <c r="D307">
        <f>ROUND(IF(VLOOKUP($A307,EnrollData2324,'2324 Jun 24 Enroll'!D$1,FALSE)='District Calculations'!$D$11,VLOOKUP($A307,EnrollData2324,'2324 Jun 24 Enroll'!D$1,FALSE),'District Calculations'!$D$11)*C307,3)</f>
        <v>0</v>
      </c>
      <c r="E307">
        <f>ROUND(IF(VLOOKUP($A307,EnrollData2324,'2324 Jun 24 Enroll'!E$1,FALSE)='District Calculations'!$D$12,VLOOKUP($A307,EnrollData2324,'2324 Jun 24 Enroll'!E$1,FALSE),'District Calculations'!$D$12)*C307,3)</f>
        <v>59.53</v>
      </c>
      <c r="F307">
        <f>ROUND(IF(VLOOKUP($A307,EnrollData2324,'2324 Jun 24 Enroll'!F$1,FALSE)='District Calculations'!$D$13,VLOOKUP($A307,EnrollData2324,'2324 Jun 24 Enroll'!F$1,FALSE),'District Calculations'!$D$13)*Apport_222A2324s,3)</f>
        <v>10.101000000000001</v>
      </c>
      <c r="G307">
        <f>ROUND(IF(VLOOKUP($A307,EnrollData2324,'2324 Jun 24 Enroll'!G$1,FALSE)='District Calculations'!$D$14,VLOOKUP($A307,EnrollData2324,'2324 Jun 24 Enroll'!G$1,FALSE),'District Calculations'!$D$14)*Apport_210A2324s,3)</f>
        <v>22.395</v>
      </c>
      <c r="H307">
        <f>ROUND(IF(VLOOKUP($A307,EnrollData2324,'2324 Jun 24 Enroll'!H$1,FALSE)='District Calculations'!$D$15,VLOOKUP($A307,EnrollData2324,'2324 Jun 24 Enroll'!H$1,FALSE),'District Calculations'!$D$15)*Apport_213A2324s,3)</f>
        <v>23.091999999999999</v>
      </c>
      <c r="I307">
        <f>ROUND(IF(VLOOKUP($A307,EnrollData2324,'2324 Jun 24 Enroll'!I$1,FALSE)+VLOOKUP($A307,EnrollData2324,'2324 Jun 24 Enroll'!M$1,FALSE)-VLOOKUP($A307,EnrollData2324,'2324 Jun 24 Enroll'!J$1,FALSE)='District Calculations'!$D$16+'District Calculations'!$D$25-'District Calculations'!$D$17,VLOOKUP($A307,EnrollData2324,'2324 Jun 24 Enroll'!I$1,FALSE)+VLOOKUP($A307,EnrollData2324,'2324 Jun 24 Enroll'!M$1,FALSE)-VLOOKUP($A307,EnrollData2324,'2324 Jun 24 Enroll'!J$1,FALSE),'District Calculations'!$D$16+'District Calculations'!$D$25-'District Calculations'!$D$17)*Apport_216A2324s,3)</f>
        <v>58.183999999999997</v>
      </c>
      <c r="J307">
        <f>ROUND(SUM(D307:I307)/(IF(VLOOKUP($A307,EnrollData2324,'2324 Jun 24 Enroll'!M$1,FALSE)='District Calculations'!$D$25,VLOOKUP($A307,EnrollData2324,'2324 Jun 24 Enroll'!M$1,FALSE),'District Calculations'!$D$25)+IF(VLOOKUP($A307,EnrollData2324,'2324 Jun 24 Enroll'!D$1,FALSE)='District Calculations'!$D$11,VLOOKUP($A307,EnrollData2324,'2324 Jun 24 Enroll'!D$1,FALSE),'District Calculations'!$D$11)),5)</f>
        <v>5.5530000000000003E-2</v>
      </c>
      <c r="K307" s="11">
        <f t="shared" si="27"/>
        <v>4.3699999999999998E-3</v>
      </c>
      <c r="L307">
        <f>ROUND(IF(VLOOKUP($A307,EnrollData2324,'2324 Jun 24 Enroll'!D$1,FALSE)='District Calculations'!$D$11,VLOOKUP($A307,EnrollData2324,'2324 Jun 24 Enroll'!D$1,FALSE),'District Calculations'!$D$11)*K307,3)</f>
        <v>0</v>
      </c>
      <c r="M307">
        <f>ROUND(IF(VLOOKUP($A307,EnrollData2324,'2324 Jun 24 Enroll'!E$1,FALSE)='District Calculations'!$D$12,VLOOKUP($A307,EnrollData2324,'2324 Jun 24 Enroll'!E$1,FALSE),'District Calculations'!$D$12)*K307,3)</f>
        <v>3.5419999999999998</v>
      </c>
      <c r="N307">
        <f>ROUND(IF(VLOOKUP($A307,EnrollData2324,'2324 Jun 24 Enroll'!F$1,FALSE)='District Calculations'!$D$13,VLOOKUP($A307,EnrollData2324,'2324 Jun 24 Enroll'!F$1,FALSE),'District Calculations'!$D$13)*Apport_223A2324s,3)</f>
        <v>0.84299999999999997</v>
      </c>
      <c r="O307">
        <f>ROUND(IF(VLOOKUP($A307,EnrollData2324,'2324 Jun 24 Enroll'!G$1,FALSE)='District Calculations'!$D$14,VLOOKUP($A307,EnrollData2324,'2324 Jun 24 Enroll'!G$1,FALSE),'District Calculations'!$D$14)*Apport_211A2324s,3)</f>
        <v>1.87</v>
      </c>
      <c r="P307">
        <f>ROUND(IF(VLOOKUP($A307,EnrollData2324,'2324 Jun 24 Enroll'!H$1,FALSE)='District Calculations'!$D$14,VLOOKUP($A307,EnrollData2324,'2324 Jun 24 Enroll'!H$1,FALSE),'District Calculations'!$D$14)*Apport_214A2324s,3)</f>
        <v>1.8680000000000001</v>
      </c>
      <c r="Q307">
        <f>ROUND(IF(VLOOKUP($A307,EnrollData2324,'2324 Jun 24 Enroll'!I$1,FALSE)+VLOOKUP($A307,EnrollData2324,'2324 Jun 24 Enroll'!M$1,FALSE)-VLOOKUP($A307,EnrollData2324,'2324 Jun 24 Enroll'!J$1,FALSE)='District Calculations'!$D$16+'District Calculations'!$D$25-'District Calculations'!$D$17,VLOOKUP($A307,EnrollData2324,'2324 Jun 24 Enroll'!I$1,FALSE)+VLOOKUP($A307,EnrollData2324,'2324 Jun 24 Enroll'!M$1,FALSE)-VLOOKUP($A307,EnrollData2324,'2324 Jun 24 Enroll'!J$1,FALSE),'District Calculations'!$D$16+'District Calculations'!$D$25-'District Calculations'!$D$17)*Apport_217A2324s,3)</f>
        <v>4.702</v>
      </c>
      <c r="R307">
        <f>ROUND(SUM(L307:Q307)/IF(VLOOKUP($A307,EnrollData2324,'2324 Jun 24 Enroll'!M$1,FALSE)+VLOOKUP($A307,EnrollData2324,'2324 Jun 24 Enroll'!D$1,FALSE)='District Calculations'!$D$25+'District Calculations'!$D$11,VLOOKUP($A307,EnrollData2324,'2324 Jun 24 Enroll'!M$1,FALSE)+VLOOKUP($A307,EnrollData2324,'2324 Jun 24 Enroll'!D$1,FALSE),'District Calculations'!$D$25+'District Calculations'!$D$11),5)</f>
        <v>4.1099999999999999E-3</v>
      </c>
      <c r="S307" s="11">
        <f t="shared" si="28"/>
        <v>1.8689600000000001E-2</v>
      </c>
      <c r="T307">
        <f>ROUND(IF(VLOOKUP($A307,EnrollData2324,'2324 Jun 24 Enroll'!D$1,FALSE)='District Calculations'!$D$11,VLOOKUP($A307,EnrollData2324,'2324 Jun 24 Enroll'!D$1,FALSE),'District Calculations'!$D$11)*S307,3)</f>
        <v>0</v>
      </c>
      <c r="U307">
        <f>ROUND(IF(VLOOKUP($A307,EnrollData2324,'2324 Jun 24 Enroll'!E$1,FALSE)='District Calculations'!$D$12,VLOOKUP($A307,EnrollData2324,'2324 Jun 24 Enroll'!E$1,FALSE),'District Calculations'!$D$12)*S307,3)</f>
        <v>15.148</v>
      </c>
      <c r="V307">
        <f>ROUND(IF(VLOOKUP($A307,EnrollData2324,'2324 Jun 24 Enroll'!F$1,FALSE)='District Calculations'!$D$13,VLOOKUP($A307,EnrollData2324,'2324 Jun 24 Enroll'!F$1,FALSE),'District Calculations'!$D$13)*Apport_224A2324s,3)</f>
        <v>3.7029999999999998</v>
      </c>
      <c r="W307">
        <f>ROUND(IF(VLOOKUP($A307,EnrollData2324,'2324 Jun 24 Enroll'!G$1,FALSE)='District Calculations'!$D$14,VLOOKUP($A307,EnrollData2324,'2324 Jun 24 Enroll'!G$1,FALSE),'District Calculations'!$D$14)*Apport_212A2324s,3)</f>
        <v>8.2089999999999996</v>
      </c>
      <c r="X307">
        <f>ROUND(IF(VLOOKUP($A307,EnrollData2324,'2324 Jun 24 Enroll'!H$1,FALSE)='District Calculations'!$D$14,VLOOKUP($A307,EnrollData2324,'2324 Jun 24 Enroll'!H$1,FALSE),'District Calculations'!$D$14)*Apport_215A2324s,3)</f>
        <v>8.0969999999999995</v>
      </c>
      <c r="Y307">
        <f>ROUND(IF(VLOOKUP($A307,EnrollData2324,'2324 Jun 24 Enroll'!I$1,FALSE)+VLOOKUP($A307,EnrollData2324,'2324 Jun 24 Enroll'!M$1,FALSE)-VLOOKUP($A307,EnrollData2324,'2324 Jun 24 Enroll'!J$1,FALSE)='District Calculations'!$D$16+'District Calculations'!$D$25-'District Calculations'!$D$17,VLOOKUP($A307,EnrollData2324,'2324 Jun 24 Enroll'!I$1,FALSE)+VLOOKUP($A307,EnrollData2324,'2324 Jun 24 Enroll'!M$1,FALSE)-VLOOKUP($A307,EnrollData2324,'2324 Jun 24 Enroll'!J$1,FALSE),'District Calculations'!$D$16+'District Calculations'!$D$25-'District Calculations'!$D$17)*Apport_218A2324s,3)</f>
        <v>20.224</v>
      </c>
      <c r="Z307">
        <f>ROUND(SUM(T307:Y307)/IF(VLOOKUP($A307,EnrollData2324,'2324 Jun 24 Enroll'!M$1,FALSE)+VLOOKUP($A307,EnrollData2324,'2324 Jun 24 Enroll'!D$1,FALSE)='District Calculations'!$D$25+'District Calculations'!$D$11,VLOOKUP($A307,EnrollData2324,'2324 Jun 24 Enroll'!M$1,FALSE)+VLOOKUP($A307,EnrollData2324,'2324 Jun 24 Enroll'!D$1,FALSE),'District Calculations'!$D$25+'District Calculations'!$D$11),5)</f>
        <v>1.7749999999999998E-2</v>
      </c>
      <c r="AA307" s="6" cm="1">
        <f t="array" ref="AA307">ROUND($J307*CIS_Base_Salary2324s*VLOOKUP($A307,EnrollData2324,'2324 Jun 24 Enroll'!S$1,FALSE),2)</f>
        <v>4038.59</v>
      </c>
      <c r="AB307" s="6" cm="1">
        <f t="array" ref="AB307">ROUND($J307*CIS_Inc_Salary2324s*(VLOOKUP($A307,EnrollData2324,'2324 Jun 24 Enroll'!T$1,FALSE)+VLOOKUP($A307,EnrollData2324,'2324 Jun 24 Enroll'!U$1,FALSE)),2)-AA307</f>
        <v>149.43000000000029</v>
      </c>
      <c r="AC307" s="6" cm="1">
        <f t="array" ref="AC307">ROUND($R307*CAS_Base_Salary2324s*VLOOKUP($A307,EnrollData2324,'2324 Jun 24 Enroll'!S$1,FALSE),2)</f>
        <v>443.7</v>
      </c>
      <c r="AD307" s="6" cm="1">
        <f t="array" ref="AD307">ROUND($R307*CAS_Inc_Salary2324s*VLOOKUP($A307,EnrollData2324,'2324 Jun 24 Enroll'!T$1,FALSE),2)-AC307</f>
        <v>16.410000000000025</v>
      </c>
      <c r="AE307" s="6" cm="1">
        <f t="array" ref="AE307">ROUND($Z307*CLS_Base_Salary2324s*VLOOKUP($A307,EnrollData2324,'2324 Jun 24 Enroll'!S$1,FALSE),2)</f>
        <v>926.07</v>
      </c>
      <c r="AF307" s="6" cm="1">
        <f t="array" ref="AF307">ROUND($Z307*CLS_Inc_Salary2324s*VLOOKUP($A307,EnrollData2324,'2324 Jun 24 Enroll'!T$1,FALSE),2)-AE307</f>
        <v>34.259999999999991</v>
      </c>
      <c r="AG307" cm="1">
        <f t="array" ref="AG307">ROUND(($J307+$R307)*Apport_124X2324s,2)</f>
        <v>734.29</v>
      </c>
      <c r="AH307" s="69">
        <f t="shared" si="29"/>
        <v>68.700000000000045</v>
      </c>
      <c r="AI307" cm="1">
        <f t="array" ref="AI307">ROUND($Z307*Apport_124X2324s,2)</f>
        <v>218.54</v>
      </c>
      <c r="AJ307" cm="1">
        <f t="array" ref="AJ307">ROUND($Z307*Apport_621X2324s*Apport_125X2324s,2)-AI307</f>
        <v>116.51000000000002</v>
      </c>
      <c r="AK307" cm="1">
        <f t="array" ref="AK307">ROUND((AA307+AC307)*Apport_126X2324s,2)</f>
        <v>805.47</v>
      </c>
      <c r="AL307" cm="1">
        <f t="array" ref="AL307">ROUND((AB307+AD307)*Apport_127X2324s,2)</f>
        <v>28.74</v>
      </c>
      <c r="AM307" cm="1">
        <f t="array" ref="AM307">ROUND(AE307*Apport_128X2324s,2)</f>
        <v>204.29</v>
      </c>
      <c r="AN307" cm="1">
        <f t="array" ref="AN307">ROUND(AF307*Apport_129X2324s,2)</f>
        <v>6.36</v>
      </c>
      <c r="AO307" cm="1">
        <f t="array" ref="AO307">ROUND(($J307*CIS_Inc_Salary2324s*(VLOOKUP($A307,EnrollData2324,'2324 Jun 24 Enroll'!T$1,FALSE)+VLOOKUP($A307,EnrollData2324,'2324 Jun 24 Enroll'!U$1,FALSE))/Apport_613Xpd)*Apport_614Xpd,2)</f>
        <v>69.8</v>
      </c>
      <c r="AP307" cm="1">
        <f t="array" ref="AP307">ROUND(AO307*Apport_127X2324s,2)</f>
        <v>12.1</v>
      </c>
      <c r="AQ307">
        <f t="shared" si="30"/>
        <v>30.93</v>
      </c>
      <c r="AR307" s="6" cm="1">
        <f t="array" ref="AR307">ROUND((VLOOKUP($A307,EnrollData2324,'2324 Jun 24 Enroll'!D$1,FALSE)*Apport_M802324s+VLOOKUP($A307,EnrollData2324,'2324 Jun 24 Enroll'!M$1,FALSE)*Apport_M802324s+(VLOOKUP($A307,EnrollData2324,'2324 Jun 24 Enroll'!P$1,FALSE)+VLOOKUP($A307,EnrollData2324,'2324 Jun 24 Enroll'!Q$1,FALSE)+VLOOKUP($A307,EnrollData2324,'2324 Jun 24 Enroll'!R$1,FALSE)+VLOOKUP($A307,EnrollData2324,'2324 Jun 24 Enroll'!I$1,FALSE)+VLOOKUP($A307,EnrollData2324,'2324 Jun 24 Enroll'!N$1,FALSE)+VLOOKUP($A307,EnrollData2324,'2324 Jun 24 Enroll'!O$1,FALSE)+VLOOKUP($A307,EnrollData2324,'2324 Jun 24 Enroll'!K$1,FALSE)+VLOOKUP($A307,EnrollData2324,'2324 Jun 24 Enroll'!L$1,FALSE))*Apport_M812324s)/(VLOOKUP($A307,EnrollData2324,'2324 Jun 24 Enroll'!M$1,FALSE)+VLOOKUP($A307,EnrollData2324,'2324 Jun 24 Enroll'!D$1,FALSE)),2)</f>
        <v>1566.91</v>
      </c>
      <c r="AS307" s="7">
        <f t="shared" si="31"/>
        <v>9471.1</v>
      </c>
    </row>
    <row r="308" spans="1:45">
      <c r="A308" s="40" t="s">
        <v>645</v>
      </c>
      <c r="B308" s="40" t="s">
        <v>646</v>
      </c>
      <c r="C308" s="11">
        <f>ROUND((IFERROR((1/IF(VLOOKUP($A308,EnrollData2324,28,FALSE)='District Calculations'!$D$10,VLOOKUP($A308,EnrollData2324,28,FALSE),'District Calculations'!$D$10))*(1+Apport_Z315),0))+Apport_201A2324s,6)</f>
        <v>7.3449E-2</v>
      </c>
      <c r="D308">
        <f>ROUND(IF(VLOOKUP($A308,EnrollData2324,'2324 Jun 24 Enroll'!D$1,FALSE)='District Calculations'!$D$11,VLOOKUP($A308,EnrollData2324,'2324 Jun 24 Enroll'!D$1,FALSE),'District Calculations'!$D$11)*C308,3)</f>
        <v>0</v>
      </c>
      <c r="E308">
        <f>ROUND(IF(VLOOKUP($A308,EnrollData2324,'2324 Jun 24 Enroll'!E$1,FALSE)='District Calculations'!$D$12,VLOOKUP($A308,EnrollData2324,'2324 Jun 24 Enroll'!E$1,FALSE),'District Calculations'!$D$12)*C308,3)</f>
        <v>59.53</v>
      </c>
      <c r="F308">
        <f>ROUND(IF(VLOOKUP($A308,EnrollData2324,'2324 Jun 24 Enroll'!F$1,FALSE)='District Calculations'!$D$13,VLOOKUP($A308,EnrollData2324,'2324 Jun 24 Enroll'!F$1,FALSE),'District Calculations'!$D$13)*Apport_222A2324s,3)</f>
        <v>10.101000000000001</v>
      </c>
      <c r="G308">
        <f>ROUND(IF(VLOOKUP($A308,EnrollData2324,'2324 Jun 24 Enroll'!G$1,FALSE)='District Calculations'!$D$14,VLOOKUP($A308,EnrollData2324,'2324 Jun 24 Enroll'!G$1,FALSE),'District Calculations'!$D$14)*Apport_210A2324s,3)</f>
        <v>22.395</v>
      </c>
      <c r="H308">
        <f>ROUND(IF(VLOOKUP($A308,EnrollData2324,'2324 Jun 24 Enroll'!H$1,FALSE)='District Calculations'!$D$15,VLOOKUP($A308,EnrollData2324,'2324 Jun 24 Enroll'!H$1,FALSE),'District Calculations'!$D$15)*Apport_213A2324s,3)</f>
        <v>23.091999999999999</v>
      </c>
      <c r="I308">
        <f>ROUND(IF(VLOOKUP($A308,EnrollData2324,'2324 Jun 24 Enroll'!I$1,FALSE)+VLOOKUP($A308,EnrollData2324,'2324 Jun 24 Enroll'!M$1,FALSE)-VLOOKUP($A308,EnrollData2324,'2324 Jun 24 Enroll'!J$1,FALSE)='District Calculations'!$D$16+'District Calculations'!$D$25-'District Calculations'!$D$17,VLOOKUP($A308,EnrollData2324,'2324 Jun 24 Enroll'!I$1,FALSE)+VLOOKUP($A308,EnrollData2324,'2324 Jun 24 Enroll'!M$1,FALSE)-VLOOKUP($A308,EnrollData2324,'2324 Jun 24 Enroll'!J$1,FALSE),'District Calculations'!$D$16+'District Calculations'!$D$25-'District Calculations'!$D$17)*Apport_216A2324s,3)</f>
        <v>58.183999999999997</v>
      </c>
      <c r="J308">
        <f>ROUND(SUM(D308:I308)/(IF(VLOOKUP($A308,EnrollData2324,'2324 Jun 24 Enroll'!M$1,FALSE)='District Calculations'!$D$25,VLOOKUP($A308,EnrollData2324,'2324 Jun 24 Enroll'!M$1,FALSE),'District Calculations'!$D$25)+IF(VLOOKUP($A308,EnrollData2324,'2324 Jun 24 Enroll'!D$1,FALSE)='District Calculations'!$D$11,VLOOKUP($A308,EnrollData2324,'2324 Jun 24 Enroll'!D$1,FALSE),'District Calculations'!$D$11)),5)</f>
        <v>5.5530000000000003E-2</v>
      </c>
      <c r="K308" s="11">
        <f t="shared" si="27"/>
        <v>4.3699999999999998E-3</v>
      </c>
      <c r="L308">
        <f>ROUND(IF(VLOOKUP($A308,EnrollData2324,'2324 Jun 24 Enroll'!D$1,FALSE)='District Calculations'!$D$11,VLOOKUP($A308,EnrollData2324,'2324 Jun 24 Enroll'!D$1,FALSE),'District Calculations'!$D$11)*K308,3)</f>
        <v>0</v>
      </c>
      <c r="M308">
        <f>ROUND(IF(VLOOKUP($A308,EnrollData2324,'2324 Jun 24 Enroll'!E$1,FALSE)='District Calculations'!$D$12,VLOOKUP($A308,EnrollData2324,'2324 Jun 24 Enroll'!E$1,FALSE),'District Calculations'!$D$12)*K308,3)</f>
        <v>3.5419999999999998</v>
      </c>
      <c r="N308">
        <f>ROUND(IF(VLOOKUP($A308,EnrollData2324,'2324 Jun 24 Enroll'!F$1,FALSE)='District Calculations'!$D$13,VLOOKUP($A308,EnrollData2324,'2324 Jun 24 Enroll'!F$1,FALSE),'District Calculations'!$D$13)*Apport_223A2324s,3)</f>
        <v>0.84299999999999997</v>
      </c>
      <c r="O308">
        <f>ROUND(IF(VLOOKUP($A308,EnrollData2324,'2324 Jun 24 Enroll'!G$1,FALSE)='District Calculations'!$D$14,VLOOKUP($A308,EnrollData2324,'2324 Jun 24 Enroll'!G$1,FALSE),'District Calculations'!$D$14)*Apport_211A2324s,3)</f>
        <v>1.87</v>
      </c>
      <c r="P308">
        <f>ROUND(IF(VLOOKUP($A308,EnrollData2324,'2324 Jun 24 Enroll'!H$1,FALSE)='District Calculations'!$D$14,VLOOKUP($A308,EnrollData2324,'2324 Jun 24 Enroll'!H$1,FALSE),'District Calculations'!$D$14)*Apport_214A2324s,3)</f>
        <v>1.8680000000000001</v>
      </c>
      <c r="Q308">
        <f>ROUND(IF(VLOOKUP($A308,EnrollData2324,'2324 Jun 24 Enroll'!I$1,FALSE)+VLOOKUP($A308,EnrollData2324,'2324 Jun 24 Enroll'!M$1,FALSE)-VLOOKUP($A308,EnrollData2324,'2324 Jun 24 Enroll'!J$1,FALSE)='District Calculations'!$D$16+'District Calculations'!$D$25-'District Calculations'!$D$17,VLOOKUP($A308,EnrollData2324,'2324 Jun 24 Enroll'!I$1,FALSE)+VLOOKUP($A308,EnrollData2324,'2324 Jun 24 Enroll'!M$1,FALSE)-VLOOKUP($A308,EnrollData2324,'2324 Jun 24 Enroll'!J$1,FALSE),'District Calculations'!$D$16+'District Calculations'!$D$25-'District Calculations'!$D$17)*Apport_217A2324s,3)</f>
        <v>4.702</v>
      </c>
      <c r="R308">
        <f>ROUND(SUM(L308:Q308)/IF(VLOOKUP($A308,EnrollData2324,'2324 Jun 24 Enroll'!M$1,FALSE)+VLOOKUP($A308,EnrollData2324,'2324 Jun 24 Enroll'!D$1,FALSE)='District Calculations'!$D$25+'District Calculations'!$D$11,VLOOKUP($A308,EnrollData2324,'2324 Jun 24 Enroll'!M$1,FALSE)+VLOOKUP($A308,EnrollData2324,'2324 Jun 24 Enroll'!D$1,FALSE),'District Calculations'!$D$25+'District Calculations'!$D$11),5)</f>
        <v>4.1099999999999999E-3</v>
      </c>
      <c r="S308" s="11">
        <f t="shared" si="28"/>
        <v>1.8689600000000001E-2</v>
      </c>
      <c r="T308">
        <f>ROUND(IF(VLOOKUP($A308,EnrollData2324,'2324 Jun 24 Enroll'!D$1,FALSE)='District Calculations'!$D$11,VLOOKUP($A308,EnrollData2324,'2324 Jun 24 Enroll'!D$1,FALSE),'District Calculations'!$D$11)*S308,3)</f>
        <v>0</v>
      </c>
      <c r="U308">
        <f>ROUND(IF(VLOOKUP($A308,EnrollData2324,'2324 Jun 24 Enroll'!E$1,FALSE)='District Calculations'!$D$12,VLOOKUP($A308,EnrollData2324,'2324 Jun 24 Enroll'!E$1,FALSE),'District Calculations'!$D$12)*S308,3)</f>
        <v>15.148</v>
      </c>
      <c r="V308">
        <f>ROUND(IF(VLOOKUP($A308,EnrollData2324,'2324 Jun 24 Enroll'!F$1,FALSE)='District Calculations'!$D$13,VLOOKUP($A308,EnrollData2324,'2324 Jun 24 Enroll'!F$1,FALSE),'District Calculations'!$D$13)*Apport_224A2324s,3)</f>
        <v>3.7029999999999998</v>
      </c>
      <c r="W308">
        <f>ROUND(IF(VLOOKUP($A308,EnrollData2324,'2324 Jun 24 Enroll'!G$1,FALSE)='District Calculations'!$D$14,VLOOKUP($A308,EnrollData2324,'2324 Jun 24 Enroll'!G$1,FALSE),'District Calculations'!$D$14)*Apport_212A2324s,3)</f>
        <v>8.2089999999999996</v>
      </c>
      <c r="X308">
        <f>ROUND(IF(VLOOKUP($A308,EnrollData2324,'2324 Jun 24 Enroll'!H$1,FALSE)='District Calculations'!$D$14,VLOOKUP($A308,EnrollData2324,'2324 Jun 24 Enroll'!H$1,FALSE),'District Calculations'!$D$14)*Apport_215A2324s,3)</f>
        <v>8.0969999999999995</v>
      </c>
      <c r="Y308">
        <f>ROUND(IF(VLOOKUP($A308,EnrollData2324,'2324 Jun 24 Enroll'!I$1,FALSE)+VLOOKUP($A308,EnrollData2324,'2324 Jun 24 Enroll'!M$1,FALSE)-VLOOKUP($A308,EnrollData2324,'2324 Jun 24 Enroll'!J$1,FALSE)='District Calculations'!$D$16+'District Calculations'!$D$25-'District Calculations'!$D$17,VLOOKUP($A308,EnrollData2324,'2324 Jun 24 Enroll'!I$1,FALSE)+VLOOKUP($A308,EnrollData2324,'2324 Jun 24 Enroll'!M$1,FALSE)-VLOOKUP($A308,EnrollData2324,'2324 Jun 24 Enroll'!J$1,FALSE),'District Calculations'!$D$16+'District Calculations'!$D$25-'District Calculations'!$D$17)*Apport_218A2324s,3)</f>
        <v>20.224</v>
      </c>
      <c r="Z308">
        <f>ROUND(SUM(T308:Y308)/IF(VLOOKUP($A308,EnrollData2324,'2324 Jun 24 Enroll'!M$1,FALSE)+VLOOKUP($A308,EnrollData2324,'2324 Jun 24 Enroll'!D$1,FALSE)='District Calculations'!$D$25+'District Calculations'!$D$11,VLOOKUP($A308,EnrollData2324,'2324 Jun 24 Enroll'!M$1,FALSE)+VLOOKUP($A308,EnrollData2324,'2324 Jun 24 Enroll'!D$1,FALSE),'District Calculations'!$D$25+'District Calculations'!$D$11),5)</f>
        <v>1.7749999999999998E-2</v>
      </c>
      <c r="AA308" s="6" cm="1">
        <f t="array" ref="AA308">ROUND($J308*CIS_Base_Salary2324s*VLOOKUP($A308,EnrollData2324,'2324 Jun 24 Enroll'!S$1,FALSE),2)</f>
        <v>4038.59</v>
      </c>
      <c r="AB308" s="6" cm="1">
        <f t="array" ref="AB308">ROUND($J308*CIS_Inc_Salary2324s*(VLOOKUP($A308,EnrollData2324,'2324 Jun 24 Enroll'!T$1,FALSE)+VLOOKUP($A308,EnrollData2324,'2324 Jun 24 Enroll'!U$1,FALSE)),2)-AA308</f>
        <v>233.1899999999996</v>
      </c>
      <c r="AC308" s="6" cm="1">
        <f t="array" ref="AC308">ROUND($R308*CAS_Base_Salary2324s*VLOOKUP($A308,EnrollData2324,'2324 Jun 24 Enroll'!S$1,FALSE),2)</f>
        <v>443.7</v>
      </c>
      <c r="AD308" s="6" cm="1">
        <f t="array" ref="AD308">ROUND($R308*CAS_Inc_Salary2324s*VLOOKUP($A308,EnrollData2324,'2324 Jun 24 Enroll'!T$1,FALSE),2)-AC308</f>
        <v>16.410000000000025</v>
      </c>
      <c r="AE308" s="6" cm="1">
        <f t="array" ref="AE308">ROUND($Z308*CLS_Base_Salary2324s*VLOOKUP($A308,EnrollData2324,'2324 Jun 24 Enroll'!S$1,FALSE),2)</f>
        <v>926.07</v>
      </c>
      <c r="AF308" s="6" cm="1">
        <f t="array" ref="AF308">ROUND($Z308*CLS_Inc_Salary2324s*VLOOKUP($A308,EnrollData2324,'2324 Jun 24 Enroll'!T$1,FALSE),2)-AE308</f>
        <v>34.259999999999991</v>
      </c>
      <c r="AG308" cm="1">
        <f t="array" ref="AG308">ROUND(($J308+$R308)*Apport_124X2324s,2)</f>
        <v>734.29</v>
      </c>
      <c r="AH308" s="69">
        <f t="shared" si="29"/>
        <v>68.700000000000045</v>
      </c>
      <c r="AI308" cm="1">
        <f t="array" ref="AI308">ROUND($Z308*Apport_124X2324s,2)</f>
        <v>218.54</v>
      </c>
      <c r="AJ308" cm="1">
        <f t="array" ref="AJ308">ROUND($Z308*Apport_621X2324s*Apport_125X2324s,2)-AI308</f>
        <v>116.51000000000002</v>
      </c>
      <c r="AK308" cm="1">
        <f t="array" ref="AK308">ROUND((AA308+AC308)*Apport_126X2324s,2)</f>
        <v>805.47</v>
      </c>
      <c r="AL308" cm="1">
        <f t="array" ref="AL308">ROUND((AB308+AD308)*Apport_127X2324s,2)</f>
        <v>43.26</v>
      </c>
      <c r="AM308" cm="1">
        <f t="array" ref="AM308">ROUND(AE308*Apport_128X2324s,2)</f>
        <v>204.29</v>
      </c>
      <c r="AN308" cm="1">
        <f t="array" ref="AN308">ROUND(AF308*Apport_129X2324s,2)</f>
        <v>6.36</v>
      </c>
      <c r="AO308" cm="1">
        <f t="array" ref="AO308">ROUND(($J308*CIS_Inc_Salary2324s*(VLOOKUP($A308,EnrollData2324,'2324 Jun 24 Enroll'!T$1,FALSE)+VLOOKUP($A308,EnrollData2324,'2324 Jun 24 Enroll'!U$1,FALSE))/Apport_613Xpd)*Apport_614Xpd,2)</f>
        <v>71.2</v>
      </c>
      <c r="AP308" cm="1">
        <f t="array" ref="AP308">ROUND(AO308*Apport_127X2324s,2)</f>
        <v>12.34</v>
      </c>
      <c r="AQ308">
        <f t="shared" si="30"/>
        <v>30.93</v>
      </c>
      <c r="AR308" s="6" cm="1">
        <f t="array" ref="AR308">ROUND((VLOOKUP($A308,EnrollData2324,'2324 Jun 24 Enroll'!D$1,FALSE)*Apport_M802324s+VLOOKUP($A308,EnrollData2324,'2324 Jun 24 Enroll'!M$1,FALSE)*Apport_M802324s+(VLOOKUP($A308,EnrollData2324,'2324 Jun 24 Enroll'!P$1,FALSE)+VLOOKUP($A308,EnrollData2324,'2324 Jun 24 Enroll'!Q$1,FALSE)+VLOOKUP($A308,EnrollData2324,'2324 Jun 24 Enroll'!R$1,FALSE)+VLOOKUP($A308,EnrollData2324,'2324 Jun 24 Enroll'!I$1,FALSE)+VLOOKUP($A308,EnrollData2324,'2324 Jun 24 Enroll'!N$1,FALSE)+VLOOKUP($A308,EnrollData2324,'2324 Jun 24 Enroll'!O$1,FALSE)+VLOOKUP($A308,EnrollData2324,'2324 Jun 24 Enroll'!K$1,FALSE)+VLOOKUP($A308,EnrollData2324,'2324 Jun 24 Enroll'!L$1,FALSE))*Apport_M812324s)/(VLOOKUP($A308,EnrollData2324,'2324 Jun 24 Enroll'!M$1,FALSE)+VLOOKUP($A308,EnrollData2324,'2324 Jun 24 Enroll'!D$1,FALSE)),2)</f>
        <v>1562.35</v>
      </c>
      <c r="AS308" s="7">
        <f t="shared" si="31"/>
        <v>9566.4599999999991</v>
      </c>
    </row>
    <row r="309" spans="1:45">
      <c r="A309" s="40" t="s">
        <v>1035</v>
      </c>
      <c r="B309" s="40" t="s">
        <v>1036</v>
      </c>
      <c r="C309" s="11">
        <f>ROUND((IFERROR((1/IF(VLOOKUP($A309,EnrollData2324,28,FALSE)='District Calculations'!$D$10,VLOOKUP($A309,EnrollData2324,28,FALSE),'District Calculations'!$D$10))*(1+Apport_Z315),0))+Apport_201A2324s,6)</f>
        <v>7.3449E-2</v>
      </c>
      <c r="D309">
        <f>ROUND(IF(VLOOKUP($A309,EnrollData2324,'2324 Jun 24 Enroll'!D$1,FALSE)='District Calculations'!$D$11,VLOOKUP($A309,EnrollData2324,'2324 Jun 24 Enroll'!D$1,FALSE),'District Calculations'!$D$11)*C309,3)</f>
        <v>0</v>
      </c>
      <c r="E309">
        <f>ROUND(IF(VLOOKUP($A309,EnrollData2324,'2324 Jun 24 Enroll'!E$1,FALSE)='District Calculations'!$D$12,VLOOKUP($A309,EnrollData2324,'2324 Jun 24 Enroll'!E$1,FALSE),'District Calculations'!$D$12)*C309,3)</f>
        <v>59.53</v>
      </c>
      <c r="F309">
        <f>ROUND(IF(VLOOKUP($A309,EnrollData2324,'2324 Jun 24 Enroll'!F$1,FALSE)='District Calculations'!$D$13,VLOOKUP($A309,EnrollData2324,'2324 Jun 24 Enroll'!F$1,FALSE),'District Calculations'!$D$13)*Apport_222A2324s,3)</f>
        <v>10.101000000000001</v>
      </c>
      <c r="G309">
        <f>ROUND(IF(VLOOKUP($A309,EnrollData2324,'2324 Jun 24 Enroll'!G$1,FALSE)='District Calculations'!$D$14,VLOOKUP($A309,EnrollData2324,'2324 Jun 24 Enroll'!G$1,FALSE),'District Calculations'!$D$14)*Apport_210A2324s,3)</f>
        <v>22.395</v>
      </c>
      <c r="H309">
        <f>ROUND(IF(VLOOKUP($A309,EnrollData2324,'2324 Jun 24 Enroll'!H$1,FALSE)='District Calculations'!$D$15,VLOOKUP($A309,EnrollData2324,'2324 Jun 24 Enroll'!H$1,FALSE),'District Calculations'!$D$15)*Apport_213A2324s,3)</f>
        <v>23.091999999999999</v>
      </c>
      <c r="I309">
        <f>ROUND(IF(VLOOKUP($A309,EnrollData2324,'2324 Jun 24 Enroll'!I$1,FALSE)+VLOOKUP($A309,EnrollData2324,'2324 Jun 24 Enroll'!M$1,FALSE)-VLOOKUP($A309,EnrollData2324,'2324 Jun 24 Enroll'!J$1,FALSE)='District Calculations'!$D$16+'District Calculations'!$D$25-'District Calculations'!$D$17,VLOOKUP($A309,EnrollData2324,'2324 Jun 24 Enroll'!I$1,FALSE)+VLOOKUP($A309,EnrollData2324,'2324 Jun 24 Enroll'!M$1,FALSE)-VLOOKUP($A309,EnrollData2324,'2324 Jun 24 Enroll'!J$1,FALSE),'District Calculations'!$D$16+'District Calculations'!$D$25-'District Calculations'!$D$17)*Apport_216A2324s,3)</f>
        <v>58.183999999999997</v>
      </c>
      <c r="J309">
        <f>ROUND(SUM(D309:I309)/(IF(VLOOKUP($A309,EnrollData2324,'2324 Jun 24 Enroll'!M$1,FALSE)='District Calculations'!$D$25,VLOOKUP($A309,EnrollData2324,'2324 Jun 24 Enroll'!M$1,FALSE),'District Calculations'!$D$25)+IF(VLOOKUP($A309,EnrollData2324,'2324 Jun 24 Enroll'!D$1,FALSE)='District Calculations'!$D$11,VLOOKUP($A309,EnrollData2324,'2324 Jun 24 Enroll'!D$1,FALSE),'District Calculations'!$D$11)),5)</f>
        <v>5.5530000000000003E-2</v>
      </c>
      <c r="K309" s="11">
        <f t="shared" si="27"/>
        <v>4.3699999999999998E-3</v>
      </c>
      <c r="L309">
        <f>ROUND(IF(VLOOKUP($A309,EnrollData2324,'2324 Jun 24 Enroll'!D$1,FALSE)='District Calculations'!$D$11,VLOOKUP($A309,EnrollData2324,'2324 Jun 24 Enroll'!D$1,FALSE),'District Calculations'!$D$11)*K309,3)</f>
        <v>0</v>
      </c>
      <c r="M309">
        <f>ROUND(IF(VLOOKUP($A309,EnrollData2324,'2324 Jun 24 Enroll'!E$1,FALSE)='District Calculations'!$D$12,VLOOKUP($A309,EnrollData2324,'2324 Jun 24 Enroll'!E$1,FALSE),'District Calculations'!$D$12)*K309,3)</f>
        <v>3.5419999999999998</v>
      </c>
      <c r="N309">
        <f>ROUND(IF(VLOOKUP($A309,EnrollData2324,'2324 Jun 24 Enroll'!F$1,FALSE)='District Calculations'!$D$13,VLOOKUP($A309,EnrollData2324,'2324 Jun 24 Enroll'!F$1,FALSE),'District Calculations'!$D$13)*Apport_223A2324s,3)</f>
        <v>0.84299999999999997</v>
      </c>
      <c r="O309">
        <f>ROUND(IF(VLOOKUP($A309,EnrollData2324,'2324 Jun 24 Enroll'!G$1,FALSE)='District Calculations'!$D$14,VLOOKUP($A309,EnrollData2324,'2324 Jun 24 Enroll'!G$1,FALSE),'District Calculations'!$D$14)*Apport_211A2324s,3)</f>
        <v>1.87</v>
      </c>
      <c r="P309">
        <f>ROUND(IF(VLOOKUP($A309,EnrollData2324,'2324 Jun 24 Enroll'!H$1,FALSE)='District Calculations'!$D$14,VLOOKUP($A309,EnrollData2324,'2324 Jun 24 Enroll'!H$1,FALSE),'District Calculations'!$D$14)*Apport_214A2324s,3)</f>
        <v>1.8680000000000001</v>
      </c>
      <c r="Q309">
        <f>ROUND(IF(VLOOKUP($A309,EnrollData2324,'2324 Jun 24 Enroll'!I$1,FALSE)+VLOOKUP($A309,EnrollData2324,'2324 Jun 24 Enroll'!M$1,FALSE)-VLOOKUP($A309,EnrollData2324,'2324 Jun 24 Enroll'!J$1,FALSE)='District Calculations'!$D$16+'District Calculations'!$D$25-'District Calculations'!$D$17,VLOOKUP($A309,EnrollData2324,'2324 Jun 24 Enroll'!I$1,FALSE)+VLOOKUP($A309,EnrollData2324,'2324 Jun 24 Enroll'!M$1,FALSE)-VLOOKUP($A309,EnrollData2324,'2324 Jun 24 Enroll'!J$1,FALSE),'District Calculations'!$D$16+'District Calculations'!$D$25-'District Calculations'!$D$17)*Apport_217A2324s,3)</f>
        <v>4.702</v>
      </c>
      <c r="R309">
        <f>ROUND(SUM(L309:Q309)/IF(VLOOKUP($A309,EnrollData2324,'2324 Jun 24 Enroll'!M$1,FALSE)+VLOOKUP($A309,EnrollData2324,'2324 Jun 24 Enroll'!D$1,FALSE)='District Calculations'!$D$25+'District Calculations'!$D$11,VLOOKUP($A309,EnrollData2324,'2324 Jun 24 Enroll'!M$1,FALSE)+VLOOKUP($A309,EnrollData2324,'2324 Jun 24 Enroll'!D$1,FALSE),'District Calculations'!$D$25+'District Calculations'!$D$11),5)</f>
        <v>4.1099999999999999E-3</v>
      </c>
      <c r="S309" s="11">
        <f t="shared" si="28"/>
        <v>1.8689600000000001E-2</v>
      </c>
      <c r="T309">
        <f>ROUND(IF(VLOOKUP($A309,EnrollData2324,'2324 Jun 24 Enroll'!D$1,FALSE)='District Calculations'!$D$11,VLOOKUP($A309,EnrollData2324,'2324 Jun 24 Enroll'!D$1,FALSE),'District Calculations'!$D$11)*S309,3)</f>
        <v>0</v>
      </c>
      <c r="U309">
        <f>ROUND(IF(VLOOKUP($A309,EnrollData2324,'2324 Jun 24 Enroll'!E$1,FALSE)='District Calculations'!$D$12,VLOOKUP($A309,EnrollData2324,'2324 Jun 24 Enroll'!E$1,FALSE),'District Calculations'!$D$12)*S309,3)</f>
        <v>15.148</v>
      </c>
      <c r="V309">
        <f>ROUND(IF(VLOOKUP($A309,EnrollData2324,'2324 Jun 24 Enroll'!F$1,FALSE)='District Calculations'!$D$13,VLOOKUP($A309,EnrollData2324,'2324 Jun 24 Enroll'!F$1,FALSE),'District Calculations'!$D$13)*Apport_224A2324s,3)</f>
        <v>3.7029999999999998</v>
      </c>
      <c r="W309">
        <f>ROUND(IF(VLOOKUP($A309,EnrollData2324,'2324 Jun 24 Enroll'!G$1,FALSE)='District Calculations'!$D$14,VLOOKUP($A309,EnrollData2324,'2324 Jun 24 Enroll'!G$1,FALSE),'District Calculations'!$D$14)*Apport_212A2324s,3)</f>
        <v>8.2089999999999996</v>
      </c>
      <c r="X309">
        <f>ROUND(IF(VLOOKUP($A309,EnrollData2324,'2324 Jun 24 Enroll'!H$1,FALSE)='District Calculations'!$D$14,VLOOKUP($A309,EnrollData2324,'2324 Jun 24 Enroll'!H$1,FALSE),'District Calculations'!$D$14)*Apport_215A2324s,3)</f>
        <v>8.0969999999999995</v>
      </c>
      <c r="Y309">
        <f>ROUND(IF(VLOOKUP($A309,EnrollData2324,'2324 Jun 24 Enroll'!I$1,FALSE)+VLOOKUP($A309,EnrollData2324,'2324 Jun 24 Enroll'!M$1,FALSE)-VLOOKUP($A309,EnrollData2324,'2324 Jun 24 Enroll'!J$1,FALSE)='District Calculations'!$D$16+'District Calculations'!$D$25-'District Calculations'!$D$17,VLOOKUP($A309,EnrollData2324,'2324 Jun 24 Enroll'!I$1,FALSE)+VLOOKUP($A309,EnrollData2324,'2324 Jun 24 Enroll'!M$1,FALSE)-VLOOKUP($A309,EnrollData2324,'2324 Jun 24 Enroll'!J$1,FALSE),'District Calculations'!$D$16+'District Calculations'!$D$25-'District Calculations'!$D$17)*Apport_218A2324s,3)</f>
        <v>20.224</v>
      </c>
      <c r="Z309">
        <f>ROUND(SUM(T309:Y309)/IF(VLOOKUP($A309,EnrollData2324,'2324 Jun 24 Enroll'!M$1,FALSE)+VLOOKUP($A309,EnrollData2324,'2324 Jun 24 Enroll'!D$1,FALSE)='District Calculations'!$D$25+'District Calculations'!$D$11,VLOOKUP($A309,EnrollData2324,'2324 Jun 24 Enroll'!M$1,FALSE)+VLOOKUP($A309,EnrollData2324,'2324 Jun 24 Enroll'!D$1,FALSE),'District Calculations'!$D$25+'District Calculations'!$D$11),5)</f>
        <v>1.7749999999999998E-2</v>
      </c>
      <c r="AA309" s="6" cm="1">
        <f t="array" ref="AA309">ROUND($J309*CIS_Base_Salary2324s*VLOOKUP($A309,EnrollData2324,'2324 Jun 24 Enroll'!S$1,FALSE),2)</f>
        <v>4038.59</v>
      </c>
      <c r="AB309" s="6" cm="1">
        <f t="array" ref="AB309">ROUND($J309*CIS_Inc_Salary2324s*(VLOOKUP($A309,EnrollData2324,'2324 Jun 24 Enroll'!T$1,FALSE)+VLOOKUP($A309,EnrollData2324,'2324 Jun 24 Enroll'!U$1,FALSE)),2)-AA309</f>
        <v>149.43000000000029</v>
      </c>
      <c r="AC309" s="6" cm="1">
        <f t="array" ref="AC309">ROUND($R309*CAS_Base_Salary2324s*VLOOKUP($A309,EnrollData2324,'2324 Jun 24 Enroll'!S$1,FALSE),2)</f>
        <v>443.7</v>
      </c>
      <c r="AD309" s="6" cm="1">
        <f t="array" ref="AD309">ROUND($R309*CAS_Inc_Salary2324s*VLOOKUP($A309,EnrollData2324,'2324 Jun 24 Enroll'!T$1,FALSE),2)-AC309</f>
        <v>16.410000000000025</v>
      </c>
      <c r="AE309" s="6" cm="1">
        <f t="array" ref="AE309">ROUND($Z309*CLS_Base_Salary2324s*VLOOKUP($A309,EnrollData2324,'2324 Jun 24 Enroll'!S$1,FALSE),2)</f>
        <v>926.07</v>
      </c>
      <c r="AF309" s="6" cm="1">
        <f t="array" ref="AF309">ROUND($Z309*CLS_Inc_Salary2324s*VLOOKUP($A309,EnrollData2324,'2324 Jun 24 Enroll'!T$1,FALSE),2)-AE309</f>
        <v>34.259999999999991</v>
      </c>
      <c r="AG309" cm="1">
        <f t="array" ref="AG309">ROUND(($J309+$R309)*Apport_124X2324s,2)</f>
        <v>734.29</v>
      </c>
      <c r="AH309" s="69">
        <f t="shared" si="29"/>
        <v>68.700000000000045</v>
      </c>
      <c r="AI309" cm="1">
        <f t="array" ref="AI309">ROUND($Z309*Apport_124X2324s,2)</f>
        <v>218.54</v>
      </c>
      <c r="AJ309" cm="1">
        <f t="array" ref="AJ309">ROUND($Z309*Apport_621X2324s*Apport_125X2324s,2)-AI309</f>
        <v>116.51000000000002</v>
      </c>
      <c r="AK309" cm="1">
        <f t="array" ref="AK309">ROUND((AA309+AC309)*Apport_126X2324s,2)</f>
        <v>805.47</v>
      </c>
      <c r="AL309" cm="1">
        <f t="array" ref="AL309">ROUND((AB309+AD309)*Apport_127X2324s,2)</f>
        <v>28.74</v>
      </c>
      <c r="AM309" cm="1">
        <f t="array" ref="AM309">ROUND(AE309*Apport_128X2324s,2)</f>
        <v>204.29</v>
      </c>
      <c r="AN309" cm="1">
        <f t="array" ref="AN309">ROUND(AF309*Apport_129X2324s,2)</f>
        <v>6.36</v>
      </c>
      <c r="AO309" cm="1">
        <f t="array" ref="AO309">ROUND(($J309*CIS_Inc_Salary2324s*(VLOOKUP($A309,EnrollData2324,'2324 Jun 24 Enroll'!T$1,FALSE)+VLOOKUP($A309,EnrollData2324,'2324 Jun 24 Enroll'!U$1,FALSE))/Apport_613Xpd)*Apport_614Xpd,2)</f>
        <v>69.8</v>
      </c>
      <c r="AP309" cm="1">
        <f t="array" ref="AP309">ROUND(AO309*Apport_127X2324s,2)</f>
        <v>12.1</v>
      </c>
      <c r="AQ309">
        <f t="shared" si="30"/>
        <v>30.93</v>
      </c>
      <c r="AR309" s="6" cm="1">
        <f t="array" ref="AR309">ROUND((VLOOKUP($A309,EnrollData2324,'2324 Jun 24 Enroll'!D$1,FALSE)*Apport_M802324s+VLOOKUP($A309,EnrollData2324,'2324 Jun 24 Enroll'!M$1,FALSE)*Apport_M802324s+(VLOOKUP($A309,EnrollData2324,'2324 Jun 24 Enroll'!P$1,FALSE)+VLOOKUP($A309,EnrollData2324,'2324 Jun 24 Enroll'!Q$1,FALSE)+VLOOKUP($A309,EnrollData2324,'2324 Jun 24 Enroll'!R$1,FALSE)+VLOOKUP($A309,EnrollData2324,'2324 Jun 24 Enroll'!I$1,FALSE)+VLOOKUP($A309,EnrollData2324,'2324 Jun 24 Enroll'!N$1,FALSE)+VLOOKUP($A309,EnrollData2324,'2324 Jun 24 Enroll'!O$1,FALSE)+VLOOKUP($A309,EnrollData2324,'2324 Jun 24 Enroll'!K$1,FALSE)+VLOOKUP($A309,EnrollData2324,'2324 Jun 24 Enroll'!L$1,FALSE))*Apport_M812324s)/(VLOOKUP($A309,EnrollData2324,'2324 Jun 24 Enroll'!M$1,FALSE)+VLOOKUP($A309,EnrollData2324,'2324 Jun 24 Enroll'!D$1,FALSE)),2)</f>
        <v>1504.44</v>
      </c>
      <c r="AS309" s="7">
        <f t="shared" si="31"/>
        <v>9408.630000000001</v>
      </c>
    </row>
    <row r="310" spans="1:45">
      <c r="A310" s="40" t="s">
        <v>835</v>
      </c>
      <c r="B310" s="40" t="s">
        <v>836</v>
      </c>
      <c r="C310" s="11">
        <f>ROUND((IFERROR((1/IF(VLOOKUP($A310,EnrollData2324,28,FALSE)='District Calculations'!$D$10,VLOOKUP($A310,EnrollData2324,28,FALSE),'District Calculations'!$D$10))*(1+Apport_Z315),0))+Apport_201A2324s,6)</f>
        <v>7.3449E-2</v>
      </c>
      <c r="D310">
        <f>ROUND(IF(VLOOKUP($A310,EnrollData2324,'2324 Jun 24 Enroll'!D$1,FALSE)='District Calculations'!$D$11,VLOOKUP($A310,EnrollData2324,'2324 Jun 24 Enroll'!D$1,FALSE),'District Calculations'!$D$11)*C310,3)</f>
        <v>0</v>
      </c>
      <c r="E310">
        <f>ROUND(IF(VLOOKUP($A310,EnrollData2324,'2324 Jun 24 Enroll'!E$1,FALSE)='District Calculations'!$D$12,VLOOKUP($A310,EnrollData2324,'2324 Jun 24 Enroll'!E$1,FALSE),'District Calculations'!$D$12)*C310,3)</f>
        <v>59.53</v>
      </c>
      <c r="F310">
        <f>ROUND(IF(VLOOKUP($A310,EnrollData2324,'2324 Jun 24 Enroll'!F$1,FALSE)='District Calculations'!$D$13,VLOOKUP($A310,EnrollData2324,'2324 Jun 24 Enroll'!F$1,FALSE),'District Calculations'!$D$13)*Apport_222A2324s,3)</f>
        <v>10.101000000000001</v>
      </c>
      <c r="G310">
        <f>ROUND(IF(VLOOKUP($A310,EnrollData2324,'2324 Jun 24 Enroll'!G$1,FALSE)='District Calculations'!$D$14,VLOOKUP($A310,EnrollData2324,'2324 Jun 24 Enroll'!G$1,FALSE),'District Calculations'!$D$14)*Apport_210A2324s,3)</f>
        <v>22.395</v>
      </c>
      <c r="H310">
        <f>ROUND(IF(VLOOKUP($A310,EnrollData2324,'2324 Jun 24 Enroll'!H$1,FALSE)='District Calculations'!$D$15,VLOOKUP($A310,EnrollData2324,'2324 Jun 24 Enroll'!H$1,FALSE),'District Calculations'!$D$15)*Apport_213A2324s,3)</f>
        <v>23.091999999999999</v>
      </c>
      <c r="I310">
        <f>ROUND(IF(VLOOKUP($A310,EnrollData2324,'2324 Jun 24 Enroll'!I$1,FALSE)+VLOOKUP($A310,EnrollData2324,'2324 Jun 24 Enroll'!M$1,FALSE)-VLOOKUP($A310,EnrollData2324,'2324 Jun 24 Enroll'!J$1,FALSE)='District Calculations'!$D$16+'District Calculations'!$D$25-'District Calculations'!$D$17,VLOOKUP($A310,EnrollData2324,'2324 Jun 24 Enroll'!I$1,FALSE)+VLOOKUP($A310,EnrollData2324,'2324 Jun 24 Enroll'!M$1,FALSE)-VLOOKUP($A310,EnrollData2324,'2324 Jun 24 Enroll'!J$1,FALSE),'District Calculations'!$D$16+'District Calculations'!$D$25-'District Calculations'!$D$17)*Apport_216A2324s,3)</f>
        <v>58.183999999999997</v>
      </c>
      <c r="J310">
        <f>ROUND(SUM(D310:I310)/(IF(VLOOKUP($A310,EnrollData2324,'2324 Jun 24 Enroll'!M$1,FALSE)='District Calculations'!$D$25,VLOOKUP($A310,EnrollData2324,'2324 Jun 24 Enroll'!M$1,FALSE),'District Calculations'!$D$25)+IF(VLOOKUP($A310,EnrollData2324,'2324 Jun 24 Enroll'!D$1,FALSE)='District Calculations'!$D$11,VLOOKUP($A310,EnrollData2324,'2324 Jun 24 Enroll'!D$1,FALSE),'District Calculations'!$D$11)),5)</f>
        <v>5.5530000000000003E-2</v>
      </c>
      <c r="K310" s="11">
        <f t="shared" si="27"/>
        <v>4.3699999999999998E-3</v>
      </c>
      <c r="L310">
        <f>ROUND(IF(VLOOKUP($A310,EnrollData2324,'2324 Jun 24 Enroll'!D$1,FALSE)='District Calculations'!$D$11,VLOOKUP($A310,EnrollData2324,'2324 Jun 24 Enroll'!D$1,FALSE),'District Calculations'!$D$11)*K310,3)</f>
        <v>0</v>
      </c>
      <c r="M310">
        <f>ROUND(IF(VLOOKUP($A310,EnrollData2324,'2324 Jun 24 Enroll'!E$1,FALSE)='District Calculations'!$D$12,VLOOKUP($A310,EnrollData2324,'2324 Jun 24 Enroll'!E$1,FALSE),'District Calculations'!$D$12)*K310,3)</f>
        <v>3.5419999999999998</v>
      </c>
      <c r="N310">
        <f>ROUND(IF(VLOOKUP($A310,EnrollData2324,'2324 Jun 24 Enroll'!F$1,FALSE)='District Calculations'!$D$13,VLOOKUP($A310,EnrollData2324,'2324 Jun 24 Enroll'!F$1,FALSE),'District Calculations'!$D$13)*Apport_223A2324s,3)</f>
        <v>0.84299999999999997</v>
      </c>
      <c r="O310">
        <f>ROUND(IF(VLOOKUP($A310,EnrollData2324,'2324 Jun 24 Enroll'!G$1,FALSE)='District Calculations'!$D$14,VLOOKUP($A310,EnrollData2324,'2324 Jun 24 Enroll'!G$1,FALSE),'District Calculations'!$D$14)*Apport_211A2324s,3)</f>
        <v>1.87</v>
      </c>
      <c r="P310">
        <f>ROUND(IF(VLOOKUP($A310,EnrollData2324,'2324 Jun 24 Enroll'!H$1,FALSE)='District Calculations'!$D$14,VLOOKUP($A310,EnrollData2324,'2324 Jun 24 Enroll'!H$1,FALSE),'District Calculations'!$D$14)*Apport_214A2324s,3)</f>
        <v>1.8680000000000001</v>
      </c>
      <c r="Q310">
        <f>ROUND(IF(VLOOKUP($A310,EnrollData2324,'2324 Jun 24 Enroll'!I$1,FALSE)+VLOOKUP($A310,EnrollData2324,'2324 Jun 24 Enroll'!M$1,FALSE)-VLOOKUP($A310,EnrollData2324,'2324 Jun 24 Enroll'!J$1,FALSE)='District Calculations'!$D$16+'District Calculations'!$D$25-'District Calculations'!$D$17,VLOOKUP($A310,EnrollData2324,'2324 Jun 24 Enroll'!I$1,FALSE)+VLOOKUP($A310,EnrollData2324,'2324 Jun 24 Enroll'!M$1,FALSE)-VLOOKUP($A310,EnrollData2324,'2324 Jun 24 Enroll'!J$1,FALSE),'District Calculations'!$D$16+'District Calculations'!$D$25-'District Calculations'!$D$17)*Apport_217A2324s,3)</f>
        <v>4.702</v>
      </c>
      <c r="R310">
        <f>ROUND(SUM(L310:Q310)/IF(VLOOKUP($A310,EnrollData2324,'2324 Jun 24 Enroll'!M$1,FALSE)+VLOOKUP($A310,EnrollData2324,'2324 Jun 24 Enroll'!D$1,FALSE)='District Calculations'!$D$25+'District Calculations'!$D$11,VLOOKUP($A310,EnrollData2324,'2324 Jun 24 Enroll'!M$1,FALSE)+VLOOKUP($A310,EnrollData2324,'2324 Jun 24 Enroll'!D$1,FALSE),'District Calculations'!$D$25+'District Calculations'!$D$11),5)</f>
        <v>4.1099999999999999E-3</v>
      </c>
      <c r="S310" s="11">
        <f t="shared" si="28"/>
        <v>1.8689600000000001E-2</v>
      </c>
      <c r="T310">
        <f>ROUND(IF(VLOOKUP($A310,EnrollData2324,'2324 Jun 24 Enroll'!D$1,FALSE)='District Calculations'!$D$11,VLOOKUP($A310,EnrollData2324,'2324 Jun 24 Enroll'!D$1,FALSE),'District Calculations'!$D$11)*S310,3)</f>
        <v>0</v>
      </c>
      <c r="U310">
        <f>ROUND(IF(VLOOKUP($A310,EnrollData2324,'2324 Jun 24 Enroll'!E$1,FALSE)='District Calculations'!$D$12,VLOOKUP($A310,EnrollData2324,'2324 Jun 24 Enroll'!E$1,FALSE),'District Calculations'!$D$12)*S310,3)</f>
        <v>15.148</v>
      </c>
      <c r="V310">
        <f>ROUND(IF(VLOOKUP($A310,EnrollData2324,'2324 Jun 24 Enroll'!F$1,FALSE)='District Calculations'!$D$13,VLOOKUP($A310,EnrollData2324,'2324 Jun 24 Enroll'!F$1,FALSE),'District Calculations'!$D$13)*Apport_224A2324s,3)</f>
        <v>3.7029999999999998</v>
      </c>
      <c r="W310">
        <f>ROUND(IF(VLOOKUP($A310,EnrollData2324,'2324 Jun 24 Enroll'!G$1,FALSE)='District Calculations'!$D$14,VLOOKUP($A310,EnrollData2324,'2324 Jun 24 Enroll'!G$1,FALSE),'District Calculations'!$D$14)*Apport_212A2324s,3)</f>
        <v>8.2089999999999996</v>
      </c>
      <c r="X310">
        <f>ROUND(IF(VLOOKUP($A310,EnrollData2324,'2324 Jun 24 Enroll'!H$1,FALSE)='District Calculations'!$D$14,VLOOKUP($A310,EnrollData2324,'2324 Jun 24 Enroll'!H$1,FALSE),'District Calculations'!$D$14)*Apport_215A2324s,3)</f>
        <v>8.0969999999999995</v>
      </c>
      <c r="Y310">
        <f>ROUND(IF(VLOOKUP($A310,EnrollData2324,'2324 Jun 24 Enroll'!I$1,FALSE)+VLOOKUP($A310,EnrollData2324,'2324 Jun 24 Enroll'!M$1,FALSE)-VLOOKUP($A310,EnrollData2324,'2324 Jun 24 Enroll'!J$1,FALSE)='District Calculations'!$D$16+'District Calculations'!$D$25-'District Calculations'!$D$17,VLOOKUP($A310,EnrollData2324,'2324 Jun 24 Enroll'!I$1,FALSE)+VLOOKUP($A310,EnrollData2324,'2324 Jun 24 Enroll'!M$1,FALSE)-VLOOKUP($A310,EnrollData2324,'2324 Jun 24 Enroll'!J$1,FALSE),'District Calculations'!$D$16+'District Calculations'!$D$25-'District Calculations'!$D$17)*Apport_218A2324s,3)</f>
        <v>20.224</v>
      </c>
      <c r="Z310">
        <f>ROUND(SUM(T310:Y310)/IF(VLOOKUP($A310,EnrollData2324,'2324 Jun 24 Enroll'!M$1,FALSE)+VLOOKUP($A310,EnrollData2324,'2324 Jun 24 Enroll'!D$1,FALSE)='District Calculations'!$D$25+'District Calculations'!$D$11,VLOOKUP($A310,EnrollData2324,'2324 Jun 24 Enroll'!M$1,FALSE)+VLOOKUP($A310,EnrollData2324,'2324 Jun 24 Enroll'!D$1,FALSE),'District Calculations'!$D$25+'District Calculations'!$D$11),5)</f>
        <v>1.7749999999999998E-2</v>
      </c>
      <c r="AA310" s="6" cm="1">
        <f t="array" ref="AA310">ROUND($J310*CIS_Base_Salary2324s*VLOOKUP($A310,EnrollData2324,'2324 Jun 24 Enroll'!S$1,FALSE),2)</f>
        <v>4038.59</v>
      </c>
      <c r="AB310" s="6" cm="1">
        <f t="array" ref="AB310">ROUND($J310*CIS_Inc_Salary2324s*(VLOOKUP($A310,EnrollData2324,'2324 Jun 24 Enroll'!T$1,FALSE)+VLOOKUP($A310,EnrollData2324,'2324 Jun 24 Enroll'!U$1,FALSE)),2)-AA310</f>
        <v>149.43000000000029</v>
      </c>
      <c r="AC310" s="6" cm="1">
        <f t="array" ref="AC310">ROUND($R310*CAS_Base_Salary2324s*VLOOKUP($A310,EnrollData2324,'2324 Jun 24 Enroll'!S$1,FALSE),2)</f>
        <v>443.7</v>
      </c>
      <c r="AD310" s="6" cm="1">
        <f t="array" ref="AD310">ROUND($R310*CAS_Inc_Salary2324s*VLOOKUP($A310,EnrollData2324,'2324 Jun 24 Enroll'!T$1,FALSE),2)-AC310</f>
        <v>16.410000000000025</v>
      </c>
      <c r="AE310" s="6" cm="1">
        <f t="array" ref="AE310">ROUND($Z310*CLS_Base_Salary2324s*VLOOKUP($A310,EnrollData2324,'2324 Jun 24 Enroll'!S$1,FALSE),2)</f>
        <v>926.07</v>
      </c>
      <c r="AF310" s="6" cm="1">
        <f t="array" ref="AF310">ROUND($Z310*CLS_Inc_Salary2324s*VLOOKUP($A310,EnrollData2324,'2324 Jun 24 Enroll'!T$1,FALSE),2)-AE310</f>
        <v>34.259999999999991</v>
      </c>
      <c r="AG310" cm="1">
        <f t="array" ref="AG310">ROUND(($J310+$R310)*Apport_124X2324s,2)</f>
        <v>734.29</v>
      </c>
      <c r="AH310" s="69">
        <f t="shared" si="29"/>
        <v>68.700000000000045</v>
      </c>
      <c r="AI310" cm="1">
        <f t="array" ref="AI310">ROUND($Z310*Apport_124X2324s,2)</f>
        <v>218.54</v>
      </c>
      <c r="AJ310" cm="1">
        <f t="array" ref="AJ310">ROUND($Z310*Apport_621X2324s*Apport_125X2324s,2)-AI310</f>
        <v>116.51000000000002</v>
      </c>
      <c r="AK310" cm="1">
        <f t="array" ref="AK310">ROUND((AA310+AC310)*Apport_126X2324s,2)</f>
        <v>805.47</v>
      </c>
      <c r="AL310" cm="1">
        <f t="array" ref="AL310">ROUND((AB310+AD310)*Apport_127X2324s,2)</f>
        <v>28.74</v>
      </c>
      <c r="AM310" cm="1">
        <f t="array" ref="AM310">ROUND(AE310*Apport_128X2324s,2)</f>
        <v>204.29</v>
      </c>
      <c r="AN310" cm="1">
        <f t="array" ref="AN310">ROUND(AF310*Apport_129X2324s,2)</f>
        <v>6.36</v>
      </c>
      <c r="AO310" cm="1">
        <f t="array" ref="AO310">ROUND(($J310*CIS_Inc_Salary2324s*(VLOOKUP($A310,EnrollData2324,'2324 Jun 24 Enroll'!T$1,FALSE)+VLOOKUP($A310,EnrollData2324,'2324 Jun 24 Enroll'!U$1,FALSE))/Apport_613Xpd)*Apport_614Xpd,2)</f>
        <v>69.8</v>
      </c>
      <c r="AP310" cm="1">
        <f t="array" ref="AP310">ROUND(AO310*Apport_127X2324s,2)</f>
        <v>12.1</v>
      </c>
      <c r="AQ310">
        <f t="shared" si="30"/>
        <v>30.93</v>
      </c>
      <c r="AR310" s="6" cm="1">
        <f t="array" ref="AR310">ROUND((VLOOKUP($A310,EnrollData2324,'2324 Jun 24 Enroll'!D$1,FALSE)*Apport_M802324s+VLOOKUP($A310,EnrollData2324,'2324 Jun 24 Enroll'!M$1,FALSE)*Apport_M802324s+(VLOOKUP($A310,EnrollData2324,'2324 Jun 24 Enroll'!P$1,FALSE)+VLOOKUP($A310,EnrollData2324,'2324 Jun 24 Enroll'!Q$1,FALSE)+VLOOKUP($A310,EnrollData2324,'2324 Jun 24 Enroll'!R$1,FALSE)+VLOOKUP($A310,EnrollData2324,'2324 Jun 24 Enroll'!I$1,FALSE)+VLOOKUP($A310,EnrollData2324,'2324 Jun 24 Enroll'!N$1,FALSE)+VLOOKUP($A310,EnrollData2324,'2324 Jun 24 Enroll'!O$1,FALSE)+VLOOKUP($A310,EnrollData2324,'2324 Jun 24 Enroll'!K$1,FALSE)+VLOOKUP($A310,EnrollData2324,'2324 Jun 24 Enroll'!L$1,FALSE))*Apport_M812324s)/(VLOOKUP($A310,EnrollData2324,'2324 Jun 24 Enroll'!M$1,FALSE)+VLOOKUP($A310,EnrollData2324,'2324 Jun 24 Enroll'!D$1,FALSE)),2)</f>
        <v>1504.44</v>
      </c>
      <c r="AS310" s="7">
        <f t="shared" si="31"/>
        <v>9408.630000000001</v>
      </c>
    </row>
    <row r="311" spans="1:45">
      <c r="A311" s="40" t="s">
        <v>614</v>
      </c>
      <c r="B311" s="40" t="s">
        <v>615</v>
      </c>
      <c r="C311" s="11">
        <f>ROUND((IFERROR((1/IF(VLOOKUP($A311,EnrollData2324,28,FALSE)='District Calculations'!$D$10,VLOOKUP($A311,EnrollData2324,28,FALSE),'District Calculations'!$D$10))*(1+Apport_Z315),0))+Apport_201A2324s,6)</f>
        <v>7.3449E-2</v>
      </c>
      <c r="D311">
        <f>ROUND(IF(VLOOKUP($A311,EnrollData2324,'2324 Jun 24 Enroll'!D$1,FALSE)='District Calculations'!$D$11,VLOOKUP($A311,EnrollData2324,'2324 Jun 24 Enroll'!D$1,FALSE),'District Calculations'!$D$11)*C311,3)</f>
        <v>0</v>
      </c>
      <c r="E311">
        <f>ROUND(IF(VLOOKUP($A311,EnrollData2324,'2324 Jun 24 Enroll'!E$1,FALSE)='District Calculations'!$D$12,VLOOKUP($A311,EnrollData2324,'2324 Jun 24 Enroll'!E$1,FALSE),'District Calculations'!$D$12)*C311,3)</f>
        <v>59.53</v>
      </c>
      <c r="F311">
        <f>ROUND(IF(VLOOKUP($A311,EnrollData2324,'2324 Jun 24 Enroll'!F$1,FALSE)='District Calculations'!$D$13,VLOOKUP($A311,EnrollData2324,'2324 Jun 24 Enroll'!F$1,FALSE),'District Calculations'!$D$13)*Apport_222A2324s,3)</f>
        <v>10.101000000000001</v>
      </c>
      <c r="G311">
        <f>ROUND(IF(VLOOKUP($A311,EnrollData2324,'2324 Jun 24 Enroll'!G$1,FALSE)='District Calculations'!$D$14,VLOOKUP($A311,EnrollData2324,'2324 Jun 24 Enroll'!G$1,FALSE),'District Calculations'!$D$14)*Apport_210A2324s,3)</f>
        <v>22.395</v>
      </c>
      <c r="H311">
        <f>ROUND(IF(VLOOKUP($A311,EnrollData2324,'2324 Jun 24 Enroll'!H$1,FALSE)='District Calculations'!$D$15,VLOOKUP($A311,EnrollData2324,'2324 Jun 24 Enroll'!H$1,FALSE),'District Calculations'!$D$15)*Apport_213A2324s,3)</f>
        <v>23.091999999999999</v>
      </c>
      <c r="I311">
        <f>ROUND(IF(VLOOKUP($A311,EnrollData2324,'2324 Jun 24 Enroll'!I$1,FALSE)+VLOOKUP($A311,EnrollData2324,'2324 Jun 24 Enroll'!M$1,FALSE)-VLOOKUP($A311,EnrollData2324,'2324 Jun 24 Enroll'!J$1,FALSE)='District Calculations'!$D$16+'District Calculations'!$D$25-'District Calculations'!$D$17,VLOOKUP($A311,EnrollData2324,'2324 Jun 24 Enroll'!I$1,FALSE)+VLOOKUP($A311,EnrollData2324,'2324 Jun 24 Enroll'!M$1,FALSE)-VLOOKUP($A311,EnrollData2324,'2324 Jun 24 Enroll'!J$1,FALSE),'District Calculations'!$D$16+'District Calculations'!$D$25-'District Calculations'!$D$17)*Apport_216A2324s,3)</f>
        <v>58.183999999999997</v>
      </c>
      <c r="J311">
        <f>ROUND(SUM(D311:I311)/(IF(VLOOKUP($A311,EnrollData2324,'2324 Jun 24 Enroll'!M$1,FALSE)='District Calculations'!$D$25,VLOOKUP($A311,EnrollData2324,'2324 Jun 24 Enroll'!M$1,FALSE),'District Calculations'!$D$25)+IF(VLOOKUP($A311,EnrollData2324,'2324 Jun 24 Enroll'!D$1,FALSE)='District Calculations'!$D$11,VLOOKUP($A311,EnrollData2324,'2324 Jun 24 Enroll'!D$1,FALSE),'District Calculations'!$D$11)),5)</f>
        <v>5.5530000000000003E-2</v>
      </c>
      <c r="K311" s="11">
        <f t="shared" si="27"/>
        <v>4.3699999999999998E-3</v>
      </c>
      <c r="L311">
        <f>ROUND(IF(VLOOKUP($A311,EnrollData2324,'2324 Jun 24 Enroll'!D$1,FALSE)='District Calculations'!$D$11,VLOOKUP($A311,EnrollData2324,'2324 Jun 24 Enroll'!D$1,FALSE),'District Calculations'!$D$11)*K311,3)</f>
        <v>0</v>
      </c>
      <c r="M311">
        <f>ROUND(IF(VLOOKUP($A311,EnrollData2324,'2324 Jun 24 Enroll'!E$1,FALSE)='District Calculations'!$D$12,VLOOKUP($A311,EnrollData2324,'2324 Jun 24 Enroll'!E$1,FALSE),'District Calculations'!$D$12)*K311,3)</f>
        <v>3.5419999999999998</v>
      </c>
      <c r="N311">
        <f>ROUND(IF(VLOOKUP($A311,EnrollData2324,'2324 Jun 24 Enroll'!F$1,FALSE)='District Calculations'!$D$13,VLOOKUP($A311,EnrollData2324,'2324 Jun 24 Enroll'!F$1,FALSE),'District Calculations'!$D$13)*Apport_223A2324s,3)</f>
        <v>0.84299999999999997</v>
      </c>
      <c r="O311">
        <f>ROUND(IF(VLOOKUP($A311,EnrollData2324,'2324 Jun 24 Enroll'!G$1,FALSE)='District Calculations'!$D$14,VLOOKUP($A311,EnrollData2324,'2324 Jun 24 Enroll'!G$1,FALSE),'District Calculations'!$D$14)*Apport_211A2324s,3)</f>
        <v>1.87</v>
      </c>
      <c r="P311">
        <f>ROUND(IF(VLOOKUP($A311,EnrollData2324,'2324 Jun 24 Enroll'!H$1,FALSE)='District Calculations'!$D$14,VLOOKUP($A311,EnrollData2324,'2324 Jun 24 Enroll'!H$1,FALSE),'District Calculations'!$D$14)*Apport_214A2324s,3)</f>
        <v>1.8680000000000001</v>
      </c>
      <c r="Q311">
        <f>ROUND(IF(VLOOKUP($A311,EnrollData2324,'2324 Jun 24 Enroll'!I$1,FALSE)+VLOOKUP($A311,EnrollData2324,'2324 Jun 24 Enroll'!M$1,FALSE)-VLOOKUP($A311,EnrollData2324,'2324 Jun 24 Enroll'!J$1,FALSE)='District Calculations'!$D$16+'District Calculations'!$D$25-'District Calculations'!$D$17,VLOOKUP($A311,EnrollData2324,'2324 Jun 24 Enroll'!I$1,FALSE)+VLOOKUP($A311,EnrollData2324,'2324 Jun 24 Enroll'!M$1,FALSE)-VLOOKUP($A311,EnrollData2324,'2324 Jun 24 Enroll'!J$1,FALSE),'District Calculations'!$D$16+'District Calculations'!$D$25-'District Calculations'!$D$17)*Apport_217A2324s,3)</f>
        <v>4.702</v>
      </c>
      <c r="R311">
        <f>ROUND(SUM(L311:Q311)/IF(VLOOKUP($A311,EnrollData2324,'2324 Jun 24 Enroll'!M$1,FALSE)+VLOOKUP($A311,EnrollData2324,'2324 Jun 24 Enroll'!D$1,FALSE)='District Calculations'!$D$25+'District Calculations'!$D$11,VLOOKUP($A311,EnrollData2324,'2324 Jun 24 Enroll'!M$1,FALSE)+VLOOKUP($A311,EnrollData2324,'2324 Jun 24 Enroll'!D$1,FALSE),'District Calculations'!$D$25+'District Calculations'!$D$11),5)</f>
        <v>4.1099999999999999E-3</v>
      </c>
      <c r="S311" s="11">
        <f t="shared" si="28"/>
        <v>1.8689600000000001E-2</v>
      </c>
      <c r="T311">
        <f>ROUND(IF(VLOOKUP($A311,EnrollData2324,'2324 Jun 24 Enroll'!D$1,FALSE)='District Calculations'!$D$11,VLOOKUP($A311,EnrollData2324,'2324 Jun 24 Enroll'!D$1,FALSE),'District Calculations'!$D$11)*S311,3)</f>
        <v>0</v>
      </c>
      <c r="U311">
        <f>ROUND(IF(VLOOKUP($A311,EnrollData2324,'2324 Jun 24 Enroll'!E$1,FALSE)='District Calculations'!$D$12,VLOOKUP($A311,EnrollData2324,'2324 Jun 24 Enroll'!E$1,FALSE),'District Calculations'!$D$12)*S311,3)</f>
        <v>15.148</v>
      </c>
      <c r="V311">
        <f>ROUND(IF(VLOOKUP($A311,EnrollData2324,'2324 Jun 24 Enroll'!F$1,FALSE)='District Calculations'!$D$13,VLOOKUP($A311,EnrollData2324,'2324 Jun 24 Enroll'!F$1,FALSE),'District Calculations'!$D$13)*Apport_224A2324s,3)</f>
        <v>3.7029999999999998</v>
      </c>
      <c r="W311">
        <f>ROUND(IF(VLOOKUP($A311,EnrollData2324,'2324 Jun 24 Enroll'!G$1,FALSE)='District Calculations'!$D$14,VLOOKUP($A311,EnrollData2324,'2324 Jun 24 Enroll'!G$1,FALSE),'District Calculations'!$D$14)*Apport_212A2324s,3)</f>
        <v>8.2089999999999996</v>
      </c>
      <c r="X311">
        <f>ROUND(IF(VLOOKUP($A311,EnrollData2324,'2324 Jun 24 Enroll'!H$1,FALSE)='District Calculations'!$D$14,VLOOKUP($A311,EnrollData2324,'2324 Jun 24 Enroll'!H$1,FALSE),'District Calculations'!$D$14)*Apport_215A2324s,3)</f>
        <v>8.0969999999999995</v>
      </c>
      <c r="Y311">
        <f>ROUND(IF(VLOOKUP($A311,EnrollData2324,'2324 Jun 24 Enroll'!I$1,FALSE)+VLOOKUP($A311,EnrollData2324,'2324 Jun 24 Enroll'!M$1,FALSE)-VLOOKUP($A311,EnrollData2324,'2324 Jun 24 Enroll'!J$1,FALSE)='District Calculations'!$D$16+'District Calculations'!$D$25-'District Calculations'!$D$17,VLOOKUP($A311,EnrollData2324,'2324 Jun 24 Enroll'!I$1,FALSE)+VLOOKUP($A311,EnrollData2324,'2324 Jun 24 Enroll'!M$1,FALSE)-VLOOKUP($A311,EnrollData2324,'2324 Jun 24 Enroll'!J$1,FALSE),'District Calculations'!$D$16+'District Calculations'!$D$25-'District Calculations'!$D$17)*Apport_218A2324s,3)</f>
        <v>20.224</v>
      </c>
      <c r="Z311">
        <f>ROUND(SUM(T311:Y311)/IF(VLOOKUP($A311,EnrollData2324,'2324 Jun 24 Enroll'!M$1,FALSE)+VLOOKUP($A311,EnrollData2324,'2324 Jun 24 Enroll'!D$1,FALSE)='District Calculations'!$D$25+'District Calculations'!$D$11,VLOOKUP($A311,EnrollData2324,'2324 Jun 24 Enroll'!M$1,FALSE)+VLOOKUP($A311,EnrollData2324,'2324 Jun 24 Enroll'!D$1,FALSE),'District Calculations'!$D$25+'District Calculations'!$D$11),5)</f>
        <v>1.7749999999999998E-2</v>
      </c>
      <c r="AA311" s="6" cm="1">
        <f t="array" ref="AA311">ROUND($J311*CIS_Base_Salary2324s*VLOOKUP($A311,EnrollData2324,'2324 Jun 24 Enroll'!S$1,FALSE),2)</f>
        <v>4038.59</v>
      </c>
      <c r="AB311" s="6" cm="1">
        <f t="array" ref="AB311">ROUND($J311*CIS_Inc_Salary2324s*(VLOOKUP($A311,EnrollData2324,'2324 Jun 24 Enroll'!T$1,FALSE)+VLOOKUP($A311,EnrollData2324,'2324 Jun 24 Enroll'!U$1,FALSE)),2)-AA311</f>
        <v>149.43000000000029</v>
      </c>
      <c r="AC311" s="6" cm="1">
        <f t="array" ref="AC311">ROUND($R311*CAS_Base_Salary2324s*VLOOKUP($A311,EnrollData2324,'2324 Jun 24 Enroll'!S$1,FALSE),2)</f>
        <v>443.7</v>
      </c>
      <c r="AD311" s="6" cm="1">
        <f t="array" ref="AD311">ROUND($R311*CAS_Inc_Salary2324s*VLOOKUP($A311,EnrollData2324,'2324 Jun 24 Enroll'!T$1,FALSE),2)-AC311</f>
        <v>16.410000000000025</v>
      </c>
      <c r="AE311" s="6" cm="1">
        <f t="array" ref="AE311">ROUND($Z311*CLS_Base_Salary2324s*VLOOKUP($A311,EnrollData2324,'2324 Jun 24 Enroll'!S$1,FALSE),2)</f>
        <v>926.07</v>
      </c>
      <c r="AF311" s="6" cm="1">
        <f t="array" ref="AF311">ROUND($Z311*CLS_Inc_Salary2324s*VLOOKUP($A311,EnrollData2324,'2324 Jun 24 Enroll'!T$1,FALSE),2)-AE311</f>
        <v>34.259999999999991</v>
      </c>
      <c r="AG311" cm="1">
        <f t="array" ref="AG311">ROUND(($J311+$R311)*Apport_124X2324s,2)</f>
        <v>734.29</v>
      </c>
      <c r="AH311" s="69">
        <f t="shared" si="29"/>
        <v>68.700000000000045</v>
      </c>
      <c r="AI311" cm="1">
        <f t="array" ref="AI311">ROUND($Z311*Apport_124X2324s,2)</f>
        <v>218.54</v>
      </c>
      <c r="AJ311" cm="1">
        <f t="array" ref="AJ311">ROUND($Z311*Apport_621X2324s*Apport_125X2324s,2)-AI311</f>
        <v>116.51000000000002</v>
      </c>
      <c r="AK311" cm="1">
        <f t="array" ref="AK311">ROUND((AA311+AC311)*Apport_126X2324s,2)</f>
        <v>805.47</v>
      </c>
      <c r="AL311" cm="1">
        <f t="array" ref="AL311">ROUND((AB311+AD311)*Apport_127X2324s,2)</f>
        <v>28.74</v>
      </c>
      <c r="AM311" cm="1">
        <f t="array" ref="AM311">ROUND(AE311*Apport_128X2324s,2)</f>
        <v>204.29</v>
      </c>
      <c r="AN311" cm="1">
        <f t="array" ref="AN311">ROUND(AF311*Apport_129X2324s,2)</f>
        <v>6.36</v>
      </c>
      <c r="AO311" cm="1">
        <f t="array" ref="AO311">ROUND(($J311*CIS_Inc_Salary2324s*(VLOOKUP($A311,EnrollData2324,'2324 Jun 24 Enroll'!T$1,FALSE)+VLOOKUP($A311,EnrollData2324,'2324 Jun 24 Enroll'!U$1,FALSE))/Apport_613Xpd)*Apport_614Xpd,2)</f>
        <v>69.8</v>
      </c>
      <c r="AP311" cm="1">
        <f t="array" ref="AP311">ROUND(AO311*Apport_127X2324s,2)</f>
        <v>12.1</v>
      </c>
      <c r="AQ311">
        <f t="shared" si="30"/>
        <v>30.93</v>
      </c>
      <c r="AR311" s="6" cm="1">
        <f t="array" ref="AR311">ROUND((VLOOKUP($A311,EnrollData2324,'2324 Jun 24 Enroll'!D$1,FALSE)*Apport_M802324s+VLOOKUP($A311,EnrollData2324,'2324 Jun 24 Enroll'!M$1,FALSE)*Apport_M802324s+(VLOOKUP($A311,EnrollData2324,'2324 Jun 24 Enroll'!P$1,FALSE)+VLOOKUP($A311,EnrollData2324,'2324 Jun 24 Enroll'!Q$1,FALSE)+VLOOKUP($A311,EnrollData2324,'2324 Jun 24 Enroll'!R$1,FALSE)+VLOOKUP($A311,EnrollData2324,'2324 Jun 24 Enroll'!I$1,FALSE)+VLOOKUP($A311,EnrollData2324,'2324 Jun 24 Enroll'!N$1,FALSE)+VLOOKUP($A311,EnrollData2324,'2324 Jun 24 Enroll'!O$1,FALSE)+VLOOKUP($A311,EnrollData2324,'2324 Jun 24 Enroll'!K$1,FALSE)+VLOOKUP($A311,EnrollData2324,'2324 Jun 24 Enroll'!L$1,FALSE))*Apport_M812324s)/(VLOOKUP($A311,EnrollData2324,'2324 Jun 24 Enroll'!M$1,FALSE)+VLOOKUP($A311,EnrollData2324,'2324 Jun 24 Enroll'!D$1,FALSE)),2)</f>
        <v>1568.02</v>
      </c>
      <c r="AS311" s="7">
        <f t="shared" si="31"/>
        <v>9472.2100000000009</v>
      </c>
    </row>
    <row r="312" spans="1:45">
      <c r="A312" s="40" t="s">
        <v>891</v>
      </c>
      <c r="B312" s="40" t="s">
        <v>892</v>
      </c>
      <c r="C312" s="11">
        <f>ROUND((IFERROR((1/IF(VLOOKUP($A312,EnrollData2324,28,FALSE)='District Calculations'!$D$10,VLOOKUP($A312,EnrollData2324,28,FALSE),'District Calculations'!$D$10))*(1+Apport_Z315),0))+Apport_201A2324s,6)</f>
        <v>7.3449E-2</v>
      </c>
      <c r="D312">
        <f>ROUND(IF(VLOOKUP($A312,EnrollData2324,'2324 Jun 24 Enroll'!D$1,FALSE)='District Calculations'!$D$11,VLOOKUP($A312,EnrollData2324,'2324 Jun 24 Enroll'!D$1,FALSE),'District Calculations'!$D$11)*C312,3)</f>
        <v>0</v>
      </c>
      <c r="E312">
        <f>ROUND(IF(VLOOKUP($A312,EnrollData2324,'2324 Jun 24 Enroll'!E$1,FALSE)='District Calculations'!$D$12,VLOOKUP($A312,EnrollData2324,'2324 Jun 24 Enroll'!E$1,FALSE),'District Calculations'!$D$12)*C312,3)</f>
        <v>59.53</v>
      </c>
      <c r="F312">
        <f>ROUND(IF(VLOOKUP($A312,EnrollData2324,'2324 Jun 24 Enroll'!F$1,FALSE)='District Calculations'!$D$13,VLOOKUP($A312,EnrollData2324,'2324 Jun 24 Enroll'!F$1,FALSE),'District Calculations'!$D$13)*Apport_222A2324s,3)</f>
        <v>10.101000000000001</v>
      </c>
      <c r="G312">
        <f>ROUND(IF(VLOOKUP($A312,EnrollData2324,'2324 Jun 24 Enroll'!G$1,FALSE)='District Calculations'!$D$14,VLOOKUP($A312,EnrollData2324,'2324 Jun 24 Enroll'!G$1,FALSE),'District Calculations'!$D$14)*Apport_210A2324s,3)</f>
        <v>22.395</v>
      </c>
      <c r="H312">
        <f>ROUND(IF(VLOOKUP($A312,EnrollData2324,'2324 Jun 24 Enroll'!H$1,FALSE)='District Calculations'!$D$15,VLOOKUP($A312,EnrollData2324,'2324 Jun 24 Enroll'!H$1,FALSE),'District Calculations'!$D$15)*Apport_213A2324s,3)</f>
        <v>23.091999999999999</v>
      </c>
      <c r="I312">
        <f>ROUND(IF(VLOOKUP($A312,EnrollData2324,'2324 Jun 24 Enroll'!I$1,FALSE)+VLOOKUP($A312,EnrollData2324,'2324 Jun 24 Enroll'!M$1,FALSE)-VLOOKUP($A312,EnrollData2324,'2324 Jun 24 Enroll'!J$1,FALSE)='District Calculations'!$D$16+'District Calculations'!$D$25-'District Calculations'!$D$17,VLOOKUP($A312,EnrollData2324,'2324 Jun 24 Enroll'!I$1,FALSE)+VLOOKUP($A312,EnrollData2324,'2324 Jun 24 Enroll'!M$1,FALSE)-VLOOKUP($A312,EnrollData2324,'2324 Jun 24 Enroll'!J$1,FALSE),'District Calculations'!$D$16+'District Calculations'!$D$25-'District Calculations'!$D$17)*Apport_216A2324s,3)</f>
        <v>58.183999999999997</v>
      </c>
      <c r="J312">
        <f>ROUND(SUM(D312:I312)/(IF(VLOOKUP($A312,EnrollData2324,'2324 Jun 24 Enroll'!M$1,FALSE)='District Calculations'!$D$25,VLOOKUP($A312,EnrollData2324,'2324 Jun 24 Enroll'!M$1,FALSE),'District Calculations'!$D$25)+IF(VLOOKUP($A312,EnrollData2324,'2324 Jun 24 Enroll'!D$1,FALSE)='District Calculations'!$D$11,VLOOKUP($A312,EnrollData2324,'2324 Jun 24 Enroll'!D$1,FALSE),'District Calculations'!$D$11)),5)</f>
        <v>5.5530000000000003E-2</v>
      </c>
      <c r="K312" s="11">
        <f t="shared" si="27"/>
        <v>4.3699999999999998E-3</v>
      </c>
      <c r="L312">
        <f>ROUND(IF(VLOOKUP($A312,EnrollData2324,'2324 Jun 24 Enroll'!D$1,FALSE)='District Calculations'!$D$11,VLOOKUP($A312,EnrollData2324,'2324 Jun 24 Enroll'!D$1,FALSE),'District Calculations'!$D$11)*K312,3)</f>
        <v>0</v>
      </c>
      <c r="M312">
        <f>ROUND(IF(VLOOKUP($A312,EnrollData2324,'2324 Jun 24 Enroll'!E$1,FALSE)='District Calculations'!$D$12,VLOOKUP($A312,EnrollData2324,'2324 Jun 24 Enroll'!E$1,FALSE),'District Calculations'!$D$12)*K312,3)</f>
        <v>3.5419999999999998</v>
      </c>
      <c r="N312">
        <f>ROUND(IF(VLOOKUP($A312,EnrollData2324,'2324 Jun 24 Enroll'!F$1,FALSE)='District Calculations'!$D$13,VLOOKUP($A312,EnrollData2324,'2324 Jun 24 Enroll'!F$1,FALSE),'District Calculations'!$D$13)*Apport_223A2324s,3)</f>
        <v>0.84299999999999997</v>
      </c>
      <c r="O312">
        <f>ROUND(IF(VLOOKUP($A312,EnrollData2324,'2324 Jun 24 Enroll'!G$1,FALSE)='District Calculations'!$D$14,VLOOKUP($A312,EnrollData2324,'2324 Jun 24 Enroll'!G$1,FALSE),'District Calculations'!$D$14)*Apport_211A2324s,3)</f>
        <v>1.87</v>
      </c>
      <c r="P312">
        <f>ROUND(IF(VLOOKUP($A312,EnrollData2324,'2324 Jun 24 Enroll'!H$1,FALSE)='District Calculations'!$D$14,VLOOKUP($A312,EnrollData2324,'2324 Jun 24 Enroll'!H$1,FALSE),'District Calculations'!$D$14)*Apport_214A2324s,3)</f>
        <v>1.8680000000000001</v>
      </c>
      <c r="Q312">
        <f>ROUND(IF(VLOOKUP($A312,EnrollData2324,'2324 Jun 24 Enroll'!I$1,FALSE)+VLOOKUP($A312,EnrollData2324,'2324 Jun 24 Enroll'!M$1,FALSE)-VLOOKUP($A312,EnrollData2324,'2324 Jun 24 Enroll'!J$1,FALSE)='District Calculations'!$D$16+'District Calculations'!$D$25-'District Calculations'!$D$17,VLOOKUP($A312,EnrollData2324,'2324 Jun 24 Enroll'!I$1,FALSE)+VLOOKUP($A312,EnrollData2324,'2324 Jun 24 Enroll'!M$1,FALSE)-VLOOKUP($A312,EnrollData2324,'2324 Jun 24 Enroll'!J$1,FALSE),'District Calculations'!$D$16+'District Calculations'!$D$25-'District Calculations'!$D$17)*Apport_217A2324s,3)</f>
        <v>4.702</v>
      </c>
      <c r="R312">
        <f>ROUND(SUM(L312:Q312)/IF(VLOOKUP($A312,EnrollData2324,'2324 Jun 24 Enroll'!M$1,FALSE)+VLOOKUP($A312,EnrollData2324,'2324 Jun 24 Enroll'!D$1,FALSE)='District Calculations'!$D$25+'District Calculations'!$D$11,VLOOKUP($A312,EnrollData2324,'2324 Jun 24 Enroll'!M$1,FALSE)+VLOOKUP($A312,EnrollData2324,'2324 Jun 24 Enroll'!D$1,FALSE),'District Calculations'!$D$25+'District Calculations'!$D$11),5)</f>
        <v>4.1099999999999999E-3</v>
      </c>
      <c r="S312" s="11">
        <f t="shared" si="28"/>
        <v>1.8689600000000001E-2</v>
      </c>
      <c r="T312">
        <f>ROUND(IF(VLOOKUP($A312,EnrollData2324,'2324 Jun 24 Enroll'!D$1,FALSE)='District Calculations'!$D$11,VLOOKUP($A312,EnrollData2324,'2324 Jun 24 Enroll'!D$1,FALSE),'District Calculations'!$D$11)*S312,3)</f>
        <v>0</v>
      </c>
      <c r="U312">
        <f>ROUND(IF(VLOOKUP($A312,EnrollData2324,'2324 Jun 24 Enroll'!E$1,FALSE)='District Calculations'!$D$12,VLOOKUP($A312,EnrollData2324,'2324 Jun 24 Enroll'!E$1,FALSE),'District Calculations'!$D$12)*S312,3)</f>
        <v>15.148</v>
      </c>
      <c r="V312">
        <f>ROUND(IF(VLOOKUP($A312,EnrollData2324,'2324 Jun 24 Enroll'!F$1,FALSE)='District Calculations'!$D$13,VLOOKUP($A312,EnrollData2324,'2324 Jun 24 Enroll'!F$1,FALSE),'District Calculations'!$D$13)*Apport_224A2324s,3)</f>
        <v>3.7029999999999998</v>
      </c>
      <c r="W312">
        <f>ROUND(IF(VLOOKUP($A312,EnrollData2324,'2324 Jun 24 Enroll'!G$1,FALSE)='District Calculations'!$D$14,VLOOKUP($A312,EnrollData2324,'2324 Jun 24 Enroll'!G$1,FALSE),'District Calculations'!$D$14)*Apport_212A2324s,3)</f>
        <v>8.2089999999999996</v>
      </c>
      <c r="X312">
        <f>ROUND(IF(VLOOKUP($A312,EnrollData2324,'2324 Jun 24 Enroll'!H$1,FALSE)='District Calculations'!$D$14,VLOOKUP($A312,EnrollData2324,'2324 Jun 24 Enroll'!H$1,FALSE),'District Calculations'!$D$14)*Apport_215A2324s,3)</f>
        <v>8.0969999999999995</v>
      </c>
      <c r="Y312">
        <f>ROUND(IF(VLOOKUP($A312,EnrollData2324,'2324 Jun 24 Enroll'!I$1,FALSE)+VLOOKUP($A312,EnrollData2324,'2324 Jun 24 Enroll'!M$1,FALSE)-VLOOKUP($A312,EnrollData2324,'2324 Jun 24 Enroll'!J$1,FALSE)='District Calculations'!$D$16+'District Calculations'!$D$25-'District Calculations'!$D$17,VLOOKUP($A312,EnrollData2324,'2324 Jun 24 Enroll'!I$1,FALSE)+VLOOKUP($A312,EnrollData2324,'2324 Jun 24 Enroll'!M$1,FALSE)-VLOOKUP($A312,EnrollData2324,'2324 Jun 24 Enroll'!J$1,FALSE),'District Calculations'!$D$16+'District Calculations'!$D$25-'District Calculations'!$D$17)*Apport_218A2324s,3)</f>
        <v>20.224</v>
      </c>
      <c r="Z312">
        <f>ROUND(SUM(T312:Y312)/IF(VLOOKUP($A312,EnrollData2324,'2324 Jun 24 Enroll'!M$1,FALSE)+VLOOKUP($A312,EnrollData2324,'2324 Jun 24 Enroll'!D$1,FALSE)='District Calculations'!$D$25+'District Calculations'!$D$11,VLOOKUP($A312,EnrollData2324,'2324 Jun 24 Enroll'!M$1,FALSE)+VLOOKUP($A312,EnrollData2324,'2324 Jun 24 Enroll'!D$1,FALSE),'District Calculations'!$D$25+'District Calculations'!$D$11),5)</f>
        <v>1.7749999999999998E-2</v>
      </c>
      <c r="AA312" s="6" cm="1">
        <f t="array" ref="AA312">ROUND($J312*CIS_Base_Salary2324s*VLOOKUP($A312,EnrollData2324,'2324 Jun 24 Enroll'!S$1,FALSE),2)</f>
        <v>4038.59</v>
      </c>
      <c r="AB312" s="6" cm="1">
        <f t="array" ref="AB312">ROUND($J312*CIS_Inc_Salary2324s*(VLOOKUP($A312,EnrollData2324,'2324 Jun 24 Enroll'!T$1,FALSE)+VLOOKUP($A312,EnrollData2324,'2324 Jun 24 Enroll'!U$1,FALSE)),2)-AA312</f>
        <v>149.43000000000029</v>
      </c>
      <c r="AC312" s="6" cm="1">
        <f t="array" ref="AC312">ROUND($R312*CAS_Base_Salary2324s*VLOOKUP($A312,EnrollData2324,'2324 Jun 24 Enroll'!S$1,FALSE),2)</f>
        <v>443.7</v>
      </c>
      <c r="AD312" s="6" cm="1">
        <f t="array" ref="AD312">ROUND($R312*CAS_Inc_Salary2324s*VLOOKUP($A312,EnrollData2324,'2324 Jun 24 Enroll'!T$1,FALSE),2)-AC312</f>
        <v>16.410000000000025</v>
      </c>
      <c r="AE312" s="6" cm="1">
        <f t="array" ref="AE312">ROUND($Z312*CLS_Base_Salary2324s*VLOOKUP($A312,EnrollData2324,'2324 Jun 24 Enroll'!S$1,FALSE),2)</f>
        <v>926.07</v>
      </c>
      <c r="AF312" s="6" cm="1">
        <f t="array" ref="AF312">ROUND($Z312*CLS_Inc_Salary2324s*VLOOKUP($A312,EnrollData2324,'2324 Jun 24 Enroll'!T$1,FALSE),2)-AE312</f>
        <v>34.259999999999991</v>
      </c>
      <c r="AG312" cm="1">
        <f t="array" ref="AG312">ROUND(($J312+$R312)*Apport_124X2324s,2)</f>
        <v>734.29</v>
      </c>
      <c r="AH312" s="69">
        <f t="shared" si="29"/>
        <v>68.700000000000045</v>
      </c>
      <c r="AI312" cm="1">
        <f t="array" ref="AI312">ROUND($Z312*Apport_124X2324s,2)</f>
        <v>218.54</v>
      </c>
      <c r="AJ312" cm="1">
        <f t="array" ref="AJ312">ROUND($Z312*Apport_621X2324s*Apport_125X2324s,2)-AI312</f>
        <v>116.51000000000002</v>
      </c>
      <c r="AK312" cm="1">
        <f t="array" ref="AK312">ROUND((AA312+AC312)*Apport_126X2324s,2)</f>
        <v>805.47</v>
      </c>
      <c r="AL312" cm="1">
        <f t="array" ref="AL312">ROUND((AB312+AD312)*Apport_127X2324s,2)</f>
        <v>28.74</v>
      </c>
      <c r="AM312" cm="1">
        <f t="array" ref="AM312">ROUND(AE312*Apport_128X2324s,2)</f>
        <v>204.29</v>
      </c>
      <c r="AN312" cm="1">
        <f t="array" ref="AN312">ROUND(AF312*Apport_129X2324s,2)</f>
        <v>6.36</v>
      </c>
      <c r="AO312" cm="1">
        <f t="array" ref="AO312">ROUND(($J312*CIS_Inc_Salary2324s*(VLOOKUP($A312,EnrollData2324,'2324 Jun 24 Enroll'!T$1,FALSE)+VLOOKUP($A312,EnrollData2324,'2324 Jun 24 Enroll'!U$1,FALSE))/Apport_613Xpd)*Apport_614Xpd,2)</f>
        <v>69.8</v>
      </c>
      <c r="AP312" cm="1">
        <f t="array" ref="AP312">ROUND(AO312*Apport_127X2324s,2)</f>
        <v>12.1</v>
      </c>
      <c r="AQ312">
        <f t="shared" si="30"/>
        <v>30.93</v>
      </c>
      <c r="AR312" s="6" cm="1">
        <f t="array" ref="AR312">ROUND((VLOOKUP($A312,EnrollData2324,'2324 Jun 24 Enroll'!D$1,FALSE)*Apport_M802324s+VLOOKUP($A312,EnrollData2324,'2324 Jun 24 Enroll'!M$1,FALSE)*Apport_M802324s+(VLOOKUP($A312,EnrollData2324,'2324 Jun 24 Enroll'!P$1,FALSE)+VLOOKUP($A312,EnrollData2324,'2324 Jun 24 Enroll'!Q$1,FALSE)+VLOOKUP($A312,EnrollData2324,'2324 Jun 24 Enroll'!R$1,FALSE)+VLOOKUP($A312,EnrollData2324,'2324 Jun 24 Enroll'!I$1,FALSE)+VLOOKUP($A312,EnrollData2324,'2324 Jun 24 Enroll'!N$1,FALSE)+VLOOKUP($A312,EnrollData2324,'2324 Jun 24 Enroll'!O$1,FALSE)+VLOOKUP($A312,EnrollData2324,'2324 Jun 24 Enroll'!K$1,FALSE)+VLOOKUP($A312,EnrollData2324,'2324 Jun 24 Enroll'!L$1,FALSE))*Apport_M812324s)/(VLOOKUP($A312,EnrollData2324,'2324 Jun 24 Enroll'!M$1,FALSE)+VLOOKUP($A312,EnrollData2324,'2324 Jun 24 Enroll'!D$1,FALSE)),2)</f>
        <v>1577.92</v>
      </c>
      <c r="AS312" s="7">
        <f t="shared" si="31"/>
        <v>9482.11</v>
      </c>
    </row>
    <row r="313" spans="1:45">
      <c r="A313" s="40" t="s">
        <v>436</v>
      </c>
      <c r="B313" s="40" t="s">
        <v>437</v>
      </c>
      <c r="C313" s="11">
        <f>ROUND((IFERROR((1/IF(VLOOKUP($A313,EnrollData2324,28,FALSE)='District Calculations'!$D$10,VLOOKUP($A313,EnrollData2324,28,FALSE),'District Calculations'!$D$10))*(1+Apport_Z315),0))+Apport_201A2324s,6)</f>
        <v>7.3449E-2</v>
      </c>
      <c r="D313">
        <f>ROUND(IF(VLOOKUP($A313,EnrollData2324,'2324 Jun 24 Enroll'!D$1,FALSE)='District Calculations'!$D$11,VLOOKUP($A313,EnrollData2324,'2324 Jun 24 Enroll'!D$1,FALSE),'District Calculations'!$D$11)*C313,3)</f>
        <v>0</v>
      </c>
      <c r="E313">
        <f>ROUND(IF(VLOOKUP($A313,EnrollData2324,'2324 Jun 24 Enroll'!E$1,FALSE)='District Calculations'!$D$12,VLOOKUP($A313,EnrollData2324,'2324 Jun 24 Enroll'!E$1,FALSE),'District Calculations'!$D$12)*C313,3)</f>
        <v>59.53</v>
      </c>
      <c r="F313">
        <f>ROUND(IF(VLOOKUP($A313,EnrollData2324,'2324 Jun 24 Enroll'!F$1,FALSE)='District Calculations'!$D$13,VLOOKUP($A313,EnrollData2324,'2324 Jun 24 Enroll'!F$1,FALSE),'District Calculations'!$D$13)*Apport_222A2324s,3)</f>
        <v>10.101000000000001</v>
      </c>
      <c r="G313">
        <f>ROUND(IF(VLOOKUP($A313,EnrollData2324,'2324 Jun 24 Enroll'!G$1,FALSE)='District Calculations'!$D$14,VLOOKUP($A313,EnrollData2324,'2324 Jun 24 Enroll'!G$1,FALSE),'District Calculations'!$D$14)*Apport_210A2324s,3)</f>
        <v>22.395</v>
      </c>
      <c r="H313">
        <f>ROUND(IF(VLOOKUP($A313,EnrollData2324,'2324 Jun 24 Enroll'!H$1,FALSE)='District Calculations'!$D$15,VLOOKUP($A313,EnrollData2324,'2324 Jun 24 Enroll'!H$1,FALSE),'District Calculations'!$D$15)*Apport_213A2324s,3)</f>
        <v>23.091999999999999</v>
      </c>
      <c r="I313">
        <f>ROUND(IF(VLOOKUP($A313,EnrollData2324,'2324 Jun 24 Enroll'!I$1,FALSE)+VLOOKUP($A313,EnrollData2324,'2324 Jun 24 Enroll'!M$1,FALSE)-VLOOKUP($A313,EnrollData2324,'2324 Jun 24 Enroll'!J$1,FALSE)='District Calculations'!$D$16+'District Calculations'!$D$25-'District Calculations'!$D$17,VLOOKUP($A313,EnrollData2324,'2324 Jun 24 Enroll'!I$1,FALSE)+VLOOKUP($A313,EnrollData2324,'2324 Jun 24 Enroll'!M$1,FALSE)-VLOOKUP($A313,EnrollData2324,'2324 Jun 24 Enroll'!J$1,FALSE),'District Calculations'!$D$16+'District Calculations'!$D$25-'District Calculations'!$D$17)*Apport_216A2324s,3)</f>
        <v>58.183999999999997</v>
      </c>
      <c r="J313">
        <f>ROUND(SUM(D313:I313)/(IF(VLOOKUP($A313,EnrollData2324,'2324 Jun 24 Enroll'!M$1,FALSE)='District Calculations'!$D$25,VLOOKUP($A313,EnrollData2324,'2324 Jun 24 Enroll'!M$1,FALSE),'District Calculations'!$D$25)+IF(VLOOKUP($A313,EnrollData2324,'2324 Jun 24 Enroll'!D$1,FALSE)='District Calculations'!$D$11,VLOOKUP($A313,EnrollData2324,'2324 Jun 24 Enroll'!D$1,FALSE),'District Calculations'!$D$11)),5)</f>
        <v>5.5530000000000003E-2</v>
      </c>
      <c r="K313" s="11">
        <f t="shared" si="27"/>
        <v>4.3699999999999998E-3</v>
      </c>
      <c r="L313">
        <f>ROUND(IF(VLOOKUP($A313,EnrollData2324,'2324 Jun 24 Enroll'!D$1,FALSE)='District Calculations'!$D$11,VLOOKUP($A313,EnrollData2324,'2324 Jun 24 Enroll'!D$1,FALSE),'District Calculations'!$D$11)*K313,3)</f>
        <v>0</v>
      </c>
      <c r="M313">
        <f>ROUND(IF(VLOOKUP($A313,EnrollData2324,'2324 Jun 24 Enroll'!E$1,FALSE)='District Calculations'!$D$12,VLOOKUP($A313,EnrollData2324,'2324 Jun 24 Enroll'!E$1,FALSE),'District Calculations'!$D$12)*K313,3)</f>
        <v>3.5419999999999998</v>
      </c>
      <c r="N313">
        <f>ROUND(IF(VLOOKUP($A313,EnrollData2324,'2324 Jun 24 Enroll'!F$1,FALSE)='District Calculations'!$D$13,VLOOKUP($A313,EnrollData2324,'2324 Jun 24 Enroll'!F$1,FALSE),'District Calculations'!$D$13)*Apport_223A2324s,3)</f>
        <v>0.84299999999999997</v>
      </c>
      <c r="O313">
        <f>ROUND(IF(VLOOKUP($A313,EnrollData2324,'2324 Jun 24 Enroll'!G$1,FALSE)='District Calculations'!$D$14,VLOOKUP($A313,EnrollData2324,'2324 Jun 24 Enroll'!G$1,FALSE),'District Calculations'!$D$14)*Apport_211A2324s,3)</f>
        <v>1.87</v>
      </c>
      <c r="P313">
        <f>ROUND(IF(VLOOKUP($A313,EnrollData2324,'2324 Jun 24 Enroll'!H$1,FALSE)='District Calculations'!$D$14,VLOOKUP($A313,EnrollData2324,'2324 Jun 24 Enroll'!H$1,FALSE),'District Calculations'!$D$14)*Apport_214A2324s,3)</f>
        <v>1.8680000000000001</v>
      </c>
      <c r="Q313">
        <f>ROUND(IF(VLOOKUP($A313,EnrollData2324,'2324 Jun 24 Enroll'!I$1,FALSE)+VLOOKUP($A313,EnrollData2324,'2324 Jun 24 Enroll'!M$1,FALSE)-VLOOKUP($A313,EnrollData2324,'2324 Jun 24 Enroll'!J$1,FALSE)='District Calculations'!$D$16+'District Calculations'!$D$25-'District Calculations'!$D$17,VLOOKUP($A313,EnrollData2324,'2324 Jun 24 Enroll'!I$1,FALSE)+VLOOKUP($A313,EnrollData2324,'2324 Jun 24 Enroll'!M$1,FALSE)-VLOOKUP($A313,EnrollData2324,'2324 Jun 24 Enroll'!J$1,FALSE),'District Calculations'!$D$16+'District Calculations'!$D$25-'District Calculations'!$D$17)*Apport_217A2324s,3)</f>
        <v>4.702</v>
      </c>
      <c r="R313">
        <f>ROUND(SUM(L313:Q313)/IF(VLOOKUP($A313,EnrollData2324,'2324 Jun 24 Enroll'!M$1,FALSE)+VLOOKUP($A313,EnrollData2324,'2324 Jun 24 Enroll'!D$1,FALSE)='District Calculations'!$D$25+'District Calculations'!$D$11,VLOOKUP($A313,EnrollData2324,'2324 Jun 24 Enroll'!M$1,FALSE)+VLOOKUP($A313,EnrollData2324,'2324 Jun 24 Enroll'!D$1,FALSE),'District Calculations'!$D$25+'District Calculations'!$D$11),5)</f>
        <v>4.1099999999999999E-3</v>
      </c>
      <c r="S313" s="11">
        <f t="shared" si="28"/>
        <v>1.8689600000000001E-2</v>
      </c>
      <c r="T313">
        <f>ROUND(IF(VLOOKUP($A313,EnrollData2324,'2324 Jun 24 Enroll'!D$1,FALSE)='District Calculations'!$D$11,VLOOKUP($A313,EnrollData2324,'2324 Jun 24 Enroll'!D$1,FALSE),'District Calculations'!$D$11)*S313,3)</f>
        <v>0</v>
      </c>
      <c r="U313">
        <f>ROUND(IF(VLOOKUP($A313,EnrollData2324,'2324 Jun 24 Enroll'!E$1,FALSE)='District Calculations'!$D$12,VLOOKUP($A313,EnrollData2324,'2324 Jun 24 Enroll'!E$1,FALSE),'District Calculations'!$D$12)*S313,3)</f>
        <v>15.148</v>
      </c>
      <c r="V313">
        <f>ROUND(IF(VLOOKUP($A313,EnrollData2324,'2324 Jun 24 Enroll'!F$1,FALSE)='District Calculations'!$D$13,VLOOKUP($A313,EnrollData2324,'2324 Jun 24 Enroll'!F$1,FALSE),'District Calculations'!$D$13)*Apport_224A2324s,3)</f>
        <v>3.7029999999999998</v>
      </c>
      <c r="W313">
        <f>ROUND(IF(VLOOKUP($A313,EnrollData2324,'2324 Jun 24 Enroll'!G$1,FALSE)='District Calculations'!$D$14,VLOOKUP($A313,EnrollData2324,'2324 Jun 24 Enroll'!G$1,FALSE),'District Calculations'!$D$14)*Apport_212A2324s,3)</f>
        <v>8.2089999999999996</v>
      </c>
      <c r="X313">
        <f>ROUND(IF(VLOOKUP($A313,EnrollData2324,'2324 Jun 24 Enroll'!H$1,FALSE)='District Calculations'!$D$14,VLOOKUP($A313,EnrollData2324,'2324 Jun 24 Enroll'!H$1,FALSE),'District Calculations'!$D$14)*Apport_215A2324s,3)</f>
        <v>8.0969999999999995</v>
      </c>
      <c r="Y313">
        <f>ROUND(IF(VLOOKUP($A313,EnrollData2324,'2324 Jun 24 Enroll'!I$1,FALSE)+VLOOKUP($A313,EnrollData2324,'2324 Jun 24 Enroll'!M$1,FALSE)-VLOOKUP($A313,EnrollData2324,'2324 Jun 24 Enroll'!J$1,FALSE)='District Calculations'!$D$16+'District Calculations'!$D$25-'District Calculations'!$D$17,VLOOKUP($A313,EnrollData2324,'2324 Jun 24 Enroll'!I$1,FALSE)+VLOOKUP($A313,EnrollData2324,'2324 Jun 24 Enroll'!M$1,FALSE)-VLOOKUP($A313,EnrollData2324,'2324 Jun 24 Enroll'!J$1,FALSE),'District Calculations'!$D$16+'District Calculations'!$D$25-'District Calculations'!$D$17)*Apport_218A2324s,3)</f>
        <v>20.224</v>
      </c>
      <c r="Z313">
        <f>ROUND(SUM(T313:Y313)/IF(VLOOKUP($A313,EnrollData2324,'2324 Jun 24 Enroll'!M$1,FALSE)+VLOOKUP($A313,EnrollData2324,'2324 Jun 24 Enroll'!D$1,FALSE)='District Calculations'!$D$25+'District Calculations'!$D$11,VLOOKUP($A313,EnrollData2324,'2324 Jun 24 Enroll'!M$1,FALSE)+VLOOKUP($A313,EnrollData2324,'2324 Jun 24 Enroll'!D$1,FALSE),'District Calculations'!$D$25+'District Calculations'!$D$11),5)</f>
        <v>1.7749999999999998E-2</v>
      </c>
      <c r="AA313" s="6" cm="1">
        <f t="array" ref="AA313">ROUND($J313*CIS_Base_Salary2324s*VLOOKUP($A313,EnrollData2324,'2324 Jun 24 Enroll'!S$1,FALSE),2)</f>
        <v>4038.59</v>
      </c>
      <c r="AB313" s="6" cm="1">
        <f t="array" ref="AB313">ROUND($J313*CIS_Inc_Salary2324s*(VLOOKUP($A313,EnrollData2324,'2324 Jun 24 Enroll'!T$1,FALSE)+VLOOKUP($A313,EnrollData2324,'2324 Jun 24 Enroll'!U$1,FALSE)),2)-AA313</f>
        <v>149.43000000000029</v>
      </c>
      <c r="AC313" s="6" cm="1">
        <f t="array" ref="AC313">ROUND($R313*CAS_Base_Salary2324s*VLOOKUP($A313,EnrollData2324,'2324 Jun 24 Enroll'!S$1,FALSE),2)</f>
        <v>443.7</v>
      </c>
      <c r="AD313" s="6" cm="1">
        <f t="array" ref="AD313">ROUND($R313*CAS_Inc_Salary2324s*VLOOKUP($A313,EnrollData2324,'2324 Jun 24 Enroll'!T$1,FALSE),2)-AC313</f>
        <v>16.410000000000025</v>
      </c>
      <c r="AE313" s="6" cm="1">
        <f t="array" ref="AE313">ROUND($Z313*CLS_Base_Salary2324s*VLOOKUP($A313,EnrollData2324,'2324 Jun 24 Enroll'!S$1,FALSE),2)</f>
        <v>926.07</v>
      </c>
      <c r="AF313" s="6" cm="1">
        <f t="array" ref="AF313">ROUND($Z313*CLS_Inc_Salary2324s*VLOOKUP($A313,EnrollData2324,'2324 Jun 24 Enroll'!T$1,FALSE),2)-AE313</f>
        <v>34.259999999999991</v>
      </c>
      <c r="AG313" cm="1">
        <f t="array" ref="AG313">ROUND(($J313+$R313)*Apport_124X2324s,2)</f>
        <v>734.29</v>
      </c>
      <c r="AH313" s="69">
        <f t="shared" si="29"/>
        <v>68.700000000000045</v>
      </c>
      <c r="AI313" cm="1">
        <f t="array" ref="AI313">ROUND($Z313*Apport_124X2324s,2)</f>
        <v>218.54</v>
      </c>
      <c r="AJ313" cm="1">
        <f t="array" ref="AJ313">ROUND($Z313*Apport_621X2324s*Apport_125X2324s,2)-AI313</f>
        <v>116.51000000000002</v>
      </c>
      <c r="AK313" cm="1">
        <f t="array" ref="AK313">ROUND((AA313+AC313)*Apport_126X2324s,2)</f>
        <v>805.47</v>
      </c>
      <c r="AL313" cm="1">
        <f t="array" ref="AL313">ROUND((AB313+AD313)*Apport_127X2324s,2)</f>
        <v>28.74</v>
      </c>
      <c r="AM313" cm="1">
        <f t="array" ref="AM313">ROUND(AE313*Apport_128X2324s,2)</f>
        <v>204.29</v>
      </c>
      <c r="AN313" cm="1">
        <f t="array" ref="AN313">ROUND(AF313*Apport_129X2324s,2)</f>
        <v>6.36</v>
      </c>
      <c r="AO313" cm="1">
        <f t="array" ref="AO313">ROUND(($J313*CIS_Inc_Salary2324s*(VLOOKUP($A313,EnrollData2324,'2324 Jun 24 Enroll'!T$1,FALSE)+VLOOKUP($A313,EnrollData2324,'2324 Jun 24 Enroll'!U$1,FALSE))/Apport_613Xpd)*Apport_614Xpd,2)</f>
        <v>69.8</v>
      </c>
      <c r="AP313" cm="1">
        <f t="array" ref="AP313">ROUND(AO313*Apport_127X2324s,2)</f>
        <v>12.1</v>
      </c>
      <c r="AQ313">
        <f t="shared" si="30"/>
        <v>30.93</v>
      </c>
      <c r="AR313" s="6" cm="1">
        <f t="array" ref="AR313">ROUND((VLOOKUP($A313,EnrollData2324,'2324 Jun 24 Enroll'!D$1,FALSE)*Apport_M802324s+VLOOKUP($A313,EnrollData2324,'2324 Jun 24 Enroll'!M$1,FALSE)*Apport_M802324s+(VLOOKUP($A313,EnrollData2324,'2324 Jun 24 Enroll'!P$1,FALSE)+VLOOKUP($A313,EnrollData2324,'2324 Jun 24 Enroll'!Q$1,FALSE)+VLOOKUP($A313,EnrollData2324,'2324 Jun 24 Enroll'!R$1,FALSE)+VLOOKUP($A313,EnrollData2324,'2324 Jun 24 Enroll'!I$1,FALSE)+VLOOKUP($A313,EnrollData2324,'2324 Jun 24 Enroll'!N$1,FALSE)+VLOOKUP($A313,EnrollData2324,'2324 Jun 24 Enroll'!O$1,FALSE)+VLOOKUP($A313,EnrollData2324,'2324 Jun 24 Enroll'!K$1,FALSE)+VLOOKUP($A313,EnrollData2324,'2324 Jun 24 Enroll'!L$1,FALSE))*Apport_M812324s)/(VLOOKUP($A313,EnrollData2324,'2324 Jun 24 Enroll'!M$1,FALSE)+VLOOKUP($A313,EnrollData2324,'2324 Jun 24 Enroll'!D$1,FALSE)),2)</f>
        <v>1566.36</v>
      </c>
      <c r="AS313" s="7">
        <f t="shared" si="31"/>
        <v>9470.5500000000011</v>
      </c>
    </row>
    <row r="314" spans="1:45">
      <c r="A314" s="40" t="s">
        <v>751</v>
      </c>
      <c r="B314" s="40" t="s">
        <v>752</v>
      </c>
      <c r="C314" s="11">
        <f>ROUND((IFERROR((1/IF(VLOOKUP($A314,EnrollData2324,28,FALSE)='District Calculations'!$D$10,VLOOKUP($A314,EnrollData2324,28,FALSE),'District Calculations'!$D$10))*(1+Apport_Z315),0))+Apport_201A2324s,6)</f>
        <v>7.3449E-2</v>
      </c>
      <c r="D314">
        <f>ROUND(IF(VLOOKUP($A314,EnrollData2324,'2324 Jun 24 Enroll'!D$1,FALSE)='District Calculations'!$D$11,VLOOKUP($A314,EnrollData2324,'2324 Jun 24 Enroll'!D$1,FALSE),'District Calculations'!$D$11)*C314,3)</f>
        <v>0</v>
      </c>
      <c r="E314">
        <f>ROUND(IF(VLOOKUP($A314,EnrollData2324,'2324 Jun 24 Enroll'!E$1,FALSE)='District Calculations'!$D$12,VLOOKUP($A314,EnrollData2324,'2324 Jun 24 Enroll'!E$1,FALSE),'District Calculations'!$D$12)*C314,3)</f>
        <v>59.53</v>
      </c>
      <c r="F314">
        <f>ROUND(IF(VLOOKUP($A314,EnrollData2324,'2324 Jun 24 Enroll'!F$1,FALSE)='District Calculations'!$D$13,VLOOKUP($A314,EnrollData2324,'2324 Jun 24 Enroll'!F$1,FALSE),'District Calculations'!$D$13)*Apport_222A2324s,3)</f>
        <v>10.101000000000001</v>
      </c>
      <c r="G314">
        <f>ROUND(IF(VLOOKUP($A314,EnrollData2324,'2324 Jun 24 Enroll'!G$1,FALSE)='District Calculations'!$D$14,VLOOKUP($A314,EnrollData2324,'2324 Jun 24 Enroll'!G$1,FALSE),'District Calculations'!$D$14)*Apport_210A2324s,3)</f>
        <v>22.395</v>
      </c>
      <c r="H314">
        <f>ROUND(IF(VLOOKUP($A314,EnrollData2324,'2324 Jun 24 Enroll'!H$1,FALSE)='District Calculations'!$D$15,VLOOKUP($A314,EnrollData2324,'2324 Jun 24 Enroll'!H$1,FALSE),'District Calculations'!$D$15)*Apport_213A2324s,3)</f>
        <v>23.091999999999999</v>
      </c>
      <c r="I314">
        <f>ROUND(IF(VLOOKUP($A314,EnrollData2324,'2324 Jun 24 Enroll'!I$1,FALSE)+VLOOKUP($A314,EnrollData2324,'2324 Jun 24 Enroll'!M$1,FALSE)-VLOOKUP($A314,EnrollData2324,'2324 Jun 24 Enroll'!J$1,FALSE)='District Calculations'!$D$16+'District Calculations'!$D$25-'District Calculations'!$D$17,VLOOKUP($A314,EnrollData2324,'2324 Jun 24 Enroll'!I$1,FALSE)+VLOOKUP($A314,EnrollData2324,'2324 Jun 24 Enroll'!M$1,FALSE)-VLOOKUP($A314,EnrollData2324,'2324 Jun 24 Enroll'!J$1,FALSE),'District Calculations'!$D$16+'District Calculations'!$D$25-'District Calculations'!$D$17)*Apport_216A2324s,3)</f>
        <v>58.183999999999997</v>
      </c>
      <c r="J314">
        <f>ROUND(SUM(D314:I314)/(IF(VLOOKUP($A314,EnrollData2324,'2324 Jun 24 Enroll'!M$1,FALSE)='District Calculations'!$D$25,VLOOKUP($A314,EnrollData2324,'2324 Jun 24 Enroll'!M$1,FALSE),'District Calculations'!$D$25)+IF(VLOOKUP($A314,EnrollData2324,'2324 Jun 24 Enroll'!D$1,FALSE)='District Calculations'!$D$11,VLOOKUP($A314,EnrollData2324,'2324 Jun 24 Enroll'!D$1,FALSE),'District Calculations'!$D$11)),5)</f>
        <v>5.5530000000000003E-2</v>
      </c>
      <c r="K314" s="11">
        <f t="shared" si="27"/>
        <v>4.3699999999999998E-3</v>
      </c>
      <c r="L314">
        <f>ROUND(IF(VLOOKUP($A314,EnrollData2324,'2324 Jun 24 Enroll'!D$1,FALSE)='District Calculations'!$D$11,VLOOKUP($A314,EnrollData2324,'2324 Jun 24 Enroll'!D$1,FALSE),'District Calculations'!$D$11)*K314,3)</f>
        <v>0</v>
      </c>
      <c r="M314">
        <f>ROUND(IF(VLOOKUP($A314,EnrollData2324,'2324 Jun 24 Enroll'!E$1,FALSE)='District Calculations'!$D$12,VLOOKUP($A314,EnrollData2324,'2324 Jun 24 Enroll'!E$1,FALSE),'District Calculations'!$D$12)*K314,3)</f>
        <v>3.5419999999999998</v>
      </c>
      <c r="N314">
        <f>ROUND(IF(VLOOKUP($A314,EnrollData2324,'2324 Jun 24 Enroll'!F$1,FALSE)='District Calculations'!$D$13,VLOOKUP($A314,EnrollData2324,'2324 Jun 24 Enroll'!F$1,FALSE),'District Calculations'!$D$13)*Apport_223A2324s,3)</f>
        <v>0.84299999999999997</v>
      </c>
      <c r="O314">
        <f>ROUND(IF(VLOOKUP($A314,EnrollData2324,'2324 Jun 24 Enroll'!G$1,FALSE)='District Calculations'!$D$14,VLOOKUP($A314,EnrollData2324,'2324 Jun 24 Enroll'!G$1,FALSE),'District Calculations'!$D$14)*Apport_211A2324s,3)</f>
        <v>1.87</v>
      </c>
      <c r="P314">
        <f>ROUND(IF(VLOOKUP($A314,EnrollData2324,'2324 Jun 24 Enroll'!H$1,FALSE)='District Calculations'!$D$14,VLOOKUP($A314,EnrollData2324,'2324 Jun 24 Enroll'!H$1,FALSE),'District Calculations'!$D$14)*Apport_214A2324s,3)</f>
        <v>1.8680000000000001</v>
      </c>
      <c r="Q314">
        <f>ROUND(IF(VLOOKUP($A314,EnrollData2324,'2324 Jun 24 Enroll'!I$1,FALSE)+VLOOKUP($A314,EnrollData2324,'2324 Jun 24 Enroll'!M$1,FALSE)-VLOOKUP($A314,EnrollData2324,'2324 Jun 24 Enroll'!J$1,FALSE)='District Calculations'!$D$16+'District Calculations'!$D$25-'District Calculations'!$D$17,VLOOKUP($A314,EnrollData2324,'2324 Jun 24 Enroll'!I$1,FALSE)+VLOOKUP($A314,EnrollData2324,'2324 Jun 24 Enroll'!M$1,FALSE)-VLOOKUP($A314,EnrollData2324,'2324 Jun 24 Enroll'!J$1,FALSE),'District Calculations'!$D$16+'District Calculations'!$D$25-'District Calculations'!$D$17)*Apport_217A2324s,3)</f>
        <v>4.702</v>
      </c>
      <c r="R314">
        <f>ROUND(SUM(L314:Q314)/IF(VLOOKUP($A314,EnrollData2324,'2324 Jun 24 Enroll'!M$1,FALSE)+VLOOKUP($A314,EnrollData2324,'2324 Jun 24 Enroll'!D$1,FALSE)='District Calculations'!$D$25+'District Calculations'!$D$11,VLOOKUP($A314,EnrollData2324,'2324 Jun 24 Enroll'!M$1,FALSE)+VLOOKUP($A314,EnrollData2324,'2324 Jun 24 Enroll'!D$1,FALSE),'District Calculations'!$D$25+'District Calculations'!$D$11),5)</f>
        <v>4.1099999999999999E-3</v>
      </c>
      <c r="S314" s="11">
        <f t="shared" si="28"/>
        <v>1.8689600000000001E-2</v>
      </c>
      <c r="T314">
        <f>ROUND(IF(VLOOKUP($A314,EnrollData2324,'2324 Jun 24 Enroll'!D$1,FALSE)='District Calculations'!$D$11,VLOOKUP($A314,EnrollData2324,'2324 Jun 24 Enroll'!D$1,FALSE),'District Calculations'!$D$11)*S314,3)</f>
        <v>0</v>
      </c>
      <c r="U314">
        <f>ROUND(IF(VLOOKUP($A314,EnrollData2324,'2324 Jun 24 Enroll'!E$1,FALSE)='District Calculations'!$D$12,VLOOKUP($A314,EnrollData2324,'2324 Jun 24 Enroll'!E$1,FALSE),'District Calculations'!$D$12)*S314,3)</f>
        <v>15.148</v>
      </c>
      <c r="V314">
        <f>ROUND(IF(VLOOKUP($A314,EnrollData2324,'2324 Jun 24 Enroll'!F$1,FALSE)='District Calculations'!$D$13,VLOOKUP($A314,EnrollData2324,'2324 Jun 24 Enroll'!F$1,FALSE),'District Calculations'!$D$13)*Apport_224A2324s,3)</f>
        <v>3.7029999999999998</v>
      </c>
      <c r="W314">
        <f>ROUND(IF(VLOOKUP($A314,EnrollData2324,'2324 Jun 24 Enroll'!G$1,FALSE)='District Calculations'!$D$14,VLOOKUP($A314,EnrollData2324,'2324 Jun 24 Enroll'!G$1,FALSE),'District Calculations'!$D$14)*Apport_212A2324s,3)</f>
        <v>8.2089999999999996</v>
      </c>
      <c r="X314">
        <f>ROUND(IF(VLOOKUP($A314,EnrollData2324,'2324 Jun 24 Enroll'!H$1,FALSE)='District Calculations'!$D$14,VLOOKUP($A314,EnrollData2324,'2324 Jun 24 Enroll'!H$1,FALSE),'District Calculations'!$D$14)*Apport_215A2324s,3)</f>
        <v>8.0969999999999995</v>
      </c>
      <c r="Y314">
        <f>ROUND(IF(VLOOKUP($A314,EnrollData2324,'2324 Jun 24 Enroll'!I$1,FALSE)+VLOOKUP($A314,EnrollData2324,'2324 Jun 24 Enroll'!M$1,FALSE)-VLOOKUP($A314,EnrollData2324,'2324 Jun 24 Enroll'!J$1,FALSE)='District Calculations'!$D$16+'District Calculations'!$D$25-'District Calculations'!$D$17,VLOOKUP($A314,EnrollData2324,'2324 Jun 24 Enroll'!I$1,FALSE)+VLOOKUP($A314,EnrollData2324,'2324 Jun 24 Enroll'!M$1,FALSE)-VLOOKUP($A314,EnrollData2324,'2324 Jun 24 Enroll'!J$1,FALSE),'District Calculations'!$D$16+'District Calculations'!$D$25-'District Calculations'!$D$17)*Apport_218A2324s,3)</f>
        <v>20.224</v>
      </c>
      <c r="Z314">
        <f>ROUND(SUM(T314:Y314)/IF(VLOOKUP($A314,EnrollData2324,'2324 Jun 24 Enroll'!M$1,FALSE)+VLOOKUP($A314,EnrollData2324,'2324 Jun 24 Enroll'!D$1,FALSE)='District Calculations'!$D$25+'District Calculations'!$D$11,VLOOKUP($A314,EnrollData2324,'2324 Jun 24 Enroll'!M$1,FALSE)+VLOOKUP($A314,EnrollData2324,'2324 Jun 24 Enroll'!D$1,FALSE),'District Calculations'!$D$25+'District Calculations'!$D$11),5)</f>
        <v>1.7749999999999998E-2</v>
      </c>
      <c r="AA314" s="6" cm="1">
        <f t="array" ref="AA314">ROUND($J314*CIS_Base_Salary2324s*VLOOKUP($A314,EnrollData2324,'2324 Jun 24 Enroll'!S$1,FALSE),2)</f>
        <v>4038.59</v>
      </c>
      <c r="AB314" s="6" cm="1">
        <f t="array" ref="AB314">ROUND($J314*CIS_Inc_Salary2324s*(VLOOKUP($A314,EnrollData2324,'2324 Jun 24 Enroll'!T$1,FALSE)+VLOOKUP($A314,EnrollData2324,'2324 Jun 24 Enroll'!U$1,FALSE)),2)-AA314</f>
        <v>149.43000000000029</v>
      </c>
      <c r="AC314" s="6" cm="1">
        <f t="array" ref="AC314">ROUND($R314*CAS_Base_Salary2324s*VLOOKUP($A314,EnrollData2324,'2324 Jun 24 Enroll'!S$1,FALSE),2)</f>
        <v>443.7</v>
      </c>
      <c r="AD314" s="6" cm="1">
        <f t="array" ref="AD314">ROUND($R314*CAS_Inc_Salary2324s*VLOOKUP($A314,EnrollData2324,'2324 Jun 24 Enroll'!T$1,FALSE),2)-AC314</f>
        <v>16.410000000000025</v>
      </c>
      <c r="AE314" s="6" cm="1">
        <f t="array" ref="AE314">ROUND($Z314*CLS_Base_Salary2324s*VLOOKUP($A314,EnrollData2324,'2324 Jun 24 Enroll'!S$1,FALSE),2)</f>
        <v>926.07</v>
      </c>
      <c r="AF314" s="6" cm="1">
        <f t="array" ref="AF314">ROUND($Z314*CLS_Inc_Salary2324s*VLOOKUP($A314,EnrollData2324,'2324 Jun 24 Enroll'!T$1,FALSE),2)-AE314</f>
        <v>34.259999999999991</v>
      </c>
      <c r="AG314" cm="1">
        <f t="array" ref="AG314">ROUND(($J314+$R314)*Apport_124X2324s,2)</f>
        <v>734.29</v>
      </c>
      <c r="AH314" s="69">
        <f t="shared" si="29"/>
        <v>68.700000000000045</v>
      </c>
      <c r="AI314" cm="1">
        <f t="array" ref="AI314">ROUND($Z314*Apport_124X2324s,2)</f>
        <v>218.54</v>
      </c>
      <c r="AJ314" cm="1">
        <f t="array" ref="AJ314">ROUND($Z314*Apport_621X2324s*Apport_125X2324s,2)-AI314</f>
        <v>116.51000000000002</v>
      </c>
      <c r="AK314" cm="1">
        <f t="array" ref="AK314">ROUND((AA314+AC314)*Apport_126X2324s,2)</f>
        <v>805.47</v>
      </c>
      <c r="AL314" cm="1">
        <f t="array" ref="AL314">ROUND((AB314+AD314)*Apport_127X2324s,2)</f>
        <v>28.74</v>
      </c>
      <c r="AM314" cm="1">
        <f t="array" ref="AM314">ROUND(AE314*Apport_128X2324s,2)</f>
        <v>204.29</v>
      </c>
      <c r="AN314" cm="1">
        <f t="array" ref="AN314">ROUND(AF314*Apport_129X2324s,2)</f>
        <v>6.36</v>
      </c>
      <c r="AO314" cm="1">
        <f t="array" ref="AO314">ROUND(($J314*CIS_Inc_Salary2324s*(VLOOKUP($A314,EnrollData2324,'2324 Jun 24 Enroll'!T$1,FALSE)+VLOOKUP($A314,EnrollData2324,'2324 Jun 24 Enroll'!U$1,FALSE))/Apport_613Xpd)*Apport_614Xpd,2)</f>
        <v>69.8</v>
      </c>
      <c r="AP314" cm="1">
        <f t="array" ref="AP314">ROUND(AO314*Apport_127X2324s,2)</f>
        <v>12.1</v>
      </c>
      <c r="AQ314">
        <f t="shared" si="30"/>
        <v>30.93</v>
      </c>
      <c r="AR314" s="6" cm="1">
        <f t="array" ref="AR314">ROUND((VLOOKUP($A314,EnrollData2324,'2324 Jun 24 Enroll'!D$1,FALSE)*Apport_M802324s+VLOOKUP($A314,EnrollData2324,'2324 Jun 24 Enroll'!M$1,FALSE)*Apport_M802324s+(VLOOKUP($A314,EnrollData2324,'2324 Jun 24 Enroll'!P$1,FALSE)+VLOOKUP($A314,EnrollData2324,'2324 Jun 24 Enroll'!Q$1,FALSE)+VLOOKUP($A314,EnrollData2324,'2324 Jun 24 Enroll'!R$1,FALSE)+VLOOKUP($A314,EnrollData2324,'2324 Jun 24 Enroll'!I$1,FALSE)+VLOOKUP($A314,EnrollData2324,'2324 Jun 24 Enroll'!N$1,FALSE)+VLOOKUP($A314,EnrollData2324,'2324 Jun 24 Enroll'!O$1,FALSE)+VLOOKUP($A314,EnrollData2324,'2324 Jun 24 Enroll'!K$1,FALSE)+VLOOKUP($A314,EnrollData2324,'2324 Jun 24 Enroll'!L$1,FALSE))*Apport_M812324s)/(VLOOKUP($A314,EnrollData2324,'2324 Jun 24 Enroll'!M$1,FALSE)+VLOOKUP($A314,EnrollData2324,'2324 Jun 24 Enroll'!D$1,FALSE)),2)</f>
        <v>1569.22</v>
      </c>
      <c r="AS314" s="7">
        <f t="shared" si="31"/>
        <v>9473.41</v>
      </c>
    </row>
    <row r="315" spans="1:45">
      <c r="A315" s="40" t="s">
        <v>568</v>
      </c>
      <c r="B315" s="40" t="s">
        <v>569</v>
      </c>
      <c r="C315" s="11">
        <f>ROUND((IFERROR((1/IF(VLOOKUP($A315,EnrollData2324,28,FALSE)='District Calculations'!$D$10,VLOOKUP($A315,EnrollData2324,28,FALSE),'District Calculations'!$D$10))*(1+Apport_Z315),0))+Apport_201A2324s,6)</f>
        <v>7.3449E-2</v>
      </c>
      <c r="D315">
        <f>ROUND(IF(VLOOKUP($A315,EnrollData2324,'2324 Jun 24 Enroll'!D$1,FALSE)='District Calculations'!$D$11,VLOOKUP($A315,EnrollData2324,'2324 Jun 24 Enroll'!D$1,FALSE),'District Calculations'!$D$11)*C315,3)</f>
        <v>0</v>
      </c>
      <c r="E315">
        <f>ROUND(IF(VLOOKUP($A315,EnrollData2324,'2324 Jun 24 Enroll'!E$1,FALSE)='District Calculations'!$D$12,VLOOKUP($A315,EnrollData2324,'2324 Jun 24 Enroll'!E$1,FALSE),'District Calculations'!$D$12)*C315,3)</f>
        <v>59.53</v>
      </c>
      <c r="F315">
        <f>ROUND(IF(VLOOKUP($A315,EnrollData2324,'2324 Jun 24 Enroll'!F$1,FALSE)='District Calculations'!$D$13,VLOOKUP($A315,EnrollData2324,'2324 Jun 24 Enroll'!F$1,FALSE),'District Calculations'!$D$13)*Apport_222A2324s,3)</f>
        <v>10.101000000000001</v>
      </c>
      <c r="G315">
        <f>ROUND(IF(VLOOKUP($A315,EnrollData2324,'2324 Jun 24 Enroll'!G$1,FALSE)='District Calculations'!$D$14,VLOOKUP($A315,EnrollData2324,'2324 Jun 24 Enroll'!G$1,FALSE),'District Calculations'!$D$14)*Apport_210A2324s,3)</f>
        <v>22.395</v>
      </c>
      <c r="H315">
        <f>ROUND(IF(VLOOKUP($A315,EnrollData2324,'2324 Jun 24 Enroll'!H$1,FALSE)='District Calculations'!$D$15,VLOOKUP($A315,EnrollData2324,'2324 Jun 24 Enroll'!H$1,FALSE),'District Calculations'!$D$15)*Apport_213A2324s,3)</f>
        <v>23.091999999999999</v>
      </c>
      <c r="I315">
        <f>ROUND(IF(VLOOKUP($A315,EnrollData2324,'2324 Jun 24 Enroll'!I$1,FALSE)+VLOOKUP($A315,EnrollData2324,'2324 Jun 24 Enroll'!M$1,FALSE)-VLOOKUP($A315,EnrollData2324,'2324 Jun 24 Enroll'!J$1,FALSE)='District Calculations'!$D$16+'District Calculations'!$D$25-'District Calculations'!$D$17,VLOOKUP($A315,EnrollData2324,'2324 Jun 24 Enroll'!I$1,FALSE)+VLOOKUP($A315,EnrollData2324,'2324 Jun 24 Enroll'!M$1,FALSE)-VLOOKUP($A315,EnrollData2324,'2324 Jun 24 Enroll'!J$1,FALSE),'District Calculations'!$D$16+'District Calculations'!$D$25-'District Calculations'!$D$17)*Apport_216A2324s,3)</f>
        <v>58.183999999999997</v>
      </c>
      <c r="J315">
        <f>ROUND(SUM(D315:I315)/(IF(VLOOKUP($A315,EnrollData2324,'2324 Jun 24 Enroll'!M$1,FALSE)='District Calculations'!$D$25,VLOOKUP($A315,EnrollData2324,'2324 Jun 24 Enroll'!M$1,FALSE),'District Calculations'!$D$25)+IF(VLOOKUP($A315,EnrollData2324,'2324 Jun 24 Enroll'!D$1,FALSE)='District Calculations'!$D$11,VLOOKUP($A315,EnrollData2324,'2324 Jun 24 Enroll'!D$1,FALSE),'District Calculations'!$D$11)),5)</f>
        <v>5.5530000000000003E-2</v>
      </c>
      <c r="K315" s="11">
        <f t="shared" si="27"/>
        <v>4.3699999999999998E-3</v>
      </c>
      <c r="L315">
        <f>ROUND(IF(VLOOKUP($A315,EnrollData2324,'2324 Jun 24 Enroll'!D$1,FALSE)='District Calculations'!$D$11,VLOOKUP($A315,EnrollData2324,'2324 Jun 24 Enroll'!D$1,FALSE),'District Calculations'!$D$11)*K315,3)</f>
        <v>0</v>
      </c>
      <c r="M315">
        <f>ROUND(IF(VLOOKUP($A315,EnrollData2324,'2324 Jun 24 Enroll'!E$1,FALSE)='District Calculations'!$D$12,VLOOKUP($A315,EnrollData2324,'2324 Jun 24 Enroll'!E$1,FALSE),'District Calculations'!$D$12)*K315,3)</f>
        <v>3.5419999999999998</v>
      </c>
      <c r="N315">
        <f>ROUND(IF(VLOOKUP($A315,EnrollData2324,'2324 Jun 24 Enroll'!F$1,FALSE)='District Calculations'!$D$13,VLOOKUP($A315,EnrollData2324,'2324 Jun 24 Enroll'!F$1,FALSE),'District Calculations'!$D$13)*Apport_223A2324s,3)</f>
        <v>0.84299999999999997</v>
      </c>
      <c r="O315">
        <f>ROUND(IF(VLOOKUP($A315,EnrollData2324,'2324 Jun 24 Enroll'!G$1,FALSE)='District Calculations'!$D$14,VLOOKUP($A315,EnrollData2324,'2324 Jun 24 Enroll'!G$1,FALSE),'District Calculations'!$D$14)*Apport_211A2324s,3)</f>
        <v>1.87</v>
      </c>
      <c r="P315">
        <f>ROUND(IF(VLOOKUP($A315,EnrollData2324,'2324 Jun 24 Enroll'!H$1,FALSE)='District Calculations'!$D$14,VLOOKUP($A315,EnrollData2324,'2324 Jun 24 Enroll'!H$1,FALSE),'District Calculations'!$D$14)*Apport_214A2324s,3)</f>
        <v>1.8680000000000001</v>
      </c>
      <c r="Q315">
        <f>ROUND(IF(VLOOKUP($A315,EnrollData2324,'2324 Jun 24 Enroll'!I$1,FALSE)+VLOOKUP($A315,EnrollData2324,'2324 Jun 24 Enroll'!M$1,FALSE)-VLOOKUP($A315,EnrollData2324,'2324 Jun 24 Enroll'!J$1,FALSE)='District Calculations'!$D$16+'District Calculations'!$D$25-'District Calculations'!$D$17,VLOOKUP($A315,EnrollData2324,'2324 Jun 24 Enroll'!I$1,FALSE)+VLOOKUP($A315,EnrollData2324,'2324 Jun 24 Enroll'!M$1,FALSE)-VLOOKUP($A315,EnrollData2324,'2324 Jun 24 Enroll'!J$1,FALSE),'District Calculations'!$D$16+'District Calculations'!$D$25-'District Calculations'!$D$17)*Apport_217A2324s,3)</f>
        <v>4.702</v>
      </c>
      <c r="R315">
        <f>ROUND(SUM(L315:Q315)/IF(VLOOKUP($A315,EnrollData2324,'2324 Jun 24 Enroll'!M$1,FALSE)+VLOOKUP($A315,EnrollData2324,'2324 Jun 24 Enroll'!D$1,FALSE)='District Calculations'!$D$25+'District Calculations'!$D$11,VLOOKUP($A315,EnrollData2324,'2324 Jun 24 Enroll'!M$1,FALSE)+VLOOKUP($A315,EnrollData2324,'2324 Jun 24 Enroll'!D$1,FALSE),'District Calculations'!$D$25+'District Calculations'!$D$11),5)</f>
        <v>4.1099999999999999E-3</v>
      </c>
      <c r="S315" s="11">
        <f t="shared" si="28"/>
        <v>1.8689600000000001E-2</v>
      </c>
      <c r="T315">
        <f>ROUND(IF(VLOOKUP($A315,EnrollData2324,'2324 Jun 24 Enroll'!D$1,FALSE)='District Calculations'!$D$11,VLOOKUP($A315,EnrollData2324,'2324 Jun 24 Enroll'!D$1,FALSE),'District Calculations'!$D$11)*S315,3)</f>
        <v>0</v>
      </c>
      <c r="U315">
        <f>ROUND(IF(VLOOKUP($A315,EnrollData2324,'2324 Jun 24 Enroll'!E$1,FALSE)='District Calculations'!$D$12,VLOOKUP($A315,EnrollData2324,'2324 Jun 24 Enroll'!E$1,FALSE),'District Calculations'!$D$12)*S315,3)</f>
        <v>15.148</v>
      </c>
      <c r="V315">
        <f>ROUND(IF(VLOOKUP($A315,EnrollData2324,'2324 Jun 24 Enroll'!F$1,FALSE)='District Calculations'!$D$13,VLOOKUP($A315,EnrollData2324,'2324 Jun 24 Enroll'!F$1,FALSE),'District Calculations'!$D$13)*Apport_224A2324s,3)</f>
        <v>3.7029999999999998</v>
      </c>
      <c r="W315">
        <f>ROUND(IF(VLOOKUP($A315,EnrollData2324,'2324 Jun 24 Enroll'!G$1,FALSE)='District Calculations'!$D$14,VLOOKUP($A315,EnrollData2324,'2324 Jun 24 Enroll'!G$1,FALSE),'District Calculations'!$D$14)*Apport_212A2324s,3)</f>
        <v>8.2089999999999996</v>
      </c>
      <c r="X315">
        <f>ROUND(IF(VLOOKUP($A315,EnrollData2324,'2324 Jun 24 Enroll'!H$1,FALSE)='District Calculations'!$D$14,VLOOKUP($A315,EnrollData2324,'2324 Jun 24 Enroll'!H$1,FALSE),'District Calculations'!$D$14)*Apport_215A2324s,3)</f>
        <v>8.0969999999999995</v>
      </c>
      <c r="Y315">
        <f>ROUND(IF(VLOOKUP($A315,EnrollData2324,'2324 Jun 24 Enroll'!I$1,FALSE)+VLOOKUP($A315,EnrollData2324,'2324 Jun 24 Enroll'!M$1,FALSE)-VLOOKUP($A315,EnrollData2324,'2324 Jun 24 Enroll'!J$1,FALSE)='District Calculations'!$D$16+'District Calculations'!$D$25-'District Calculations'!$D$17,VLOOKUP($A315,EnrollData2324,'2324 Jun 24 Enroll'!I$1,FALSE)+VLOOKUP($A315,EnrollData2324,'2324 Jun 24 Enroll'!M$1,FALSE)-VLOOKUP($A315,EnrollData2324,'2324 Jun 24 Enroll'!J$1,FALSE),'District Calculations'!$D$16+'District Calculations'!$D$25-'District Calculations'!$D$17)*Apport_218A2324s,3)</f>
        <v>20.224</v>
      </c>
      <c r="Z315">
        <f>ROUND(SUM(T315:Y315)/IF(VLOOKUP($A315,EnrollData2324,'2324 Jun 24 Enroll'!M$1,FALSE)+VLOOKUP($A315,EnrollData2324,'2324 Jun 24 Enroll'!D$1,FALSE)='District Calculations'!$D$25+'District Calculations'!$D$11,VLOOKUP($A315,EnrollData2324,'2324 Jun 24 Enroll'!M$1,FALSE)+VLOOKUP($A315,EnrollData2324,'2324 Jun 24 Enroll'!D$1,FALSE),'District Calculations'!$D$25+'District Calculations'!$D$11),5)</f>
        <v>1.7749999999999998E-2</v>
      </c>
      <c r="AA315" s="6" cm="1">
        <f t="array" ref="AA315">ROUND($J315*CIS_Base_Salary2324s*VLOOKUP($A315,EnrollData2324,'2324 Jun 24 Enroll'!S$1,FALSE),2)</f>
        <v>4038.59</v>
      </c>
      <c r="AB315" s="6" cm="1">
        <f t="array" ref="AB315">ROUND($J315*CIS_Inc_Salary2324s*(VLOOKUP($A315,EnrollData2324,'2324 Jun 24 Enroll'!T$1,FALSE)+VLOOKUP($A315,EnrollData2324,'2324 Jun 24 Enroll'!U$1,FALSE)),2)-AA315</f>
        <v>149.43000000000029</v>
      </c>
      <c r="AC315" s="6" cm="1">
        <f t="array" ref="AC315">ROUND($R315*CAS_Base_Salary2324s*VLOOKUP($A315,EnrollData2324,'2324 Jun 24 Enroll'!S$1,FALSE),2)</f>
        <v>443.7</v>
      </c>
      <c r="AD315" s="6" cm="1">
        <f t="array" ref="AD315">ROUND($R315*CAS_Inc_Salary2324s*VLOOKUP($A315,EnrollData2324,'2324 Jun 24 Enroll'!T$1,FALSE),2)-AC315</f>
        <v>16.410000000000025</v>
      </c>
      <c r="AE315" s="6" cm="1">
        <f t="array" ref="AE315">ROUND($Z315*CLS_Base_Salary2324s*VLOOKUP($A315,EnrollData2324,'2324 Jun 24 Enroll'!S$1,FALSE),2)</f>
        <v>926.07</v>
      </c>
      <c r="AF315" s="6" cm="1">
        <f t="array" ref="AF315">ROUND($Z315*CLS_Inc_Salary2324s*VLOOKUP($A315,EnrollData2324,'2324 Jun 24 Enroll'!T$1,FALSE),2)-AE315</f>
        <v>34.259999999999991</v>
      </c>
      <c r="AG315" cm="1">
        <f t="array" ref="AG315">ROUND(($J315+$R315)*Apport_124X2324s,2)</f>
        <v>734.29</v>
      </c>
      <c r="AH315" s="69">
        <f t="shared" si="29"/>
        <v>68.700000000000045</v>
      </c>
      <c r="AI315" cm="1">
        <f t="array" ref="AI315">ROUND($Z315*Apport_124X2324s,2)</f>
        <v>218.54</v>
      </c>
      <c r="AJ315" cm="1">
        <f t="array" ref="AJ315">ROUND($Z315*Apport_621X2324s*Apport_125X2324s,2)-AI315</f>
        <v>116.51000000000002</v>
      </c>
      <c r="AK315" cm="1">
        <f t="array" ref="AK315">ROUND((AA315+AC315)*Apport_126X2324s,2)</f>
        <v>805.47</v>
      </c>
      <c r="AL315" cm="1">
        <f t="array" ref="AL315">ROUND((AB315+AD315)*Apport_127X2324s,2)</f>
        <v>28.74</v>
      </c>
      <c r="AM315" cm="1">
        <f t="array" ref="AM315">ROUND(AE315*Apport_128X2324s,2)</f>
        <v>204.29</v>
      </c>
      <c r="AN315" cm="1">
        <f t="array" ref="AN315">ROUND(AF315*Apport_129X2324s,2)</f>
        <v>6.36</v>
      </c>
      <c r="AO315" cm="1">
        <f t="array" ref="AO315">ROUND(($J315*CIS_Inc_Salary2324s*(VLOOKUP($A315,EnrollData2324,'2324 Jun 24 Enroll'!T$1,FALSE)+VLOOKUP($A315,EnrollData2324,'2324 Jun 24 Enroll'!U$1,FALSE))/Apport_613Xpd)*Apport_614Xpd,2)</f>
        <v>69.8</v>
      </c>
      <c r="AP315" cm="1">
        <f t="array" ref="AP315">ROUND(AO315*Apport_127X2324s,2)</f>
        <v>12.1</v>
      </c>
      <c r="AQ315">
        <f t="shared" si="30"/>
        <v>30.93</v>
      </c>
      <c r="AR315" s="6" cm="1">
        <f t="array" ref="AR315">ROUND((VLOOKUP($A315,EnrollData2324,'2324 Jun 24 Enroll'!D$1,FALSE)*Apport_M802324s+VLOOKUP($A315,EnrollData2324,'2324 Jun 24 Enroll'!M$1,FALSE)*Apport_M802324s+(VLOOKUP($A315,EnrollData2324,'2324 Jun 24 Enroll'!P$1,FALSE)+VLOOKUP($A315,EnrollData2324,'2324 Jun 24 Enroll'!Q$1,FALSE)+VLOOKUP($A315,EnrollData2324,'2324 Jun 24 Enroll'!R$1,FALSE)+VLOOKUP($A315,EnrollData2324,'2324 Jun 24 Enroll'!I$1,FALSE)+VLOOKUP($A315,EnrollData2324,'2324 Jun 24 Enroll'!N$1,FALSE)+VLOOKUP($A315,EnrollData2324,'2324 Jun 24 Enroll'!O$1,FALSE)+VLOOKUP($A315,EnrollData2324,'2324 Jun 24 Enroll'!K$1,FALSE)+VLOOKUP($A315,EnrollData2324,'2324 Jun 24 Enroll'!L$1,FALSE))*Apport_M812324s)/(VLOOKUP($A315,EnrollData2324,'2324 Jun 24 Enroll'!M$1,FALSE)+VLOOKUP($A315,EnrollData2324,'2324 Jun 24 Enroll'!D$1,FALSE)),2)</f>
        <v>1571.09</v>
      </c>
      <c r="AS315" s="7">
        <f t="shared" si="31"/>
        <v>9475.2800000000007</v>
      </c>
    </row>
    <row r="316" spans="1:45">
      <c r="A316" s="40" t="s">
        <v>484</v>
      </c>
      <c r="B316" s="40" t="s">
        <v>485</v>
      </c>
      <c r="C316" s="11">
        <f>ROUND((IFERROR((1/IF(VLOOKUP($A316,EnrollData2324,28,FALSE)='District Calculations'!$D$10,VLOOKUP($A316,EnrollData2324,28,FALSE),'District Calculations'!$D$10))*(1+Apport_Z315),0))+Apport_201A2324s,6)</f>
        <v>7.3449E-2</v>
      </c>
      <c r="D316">
        <f>ROUND(IF(VLOOKUP($A316,EnrollData2324,'2324 Jun 24 Enroll'!D$1,FALSE)='District Calculations'!$D$11,VLOOKUP($A316,EnrollData2324,'2324 Jun 24 Enroll'!D$1,FALSE),'District Calculations'!$D$11)*C316,3)</f>
        <v>0</v>
      </c>
      <c r="E316">
        <f>ROUND(IF(VLOOKUP($A316,EnrollData2324,'2324 Jun 24 Enroll'!E$1,FALSE)='District Calculations'!$D$12,VLOOKUP($A316,EnrollData2324,'2324 Jun 24 Enroll'!E$1,FALSE),'District Calculations'!$D$12)*C316,3)</f>
        <v>59.53</v>
      </c>
      <c r="F316">
        <f>ROUND(IF(VLOOKUP($A316,EnrollData2324,'2324 Jun 24 Enroll'!F$1,FALSE)='District Calculations'!$D$13,VLOOKUP($A316,EnrollData2324,'2324 Jun 24 Enroll'!F$1,FALSE),'District Calculations'!$D$13)*Apport_222A2324s,3)</f>
        <v>10.101000000000001</v>
      </c>
      <c r="G316">
        <f>ROUND(IF(VLOOKUP($A316,EnrollData2324,'2324 Jun 24 Enroll'!G$1,FALSE)='District Calculations'!$D$14,VLOOKUP($A316,EnrollData2324,'2324 Jun 24 Enroll'!G$1,FALSE),'District Calculations'!$D$14)*Apport_210A2324s,3)</f>
        <v>22.395</v>
      </c>
      <c r="H316">
        <f>ROUND(IF(VLOOKUP($A316,EnrollData2324,'2324 Jun 24 Enroll'!H$1,FALSE)='District Calculations'!$D$15,VLOOKUP($A316,EnrollData2324,'2324 Jun 24 Enroll'!H$1,FALSE),'District Calculations'!$D$15)*Apport_213A2324s,3)</f>
        <v>23.091999999999999</v>
      </c>
      <c r="I316">
        <f>ROUND(IF(VLOOKUP($A316,EnrollData2324,'2324 Jun 24 Enroll'!I$1,FALSE)+VLOOKUP($A316,EnrollData2324,'2324 Jun 24 Enroll'!M$1,FALSE)-VLOOKUP($A316,EnrollData2324,'2324 Jun 24 Enroll'!J$1,FALSE)='District Calculations'!$D$16+'District Calculations'!$D$25-'District Calculations'!$D$17,VLOOKUP($A316,EnrollData2324,'2324 Jun 24 Enroll'!I$1,FALSE)+VLOOKUP($A316,EnrollData2324,'2324 Jun 24 Enroll'!M$1,FALSE)-VLOOKUP($A316,EnrollData2324,'2324 Jun 24 Enroll'!J$1,FALSE),'District Calculations'!$D$16+'District Calculations'!$D$25-'District Calculations'!$D$17)*Apport_216A2324s,3)</f>
        <v>58.183999999999997</v>
      </c>
      <c r="J316">
        <f>ROUND(SUM(D316:I316)/(IF(VLOOKUP($A316,EnrollData2324,'2324 Jun 24 Enroll'!M$1,FALSE)='District Calculations'!$D$25,VLOOKUP($A316,EnrollData2324,'2324 Jun 24 Enroll'!M$1,FALSE),'District Calculations'!$D$25)+IF(VLOOKUP($A316,EnrollData2324,'2324 Jun 24 Enroll'!D$1,FALSE)='District Calculations'!$D$11,VLOOKUP($A316,EnrollData2324,'2324 Jun 24 Enroll'!D$1,FALSE),'District Calculations'!$D$11)),5)</f>
        <v>5.5530000000000003E-2</v>
      </c>
      <c r="K316" s="11">
        <f t="shared" si="27"/>
        <v>4.3699999999999998E-3</v>
      </c>
      <c r="L316">
        <f>ROUND(IF(VLOOKUP($A316,EnrollData2324,'2324 Jun 24 Enroll'!D$1,FALSE)='District Calculations'!$D$11,VLOOKUP($A316,EnrollData2324,'2324 Jun 24 Enroll'!D$1,FALSE),'District Calculations'!$D$11)*K316,3)</f>
        <v>0</v>
      </c>
      <c r="M316">
        <f>ROUND(IF(VLOOKUP($A316,EnrollData2324,'2324 Jun 24 Enroll'!E$1,FALSE)='District Calculations'!$D$12,VLOOKUP($A316,EnrollData2324,'2324 Jun 24 Enroll'!E$1,FALSE),'District Calculations'!$D$12)*K316,3)</f>
        <v>3.5419999999999998</v>
      </c>
      <c r="N316">
        <f>ROUND(IF(VLOOKUP($A316,EnrollData2324,'2324 Jun 24 Enroll'!F$1,FALSE)='District Calculations'!$D$13,VLOOKUP($A316,EnrollData2324,'2324 Jun 24 Enroll'!F$1,FALSE),'District Calculations'!$D$13)*Apport_223A2324s,3)</f>
        <v>0.84299999999999997</v>
      </c>
      <c r="O316">
        <f>ROUND(IF(VLOOKUP($A316,EnrollData2324,'2324 Jun 24 Enroll'!G$1,FALSE)='District Calculations'!$D$14,VLOOKUP($A316,EnrollData2324,'2324 Jun 24 Enroll'!G$1,FALSE),'District Calculations'!$D$14)*Apport_211A2324s,3)</f>
        <v>1.87</v>
      </c>
      <c r="P316">
        <f>ROUND(IF(VLOOKUP($A316,EnrollData2324,'2324 Jun 24 Enroll'!H$1,FALSE)='District Calculations'!$D$14,VLOOKUP($A316,EnrollData2324,'2324 Jun 24 Enroll'!H$1,FALSE),'District Calculations'!$D$14)*Apport_214A2324s,3)</f>
        <v>1.8680000000000001</v>
      </c>
      <c r="Q316">
        <f>ROUND(IF(VLOOKUP($A316,EnrollData2324,'2324 Jun 24 Enroll'!I$1,FALSE)+VLOOKUP($A316,EnrollData2324,'2324 Jun 24 Enroll'!M$1,FALSE)-VLOOKUP($A316,EnrollData2324,'2324 Jun 24 Enroll'!J$1,FALSE)='District Calculations'!$D$16+'District Calculations'!$D$25-'District Calculations'!$D$17,VLOOKUP($A316,EnrollData2324,'2324 Jun 24 Enroll'!I$1,FALSE)+VLOOKUP($A316,EnrollData2324,'2324 Jun 24 Enroll'!M$1,FALSE)-VLOOKUP($A316,EnrollData2324,'2324 Jun 24 Enroll'!J$1,FALSE),'District Calculations'!$D$16+'District Calculations'!$D$25-'District Calculations'!$D$17)*Apport_217A2324s,3)</f>
        <v>4.702</v>
      </c>
      <c r="R316">
        <f>ROUND(SUM(L316:Q316)/IF(VLOOKUP($A316,EnrollData2324,'2324 Jun 24 Enroll'!M$1,FALSE)+VLOOKUP($A316,EnrollData2324,'2324 Jun 24 Enroll'!D$1,FALSE)='District Calculations'!$D$25+'District Calculations'!$D$11,VLOOKUP($A316,EnrollData2324,'2324 Jun 24 Enroll'!M$1,FALSE)+VLOOKUP($A316,EnrollData2324,'2324 Jun 24 Enroll'!D$1,FALSE),'District Calculations'!$D$25+'District Calculations'!$D$11),5)</f>
        <v>4.1099999999999999E-3</v>
      </c>
      <c r="S316" s="11">
        <f t="shared" si="28"/>
        <v>1.8689600000000001E-2</v>
      </c>
      <c r="T316">
        <f>ROUND(IF(VLOOKUP($A316,EnrollData2324,'2324 Jun 24 Enroll'!D$1,FALSE)='District Calculations'!$D$11,VLOOKUP($A316,EnrollData2324,'2324 Jun 24 Enroll'!D$1,FALSE),'District Calculations'!$D$11)*S316,3)</f>
        <v>0</v>
      </c>
      <c r="U316">
        <f>ROUND(IF(VLOOKUP($A316,EnrollData2324,'2324 Jun 24 Enroll'!E$1,FALSE)='District Calculations'!$D$12,VLOOKUP($A316,EnrollData2324,'2324 Jun 24 Enroll'!E$1,FALSE),'District Calculations'!$D$12)*S316,3)</f>
        <v>15.148</v>
      </c>
      <c r="V316">
        <f>ROUND(IF(VLOOKUP($A316,EnrollData2324,'2324 Jun 24 Enroll'!F$1,FALSE)='District Calculations'!$D$13,VLOOKUP($A316,EnrollData2324,'2324 Jun 24 Enroll'!F$1,FALSE),'District Calculations'!$D$13)*Apport_224A2324s,3)</f>
        <v>3.7029999999999998</v>
      </c>
      <c r="W316">
        <f>ROUND(IF(VLOOKUP($A316,EnrollData2324,'2324 Jun 24 Enroll'!G$1,FALSE)='District Calculations'!$D$14,VLOOKUP($A316,EnrollData2324,'2324 Jun 24 Enroll'!G$1,FALSE),'District Calculations'!$D$14)*Apport_212A2324s,3)</f>
        <v>8.2089999999999996</v>
      </c>
      <c r="X316">
        <f>ROUND(IF(VLOOKUP($A316,EnrollData2324,'2324 Jun 24 Enroll'!H$1,FALSE)='District Calculations'!$D$14,VLOOKUP($A316,EnrollData2324,'2324 Jun 24 Enroll'!H$1,FALSE),'District Calculations'!$D$14)*Apport_215A2324s,3)</f>
        <v>8.0969999999999995</v>
      </c>
      <c r="Y316">
        <f>ROUND(IF(VLOOKUP($A316,EnrollData2324,'2324 Jun 24 Enroll'!I$1,FALSE)+VLOOKUP($A316,EnrollData2324,'2324 Jun 24 Enroll'!M$1,FALSE)-VLOOKUP($A316,EnrollData2324,'2324 Jun 24 Enroll'!J$1,FALSE)='District Calculations'!$D$16+'District Calculations'!$D$25-'District Calculations'!$D$17,VLOOKUP($A316,EnrollData2324,'2324 Jun 24 Enroll'!I$1,FALSE)+VLOOKUP($A316,EnrollData2324,'2324 Jun 24 Enroll'!M$1,FALSE)-VLOOKUP($A316,EnrollData2324,'2324 Jun 24 Enroll'!J$1,FALSE),'District Calculations'!$D$16+'District Calculations'!$D$25-'District Calculations'!$D$17)*Apport_218A2324s,3)</f>
        <v>20.224</v>
      </c>
      <c r="Z316">
        <f>ROUND(SUM(T316:Y316)/IF(VLOOKUP($A316,EnrollData2324,'2324 Jun 24 Enroll'!M$1,FALSE)+VLOOKUP($A316,EnrollData2324,'2324 Jun 24 Enroll'!D$1,FALSE)='District Calculations'!$D$25+'District Calculations'!$D$11,VLOOKUP($A316,EnrollData2324,'2324 Jun 24 Enroll'!M$1,FALSE)+VLOOKUP($A316,EnrollData2324,'2324 Jun 24 Enroll'!D$1,FALSE),'District Calculations'!$D$25+'District Calculations'!$D$11),5)</f>
        <v>1.7749999999999998E-2</v>
      </c>
      <c r="AA316" s="6" cm="1">
        <f t="array" ref="AA316">ROUND($J316*CIS_Base_Salary2324s*VLOOKUP($A316,EnrollData2324,'2324 Jun 24 Enroll'!S$1,FALSE),2)</f>
        <v>4038.59</v>
      </c>
      <c r="AB316" s="6" cm="1">
        <f t="array" ref="AB316">ROUND($J316*CIS_Inc_Salary2324s*(VLOOKUP($A316,EnrollData2324,'2324 Jun 24 Enroll'!T$1,FALSE)+VLOOKUP($A316,EnrollData2324,'2324 Jun 24 Enroll'!U$1,FALSE)),2)-AA316</f>
        <v>149.43000000000029</v>
      </c>
      <c r="AC316" s="6" cm="1">
        <f t="array" ref="AC316">ROUND($R316*CAS_Base_Salary2324s*VLOOKUP($A316,EnrollData2324,'2324 Jun 24 Enroll'!S$1,FALSE),2)</f>
        <v>443.7</v>
      </c>
      <c r="AD316" s="6" cm="1">
        <f t="array" ref="AD316">ROUND($R316*CAS_Inc_Salary2324s*VLOOKUP($A316,EnrollData2324,'2324 Jun 24 Enroll'!T$1,FALSE),2)-AC316</f>
        <v>16.410000000000025</v>
      </c>
      <c r="AE316" s="6" cm="1">
        <f t="array" ref="AE316">ROUND($Z316*CLS_Base_Salary2324s*VLOOKUP($A316,EnrollData2324,'2324 Jun 24 Enroll'!S$1,FALSE),2)</f>
        <v>926.07</v>
      </c>
      <c r="AF316" s="6" cm="1">
        <f t="array" ref="AF316">ROUND($Z316*CLS_Inc_Salary2324s*VLOOKUP($A316,EnrollData2324,'2324 Jun 24 Enroll'!T$1,FALSE),2)-AE316</f>
        <v>34.259999999999991</v>
      </c>
      <c r="AG316" cm="1">
        <f t="array" ref="AG316">ROUND(($J316+$R316)*Apport_124X2324s,2)</f>
        <v>734.29</v>
      </c>
      <c r="AH316" s="69">
        <f t="shared" si="29"/>
        <v>68.700000000000045</v>
      </c>
      <c r="AI316" cm="1">
        <f t="array" ref="AI316">ROUND($Z316*Apport_124X2324s,2)</f>
        <v>218.54</v>
      </c>
      <c r="AJ316" cm="1">
        <f t="array" ref="AJ316">ROUND($Z316*Apport_621X2324s*Apport_125X2324s,2)-AI316</f>
        <v>116.51000000000002</v>
      </c>
      <c r="AK316" cm="1">
        <f t="array" ref="AK316">ROUND((AA316+AC316)*Apport_126X2324s,2)</f>
        <v>805.47</v>
      </c>
      <c r="AL316" cm="1">
        <f t="array" ref="AL316">ROUND((AB316+AD316)*Apport_127X2324s,2)</f>
        <v>28.74</v>
      </c>
      <c r="AM316" cm="1">
        <f t="array" ref="AM316">ROUND(AE316*Apport_128X2324s,2)</f>
        <v>204.29</v>
      </c>
      <c r="AN316" cm="1">
        <f t="array" ref="AN316">ROUND(AF316*Apport_129X2324s,2)</f>
        <v>6.36</v>
      </c>
      <c r="AO316" cm="1">
        <f t="array" ref="AO316">ROUND(($J316*CIS_Inc_Salary2324s*(VLOOKUP($A316,EnrollData2324,'2324 Jun 24 Enroll'!T$1,FALSE)+VLOOKUP($A316,EnrollData2324,'2324 Jun 24 Enroll'!U$1,FALSE))/Apport_613Xpd)*Apport_614Xpd,2)</f>
        <v>69.8</v>
      </c>
      <c r="AP316" cm="1">
        <f t="array" ref="AP316">ROUND(AO316*Apport_127X2324s,2)</f>
        <v>12.1</v>
      </c>
      <c r="AQ316">
        <f t="shared" si="30"/>
        <v>30.93</v>
      </c>
      <c r="AR316" s="6" cm="1">
        <f t="array" ref="AR316">ROUND((VLOOKUP($A316,EnrollData2324,'2324 Jun 24 Enroll'!D$1,FALSE)*Apport_M802324s+VLOOKUP($A316,EnrollData2324,'2324 Jun 24 Enroll'!M$1,FALSE)*Apport_M802324s+(VLOOKUP($A316,EnrollData2324,'2324 Jun 24 Enroll'!P$1,FALSE)+VLOOKUP($A316,EnrollData2324,'2324 Jun 24 Enroll'!Q$1,FALSE)+VLOOKUP($A316,EnrollData2324,'2324 Jun 24 Enroll'!R$1,FALSE)+VLOOKUP($A316,EnrollData2324,'2324 Jun 24 Enroll'!I$1,FALSE)+VLOOKUP($A316,EnrollData2324,'2324 Jun 24 Enroll'!N$1,FALSE)+VLOOKUP($A316,EnrollData2324,'2324 Jun 24 Enroll'!O$1,FALSE)+VLOOKUP($A316,EnrollData2324,'2324 Jun 24 Enroll'!K$1,FALSE)+VLOOKUP($A316,EnrollData2324,'2324 Jun 24 Enroll'!L$1,FALSE))*Apport_M812324s)/(VLOOKUP($A316,EnrollData2324,'2324 Jun 24 Enroll'!M$1,FALSE)+VLOOKUP($A316,EnrollData2324,'2324 Jun 24 Enroll'!D$1,FALSE)),2)</f>
        <v>1569.79</v>
      </c>
      <c r="AS316" s="7">
        <f t="shared" si="31"/>
        <v>9473.98</v>
      </c>
    </row>
    <row r="317" spans="1:45">
      <c r="A317" s="40" t="s">
        <v>807</v>
      </c>
      <c r="B317" s="40" t="s">
        <v>808</v>
      </c>
      <c r="C317" s="11">
        <f>ROUND((IFERROR((1/IF(VLOOKUP($A317,EnrollData2324,28,FALSE)='District Calculations'!$D$10,VLOOKUP($A317,EnrollData2324,28,FALSE),'District Calculations'!$D$10))*(1+Apport_Z315),0))+Apport_201A2324s,6)</f>
        <v>7.3449E-2</v>
      </c>
      <c r="D317">
        <f>ROUND(IF(VLOOKUP($A317,EnrollData2324,'2324 Jun 24 Enroll'!D$1,FALSE)='District Calculations'!$D$11,VLOOKUP($A317,EnrollData2324,'2324 Jun 24 Enroll'!D$1,FALSE),'District Calculations'!$D$11)*C317,3)</f>
        <v>0</v>
      </c>
      <c r="E317">
        <f>ROUND(IF(VLOOKUP($A317,EnrollData2324,'2324 Jun 24 Enroll'!E$1,FALSE)='District Calculations'!$D$12,VLOOKUP($A317,EnrollData2324,'2324 Jun 24 Enroll'!E$1,FALSE),'District Calculations'!$D$12)*C317,3)</f>
        <v>59.53</v>
      </c>
      <c r="F317">
        <f>ROUND(IF(VLOOKUP($A317,EnrollData2324,'2324 Jun 24 Enroll'!F$1,FALSE)='District Calculations'!$D$13,VLOOKUP($A317,EnrollData2324,'2324 Jun 24 Enroll'!F$1,FALSE),'District Calculations'!$D$13)*Apport_222A2324s,3)</f>
        <v>10.101000000000001</v>
      </c>
      <c r="G317">
        <f>ROUND(IF(VLOOKUP($A317,EnrollData2324,'2324 Jun 24 Enroll'!G$1,FALSE)='District Calculations'!$D$14,VLOOKUP($A317,EnrollData2324,'2324 Jun 24 Enroll'!G$1,FALSE),'District Calculations'!$D$14)*Apport_210A2324s,3)</f>
        <v>22.395</v>
      </c>
      <c r="H317">
        <f>ROUND(IF(VLOOKUP($A317,EnrollData2324,'2324 Jun 24 Enroll'!H$1,FALSE)='District Calculations'!$D$15,VLOOKUP($A317,EnrollData2324,'2324 Jun 24 Enroll'!H$1,FALSE),'District Calculations'!$D$15)*Apport_213A2324s,3)</f>
        <v>23.091999999999999</v>
      </c>
      <c r="I317">
        <f>ROUND(IF(VLOOKUP($A317,EnrollData2324,'2324 Jun 24 Enroll'!I$1,FALSE)+VLOOKUP($A317,EnrollData2324,'2324 Jun 24 Enroll'!M$1,FALSE)-VLOOKUP($A317,EnrollData2324,'2324 Jun 24 Enroll'!J$1,FALSE)='District Calculations'!$D$16+'District Calculations'!$D$25-'District Calculations'!$D$17,VLOOKUP($A317,EnrollData2324,'2324 Jun 24 Enroll'!I$1,FALSE)+VLOOKUP($A317,EnrollData2324,'2324 Jun 24 Enroll'!M$1,FALSE)-VLOOKUP($A317,EnrollData2324,'2324 Jun 24 Enroll'!J$1,FALSE),'District Calculations'!$D$16+'District Calculations'!$D$25-'District Calculations'!$D$17)*Apport_216A2324s,3)</f>
        <v>58.183999999999997</v>
      </c>
      <c r="J317">
        <f>ROUND(SUM(D317:I317)/(IF(VLOOKUP($A317,EnrollData2324,'2324 Jun 24 Enroll'!M$1,FALSE)='District Calculations'!$D$25,VLOOKUP($A317,EnrollData2324,'2324 Jun 24 Enroll'!M$1,FALSE),'District Calculations'!$D$25)+IF(VLOOKUP($A317,EnrollData2324,'2324 Jun 24 Enroll'!D$1,FALSE)='District Calculations'!$D$11,VLOOKUP($A317,EnrollData2324,'2324 Jun 24 Enroll'!D$1,FALSE),'District Calculations'!$D$11)),5)</f>
        <v>5.5530000000000003E-2</v>
      </c>
      <c r="K317" s="11">
        <f t="shared" si="27"/>
        <v>4.3699999999999998E-3</v>
      </c>
      <c r="L317">
        <f>ROUND(IF(VLOOKUP($A317,EnrollData2324,'2324 Jun 24 Enroll'!D$1,FALSE)='District Calculations'!$D$11,VLOOKUP($A317,EnrollData2324,'2324 Jun 24 Enroll'!D$1,FALSE),'District Calculations'!$D$11)*K317,3)</f>
        <v>0</v>
      </c>
      <c r="M317">
        <f>ROUND(IF(VLOOKUP($A317,EnrollData2324,'2324 Jun 24 Enroll'!E$1,FALSE)='District Calculations'!$D$12,VLOOKUP($A317,EnrollData2324,'2324 Jun 24 Enroll'!E$1,FALSE),'District Calculations'!$D$12)*K317,3)</f>
        <v>3.5419999999999998</v>
      </c>
      <c r="N317">
        <f>ROUND(IF(VLOOKUP($A317,EnrollData2324,'2324 Jun 24 Enroll'!F$1,FALSE)='District Calculations'!$D$13,VLOOKUP($A317,EnrollData2324,'2324 Jun 24 Enroll'!F$1,FALSE),'District Calculations'!$D$13)*Apport_223A2324s,3)</f>
        <v>0.84299999999999997</v>
      </c>
      <c r="O317">
        <f>ROUND(IF(VLOOKUP($A317,EnrollData2324,'2324 Jun 24 Enroll'!G$1,FALSE)='District Calculations'!$D$14,VLOOKUP($A317,EnrollData2324,'2324 Jun 24 Enroll'!G$1,FALSE),'District Calculations'!$D$14)*Apport_211A2324s,3)</f>
        <v>1.87</v>
      </c>
      <c r="P317">
        <f>ROUND(IF(VLOOKUP($A317,EnrollData2324,'2324 Jun 24 Enroll'!H$1,FALSE)='District Calculations'!$D$14,VLOOKUP($A317,EnrollData2324,'2324 Jun 24 Enroll'!H$1,FALSE),'District Calculations'!$D$14)*Apport_214A2324s,3)</f>
        <v>1.8680000000000001</v>
      </c>
      <c r="Q317">
        <f>ROUND(IF(VLOOKUP($A317,EnrollData2324,'2324 Jun 24 Enroll'!I$1,FALSE)+VLOOKUP($A317,EnrollData2324,'2324 Jun 24 Enroll'!M$1,FALSE)-VLOOKUP($A317,EnrollData2324,'2324 Jun 24 Enroll'!J$1,FALSE)='District Calculations'!$D$16+'District Calculations'!$D$25-'District Calculations'!$D$17,VLOOKUP($A317,EnrollData2324,'2324 Jun 24 Enroll'!I$1,FALSE)+VLOOKUP($A317,EnrollData2324,'2324 Jun 24 Enroll'!M$1,FALSE)-VLOOKUP($A317,EnrollData2324,'2324 Jun 24 Enroll'!J$1,FALSE),'District Calculations'!$D$16+'District Calculations'!$D$25-'District Calculations'!$D$17)*Apport_217A2324s,3)</f>
        <v>4.702</v>
      </c>
      <c r="R317">
        <f>ROUND(SUM(L317:Q317)/IF(VLOOKUP($A317,EnrollData2324,'2324 Jun 24 Enroll'!M$1,FALSE)+VLOOKUP($A317,EnrollData2324,'2324 Jun 24 Enroll'!D$1,FALSE)='District Calculations'!$D$25+'District Calculations'!$D$11,VLOOKUP($A317,EnrollData2324,'2324 Jun 24 Enroll'!M$1,FALSE)+VLOOKUP($A317,EnrollData2324,'2324 Jun 24 Enroll'!D$1,FALSE),'District Calculations'!$D$25+'District Calculations'!$D$11),5)</f>
        <v>4.1099999999999999E-3</v>
      </c>
      <c r="S317" s="11">
        <f t="shared" si="28"/>
        <v>1.8689600000000001E-2</v>
      </c>
      <c r="T317">
        <f>ROUND(IF(VLOOKUP($A317,EnrollData2324,'2324 Jun 24 Enroll'!D$1,FALSE)='District Calculations'!$D$11,VLOOKUP($A317,EnrollData2324,'2324 Jun 24 Enroll'!D$1,FALSE),'District Calculations'!$D$11)*S317,3)</f>
        <v>0</v>
      </c>
      <c r="U317">
        <f>ROUND(IF(VLOOKUP($A317,EnrollData2324,'2324 Jun 24 Enroll'!E$1,FALSE)='District Calculations'!$D$12,VLOOKUP($A317,EnrollData2324,'2324 Jun 24 Enroll'!E$1,FALSE),'District Calculations'!$D$12)*S317,3)</f>
        <v>15.148</v>
      </c>
      <c r="V317">
        <f>ROUND(IF(VLOOKUP($A317,EnrollData2324,'2324 Jun 24 Enroll'!F$1,FALSE)='District Calculations'!$D$13,VLOOKUP($A317,EnrollData2324,'2324 Jun 24 Enroll'!F$1,FALSE),'District Calculations'!$D$13)*Apport_224A2324s,3)</f>
        <v>3.7029999999999998</v>
      </c>
      <c r="W317">
        <f>ROUND(IF(VLOOKUP($A317,EnrollData2324,'2324 Jun 24 Enroll'!G$1,FALSE)='District Calculations'!$D$14,VLOOKUP($A317,EnrollData2324,'2324 Jun 24 Enroll'!G$1,FALSE),'District Calculations'!$D$14)*Apport_212A2324s,3)</f>
        <v>8.2089999999999996</v>
      </c>
      <c r="X317">
        <f>ROUND(IF(VLOOKUP($A317,EnrollData2324,'2324 Jun 24 Enroll'!H$1,FALSE)='District Calculations'!$D$14,VLOOKUP($A317,EnrollData2324,'2324 Jun 24 Enroll'!H$1,FALSE),'District Calculations'!$D$14)*Apport_215A2324s,3)</f>
        <v>8.0969999999999995</v>
      </c>
      <c r="Y317">
        <f>ROUND(IF(VLOOKUP($A317,EnrollData2324,'2324 Jun 24 Enroll'!I$1,FALSE)+VLOOKUP($A317,EnrollData2324,'2324 Jun 24 Enroll'!M$1,FALSE)-VLOOKUP($A317,EnrollData2324,'2324 Jun 24 Enroll'!J$1,FALSE)='District Calculations'!$D$16+'District Calculations'!$D$25-'District Calculations'!$D$17,VLOOKUP($A317,EnrollData2324,'2324 Jun 24 Enroll'!I$1,FALSE)+VLOOKUP($A317,EnrollData2324,'2324 Jun 24 Enroll'!M$1,FALSE)-VLOOKUP($A317,EnrollData2324,'2324 Jun 24 Enroll'!J$1,FALSE),'District Calculations'!$D$16+'District Calculations'!$D$25-'District Calculations'!$D$17)*Apport_218A2324s,3)</f>
        <v>20.224</v>
      </c>
      <c r="Z317">
        <f>ROUND(SUM(T317:Y317)/IF(VLOOKUP($A317,EnrollData2324,'2324 Jun 24 Enroll'!M$1,FALSE)+VLOOKUP($A317,EnrollData2324,'2324 Jun 24 Enroll'!D$1,FALSE)='District Calculations'!$D$25+'District Calculations'!$D$11,VLOOKUP($A317,EnrollData2324,'2324 Jun 24 Enroll'!M$1,FALSE)+VLOOKUP($A317,EnrollData2324,'2324 Jun 24 Enroll'!D$1,FALSE),'District Calculations'!$D$25+'District Calculations'!$D$11),5)</f>
        <v>1.7749999999999998E-2</v>
      </c>
      <c r="AA317" s="6" cm="1">
        <f t="array" ref="AA317">ROUND($J317*CIS_Base_Salary2324s*VLOOKUP($A317,EnrollData2324,'2324 Jun 24 Enroll'!S$1,FALSE),2)</f>
        <v>4038.59</v>
      </c>
      <c r="AB317" s="6" cm="1">
        <f t="array" ref="AB317">ROUND($J317*CIS_Inc_Salary2324s*(VLOOKUP($A317,EnrollData2324,'2324 Jun 24 Enroll'!T$1,FALSE)+VLOOKUP($A317,EnrollData2324,'2324 Jun 24 Enroll'!U$1,FALSE)),2)-AA317</f>
        <v>149.43000000000029</v>
      </c>
      <c r="AC317" s="6" cm="1">
        <f t="array" ref="AC317">ROUND($R317*CAS_Base_Salary2324s*VLOOKUP($A317,EnrollData2324,'2324 Jun 24 Enroll'!S$1,FALSE),2)</f>
        <v>443.7</v>
      </c>
      <c r="AD317" s="6" cm="1">
        <f t="array" ref="AD317">ROUND($R317*CAS_Inc_Salary2324s*VLOOKUP($A317,EnrollData2324,'2324 Jun 24 Enroll'!T$1,FALSE),2)-AC317</f>
        <v>16.410000000000025</v>
      </c>
      <c r="AE317" s="6" cm="1">
        <f t="array" ref="AE317">ROUND($Z317*CLS_Base_Salary2324s*VLOOKUP($A317,EnrollData2324,'2324 Jun 24 Enroll'!S$1,FALSE),2)</f>
        <v>926.07</v>
      </c>
      <c r="AF317" s="6" cm="1">
        <f t="array" ref="AF317">ROUND($Z317*CLS_Inc_Salary2324s*VLOOKUP($A317,EnrollData2324,'2324 Jun 24 Enroll'!T$1,FALSE),2)-AE317</f>
        <v>34.259999999999991</v>
      </c>
      <c r="AG317" cm="1">
        <f t="array" ref="AG317">ROUND(($J317+$R317)*Apport_124X2324s,2)</f>
        <v>734.29</v>
      </c>
      <c r="AH317" s="69">
        <f t="shared" si="29"/>
        <v>68.700000000000045</v>
      </c>
      <c r="AI317" cm="1">
        <f t="array" ref="AI317">ROUND($Z317*Apport_124X2324s,2)</f>
        <v>218.54</v>
      </c>
      <c r="AJ317" cm="1">
        <f t="array" ref="AJ317">ROUND($Z317*Apport_621X2324s*Apport_125X2324s,2)-AI317</f>
        <v>116.51000000000002</v>
      </c>
      <c r="AK317" cm="1">
        <f t="array" ref="AK317">ROUND((AA317+AC317)*Apport_126X2324s,2)</f>
        <v>805.47</v>
      </c>
      <c r="AL317" cm="1">
        <f t="array" ref="AL317">ROUND((AB317+AD317)*Apport_127X2324s,2)</f>
        <v>28.74</v>
      </c>
      <c r="AM317" cm="1">
        <f t="array" ref="AM317">ROUND(AE317*Apport_128X2324s,2)</f>
        <v>204.29</v>
      </c>
      <c r="AN317" cm="1">
        <f t="array" ref="AN317">ROUND(AF317*Apport_129X2324s,2)</f>
        <v>6.36</v>
      </c>
      <c r="AO317" cm="1">
        <f t="array" ref="AO317">ROUND(($J317*CIS_Inc_Salary2324s*(VLOOKUP($A317,EnrollData2324,'2324 Jun 24 Enroll'!T$1,FALSE)+VLOOKUP($A317,EnrollData2324,'2324 Jun 24 Enroll'!U$1,FALSE))/Apport_613Xpd)*Apport_614Xpd,2)</f>
        <v>69.8</v>
      </c>
      <c r="AP317" cm="1">
        <f t="array" ref="AP317">ROUND(AO317*Apport_127X2324s,2)</f>
        <v>12.1</v>
      </c>
      <c r="AQ317">
        <f t="shared" si="30"/>
        <v>30.93</v>
      </c>
      <c r="AR317" s="6" cm="1">
        <f t="array" ref="AR317">ROUND((VLOOKUP($A317,EnrollData2324,'2324 Jun 24 Enroll'!D$1,FALSE)*Apport_M802324s+VLOOKUP($A317,EnrollData2324,'2324 Jun 24 Enroll'!M$1,FALSE)*Apport_M802324s+(VLOOKUP($A317,EnrollData2324,'2324 Jun 24 Enroll'!P$1,FALSE)+VLOOKUP($A317,EnrollData2324,'2324 Jun 24 Enroll'!Q$1,FALSE)+VLOOKUP($A317,EnrollData2324,'2324 Jun 24 Enroll'!R$1,FALSE)+VLOOKUP($A317,EnrollData2324,'2324 Jun 24 Enroll'!I$1,FALSE)+VLOOKUP($A317,EnrollData2324,'2324 Jun 24 Enroll'!N$1,FALSE)+VLOOKUP($A317,EnrollData2324,'2324 Jun 24 Enroll'!O$1,FALSE)+VLOOKUP($A317,EnrollData2324,'2324 Jun 24 Enroll'!K$1,FALSE)+VLOOKUP($A317,EnrollData2324,'2324 Jun 24 Enroll'!L$1,FALSE))*Apport_M812324s)/(VLOOKUP($A317,EnrollData2324,'2324 Jun 24 Enroll'!M$1,FALSE)+VLOOKUP($A317,EnrollData2324,'2324 Jun 24 Enroll'!D$1,FALSE)),2)</f>
        <v>1573.38</v>
      </c>
      <c r="AS317" s="7">
        <f t="shared" si="31"/>
        <v>9477.57</v>
      </c>
    </row>
    <row r="318" spans="1:45">
      <c r="A318" s="40" t="s">
        <v>825</v>
      </c>
      <c r="B318" s="40" t="s">
        <v>826</v>
      </c>
      <c r="C318" s="11">
        <f>ROUND((IFERROR((1/IF(VLOOKUP($A318,EnrollData2324,28,FALSE)='District Calculations'!$D$10,VLOOKUP($A318,EnrollData2324,28,FALSE),'District Calculations'!$D$10))*(1+Apport_Z315),0))+Apport_201A2324s,6)</f>
        <v>7.3449E-2</v>
      </c>
      <c r="D318">
        <f>ROUND(IF(VLOOKUP($A318,EnrollData2324,'2324 Jun 24 Enroll'!D$1,FALSE)='District Calculations'!$D$11,VLOOKUP($A318,EnrollData2324,'2324 Jun 24 Enroll'!D$1,FALSE),'District Calculations'!$D$11)*C318,3)</f>
        <v>0</v>
      </c>
      <c r="E318">
        <f>ROUND(IF(VLOOKUP($A318,EnrollData2324,'2324 Jun 24 Enroll'!E$1,FALSE)='District Calculations'!$D$12,VLOOKUP($A318,EnrollData2324,'2324 Jun 24 Enroll'!E$1,FALSE),'District Calculations'!$D$12)*C318,3)</f>
        <v>59.53</v>
      </c>
      <c r="F318">
        <f>ROUND(IF(VLOOKUP($A318,EnrollData2324,'2324 Jun 24 Enroll'!F$1,FALSE)='District Calculations'!$D$13,VLOOKUP($A318,EnrollData2324,'2324 Jun 24 Enroll'!F$1,FALSE),'District Calculations'!$D$13)*Apport_222A2324s,3)</f>
        <v>10.101000000000001</v>
      </c>
      <c r="G318">
        <f>ROUND(IF(VLOOKUP($A318,EnrollData2324,'2324 Jun 24 Enroll'!G$1,FALSE)='District Calculations'!$D$14,VLOOKUP($A318,EnrollData2324,'2324 Jun 24 Enroll'!G$1,FALSE),'District Calculations'!$D$14)*Apport_210A2324s,3)</f>
        <v>22.395</v>
      </c>
      <c r="H318">
        <f>ROUND(IF(VLOOKUP($A318,EnrollData2324,'2324 Jun 24 Enroll'!H$1,FALSE)='District Calculations'!$D$15,VLOOKUP($A318,EnrollData2324,'2324 Jun 24 Enroll'!H$1,FALSE),'District Calculations'!$D$15)*Apport_213A2324s,3)</f>
        <v>23.091999999999999</v>
      </c>
      <c r="I318">
        <f>ROUND(IF(VLOOKUP($A318,EnrollData2324,'2324 Jun 24 Enroll'!I$1,FALSE)+VLOOKUP($A318,EnrollData2324,'2324 Jun 24 Enroll'!M$1,FALSE)-VLOOKUP($A318,EnrollData2324,'2324 Jun 24 Enroll'!J$1,FALSE)='District Calculations'!$D$16+'District Calculations'!$D$25-'District Calculations'!$D$17,VLOOKUP($A318,EnrollData2324,'2324 Jun 24 Enroll'!I$1,FALSE)+VLOOKUP($A318,EnrollData2324,'2324 Jun 24 Enroll'!M$1,FALSE)-VLOOKUP($A318,EnrollData2324,'2324 Jun 24 Enroll'!J$1,FALSE),'District Calculations'!$D$16+'District Calculations'!$D$25-'District Calculations'!$D$17)*Apport_216A2324s,3)</f>
        <v>58.183999999999997</v>
      </c>
      <c r="J318">
        <f>ROUND(SUM(D318:I318)/(IF(VLOOKUP($A318,EnrollData2324,'2324 Jun 24 Enroll'!M$1,FALSE)='District Calculations'!$D$25,VLOOKUP($A318,EnrollData2324,'2324 Jun 24 Enroll'!M$1,FALSE),'District Calculations'!$D$25)+IF(VLOOKUP($A318,EnrollData2324,'2324 Jun 24 Enroll'!D$1,FALSE)='District Calculations'!$D$11,VLOOKUP($A318,EnrollData2324,'2324 Jun 24 Enroll'!D$1,FALSE),'District Calculations'!$D$11)),5)</f>
        <v>5.5530000000000003E-2</v>
      </c>
      <c r="K318" s="11">
        <f t="shared" si="27"/>
        <v>4.3699999999999998E-3</v>
      </c>
      <c r="L318">
        <f>ROUND(IF(VLOOKUP($A318,EnrollData2324,'2324 Jun 24 Enroll'!D$1,FALSE)='District Calculations'!$D$11,VLOOKUP($A318,EnrollData2324,'2324 Jun 24 Enroll'!D$1,FALSE),'District Calculations'!$D$11)*K318,3)</f>
        <v>0</v>
      </c>
      <c r="M318">
        <f>ROUND(IF(VLOOKUP($A318,EnrollData2324,'2324 Jun 24 Enroll'!E$1,FALSE)='District Calculations'!$D$12,VLOOKUP($A318,EnrollData2324,'2324 Jun 24 Enroll'!E$1,FALSE),'District Calculations'!$D$12)*K318,3)</f>
        <v>3.5419999999999998</v>
      </c>
      <c r="N318">
        <f>ROUND(IF(VLOOKUP($A318,EnrollData2324,'2324 Jun 24 Enroll'!F$1,FALSE)='District Calculations'!$D$13,VLOOKUP($A318,EnrollData2324,'2324 Jun 24 Enroll'!F$1,FALSE),'District Calculations'!$D$13)*Apport_223A2324s,3)</f>
        <v>0.84299999999999997</v>
      </c>
      <c r="O318">
        <f>ROUND(IF(VLOOKUP($A318,EnrollData2324,'2324 Jun 24 Enroll'!G$1,FALSE)='District Calculations'!$D$14,VLOOKUP($A318,EnrollData2324,'2324 Jun 24 Enroll'!G$1,FALSE),'District Calculations'!$D$14)*Apport_211A2324s,3)</f>
        <v>1.87</v>
      </c>
      <c r="P318">
        <f>ROUND(IF(VLOOKUP($A318,EnrollData2324,'2324 Jun 24 Enroll'!H$1,FALSE)='District Calculations'!$D$14,VLOOKUP($A318,EnrollData2324,'2324 Jun 24 Enroll'!H$1,FALSE),'District Calculations'!$D$14)*Apport_214A2324s,3)</f>
        <v>1.8680000000000001</v>
      </c>
      <c r="Q318">
        <f>ROUND(IF(VLOOKUP($A318,EnrollData2324,'2324 Jun 24 Enroll'!I$1,FALSE)+VLOOKUP($A318,EnrollData2324,'2324 Jun 24 Enroll'!M$1,FALSE)-VLOOKUP($A318,EnrollData2324,'2324 Jun 24 Enroll'!J$1,FALSE)='District Calculations'!$D$16+'District Calculations'!$D$25-'District Calculations'!$D$17,VLOOKUP($A318,EnrollData2324,'2324 Jun 24 Enroll'!I$1,FALSE)+VLOOKUP($A318,EnrollData2324,'2324 Jun 24 Enroll'!M$1,FALSE)-VLOOKUP($A318,EnrollData2324,'2324 Jun 24 Enroll'!J$1,FALSE),'District Calculations'!$D$16+'District Calculations'!$D$25-'District Calculations'!$D$17)*Apport_217A2324s,3)</f>
        <v>4.702</v>
      </c>
      <c r="R318">
        <f>ROUND(SUM(L318:Q318)/IF(VLOOKUP($A318,EnrollData2324,'2324 Jun 24 Enroll'!M$1,FALSE)+VLOOKUP($A318,EnrollData2324,'2324 Jun 24 Enroll'!D$1,FALSE)='District Calculations'!$D$25+'District Calculations'!$D$11,VLOOKUP($A318,EnrollData2324,'2324 Jun 24 Enroll'!M$1,FALSE)+VLOOKUP($A318,EnrollData2324,'2324 Jun 24 Enroll'!D$1,FALSE),'District Calculations'!$D$25+'District Calculations'!$D$11),5)</f>
        <v>4.1099999999999999E-3</v>
      </c>
      <c r="S318" s="11">
        <f t="shared" si="28"/>
        <v>1.8689600000000001E-2</v>
      </c>
      <c r="T318">
        <f>ROUND(IF(VLOOKUP($A318,EnrollData2324,'2324 Jun 24 Enroll'!D$1,FALSE)='District Calculations'!$D$11,VLOOKUP($A318,EnrollData2324,'2324 Jun 24 Enroll'!D$1,FALSE),'District Calculations'!$D$11)*S318,3)</f>
        <v>0</v>
      </c>
      <c r="U318">
        <f>ROUND(IF(VLOOKUP($A318,EnrollData2324,'2324 Jun 24 Enroll'!E$1,FALSE)='District Calculations'!$D$12,VLOOKUP($A318,EnrollData2324,'2324 Jun 24 Enroll'!E$1,FALSE),'District Calculations'!$D$12)*S318,3)</f>
        <v>15.148</v>
      </c>
      <c r="V318">
        <f>ROUND(IF(VLOOKUP($A318,EnrollData2324,'2324 Jun 24 Enroll'!F$1,FALSE)='District Calculations'!$D$13,VLOOKUP($A318,EnrollData2324,'2324 Jun 24 Enroll'!F$1,FALSE),'District Calculations'!$D$13)*Apport_224A2324s,3)</f>
        <v>3.7029999999999998</v>
      </c>
      <c r="W318">
        <f>ROUND(IF(VLOOKUP($A318,EnrollData2324,'2324 Jun 24 Enroll'!G$1,FALSE)='District Calculations'!$D$14,VLOOKUP($A318,EnrollData2324,'2324 Jun 24 Enroll'!G$1,FALSE),'District Calculations'!$D$14)*Apport_212A2324s,3)</f>
        <v>8.2089999999999996</v>
      </c>
      <c r="X318">
        <f>ROUND(IF(VLOOKUP($A318,EnrollData2324,'2324 Jun 24 Enroll'!H$1,FALSE)='District Calculations'!$D$14,VLOOKUP($A318,EnrollData2324,'2324 Jun 24 Enroll'!H$1,FALSE),'District Calculations'!$D$14)*Apport_215A2324s,3)</f>
        <v>8.0969999999999995</v>
      </c>
      <c r="Y318">
        <f>ROUND(IF(VLOOKUP($A318,EnrollData2324,'2324 Jun 24 Enroll'!I$1,FALSE)+VLOOKUP($A318,EnrollData2324,'2324 Jun 24 Enroll'!M$1,FALSE)-VLOOKUP($A318,EnrollData2324,'2324 Jun 24 Enroll'!J$1,FALSE)='District Calculations'!$D$16+'District Calculations'!$D$25-'District Calculations'!$D$17,VLOOKUP($A318,EnrollData2324,'2324 Jun 24 Enroll'!I$1,FALSE)+VLOOKUP($A318,EnrollData2324,'2324 Jun 24 Enroll'!M$1,FALSE)-VLOOKUP($A318,EnrollData2324,'2324 Jun 24 Enroll'!J$1,FALSE),'District Calculations'!$D$16+'District Calculations'!$D$25-'District Calculations'!$D$17)*Apport_218A2324s,3)</f>
        <v>20.224</v>
      </c>
      <c r="Z318">
        <f>ROUND(SUM(T318:Y318)/IF(VLOOKUP($A318,EnrollData2324,'2324 Jun 24 Enroll'!M$1,FALSE)+VLOOKUP($A318,EnrollData2324,'2324 Jun 24 Enroll'!D$1,FALSE)='District Calculations'!$D$25+'District Calculations'!$D$11,VLOOKUP($A318,EnrollData2324,'2324 Jun 24 Enroll'!M$1,FALSE)+VLOOKUP($A318,EnrollData2324,'2324 Jun 24 Enroll'!D$1,FALSE),'District Calculations'!$D$25+'District Calculations'!$D$11),5)</f>
        <v>1.7749999999999998E-2</v>
      </c>
      <c r="AA318" s="6" cm="1">
        <f t="array" ref="AA318">ROUND($J318*CIS_Base_Salary2324s*VLOOKUP($A318,EnrollData2324,'2324 Jun 24 Enroll'!S$1,FALSE),2)</f>
        <v>4038.59</v>
      </c>
      <c r="AB318" s="6" cm="1">
        <f t="array" ref="AB318">ROUND($J318*CIS_Inc_Salary2324s*(VLOOKUP($A318,EnrollData2324,'2324 Jun 24 Enroll'!T$1,FALSE)+VLOOKUP($A318,EnrollData2324,'2324 Jun 24 Enroll'!U$1,FALSE)),2)-AA318</f>
        <v>149.43000000000029</v>
      </c>
      <c r="AC318" s="6" cm="1">
        <f t="array" ref="AC318">ROUND($R318*CAS_Base_Salary2324s*VLOOKUP($A318,EnrollData2324,'2324 Jun 24 Enroll'!S$1,FALSE),2)</f>
        <v>443.7</v>
      </c>
      <c r="AD318" s="6" cm="1">
        <f t="array" ref="AD318">ROUND($R318*CAS_Inc_Salary2324s*VLOOKUP($A318,EnrollData2324,'2324 Jun 24 Enroll'!T$1,FALSE),2)-AC318</f>
        <v>16.410000000000025</v>
      </c>
      <c r="AE318" s="6" cm="1">
        <f t="array" ref="AE318">ROUND($Z318*CLS_Base_Salary2324s*VLOOKUP($A318,EnrollData2324,'2324 Jun 24 Enroll'!S$1,FALSE),2)</f>
        <v>926.07</v>
      </c>
      <c r="AF318" s="6" cm="1">
        <f t="array" ref="AF318">ROUND($Z318*CLS_Inc_Salary2324s*VLOOKUP($A318,EnrollData2324,'2324 Jun 24 Enroll'!T$1,FALSE),2)-AE318</f>
        <v>34.259999999999991</v>
      </c>
      <c r="AG318" cm="1">
        <f t="array" ref="AG318">ROUND(($J318+$R318)*Apport_124X2324s,2)</f>
        <v>734.29</v>
      </c>
      <c r="AH318" s="69">
        <f t="shared" si="29"/>
        <v>68.700000000000045</v>
      </c>
      <c r="AI318" cm="1">
        <f t="array" ref="AI318">ROUND($Z318*Apport_124X2324s,2)</f>
        <v>218.54</v>
      </c>
      <c r="AJ318" cm="1">
        <f t="array" ref="AJ318">ROUND($Z318*Apport_621X2324s*Apport_125X2324s,2)-AI318</f>
        <v>116.51000000000002</v>
      </c>
      <c r="AK318" cm="1">
        <f t="array" ref="AK318">ROUND((AA318+AC318)*Apport_126X2324s,2)</f>
        <v>805.47</v>
      </c>
      <c r="AL318" cm="1">
        <f t="array" ref="AL318">ROUND((AB318+AD318)*Apport_127X2324s,2)</f>
        <v>28.74</v>
      </c>
      <c r="AM318" cm="1">
        <f t="array" ref="AM318">ROUND(AE318*Apport_128X2324s,2)</f>
        <v>204.29</v>
      </c>
      <c r="AN318" cm="1">
        <f t="array" ref="AN318">ROUND(AF318*Apport_129X2324s,2)</f>
        <v>6.36</v>
      </c>
      <c r="AO318" cm="1">
        <f t="array" ref="AO318">ROUND(($J318*CIS_Inc_Salary2324s*(VLOOKUP($A318,EnrollData2324,'2324 Jun 24 Enroll'!T$1,FALSE)+VLOOKUP($A318,EnrollData2324,'2324 Jun 24 Enroll'!U$1,FALSE))/Apport_613Xpd)*Apport_614Xpd,2)</f>
        <v>69.8</v>
      </c>
      <c r="AP318" cm="1">
        <f t="array" ref="AP318">ROUND(AO318*Apport_127X2324s,2)</f>
        <v>12.1</v>
      </c>
      <c r="AQ318">
        <f t="shared" si="30"/>
        <v>30.93</v>
      </c>
      <c r="AR318" s="6" cm="1">
        <f t="array" ref="AR318">ROUND((VLOOKUP($A318,EnrollData2324,'2324 Jun 24 Enroll'!D$1,FALSE)*Apport_M802324s+VLOOKUP($A318,EnrollData2324,'2324 Jun 24 Enroll'!M$1,FALSE)*Apport_M802324s+(VLOOKUP($A318,EnrollData2324,'2324 Jun 24 Enroll'!P$1,FALSE)+VLOOKUP($A318,EnrollData2324,'2324 Jun 24 Enroll'!Q$1,FALSE)+VLOOKUP($A318,EnrollData2324,'2324 Jun 24 Enroll'!R$1,FALSE)+VLOOKUP($A318,EnrollData2324,'2324 Jun 24 Enroll'!I$1,FALSE)+VLOOKUP($A318,EnrollData2324,'2324 Jun 24 Enroll'!N$1,FALSE)+VLOOKUP($A318,EnrollData2324,'2324 Jun 24 Enroll'!O$1,FALSE)+VLOOKUP($A318,EnrollData2324,'2324 Jun 24 Enroll'!K$1,FALSE)+VLOOKUP($A318,EnrollData2324,'2324 Jun 24 Enroll'!L$1,FALSE))*Apport_M812324s)/(VLOOKUP($A318,EnrollData2324,'2324 Jun 24 Enroll'!M$1,FALSE)+VLOOKUP($A318,EnrollData2324,'2324 Jun 24 Enroll'!D$1,FALSE)),2)</f>
        <v>1590.23</v>
      </c>
      <c r="AS318" s="7">
        <f t="shared" si="31"/>
        <v>9494.42</v>
      </c>
    </row>
    <row r="319" spans="1:45">
      <c r="A319" s="40" t="s">
        <v>500</v>
      </c>
      <c r="B319" s="40" t="s">
        <v>501</v>
      </c>
      <c r="C319" s="11">
        <f>ROUND((IFERROR((1/IF(VLOOKUP($A319,EnrollData2324,28,FALSE)='District Calculations'!$D$10,VLOOKUP($A319,EnrollData2324,28,FALSE),'District Calculations'!$D$10))*(1+Apport_Z315),0))+Apport_201A2324s,6)</f>
        <v>7.3449E-2</v>
      </c>
      <c r="D319">
        <f>ROUND(IF(VLOOKUP($A319,EnrollData2324,'2324 Jun 24 Enroll'!D$1,FALSE)='District Calculations'!$D$11,VLOOKUP($A319,EnrollData2324,'2324 Jun 24 Enroll'!D$1,FALSE),'District Calculations'!$D$11)*C319,3)</f>
        <v>0</v>
      </c>
      <c r="E319">
        <f>ROUND(IF(VLOOKUP($A319,EnrollData2324,'2324 Jun 24 Enroll'!E$1,FALSE)='District Calculations'!$D$12,VLOOKUP($A319,EnrollData2324,'2324 Jun 24 Enroll'!E$1,FALSE),'District Calculations'!$D$12)*C319,3)</f>
        <v>59.53</v>
      </c>
      <c r="F319">
        <f>ROUND(IF(VLOOKUP($A319,EnrollData2324,'2324 Jun 24 Enroll'!F$1,FALSE)='District Calculations'!$D$13,VLOOKUP($A319,EnrollData2324,'2324 Jun 24 Enroll'!F$1,FALSE),'District Calculations'!$D$13)*Apport_222A2324s,3)</f>
        <v>10.101000000000001</v>
      </c>
      <c r="G319">
        <f>ROUND(IF(VLOOKUP($A319,EnrollData2324,'2324 Jun 24 Enroll'!G$1,FALSE)='District Calculations'!$D$14,VLOOKUP($A319,EnrollData2324,'2324 Jun 24 Enroll'!G$1,FALSE),'District Calculations'!$D$14)*Apport_210A2324s,3)</f>
        <v>22.395</v>
      </c>
      <c r="H319">
        <f>ROUND(IF(VLOOKUP($A319,EnrollData2324,'2324 Jun 24 Enroll'!H$1,FALSE)='District Calculations'!$D$15,VLOOKUP($A319,EnrollData2324,'2324 Jun 24 Enroll'!H$1,FALSE),'District Calculations'!$D$15)*Apport_213A2324s,3)</f>
        <v>23.091999999999999</v>
      </c>
      <c r="I319">
        <f>ROUND(IF(VLOOKUP($A319,EnrollData2324,'2324 Jun 24 Enroll'!I$1,FALSE)+VLOOKUP($A319,EnrollData2324,'2324 Jun 24 Enroll'!M$1,FALSE)-VLOOKUP($A319,EnrollData2324,'2324 Jun 24 Enroll'!J$1,FALSE)='District Calculations'!$D$16+'District Calculations'!$D$25-'District Calculations'!$D$17,VLOOKUP($A319,EnrollData2324,'2324 Jun 24 Enroll'!I$1,FALSE)+VLOOKUP($A319,EnrollData2324,'2324 Jun 24 Enroll'!M$1,FALSE)-VLOOKUP($A319,EnrollData2324,'2324 Jun 24 Enroll'!J$1,FALSE),'District Calculations'!$D$16+'District Calculations'!$D$25-'District Calculations'!$D$17)*Apport_216A2324s,3)</f>
        <v>58.183999999999997</v>
      </c>
      <c r="J319">
        <f>ROUND(SUM(D319:I319)/(IF(VLOOKUP($A319,EnrollData2324,'2324 Jun 24 Enroll'!M$1,FALSE)='District Calculations'!$D$25,VLOOKUP($A319,EnrollData2324,'2324 Jun 24 Enroll'!M$1,FALSE),'District Calculations'!$D$25)+IF(VLOOKUP($A319,EnrollData2324,'2324 Jun 24 Enroll'!D$1,FALSE)='District Calculations'!$D$11,VLOOKUP($A319,EnrollData2324,'2324 Jun 24 Enroll'!D$1,FALSE),'District Calculations'!$D$11)),5)</f>
        <v>5.5530000000000003E-2</v>
      </c>
      <c r="K319" s="11">
        <f t="shared" si="27"/>
        <v>4.3699999999999998E-3</v>
      </c>
      <c r="L319">
        <f>ROUND(IF(VLOOKUP($A319,EnrollData2324,'2324 Jun 24 Enroll'!D$1,FALSE)='District Calculations'!$D$11,VLOOKUP($A319,EnrollData2324,'2324 Jun 24 Enroll'!D$1,FALSE),'District Calculations'!$D$11)*K319,3)</f>
        <v>0</v>
      </c>
      <c r="M319">
        <f>ROUND(IF(VLOOKUP($A319,EnrollData2324,'2324 Jun 24 Enroll'!E$1,FALSE)='District Calculations'!$D$12,VLOOKUP($A319,EnrollData2324,'2324 Jun 24 Enroll'!E$1,FALSE),'District Calculations'!$D$12)*K319,3)</f>
        <v>3.5419999999999998</v>
      </c>
      <c r="N319">
        <f>ROUND(IF(VLOOKUP($A319,EnrollData2324,'2324 Jun 24 Enroll'!F$1,FALSE)='District Calculations'!$D$13,VLOOKUP($A319,EnrollData2324,'2324 Jun 24 Enroll'!F$1,FALSE),'District Calculations'!$D$13)*Apport_223A2324s,3)</f>
        <v>0.84299999999999997</v>
      </c>
      <c r="O319">
        <f>ROUND(IF(VLOOKUP($A319,EnrollData2324,'2324 Jun 24 Enroll'!G$1,FALSE)='District Calculations'!$D$14,VLOOKUP($A319,EnrollData2324,'2324 Jun 24 Enroll'!G$1,FALSE),'District Calculations'!$D$14)*Apport_211A2324s,3)</f>
        <v>1.87</v>
      </c>
      <c r="P319">
        <f>ROUND(IF(VLOOKUP($A319,EnrollData2324,'2324 Jun 24 Enroll'!H$1,FALSE)='District Calculations'!$D$14,VLOOKUP($A319,EnrollData2324,'2324 Jun 24 Enroll'!H$1,FALSE),'District Calculations'!$D$14)*Apport_214A2324s,3)</f>
        <v>1.8680000000000001</v>
      </c>
      <c r="Q319">
        <f>ROUND(IF(VLOOKUP($A319,EnrollData2324,'2324 Jun 24 Enroll'!I$1,FALSE)+VLOOKUP($A319,EnrollData2324,'2324 Jun 24 Enroll'!M$1,FALSE)-VLOOKUP($A319,EnrollData2324,'2324 Jun 24 Enroll'!J$1,FALSE)='District Calculations'!$D$16+'District Calculations'!$D$25-'District Calculations'!$D$17,VLOOKUP($A319,EnrollData2324,'2324 Jun 24 Enroll'!I$1,FALSE)+VLOOKUP($A319,EnrollData2324,'2324 Jun 24 Enroll'!M$1,FALSE)-VLOOKUP($A319,EnrollData2324,'2324 Jun 24 Enroll'!J$1,FALSE),'District Calculations'!$D$16+'District Calculations'!$D$25-'District Calculations'!$D$17)*Apport_217A2324s,3)</f>
        <v>4.702</v>
      </c>
      <c r="R319">
        <f>ROUND(SUM(L319:Q319)/IF(VLOOKUP($A319,EnrollData2324,'2324 Jun 24 Enroll'!M$1,FALSE)+VLOOKUP($A319,EnrollData2324,'2324 Jun 24 Enroll'!D$1,FALSE)='District Calculations'!$D$25+'District Calculations'!$D$11,VLOOKUP($A319,EnrollData2324,'2324 Jun 24 Enroll'!M$1,FALSE)+VLOOKUP($A319,EnrollData2324,'2324 Jun 24 Enroll'!D$1,FALSE),'District Calculations'!$D$25+'District Calculations'!$D$11),5)</f>
        <v>4.1099999999999999E-3</v>
      </c>
      <c r="S319" s="11">
        <f t="shared" si="28"/>
        <v>1.8689600000000001E-2</v>
      </c>
      <c r="T319">
        <f>ROUND(IF(VLOOKUP($A319,EnrollData2324,'2324 Jun 24 Enroll'!D$1,FALSE)='District Calculations'!$D$11,VLOOKUP($A319,EnrollData2324,'2324 Jun 24 Enroll'!D$1,FALSE),'District Calculations'!$D$11)*S319,3)</f>
        <v>0</v>
      </c>
      <c r="U319">
        <f>ROUND(IF(VLOOKUP($A319,EnrollData2324,'2324 Jun 24 Enroll'!E$1,FALSE)='District Calculations'!$D$12,VLOOKUP($A319,EnrollData2324,'2324 Jun 24 Enroll'!E$1,FALSE),'District Calculations'!$D$12)*S319,3)</f>
        <v>15.148</v>
      </c>
      <c r="V319">
        <f>ROUND(IF(VLOOKUP($A319,EnrollData2324,'2324 Jun 24 Enroll'!F$1,FALSE)='District Calculations'!$D$13,VLOOKUP($A319,EnrollData2324,'2324 Jun 24 Enroll'!F$1,FALSE),'District Calculations'!$D$13)*Apport_224A2324s,3)</f>
        <v>3.7029999999999998</v>
      </c>
      <c r="W319">
        <f>ROUND(IF(VLOOKUP($A319,EnrollData2324,'2324 Jun 24 Enroll'!G$1,FALSE)='District Calculations'!$D$14,VLOOKUP($A319,EnrollData2324,'2324 Jun 24 Enroll'!G$1,FALSE),'District Calculations'!$D$14)*Apport_212A2324s,3)</f>
        <v>8.2089999999999996</v>
      </c>
      <c r="X319">
        <f>ROUND(IF(VLOOKUP($A319,EnrollData2324,'2324 Jun 24 Enroll'!H$1,FALSE)='District Calculations'!$D$14,VLOOKUP($A319,EnrollData2324,'2324 Jun 24 Enroll'!H$1,FALSE),'District Calculations'!$D$14)*Apport_215A2324s,3)</f>
        <v>8.0969999999999995</v>
      </c>
      <c r="Y319">
        <f>ROUND(IF(VLOOKUP($A319,EnrollData2324,'2324 Jun 24 Enroll'!I$1,FALSE)+VLOOKUP($A319,EnrollData2324,'2324 Jun 24 Enroll'!M$1,FALSE)-VLOOKUP($A319,EnrollData2324,'2324 Jun 24 Enroll'!J$1,FALSE)='District Calculations'!$D$16+'District Calculations'!$D$25-'District Calculations'!$D$17,VLOOKUP($A319,EnrollData2324,'2324 Jun 24 Enroll'!I$1,FALSE)+VLOOKUP($A319,EnrollData2324,'2324 Jun 24 Enroll'!M$1,FALSE)-VLOOKUP($A319,EnrollData2324,'2324 Jun 24 Enroll'!J$1,FALSE),'District Calculations'!$D$16+'District Calculations'!$D$25-'District Calculations'!$D$17)*Apport_218A2324s,3)</f>
        <v>20.224</v>
      </c>
      <c r="Z319">
        <f>ROUND(SUM(T319:Y319)/IF(VLOOKUP($A319,EnrollData2324,'2324 Jun 24 Enroll'!M$1,FALSE)+VLOOKUP($A319,EnrollData2324,'2324 Jun 24 Enroll'!D$1,FALSE)='District Calculations'!$D$25+'District Calculations'!$D$11,VLOOKUP($A319,EnrollData2324,'2324 Jun 24 Enroll'!M$1,FALSE)+VLOOKUP($A319,EnrollData2324,'2324 Jun 24 Enroll'!D$1,FALSE),'District Calculations'!$D$25+'District Calculations'!$D$11),5)</f>
        <v>1.7749999999999998E-2</v>
      </c>
      <c r="AA319" s="6" cm="1">
        <f t="array" ref="AA319">ROUND($J319*CIS_Base_Salary2324s*VLOOKUP($A319,EnrollData2324,'2324 Jun 24 Enroll'!S$1,FALSE),2)</f>
        <v>4038.59</v>
      </c>
      <c r="AB319" s="6" cm="1">
        <f t="array" ref="AB319">ROUND($J319*CIS_Inc_Salary2324s*(VLOOKUP($A319,EnrollData2324,'2324 Jun 24 Enroll'!T$1,FALSE)+VLOOKUP($A319,EnrollData2324,'2324 Jun 24 Enroll'!U$1,FALSE)),2)-AA319</f>
        <v>149.43000000000029</v>
      </c>
      <c r="AC319" s="6" cm="1">
        <f t="array" ref="AC319">ROUND($R319*CAS_Base_Salary2324s*VLOOKUP($A319,EnrollData2324,'2324 Jun 24 Enroll'!S$1,FALSE),2)</f>
        <v>443.7</v>
      </c>
      <c r="AD319" s="6" cm="1">
        <f t="array" ref="AD319">ROUND($R319*CAS_Inc_Salary2324s*VLOOKUP($A319,EnrollData2324,'2324 Jun 24 Enroll'!T$1,FALSE),2)-AC319</f>
        <v>16.410000000000025</v>
      </c>
      <c r="AE319" s="6" cm="1">
        <f t="array" ref="AE319">ROUND($Z319*CLS_Base_Salary2324s*VLOOKUP($A319,EnrollData2324,'2324 Jun 24 Enroll'!S$1,FALSE),2)</f>
        <v>926.07</v>
      </c>
      <c r="AF319" s="6" cm="1">
        <f t="array" ref="AF319">ROUND($Z319*CLS_Inc_Salary2324s*VLOOKUP($A319,EnrollData2324,'2324 Jun 24 Enroll'!T$1,FALSE),2)-AE319</f>
        <v>34.259999999999991</v>
      </c>
      <c r="AG319" cm="1">
        <f t="array" ref="AG319">ROUND(($J319+$R319)*Apport_124X2324s,2)</f>
        <v>734.29</v>
      </c>
      <c r="AH319" s="69">
        <f t="shared" si="29"/>
        <v>68.700000000000045</v>
      </c>
      <c r="AI319" cm="1">
        <f t="array" ref="AI319">ROUND($Z319*Apport_124X2324s,2)</f>
        <v>218.54</v>
      </c>
      <c r="AJ319" cm="1">
        <f t="array" ref="AJ319">ROUND($Z319*Apport_621X2324s*Apport_125X2324s,2)-AI319</f>
        <v>116.51000000000002</v>
      </c>
      <c r="AK319" cm="1">
        <f t="array" ref="AK319">ROUND((AA319+AC319)*Apport_126X2324s,2)</f>
        <v>805.47</v>
      </c>
      <c r="AL319" cm="1">
        <f t="array" ref="AL319">ROUND((AB319+AD319)*Apport_127X2324s,2)</f>
        <v>28.74</v>
      </c>
      <c r="AM319" cm="1">
        <f t="array" ref="AM319">ROUND(AE319*Apport_128X2324s,2)</f>
        <v>204.29</v>
      </c>
      <c r="AN319" cm="1">
        <f t="array" ref="AN319">ROUND(AF319*Apport_129X2324s,2)</f>
        <v>6.36</v>
      </c>
      <c r="AO319" cm="1">
        <f t="array" ref="AO319">ROUND(($J319*CIS_Inc_Salary2324s*(VLOOKUP($A319,EnrollData2324,'2324 Jun 24 Enroll'!T$1,FALSE)+VLOOKUP($A319,EnrollData2324,'2324 Jun 24 Enroll'!U$1,FALSE))/Apport_613Xpd)*Apport_614Xpd,2)</f>
        <v>69.8</v>
      </c>
      <c r="AP319" cm="1">
        <f t="array" ref="AP319">ROUND(AO319*Apport_127X2324s,2)</f>
        <v>12.1</v>
      </c>
      <c r="AQ319">
        <f t="shared" si="30"/>
        <v>30.93</v>
      </c>
      <c r="AR319" s="6" cm="1">
        <f t="array" ref="AR319">ROUND((VLOOKUP($A319,EnrollData2324,'2324 Jun 24 Enroll'!D$1,FALSE)*Apport_M802324s+VLOOKUP($A319,EnrollData2324,'2324 Jun 24 Enroll'!M$1,FALSE)*Apport_M802324s+(VLOOKUP($A319,EnrollData2324,'2324 Jun 24 Enroll'!P$1,FALSE)+VLOOKUP($A319,EnrollData2324,'2324 Jun 24 Enroll'!Q$1,FALSE)+VLOOKUP($A319,EnrollData2324,'2324 Jun 24 Enroll'!R$1,FALSE)+VLOOKUP($A319,EnrollData2324,'2324 Jun 24 Enroll'!I$1,FALSE)+VLOOKUP($A319,EnrollData2324,'2324 Jun 24 Enroll'!N$1,FALSE)+VLOOKUP($A319,EnrollData2324,'2324 Jun 24 Enroll'!O$1,FALSE)+VLOOKUP($A319,EnrollData2324,'2324 Jun 24 Enroll'!K$1,FALSE)+VLOOKUP($A319,EnrollData2324,'2324 Jun 24 Enroll'!L$1,FALSE))*Apport_M812324s)/(VLOOKUP($A319,EnrollData2324,'2324 Jun 24 Enroll'!M$1,FALSE)+VLOOKUP($A319,EnrollData2324,'2324 Jun 24 Enroll'!D$1,FALSE)),2)</f>
        <v>1572.33</v>
      </c>
      <c r="AS319" s="7">
        <f t="shared" si="31"/>
        <v>9476.52</v>
      </c>
    </row>
    <row r="320" spans="1:45">
      <c r="A320" s="40" t="s">
        <v>486</v>
      </c>
      <c r="B320" s="40" t="s">
        <v>487</v>
      </c>
      <c r="C320" s="11">
        <f>ROUND((IFERROR((1/IF(VLOOKUP($A320,EnrollData2324,28,FALSE)='District Calculations'!$D$10,VLOOKUP($A320,EnrollData2324,28,FALSE),'District Calculations'!$D$10))*(1+Apport_Z315),0))+Apport_201A2324s,6)</f>
        <v>7.3449E-2</v>
      </c>
      <c r="D320">
        <f>ROUND(IF(VLOOKUP($A320,EnrollData2324,'2324 Jun 24 Enroll'!D$1,FALSE)='District Calculations'!$D$11,VLOOKUP($A320,EnrollData2324,'2324 Jun 24 Enroll'!D$1,FALSE),'District Calculations'!$D$11)*C320,3)</f>
        <v>0</v>
      </c>
      <c r="E320">
        <f>ROUND(IF(VLOOKUP($A320,EnrollData2324,'2324 Jun 24 Enroll'!E$1,FALSE)='District Calculations'!$D$12,VLOOKUP($A320,EnrollData2324,'2324 Jun 24 Enroll'!E$1,FALSE),'District Calculations'!$D$12)*C320,3)</f>
        <v>59.53</v>
      </c>
      <c r="F320">
        <f>ROUND(IF(VLOOKUP($A320,EnrollData2324,'2324 Jun 24 Enroll'!F$1,FALSE)='District Calculations'!$D$13,VLOOKUP($A320,EnrollData2324,'2324 Jun 24 Enroll'!F$1,FALSE),'District Calculations'!$D$13)*Apport_222A2324s,3)</f>
        <v>10.101000000000001</v>
      </c>
      <c r="G320">
        <f>ROUND(IF(VLOOKUP($A320,EnrollData2324,'2324 Jun 24 Enroll'!G$1,FALSE)='District Calculations'!$D$14,VLOOKUP($A320,EnrollData2324,'2324 Jun 24 Enroll'!G$1,FALSE),'District Calculations'!$D$14)*Apport_210A2324s,3)</f>
        <v>22.395</v>
      </c>
      <c r="H320">
        <f>ROUND(IF(VLOOKUP($A320,EnrollData2324,'2324 Jun 24 Enroll'!H$1,FALSE)='District Calculations'!$D$15,VLOOKUP($A320,EnrollData2324,'2324 Jun 24 Enroll'!H$1,FALSE),'District Calculations'!$D$15)*Apport_213A2324s,3)</f>
        <v>23.091999999999999</v>
      </c>
      <c r="I320">
        <f>ROUND(IF(VLOOKUP($A320,EnrollData2324,'2324 Jun 24 Enroll'!I$1,FALSE)+VLOOKUP($A320,EnrollData2324,'2324 Jun 24 Enroll'!M$1,FALSE)-VLOOKUP($A320,EnrollData2324,'2324 Jun 24 Enroll'!J$1,FALSE)='District Calculations'!$D$16+'District Calculations'!$D$25-'District Calculations'!$D$17,VLOOKUP($A320,EnrollData2324,'2324 Jun 24 Enroll'!I$1,FALSE)+VLOOKUP($A320,EnrollData2324,'2324 Jun 24 Enroll'!M$1,FALSE)-VLOOKUP($A320,EnrollData2324,'2324 Jun 24 Enroll'!J$1,FALSE),'District Calculations'!$D$16+'District Calculations'!$D$25-'District Calculations'!$D$17)*Apport_216A2324s,3)</f>
        <v>58.183999999999997</v>
      </c>
      <c r="J320">
        <f>ROUND(SUM(D320:I320)/(IF(VLOOKUP($A320,EnrollData2324,'2324 Jun 24 Enroll'!M$1,FALSE)='District Calculations'!$D$25,VLOOKUP($A320,EnrollData2324,'2324 Jun 24 Enroll'!M$1,FALSE),'District Calculations'!$D$25)+IF(VLOOKUP($A320,EnrollData2324,'2324 Jun 24 Enroll'!D$1,FALSE)='District Calculations'!$D$11,VLOOKUP($A320,EnrollData2324,'2324 Jun 24 Enroll'!D$1,FALSE),'District Calculations'!$D$11)),5)</f>
        <v>5.5530000000000003E-2</v>
      </c>
      <c r="K320" s="11">
        <f t="shared" si="27"/>
        <v>4.3699999999999998E-3</v>
      </c>
      <c r="L320">
        <f>ROUND(IF(VLOOKUP($A320,EnrollData2324,'2324 Jun 24 Enroll'!D$1,FALSE)='District Calculations'!$D$11,VLOOKUP($A320,EnrollData2324,'2324 Jun 24 Enroll'!D$1,FALSE),'District Calculations'!$D$11)*K320,3)</f>
        <v>0</v>
      </c>
      <c r="M320">
        <f>ROUND(IF(VLOOKUP($A320,EnrollData2324,'2324 Jun 24 Enroll'!E$1,FALSE)='District Calculations'!$D$12,VLOOKUP($A320,EnrollData2324,'2324 Jun 24 Enroll'!E$1,FALSE),'District Calculations'!$D$12)*K320,3)</f>
        <v>3.5419999999999998</v>
      </c>
      <c r="N320">
        <f>ROUND(IF(VLOOKUP($A320,EnrollData2324,'2324 Jun 24 Enroll'!F$1,FALSE)='District Calculations'!$D$13,VLOOKUP($A320,EnrollData2324,'2324 Jun 24 Enroll'!F$1,FALSE),'District Calculations'!$D$13)*Apport_223A2324s,3)</f>
        <v>0.84299999999999997</v>
      </c>
      <c r="O320">
        <f>ROUND(IF(VLOOKUP($A320,EnrollData2324,'2324 Jun 24 Enroll'!G$1,FALSE)='District Calculations'!$D$14,VLOOKUP($A320,EnrollData2324,'2324 Jun 24 Enroll'!G$1,FALSE),'District Calculations'!$D$14)*Apport_211A2324s,3)</f>
        <v>1.87</v>
      </c>
      <c r="P320">
        <f>ROUND(IF(VLOOKUP($A320,EnrollData2324,'2324 Jun 24 Enroll'!H$1,FALSE)='District Calculations'!$D$14,VLOOKUP($A320,EnrollData2324,'2324 Jun 24 Enroll'!H$1,FALSE),'District Calculations'!$D$14)*Apport_214A2324s,3)</f>
        <v>1.8680000000000001</v>
      </c>
      <c r="Q320">
        <f>ROUND(IF(VLOOKUP($A320,EnrollData2324,'2324 Jun 24 Enroll'!I$1,FALSE)+VLOOKUP($A320,EnrollData2324,'2324 Jun 24 Enroll'!M$1,FALSE)-VLOOKUP($A320,EnrollData2324,'2324 Jun 24 Enroll'!J$1,FALSE)='District Calculations'!$D$16+'District Calculations'!$D$25-'District Calculations'!$D$17,VLOOKUP($A320,EnrollData2324,'2324 Jun 24 Enroll'!I$1,FALSE)+VLOOKUP($A320,EnrollData2324,'2324 Jun 24 Enroll'!M$1,FALSE)-VLOOKUP($A320,EnrollData2324,'2324 Jun 24 Enroll'!J$1,FALSE),'District Calculations'!$D$16+'District Calculations'!$D$25-'District Calculations'!$D$17)*Apport_217A2324s,3)</f>
        <v>4.702</v>
      </c>
      <c r="R320">
        <f>ROUND(SUM(L320:Q320)/IF(VLOOKUP($A320,EnrollData2324,'2324 Jun 24 Enroll'!M$1,FALSE)+VLOOKUP($A320,EnrollData2324,'2324 Jun 24 Enroll'!D$1,FALSE)='District Calculations'!$D$25+'District Calculations'!$D$11,VLOOKUP($A320,EnrollData2324,'2324 Jun 24 Enroll'!M$1,FALSE)+VLOOKUP($A320,EnrollData2324,'2324 Jun 24 Enroll'!D$1,FALSE),'District Calculations'!$D$25+'District Calculations'!$D$11),5)</f>
        <v>4.1099999999999999E-3</v>
      </c>
      <c r="S320" s="11">
        <f t="shared" si="28"/>
        <v>1.8689600000000001E-2</v>
      </c>
      <c r="T320">
        <f>ROUND(IF(VLOOKUP($A320,EnrollData2324,'2324 Jun 24 Enroll'!D$1,FALSE)='District Calculations'!$D$11,VLOOKUP($A320,EnrollData2324,'2324 Jun 24 Enroll'!D$1,FALSE),'District Calculations'!$D$11)*S320,3)</f>
        <v>0</v>
      </c>
      <c r="U320">
        <f>ROUND(IF(VLOOKUP($A320,EnrollData2324,'2324 Jun 24 Enroll'!E$1,FALSE)='District Calculations'!$D$12,VLOOKUP($A320,EnrollData2324,'2324 Jun 24 Enroll'!E$1,FALSE),'District Calculations'!$D$12)*S320,3)</f>
        <v>15.148</v>
      </c>
      <c r="V320">
        <f>ROUND(IF(VLOOKUP($A320,EnrollData2324,'2324 Jun 24 Enroll'!F$1,FALSE)='District Calculations'!$D$13,VLOOKUP($A320,EnrollData2324,'2324 Jun 24 Enroll'!F$1,FALSE),'District Calculations'!$D$13)*Apport_224A2324s,3)</f>
        <v>3.7029999999999998</v>
      </c>
      <c r="W320">
        <f>ROUND(IF(VLOOKUP($A320,EnrollData2324,'2324 Jun 24 Enroll'!G$1,FALSE)='District Calculations'!$D$14,VLOOKUP($A320,EnrollData2324,'2324 Jun 24 Enroll'!G$1,FALSE),'District Calculations'!$D$14)*Apport_212A2324s,3)</f>
        <v>8.2089999999999996</v>
      </c>
      <c r="X320">
        <f>ROUND(IF(VLOOKUP($A320,EnrollData2324,'2324 Jun 24 Enroll'!H$1,FALSE)='District Calculations'!$D$14,VLOOKUP($A320,EnrollData2324,'2324 Jun 24 Enroll'!H$1,FALSE),'District Calculations'!$D$14)*Apport_215A2324s,3)</f>
        <v>8.0969999999999995</v>
      </c>
      <c r="Y320">
        <f>ROUND(IF(VLOOKUP($A320,EnrollData2324,'2324 Jun 24 Enroll'!I$1,FALSE)+VLOOKUP($A320,EnrollData2324,'2324 Jun 24 Enroll'!M$1,FALSE)-VLOOKUP($A320,EnrollData2324,'2324 Jun 24 Enroll'!J$1,FALSE)='District Calculations'!$D$16+'District Calculations'!$D$25-'District Calculations'!$D$17,VLOOKUP($A320,EnrollData2324,'2324 Jun 24 Enroll'!I$1,FALSE)+VLOOKUP($A320,EnrollData2324,'2324 Jun 24 Enroll'!M$1,FALSE)-VLOOKUP($A320,EnrollData2324,'2324 Jun 24 Enroll'!J$1,FALSE),'District Calculations'!$D$16+'District Calculations'!$D$25-'District Calculations'!$D$17)*Apport_218A2324s,3)</f>
        <v>20.224</v>
      </c>
      <c r="Z320">
        <f>ROUND(SUM(T320:Y320)/IF(VLOOKUP($A320,EnrollData2324,'2324 Jun 24 Enroll'!M$1,FALSE)+VLOOKUP($A320,EnrollData2324,'2324 Jun 24 Enroll'!D$1,FALSE)='District Calculations'!$D$25+'District Calculations'!$D$11,VLOOKUP($A320,EnrollData2324,'2324 Jun 24 Enroll'!M$1,FALSE)+VLOOKUP($A320,EnrollData2324,'2324 Jun 24 Enroll'!D$1,FALSE),'District Calculations'!$D$25+'District Calculations'!$D$11),5)</f>
        <v>1.7749999999999998E-2</v>
      </c>
      <c r="AA320" s="6" cm="1">
        <f t="array" ref="AA320">ROUND($J320*CIS_Base_Salary2324s*VLOOKUP($A320,EnrollData2324,'2324 Jun 24 Enroll'!S$1,FALSE),2)</f>
        <v>4038.59</v>
      </c>
      <c r="AB320" s="6" cm="1">
        <f t="array" ref="AB320">ROUND($J320*CIS_Inc_Salary2324s*(VLOOKUP($A320,EnrollData2324,'2324 Jun 24 Enroll'!T$1,FALSE)+VLOOKUP($A320,EnrollData2324,'2324 Jun 24 Enroll'!U$1,FALSE)),2)-AA320</f>
        <v>149.43000000000029</v>
      </c>
      <c r="AC320" s="6" cm="1">
        <f t="array" ref="AC320">ROUND($R320*CAS_Base_Salary2324s*VLOOKUP($A320,EnrollData2324,'2324 Jun 24 Enroll'!S$1,FALSE),2)</f>
        <v>443.7</v>
      </c>
      <c r="AD320" s="6" cm="1">
        <f t="array" ref="AD320">ROUND($R320*CAS_Inc_Salary2324s*VLOOKUP($A320,EnrollData2324,'2324 Jun 24 Enroll'!T$1,FALSE),2)-AC320</f>
        <v>16.410000000000025</v>
      </c>
      <c r="AE320" s="6" cm="1">
        <f t="array" ref="AE320">ROUND($Z320*CLS_Base_Salary2324s*VLOOKUP($A320,EnrollData2324,'2324 Jun 24 Enroll'!S$1,FALSE),2)</f>
        <v>926.07</v>
      </c>
      <c r="AF320" s="6" cm="1">
        <f t="array" ref="AF320">ROUND($Z320*CLS_Inc_Salary2324s*VLOOKUP($A320,EnrollData2324,'2324 Jun 24 Enroll'!T$1,FALSE),2)-AE320</f>
        <v>34.259999999999991</v>
      </c>
      <c r="AG320" cm="1">
        <f t="array" ref="AG320">ROUND(($J320+$R320)*Apport_124X2324s,2)</f>
        <v>734.29</v>
      </c>
      <c r="AH320" s="69">
        <f t="shared" si="29"/>
        <v>68.700000000000045</v>
      </c>
      <c r="AI320" cm="1">
        <f t="array" ref="AI320">ROUND($Z320*Apport_124X2324s,2)</f>
        <v>218.54</v>
      </c>
      <c r="AJ320" cm="1">
        <f t="array" ref="AJ320">ROUND($Z320*Apport_621X2324s*Apport_125X2324s,2)-AI320</f>
        <v>116.51000000000002</v>
      </c>
      <c r="AK320" cm="1">
        <f t="array" ref="AK320">ROUND((AA320+AC320)*Apport_126X2324s,2)</f>
        <v>805.47</v>
      </c>
      <c r="AL320" cm="1">
        <f t="array" ref="AL320">ROUND((AB320+AD320)*Apport_127X2324s,2)</f>
        <v>28.74</v>
      </c>
      <c r="AM320" cm="1">
        <f t="array" ref="AM320">ROUND(AE320*Apport_128X2324s,2)</f>
        <v>204.29</v>
      </c>
      <c r="AN320" cm="1">
        <f t="array" ref="AN320">ROUND(AF320*Apport_129X2324s,2)</f>
        <v>6.36</v>
      </c>
      <c r="AO320" cm="1">
        <f t="array" ref="AO320">ROUND(($J320*CIS_Inc_Salary2324s*(VLOOKUP($A320,EnrollData2324,'2324 Jun 24 Enroll'!T$1,FALSE)+VLOOKUP($A320,EnrollData2324,'2324 Jun 24 Enroll'!U$1,FALSE))/Apport_613Xpd)*Apport_614Xpd,2)</f>
        <v>69.8</v>
      </c>
      <c r="AP320" cm="1">
        <f t="array" ref="AP320">ROUND(AO320*Apport_127X2324s,2)</f>
        <v>12.1</v>
      </c>
      <c r="AQ320">
        <f t="shared" si="30"/>
        <v>30.93</v>
      </c>
      <c r="AR320" s="6" cm="1">
        <f t="array" ref="AR320">ROUND((VLOOKUP($A320,EnrollData2324,'2324 Jun 24 Enroll'!D$1,FALSE)*Apport_M802324s+VLOOKUP($A320,EnrollData2324,'2324 Jun 24 Enroll'!M$1,FALSE)*Apport_M802324s+(VLOOKUP($A320,EnrollData2324,'2324 Jun 24 Enroll'!P$1,FALSE)+VLOOKUP($A320,EnrollData2324,'2324 Jun 24 Enroll'!Q$1,FALSE)+VLOOKUP($A320,EnrollData2324,'2324 Jun 24 Enroll'!R$1,FALSE)+VLOOKUP($A320,EnrollData2324,'2324 Jun 24 Enroll'!I$1,FALSE)+VLOOKUP($A320,EnrollData2324,'2324 Jun 24 Enroll'!N$1,FALSE)+VLOOKUP($A320,EnrollData2324,'2324 Jun 24 Enroll'!O$1,FALSE)+VLOOKUP($A320,EnrollData2324,'2324 Jun 24 Enroll'!K$1,FALSE)+VLOOKUP($A320,EnrollData2324,'2324 Jun 24 Enroll'!L$1,FALSE))*Apport_M812324s)/(VLOOKUP($A320,EnrollData2324,'2324 Jun 24 Enroll'!M$1,FALSE)+VLOOKUP($A320,EnrollData2324,'2324 Jun 24 Enroll'!D$1,FALSE)),2)</f>
        <v>1564</v>
      </c>
      <c r="AS320" s="7">
        <f t="shared" si="31"/>
        <v>9468.19</v>
      </c>
    </row>
    <row r="321" spans="1:45">
      <c r="A321" s="40" t="s">
        <v>895</v>
      </c>
      <c r="B321" s="40" t="s">
        <v>896</v>
      </c>
      <c r="C321" s="11">
        <f>ROUND((IFERROR((1/IF(VLOOKUP($A321,EnrollData2324,28,FALSE)='District Calculations'!$D$10,VLOOKUP($A321,EnrollData2324,28,FALSE),'District Calculations'!$D$10))*(1+Apport_Z315),0))+Apport_201A2324s,6)</f>
        <v>7.3449E-2</v>
      </c>
      <c r="D321">
        <f>ROUND(IF(VLOOKUP($A321,EnrollData2324,'2324 Jun 24 Enroll'!D$1,FALSE)='District Calculations'!$D$11,VLOOKUP($A321,EnrollData2324,'2324 Jun 24 Enroll'!D$1,FALSE),'District Calculations'!$D$11)*C321,3)</f>
        <v>0</v>
      </c>
      <c r="E321">
        <f>ROUND(IF(VLOOKUP($A321,EnrollData2324,'2324 Jun 24 Enroll'!E$1,FALSE)='District Calculations'!$D$12,VLOOKUP($A321,EnrollData2324,'2324 Jun 24 Enroll'!E$1,FALSE),'District Calculations'!$D$12)*C321,3)</f>
        <v>59.53</v>
      </c>
      <c r="F321">
        <f>ROUND(IF(VLOOKUP($A321,EnrollData2324,'2324 Jun 24 Enroll'!F$1,FALSE)='District Calculations'!$D$13,VLOOKUP($A321,EnrollData2324,'2324 Jun 24 Enroll'!F$1,FALSE),'District Calculations'!$D$13)*Apport_222A2324s,3)</f>
        <v>10.101000000000001</v>
      </c>
      <c r="G321">
        <f>ROUND(IF(VLOOKUP($A321,EnrollData2324,'2324 Jun 24 Enroll'!G$1,FALSE)='District Calculations'!$D$14,VLOOKUP($A321,EnrollData2324,'2324 Jun 24 Enroll'!G$1,FALSE),'District Calculations'!$D$14)*Apport_210A2324s,3)</f>
        <v>22.395</v>
      </c>
      <c r="H321">
        <f>ROUND(IF(VLOOKUP($A321,EnrollData2324,'2324 Jun 24 Enroll'!H$1,FALSE)='District Calculations'!$D$15,VLOOKUP($A321,EnrollData2324,'2324 Jun 24 Enroll'!H$1,FALSE),'District Calculations'!$D$15)*Apport_213A2324s,3)</f>
        <v>23.091999999999999</v>
      </c>
      <c r="I321">
        <f>ROUND(IF(VLOOKUP($A321,EnrollData2324,'2324 Jun 24 Enroll'!I$1,FALSE)+VLOOKUP($A321,EnrollData2324,'2324 Jun 24 Enroll'!M$1,FALSE)-VLOOKUP($A321,EnrollData2324,'2324 Jun 24 Enroll'!J$1,FALSE)='District Calculations'!$D$16+'District Calculations'!$D$25-'District Calculations'!$D$17,VLOOKUP($A321,EnrollData2324,'2324 Jun 24 Enroll'!I$1,FALSE)+VLOOKUP($A321,EnrollData2324,'2324 Jun 24 Enroll'!M$1,FALSE)-VLOOKUP($A321,EnrollData2324,'2324 Jun 24 Enroll'!J$1,FALSE),'District Calculations'!$D$16+'District Calculations'!$D$25-'District Calculations'!$D$17)*Apport_216A2324s,3)</f>
        <v>58.183999999999997</v>
      </c>
      <c r="J321">
        <f>ROUND(SUM(D321:I321)/(IF(VLOOKUP($A321,EnrollData2324,'2324 Jun 24 Enroll'!M$1,FALSE)='District Calculations'!$D$25,VLOOKUP($A321,EnrollData2324,'2324 Jun 24 Enroll'!M$1,FALSE),'District Calculations'!$D$25)+IF(VLOOKUP($A321,EnrollData2324,'2324 Jun 24 Enroll'!D$1,FALSE)='District Calculations'!$D$11,VLOOKUP($A321,EnrollData2324,'2324 Jun 24 Enroll'!D$1,FALSE),'District Calculations'!$D$11)),5)</f>
        <v>5.5530000000000003E-2</v>
      </c>
      <c r="K321" s="11">
        <f t="shared" si="27"/>
        <v>4.3699999999999998E-3</v>
      </c>
      <c r="L321">
        <f>ROUND(IF(VLOOKUP($A321,EnrollData2324,'2324 Jun 24 Enroll'!D$1,FALSE)='District Calculations'!$D$11,VLOOKUP($A321,EnrollData2324,'2324 Jun 24 Enroll'!D$1,FALSE),'District Calculations'!$D$11)*K321,3)</f>
        <v>0</v>
      </c>
      <c r="M321">
        <f>ROUND(IF(VLOOKUP($A321,EnrollData2324,'2324 Jun 24 Enroll'!E$1,FALSE)='District Calculations'!$D$12,VLOOKUP($A321,EnrollData2324,'2324 Jun 24 Enroll'!E$1,FALSE),'District Calculations'!$D$12)*K321,3)</f>
        <v>3.5419999999999998</v>
      </c>
      <c r="N321">
        <f>ROUND(IF(VLOOKUP($A321,EnrollData2324,'2324 Jun 24 Enroll'!F$1,FALSE)='District Calculations'!$D$13,VLOOKUP($A321,EnrollData2324,'2324 Jun 24 Enroll'!F$1,FALSE),'District Calculations'!$D$13)*Apport_223A2324s,3)</f>
        <v>0.84299999999999997</v>
      </c>
      <c r="O321">
        <f>ROUND(IF(VLOOKUP($A321,EnrollData2324,'2324 Jun 24 Enroll'!G$1,FALSE)='District Calculations'!$D$14,VLOOKUP($A321,EnrollData2324,'2324 Jun 24 Enroll'!G$1,FALSE),'District Calculations'!$D$14)*Apport_211A2324s,3)</f>
        <v>1.87</v>
      </c>
      <c r="P321">
        <f>ROUND(IF(VLOOKUP($A321,EnrollData2324,'2324 Jun 24 Enroll'!H$1,FALSE)='District Calculations'!$D$14,VLOOKUP($A321,EnrollData2324,'2324 Jun 24 Enroll'!H$1,FALSE),'District Calculations'!$D$14)*Apport_214A2324s,3)</f>
        <v>1.8680000000000001</v>
      </c>
      <c r="Q321">
        <f>ROUND(IF(VLOOKUP($A321,EnrollData2324,'2324 Jun 24 Enroll'!I$1,FALSE)+VLOOKUP($A321,EnrollData2324,'2324 Jun 24 Enroll'!M$1,FALSE)-VLOOKUP($A321,EnrollData2324,'2324 Jun 24 Enroll'!J$1,FALSE)='District Calculations'!$D$16+'District Calculations'!$D$25-'District Calculations'!$D$17,VLOOKUP($A321,EnrollData2324,'2324 Jun 24 Enroll'!I$1,FALSE)+VLOOKUP($A321,EnrollData2324,'2324 Jun 24 Enroll'!M$1,FALSE)-VLOOKUP($A321,EnrollData2324,'2324 Jun 24 Enroll'!J$1,FALSE),'District Calculations'!$D$16+'District Calculations'!$D$25-'District Calculations'!$D$17)*Apport_217A2324s,3)</f>
        <v>4.702</v>
      </c>
      <c r="R321">
        <f>ROUND(SUM(L321:Q321)/IF(VLOOKUP($A321,EnrollData2324,'2324 Jun 24 Enroll'!M$1,FALSE)+VLOOKUP($A321,EnrollData2324,'2324 Jun 24 Enroll'!D$1,FALSE)='District Calculations'!$D$25+'District Calculations'!$D$11,VLOOKUP($A321,EnrollData2324,'2324 Jun 24 Enroll'!M$1,FALSE)+VLOOKUP($A321,EnrollData2324,'2324 Jun 24 Enroll'!D$1,FALSE),'District Calculations'!$D$25+'District Calculations'!$D$11),5)</f>
        <v>4.1099999999999999E-3</v>
      </c>
      <c r="S321" s="11">
        <f t="shared" si="28"/>
        <v>1.8689600000000001E-2</v>
      </c>
      <c r="T321">
        <f>ROUND(IF(VLOOKUP($A321,EnrollData2324,'2324 Jun 24 Enroll'!D$1,FALSE)='District Calculations'!$D$11,VLOOKUP($A321,EnrollData2324,'2324 Jun 24 Enroll'!D$1,FALSE),'District Calculations'!$D$11)*S321,3)</f>
        <v>0</v>
      </c>
      <c r="U321">
        <f>ROUND(IF(VLOOKUP($A321,EnrollData2324,'2324 Jun 24 Enroll'!E$1,FALSE)='District Calculations'!$D$12,VLOOKUP($A321,EnrollData2324,'2324 Jun 24 Enroll'!E$1,FALSE),'District Calculations'!$D$12)*S321,3)</f>
        <v>15.148</v>
      </c>
      <c r="V321">
        <f>ROUND(IF(VLOOKUP($A321,EnrollData2324,'2324 Jun 24 Enroll'!F$1,FALSE)='District Calculations'!$D$13,VLOOKUP($A321,EnrollData2324,'2324 Jun 24 Enroll'!F$1,FALSE),'District Calculations'!$D$13)*Apport_224A2324s,3)</f>
        <v>3.7029999999999998</v>
      </c>
      <c r="W321">
        <f>ROUND(IF(VLOOKUP($A321,EnrollData2324,'2324 Jun 24 Enroll'!G$1,FALSE)='District Calculations'!$D$14,VLOOKUP($A321,EnrollData2324,'2324 Jun 24 Enroll'!G$1,FALSE),'District Calculations'!$D$14)*Apport_212A2324s,3)</f>
        <v>8.2089999999999996</v>
      </c>
      <c r="X321">
        <f>ROUND(IF(VLOOKUP($A321,EnrollData2324,'2324 Jun 24 Enroll'!H$1,FALSE)='District Calculations'!$D$14,VLOOKUP($A321,EnrollData2324,'2324 Jun 24 Enroll'!H$1,FALSE),'District Calculations'!$D$14)*Apport_215A2324s,3)</f>
        <v>8.0969999999999995</v>
      </c>
      <c r="Y321">
        <f>ROUND(IF(VLOOKUP($A321,EnrollData2324,'2324 Jun 24 Enroll'!I$1,FALSE)+VLOOKUP($A321,EnrollData2324,'2324 Jun 24 Enroll'!M$1,FALSE)-VLOOKUP($A321,EnrollData2324,'2324 Jun 24 Enroll'!J$1,FALSE)='District Calculations'!$D$16+'District Calculations'!$D$25-'District Calculations'!$D$17,VLOOKUP($A321,EnrollData2324,'2324 Jun 24 Enroll'!I$1,FALSE)+VLOOKUP($A321,EnrollData2324,'2324 Jun 24 Enroll'!M$1,FALSE)-VLOOKUP($A321,EnrollData2324,'2324 Jun 24 Enroll'!J$1,FALSE),'District Calculations'!$D$16+'District Calculations'!$D$25-'District Calculations'!$D$17)*Apport_218A2324s,3)</f>
        <v>20.224</v>
      </c>
      <c r="Z321">
        <f>ROUND(SUM(T321:Y321)/IF(VLOOKUP($A321,EnrollData2324,'2324 Jun 24 Enroll'!M$1,FALSE)+VLOOKUP($A321,EnrollData2324,'2324 Jun 24 Enroll'!D$1,FALSE)='District Calculations'!$D$25+'District Calculations'!$D$11,VLOOKUP($A321,EnrollData2324,'2324 Jun 24 Enroll'!M$1,FALSE)+VLOOKUP($A321,EnrollData2324,'2324 Jun 24 Enroll'!D$1,FALSE),'District Calculations'!$D$25+'District Calculations'!$D$11),5)</f>
        <v>1.7749999999999998E-2</v>
      </c>
      <c r="AA321" s="6" cm="1">
        <f t="array" ref="AA321">ROUND($J321*CIS_Base_Salary2324s*VLOOKUP($A321,EnrollData2324,'2324 Jun 24 Enroll'!S$1,FALSE),2)</f>
        <v>4038.59</v>
      </c>
      <c r="AB321" s="6" cm="1">
        <f t="array" ref="AB321">ROUND($J321*CIS_Inc_Salary2324s*(VLOOKUP($A321,EnrollData2324,'2324 Jun 24 Enroll'!T$1,FALSE)+VLOOKUP($A321,EnrollData2324,'2324 Jun 24 Enroll'!U$1,FALSE)),2)-AA321</f>
        <v>149.43000000000029</v>
      </c>
      <c r="AC321" s="6" cm="1">
        <f t="array" ref="AC321">ROUND($R321*CAS_Base_Salary2324s*VLOOKUP($A321,EnrollData2324,'2324 Jun 24 Enroll'!S$1,FALSE),2)</f>
        <v>443.7</v>
      </c>
      <c r="AD321" s="6" cm="1">
        <f t="array" ref="AD321">ROUND($R321*CAS_Inc_Salary2324s*VLOOKUP($A321,EnrollData2324,'2324 Jun 24 Enroll'!T$1,FALSE),2)-AC321</f>
        <v>16.410000000000025</v>
      </c>
      <c r="AE321" s="6" cm="1">
        <f t="array" ref="AE321">ROUND($Z321*CLS_Base_Salary2324s*VLOOKUP($A321,EnrollData2324,'2324 Jun 24 Enroll'!S$1,FALSE),2)</f>
        <v>926.07</v>
      </c>
      <c r="AF321" s="6" cm="1">
        <f t="array" ref="AF321">ROUND($Z321*CLS_Inc_Salary2324s*VLOOKUP($A321,EnrollData2324,'2324 Jun 24 Enroll'!T$1,FALSE),2)-AE321</f>
        <v>34.259999999999991</v>
      </c>
      <c r="AG321" cm="1">
        <f t="array" ref="AG321">ROUND(($J321+$R321)*Apport_124X2324s,2)</f>
        <v>734.29</v>
      </c>
      <c r="AH321" s="69">
        <f t="shared" si="29"/>
        <v>68.700000000000045</v>
      </c>
      <c r="AI321" cm="1">
        <f t="array" ref="AI321">ROUND($Z321*Apport_124X2324s,2)</f>
        <v>218.54</v>
      </c>
      <c r="AJ321" cm="1">
        <f t="array" ref="AJ321">ROUND($Z321*Apport_621X2324s*Apport_125X2324s,2)-AI321</f>
        <v>116.51000000000002</v>
      </c>
      <c r="AK321" cm="1">
        <f t="array" ref="AK321">ROUND((AA321+AC321)*Apport_126X2324s,2)</f>
        <v>805.47</v>
      </c>
      <c r="AL321" cm="1">
        <f t="array" ref="AL321">ROUND((AB321+AD321)*Apport_127X2324s,2)</f>
        <v>28.74</v>
      </c>
      <c r="AM321" cm="1">
        <f t="array" ref="AM321">ROUND(AE321*Apport_128X2324s,2)</f>
        <v>204.29</v>
      </c>
      <c r="AN321" cm="1">
        <f t="array" ref="AN321">ROUND(AF321*Apport_129X2324s,2)</f>
        <v>6.36</v>
      </c>
      <c r="AO321" cm="1">
        <f t="array" ref="AO321">ROUND(($J321*CIS_Inc_Salary2324s*(VLOOKUP($A321,EnrollData2324,'2324 Jun 24 Enroll'!T$1,FALSE)+VLOOKUP($A321,EnrollData2324,'2324 Jun 24 Enroll'!U$1,FALSE))/Apport_613Xpd)*Apport_614Xpd,2)</f>
        <v>69.8</v>
      </c>
      <c r="AP321" cm="1">
        <f t="array" ref="AP321">ROUND(AO321*Apport_127X2324s,2)</f>
        <v>12.1</v>
      </c>
      <c r="AQ321">
        <f t="shared" si="30"/>
        <v>30.93</v>
      </c>
      <c r="AR321" s="6" cm="1">
        <f t="array" ref="AR321">ROUND((VLOOKUP($A321,EnrollData2324,'2324 Jun 24 Enroll'!D$1,FALSE)*Apport_M802324s+VLOOKUP($A321,EnrollData2324,'2324 Jun 24 Enroll'!M$1,FALSE)*Apport_M802324s+(VLOOKUP($A321,EnrollData2324,'2324 Jun 24 Enroll'!P$1,FALSE)+VLOOKUP($A321,EnrollData2324,'2324 Jun 24 Enroll'!Q$1,FALSE)+VLOOKUP($A321,EnrollData2324,'2324 Jun 24 Enroll'!R$1,FALSE)+VLOOKUP($A321,EnrollData2324,'2324 Jun 24 Enroll'!I$1,FALSE)+VLOOKUP($A321,EnrollData2324,'2324 Jun 24 Enroll'!N$1,FALSE)+VLOOKUP($A321,EnrollData2324,'2324 Jun 24 Enroll'!O$1,FALSE)+VLOOKUP($A321,EnrollData2324,'2324 Jun 24 Enroll'!K$1,FALSE)+VLOOKUP($A321,EnrollData2324,'2324 Jun 24 Enroll'!L$1,FALSE))*Apport_M812324s)/(VLOOKUP($A321,EnrollData2324,'2324 Jun 24 Enroll'!M$1,FALSE)+VLOOKUP($A321,EnrollData2324,'2324 Jun 24 Enroll'!D$1,FALSE)),2)</f>
        <v>1570.4</v>
      </c>
      <c r="AS321" s="7">
        <f t="shared" si="31"/>
        <v>9474.59</v>
      </c>
    </row>
    <row r="322" spans="1:45">
      <c r="A322" s="40" t="s">
        <v>853</v>
      </c>
      <c r="B322" s="40" t="s">
        <v>854</v>
      </c>
      <c r="C322" s="11">
        <f>ROUND((IFERROR((1/IF(VLOOKUP($A322,EnrollData2324,28,FALSE)='District Calculations'!$D$10,VLOOKUP($A322,EnrollData2324,28,FALSE),'District Calculations'!$D$10))*(1+Apport_Z315),0))+Apport_201A2324s,6)</f>
        <v>7.3449E-2</v>
      </c>
      <c r="D322">
        <f>ROUND(IF(VLOOKUP($A322,EnrollData2324,'2324 Jun 24 Enroll'!D$1,FALSE)='District Calculations'!$D$11,VLOOKUP($A322,EnrollData2324,'2324 Jun 24 Enroll'!D$1,FALSE),'District Calculations'!$D$11)*C322,3)</f>
        <v>0</v>
      </c>
      <c r="E322">
        <f>ROUND(IF(VLOOKUP($A322,EnrollData2324,'2324 Jun 24 Enroll'!E$1,FALSE)='District Calculations'!$D$12,VLOOKUP($A322,EnrollData2324,'2324 Jun 24 Enroll'!E$1,FALSE),'District Calculations'!$D$12)*C322,3)</f>
        <v>59.53</v>
      </c>
      <c r="F322">
        <f>ROUND(IF(VLOOKUP($A322,EnrollData2324,'2324 Jun 24 Enroll'!F$1,FALSE)='District Calculations'!$D$13,VLOOKUP($A322,EnrollData2324,'2324 Jun 24 Enroll'!F$1,FALSE),'District Calculations'!$D$13)*Apport_222A2324s,3)</f>
        <v>10.101000000000001</v>
      </c>
      <c r="G322">
        <f>ROUND(IF(VLOOKUP($A322,EnrollData2324,'2324 Jun 24 Enroll'!G$1,FALSE)='District Calculations'!$D$14,VLOOKUP($A322,EnrollData2324,'2324 Jun 24 Enroll'!G$1,FALSE),'District Calculations'!$D$14)*Apport_210A2324s,3)</f>
        <v>22.395</v>
      </c>
      <c r="H322">
        <f>ROUND(IF(VLOOKUP($A322,EnrollData2324,'2324 Jun 24 Enroll'!H$1,FALSE)='District Calculations'!$D$15,VLOOKUP($A322,EnrollData2324,'2324 Jun 24 Enroll'!H$1,FALSE),'District Calculations'!$D$15)*Apport_213A2324s,3)</f>
        <v>23.091999999999999</v>
      </c>
      <c r="I322">
        <f>ROUND(IF(VLOOKUP($A322,EnrollData2324,'2324 Jun 24 Enroll'!I$1,FALSE)+VLOOKUP($A322,EnrollData2324,'2324 Jun 24 Enroll'!M$1,FALSE)-VLOOKUP($A322,EnrollData2324,'2324 Jun 24 Enroll'!J$1,FALSE)='District Calculations'!$D$16+'District Calculations'!$D$25-'District Calculations'!$D$17,VLOOKUP($A322,EnrollData2324,'2324 Jun 24 Enroll'!I$1,FALSE)+VLOOKUP($A322,EnrollData2324,'2324 Jun 24 Enroll'!M$1,FALSE)-VLOOKUP($A322,EnrollData2324,'2324 Jun 24 Enroll'!J$1,FALSE),'District Calculations'!$D$16+'District Calculations'!$D$25-'District Calculations'!$D$17)*Apport_216A2324s,3)</f>
        <v>58.183999999999997</v>
      </c>
      <c r="J322">
        <f>ROUND(SUM(D322:I322)/(IF(VLOOKUP($A322,EnrollData2324,'2324 Jun 24 Enroll'!M$1,FALSE)='District Calculations'!$D$25,VLOOKUP($A322,EnrollData2324,'2324 Jun 24 Enroll'!M$1,FALSE),'District Calculations'!$D$25)+IF(VLOOKUP($A322,EnrollData2324,'2324 Jun 24 Enroll'!D$1,FALSE)='District Calculations'!$D$11,VLOOKUP($A322,EnrollData2324,'2324 Jun 24 Enroll'!D$1,FALSE),'District Calculations'!$D$11)),5)</f>
        <v>5.5530000000000003E-2</v>
      </c>
      <c r="K322" s="11">
        <f t="shared" si="27"/>
        <v>4.3699999999999998E-3</v>
      </c>
      <c r="L322">
        <f>ROUND(IF(VLOOKUP($A322,EnrollData2324,'2324 Jun 24 Enroll'!D$1,FALSE)='District Calculations'!$D$11,VLOOKUP($A322,EnrollData2324,'2324 Jun 24 Enroll'!D$1,FALSE),'District Calculations'!$D$11)*K322,3)</f>
        <v>0</v>
      </c>
      <c r="M322">
        <f>ROUND(IF(VLOOKUP($A322,EnrollData2324,'2324 Jun 24 Enroll'!E$1,FALSE)='District Calculations'!$D$12,VLOOKUP($A322,EnrollData2324,'2324 Jun 24 Enroll'!E$1,FALSE),'District Calculations'!$D$12)*K322,3)</f>
        <v>3.5419999999999998</v>
      </c>
      <c r="N322">
        <f>ROUND(IF(VLOOKUP($A322,EnrollData2324,'2324 Jun 24 Enroll'!F$1,FALSE)='District Calculations'!$D$13,VLOOKUP($A322,EnrollData2324,'2324 Jun 24 Enroll'!F$1,FALSE),'District Calculations'!$D$13)*Apport_223A2324s,3)</f>
        <v>0.84299999999999997</v>
      </c>
      <c r="O322">
        <f>ROUND(IF(VLOOKUP($A322,EnrollData2324,'2324 Jun 24 Enroll'!G$1,FALSE)='District Calculations'!$D$14,VLOOKUP($A322,EnrollData2324,'2324 Jun 24 Enroll'!G$1,FALSE),'District Calculations'!$D$14)*Apport_211A2324s,3)</f>
        <v>1.87</v>
      </c>
      <c r="P322">
        <f>ROUND(IF(VLOOKUP($A322,EnrollData2324,'2324 Jun 24 Enroll'!H$1,FALSE)='District Calculations'!$D$14,VLOOKUP($A322,EnrollData2324,'2324 Jun 24 Enroll'!H$1,FALSE),'District Calculations'!$D$14)*Apport_214A2324s,3)</f>
        <v>1.8680000000000001</v>
      </c>
      <c r="Q322">
        <f>ROUND(IF(VLOOKUP($A322,EnrollData2324,'2324 Jun 24 Enroll'!I$1,FALSE)+VLOOKUP($A322,EnrollData2324,'2324 Jun 24 Enroll'!M$1,FALSE)-VLOOKUP($A322,EnrollData2324,'2324 Jun 24 Enroll'!J$1,FALSE)='District Calculations'!$D$16+'District Calculations'!$D$25-'District Calculations'!$D$17,VLOOKUP($A322,EnrollData2324,'2324 Jun 24 Enroll'!I$1,FALSE)+VLOOKUP($A322,EnrollData2324,'2324 Jun 24 Enroll'!M$1,FALSE)-VLOOKUP($A322,EnrollData2324,'2324 Jun 24 Enroll'!J$1,FALSE),'District Calculations'!$D$16+'District Calculations'!$D$25-'District Calculations'!$D$17)*Apport_217A2324s,3)</f>
        <v>4.702</v>
      </c>
      <c r="R322">
        <f>ROUND(SUM(L322:Q322)/IF(VLOOKUP($A322,EnrollData2324,'2324 Jun 24 Enroll'!M$1,FALSE)+VLOOKUP($A322,EnrollData2324,'2324 Jun 24 Enroll'!D$1,FALSE)='District Calculations'!$D$25+'District Calculations'!$D$11,VLOOKUP($A322,EnrollData2324,'2324 Jun 24 Enroll'!M$1,FALSE)+VLOOKUP($A322,EnrollData2324,'2324 Jun 24 Enroll'!D$1,FALSE),'District Calculations'!$D$25+'District Calculations'!$D$11),5)</f>
        <v>4.1099999999999999E-3</v>
      </c>
      <c r="S322" s="11">
        <f t="shared" si="28"/>
        <v>1.8689600000000001E-2</v>
      </c>
      <c r="T322">
        <f>ROUND(IF(VLOOKUP($A322,EnrollData2324,'2324 Jun 24 Enroll'!D$1,FALSE)='District Calculations'!$D$11,VLOOKUP($A322,EnrollData2324,'2324 Jun 24 Enroll'!D$1,FALSE),'District Calculations'!$D$11)*S322,3)</f>
        <v>0</v>
      </c>
      <c r="U322">
        <f>ROUND(IF(VLOOKUP($A322,EnrollData2324,'2324 Jun 24 Enroll'!E$1,FALSE)='District Calculations'!$D$12,VLOOKUP($A322,EnrollData2324,'2324 Jun 24 Enroll'!E$1,FALSE),'District Calculations'!$D$12)*S322,3)</f>
        <v>15.148</v>
      </c>
      <c r="V322">
        <f>ROUND(IF(VLOOKUP($A322,EnrollData2324,'2324 Jun 24 Enroll'!F$1,FALSE)='District Calculations'!$D$13,VLOOKUP($A322,EnrollData2324,'2324 Jun 24 Enroll'!F$1,FALSE),'District Calculations'!$D$13)*Apport_224A2324s,3)</f>
        <v>3.7029999999999998</v>
      </c>
      <c r="W322">
        <f>ROUND(IF(VLOOKUP($A322,EnrollData2324,'2324 Jun 24 Enroll'!G$1,FALSE)='District Calculations'!$D$14,VLOOKUP($A322,EnrollData2324,'2324 Jun 24 Enroll'!G$1,FALSE),'District Calculations'!$D$14)*Apport_212A2324s,3)</f>
        <v>8.2089999999999996</v>
      </c>
      <c r="X322">
        <f>ROUND(IF(VLOOKUP($A322,EnrollData2324,'2324 Jun 24 Enroll'!H$1,FALSE)='District Calculations'!$D$14,VLOOKUP($A322,EnrollData2324,'2324 Jun 24 Enroll'!H$1,FALSE),'District Calculations'!$D$14)*Apport_215A2324s,3)</f>
        <v>8.0969999999999995</v>
      </c>
      <c r="Y322">
        <f>ROUND(IF(VLOOKUP($A322,EnrollData2324,'2324 Jun 24 Enroll'!I$1,FALSE)+VLOOKUP($A322,EnrollData2324,'2324 Jun 24 Enroll'!M$1,FALSE)-VLOOKUP($A322,EnrollData2324,'2324 Jun 24 Enroll'!J$1,FALSE)='District Calculations'!$D$16+'District Calculations'!$D$25-'District Calculations'!$D$17,VLOOKUP($A322,EnrollData2324,'2324 Jun 24 Enroll'!I$1,FALSE)+VLOOKUP($A322,EnrollData2324,'2324 Jun 24 Enroll'!M$1,FALSE)-VLOOKUP($A322,EnrollData2324,'2324 Jun 24 Enroll'!J$1,FALSE),'District Calculations'!$D$16+'District Calculations'!$D$25-'District Calculations'!$D$17)*Apport_218A2324s,3)</f>
        <v>20.224</v>
      </c>
      <c r="Z322">
        <f>ROUND(SUM(T322:Y322)/IF(VLOOKUP($A322,EnrollData2324,'2324 Jun 24 Enroll'!M$1,FALSE)+VLOOKUP($A322,EnrollData2324,'2324 Jun 24 Enroll'!D$1,FALSE)='District Calculations'!$D$25+'District Calculations'!$D$11,VLOOKUP($A322,EnrollData2324,'2324 Jun 24 Enroll'!M$1,FALSE)+VLOOKUP($A322,EnrollData2324,'2324 Jun 24 Enroll'!D$1,FALSE),'District Calculations'!$D$25+'District Calculations'!$D$11),5)</f>
        <v>1.7749999999999998E-2</v>
      </c>
      <c r="AA322" s="6" cm="1">
        <f t="array" ref="AA322">ROUND($J322*CIS_Base_Salary2324s*VLOOKUP($A322,EnrollData2324,'2324 Jun 24 Enroll'!S$1,FALSE),2)</f>
        <v>4038.59</v>
      </c>
      <c r="AB322" s="6" cm="1">
        <f t="array" ref="AB322">ROUND($J322*CIS_Inc_Salary2324s*(VLOOKUP($A322,EnrollData2324,'2324 Jun 24 Enroll'!T$1,FALSE)+VLOOKUP($A322,EnrollData2324,'2324 Jun 24 Enroll'!U$1,FALSE)),2)-AA322</f>
        <v>149.43000000000029</v>
      </c>
      <c r="AC322" s="6" cm="1">
        <f t="array" ref="AC322">ROUND($R322*CAS_Base_Salary2324s*VLOOKUP($A322,EnrollData2324,'2324 Jun 24 Enroll'!S$1,FALSE),2)</f>
        <v>443.7</v>
      </c>
      <c r="AD322" s="6" cm="1">
        <f t="array" ref="AD322">ROUND($R322*CAS_Inc_Salary2324s*VLOOKUP($A322,EnrollData2324,'2324 Jun 24 Enroll'!T$1,FALSE),2)-AC322</f>
        <v>16.410000000000025</v>
      </c>
      <c r="AE322" s="6" cm="1">
        <f t="array" ref="AE322">ROUND($Z322*CLS_Base_Salary2324s*VLOOKUP($A322,EnrollData2324,'2324 Jun 24 Enroll'!S$1,FALSE),2)</f>
        <v>926.07</v>
      </c>
      <c r="AF322" s="6" cm="1">
        <f t="array" ref="AF322">ROUND($Z322*CLS_Inc_Salary2324s*VLOOKUP($A322,EnrollData2324,'2324 Jun 24 Enroll'!T$1,FALSE),2)-AE322</f>
        <v>34.259999999999991</v>
      </c>
      <c r="AG322" cm="1">
        <f t="array" ref="AG322">ROUND(($J322+$R322)*Apport_124X2324s,2)</f>
        <v>734.29</v>
      </c>
      <c r="AH322" s="69">
        <f t="shared" si="29"/>
        <v>68.700000000000045</v>
      </c>
      <c r="AI322" cm="1">
        <f t="array" ref="AI322">ROUND($Z322*Apport_124X2324s,2)</f>
        <v>218.54</v>
      </c>
      <c r="AJ322" cm="1">
        <f t="array" ref="AJ322">ROUND($Z322*Apport_621X2324s*Apport_125X2324s,2)-AI322</f>
        <v>116.51000000000002</v>
      </c>
      <c r="AK322" cm="1">
        <f t="array" ref="AK322">ROUND((AA322+AC322)*Apport_126X2324s,2)</f>
        <v>805.47</v>
      </c>
      <c r="AL322" cm="1">
        <f t="array" ref="AL322">ROUND((AB322+AD322)*Apport_127X2324s,2)</f>
        <v>28.74</v>
      </c>
      <c r="AM322" cm="1">
        <f t="array" ref="AM322">ROUND(AE322*Apport_128X2324s,2)</f>
        <v>204.29</v>
      </c>
      <c r="AN322" cm="1">
        <f t="array" ref="AN322">ROUND(AF322*Apport_129X2324s,2)</f>
        <v>6.36</v>
      </c>
      <c r="AO322" cm="1">
        <f t="array" ref="AO322">ROUND(($J322*CIS_Inc_Salary2324s*(VLOOKUP($A322,EnrollData2324,'2324 Jun 24 Enroll'!T$1,FALSE)+VLOOKUP($A322,EnrollData2324,'2324 Jun 24 Enroll'!U$1,FALSE))/Apport_613Xpd)*Apport_614Xpd,2)</f>
        <v>69.8</v>
      </c>
      <c r="AP322" cm="1">
        <f t="array" ref="AP322">ROUND(AO322*Apport_127X2324s,2)</f>
        <v>12.1</v>
      </c>
      <c r="AQ322">
        <f t="shared" si="30"/>
        <v>30.93</v>
      </c>
      <c r="AR322" s="6" cm="1">
        <f t="array" ref="AR322">ROUND((VLOOKUP($A322,EnrollData2324,'2324 Jun 24 Enroll'!D$1,FALSE)*Apport_M802324s+VLOOKUP($A322,EnrollData2324,'2324 Jun 24 Enroll'!M$1,FALSE)*Apport_M802324s+(VLOOKUP($A322,EnrollData2324,'2324 Jun 24 Enroll'!P$1,FALSE)+VLOOKUP($A322,EnrollData2324,'2324 Jun 24 Enroll'!Q$1,FALSE)+VLOOKUP($A322,EnrollData2324,'2324 Jun 24 Enroll'!R$1,FALSE)+VLOOKUP($A322,EnrollData2324,'2324 Jun 24 Enroll'!I$1,FALSE)+VLOOKUP($A322,EnrollData2324,'2324 Jun 24 Enroll'!N$1,FALSE)+VLOOKUP($A322,EnrollData2324,'2324 Jun 24 Enroll'!O$1,FALSE)+VLOOKUP($A322,EnrollData2324,'2324 Jun 24 Enroll'!K$1,FALSE)+VLOOKUP($A322,EnrollData2324,'2324 Jun 24 Enroll'!L$1,FALSE))*Apport_M812324s)/(VLOOKUP($A322,EnrollData2324,'2324 Jun 24 Enroll'!M$1,FALSE)+VLOOKUP($A322,EnrollData2324,'2324 Jun 24 Enroll'!D$1,FALSE)),2)</f>
        <v>1567.54</v>
      </c>
      <c r="AS322" s="7">
        <f t="shared" si="31"/>
        <v>9471.73</v>
      </c>
    </row>
    <row r="323" spans="1:45">
      <c r="A323" s="40" t="s">
        <v>869</v>
      </c>
      <c r="B323" s="40" t="s">
        <v>870</v>
      </c>
      <c r="C323" s="11">
        <f>ROUND((IFERROR((1/IF(VLOOKUP($A323,EnrollData2324,28,FALSE)='District Calculations'!$D$10,VLOOKUP($A323,EnrollData2324,28,FALSE),'District Calculations'!$D$10))*(1+Apport_Z315),0))+Apport_201A2324s,6)</f>
        <v>7.3449E-2</v>
      </c>
      <c r="D323">
        <f>ROUND(IF(VLOOKUP($A323,EnrollData2324,'2324 Jun 24 Enroll'!D$1,FALSE)='District Calculations'!$D$11,VLOOKUP($A323,EnrollData2324,'2324 Jun 24 Enroll'!D$1,FALSE),'District Calculations'!$D$11)*C323,3)</f>
        <v>0</v>
      </c>
      <c r="E323">
        <f>ROUND(IF(VLOOKUP($A323,EnrollData2324,'2324 Jun 24 Enroll'!E$1,FALSE)='District Calculations'!$D$12,VLOOKUP($A323,EnrollData2324,'2324 Jun 24 Enroll'!E$1,FALSE),'District Calculations'!$D$12)*C323,3)</f>
        <v>59.53</v>
      </c>
      <c r="F323">
        <f>ROUND(IF(VLOOKUP($A323,EnrollData2324,'2324 Jun 24 Enroll'!F$1,FALSE)='District Calculations'!$D$13,VLOOKUP($A323,EnrollData2324,'2324 Jun 24 Enroll'!F$1,FALSE),'District Calculations'!$D$13)*Apport_222A2324s,3)</f>
        <v>10.101000000000001</v>
      </c>
      <c r="G323">
        <f>ROUND(IF(VLOOKUP($A323,EnrollData2324,'2324 Jun 24 Enroll'!G$1,FALSE)='District Calculations'!$D$14,VLOOKUP($A323,EnrollData2324,'2324 Jun 24 Enroll'!G$1,FALSE),'District Calculations'!$D$14)*Apport_210A2324s,3)</f>
        <v>22.395</v>
      </c>
      <c r="H323">
        <f>ROUND(IF(VLOOKUP($A323,EnrollData2324,'2324 Jun 24 Enroll'!H$1,FALSE)='District Calculations'!$D$15,VLOOKUP($A323,EnrollData2324,'2324 Jun 24 Enroll'!H$1,FALSE),'District Calculations'!$D$15)*Apport_213A2324s,3)</f>
        <v>23.091999999999999</v>
      </c>
      <c r="I323">
        <f>ROUND(IF(VLOOKUP($A323,EnrollData2324,'2324 Jun 24 Enroll'!I$1,FALSE)+VLOOKUP($A323,EnrollData2324,'2324 Jun 24 Enroll'!M$1,FALSE)-VLOOKUP($A323,EnrollData2324,'2324 Jun 24 Enroll'!J$1,FALSE)='District Calculations'!$D$16+'District Calculations'!$D$25-'District Calculations'!$D$17,VLOOKUP($A323,EnrollData2324,'2324 Jun 24 Enroll'!I$1,FALSE)+VLOOKUP($A323,EnrollData2324,'2324 Jun 24 Enroll'!M$1,FALSE)-VLOOKUP($A323,EnrollData2324,'2324 Jun 24 Enroll'!J$1,FALSE),'District Calculations'!$D$16+'District Calculations'!$D$25-'District Calculations'!$D$17)*Apport_216A2324s,3)</f>
        <v>58.183999999999997</v>
      </c>
      <c r="J323">
        <f>ROUND(SUM(D323:I323)/(IF(VLOOKUP($A323,EnrollData2324,'2324 Jun 24 Enroll'!M$1,FALSE)='District Calculations'!$D$25,VLOOKUP($A323,EnrollData2324,'2324 Jun 24 Enroll'!M$1,FALSE),'District Calculations'!$D$25)+IF(VLOOKUP($A323,EnrollData2324,'2324 Jun 24 Enroll'!D$1,FALSE)='District Calculations'!$D$11,VLOOKUP($A323,EnrollData2324,'2324 Jun 24 Enroll'!D$1,FALSE),'District Calculations'!$D$11)),5)</f>
        <v>5.5530000000000003E-2</v>
      </c>
      <c r="K323" s="11">
        <f t="shared" si="27"/>
        <v>4.3699999999999998E-3</v>
      </c>
      <c r="L323">
        <f>ROUND(IF(VLOOKUP($A323,EnrollData2324,'2324 Jun 24 Enroll'!D$1,FALSE)='District Calculations'!$D$11,VLOOKUP($A323,EnrollData2324,'2324 Jun 24 Enroll'!D$1,FALSE),'District Calculations'!$D$11)*K323,3)</f>
        <v>0</v>
      </c>
      <c r="M323">
        <f>ROUND(IF(VLOOKUP($A323,EnrollData2324,'2324 Jun 24 Enroll'!E$1,FALSE)='District Calculations'!$D$12,VLOOKUP($A323,EnrollData2324,'2324 Jun 24 Enroll'!E$1,FALSE),'District Calculations'!$D$12)*K323,3)</f>
        <v>3.5419999999999998</v>
      </c>
      <c r="N323">
        <f>ROUND(IF(VLOOKUP($A323,EnrollData2324,'2324 Jun 24 Enroll'!F$1,FALSE)='District Calculations'!$D$13,VLOOKUP($A323,EnrollData2324,'2324 Jun 24 Enroll'!F$1,FALSE),'District Calculations'!$D$13)*Apport_223A2324s,3)</f>
        <v>0.84299999999999997</v>
      </c>
      <c r="O323">
        <f>ROUND(IF(VLOOKUP($A323,EnrollData2324,'2324 Jun 24 Enroll'!G$1,FALSE)='District Calculations'!$D$14,VLOOKUP($A323,EnrollData2324,'2324 Jun 24 Enroll'!G$1,FALSE),'District Calculations'!$D$14)*Apport_211A2324s,3)</f>
        <v>1.87</v>
      </c>
      <c r="P323">
        <f>ROUND(IF(VLOOKUP($A323,EnrollData2324,'2324 Jun 24 Enroll'!H$1,FALSE)='District Calculations'!$D$14,VLOOKUP($A323,EnrollData2324,'2324 Jun 24 Enroll'!H$1,FALSE),'District Calculations'!$D$14)*Apport_214A2324s,3)</f>
        <v>1.8680000000000001</v>
      </c>
      <c r="Q323">
        <f>ROUND(IF(VLOOKUP($A323,EnrollData2324,'2324 Jun 24 Enroll'!I$1,FALSE)+VLOOKUP($A323,EnrollData2324,'2324 Jun 24 Enroll'!M$1,FALSE)-VLOOKUP($A323,EnrollData2324,'2324 Jun 24 Enroll'!J$1,FALSE)='District Calculations'!$D$16+'District Calculations'!$D$25-'District Calculations'!$D$17,VLOOKUP($A323,EnrollData2324,'2324 Jun 24 Enroll'!I$1,FALSE)+VLOOKUP($A323,EnrollData2324,'2324 Jun 24 Enroll'!M$1,FALSE)-VLOOKUP($A323,EnrollData2324,'2324 Jun 24 Enroll'!J$1,FALSE),'District Calculations'!$D$16+'District Calculations'!$D$25-'District Calculations'!$D$17)*Apport_217A2324s,3)</f>
        <v>4.702</v>
      </c>
      <c r="R323">
        <f>ROUND(SUM(L323:Q323)/IF(VLOOKUP($A323,EnrollData2324,'2324 Jun 24 Enroll'!M$1,FALSE)+VLOOKUP($A323,EnrollData2324,'2324 Jun 24 Enroll'!D$1,FALSE)='District Calculations'!$D$25+'District Calculations'!$D$11,VLOOKUP($A323,EnrollData2324,'2324 Jun 24 Enroll'!M$1,FALSE)+VLOOKUP($A323,EnrollData2324,'2324 Jun 24 Enroll'!D$1,FALSE),'District Calculations'!$D$25+'District Calculations'!$D$11),5)</f>
        <v>4.1099999999999999E-3</v>
      </c>
      <c r="S323" s="11">
        <f t="shared" si="28"/>
        <v>1.8689600000000001E-2</v>
      </c>
      <c r="T323">
        <f>ROUND(IF(VLOOKUP($A323,EnrollData2324,'2324 Jun 24 Enroll'!D$1,FALSE)='District Calculations'!$D$11,VLOOKUP($A323,EnrollData2324,'2324 Jun 24 Enroll'!D$1,FALSE),'District Calculations'!$D$11)*S323,3)</f>
        <v>0</v>
      </c>
      <c r="U323">
        <f>ROUND(IF(VLOOKUP($A323,EnrollData2324,'2324 Jun 24 Enroll'!E$1,FALSE)='District Calculations'!$D$12,VLOOKUP($A323,EnrollData2324,'2324 Jun 24 Enroll'!E$1,FALSE),'District Calculations'!$D$12)*S323,3)</f>
        <v>15.148</v>
      </c>
      <c r="V323">
        <f>ROUND(IF(VLOOKUP($A323,EnrollData2324,'2324 Jun 24 Enroll'!F$1,FALSE)='District Calculations'!$D$13,VLOOKUP($A323,EnrollData2324,'2324 Jun 24 Enroll'!F$1,FALSE),'District Calculations'!$D$13)*Apport_224A2324s,3)</f>
        <v>3.7029999999999998</v>
      </c>
      <c r="W323">
        <f>ROUND(IF(VLOOKUP($A323,EnrollData2324,'2324 Jun 24 Enroll'!G$1,FALSE)='District Calculations'!$D$14,VLOOKUP($A323,EnrollData2324,'2324 Jun 24 Enroll'!G$1,FALSE),'District Calculations'!$D$14)*Apport_212A2324s,3)</f>
        <v>8.2089999999999996</v>
      </c>
      <c r="X323">
        <f>ROUND(IF(VLOOKUP($A323,EnrollData2324,'2324 Jun 24 Enroll'!H$1,FALSE)='District Calculations'!$D$14,VLOOKUP($A323,EnrollData2324,'2324 Jun 24 Enroll'!H$1,FALSE),'District Calculations'!$D$14)*Apport_215A2324s,3)</f>
        <v>8.0969999999999995</v>
      </c>
      <c r="Y323">
        <f>ROUND(IF(VLOOKUP($A323,EnrollData2324,'2324 Jun 24 Enroll'!I$1,FALSE)+VLOOKUP($A323,EnrollData2324,'2324 Jun 24 Enroll'!M$1,FALSE)-VLOOKUP($A323,EnrollData2324,'2324 Jun 24 Enroll'!J$1,FALSE)='District Calculations'!$D$16+'District Calculations'!$D$25-'District Calculations'!$D$17,VLOOKUP($A323,EnrollData2324,'2324 Jun 24 Enroll'!I$1,FALSE)+VLOOKUP($A323,EnrollData2324,'2324 Jun 24 Enroll'!M$1,FALSE)-VLOOKUP($A323,EnrollData2324,'2324 Jun 24 Enroll'!J$1,FALSE),'District Calculations'!$D$16+'District Calculations'!$D$25-'District Calculations'!$D$17)*Apport_218A2324s,3)</f>
        <v>20.224</v>
      </c>
      <c r="Z323">
        <f>ROUND(SUM(T323:Y323)/IF(VLOOKUP($A323,EnrollData2324,'2324 Jun 24 Enroll'!M$1,FALSE)+VLOOKUP($A323,EnrollData2324,'2324 Jun 24 Enroll'!D$1,FALSE)='District Calculations'!$D$25+'District Calculations'!$D$11,VLOOKUP($A323,EnrollData2324,'2324 Jun 24 Enroll'!M$1,FALSE)+VLOOKUP($A323,EnrollData2324,'2324 Jun 24 Enroll'!D$1,FALSE),'District Calculations'!$D$25+'District Calculations'!$D$11),5)</f>
        <v>1.7749999999999998E-2</v>
      </c>
      <c r="AA323" s="6" cm="1">
        <f t="array" ref="AA323">ROUND($J323*CIS_Base_Salary2324s*VLOOKUP($A323,EnrollData2324,'2324 Jun 24 Enroll'!S$1,FALSE),2)</f>
        <v>4099.16</v>
      </c>
      <c r="AB323" s="6" cm="1">
        <f t="array" ref="AB323">ROUND($J323*CIS_Inc_Salary2324s*(VLOOKUP($A323,EnrollData2324,'2324 Jun 24 Enroll'!T$1,FALSE)+VLOOKUP($A323,EnrollData2324,'2324 Jun 24 Enroll'!U$1,FALSE)),2)-AA323</f>
        <v>151.68000000000029</v>
      </c>
      <c r="AC323" s="6" cm="1">
        <f t="array" ref="AC323">ROUND($R323*CAS_Base_Salary2324s*VLOOKUP($A323,EnrollData2324,'2324 Jun 24 Enroll'!S$1,FALSE),2)</f>
        <v>450.35</v>
      </c>
      <c r="AD323" s="6" cm="1">
        <f t="array" ref="AD323">ROUND($R323*CAS_Inc_Salary2324s*VLOOKUP($A323,EnrollData2324,'2324 Jun 24 Enroll'!T$1,FALSE),2)-AC323</f>
        <v>16.669999999999959</v>
      </c>
      <c r="AE323" s="6" cm="1">
        <f t="array" ref="AE323">ROUND($Z323*CLS_Base_Salary2324s*VLOOKUP($A323,EnrollData2324,'2324 Jun 24 Enroll'!S$1,FALSE),2)</f>
        <v>939.96</v>
      </c>
      <c r="AF323" s="6" cm="1">
        <f t="array" ref="AF323">ROUND($Z323*CLS_Inc_Salary2324s*VLOOKUP($A323,EnrollData2324,'2324 Jun 24 Enroll'!T$1,FALSE),2)-AE323</f>
        <v>34.769999999999982</v>
      </c>
      <c r="AG323" cm="1">
        <f t="array" ref="AG323">ROUND(($J323+$R323)*Apport_124X2324s,2)</f>
        <v>734.29</v>
      </c>
      <c r="AH323" s="69">
        <f t="shared" si="29"/>
        <v>68.700000000000045</v>
      </c>
      <c r="AI323" cm="1">
        <f t="array" ref="AI323">ROUND($Z323*Apport_124X2324s,2)</f>
        <v>218.54</v>
      </c>
      <c r="AJ323" cm="1">
        <f t="array" ref="AJ323">ROUND($Z323*Apport_621X2324s*Apport_125X2324s,2)-AI323</f>
        <v>116.51000000000002</v>
      </c>
      <c r="AK323" cm="1">
        <f t="array" ref="AK323">ROUND((AA323+AC323)*Apport_126X2324s,2)</f>
        <v>817.55</v>
      </c>
      <c r="AL323" cm="1">
        <f t="array" ref="AL323">ROUND((AB323+AD323)*Apport_127X2324s,2)</f>
        <v>29.18</v>
      </c>
      <c r="AM323" cm="1">
        <f t="array" ref="AM323">ROUND(AE323*Apport_128X2324s,2)</f>
        <v>207.36</v>
      </c>
      <c r="AN323" cm="1">
        <f t="array" ref="AN323">ROUND(AF323*Apport_129X2324s,2)</f>
        <v>6.45</v>
      </c>
      <c r="AO323" cm="1">
        <f t="array" ref="AO323">ROUND(($J323*CIS_Inc_Salary2324s*(VLOOKUP($A323,EnrollData2324,'2324 Jun 24 Enroll'!T$1,FALSE)+VLOOKUP($A323,EnrollData2324,'2324 Jun 24 Enroll'!U$1,FALSE))/Apport_613Xpd)*Apport_614Xpd,2)</f>
        <v>70.849999999999994</v>
      </c>
      <c r="AP323" cm="1">
        <f t="array" ref="AP323">ROUND(AO323*Apport_127X2324s,2)</f>
        <v>12.28</v>
      </c>
      <c r="AQ323">
        <f t="shared" si="30"/>
        <v>30.93</v>
      </c>
      <c r="AR323" s="6" cm="1">
        <f t="array" ref="AR323">ROUND((VLOOKUP($A323,EnrollData2324,'2324 Jun 24 Enroll'!D$1,FALSE)*Apport_M802324s+VLOOKUP($A323,EnrollData2324,'2324 Jun 24 Enroll'!M$1,FALSE)*Apport_M802324s+(VLOOKUP($A323,EnrollData2324,'2324 Jun 24 Enroll'!P$1,FALSE)+VLOOKUP($A323,EnrollData2324,'2324 Jun 24 Enroll'!Q$1,FALSE)+VLOOKUP($A323,EnrollData2324,'2324 Jun 24 Enroll'!R$1,FALSE)+VLOOKUP($A323,EnrollData2324,'2324 Jun 24 Enroll'!I$1,FALSE)+VLOOKUP($A323,EnrollData2324,'2324 Jun 24 Enroll'!N$1,FALSE)+VLOOKUP($A323,EnrollData2324,'2324 Jun 24 Enroll'!O$1,FALSE)+VLOOKUP($A323,EnrollData2324,'2324 Jun 24 Enroll'!K$1,FALSE)+VLOOKUP($A323,EnrollData2324,'2324 Jun 24 Enroll'!L$1,FALSE))*Apport_M812324s)/(VLOOKUP($A323,EnrollData2324,'2324 Jun 24 Enroll'!M$1,FALSE)+VLOOKUP($A323,EnrollData2324,'2324 Jun 24 Enroll'!D$1,FALSE)),2)</f>
        <v>1570.38</v>
      </c>
      <c r="AS323" s="7">
        <f t="shared" si="31"/>
        <v>9575.61</v>
      </c>
    </row>
    <row r="324" spans="1:45">
      <c r="A324" s="40" t="s">
        <v>604</v>
      </c>
      <c r="B324" s="40" t="s">
        <v>605</v>
      </c>
      <c r="C324" s="11">
        <f>ROUND((IFERROR((1/IF(VLOOKUP($A324,EnrollData2324,28,FALSE)='District Calculations'!$D$10,VLOOKUP($A324,EnrollData2324,28,FALSE),'District Calculations'!$D$10))*(1+Apport_Z315),0))+Apport_201A2324s,6)</f>
        <v>7.3449E-2</v>
      </c>
      <c r="D324">
        <f>ROUND(IF(VLOOKUP($A324,EnrollData2324,'2324 Jun 24 Enroll'!D$1,FALSE)='District Calculations'!$D$11,VLOOKUP($A324,EnrollData2324,'2324 Jun 24 Enroll'!D$1,FALSE),'District Calculations'!$D$11)*C324,3)</f>
        <v>0</v>
      </c>
      <c r="E324">
        <f>ROUND(IF(VLOOKUP($A324,EnrollData2324,'2324 Jun 24 Enroll'!E$1,FALSE)='District Calculations'!$D$12,VLOOKUP($A324,EnrollData2324,'2324 Jun 24 Enroll'!E$1,FALSE),'District Calculations'!$D$12)*C324,3)</f>
        <v>59.53</v>
      </c>
      <c r="F324">
        <f>ROUND(IF(VLOOKUP($A324,EnrollData2324,'2324 Jun 24 Enroll'!F$1,FALSE)='District Calculations'!$D$13,VLOOKUP($A324,EnrollData2324,'2324 Jun 24 Enroll'!F$1,FALSE),'District Calculations'!$D$13)*Apport_222A2324s,3)</f>
        <v>10.101000000000001</v>
      </c>
      <c r="G324">
        <f>ROUND(IF(VLOOKUP($A324,EnrollData2324,'2324 Jun 24 Enroll'!G$1,FALSE)='District Calculations'!$D$14,VLOOKUP($A324,EnrollData2324,'2324 Jun 24 Enroll'!G$1,FALSE),'District Calculations'!$D$14)*Apport_210A2324s,3)</f>
        <v>22.395</v>
      </c>
      <c r="H324">
        <f>ROUND(IF(VLOOKUP($A324,EnrollData2324,'2324 Jun 24 Enroll'!H$1,FALSE)='District Calculations'!$D$15,VLOOKUP($A324,EnrollData2324,'2324 Jun 24 Enroll'!H$1,FALSE),'District Calculations'!$D$15)*Apport_213A2324s,3)</f>
        <v>23.091999999999999</v>
      </c>
      <c r="I324">
        <f>ROUND(IF(VLOOKUP($A324,EnrollData2324,'2324 Jun 24 Enroll'!I$1,FALSE)+VLOOKUP($A324,EnrollData2324,'2324 Jun 24 Enroll'!M$1,FALSE)-VLOOKUP($A324,EnrollData2324,'2324 Jun 24 Enroll'!J$1,FALSE)='District Calculations'!$D$16+'District Calculations'!$D$25-'District Calculations'!$D$17,VLOOKUP($A324,EnrollData2324,'2324 Jun 24 Enroll'!I$1,FALSE)+VLOOKUP($A324,EnrollData2324,'2324 Jun 24 Enroll'!M$1,FALSE)-VLOOKUP($A324,EnrollData2324,'2324 Jun 24 Enroll'!J$1,FALSE),'District Calculations'!$D$16+'District Calculations'!$D$25-'District Calculations'!$D$17)*Apport_216A2324s,3)</f>
        <v>58.183999999999997</v>
      </c>
      <c r="J324">
        <f>ROUND(SUM(D324:I324)/(IF(VLOOKUP($A324,EnrollData2324,'2324 Jun 24 Enroll'!M$1,FALSE)='District Calculations'!$D$25,VLOOKUP($A324,EnrollData2324,'2324 Jun 24 Enroll'!M$1,FALSE),'District Calculations'!$D$25)+IF(VLOOKUP($A324,EnrollData2324,'2324 Jun 24 Enroll'!D$1,FALSE)='District Calculations'!$D$11,VLOOKUP($A324,EnrollData2324,'2324 Jun 24 Enroll'!D$1,FALSE),'District Calculations'!$D$11)),5)</f>
        <v>5.5530000000000003E-2</v>
      </c>
      <c r="K324" s="11">
        <f t="shared" si="27"/>
        <v>4.3699999999999998E-3</v>
      </c>
      <c r="L324">
        <f>ROUND(IF(VLOOKUP($A324,EnrollData2324,'2324 Jun 24 Enroll'!D$1,FALSE)='District Calculations'!$D$11,VLOOKUP($A324,EnrollData2324,'2324 Jun 24 Enroll'!D$1,FALSE),'District Calculations'!$D$11)*K324,3)</f>
        <v>0</v>
      </c>
      <c r="M324">
        <f>ROUND(IF(VLOOKUP($A324,EnrollData2324,'2324 Jun 24 Enroll'!E$1,FALSE)='District Calculations'!$D$12,VLOOKUP($A324,EnrollData2324,'2324 Jun 24 Enroll'!E$1,FALSE),'District Calculations'!$D$12)*K324,3)</f>
        <v>3.5419999999999998</v>
      </c>
      <c r="N324">
        <f>ROUND(IF(VLOOKUP($A324,EnrollData2324,'2324 Jun 24 Enroll'!F$1,FALSE)='District Calculations'!$D$13,VLOOKUP($A324,EnrollData2324,'2324 Jun 24 Enroll'!F$1,FALSE),'District Calculations'!$D$13)*Apport_223A2324s,3)</f>
        <v>0.84299999999999997</v>
      </c>
      <c r="O324">
        <f>ROUND(IF(VLOOKUP($A324,EnrollData2324,'2324 Jun 24 Enroll'!G$1,FALSE)='District Calculations'!$D$14,VLOOKUP($A324,EnrollData2324,'2324 Jun 24 Enroll'!G$1,FALSE),'District Calculations'!$D$14)*Apport_211A2324s,3)</f>
        <v>1.87</v>
      </c>
      <c r="P324">
        <f>ROUND(IF(VLOOKUP($A324,EnrollData2324,'2324 Jun 24 Enroll'!H$1,FALSE)='District Calculations'!$D$14,VLOOKUP($A324,EnrollData2324,'2324 Jun 24 Enroll'!H$1,FALSE),'District Calculations'!$D$14)*Apport_214A2324s,3)</f>
        <v>1.8680000000000001</v>
      </c>
      <c r="Q324">
        <f>ROUND(IF(VLOOKUP($A324,EnrollData2324,'2324 Jun 24 Enroll'!I$1,FALSE)+VLOOKUP($A324,EnrollData2324,'2324 Jun 24 Enroll'!M$1,FALSE)-VLOOKUP($A324,EnrollData2324,'2324 Jun 24 Enroll'!J$1,FALSE)='District Calculations'!$D$16+'District Calculations'!$D$25-'District Calculations'!$D$17,VLOOKUP($A324,EnrollData2324,'2324 Jun 24 Enroll'!I$1,FALSE)+VLOOKUP($A324,EnrollData2324,'2324 Jun 24 Enroll'!M$1,FALSE)-VLOOKUP($A324,EnrollData2324,'2324 Jun 24 Enroll'!J$1,FALSE),'District Calculations'!$D$16+'District Calculations'!$D$25-'District Calculations'!$D$17)*Apport_217A2324s,3)</f>
        <v>4.702</v>
      </c>
      <c r="R324">
        <f>ROUND(SUM(L324:Q324)/IF(VLOOKUP($A324,EnrollData2324,'2324 Jun 24 Enroll'!M$1,FALSE)+VLOOKUP($A324,EnrollData2324,'2324 Jun 24 Enroll'!D$1,FALSE)='District Calculations'!$D$25+'District Calculations'!$D$11,VLOOKUP($A324,EnrollData2324,'2324 Jun 24 Enroll'!M$1,FALSE)+VLOOKUP($A324,EnrollData2324,'2324 Jun 24 Enroll'!D$1,FALSE),'District Calculations'!$D$25+'District Calculations'!$D$11),5)</f>
        <v>4.1099999999999999E-3</v>
      </c>
      <c r="S324" s="11">
        <f t="shared" si="28"/>
        <v>1.8689600000000001E-2</v>
      </c>
      <c r="T324">
        <f>ROUND(IF(VLOOKUP($A324,EnrollData2324,'2324 Jun 24 Enroll'!D$1,FALSE)='District Calculations'!$D$11,VLOOKUP($A324,EnrollData2324,'2324 Jun 24 Enroll'!D$1,FALSE),'District Calculations'!$D$11)*S324,3)</f>
        <v>0</v>
      </c>
      <c r="U324">
        <f>ROUND(IF(VLOOKUP($A324,EnrollData2324,'2324 Jun 24 Enroll'!E$1,FALSE)='District Calculations'!$D$12,VLOOKUP($A324,EnrollData2324,'2324 Jun 24 Enroll'!E$1,FALSE),'District Calculations'!$D$12)*S324,3)</f>
        <v>15.148</v>
      </c>
      <c r="V324">
        <f>ROUND(IF(VLOOKUP($A324,EnrollData2324,'2324 Jun 24 Enroll'!F$1,FALSE)='District Calculations'!$D$13,VLOOKUP($A324,EnrollData2324,'2324 Jun 24 Enroll'!F$1,FALSE),'District Calculations'!$D$13)*Apport_224A2324s,3)</f>
        <v>3.7029999999999998</v>
      </c>
      <c r="W324">
        <f>ROUND(IF(VLOOKUP($A324,EnrollData2324,'2324 Jun 24 Enroll'!G$1,FALSE)='District Calculations'!$D$14,VLOOKUP($A324,EnrollData2324,'2324 Jun 24 Enroll'!G$1,FALSE),'District Calculations'!$D$14)*Apport_212A2324s,3)</f>
        <v>8.2089999999999996</v>
      </c>
      <c r="X324">
        <f>ROUND(IF(VLOOKUP($A324,EnrollData2324,'2324 Jun 24 Enroll'!H$1,FALSE)='District Calculations'!$D$14,VLOOKUP($A324,EnrollData2324,'2324 Jun 24 Enroll'!H$1,FALSE),'District Calculations'!$D$14)*Apport_215A2324s,3)</f>
        <v>8.0969999999999995</v>
      </c>
      <c r="Y324">
        <f>ROUND(IF(VLOOKUP($A324,EnrollData2324,'2324 Jun 24 Enroll'!I$1,FALSE)+VLOOKUP($A324,EnrollData2324,'2324 Jun 24 Enroll'!M$1,FALSE)-VLOOKUP($A324,EnrollData2324,'2324 Jun 24 Enroll'!J$1,FALSE)='District Calculations'!$D$16+'District Calculations'!$D$25-'District Calculations'!$D$17,VLOOKUP($A324,EnrollData2324,'2324 Jun 24 Enroll'!I$1,FALSE)+VLOOKUP($A324,EnrollData2324,'2324 Jun 24 Enroll'!M$1,FALSE)-VLOOKUP($A324,EnrollData2324,'2324 Jun 24 Enroll'!J$1,FALSE),'District Calculations'!$D$16+'District Calculations'!$D$25-'District Calculations'!$D$17)*Apport_218A2324s,3)</f>
        <v>20.224</v>
      </c>
      <c r="Z324">
        <f>ROUND(SUM(T324:Y324)/IF(VLOOKUP($A324,EnrollData2324,'2324 Jun 24 Enroll'!M$1,FALSE)+VLOOKUP($A324,EnrollData2324,'2324 Jun 24 Enroll'!D$1,FALSE)='District Calculations'!$D$25+'District Calculations'!$D$11,VLOOKUP($A324,EnrollData2324,'2324 Jun 24 Enroll'!M$1,FALSE)+VLOOKUP($A324,EnrollData2324,'2324 Jun 24 Enroll'!D$1,FALSE),'District Calculations'!$D$25+'District Calculations'!$D$11),5)</f>
        <v>1.7749999999999998E-2</v>
      </c>
      <c r="AA324" s="6" cm="1">
        <f t="array" ref="AA324">ROUND($J324*CIS_Base_Salary2324s*VLOOKUP($A324,EnrollData2324,'2324 Jun 24 Enroll'!S$1,FALSE),2)</f>
        <v>4038.59</v>
      </c>
      <c r="AB324" s="6" cm="1">
        <f t="array" ref="AB324">ROUND($J324*CIS_Inc_Salary2324s*(VLOOKUP($A324,EnrollData2324,'2324 Jun 24 Enroll'!T$1,FALSE)+VLOOKUP($A324,EnrollData2324,'2324 Jun 24 Enroll'!U$1,FALSE)),2)-AA324</f>
        <v>149.43000000000029</v>
      </c>
      <c r="AC324" s="6" cm="1">
        <f t="array" ref="AC324">ROUND($R324*CAS_Base_Salary2324s*VLOOKUP($A324,EnrollData2324,'2324 Jun 24 Enroll'!S$1,FALSE),2)</f>
        <v>443.7</v>
      </c>
      <c r="AD324" s="6" cm="1">
        <f t="array" ref="AD324">ROUND($R324*CAS_Inc_Salary2324s*VLOOKUP($A324,EnrollData2324,'2324 Jun 24 Enroll'!T$1,FALSE),2)-AC324</f>
        <v>16.410000000000025</v>
      </c>
      <c r="AE324" s="6" cm="1">
        <f t="array" ref="AE324">ROUND($Z324*CLS_Base_Salary2324s*VLOOKUP($A324,EnrollData2324,'2324 Jun 24 Enroll'!S$1,FALSE),2)</f>
        <v>926.07</v>
      </c>
      <c r="AF324" s="6" cm="1">
        <f t="array" ref="AF324">ROUND($Z324*CLS_Inc_Salary2324s*VLOOKUP($A324,EnrollData2324,'2324 Jun 24 Enroll'!T$1,FALSE),2)-AE324</f>
        <v>34.259999999999991</v>
      </c>
      <c r="AG324" cm="1">
        <f t="array" ref="AG324">ROUND(($J324+$R324)*Apport_124X2324s,2)</f>
        <v>734.29</v>
      </c>
      <c r="AH324" s="69">
        <f t="shared" si="29"/>
        <v>68.700000000000045</v>
      </c>
      <c r="AI324" cm="1">
        <f t="array" ref="AI324">ROUND($Z324*Apport_124X2324s,2)</f>
        <v>218.54</v>
      </c>
      <c r="AJ324" cm="1">
        <f t="array" ref="AJ324">ROUND($Z324*Apport_621X2324s*Apport_125X2324s,2)-AI324</f>
        <v>116.51000000000002</v>
      </c>
      <c r="AK324" cm="1">
        <f t="array" ref="AK324">ROUND((AA324+AC324)*Apport_126X2324s,2)</f>
        <v>805.47</v>
      </c>
      <c r="AL324" cm="1">
        <f t="array" ref="AL324">ROUND((AB324+AD324)*Apport_127X2324s,2)</f>
        <v>28.74</v>
      </c>
      <c r="AM324" cm="1">
        <f t="array" ref="AM324">ROUND(AE324*Apport_128X2324s,2)</f>
        <v>204.29</v>
      </c>
      <c r="AN324" cm="1">
        <f t="array" ref="AN324">ROUND(AF324*Apport_129X2324s,2)</f>
        <v>6.36</v>
      </c>
      <c r="AO324" cm="1">
        <f t="array" ref="AO324">ROUND(($J324*CIS_Inc_Salary2324s*(VLOOKUP($A324,EnrollData2324,'2324 Jun 24 Enroll'!T$1,FALSE)+VLOOKUP($A324,EnrollData2324,'2324 Jun 24 Enroll'!U$1,FALSE))/Apport_613Xpd)*Apport_614Xpd,2)</f>
        <v>69.8</v>
      </c>
      <c r="AP324" cm="1">
        <f t="array" ref="AP324">ROUND(AO324*Apport_127X2324s,2)</f>
        <v>12.1</v>
      </c>
      <c r="AQ324">
        <f t="shared" si="30"/>
        <v>30.93</v>
      </c>
      <c r="AR324" s="6" cm="1">
        <f t="array" ref="AR324">ROUND((VLOOKUP($A324,EnrollData2324,'2324 Jun 24 Enroll'!D$1,FALSE)*Apport_M802324s+VLOOKUP($A324,EnrollData2324,'2324 Jun 24 Enroll'!M$1,FALSE)*Apport_M802324s+(VLOOKUP($A324,EnrollData2324,'2324 Jun 24 Enroll'!P$1,FALSE)+VLOOKUP($A324,EnrollData2324,'2324 Jun 24 Enroll'!Q$1,FALSE)+VLOOKUP($A324,EnrollData2324,'2324 Jun 24 Enroll'!R$1,FALSE)+VLOOKUP($A324,EnrollData2324,'2324 Jun 24 Enroll'!I$1,FALSE)+VLOOKUP($A324,EnrollData2324,'2324 Jun 24 Enroll'!N$1,FALSE)+VLOOKUP($A324,EnrollData2324,'2324 Jun 24 Enroll'!O$1,FALSE)+VLOOKUP($A324,EnrollData2324,'2324 Jun 24 Enroll'!K$1,FALSE)+VLOOKUP($A324,EnrollData2324,'2324 Jun 24 Enroll'!L$1,FALSE))*Apport_M812324s)/(VLOOKUP($A324,EnrollData2324,'2324 Jun 24 Enroll'!M$1,FALSE)+VLOOKUP($A324,EnrollData2324,'2324 Jun 24 Enroll'!D$1,FALSE)),2)</f>
        <v>1567.85</v>
      </c>
      <c r="AS324" s="7">
        <f t="shared" si="31"/>
        <v>9472.0400000000009</v>
      </c>
    </row>
    <row r="325" spans="1:45">
      <c r="A325" s="40" t="s">
        <v>993</v>
      </c>
      <c r="B325" s="40" t="s">
        <v>994</v>
      </c>
      <c r="C325" s="11">
        <f>ROUND((IFERROR((1/IF(VLOOKUP($A325,EnrollData2324,28,FALSE)='District Calculations'!$D$10,VLOOKUP($A325,EnrollData2324,28,FALSE),'District Calculations'!$D$10))*(1+Apport_Z315),0))+Apport_201A2324s,6)</f>
        <v>7.3449E-2</v>
      </c>
      <c r="D325">
        <f>ROUND(IF(VLOOKUP($A325,EnrollData2324,'2324 Jun 24 Enroll'!D$1,FALSE)='District Calculations'!$D$11,VLOOKUP($A325,EnrollData2324,'2324 Jun 24 Enroll'!D$1,FALSE),'District Calculations'!$D$11)*C325,3)</f>
        <v>0</v>
      </c>
      <c r="E325">
        <f>ROUND(IF(VLOOKUP($A325,EnrollData2324,'2324 Jun 24 Enroll'!E$1,FALSE)='District Calculations'!$D$12,VLOOKUP($A325,EnrollData2324,'2324 Jun 24 Enroll'!E$1,FALSE),'District Calculations'!$D$12)*C325,3)</f>
        <v>59.53</v>
      </c>
      <c r="F325">
        <f>ROUND(IF(VLOOKUP($A325,EnrollData2324,'2324 Jun 24 Enroll'!F$1,FALSE)='District Calculations'!$D$13,VLOOKUP($A325,EnrollData2324,'2324 Jun 24 Enroll'!F$1,FALSE),'District Calculations'!$D$13)*Apport_222A2324s,3)</f>
        <v>10.101000000000001</v>
      </c>
      <c r="G325">
        <f>ROUND(IF(VLOOKUP($A325,EnrollData2324,'2324 Jun 24 Enroll'!G$1,FALSE)='District Calculations'!$D$14,VLOOKUP($A325,EnrollData2324,'2324 Jun 24 Enroll'!G$1,FALSE),'District Calculations'!$D$14)*Apport_210A2324s,3)</f>
        <v>22.395</v>
      </c>
      <c r="H325">
        <f>ROUND(IF(VLOOKUP($A325,EnrollData2324,'2324 Jun 24 Enroll'!H$1,FALSE)='District Calculations'!$D$15,VLOOKUP($A325,EnrollData2324,'2324 Jun 24 Enroll'!H$1,FALSE),'District Calculations'!$D$15)*Apport_213A2324s,3)</f>
        <v>23.091999999999999</v>
      </c>
      <c r="I325">
        <f>ROUND(IF(VLOOKUP($A325,EnrollData2324,'2324 Jun 24 Enroll'!I$1,FALSE)+VLOOKUP($A325,EnrollData2324,'2324 Jun 24 Enroll'!M$1,FALSE)-VLOOKUP($A325,EnrollData2324,'2324 Jun 24 Enroll'!J$1,FALSE)='District Calculations'!$D$16+'District Calculations'!$D$25-'District Calculations'!$D$17,VLOOKUP($A325,EnrollData2324,'2324 Jun 24 Enroll'!I$1,FALSE)+VLOOKUP($A325,EnrollData2324,'2324 Jun 24 Enroll'!M$1,FALSE)-VLOOKUP($A325,EnrollData2324,'2324 Jun 24 Enroll'!J$1,FALSE),'District Calculations'!$D$16+'District Calculations'!$D$25-'District Calculations'!$D$17)*Apport_216A2324s,3)</f>
        <v>58.183999999999997</v>
      </c>
      <c r="J325">
        <f>ROUND(SUM(D325:I325)/(IF(VLOOKUP($A325,EnrollData2324,'2324 Jun 24 Enroll'!M$1,FALSE)='District Calculations'!$D$25,VLOOKUP($A325,EnrollData2324,'2324 Jun 24 Enroll'!M$1,FALSE),'District Calculations'!$D$25)+IF(VLOOKUP($A325,EnrollData2324,'2324 Jun 24 Enroll'!D$1,FALSE)='District Calculations'!$D$11,VLOOKUP($A325,EnrollData2324,'2324 Jun 24 Enroll'!D$1,FALSE),'District Calculations'!$D$11)),5)</f>
        <v>5.5530000000000003E-2</v>
      </c>
      <c r="K325" s="11">
        <f t="shared" si="27"/>
        <v>4.3699999999999998E-3</v>
      </c>
      <c r="L325">
        <f>ROUND(IF(VLOOKUP($A325,EnrollData2324,'2324 Jun 24 Enroll'!D$1,FALSE)='District Calculations'!$D$11,VLOOKUP($A325,EnrollData2324,'2324 Jun 24 Enroll'!D$1,FALSE),'District Calculations'!$D$11)*K325,3)</f>
        <v>0</v>
      </c>
      <c r="M325">
        <f>ROUND(IF(VLOOKUP($A325,EnrollData2324,'2324 Jun 24 Enroll'!E$1,FALSE)='District Calculations'!$D$12,VLOOKUP($A325,EnrollData2324,'2324 Jun 24 Enroll'!E$1,FALSE),'District Calculations'!$D$12)*K325,3)</f>
        <v>3.5419999999999998</v>
      </c>
      <c r="N325">
        <f>ROUND(IF(VLOOKUP($A325,EnrollData2324,'2324 Jun 24 Enroll'!F$1,FALSE)='District Calculations'!$D$13,VLOOKUP($A325,EnrollData2324,'2324 Jun 24 Enroll'!F$1,FALSE),'District Calculations'!$D$13)*Apport_223A2324s,3)</f>
        <v>0.84299999999999997</v>
      </c>
      <c r="O325">
        <f>ROUND(IF(VLOOKUP($A325,EnrollData2324,'2324 Jun 24 Enroll'!G$1,FALSE)='District Calculations'!$D$14,VLOOKUP($A325,EnrollData2324,'2324 Jun 24 Enroll'!G$1,FALSE),'District Calculations'!$D$14)*Apport_211A2324s,3)</f>
        <v>1.87</v>
      </c>
      <c r="P325">
        <f>ROUND(IF(VLOOKUP($A325,EnrollData2324,'2324 Jun 24 Enroll'!H$1,FALSE)='District Calculations'!$D$14,VLOOKUP($A325,EnrollData2324,'2324 Jun 24 Enroll'!H$1,FALSE),'District Calculations'!$D$14)*Apport_214A2324s,3)</f>
        <v>1.8680000000000001</v>
      </c>
      <c r="Q325">
        <f>ROUND(IF(VLOOKUP($A325,EnrollData2324,'2324 Jun 24 Enroll'!I$1,FALSE)+VLOOKUP($A325,EnrollData2324,'2324 Jun 24 Enroll'!M$1,FALSE)-VLOOKUP($A325,EnrollData2324,'2324 Jun 24 Enroll'!J$1,FALSE)='District Calculations'!$D$16+'District Calculations'!$D$25-'District Calculations'!$D$17,VLOOKUP($A325,EnrollData2324,'2324 Jun 24 Enroll'!I$1,FALSE)+VLOOKUP($A325,EnrollData2324,'2324 Jun 24 Enroll'!M$1,FALSE)-VLOOKUP($A325,EnrollData2324,'2324 Jun 24 Enroll'!J$1,FALSE),'District Calculations'!$D$16+'District Calculations'!$D$25-'District Calculations'!$D$17)*Apport_217A2324s,3)</f>
        <v>4.702</v>
      </c>
      <c r="R325">
        <f>ROUND(SUM(L325:Q325)/IF(VLOOKUP($A325,EnrollData2324,'2324 Jun 24 Enroll'!M$1,FALSE)+VLOOKUP($A325,EnrollData2324,'2324 Jun 24 Enroll'!D$1,FALSE)='District Calculations'!$D$25+'District Calculations'!$D$11,VLOOKUP($A325,EnrollData2324,'2324 Jun 24 Enroll'!M$1,FALSE)+VLOOKUP($A325,EnrollData2324,'2324 Jun 24 Enroll'!D$1,FALSE),'District Calculations'!$D$25+'District Calculations'!$D$11),5)</f>
        <v>4.1099999999999999E-3</v>
      </c>
      <c r="S325" s="11">
        <f t="shared" si="28"/>
        <v>1.8689600000000001E-2</v>
      </c>
      <c r="T325">
        <f>ROUND(IF(VLOOKUP($A325,EnrollData2324,'2324 Jun 24 Enroll'!D$1,FALSE)='District Calculations'!$D$11,VLOOKUP($A325,EnrollData2324,'2324 Jun 24 Enroll'!D$1,FALSE),'District Calculations'!$D$11)*S325,3)</f>
        <v>0</v>
      </c>
      <c r="U325">
        <f>ROUND(IF(VLOOKUP($A325,EnrollData2324,'2324 Jun 24 Enroll'!E$1,FALSE)='District Calculations'!$D$12,VLOOKUP($A325,EnrollData2324,'2324 Jun 24 Enroll'!E$1,FALSE),'District Calculations'!$D$12)*S325,3)</f>
        <v>15.148</v>
      </c>
      <c r="V325">
        <f>ROUND(IF(VLOOKUP($A325,EnrollData2324,'2324 Jun 24 Enroll'!F$1,FALSE)='District Calculations'!$D$13,VLOOKUP($A325,EnrollData2324,'2324 Jun 24 Enroll'!F$1,FALSE),'District Calculations'!$D$13)*Apport_224A2324s,3)</f>
        <v>3.7029999999999998</v>
      </c>
      <c r="W325">
        <f>ROUND(IF(VLOOKUP($A325,EnrollData2324,'2324 Jun 24 Enroll'!G$1,FALSE)='District Calculations'!$D$14,VLOOKUP($A325,EnrollData2324,'2324 Jun 24 Enroll'!G$1,FALSE),'District Calculations'!$D$14)*Apport_212A2324s,3)</f>
        <v>8.2089999999999996</v>
      </c>
      <c r="X325">
        <f>ROUND(IF(VLOOKUP($A325,EnrollData2324,'2324 Jun 24 Enroll'!H$1,FALSE)='District Calculations'!$D$14,VLOOKUP($A325,EnrollData2324,'2324 Jun 24 Enroll'!H$1,FALSE),'District Calculations'!$D$14)*Apport_215A2324s,3)</f>
        <v>8.0969999999999995</v>
      </c>
      <c r="Y325">
        <f>ROUND(IF(VLOOKUP($A325,EnrollData2324,'2324 Jun 24 Enroll'!I$1,FALSE)+VLOOKUP($A325,EnrollData2324,'2324 Jun 24 Enroll'!M$1,FALSE)-VLOOKUP($A325,EnrollData2324,'2324 Jun 24 Enroll'!J$1,FALSE)='District Calculations'!$D$16+'District Calculations'!$D$25-'District Calculations'!$D$17,VLOOKUP($A325,EnrollData2324,'2324 Jun 24 Enroll'!I$1,FALSE)+VLOOKUP($A325,EnrollData2324,'2324 Jun 24 Enroll'!M$1,FALSE)-VLOOKUP($A325,EnrollData2324,'2324 Jun 24 Enroll'!J$1,FALSE),'District Calculations'!$D$16+'District Calculations'!$D$25-'District Calculations'!$D$17)*Apport_218A2324s,3)</f>
        <v>20.224</v>
      </c>
      <c r="Z325">
        <f>ROUND(SUM(T325:Y325)/IF(VLOOKUP($A325,EnrollData2324,'2324 Jun 24 Enroll'!M$1,FALSE)+VLOOKUP($A325,EnrollData2324,'2324 Jun 24 Enroll'!D$1,FALSE)='District Calculations'!$D$25+'District Calculations'!$D$11,VLOOKUP($A325,EnrollData2324,'2324 Jun 24 Enroll'!M$1,FALSE)+VLOOKUP($A325,EnrollData2324,'2324 Jun 24 Enroll'!D$1,FALSE),'District Calculations'!$D$25+'District Calculations'!$D$11),5)</f>
        <v>1.7749999999999998E-2</v>
      </c>
      <c r="AA325" s="6" cm="1">
        <f t="array" ref="AA325">ROUND($J325*CIS_Base_Salary2324s*VLOOKUP($A325,EnrollData2324,'2324 Jun 24 Enroll'!S$1,FALSE),2)</f>
        <v>4038.59</v>
      </c>
      <c r="AB325" s="6" cm="1">
        <f t="array" ref="AB325">ROUND($J325*CIS_Inc_Salary2324s*(VLOOKUP($A325,EnrollData2324,'2324 Jun 24 Enroll'!T$1,FALSE)+VLOOKUP($A325,EnrollData2324,'2324 Jun 24 Enroll'!U$1,FALSE)),2)-AA325</f>
        <v>149.43000000000029</v>
      </c>
      <c r="AC325" s="6" cm="1">
        <f t="array" ref="AC325">ROUND($R325*CAS_Base_Salary2324s*VLOOKUP($A325,EnrollData2324,'2324 Jun 24 Enroll'!S$1,FALSE),2)</f>
        <v>443.7</v>
      </c>
      <c r="AD325" s="6" cm="1">
        <f t="array" ref="AD325">ROUND($R325*CAS_Inc_Salary2324s*VLOOKUP($A325,EnrollData2324,'2324 Jun 24 Enroll'!T$1,FALSE),2)-AC325</f>
        <v>16.410000000000025</v>
      </c>
      <c r="AE325" s="6" cm="1">
        <f t="array" ref="AE325">ROUND($Z325*CLS_Base_Salary2324s*VLOOKUP($A325,EnrollData2324,'2324 Jun 24 Enroll'!S$1,FALSE),2)</f>
        <v>926.07</v>
      </c>
      <c r="AF325" s="6" cm="1">
        <f t="array" ref="AF325">ROUND($Z325*CLS_Inc_Salary2324s*VLOOKUP($A325,EnrollData2324,'2324 Jun 24 Enroll'!T$1,FALSE),2)-AE325</f>
        <v>34.259999999999991</v>
      </c>
      <c r="AG325" cm="1">
        <f t="array" ref="AG325">ROUND(($J325+$R325)*Apport_124X2324s,2)</f>
        <v>734.29</v>
      </c>
      <c r="AH325" s="69">
        <f t="shared" si="29"/>
        <v>68.700000000000045</v>
      </c>
      <c r="AI325" cm="1">
        <f t="array" ref="AI325">ROUND($Z325*Apport_124X2324s,2)</f>
        <v>218.54</v>
      </c>
      <c r="AJ325" cm="1">
        <f t="array" ref="AJ325">ROUND($Z325*Apport_621X2324s*Apport_125X2324s,2)-AI325</f>
        <v>116.51000000000002</v>
      </c>
      <c r="AK325" cm="1">
        <f t="array" ref="AK325">ROUND((AA325+AC325)*Apport_126X2324s,2)</f>
        <v>805.47</v>
      </c>
      <c r="AL325" cm="1">
        <f t="array" ref="AL325">ROUND((AB325+AD325)*Apport_127X2324s,2)</f>
        <v>28.74</v>
      </c>
      <c r="AM325" cm="1">
        <f t="array" ref="AM325">ROUND(AE325*Apport_128X2324s,2)</f>
        <v>204.29</v>
      </c>
      <c r="AN325" cm="1">
        <f t="array" ref="AN325">ROUND(AF325*Apport_129X2324s,2)</f>
        <v>6.36</v>
      </c>
      <c r="AO325" cm="1">
        <f t="array" ref="AO325">ROUND(($J325*CIS_Inc_Salary2324s*(VLOOKUP($A325,EnrollData2324,'2324 Jun 24 Enroll'!T$1,FALSE)+VLOOKUP($A325,EnrollData2324,'2324 Jun 24 Enroll'!U$1,FALSE))/Apport_613Xpd)*Apport_614Xpd,2)</f>
        <v>69.8</v>
      </c>
      <c r="AP325" cm="1">
        <f t="array" ref="AP325">ROUND(AO325*Apport_127X2324s,2)</f>
        <v>12.1</v>
      </c>
      <c r="AQ325">
        <f t="shared" si="30"/>
        <v>30.93</v>
      </c>
      <c r="AR325" s="6" cm="1">
        <f t="array" ref="AR325">ROUND((VLOOKUP($A325,EnrollData2324,'2324 Jun 24 Enroll'!D$1,FALSE)*Apport_M802324s+VLOOKUP($A325,EnrollData2324,'2324 Jun 24 Enroll'!M$1,FALSE)*Apport_M802324s+(VLOOKUP($A325,EnrollData2324,'2324 Jun 24 Enroll'!P$1,FALSE)+VLOOKUP($A325,EnrollData2324,'2324 Jun 24 Enroll'!Q$1,FALSE)+VLOOKUP($A325,EnrollData2324,'2324 Jun 24 Enroll'!R$1,FALSE)+VLOOKUP($A325,EnrollData2324,'2324 Jun 24 Enroll'!I$1,FALSE)+VLOOKUP($A325,EnrollData2324,'2324 Jun 24 Enroll'!N$1,FALSE)+VLOOKUP($A325,EnrollData2324,'2324 Jun 24 Enroll'!O$1,FALSE)+VLOOKUP($A325,EnrollData2324,'2324 Jun 24 Enroll'!K$1,FALSE)+VLOOKUP($A325,EnrollData2324,'2324 Jun 24 Enroll'!L$1,FALSE))*Apport_M812324s)/(VLOOKUP($A325,EnrollData2324,'2324 Jun 24 Enroll'!M$1,FALSE)+VLOOKUP($A325,EnrollData2324,'2324 Jun 24 Enroll'!D$1,FALSE)),2)</f>
        <v>1680.26</v>
      </c>
      <c r="AS325" s="7">
        <f t="shared" si="31"/>
        <v>9584.4500000000007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9664-F58E-4B8B-873D-1392B730FC35}">
  <dimension ref="A1:AW325"/>
  <sheetViews>
    <sheetView zoomScale="90" zoomScaleNormal="90" workbookViewId="0">
      <pane xSplit="2" ySplit="3" topLeftCell="AA4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/>
  <cols>
    <col min="1" max="1" width="9.140625" style="40"/>
    <col min="2" max="2" width="30" style="40" customWidth="1"/>
    <col min="27" max="27" width="11.7109375" customWidth="1"/>
    <col min="28" max="28" width="10.140625" bestFit="1" customWidth="1"/>
    <col min="29" max="29" width="12.7109375" customWidth="1"/>
    <col min="30" max="30" width="10.140625" customWidth="1"/>
    <col min="31" max="32" width="12.85546875" customWidth="1"/>
    <col min="33" max="33" width="13.28515625" customWidth="1"/>
    <col min="34" max="34" width="12.140625" customWidth="1"/>
    <col min="35" max="35" width="11.5703125" customWidth="1"/>
    <col min="36" max="36" width="10" customWidth="1"/>
    <col min="37" max="37" width="12.28515625" customWidth="1"/>
    <col min="38" max="38" width="10.85546875" customWidth="1"/>
    <col min="39" max="39" width="11.7109375" customWidth="1"/>
    <col min="42" max="42" width="10" customWidth="1"/>
    <col min="44" max="44" width="10.140625" bestFit="1" customWidth="1"/>
    <col min="45" max="45" width="12.5703125" customWidth="1"/>
    <col min="46" max="46" width="12.140625" customWidth="1"/>
    <col min="47" max="47" width="9.140625" style="40"/>
    <col min="48" max="48" width="30" style="40" customWidth="1"/>
    <col min="49" max="49" width="13.5703125" customWidth="1"/>
  </cols>
  <sheetData>
    <row r="1" spans="1:49">
      <c r="A1" s="38">
        <v>1</v>
      </c>
      <c r="B1" s="38">
        <f>A1+1</f>
        <v>2</v>
      </c>
      <c r="C1" s="38">
        <f t="shared" ref="C1:AS1" si="0">B1+1</f>
        <v>3</v>
      </c>
      <c r="D1" s="38">
        <f t="shared" si="0"/>
        <v>4</v>
      </c>
      <c r="E1" s="38">
        <f t="shared" si="0"/>
        <v>5</v>
      </c>
      <c r="F1" s="38">
        <f t="shared" si="0"/>
        <v>6</v>
      </c>
      <c r="G1" s="38">
        <f t="shared" si="0"/>
        <v>7</v>
      </c>
      <c r="H1" s="38">
        <f t="shared" si="0"/>
        <v>8</v>
      </c>
      <c r="I1" s="38">
        <f t="shared" si="0"/>
        <v>9</v>
      </c>
      <c r="J1" s="38">
        <f t="shared" si="0"/>
        <v>10</v>
      </c>
      <c r="K1" s="38">
        <f t="shared" si="0"/>
        <v>11</v>
      </c>
      <c r="L1" s="38">
        <f t="shared" si="0"/>
        <v>12</v>
      </c>
      <c r="M1" s="38">
        <f t="shared" si="0"/>
        <v>13</v>
      </c>
      <c r="N1" s="38">
        <f t="shared" si="0"/>
        <v>14</v>
      </c>
      <c r="O1" s="38">
        <f t="shared" si="0"/>
        <v>15</v>
      </c>
      <c r="P1" s="38">
        <f t="shared" si="0"/>
        <v>16</v>
      </c>
      <c r="Q1" s="38">
        <f t="shared" si="0"/>
        <v>17</v>
      </c>
      <c r="R1" s="38">
        <f t="shared" si="0"/>
        <v>18</v>
      </c>
      <c r="S1" s="38">
        <f t="shared" si="0"/>
        <v>19</v>
      </c>
      <c r="T1" s="38">
        <f t="shared" si="0"/>
        <v>20</v>
      </c>
      <c r="U1" s="38">
        <f t="shared" si="0"/>
        <v>21</v>
      </c>
      <c r="V1" s="38">
        <f t="shared" si="0"/>
        <v>22</v>
      </c>
      <c r="W1" s="38">
        <f t="shared" si="0"/>
        <v>23</v>
      </c>
      <c r="X1" s="38">
        <f t="shared" si="0"/>
        <v>24</v>
      </c>
      <c r="Y1" s="38">
        <f t="shared" si="0"/>
        <v>25</v>
      </c>
      <c r="Z1" s="38">
        <f t="shared" si="0"/>
        <v>26</v>
      </c>
      <c r="AA1" s="38">
        <f t="shared" si="0"/>
        <v>27</v>
      </c>
      <c r="AB1" s="38">
        <f t="shared" si="0"/>
        <v>28</v>
      </c>
      <c r="AC1" s="38">
        <f t="shared" si="0"/>
        <v>29</v>
      </c>
      <c r="AD1" s="38">
        <f t="shared" si="0"/>
        <v>30</v>
      </c>
      <c r="AE1" s="38">
        <f t="shared" si="0"/>
        <v>31</v>
      </c>
      <c r="AF1" s="38">
        <f t="shared" si="0"/>
        <v>32</v>
      </c>
      <c r="AG1" s="38">
        <f t="shared" si="0"/>
        <v>33</v>
      </c>
      <c r="AH1" s="38">
        <f t="shared" si="0"/>
        <v>34</v>
      </c>
      <c r="AI1" s="38">
        <f t="shared" si="0"/>
        <v>35</v>
      </c>
      <c r="AJ1" s="38">
        <f t="shared" si="0"/>
        <v>36</v>
      </c>
      <c r="AK1" s="38">
        <f t="shared" si="0"/>
        <v>37</v>
      </c>
      <c r="AL1" s="38">
        <f t="shared" si="0"/>
        <v>38</v>
      </c>
      <c r="AM1" s="38">
        <f t="shared" si="0"/>
        <v>39</v>
      </c>
      <c r="AN1" s="38">
        <f t="shared" si="0"/>
        <v>40</v>
      </c>
      <c r="AO1" s="38">
        <f t="shared" si="0"/>
        <v>41</v>
      </c>
      <c r="AP1" s="38">
        <f t="shared" si="0"/>
        <v>42</v>
      </c>
      <c r="AQ1" s="38">
        <f t="shared" si="0"/>
        <v>43</v>
      </c>
      <c r="AR1" s="38">
        <f t="shared" si="0"/>
        <v>44</v>
      </c>
      <c r="AS1" s="38">
        <f t="shared" si="0"/>
        <v>45</v>
      </c>
      <c r="AU1" s="38"/>
      <c r="AV1" s="38"/>
    </row>
    <row r="2" spans="1:49" s="25" customFormat="1" ht="46.9" customHeight="1">
      <c r="A2" s="62"/>
      <c r="B2" s="62"/>
      <c r="C2" s="43" t="s">
        <v>113</v>
      </c>
      <c r="D2" s="43" t="s">
        <v>1096</v>
      </c>
      <c r="E2" s="43" t="s">
        <v>1</v>
      </c>
      <c r="F2" s="43" t="s">
        <v>1047</v>
      </c>
      <c r="G2" s="43" t="s">
        <v>4</v>
      </c>
      <c r="H2" s="43" t="s">
        <v>6</v>
      </c>
      <c r="I2" s="43" t="s">
        <v>26</v>
      </c>
      <c r="J2" s="43" t="s">
        <v>1048</v>
      </c>
      <c r="K2" s="43" t="s">
        <v>135</v>
      </c>
      <c r="L2" s="43" t="s">
        <v>1099</v>
      </c>
      <c r="M2" s="43" t="s">
        <v>27</v>
      </c>
      <c r="N2" s="43" t="s">
        <v>1049</v>
      </c>
      <c r="O2" s="43" t="s">
        <v>28</v>
      </c>
      <c r="P2" s="43" t="s">
        <v>29</v>
      </c>
      <c r="Q2" s="43" t="s">
        <v>30</v>
      </c>
      <c r="R2" s="43" t="s">
        <v>1050</v>
      </c>
      <c r="S2" s="43" t="s">
        <v>1051</v>
      </c>
      <c r="T2" s="43" t="s">
        <v>1100</v>
      </c>
      <c r="U2" s="43" t="s">
        <v>31</v>
      </c>
      <c r="V2" s="43" t="s">
        <v>1052</v>
      </c>
      <c r="W2" s="43" t="s">
        <v>32</v>
      </c>
      <c r="X2" s="43" t="s">
        <v>33</v>
      </c>
      <c r="Y2" s="43" t="s">
        <v>34</v>
      </c>
      <c r="Z2" s="43" t="s">
        <v>1053</v>
      </c>
      <c r="AA2" s="63" t="s">
        <v>1054</v>
      </c>
      <c r="AB2" s="63" t="s">
        <v>1055</v>
      </c>
      <c r="AC2" s="63" t="s">
        <v>1056</v>
      </c>
      <c r="AD2" s="63" t="s">
        <v>1057</v>
      </c>
      <c r="AE2" s="63" t="s">
        <v>40</v>
      </c>
      <c r="AF2" s="63" t="s">
        <v>42</v>
      </c>
      <c r="AG2" s="63" t="s">
        <v>1058</v>
      </c>
      <c r="AH2" s="63" t="s">
        <v>1059</v>
      </c>
      <c r="AI2" s="63" t="s">
        <v>1060</v>
      </c>
      <c r="AJ2" s="63" t="s">
        <v>1061</v>
      </c>
      <c r="AK2" s="63" t="s">
        <v>48</v>
      </c>
      <c r="AL2" s="63" t="s">
        <v>913</v>
      </c>
      <c r="AM2" s="63" t="s">
        <v>1062</v>
      </c>
      <c r="AN2" s="63" t="s">
        <v>52</v>
      </c>
      <c r="AO2" s="43" t="s">
        <v>1063</v>
      </c>
      <c r="AP2" s="43" t="s">
        <v>1064</v>
      </c>
      <c r="AQ2" s="43" t="s">
        <v>22</v>
      </c>
      <c r="AR2" s="43" t="s">
        <v>24</v>
      </c>
      <c r="AS2" s="43" t="s">
        <v>1065</v>
      </c>
      <c r="AU2" s="62"/>
      <c r="AV2" s="62"/>
    </row>
    <row r="3" spans="1:49" ht="45">
      <c r="A3" s="39" t="s">
        <v>1143</v>
      </c>
      <c r="B3" s="39" t="s">
        <v>293</v>
      </c>
      <c r="C3" s="41" t="s">
        <v>112</v>
      </c>
      <c r="D3" s="2" t="s">
        <v>1097</v>
      </c>
      <c r="E3" s="2" t="s">
        <v>0</v>
      </c>
      <c r="F3" s="2" t="s">
        <v>2</v>
      </c>
      <c r="G3" s="2" t="s">
        <v>3</v>
      </c>
      <c r="H3" s="2" t="s">
        <v>5</v>
      </c>
      <c r="I3" s="3" t="s">
        <v>7</v>
      </c>
      <c r="J3" s="42" t="s">
        <v>8</v>
      </c>
      <c r="K3" s="41" t="s">
        <v>134</v>
      </c>
      <c r="L3" s="2" t="s">
        <v>1098</v>
      </c>
      <c r="M3" s="2" t="s">
        <v>9</v>
      </c>
      <c r="N3" s="2" t="s">
        <v>10</v>
      </c>
      <c r="O3" s="2" t="s">
        <v>11</v>
      </c>
      <c r="P3" s="2" t="s">
        <v>12</v>
      </c>
      <c r="Q3" s="3" t="s">
        <v>13</v>
      </c>
      <c r="R3" s="42" t="s">
        <v>14</v>
      </c>
      <c r="S3" s="41" t="s">
        <v>81</v>
      </c>
      <c r="T3" s="2" t="s">
        <v>1101</v>
      </c>
      <c r="U3" s="2" t="s">
        <v>15</v>
      </c>
      <c r="V3" s="2" t="s">
        <v>16</v>
      </c>
      <c r="W3" s="2" t="s">
        <v>17</v>
      </c>
      <c r="X3" s="2" t="s">
        <v>18</v>
      </c>
      <c r="Y3" s="3" t="s">
        <v>19</v>
      </c>
      <c r="Z3" s="42" t="s">
        <v>20</v>
      </c>
      <c r="AA3" s="2" t="s">
        <v>35</v>
      </c>
      <c r="AB3" s="2" t="s">
        <v>36</v>
      </c>
      <c r="AC3" s="2" t="s">
        <v>37</v>
      </c>
      <c r="AD3" s="2" t="s">
        <v>38</v>
      </c>
      <c r="AE3" s="2" t="s">
        <v>39</v>
      </c>
      <c r="AF3" s="2" t="s">
        <v>41</v>
      </c>
      <c r="AG3" s="2" t="s">
        <v>43</v>
      </c>
      <c r="AH3" s="2" t="s">
        <v>44</v>
      </c>
      <c r="AI3" s="2" t="s">
        <v>45</v>
      </c>
      <c r="AJ3" s="2" t="s">
        <v>46</v>
      </c>
      <c r="AK3" s="2" t="s">
        <v>47</v>
      </c>
      <c r="AL3" s="2" t="s">
        <v>49</v>
      </c>
      <c r="AM3" s="2" t="s">
        <v>50</v>
      </c>
      <c r="AN3" s="2" t="s">
        <v>51</v>
      </c>
      <c r="AO3" s="2" t="s">
        <v>990</v>
      </c>
      <c r="AP3" s="2" t="s">
        <v>991</v>
      </c>
      <c r="AQ3" s="2" t="s">
        <v>21</v>
      </c>
      <c r="AR3" s="2" t="s">
        <v>23</v>
      </c>
      <c r="AS3" s="49" t="s">
        <v>25</v>
      </c>
      <c r="AT3" s="25" t="s">
        <v>1022</v>
      </c>
      <c r="AU3" s="39"/>
      <c r="AV3" s="39"/>
    </row>
    <row r="4" spans="1:49">
      <c r="A4" s="104" t="s">
        <v>572</v>
      </c>
      <c r="B4" s="104" t="s">
        <v>573</v>
      </c>
      <c r="C4" s="11">
        <f>ROUND((IFERROR((1/IF(VLOOKUP($A4,EnrollData2324,28,FALSE)=VLOOKUP($A4,'ESA Calculations 2425'!$A$4:$AE$37,3,FALSE),VLOOKUP($A4,EnrollData2324,28,FALSE),VLOOKUP($A4,'ESA Calculations 2425'!$A$4:$AE$37,3,FALSE)))*(1+Apport_Z315),0))+Apport_201A2425,6)</f>
        <v>7.4580999999999995E-2</v>
      </c>
      <c r="D4">
        <f>ROUND(IF(VLOOKUP($A4,EnrollData2324,'2324 Jun 24 Enroll'!D$1,FALSE)=VLOOKUP($A4,'ESA Calculations 2425'!$A$4:$AE$37,4,FALSE),VLOOKUP($A4,EnrollData2324,'2324 Jun 24 Enroll'!D$1,FALSE),VLOOKUP($A4,'ESA Calculations 2425'!$A$4:$AE$37,4,FALSE))*C4,3)</f>
        <v>0</v>
      </c>
      <c r="E4">
        <f>ROUND(IF(VLOOKUP($A4,EnrollData2324,'2324 Jun 24 Enroll'!E$1,FALSE)=VLOOKUP($A4,'ESA Calculations 2425'!$A$4:$AE$37,5,FALSE),VLOOKUP($A4,EnrollData2324,'2324 Jun 24 Enroll'!E$1,FALSE),VLOOKUP($A4,'ESA Calculations 2425'!$A$4:$AE$37,5,FALSE))*C4,3)</f>
        <v>13.183</v>
      </c>
      <c r="F4">
        <f>ROUND(IF(VLOOKUP($A4,EnrollData2324,'2324 Jun 24 Enroll'!F$1,FALSE)=VLOOKUP($A4,'ESA Calculations 2425'!$A$4:$AE$37,6,FALSE),VLOOKUP($A4,EnrollData2324,'2324 Jun 24 Enroll'!F$1,FALSE),VLOOKUP($A4,'ESA Calculations 2425'!$A$4:$AE$37,6,FALSE))*Apport_222A2425,3)</f>
        <v>2.5350000000000001</v>
      </c>
      <c r="G4">
        <f>ROUND(IF(VLOOKUP($A4,EnrollData2324,'2324 Jun 24 Enroll'!G$1,FALSE)=VLOOKUP($A4,'ESA Calculations 2425'!$A$4:$AE$37,7,FALSE),VLOOKUP($A4,EnrollData2324,'2324 Jun 24 Enroll'!G$1,FALSE),VLOOKUP($A4,'ESA Calculations 2425'!$A$4:$AE$37,7,FALSE))*Apport_210A2425,3)</f>
        <v>4.226</v>
      </c>
      <c r="H4">
        <f>ROUND(IF(VLOOKUP($A4,EnrollData2324,'2324 Jun 24 Enroll'!H$1,FALSE)=VLOOKUP($A4,'ESA Calculations 2425'!$A$4:$AE$37,8,FALSE),VLOOKUP($A4,EnrollData2324,'2324 Jun 24 Enroll'!H$1,FALSE),VLOOKUP($A4,'ESA Calculations 2425'!$A$4:$AE$37,8,FALSE))*Apport_213A2425,3)</f>
        <v>5.008</v>
      </c>
      <c r="I4">
        <f>ROUND(IF(VLOOKUP($A4,EnrollData2324,'2324 Jun 24 Enroll'!I$1,FALSE)+VLOOKUP($A4,EnrollData2324,'2324 Jun 24 Enroll'!M$1,FALSE)-VLOOKUP($A4,EnrollData2324,'2324 Jun 24 Enroll'!J$1,FALSE)=VLOOKUP($A4,'ESA Calculations 2425'!$A$4:$AE$37,9,FALSE)+VLOOKUP($A4,'ESA Calculations 2425'!$A$4:$AE$37,18,FALSE)-VLOOKUP($A4,'ESA Calculations 2425'!$A$4:$AE$37,10,FALSE),VLOOKUP($A4,EnrollData2324,'2324 Jun 24 Enroll'!I$1,FALSE)+VLOOKUP($A4,EnrollData2324,'2324 Jun 24 Enroll'!M$1,FALSE)-VLOOKUP($A4,EnrollData2324,'2324 Jun 24 Enroll'!J$1,FALSE),VLOOKUP($A4,'ESA Calculations 2425'!$A$4:$AE$37,9,FALSE)+VLOOKUP($A4,'ESA Calculations 2425'!$A$4:$AE$37,18,FALSE)-VLOOKUP($A4,'ESA Calculations 2425'!$A$4:$AE$37,10,FALSE))*Apport_216A2425,3)</f>
        <v>11.904999999999999</v>
      </c>
      <c r="J4">
        <f>ROUND(SUM(D4:I4)/IF(VLOOKUP($A4,EnrollData2324,'2324 Jun 24 Enroll'!M$1,FALSE)+VLOOKUP($A4,EnrollData2324,'2324 Jun 24 Enroll'!D$1,FALSE)=VLOOKUP($A4,'ESA Calculations 2425'!$A$4:$AE$37,18,FALSE)+VLOOKUP($A4,'ESA Calculations 2425'!$A$4:$AE$37,4,FALSE),VLOOKUP($A4,EnrollData2324,'2324 Jun 24 Enroll'!M$1,FALSE)+VLOOKUP($A4,EnrollData2324,'2324 Jun 24 Enroll'!D$1,FALSE),VLOOKUP($A4,'ESA Calculations 2425'!$A$4:$AE$37,18,FALSE)+VLOOKUP($A4,'ESA Calculations 2425'!$A$4:$AE$37,4,FALSE)),5)</f>
        <v>5.6820000000000002E-2</v>
      </c>
      <c r="K4" s="11">
        <f t="shared" ref="K4:K36" si="1">ROUND(((($C4+Apport_203A2425+Apport_202A2425)*Apport_557X)*Apport_558X)+Apport_202A2425,6)</f>
        <v>4.385E-3</v>
      </c>
      <c r="L4">
        <f>ROUND(IF(VLOOKUP($A4,EnrollData2324,'2324 Jun 24 Enroll'!D$1,FALSE)=VLOOKUP($A4,'ESA Calculations 2425'!$A$4:$AE$37,4,FALSE),VLOOKUP($A4,EnrollData2324,'2324 Jun 24 Enroll'!D$1,FALSE),VLOOKUP($A4,'ESA Calculations 2425'!$A$4:$AE$37,4,FALSE))*K4,3)</f>
        <v>0</v>
      </c>
      <c r="M4">
        <f>ROUND(IF(VLOOKUP($A4,EnrollData2324,'2324 Jun 24 Enroll'!E$1,FALSE)=VLOOKUP($A4,'ESA Calculations 2425'!$A$4:$AE$37,5,FALSE),VLOOKUP($A4,EnrollData2324,'2324 Jun 24 Enroll'!E$1,FALSE),VLOOKUP($A4,'ESA Calculations 2425'!$A$4:$AE$37,5,FALSE))*K4,3)</f>
        <v>0.77500000000000002</v>
      </c>
      <c r="N4">
        <f>ROUND(IF(VLOOKUP($A4,EnrollData2324,'2324 Jun 24 Enroll'!F$1,FALSE)=VLOOKUP($A4,'ESA Calculations 2425'!$A$4:$AE$37,6,FALSE),VLOOKUP($A4,EnrollData2324,'2324 Jun 24 Enroll'!F$1,FALSE),VLOOKUP($A4,'ESA Calculations 2425'!$A$4:$AE$37,6,FALSE))*Apport_223A2425,3)</f>
        <v>0.20799999999999999</v>
      </c>
      <c r="O4">
        <f>ROUND(IF(VLOOKUP($A4,EnrollData2324,'2324 Jun 24 Enroll'!G$1,FALSE)=VLOOKUP($A4,'ESA Calculations 2425'!$A$4:$AE$37,7,FALSE),VLOOKUP($A4,EnrollData2324,'2324 Jun 24 Enroll'!G$1,FALSE),VLOOKUP($A4,'ESA Calculations 2425'!$A$4:$AE$37,7,FALSE))*Apport_211A2425,3)</f>
        <v>0.34599999999999997</v>
      </c>
      <c r="P4">
        <f>ROUND(IF(VLOOKUP($A4,EnrollData2324,'2324 Jun 24 Enroll'!H$1,FALSE)=VLOOKUP($A4,'ESA Calculations 2425'!$A$4:$AE$37,8,FALSE),VLOOKUP($A4,EnrollData2324,'2324 Jun 24 Enroll'!H$1,FALSE),VLOOKUP($A4,'ESA Calculations 2425'!$A$4:$AE$37,8,FALSE))*Apport_214A2425,3)</f>
        <v>0.40899999999999997</v>
      </c>
      <c r="Q4">
        <f>ROUND(IF(VLOOKUP($A4,EnrollData2324,'2324 Jun 24 Enroll'!I$1,FALSE)+VLOOKUP($A4,EnrollData2324,'2324 Jun 24 Enroll'!M$1,FALSE)-VLOOKUP($A4,EnrollData2324,'2324 Jun 24 Enroll'!J$1,FALSE)=VLOOKUP($A4,'ESA Calculations 2425'!$A$4:$AE$37,9,FALSE)+VLOOKUP($A4,'ESA Calculations 2425'!$A$4:$AE$37,18,FALSE)-VLOOKUP($A4,'ESA Calculations 2425'!$A$4:$AE$37,10,FALSE),VLOOKUP($A4,EnrollData2324,'2324 Jun 24 Enroll'!I$1,FALSE)+VLOOKUP($A4,EnrollData2324,'2324 Jun 24 Enroll'!M$1,FALSE)-VLOOKUP($A4,EnrollData2324,'2324 Jun 24 Enroll'!J$1,FALSE),VLOOKUP($A4,'ESA Calculations 2425'!$A$4:$AE$37,9,FALSE)+VLOOKUP($A4,'ESA Calculations 2425'!$A$4:$AE$37,18,FALSE)-VLOOKUP($A4,'ESA Calculations 2425'!$A$4:$AE$37,10,FALSE))*Apport_217A2425,3)</f>
        <v>0.95</v>
      </c>
      <c r="R4">
        <f>ROUND(SUM(L4:Q4)/IF(VLOOKUP($A4,EnrollData2324,'2324 Jun 24 Enroll'!M$1,FALSE)+VLOOKUP($A4,EnrollData2324,'2324 Jun 24 Enroll'!D$1,FALSE)=VLOOKUP($A4,'ESA Calculations 2425'!$A$4:$AE$37,18,FALSE)+VLOOKUP($A4,'ESA Calculations 2425'!$A$4:$AE$37,4,FALSE),VLOOKUP($A4,EnrollData2324,'2324 Jun 24 Enroll'!M$1,FALSE)+VLOOKUP($A4,EnrollData2324,'2324 Jun 24 Enroll'!D$1,FALSE),VLOOKUP($A4,'ESA Calculations 2425'!$A$4:$AE$37,18,FALSE)+VLOOKUP($A4,'ESA Calculations 2425'!$A$4:$AE$37,4,FALSE)),5)</f>
        <v>4.1399999999999996E-3</v>
      </c>
      <c r="S4" s="11">
        <f t="shared" ref="S4:S36" si="2">ROUND(((($C4+Apport_203A2425+Apport_202A2425)*Apport_557X)*Apport_559X)+Apport_203A2425,7)</f>
        <v>1.8734299999999999E-2</v>
      </c>
      <c r="T4">
        <f>ROUND(IF(VLOOKUP($A4,EnrollData2324,'2324 Jun 24 Enroll'!D$1,FALSE)=VLOOKUP($A4,'ESA Calculations 2425'!$A$4:$AE$37,4,FALSE),VLOOKUP($A4,EnrollData2324,'2324 Jun 24 Enroll'!D$1,FALSE),VLOOKUP($A4,'ESA Calculations 2425'!$A$4:$AE$37,4,FALSE))*S4,3)</f>
        <v>0</v>
      </c>
      <c r="U4">
        <f>ROUND(IF(VLOOKUP($A4,EnrollData2324,'2324 Jun 24 Enroll'!E$1,FALSE)=VLOOKUP($A4,'ESA Calculations 2425'!$A$4:$AE$37,5,FALSE),VLOOKUP($A4,EnrollData2324,'2324 Jun 24 Enroll'!E$1,FALSE),VLOOKUP($A4,'ESA Calculations 2425'!$A$4:$AE$37,5,FALSE))*S4,3)</f>
        <v>3.3109999999999999</v>
      </c>
      <c r="V4">
        <f>ROUND(IF(VLOOKUP($A4,EnrollData2324,'2324 Jun 24 Enroll'!F$1,FALSE)=VLOOKUP($A4,'ESA Calculations 2425'!$A$4:$AE$37,6,FALSE),VLOOKUP($A4,EnrollData2324,'2324 Jun 24 Enroll'!F$1,FALSE),VLOOKUP($A4,'ESA Calculations 2425'!$A$4:$AE$37,6,FALSE))*Apport_224A2425,3)</f>
        <v>0.91</v>
      </c>
      <c r="W4">
        <f>ROUND(IF(VLOOKUP($A4,EnrollData2324,'2324 Jun 24 Enroll'!G$1,FALSE)=VLOOKUP($A4,'ESA Calculations 2425'!$A$4:$AE$37,7,FALSE),VLOOKUP($A4,EnrollData2324,'2324 Jun 24 Enroll'!G$1,FALSE),VLOOKUP($A4,'ESA Calculations 2425'!$A$4:$AE$37,7,FALSE))*Apport_212A2425,3)</f>
        <v>1.5169999999999999</v>
      </c>
      <c r="X4">
        <f>ROUND(IF(VLOOKUP($A4,EnrollData2324,'2324 Jun 24 Enroll'!H$1,FALSE)=VLOOKUP($A4,'ESA Calculations 2425'!$A$4:$AE$37,8,FALSE),VLOOKUP($A4,EnrollData2324,'2324 Jun 24 Enroll'!H$1,FALSE),VLOOKUP($A4,'ESA Calculations 2425'!$A$4:$AE$37,8,FALSE))*Apport_215A2425,3)</f>
        <v>1.7689999999999999</v>
      </c>
      <c r="Y4">
        <f>ROUND(IF(VLOOKUP($A4,EnrollData2324,'2324 Jun 24 Enroll'!I$1,FALSE)+VLOOKUP($A4,EnrollData2324,'2324 Jun 24 Enroll'!M$1,FALSE)-VLOOKUP($A4,EnrollData2324,'2324 Jun 24 Enroll'!J$1,FALSE)=VLOOKUP($A4,'ESA Calculations 2425'!$A$4:$AE$37,9,FALSE)+VLOOKUP($A4,'ESA Calculations 2425'!$A$4:$AE$37,18,FALSE)-VLOOKUP($A4,'ESA Calculations 2425'!$A$4:$AE$37,10,FALSE),VLOOKUP($A4,EnrollData2324,'2324 Jun 24 Enroll'!I$1,FALSE)+VLOOKUP($A4,EnrollData2324,'2324 Jun 24 Enroll'!M$1,FALSE)-VLOOKUP($A4,EnrollData2324,'2324 Jun 24 Enroll'!J$1,FALSE),VLOOKUP($A4,'ESA Calculations 2425'!$A$4:$AE$37,9,FALSE)+VLOOKUP($A4,'ESA Calculations 2425'!$A$4:$AE$37,18,FALSE)-VLOOKUP($A4,'ESA Calculations 2425'!$A$4:$AE$37,10,FALSE))*Apport_218A2425,3)</f>
        <v>4.0839999999999996</v>
      </c>
      <c r="Z4">
        <f>ROUND(SUM(T4:Y4)/IF(VLOOKUP($A4,EnrollData2324,'2324 Jun 24 Enroll'!M$1,FALSE)+VLOOKUP($A4,EnrollData2324,'2324 Jun 24 Enroll'!D$1,FALSE)=VLOOKUP($A4,'ESA Calculations 2425'!$A$4:$AE$37,18,FALSE)+VLOOKUP($A4,'ESA Calculations 2425'!$A$4:$AE$37,4,FALSE),VLOOKUP($A4,EnrollData2324,'2324 Jun 24 Enroll'!M$1,FALSE)+VLOOKUP($A4,EnrollData2324,'2324 Jun 24 Enroll'!D$1,FALSE),VLOOKUP($A4,'ESA Calculations 2425'!$A$4:$AE$37,18,FALSE)+VLOOKUP($A4,'ESA Calculations 2425'!$A$4:$AE$37,4,FALSE)),5)</f>
        <v>1.787E-2</v>
      </c>
      <c r="AA4" s="6">
        <f>ROUND($J4*CIS_Base_Salary2425*VLOOKUP($A4,EnrollData2324,'2324 Jun 24 Enroll'!AH$1,FALSE),2)</f>
        <v>4285.3100000000004</v>
      </c>
      <c r="AB4" s="6">
        <f>ROUND($J4*CIS_Inc_Salary2425*(VLOOKUP($A4,EnrollData2324,'2324 Jun 24 Enroll'!AI$1,FALSE)+VLOOKUP($A4,EnrollData2324,'2324 Jun 24 Enroll'!AJ$1,FALSE)),2)-AA4</f>
        <v>158.52999999999975</v>
      </c>
      <c r="AC4" s="6" cm="1">
        <f t="array" ref="AC4">ROUND($R4*CAS_Base_Salary2425*VLOOKUP($A4,EnrollData2324,'2324 Jun 24 Enroll'!AH$1,FALSE),2)</f>
        <v>463.47</v>
      </c>
      <c r="AD4" s="6">
        <f>ROUND($R4*CAS_Inc_Salary2425*VLOOKUP($A4,EnrollData2324,'2324 Jun 24 Enroll'!AI$1,FALSE),2)-AC4</f>
        <v>17.149999999999977</v>
      </c>
      <c r="AE4" s="6">
        <f>ROUND($Z4*CLS_Base_Salary2425*VLOOKUP($A4,EnrollData2324,'2324 Jun 24 Enroll'!AH$1,FALSE),2)</f>
        <v>966.82</v>
      </c>
      <c r="AF4" s="6">
        <f>ROUND($Z4*CLS_Inc_Salary2425*VLOOKUP($A4,EnrollData2324,'2324 Jun 24 Enroll'!AI$1,FALSE),2)-AE4</f>
        <v>35.779999999999973</v>
      </c>
      <c r="AG4" cm="1">
        <f t="array" ref="AG4">ROUND(($J4+$R4)*Apport_124X2425,2)</f>
        <v>804.67</v>
      </c>
      <c r="AH4" s="69" cm="1">
        <f t="array" ref="AH4">ROUND(($J4+$R4)*Apport_621X2425*Apport_125XC2425,2)-AG4</f>
        <v>74.300000000000068</v>
      </c>
      <c r="AI4" cm="1">
        <f t="array" ref="AI4">ROUND($Z4*Apport_124X2425,2)</f>
        <v>235.88</v>
      </c>
      <c r="AJ4">
        <f t="shared" ref="AJ4:AJ36" si="3">ROUND($Z4*Apport_621X2425*Apport_125X2425,2)-AI4</f>
        <v>125.35000000000002</v>
      </c>
      <c r="AK4">
        <f t="shared" ref="AK4:AK36" si="4">ROUND((AA4+AC4)*Apport_126X2425,2)</f>
        <v>861.9</v>
      </c>
      <c r="AL4">
        <f t="shared" ref="AL4:AL36" si="5">ROUND((AB4+AD4)*Apport_127X2425,2)</f>
        <v>30.76</v>
      </c>
      <c r="AM4">
        <f t="shared" ref="AM4:AM36" si="6">ROUND(AE4*Apport_128X2425,2)</f>
        <v>209.41</v>
      </c>
      <c r="AN4">
        <f t="shared" ref="AN4:AN36" si="7">ROUND(AF4*Apport_129X2425,2)</f>
        <v>6.5</v>
      </c>
      <c r="AO4">
        <f>ROUND(($J4*CIS_Inc_Salary2425*(VLOOKUP($A4,EnrollData2324,'2324 Jun 24 Enroll'!AI$1,FALSE)+VLOOKUP($A4,EnrollData2324,'2324 Jun 24 Enroll'!AJ$1,FALSE))/Apport_613Xpd)*Apport_614Xpd,2)</f>
        <v>74.06</v>
      </c>
      <c r="AP4">
        <f t="shared" ref="AP4:AP36" si="8">ROUND(AO4*Apport_127X2425,2)</f>
        <v>12.97</v>
      </c>
      <c r="AQ4">
        <f t="shared" ref="AQ4:AQ6" si="9">ROUND((J4*Apport_581X)*(Apport_116X*Apport_132X),2)</f>
        <v>31.65</v>
      </c>
      <c r="AR4" s="6">
        <f>ROUND((IF(VLOOKUP($A4,EnrollData2324,'2324 Jun 24 Enroll'!D$1,FALSE)=VLOOKUP($A4,'ESA Calculations 2425'!$A$4:$AE$37,4,FALSE),VLOOKUP($A4,EnrollData2324,'2324 Jun 24 Enroll'!D$1,FALSE),VLOOKUP($A4,'ESA Calculations 2425'!$A$4:$AE$37,4,FALSE))*Apport_M802425+IF(VLOOKUP($A4,EnrollData2324,'2324 Jun 24 Enroll'!M$1,FALSE)=VLOOKUP($A4,'ESA Calculations 2425'!$A$4:$AE$37,18,FALSE),VLOOKUP($A4,EnrollData2324,'2324 Jun 24 Enroll'!M$1,FALSE),VLOOKUP($A4,'ESA Calculations 2425'!$A$4:$AE$37,18,FALSE))*Apport_M802425+IF((VLOOKUP($A4,EnrollData2324,'2324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Enroll'!L$1,FALSE))=VLOOKUP($A4,EnrollData2324,'2324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Enroll'!L$1,FALSE),(VLOOKUP($A4,EnrollData2324,'2324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Enroll'!L$1,FALSE)),(VLOOKUP($A4,EnrollData2324,'2324 Jun 24 Enroll'!P$1,FALSE)+VLOOKUP($A4,EnrollData2324,'2324 Jun 24 Enroll'!Q$1,FALSE)+VLOOKUP($A4,EnrollData2324,'2324 Jun 24 Enroll'!R$1,FALSE)+VLOOKUP($A4,EnrollData2324,'2324 Jun 24 Enroll'!I$1,FALSE)+VLOOKUP($A4,EnrollData2324,'2324 Jun 24 Enroll'!N$1,FALSE)+VLOOKUP($A4,EnrollData2324,'2324 Jun 24 Enroll'!O$1,FALSE)+VLOOKUP($A4,EnrollData2324,'2324 Jun 24 Enroll'!K$1,FALSE)+VLOOKUP($A4,EnrollData2324,'2324 Jun 24 Enroll'!L$1,FALSE)))*Apport_M812425)/(IF(VLOOKUP($A4,EnrollData2324,'2324 Jun 24 Enroll'!M$1,FALSE)=VLOOKUP($A4,'ESA Calculations 2425'!$A$4:$AE$37,18,FALSE),VLOOKUP($A4,EnrollData2324,'2324 Jun 24 Enroll'!M$1,FALSE),VLOOKUP($A4,'ESA Calculations 2425'!$A$4:$AE$37,18,FALSE))+IF(VLOOKUP($A4,EnrollData2324,'2324 Jun 24 Enroll'!D$1,FALSE)=VLOOKUP($A4,'ESA Calculations 2425'!$A$4:$AE$37,4,FALSE),VLOOKUP($A4,EnrollData2324,'2324 Jun 24 Enroll'!D$1,FALSE),VLOOKUP($A4,'ESA Calculations 2425'!$A$4:$AE$37,4,FALSE))),2)</f>
        <v>1606.62</v>
      </c>
      <c r="AS4" s="7">
        <f t="shared" ref="AS4:AS6" si="10">SUM(AA4:AR4)</f>
        <v>10001.129999999997</v>
      </c>
      <c r="AT4" s="6">
        <f>IF(VLOOKUP($A4,EnrollData2324,'2324 Jun 24 Enroll'!AA$1,FALSE)=VLOOKUP($A4,'ESA Calculations 2425'!$A$4:$AE$37,24,FALSE),VLOOKUP($A4,EnrollData2324,'2324 Jun 24 Enroll'!AA$1,FALSE),VLOOKUP($A4,'ESA Calculations 2425'!$A$4:$AE$37,24,FALSE))</f>
        <v>649.23</v>
      </c>
    </row>
    <row r="5" spans="1:49">
      <c r="A5" s="104" t="s">
        <v>450</v>
      </c>
      <c r="B5" s="104" t="s">
        <v>451</v>
      </c>
      <c r="C5" s="11">
        <f>ROUND((IFERROR((1/IF(VLOOKUP($A5,EnrollData2324,28,FALSE)=VLOOKUP($A5,'ESA Calculations 2425'!$A$4:$AE$37,3,FALSE),VLOOKUP($A5,EnrollData2324,28,FALSE),VLOOKUP($A5,'ESA Calculations 2425'!$A$4:$AE$37,3,FALSE)))*(1+Apport_Z315),0))+Apport_201A2425,6)</f>
        <v>7.4580999999999995E-2</v>
      </c>
      <c r="D5">
        <f>ROUND(IF(VLOOKUP($A5,EnrollData2324,'2324 Jun 24 Enroll'!D$1,FALSE)=VLOOKUP($A5,'ESA Calculations 2425'!$A$4:$AE$37,4,FALSE),VLOOKUP($A5,EnrollData2324,'2324 Jun 24 Enroll'!D$1,FALSE),VLOOKUP($A5,'ESA Calculations 2425'!$A$4:$AE$37,4,FALSE))*C5,3)</f>
        <v>0</v>
      </c>
      <c r="E5">
        <f>ROUND(IF(VLOOKUP($A5,EnrollData2324,'2324 Jun 24 Enroll'!E$1,FALSE)=VLOOKUP($A5,'ESA Calculations 2425'!$A$4:$AE$37,5,FALSE),VLOOKUP($A5,EnrollData2324,'2324 Jun 24 Enroll'!E$1,FALSE),VLOOKUP($A5,'ESA Calculations 2425'!$A$4:$AE$37,5,FALSE))*C5,3)</f>
        <v>10.345000000000001</v>
      </c>
      <c r="F5">
        <f>ROUND(IF(VLOOKUP($A5,EnrollData2324,'2324 Jun 24 Enroll'!F$1,FALSE)=VLOOKUP($A5,'ESA Calculations 2425'!$A$4:$AE$37,6,FALSE),VLOOKUP($A5,EnrollData2324,'2324 Jun 24 Enroll'!F$1,FALSE),VLOOKUP($A5,'ESA Calculations 2425'!$A$4:$AE$37,6,FALSE))*Apport_222A2425,3)</f>
        <v>1.3540000000000001</v>
      </c>
      <c r="G5">
        <f>ROUND(IF(VLOOKUP($A5,EnrollData2324,'2324 Jun 24 Enroll'!G$1,FALSE)=VLOOKUP($A5,'ESA Calculations 2425'!$A$4:$AE$37,7,FALSE),VLOOKUP($A5,EnrollData2324,'2324 Jun 24 Enroll'!G$1,FALSE),VLOOKUP($A5,'ESA Calculations 2425'!$A$4:$AE$37,7,FALSE))*Apport_210A2425,3)</f>
        <v>3.6920000000000002</v>
      </c>
      <c r="H5">
        <f>ROUND(IF(VLOOKUP($A5,EnrollData2324,'2324 Jun 24 Enroll'!H$1,FALSE)=VLOOKUP($A5,'ESA Calculations 2425'!$A$4:$AE$37,8,FALSE),VLOOKUP($A5,EnrollData2324,'2324 Jun 24 Enroll'!H$1,FALSE),VLOOKUP($A5,'ESA Calculations 2425'!$A$4:$AE$37,8,FALSE))*Apport_213A2425,3)</f>
        <v>2.351</v>
      </c>
      <c r="I5">
        <f>ROUND(IF(VLOOKUP($A5,EnrollData2324,'2324 Jun 24 Enroll'!I$1,FALSE)+VLOOKUP($A5,EnrollData2324,'2324 Jun 24 Enroll'!M$1,FALSE)-VLOOKUP($A5,EnrollData2324,'2324 Jun 24 Enroll'!J$1,FALSE)=VLOOKUP($A5,'ESA Calculations 2425'!$A$4:$AE$37,9,FALSE)+VLOOKUP($A5,'ESA Calculations 2425'!$A$4:$AE$37,18,FALSE)-VLOOKUP($A5,'ESA Calculations 2425'!$A$4:$AE$37,10,FALSE),VLOOKUP($A5,EnrollData2324,'2324 Jun 24 Enroll'!I$1,FALSE)+VLOOKUP($A5,EnrollData2324,'2324 Jun 24 Enroll'!M$1,FALSE)-VLOOKUP($A5,EnrollData2324,'2324 Jun 24 Enroll'!J$1,FALSE),VLOOKUP($A5,'ESA Calculations 2425'!$A$4:$AE$37,9,FALSE)+VLOOKUP($A5,'ESA Calculations 2425'!$A$4:$AE$37,18,FALSE)-VLOOKUP($A5,'ESA Calculations 2425'!$A$4:$AE$37,10,FALSE))*Apport_216A2425,3)</f>
        <v>4.6829999999999998</v>
      </c>
      <c r="J5">
        <f>ROUND(SUM(D5:I5)/IF(VLOOKUP($A5,EnrollData2324,'2324 Jun 24 Enroll'!M$1,FALSE)+VLOOKUP($A5,EnrollData2324,'2324 Jun 24 Enroll'!D$1,FALSE)=VLOOKUP($A5,'ESA Calculations 2425'!$A$4:$AE$37,18,FALSE)+VLOOKUP($A5,'ESA Calculations 2425'!$A$4:$AE$37,4,FALSE),VLOOKUP($A5,EnrollData2324,'2324 Jun 24 Enroll'!M$1,FALSE)+VLOOKUP($A5,EnrollData2324,'2324 Jun 24 Enroll'!D$1,FALSE),VLOOKUP($A5,'ESA Calculations 2425'!$A$4:$AE$37,18,FALSE)+VLOOKUP($A5,'ESA Calculations 2425'!$A$4:$AE$37,4,FALSE)),5)</f>
        <v>5.8970000000000002E-2</v>
      </c>
      <c r="K5" s="11">
        <f t="shared" si="1"/>
        <v>4.385E-3</v>
      </c>
      <c r="L5">
        <f>ROUND(IF(VLOOKUP($A5,EnrollData2324,'2324 Jun 24 Enroll'!D$1,FALSE)=VLOOKUP($A5,'ESA Calculations 2425'!$A$4:$AE$37,4,FALSE),VLOOKUP($A5,EnrollData2324,'2324 Jun 24 Enroll'!D$1,FALSE),VLOOKUP($A5,'ESA Calculations 2425'!$A$4:$AE$37,4,FALSE))*K5,3)</f>
        <v>0</v>
      </c>
      <c r="M5">
        <f>ROUND(IF(VLOOKUP($A5,EnrollData2324,'2324 Jun 24 Enroll'!E$1,FALSE)=VLOOKUP($A5,'ESA Calculations 2425'!$A$4:$AE$37,5,FALSE),VLOOKUP($A5,EnrollData2324,'2324 Jun 24 Enroll'!E$1,FALSE),VLOOKUP($A5,'ESA Calculations 2425'!$A$4:$AE$37,5,FALSE))*K5,3)</f>
        <v>0.60799999999999998</v>
      </c>
      <c r="N5">
        <f>ROUND(IF(VLOOKUP($A5,EnrollData2324,'2324 Jun 24 Enroll'!F$1,FALSE)=VLOOKUP($A5,'ESA Calculations 2425'!$A$4:$AE$37,6,FALSE),VLOOKUP($A5,EnrollData2324,'2324 Jun 24 Enroll'!F$1,FALSE),VLOOKUP($A5,'ESA Calculations 2425'!$A$4:$AE$37,6,FALSE))*Apport_223A2425,3)</f>
        <v>0.111</v>
      </c>
      <c r="O5">
        <f>ROUND(IF(VLOOKUP($A5,EnrollData2324,'2324 Jun 24 Enroll'!G$1,FALSE)=VLOOKUP($A5,'ESA Calculations 2425'!$A$4:$AE$37,7,FALSE),VLOOKUP($A5,EnrollData2324,'2324 Jun 24 Enroll'!G$1,FALSE),VLOOKUP($A5,'ESA Calculations 2425'!$A$4:$AE$37,7,FALSE))*Apport_211A2425,3)</f>
        <v>0.30199999999999999</v>
      </c>
      <c r="P5">
        <f>ROUND(IF(VLOOKUP($A5,EnrollData2324,'2324 Jun 24 Enroll'!H$1,FALSE)=VLOOKUP($A5,'ESA Calculations 2425'!$A$4:$AE$37,8,FALSE),VLOOKUP($A5,EnrollData2324,'2324 Jun 24 Enroll'!H$1,FALSE),VLOOKUP($A5,'ESA Calculations 2425'!$A$4:$AE$37,8,FALSE))*Apport_214A2425,3)</f>
        <v>0.192</v>
      </c>
      <c r="Q5">
        <f>ROUND(IF(VLOOKUP($A5,EnrollData2324,'2324 Jun 24 Enroll'!I$1,FALSE)+VLOOKUP($A5,EnrollData2324,'2324 Jun 24 Enroll'!M$1,FALSE)-VLOOKUP($A5,EnrollData2324,'2324 Jun 24 Enroll'!J$1,FALSE)=VLOOKUP($A5,'ESA Calculations 2425'!$A$4:$AE$37,9,FALSE)+VLOOKUP($A5,'ESA Calculations 2425'!$A$4:$AE$37,18,FALSE)-VLOOKUP($A5,'ESA Calculations 2425'!$A$4:$AE$37,10,FALSE),VLOOKUP($A5,EnrollData2324,'2324 Jun 24 Enroll'!I$1,FALSE)+VLOOKUP($A5,EnrollData2324,'2324 Jun 24 Enroll'!M$1,FALSE)-VLOOKUP($A5,EnrollData2324,'2324 Jun 24 Enroll'!J$1,FALSE),VLOOKUP($A5,'ESA Calculations 2425'!$A$4:$AE$37,9,FALSE)+VLOOKUP($A5,'ESA Calculations 2425'!$A$4:$AE$37,18,FALSE)-VLOOKUP($A5,'ESA Calculations 2425'!$A$4:$AE$37,10,FALSE))*Apport_217A2425,3)</f>
        <v>0.374</v>
      </c>
      <c r="R5">
        <f>ROUND(SUM(L5:Q5)/IF(VLOOKUP($A5,EnrollData2324,'2324 Jun 24 Enroll'!M$1,FALSE)+VLOOKUP($A5,EnrollData2324,'2324 Jun 24 Enroll'!D$1,FALSE)=VLOOKUP($A5,'ESA Calculations 2425'!$A$4:$AE$37,18,FALSE)+VLOOKUP($A5,'ESA Calculations 2425'!$A$4:$AE$37,4,FALSE),VLOOKUP($A5,EnrollData2324,'2324 Jun 24 Enroll'!M$1,FALSE)+VLOOKUP($A5,EnrollData2324,'2324 Jun 24 Enroll'!D$1,FALSE),VLOOKUP($A5,'ESA Calculations 2425'!$A$4:$AE$37,18,FALSE)+VLOOKUP($A5,'ESA Calculations 2425'!$A$4:$AE$37,4,FALSE)),5)</f>
        <v>4.1700000000000001E-3</v>
      </c>
      <c r="S5" s="11">
        <f t="shared" si="2"/>
        <v>1.8734299999999999E-2</v>
      </c>
      <c r="T5">
        <f>ROUND(IF(VLOOKUP($A5,EnrollData2324,'2324 Jun 24 Enroll'!D$1,FALSE)=VLOOKUP($A5,'ESA Calculations 2425'!$A$4:$AE$37,4,FALSE),VLOOKUP($A5,EnrollData2324,'2324 Jun 24 Enroll'!D$1,FALSE),VLOOKUP($A5,'ESA Calculations 2425'!$A$4:$AE$37,4,FALSE))*S5,3)</f>
        <v>0</v>
      </c>
      <c r="U5">
        <f>ROUND(IF(VLOOKUP($A5,EnrollData2324,'2324 Jun 24 Enroll'!E$1,FALSE)=VLOOKUP($A5,'ESA Calculations 2425'!$A$4:$AE$37,5,FALSE),VLOOKUP($A5,EnrollData2324,'2324 Jun 24 Enroll'!E$1,FALSE),VLOOKUP($A5,'ESA Calculations 2425'!$A$4:$AE$37,5,FALSE))*S5,3)</f>
        <v>2.5990000000000002</v>
      </c>
      <c r="V5">
        <f>ROUND(IF(VLOOKUP($A5,EnrollData2324,'2324 Jun 24 Enroll'!F$1,FALSE)=VLOOKUP($A5,'ESA Calculations 2425'!$A$4:$AE$37,6,FALSE),VLOOKUP($A5,EnrollData2324,'2324 Jun 24 Enroll'!F$1,FALSE),VLOOKUP($A5,'ESA Calculations 2425'!$A$4:$AE$37,6,FALSE))*Apport_224A2425,3)</f>
        <v>0.48599999999999999</v>
      </c>
      <c r="W5">
        <f>ROUND(IF(VLOOKUP($A5,EnrollData2324,'2324 Jun 24 Enroll'!G$1,FALSE)=VLOOKUP($A5,'ESA Calculations 2425'!$A$4:$AE$37,7,FALSE),VLOOKUP($A5,EnrollData2324,'2324 Jun 24 Enroll'!G$1,FALSE),VLOOKUP($A5,'ESA Calculations 2425'!$A$4:$AE$37,7,FALSE))*Apport_212A2425,3)</f>
        <v>1.325</v>
      </c>
      <c r="X5">
        <f>ROUND(IF(VLOOKUP($A5,EnrollData2324,'2324 Jun 24 Enroll'!H$1,FALSE)=VLOOKUP($A5,'ESA Calculations 2425'!$A$4:$AE$37,8,FALSE),VLOOKUP($A5,EnrollData2324,'2324 Jun 24 Enroll'!H$1,FALSE),VLOOKUP($A5,'ESA Calculations 2425'!$A$4:$AE$37,8,FALSE))*Apport_215A2425,3)</f>
        <v>0.83099999999999996</v>
      </c>
      <c r="Y5">
        <f>ROUND(IF(VLOOKUP($A5,EnrollData2324,'2324 Jun 24 Enroll'!I$1,FALSE)+VLOOKUP($A5,EnrollData2324,'2324 Jun 24 Enroll'!M$1,FALSE)-VLOOKUP($A5,EnrollData2324,'2324 Jun 24 Enroll'!J$1,FALSE)=VLOOKUP($A5,'ESA Calculations 2425'!$A$4:$AE$37,9,FALSE)+VLOOKUP($A5,'ESA Calculations 2425'!$A$4:$AE$37,18,FALSE)-VLOOKUP($A5,'ESA Calculations 2425'!$A$4:$AE$37,10,FALSE),VLOOKUP($A5,EnrollData2324,'2324 Jun 24 Enroll'!I$1,FALSE)+VLOOKUP($A5,EnrollData2324,'2324 Jun 24 Enroll'!M$1,FALSE)-VLOOKUP($A5,EnrollData2324,'2324 Jun 24 Enroll'!J$1,FALSE),VLOOKUP($A5,'ESA Calculations 2425'!$A$4:$AE$37,9,FALSE)+VLOOKUP($A5,'ESA Calculations 2425'!$A$4:$AE$37,18,FALSE)-VLOOKUP($A5,'ESA Calculations 2425'!$A$4:$AE$37,10,FALSE))*Apport_218A2425,3)</f>
        <v>1.6060000000000001</v>
      </c>
      <c r="Z5">
        <f>ROUND(SUM(T5:Y5)/IF(VLOOKUP($A5,EnrollData2324,'2324 Jun 24 Enroll'!M$1,FALSE)+VLOOKUP($A5,EnrollData2324,'2324 Jun 24 Enroll'!D$1,FALSE)=VLOOKUP($A5,'ESA Calculations 2425'!$A$4:$AE$37,18,FALSE)+VLOOKUP($A5,'ESA Calculations 2425'!$A$4:$AE$37,4,FALSE),VLOOKUP($A5,EnrollData2324,'2324 Jun 24 Enroll'!M$1,FALSE)+VLOOKUP($A5,EnrollData2324,'2324 Jun 24 Enroll'!D$1,FALSE),VLOOKUP($A5,'ESA Calculations 2425'!$A$4:$AE$37,18,FALSE)+VLOOKUP($A5,'ESA Calculations 2425'!$A$4:$AE$37,4,FALSE)),5)</f>
        <v>1.7999999999999999E-2</v>
      </c>
      <c r="AA5" s="6">
        <f>ROUND($J5*CIS_Base_Salary2425*VLOOKUP($A5,EnrollData2324,'2324 Jun 24 Enroll'!AH$1,FALSE),2)</f>
        <v>4447.46</v>
      </c>
      <c r="AB5" s="6">
        <f>ROUND($J5*CIS_Inc_Salary2425*(VLOOKUP($A5,EnrollData2324,'2324 Jun 24 Enroll'!AI$1,FALSE)+VLOOKUP($A5,EnrollData2324,'2324 Jun 24 Enroll'!AJ$1,FALSE)),2)-AA5</f>
        <v>349</v>
      </c>
      <c r="AC5" s="6" cm="1">
        <f t="array" ref="AC5">ROUND($R5*CAS_Base_Salary2425*VLOOKUP($A5,EnrollData2324,'2324 Jun 24 Enroll'!AH$1,FALSE),2)</f>
        <v>466.83</v>
      </c>
      <c r="AD5" s="6">
        <f>ROUND($R5*CAS_Inc_Salary2425*VLOOKUP($A5,EnrollData2324,'2324 Jun 24 Enroll'!AI$1,FALSE),2)-AC5</f>
        <v>17.270000000000039</v>
      </c>
      <c r="AE5" s="6">
        <f>ROUND($Z5*CLS_Base_Salary2425*VLOOKUP($A5,EnrollData2324,'2324 Jun 24 Enroll'!AH$1,FALSE),2)</f>
        <v>973.85</v>
      </c>
      <c r="AF5" s="6">
        <f>ROUND($Z5*CLS_Inc_Salary2425*VLOOKUP($A5,EnrollData2324,'2324 Jun 24 Enroll'!AI$1,FALSE),2)-AE5</f>
        <v>36.039999999999964</v>
      </c>
      <c r="AG5" cm="1">
        <f t="array" ref="AG5">ROUND(($J5+$R5)*Apport_124X2425,2)</f>
        <v>833.45</v>
      </c>
      <c r="AH5" s="69" cm="1">
        <f t="array" ref="AH5">ROUND(($J5+$R5)*Apport_621X2425*Apport_125XC2425,2)-AG5</f>
        <v>76.949999999999932</v>
      </c>
      <c r="AI5" cm="1">
        <f t="array" ref="AI5">ROUND($Z5*Apport_124X2425,2)</f>
        <v>237.6</v>
      </c>
      <c r="AJ5">
        <f t="shared" si="3"/>
        <v>126.26000000000002</v>
      </c>
      <c r="AK5">
        <f t="shared" si="4"/>
        <v>891.94</v>
      </c>
      <c r="AL5">
        <f t="shared" si="5"/>
        <v>64.13</v>
      </c>
      <c r="AM5">
        <f t="shared" si="6"/>
        <v>210.94</v>
      </c>
      <c r="AN5">
        <f t="shared" si="7"/>
        <v>6.54</v>
      </c>
      <c r="AO5">
        <f>ROUND(($J5*CIS_Inc_Salary2425*(VLOOKUP($A5,EnrollData2324,'2324 Jun 24 Enroll'!AI$1,FALSE)+VLOOKUP($A5,EnrollData2324,'2324 Jun 24 Enroll'!AJ$1,FALSE))/Apport_613Xpd)*Apport_614Xpd,2)</f>
        <v>79.94</v>
      </c>
      <c r="AP5">
        <f t="shared" si="8"/>
        <v>14</v>
      </c>
      <c r="AQ5">
        <f t="shared" si="9"/>
        <v>32.85</v>
      </c>
      <c r="AR5" s="6">
        <f>ROUND((IF(VLOOKUP($A5,EnrollData2324,'2324 Jun 24 Enroll'!D$1,FALSE)=VLOOKUP($A5,'ESA Calculations 2425'!$A$4:$AE$37,4,FALSE),VLOOKUP($A5,EnrollData2324,'2324 Jun 24 Enroll'!D$1,FALSE),VLOOKUP($A5,'ESA Calculations 2425'!$A$4:$AE$37,4,FALSE))*Apport_M802425+IF(VLOOKUP($A5,EnrollData2324,'2324 Jun 24 Enroll'!M$1,FALSE)=VLOOKUP($A5,'ESA Calculations 2425'!$A$4:$AE$37,18,FALSE),VLOOKUP($A5,EnrollData2324,'2324 Jun 24 Enroll'!M$1,FALSE),VLOOKUP($A5,'ESA Calculations 2425'!$A$4:$AE$37,18,FALSE))*Apport_M802425+IF((VLOOKUP($A5,EnrollData2324,'2324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Enroll'!L$1,FALSE))=VLOOKUP($A5,EnrollData2324,'2324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Enroll'!L$1,FALSE),(VLOOKUP($A5,EnrollData2324,'2324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Enroll'!L$1,FALSE)),(VLOOKUP($A5,EnrollData2324,'2324 Jun 24 Enroll'!P$1,FALSE)+VLOOKUP($A5,EnrollData2324,'2324 Jun 24 Enroll'!Q$1,FALSE)+VLOOKUP($A5,EnrollData2324,'2324 Jun 24 Enroll'!R$1,FALSE)+VLOOKUP($A5,EnrollData2324,'2324 Jun 24 Enroll'!I$1,FALSE)+VLOOKUP($A5,EnrollData2324,'2324 Jun 24 Enroll'!N$1,FALSE)+VLOOKUP($A5,EnrollData2324,'2324 Jun 24 Enroll'!O$1,FALSE)+VLOOKUP($A5,EnrollData2324,'2324 Jun 24 Enroll'!K$1,FALSE)+VLOOKUP($A5,EnrollData2324,'2324 Jun 24 Enroll'!L$1,FALSE)))*Apport_M812425)/(IF(VLOOKUP($A5,EnrollData2324,'2324 Jun 24 Enroll'!M$1,FALSE)=VLOOKUP($A5,'ESA Calculations 2425'!$A$4:$AE$37,18,FALSE),VLOOKUP($A5,EnrollData2324,'2324 Jun 24 Enroll'!M$1,FALSE),VLOOKUP($A5,'ESA Calculations 2425'!$A$4:$AE$37,18,FALSE))+IF(VLOOKUP($A5,EnrollData2324,'2324 Jun 24 Enroll'!D$1,FALSE)=VLOOKUP($A5,'ESA Calculations 2425'!$A$4:$AE$37,4,FALSE),VLOOKUP($A5,EnrollData2324,'2324 Jun 24 Enroll'!D$1,FALSE),VLOOKUP($A5,'ESA Calculations 2425'!$A$4:$AE$37,4,FALSE))),2)</f>
        <v>1582.4</v>
      </c>
      <c r="AS5" s="7">
        <f t="shared" si="10"/>
        <v>10447.450000000003</v>
      </c>
      <c r="AT5" s="6">
        <f>IF(VLOOKUP($A5,EnrollData2324,'2324 Jun 24 Enroll'!AA$1,FALSE)=VLOOKUP($A5,'ESA Calculations 2425'!$A$4:$AE$37,24,FALSE),VLOOKUP($A5,EnrollData2324,'2324 Jun 24 Enroll'!AA$1,FALSE),VLOOKUP($A5,'ESA Calculations 2425'!$A$4:$AE$37,24,FALSE))</f>
        <v>386.18</v>
      </c>
    </row>
    <row r="6" spans="1:49">
      <c r="A6" s="104" t="s">
        <v>363</v>
      </c>
      <c r="B6" s="104" t="s">
        <v>364</v>
      </c>
      <c r="C6" s="11">
        <f>ROUND((IFERROR((1/IF(VLOOKUP($A6,EnrollData2324,28,FALSE)=VLOOKUP($A6,'ESA Calculations 2425'!$A$4:$AE$37,3,FALSE),VLOOKUP($A6,EnrollData2324,28,FALSE),VLOOKUP($A6,'ESA Calculations 2425'!$A$4:$AE$37,3,FALSE)))*(1+Apport_Z315),0))+Apport_201A2425,6)</f>
        <v>7.4580999999999995E-2</v>
      </c>
      <c r="D6">
        <f>ROUND(IF(VLOOKUP($A6,EnrollData2324,'2324 Jun 24 Enroll'!D$1,FALSE)=VLOOKUP($A6,'ESA Calculations 2425'!$A$4:$AE$37,4,FALSE),VLOOKUP($A6,EnrollData2324,'2324 Jun 24 Enroll'!D$1,FALSE),VLOOKUP($A6,'ESA Calculations 2425'!$A$4:$AE$37,4,FALSE))*C6,3)</f>
        <v>1.264</v>
      </c>
      <c r="E6">
        <f>ROUND(IF(VLOOKUP($A6,EnrollData2324,'2324 Jun 24 Enroll'!E$1,FALSE)=VLOOKUP($A6,'ESA Calculations 2425'!$A$4:$AE$37,5,FALSE),VLOOKUP($A6,EnrollData2324,'2324 Jun 24 Enroll'!E$1,FALSE),VLOOKUP($A6,'ESA Calculations 2425'!$A$4:$AE$37,5,FALSE))*C6,3)</f>
        <v>24.963000000000001</v>
      </c>
      <c r="F6">
        <f>ROUND(IF(VLOOKUP($A6,EnrollData2324,'2324 Jun 24 Enroll'!F$1,FALSE)=VLOOKUP($A6,'ESA Calculations 2425'!$A$4:$AE$37,6,FALSE),VLOOKUP($A6,EnrollData2324,'2324 Jun 24 Enroll'!F$1,FALSE),VLOOKUP($A6,'ESA Calculations 2425'!$A$4:$AE$37,6,FALSE))*Apport_222A2425,3)</f>
        <v>4.25</v>
      </c>
      <c r="G6">
        <f>ROUND(IF(VLOOKUP($A6,EnrollData2324,'2324 Jun 24 Enroll'!G$1,FALSE)=VLOOKUP($A6,'ESA Calculations 2425'!$A$4:$AE$37,7,FALSE),VLOOKUP($A6,EnrollData2324,'2324 Jun 24 Enroll'!G$1,FALSE),VLOOKUP($A6,'ESA Calculations 2425'!$A$4:$AE$37,7,FALSE))*Apport_210A2425,3)</f>
        <v>8.6709999999999994</v>
      </c>
      <c r="H6">
        <f>ROUND(IF(VLOOKUP($A6,EnrollData2324,'2324 Jun 24 Enroll'!H$1,FALSE)=VLOOKUP($A6,'ESA Calculations 2425'!$A$4:$AE$37,8,FALSE),VLOOKUP($A6,EnrollData2324,'2324 Jun 24 Enroll'!H$1,FALSE),VLOOKUP($A6,'ESA Calculations 2425'!$A$4:$AE$37,8,FALSE))*Apport_213A2425,3)</f>
        <v>8.6969999999999992</v>
      </c>
      <c r="I6">
        <f>ROUND(IF(VLOOKUP($A6,EnrollData2324,'2324 Jun 24 Enroll'!I$1,FALSE)+VLOOKUP($A6,EnrollData2324,'2324 Jun 24 Enroll'!M$1,FALSE)-VLOOKUP($A6,EnrollData2324,'2324 Jun 24 Enroll'!J$1,FALSE)=VLOOKUP($A6,'ESA Calculations 2425'!$A$4:$AE$37,9,FALSE)+VLOOKUP($A6,'ESA Calculations 2425'!$A$4:$AE$37,18,FALSE)-VLOOKUP($A6,'ESA Calculations 2425'!$A$4:$AE$37,10,FALSE),VLOOKUP($A6,EnrollData2324,'2324 Jun 24 Enroll'!I$1,FALSE)+VLOOKUP($A6,EnrollData2324,'2324 Jun 24 Enroll'!M$1,FALSE)-VLOOKUP($A6,EnrollData2324,'2324 Jun 24 Enroll'!J$1,FALSE),VLOOKUP($A6,'ESA Calculations 2425'!$A$4:$AE$37,9,FALSE)+VLOOKUP($A6,'ESA Calculations 2425'!$A$4:$AE$37,18,FALSE)-VLOOKUP($A6,'ESA Calculations 2425'!$A$4:$AE$37,10,FALSE))*Apport_216A2425,3)</f>
        <v>22.094000000000001</v>
      </c>
      <c r="J6">
        <f>ROUND(SUM(D6:I6)/IF(VLOOKUP($A6,EnrollData2324,'2324 Jun 24 Enroll'!M$1,FALSE)+VLOOKUP($A6,EnrollData2324,'2324 Jun 24 Enroll'!D$1,FALSE)=VLOOKUP($A6,'ESA Calculations 2425'!$A$4:$AE$37,18,FALSE)+VLOOKUP($A6,'ESA Calculations 2425'!$A$4:$AE$37,4,FALSE),VLOOKUP($A6,EnrollData2324,'2324 Jun 24 Enroll'!M$1,FALSE)+VLOOKUP($A6,EnrollData2324,'2324 Jun 24 Enroll'!D$1,FALSE),VLOOKUP($A6,'ESA Calculations 2425'!$A$4:$AE$37,18,FALSE)+VLOOKUP($A6,'ESA Calculations 2425'!$A$4:$AE$37,4,FALSE)),5)</f>
        <v>5.7189999999999998E-2</v>
      </c>
      <c r="K6" s="11">
        <f t="shared" si="1"/>
        <v>4.385E-3</v>
      </c>
      <c r="L6">
        <f>ROUND(IF(VLOOKUP($A6,EnrollData2324,'2324 Jun 24 Enroll'!D$1,FALSE)=VLOOKUP($A6,'ESA Calculations 2425'!$A$4:$AE$37,4,FALSE),VLOOKUP($A6,EnrollData2324,'2324 Jun 24 Enroll'!D$1,FALSE),VLOOKUP($A6,'ESA Calculations 2425'!$A$4:$AE$37,4,FALSE))*K6,3)</f>
        <v>7.3999999999999996E-2</v>
      </c>
      <c r="M6">
        <f>ROUND(IF(VLOOKUP($A6,EnrollData2324,'2324 Jun 24 Enroll'!E$1,FALSE)=VLOOKUP($A6,'ESA Calculations 2425'!$A$4:$AE$37,5,FALSE),VLOOKUP($A6,EnrollData2324,'2324 Jun 24 Enroll'!E$1,FALSE),VLOOKUP($A6,'ESA Calculations 2425'!$A$4:$AE$37,5,FALSE))*K6,3)</f>
        <v>1.468</v>
      </c>
      <c r="N6">
        <f>ROUND(IF(VLOOKUP($A6,EnrollData2324,'2324 Jun 24 Enroll'!F$1,FALSE)=VLOOKUP($A6,'ESA Calculations 2425'!$A$4:$AE$37,6,FALSE),VLOOKUP($A6,EnrollData2324,'2324 Jun 24 Enroll'!F$1,FALSE),VLOOKUP($A6,'ESA Calculations 2425'!$A$4:$AE$37,6,FALSE))*Apport_223A2425,3)</f>
        <v>0.34799999999999998</v>
      </c>
      <c r="O6">
        <f>ROUND(IF(VLOOKUP($A6,EnrollData2324,'2324 Jun 24 Enroll'!G$1,FALSE)=VLOOKUP($A6,'ESA Calculations 2425'!$A$4:$AE$37,7,FALSE),VLOOKUP($A6,EnrollData2324,'2324 Jun 24 Enroll'!G$1,FALSE),VLOOKUP($A6,'ESA Calculations 2425'!$A$4:$AE$37,7,FALSE))*Apport_211A2425,3)</f>
        <v>0.71</v>
      </c>
      <c r="P6">
        <f>ROUND(IF(VLOOKUP($A6,EnrollData2324,'2324 Jun 24 Enroll'!H$1,FALSE)=VLOOKUP($A6,'ESA Calculations 2425'!$A$4:$AE$37,8,FALSE),VLOOKUP($A6,EnrollData2324,'2324 Jun 24 Enroll'!H$1,FALSE),VLOOKUP($A6,'ESA Calculations 2425'!$A$4:$AE$37,8,FALSE))*Apport_214A2425,3)</f>
        <v>0.71</v>
      </c>
      <c r="Q6">
        <f>ROUND(IF(VLOOKUP($A6,EnrollData2324,'2324 Jun 24 Enroll'!I$1,FALSE)+VLOOKUP($A6,EnrollData2324,'2324 Jun 24 Enroll'!M$1,FALSE)-VLOOKUP($A6,EnrollData2324,'2324 Jun 24 Enroll'!J$1,FALSE)=VLOOKUP($A6,'ESA Calculations 2425'!$A$4:$AE$37,9,FALSE)+VLOOKUP($A6,'ESA Calculations 2425'!$A$4:$AE$37,18,FALSE)-VLOOKUP($A6,'ESA Calculations 2425'!$A$4:$AE$37,10,FALSE),VLOOKUP($A6,EnrollData2324,'2324 Jun 24 Enroll'!I$1,FALSE)+VLOOKUP($A6,EnrollData2324,'2324 Jun 24 Enroll'!M$1,FALSE)-VLOOKUP($A6,EnrollData2324,'2324 Jun 24 Enroll'!J$1,FALSE),VLOOKUP($A6,'ESA Calculations 2425'!$A$4:$AE$37,9,FALSE)+VLOOKUP($A6,'ESA Calculations 2425'!$A$4:$AE$37,18,FALSE)-VLOOKUP($A6,'ESA Calculations 2425'!$A$4:$AE$37,10,FALSE))*Apport_217A2425,3)</f>
        <v>1.7629999999999999</v>
      </c>
      <c r="R6">
        <f>ROUND(SUM(L6:Q6)/IF(VLOOKUP($A6,EnrollData2324,'2324 Jun 24 Enroll'!M$1,FALSE)+VLOOKUP($A6,EnrollData2324,'2324 Jun 24 Enroll'!D$1,FALSE)=VLOOKUP($A6,'ESA Calculations 2425'!$A$4:$AE$37,18,FALSE)+VLOOKUP($A6,'ESA Calculations 2425'!$A$4:$AE$37,4,FALSE),VLOOKUP($A6,EnrollData2324,'2324 Jun 24 Enroll'!M$1,FALSE)+VLOOKUP($A6,EnrollData2324,'2324 Jun 24 Enroll'!D$1,FALSE),VLOOKUP($A6,'ESA Calculations 2425'!$A$4:$AE$37,18,FALSE)+VLOOKUP($A6,'ESA Calculations 2425'!$A$4:$AE$37,4,FALSE)),5)</f>
        <v>4.15E-3</v>
      </c>
      <c r="S6" s="11">
        <f t="shared" si="2"/>
        <v>1.8734299999999999E-2</v>
      </c>
      <c r="T6">
        <f>ROUND(IF(VLOOKUP($A6,EnrollData2324,'2324 Jun 24 Enroll'!D$1,FALSE)=VLOOKUP($A6,'ESA Calculations 2425'!$A$4:$AE$37,4,FALSE),VLOOKUP($A6,EnrollData2324,'2324 Jun 24 Enroll'!D$1,FALSE),VLOOKUP($A6,'ESA Calculations 2425'!$A$4:$AE$37,4,FALSE))*S6,3)</f>
        <v>0.318</v>
      </c>
      <c r="U6">
        <f>ROUND(IF(VLOOKUP($A6,EnrollData2324,'2324 Jun 24 Enroll'!E$1,FALSE)=VLOOKUP($A6,'ESA Calculations 2425'!$A$4:$AE$37,5,FALSE),VLOOKUP($A6,EnrollData2324,'2324 Jun 24 Enroll'!E$1,FALSE),VLOOKUP($A6,'ESA Calculations 2425'!$A$4:$AE$37,5,FALSE))*S6,3)</f>
        <v>6.2709999999999999</v>
      </c>
      <c r="V6">
        <f>ROUND(IF(VLOOKUP($A6,EnrollData2324,'2324 Jun 24 Enroll'!F$1,FALSE)=VLOOKUP($A6,'ESA Calculations 2425'!$A$4:$AE$37,6,FALSE),VLOOKUP($A6,EnrollData2324,'2324 Jun 24 Enroll'!F$1,FALSE),VLOOKUP($A6,'ESA Calculations 2425'!$A$4:$AE$37,6,FALSE))*Apport_224A2425,3)</f>
        <v>1.526</v>
      </c>
      <c r="W6">
        <f>ROUND(IF(VLOOKUP($A6,EnrollData2324,'2324 Jun 24 Enroll'!G$1,FALSE)=VLOOKUP($A6,'ESA Calculations 2425'!$A$4:$AE$37,7,FALSE),VLOOKUP($A6,EnrollData2324,'2324 Jun 24 Enroll'!G$1,FALSE),VLOOKUP($A6,'ESA Calculations 2425'!$A$4:$AE$37,7,FALSE))*Apport_212A2425,3)</f>
        <v>3.113</v>
      </c>
      <c r="X6">
        <f>ROUND(IF(VLOOKUP($A6,EnrollData2324,'2324 Jun 24 Enroll'!H$1,FALSE)=VLOOKUP($A6,'ESA Calculations 2425'!$A$4:$AE$37,8,FALSE),VLOOKUP($A6,EnrollData2324,'2324 Jun 24 Enroll'!H$1,FALSE),VLOOKUP($A6,'ESA Calculations 2425'!$A$4:$AE$37,8,FALSE))*Apport_215A2425,3)</f>
        <v>3.0720000000000001</v>
      </c>
      <c r="Y6">
        <f>ROUND(IF(VLOOKUP($A6,EnrollData2324,'2324 Jun 24 Enroll'!I$1,FALSE)+VLOOKUP($A6,EnrollData2324,'2324 Jun 24 Enroll'!M$1,FALSE)-VLOOKUP($A6,EnrollData2324,'2324 Jun 24 Enroll'!J$1,FALSE)=VLOOKUP($A6,'ESA Calculations 2425'!$A$4:$AE$37,9,FALSE)+VLOOKUP($A6,'ESA Calculations 2425'!$A$4:$AE$37,18,FALSE)-VLOOKUP($A6,'ESA Calculations 2425'!$A$4:$AE$37,10,FALSE),VLOOKUP($A6,EnrollData2324,'2324 Jun 24 Enroll'!I$1,FALSE)+VLOOKUP($A6,EnrollData2324,'2324 Jun 24 Enroll'!M$1,FALSE)-VLOOKUP($A6,EnrollData2324,'2324 Jun 24 Enroll'!J$1,FALSE),VLOOKUP($A6,'ESA Calculations 2425'!$A$4:$AE$37,9,FALSE)+VLOOKUP($A6,'ESA Calculations 2425'!$A$4:$AE$37,18,FALSE)-VLOOKUP($A6,'ESA Calculations 2425'!$A$4:$AE$37,10,FALSE))*Apport_218A2425,3)</f>
        <v>7.5789999999999997</v>
      </c>
      <c r="Z6">
        <f>ROUND(SUM(T6:Y6)/IF(VLOOKUP($A6,EnrollData2324,'2324 Jun 24 Enroll'!M$1,FALSE)+VLOOKUP($A6,EnrollData2324,'2324 Jun 24 Enroll'!D$1,FALSE)=VLOOKUP($A6,'ESA Calculations 2425'!$A$4:$AE$37,18,FALSE)+VLOOKUP($A6,'ESA Calculations 2425'!$A$4:$AE$37,4,FALSE),VLOOKUP($A6,EnrollData2324,'2324 Jun 24 Enroll'!M$1,FALSE)+VLOOKUP($A6,EnrollData2324,'2324 Jun 24 Enroll'!D$1,FALSE),VLOOKUP($A6,'ESA Calculations 2425'!$A$4:$AE$37,18,FALSE)+VLOOKUP($A6,'ESA Calculations 2425'!$A$4:$AE$37,4,FALSE)),5)</f>
        <v>1.789E-2</v>
      </c>
      <c r="AA6" s="6">
        <f>ROUND($J6*CIS_Base_Salary2425*VLOOKUP($A6,EnrollData2324,'2324 Jun 24 Enroll'!AH$1,FALSE),2)</f>
        <v>4313.21</v>
      </c>
      <c r="AB6" s="6">
        <f>ROUND($J6*CIS_Inc_Salary2425*(VLOOKUP($A6,EnrollData2324,'2324 Jun 24 Enroll'!AI$1,FALSE)+VLOOKUP($A6,EnrollData2324,'2324 Jun 24 Enroll'!AJ$1,FALSE)),2)-AA6</f>
        <v>159.5600000000004</v>
      </c>
      <c r="AC6" s="6" cm="1">
        <f t="array" ref="AC6">ROUND($R6*CAS_Base_Salary2425*VLOOKUP($A6,EnrollData2324,'2324 Jun 24 Enroll'!AH$1,FALSE),2)</f>
        <v>464.59</v>
      </c>
      <c r="AD6" s="6">
        <f>ROUND($R6*CAS_Inc_Salary2425*VLOOKUP($A6,EnrollData2324,'2324 Jun 24 Enroll'!AI$1,FALSE),2)-AC6</f>
        <v>17.189999999999998</v>
      </c>
      <c r="AE6" s="6">
        <f>ROUND($Z6*CLS_Base_Salary2425*VLOOKUP($A6,EnrollData2324,'2324 Jun 24 Enroll'!AH$1,FALSE),2)</f>
        <v>967.9</v>
      </c>
      <c r="AF6" s="6">
        <f>ROUND($Z6*CLS_Inc_Salary2425*VLOOKUP($A6,EnrollData2324,'2324 Jun 24 Enroll'!AI$1,FALSE),2)-AE6</f>
        <v>35.82000000000005</v>
      </c>
      <c r="AG6" cm="1">
        <f t="array" ref="AG6">ROUND(($J6+$R6)*Apport_124X2425,2)</f>
        <v>809.69</v>
      </c>
      <c r="AH6" s="69" cm="1">
        <f t="array" ref="AH6">ROUND(($J6+$R6)*Apport_621X2425*Apport_125XC2425,2)-AG6</f>
        <v>74.75</v>
      </c>
      <c r="AI6" cm="1">
        <f t="array" ref="AI6">ROUND($Z6*Apport_124X2425,2)</f>
        <v>236.15</v>
      </c>
      <c r="AJ6">
        <f t="shared" si="3"/>
        <v>125.48999999999998</v>
      </c>
      <c r="AK6">
        <f t="shared" si="4"/>
        <v>867.17</v>
      </c>
      <c r="AL6">
        <f t="shared" si="5"/>
        <v>30.95</v>
      </c>
      <c r="AM6">
        <f t="shared" si="6"/>
        <v>209.65</v>
      </c>
      <c r="AN6">
        <f t="shared" si="7"/>
        <v>6.5</v>
      </c>
      <c r="AO6">
        <f>ROUND(($J6*CIS_Inc_Salary2425*(VLOOKUP($A6,EnrollData2324,'2324 Jun 24 Enroll'!AI$1,FALSE)+VLOOKUP($A6,EnrollData2324,'2324 Jun 24 Enroll'!AJ$1,FALSE))/Apport_613Xpd)*Apport_614Xpd,2)</f>
        <v>74.55</v>
      </c>
      <c r="AP6">
        <f t="shared" si="8"/>
        <v>13.05</v>
      </c>
      <c r="AQ6">
        <f t="shared" si="9"/>
        <v>31.86</v>
      </c>
      <c r="AR6" s="6">
        <f>ROUND((IF(VLOOKUP($A6,EnrollData2324,'2324 Jun 24 Enroll'!D$1,FALSE)=VLOOKUP($A6,'ESA Calculations 2425'!$A$4:$AE$37,4,FALSE),VLOOKUP($A6,EnrollData2324,'2324 Jun 24 Enroll'!D$1,FALSE),VLOOKUP($A6,'ESA Calculations 2425'!$A$4:$AE$37,4,FALSE))*Apport_M802425+IF(VLOOKUP($A6,EnrollData2324,'2324 Jun 24 Enroll'!M$1,FALSE)=VLOOKUP($A6,'ESA Calculations 2425'!$A$4:$AE$37,18,FALSE),VLOOKUP($A6,EnrollData2324,'2324 Jun 24 Enroll'!M$1,FALSE),VLOOKUP($A6,'ESA Calculations 2425'!$A$4:$AE$37,18,FALSE))*Apport_M802425+IF((VLOOKUP($A6,EnrollData2324,'2324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Enroll'!L$1,FALSE))=VLOOKUP($A6,EnrollData2324,'2324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Enroll'!L$1,FALSE),(VLOOKUP($A6,EnrollData2324,'2324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Enroll'!L$1,FALSE)),(VLOOKUP($A6,EnrollData2324,'2324 Jun 24 Enroll'!P$1,FALSE)+VLOOKUP($A6,EnrollData2324,'2324 Jun 24 Enroll'!Q$1,FALSE)+VLOOKUP($A6,EnrollData2324,'2324 Jun 24 Enroll'!R$1,FALSE)+VLOOKUP($A6,EnrollData2324,'2324 Jun 24 Enroll'!I$1,FALSE)+VLOOKUP($A6,EnrollData2324,'2324 Jun 24 Enroll'!N$1,FALSE)+VLOOKUP($A6,EnrollData2324,'2324 Jun 24 Enroll'!O$1,FALSE)+VLOOKUP($A6,EnrollData2324,'2324 Jun 24 Enroll'!K$1,FALSE)+VLOOKUP($A6,EnrollData2324,'2324 Jun 24 Enroll'!L$1,FALSE)))*Apport_M812425)/(IF(VLOOKUP($A6,EnrollData2324,'2324 Jun 24 Enroll'!M$1,FALSE)=VLOOKUP($A6,'ESA Calculations 2425'!$A$4:$AE$37,18,FALSE),VLOOKUP($A6,EnrollData2324,'2324 Jun 24 Enroll'!M$1,FALSE),VLOOKUP($A6,'ESA Calculations 2425'!$A$4:$AE$37,18,FALSE))+IF(VLOOKUP($A6,EnrollData2324,'2324 Jun 24 Enroll'!D$1,FALSE)=VLOOKUP($A6,'ESA Calculations 2425'!$A$4:$AE$37,4,FALSE),VLOOKUP($A6,EnrollData2324,'2324 Jun 24 Enroll'!D$1,FALSE),VLOOKUP($A6,'ESA Calculations 2425'!$A$4:$AE$37,4,FALSE))),2)</f>
        <v>1605.47</v>
      </c>
      <c r="AS6" s="7">
        <f t="shared" si="10"/>
        <v>10043.549999999997</v>
      </c>
      <c r="AT6" s="6">
        <f>IF(VLOOKUP($A6,EnrollData2324,'2324 Jun 24 Enroll'!AA$1,FALSE)=VLOOKUP($A6,'ESA Calculations 2425'!$A$4:$AE$37,24,FALSE),VLOOKUP($A6,EnrollData2324,'2324 Jun 24 Enroll'!AA$1,FALSE),VLOOKUP($A6,'ESA Calculations 2425'!$A$4:$AE$37,24,FALSE))</f>
        <v>1223.76</v>
      </c>
    </row>
    <row r="7" spans="1:49">
      <c r="A7" s="40" t="s">
        <v>494</v>
      </c>
      <c r="B7" s="40" t="s">
        <v>495</v>
      </c>
      <c r="C7" s="11">
        <f>ROUND((IFERROR((1/IF(VLOOKUP($A7,EnrollData2324,28,FALSE)=VLOOKUP($A7,'ESA Calculations 2425'!$A$4:$AE$37,3,FALSE),VLOOKUP($A7,EnrollData2324,28,FALSE),VLOOKUP($A7,'ESA Calculations 2425'!$A$4:$AE$37,3,FALSE)))*(1+Apport_Z315),0))+Apport_201A2425,6)</f>
        <v>7.4580999999999995E-2</v>
      </c>
      <c r="D7">
        <f>ROUND(IF(VLOOKUP($A7,EnrollData2324,'2324 Jun 24 Enroll'!D$1,FALSE)=VLOOKUP($A7,'ESA Calculations 2425'!$A$4:$AE$37,4,FALSE),VLOOKUP($A7,EnrollData2324,'2324 Jun 24 Enroll'!D$1,FALSE),VLOOKUP($A7,'ESA Calculations 2425'!$A$4:$AE$37,4,FALSE))*C7,3)</f>
        <v>0</v>
      </c>
      <c r="E7">
        <f>ROUND(IF(VLOOKUP($A7,EnrollData2324,'2324 Jun 24 Enroll'!E$1,FALSE)=VLOOKUP($A7,'ESA Calculations 2425'!$A$4:$AE$37,5,FALSE),VLOOKUP($A7,EnrollData2324,'2324 Jun 24 Enroll'!E$1,FALSE),VLOOKUP($A7,'ESA Calculations 2425'!$A$4:$AE$37,5,FALSE))*C7,3)</f>
        <v>5.9139999999999997</v>
      </c>
      <c r="F7">
        <f>ROUND(IF(VLOOKUP($A7,EnrollData2324,'2324 Jun 24 Enroll'!F$1,FALSE)=VLOOKUP($A7,'ESA Calculations 2425'!$A$4:$AE$37,6,FALSE),VLOOKUP($A7,EnrollData2324,'2324 Jun 24 Enroll'!F$1,FALSE),VLOOKUP($A7,'ESA Calculations 2425'!$A$4:$AE$37,6,FALSE))*Apport_222A2425,3)</f>
        <v>0.93899999999999995</v>
      </c>
      <c r="G7">
        <f>ROUND(IF(VLOOKUP($A7,EnrollData2324,'2324 Jun 24 Enroll'!G$1,FALSE)=VLOOKUP($A7,'ESA Calculations 2425'!$A$4:$AE$37,7,FALSE),VLOOKUP($A7,EnrollData2324,'2324 Jun 24 Enroll'!G$1,FALSE),VLOOKUP($A7,'ESA Calculations 2425'!$A$4:$AE$37,7,FALSE))*Apport_210A2425,3)</f>
        <v>2.016</v>
      </c>
      <c r="H7">
        <f>ROUND(IF(VLOOKUP($A7,EnrollData2324,'2324 Jun 24 Enroll'!H$1,FALSE)=VLOOKUP($A7,'ESA Calculations 2425'!$A$4:$AE$37,8,FALSE),VLOOKUP($A7,EnrollData2324,'2324 Jun 24 Enroll'!H$1,FALSE),VLOOKUP($A7,'ESA Calculations 2425'!$A$4:$AE$37,8,FALSE))*Apport_213A2425,3)</f>
        <v>1.417</v>
      </c>
      <c r="I7">
        <f>ROUND(IF(VLOOKUP($A7,EnrollData2324,'2324 Jun 24 Enroll'!I$1,FALSE)+VLOOKUP($A7,EnrollData2324,'2324 Jun 24 Enroll'!M$1,FALSE)-VLOOKUP($A7,EnrollData2324,'2324 Jun 24 Enroll'!J$1,FALSE)=VLOOKUP($A7,'ESA Calculations 2425'!$A$4:$AE$37,9,FALSE)+VLOOKUP($A7,'ESA Calculations 2425'!$A$4:$AE$37,18,FALSE)-VLOOKUP($A7,'ESA Calculations 2425'!$A$4:$AE$37,10,FALSE),VLOOKUP($A7,EnrollData2324,'2324 Jun 24 Enroll'!I$1,FALSE)+VLOOKUP($A7,EnrollData2324,'2324 Jun 24 Enroll'!M$1,FALSE)-VLOOKUP($A7,EnrollData2324,'2324 Jun 24 Enroll'!J$1,FALSE),VLOOKUP($A7,'ESA Calculations 2425'!$A$4:$AE$37,9,FALSE)+VLOOKUP($A7,'ESA Calculations 2425'!$A$4:$AE$37,18,FALSE)-VLOOKUP($A7,'ESA Calculations 2425'!$A$4:$AE$37,10,FALSE))*Apport_216A2425,3)</f>
        <v>0</v>
      </c>
      <c r="J7">
        <f>ROUND(SUM(D7:I7)/IF(VLOOKUP($A7,EnrollData2324,'2324 Jun 24 Enroll'!M$1,FALSE)+VLOOKUP($A7,EnrollData2324,'2324 Jun 24 Enroll'!D$1,FALSE)=VLOOKUP($A7,'ESA Calculations 2425'!$A$4:$AE$37,18,FALSE)+VLOOKUP($A7,'ESA Calculations 2425'!$A$4:$AE$37,4,FALSE),VLOOKUP($A7,EnrollData2324,'2324 Jun 24 Enroll'!M$1,FALSE)+VLOOKUP($A7,EnrollData2324,'2324 Jun 24 Enroll'!D$1,FALSE),VLOOKUP($A7,'ESA Calculations 2425'!$A$4:$AE$37,18,FALSE)+VLOOKUP($A7,'ESA Calculations 2425'!$A$4:$AE$37,4,FALSE)),5)</f>
        <v>6.1339999999999999E-2</v>
      </c>
      <c r="K7" s="11">
        <f t="shared" si="1"/>
        <v>4.385E-3</v>
      </c>
      <c r="L7">
        <f>ROUND(IF(VLOOKUP($A7,EnrollData2324,'2324 Jun 24 Enroll'!D$1,FALSE)=VLOOKUP($A7,'ESA Calculations 2425'!$A$4:$AE$37,4,FALSE),VLOOKUP($A7,EnrollData2324,'2324 Jun 24 Enroll'!D$1,FALSE),VLOOKUP($A7,'ESA Calculations 2425'!$A$4:$AE$37,4,FALSE))*K7,3)</f>
        <v>0</v>
      </c>
      <c r="M7">
        <f>ROUND(IF(VLOOKUP($A7,EnrollData2324,'2324 Jun 24 Enroll'!E$1,FALSE)=VLOOKUP($A7,'ESA Calculations 2425'!$A$4:$AE$37,5,FALSE),VLOOKUP($A7,EnrollData2324,'2324 Jun 24 Enroll'!E$1,FALSE),VLOOKUP($A7,'ESA Calculations 2425'!$A$4:$AE$37,5,FALSE))*K7,3)</f>
        <v>0.34799999999999998</v>
      </c>
      <c r="N7">
        <f>ROUND(IF(VLOOKUP($A7,EnrollData2324,'2324 Jun 24 Enroll'!F$1,FALSE)=VLOOKUP($A7,'ESA Calculations 2425'!$A$4:$AE$37,6,FALSE),VLOOKUP($A7,EnrollData2324,'2324 Jun 24 Enroll'!F$1,FALSE),VLOOKUP($A7,'ESA Calculations 2425'!$A$4:$AE$37,6,FALSE))*Apport_223A2425,3)</f>
        <v>7.6999999999999999E-2</v>
      </c>
      <c r="O7">
        <f>ROUND(IF(VLOOKUP($A7,EnrollData2324,'2324 Jun 24 Enroll'!G$1,FALSE)=VLOOKUP($A7,'ESA Calculations 2425'!$A$4:$AE$37,7,FALSE),VLOOKUP($A7,EnrollData2324,'2324 Jun 24 Enroll'!G$1,FALSE),VLOOKUP($A7,'ESA Calculations 2425'!$A$4:$AE$37,7,FALSE))*Apport_211A2425,3)</f>
        <v>0.16500000000000001</v>
      </c>
      <c r="P7">
        <f>ROUND(IF(VLOOKUP($A7,EnrollData2324,'2324 Jun 24 Enroll'!H$1,FALSE)=VLOOKUP($A7,'ESA Calculations 2425'!$A$4:$AE$37,8,FALSE),VLOOKUP($A7,EnrollData2324,'2324 Jun 24 Enroll'!H$1,FALSE),VLOOKUP($A7,'ESA Calculations 2425'!$A$4:$AE$37,8,FALSE))*Apport_214A2425,3)</f>
        <v>0.11600000000000001</v>
      </c>
      <c r="Q7">
        <f>ROUND(IF(VLOOKUP($A7,EnrollData2324,'2324 Jun 24 Enroll'!I$1,FALSE)+VLOOKUP($A7,EnrollData2324,'2324 Jun 24 Enroll'!M$1,FALSE)-VLOOKUP($A7,EnrollData2324,'2324 Jun 24 Enroll'!J$1,FALSE)=VLOOKUP($A7,'ESA Calculations 2425'!$A$4:$AE$37,9,FALSE)+VLOOKUP($A7,'ESA Calculations 2425'!$A$4:$AE$37,18,FALSE)-VLOOKUP($A7,'ESA Calculations 2425'!$A$4:$AE$37,10,FALSE),VLOOKUP($A7,EnrollData2324,'2324 Jun 24 Enroll'!I$1,FALSE)+VLOOKUP($A7,EnrollData2324,'2324 Jun 24 Enroll'!M$1,FALSE)-VLOOKUP($A7,EnrollData2324,'2324 Jun 24 Enroll'!J$1,FALSE),VLOOKUP($A7,'ESA Calculations 2425'!$A$4:$AE$37,9,FALSE)+VLOOKUP($A7,'ESA Calculations 2425'!$A$4:$AE$37,18,FALSE)-VLOOKUP($A7,'ESA Calculations 2425'!$A$4:$AE$37,10,FALSE))*Apport_217A2425,3)</f>
        <v>0</v>
      </c>
      <c r="R7">
        <f>ROUND(SUM(L7:Q7)/IF(VLOOKUP($A7,EnrollData2324,'2324 Jun 24 Enroll'!M$1,FALSE)+VLOOKUP($A7,EnrollData2324,'2324 Jun 24 Enroll'!D$1,FALSE)=VLOOKUP($A7,'ESA Calculations 2425'!$A$4:$AE$37,18,FALSE)+VLOOKUP($A7,'ESA Calculations 2425'!$A$4:$AE$37,4,FALSE),VLOOKUP($A7,EnrollData2324,'2324 Jun 24 Enroll'!M$1,FALSE)+VLOOKUP($A7,EnrollData2324,'2324 Jun 24 Enroll'!D$1,FALSE),VLOOKUP($A7,'ESA Calculations 2425'!$A$4:$AE$37,18,FALSE)+VLOOKUP($A7,'ESA Calculations 2425'!$A$4:$AE$37,4,FALSE)),5)</f>
        <v>4.2100000000000002E-3</v>
      </c>
      <c r="S7" s="11">
        <f t="shared" si="2"/>
        <v>1.8734299999999999E-2</v>
      </c>
      <c r="T7">
        <f>ROUND(IF(VLOOKUP($A7,EnrollData2324,'2324 Jun 24 Enroll'!D$1,FALSE)=VLOOKUP($A7,'ESA Calculations 2425'!$A$4:$AE$37,4,FALSE),VLOOKUP($A7,EnrollData2324,'2324 Jun 24 Enroll'!D$1,FALSE),VLOOKUP($A7,'ESA Calculations 2425'!$A$4:$AE$37,4,FALSE))*S7,3)</f>
        <v>0</v>
      </c>
      <c r="U7">
        <f>ROUND(IF(VLOOKUP($A7,EnrollData2324,'2324 Jun 24 Enroll'!E$1,FALSE)=VLOOKUP($A7,'ESA Calculations 2425'!$A$4:$AE$37,5,FALSE),VLOOKUP($A7,EnrollData2324,'2324 Jun 24 Enroll'!E$1,FALSE),VLOOKUP($A7,'ESA Calculations 2425'!$A$4:$AE$37,5,FALSE))*S7,3)</f>
        <v>1.486</v>
      </c>
      <c r="V7">
        <f>ROUND(IF(VLOOKUP($A7,EnrollData2324,'2324 Jun 24 Enroll'!F$1,FALSE)=VLOOKUP($A7,'ESA Calculations 2425'!$A$4:$AE$37,6,FALSE),VLOOKUP($A7,EnrollData2324,'2324 Jun 24 Enroll'!F$1,FALSE),VLOOKUP($A7,'ESA Calculations 2425'!$A$4:$AE$37,6,FALSE))*Apport_224A2425,3)</f>
        <v>0.33700000000000002</v>
      </c>
      <c r="W7">
        <f>ROUND(IF(VLOOKUP($A7,EnrollData2324,'2324 Jun 24 Enroll'!G$1,FALSE)=VLOOKUP($A7,'ESA Calculations 2425'!$A$4:$AE$37,7,FALSE),VLOOKUP($A7,EnrollData2324,'2324 Jun 24 Enroll'!G$1,FALSE),VLOOKUP($A7,'ESA Calculations 2425'!$A$4:$AE$37,7,FALSE))*Apport_212A2425,3)</f>
        <v>0.72399999999999998</v>
      </c>
      <c r="X7">
        <f>ROUND(IF(VLOOKUP($A7,EnrollData2324,'2324 Jun 24 Enroll'!H$1,FALSE)=VLOOKUP($A7,'ESA Calculations 2425'!$A$4:$AE$37,8,FALSE),VLOOKUP($A7,EnrollData2324,'2324 Jun 24 Enroll'!H$1,FALSE),VLOOKUP($A7,'ESA Calculations 2425'!$A$4:$AE$37,8,FALSE))*Apport_215A2425,3)</f>
        <v>0.501</v>
      </c>
      <c r="Y7">
        <f>ROUND(IF(VLOOKUP($A7,EnrollData2324,'2324 Jun 24 Enroll'!I$1,FALSE)+VLOOKUP($A7,EnrollData2324,'2324 Jun 24 Enroll'!M$1,FALSE)-VLOOKUP($A7,EnrollData2324,'2324 Jun 24 Enroll'!J$1,FALSE)=VLOOKUP($A7,'ESA Calculations 2425'!$A$4:$AE$37,9,FALSE)+VLOOKUP($A7,'ESA Calculations 2425'!$A$4:$AE$37,18,FALSE)-VLOOKUP($A7,'ESA Calculations 2425'!$A$4:$AE$37,10,FALSE),VLOOKUP($A7,EnrollData2324,'2324 Jun 24 Enroll'!I$1,FALSE)+VLOOKUP($A7,EnrollData2324,'2324 Jun 24 Enroll'!M$1,FALSE)-VLOOKUP($A7,EnrollData2324,'2324 Jun 24 Enroll'!J$1,FALSE),VLOOKUP($A7,'ESA Calculations 2425'!$A$4:$AE$37,9,FALSE)+VLOOKUP($A7,'ESA Calculations 2425'!$A$4:$AE$37,18,FALSE)-VLOOKUP($A7,'ESA Calculations 2425'!$A$4:$AE$37,10,FALSE))*Apport_218A2425,3)</f>
        <v>0</v>
      </c>
      <c r="Z7">
        <f>ROUND(SUM(T7:Y7)/IF(VLOOKUP($A7,EnrollData2324,'2324 Jun 24 Enroll'!M$1,FALSE)+VLOOKUP($A7,EnrollData2324,'2324 Jun 24 Enroll'!D$1,FALSE)=VLOOKUP($A7,'ESA Calculations 2425'!$A$4:$AE$37,18,FALSE)+VLOOKUP($A7,'ESA Calculations 2425'!$A$4:$AE$37,4,FALSE),VLOOKUP($A7,EnrollData2324,'2324 Jun 24 Enroll'!M$1,FALSE)+VLOOKUP($A7,EnrollData2324,'2324 Jun 24 Enroll'!D$1,FALSE),VLOOKUP($A7,'ESA Calculations 2425'!$A$4:$AE$37,18,FALSE)+VLOOKUP($A7,'ESA Calculations 2425'!$A$4:$AE$37,4,FALSE)),5)</f>
        <v>1.8180000000000002E-2</v>
      </c>
      <c r="AA7" s="6">
        <f>ROUND($J7*CIS_Base_Salary2425*VLOOKUP($A7,EnrollData2324,'2324 Jun 24 Enroll'!AH$1,FALSE),2)</f>
        <v>4903.7700000000004</v>
      </c>
      <c r="AB7" s="6">
        <f>ROUND($J7*CIS_Inc_Salary2425*(VLOOKUP($A7,EnrollData2324,'2324 Jun 24 Enroll'!AI$1,FALSE)+VLOOKUP($A7,EnrollData2324,'2324 Jun 24 Enroll'!AJ$1,FALSE)),2)-AA7</f>
        <v>181.40999999999985</v>
      </c>
      <c r="AC7" s="6" cm="1">
        <f t="array" ref="AC7">ROUND($R7*CAS_Base_Salary2425*VLOOKUP($A7,EnrollData2324,'2324 Jun 24 Enroll'!AH$1,FALSE),2)</f>
        <v>499.59</v>
      </c>
      <c r="AD7" s="6">
        <f>ROUND($R7*CAS_Inc_Salary2425*VLOOKUP($A7,EnrollData2324,'2324 Jun 24 Enroll'!AI$1,FALSE),2)-AC7</f>
        <v>18.480000000000075</v>
      </c>
      <c r="AE7" s="6">
        <f>ROUND($Z7*CLS_Base_Salary2425*VLOOKUP($A7,EnrollData2324,'2324 Jun 24 Enroll'!AH$1,FALSE),2)</f>
        <v>1042.6099999999999</v>
      </c>
      <c r="AF7" s="6">
        <f>ROUND($Z7*CLS_Inc_Salary2425*VLOOKUP($A7,EnrollData2324,'2324 Jun 24 Enroll'!AI$1,FALSE),2)-AE7</f>
        <v>38.580000000000155</v>
      </c>
      <c r="AG7" cm="1">
        <f t="array" ref="AG7">ROUND(($J7+$R7)*Apport_124X2425,2)</f>
        <v>865.26</v>
      </c>
      <c r="AH7" s="69" cm="1">
        <f t="array" ref="AH7">ROUND(($J7+$R7)*Apport_621X2425*Apport_125XC2425,2)-AG7</f>
        <v>79.889999999999986</v>
      </c>
      <c r="AI7" cm="1">
        <f t="array" ref="AI7">ROUND($Z7*Apport_124X2425,2)</f>
        <v>239.98</v>
      </c>
      <c r="AJ7">
        <f t="shared" si="3"/>
        <v>127.52000000000001</v>
      </c>
      <c r="AK7">
        <f t="shared" si="4"/>
        <v>980.71</v>
      </c>
      <c r="AL7">
        <f t="shared" si="5"/>
        <v>35</v>
      </c>
      <c r="AM7">
        <f t="shared" si="6"/>
        <v>225.83</v>
      </c>
      <c r="AN7">
        <f t="shared" si="7"/>
        <v>7.01</v>
      </c>
      <c r="AO7">
        <f>ROUND(($J7*CIS_Inc_Salary2425*(VLOOKUP($A7,EnrollData2324,'2324 Jun 24 Enroll'!AI$1,FALSE)+VLOOKUP($A7,EnrollData2324,'2324 Jun 24 Enroll'!AJ$1,FALSE))/Apport_613Xpd)*Apport_614Xpd,2)</f>
        <v>84.75</v>
      </c>
      <c r="AP7">
        <f t="shared" si="8"/>
        <v>14.84</v>
      </c>
      <c r="AQ7">
        <f t="shared" ref="AQ7:AQ36" si="11">ROUND((J7*Apport_581X)*(Apport_116X*Apport_132X),2)</f>
        <v>34.17</v>
      </c>
      <c r="AR7" s="6">
        <f>ROUND((IF(VLOOKUP($A7,EnrollData2324,'2324 Jun 24 Enroll'!D$1,FALSE)=VLOOKUP($A7,'ESA Calculations 2425'!$A$4:$AE$37,4,FALSE),VLOOKUP($A7,EnrollData2324,'2324 Jun 24 Enroll'!D$1,FALSE),VLOOKUP($A7,'ESA Calculations 2425'!$A$4:$AE$37,4,FALSE))*Apport_M802425+IF(VLOOKUP($A7,EnrollData2324,'2324 Jun 24 Enroll'!M$1,FALSE)=VLOOKUP($A7,'ESA Calculations 2425'!$A$4:$AE$37,18,FALSE),VLOOKUP($A7,EnrollData2324,'2324 Jun 24 Enroll'!M$1,FALSE),VLOOKUP($A7,'ESA Calculations 2425'!$A$4:$AE$37,18,FALSE))*Apport_M802425+IF((VLOOKUP($A7,EnrollData2324,'2324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Enroll'!L$1,FALSE))=VLOOKUP($A7,EnrollData2324,'2324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Enroll'!L$1,FALSE),(VLOOKUP($A7,EnrollData2324,'2324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Enroll'!L$1,FALSE)),(VLOOKUP($A7,EnrollData2324,'2324 Jun 24 Enroll'!P$1,FALSE)+VLOOKUP($A7,EnrollData2324,'2324 Jun 24 Enroll'!Q$1,FALSE)+VLOOKUP($A7,EnrollData2324,'2324 Jun 24 Enroll'!R$1,FALSE)+VLOOKUP($A7,EnrollData2324,'2324 Jun 24 Enroll'!I$1,FALSE)+VLOOKUP($A7,EnrollData2324,'2324 Jun 24 Enroll'!N$1,FALSE)+VLOOKUP($A7,EnrollData2324,'2324 Jun 24 Enroll'!O$1,FALSE)+VLOOKUP($A7,EnrollData2324,'2324 Jun 24 Enroll'!K$1,FALSE)+VLOOKUP($A7,EnrollData2324,'2324 Jun 24 Enroll'!L$1,FALSE)))*Apport_M812425)/(IF(VLOOKUP($A7,EnrollData2324,'2324 Jun 24 Enroll'!M$1,FALSE)=VLOOKUP($A7,'ESA Calculations 2425'!$A$4:$AE$37,18,FALSE),VLOOKUP($A7,EnrollData2324,'2324 Jun 24 Enroll'!M$1,FALSE),VLOOKUP($A7,'ESA Calculations 2425'!$A$4:$AE$37,18,FALSE))+IF(VLOOKUP($A7,EnrollData2324,'2324 Jun 24 Enroll'!D$1,FALSE)=VLOOKUP($A7,'ESA Calculations 2425'!$A$4:$AE$37,4,FALSE),VLOOKUP($A7,EnrollData2324,'2324 Jun 24 Enroll'!D$1,FALSE),VLOOKUP($A7,'ESA Calculations 2425'!$A$4:$AE$37,4,FALSE))),2)</f>
        <v>1533.02</v>
      </c>
      <c r="AS7" s="7">
        <f>SUM(AA7:AR7)</f>
        <v>10912.420000000002</v>
      </c>
      <c r="AT7" s="6">
        <f>IF(VLOOKUP($A7,EnrollData2324,'2324 Jun 24 Enroll'!AA$1,FALSE)=VLOOKUP($A7,'ESA Calculations 2425'!$A$4:$AE$37,24,FALSE),VLOOKUP($A7,EnrollData2324,'2324 Jun 24 Enroll'!AA$1,FALSE),VLOOKUP($A7,'ESA Calculations 2425'!$A$4:$AE$37,24,FALSE))</f>
        <v>167.7</v>
      </c>
      <c r="AW7" s="27"/>
    </row>
    <row r="8" spans="1:49">
      <c r="A8" s="40" t="s">
        <v>426</v>
      </c>
      <c r="B8" s="40" t="s">
        <v>427</v>
      </c>
      <c r="C8" s="11">
        <f>ROUND((IFERROR((1/IF(VLOOKUP($A8,EnrollData2324,28,FALSE)=VLOOKUP($A8,'ESA Calculations 2425'!$A$4:$AE$37,3,FALSE),VLOOKUP($A8,EnrollData2324,28,FALSE),VLOOKUP($A8,'ESA Calculations 2425'!$A$4:$AE$37,3,FALSE)))*(1+Apport_Z315),0))+Apport_201A2425,6)</f>
        <v>7.4580999999999995E-2</v>
      </c>
      <c r="D8">
        <f>ROUND(IF(VLOOKUP($A8,EnrollData2324,'2324 Jun 24 Enroll'!D$1,FALSE)=VLOOKUP($A8,'ESA Calculations 2425'!$A$4:$AE$37,4,FALSE),VLOOKUP($A8,EnrollData2324,'2324 Jun 24 Enroll'!D$1,FALSE),VLOOKUP($A8,'ESA Calculations 2425'!$A$4:$AE$37,4,FALSE))*C8,3)</f>
        <v>0</v>
      </c>
      <c r="E8">
        <f>ROUND(IF(VLOOKUP($A8,EnrollData2324,'2324 Jun 24 Enroll'!E$1,FALSE)=VLOOKUP($A8,'ESA Calculations 2425'!$A$4:$AE$37,5,FALSE),VLOOKUP($A8,EnrollData2324,'2324 Jun 24 Enroll'!E$1,FALSE),VLOOKUP($A8,'ESA Calculations 2425'!$A$4:$AE$37,5,FALSE))*C8,3)</f>
        <v>8.3829999999999991</v>
      </c>
      <c r="F8">
        <f>ROUND(IF(VLOOKUP($A8,EnrollData2324,'2324 Jun 24 Enroll'!F$1,FALSE)=VLOOKUP($A8,'ESA Calculations 2425'!$A$4:$AE$37,6,FALSE),VLOOKUP($A8,EnrollData2324,'2324 Jun 24 Enroll'!F$1,FALSE),VLOOKUP($A8,'ESA Calculations 2425'!$A$4:$AE$37,6,FALSE))*Apport_222A2425,3)</f>
        <v>1.4179999999999999</v>
      </c>
      <c r="G8">
        <f>ROUND(IF(VLOOKUP($A8,EnrollData2324,'2324 Jun 24 Enroll'!G$1,FALSE)=VLOOKUP($A8,'ESA Calculations 2425'!$A$4:$AE$37,7,FALSE),VLOOKUP($A8,EnrollData2324,'2324 Jun 24 Enroll'!G$1,FALSE),VLOOKUP($A8,'ESA Calculations 2425'!$A$4:$AE$37,7,FALSE))*Apport_210A2425,3)</f>
        <v>2.4350000000000001</v>
      </c>
      <c r="H8">
        <f>ROUND(IF(VLOOKUP($A8,EnrollData2324,'2324 Jun 24 Enroll'!H$1,FALSE)=VLOOKUP($A8,'ESA Calculations 2425'!$A$4:$AE$37,8,FALSE),VLOOKUP($A8,EnrollData2324,'2324 Jun 24 Enroll'!H$1,FALSE),VLOOKUP($A8,'ESA Calculations 2425'!$A$4:$AE$37,8,FALSE))*Apport_213A2425,3)</f>
        <v>2.7320000000000002</v>
      </c>
      <c r="I8">
        <f>ROUND(IF(VLOOKUP($A8,EnrollData2324,'2324 Jun 24 Enroll'!I$1,FALSE)+VLOOKUP($A8,EnrollData2324,'2324 Jun 24 Enroll'!M$1,FALSE)-VLOOKUP($A8,EnrollData2324,'2324 Jun 24 Enroll'!J$1,FALSE)=VLOOKUP($A8,'ESA Calculations 2425'!$A$4:$AE$37,9,FALSE)+VLOOKUP($A8,'ESA Calculations 2425'!$A$4:$AE$37,18,FALSE)-VLOOKUP($A8,'ESA Calculations 2425'!$A$4:$AE$37,10,FALSE),VLOOKUP($A8,EnrollData2324,'2324 Jun 24 Enroll'!I$1,FALSE)+VLOOKUP($A8,EnrollData2324,'2324 Jun 24 Enroll'!M$1,FALSE)-VLOOKUP($A8,EnrollData2324,'2324 Jun 24 Enroll'!J$1,FALSE),VLOOKUP($A8,'ESA Calculations 2425'!$A$4:$AE$37,9,FALSE)+VLOOKUP($A8,'ESA Calculations 2425'!$A$4:$AE$37,18,FALSE)-VLOOKUP($A8,'ESA Calculations 2425'!$A$4:$AE$37,10,FALSE))*Apport_216A2425,3)</f>
        <v>5.0419999999999998</v>
      </c>
      <c r="J8">
        <f>ROUND(SUM(D8:I8)/IF(VLOOKUP($A8,EnrollData2324,'2324 Jun 24 Enroll'!M$1,FALSE)+VLOOKUP($A8,EnrollData2324,'2324 Jun 24 Enroll'!D$1,FALSE)=VLOOKUP($A8,'ESA Calculations 2425'!$A$4:$AE$37,18,FALSE)+VLOOKUP($A8,'ESA Calculations 2425'!$A$4:$AE$37,4,FALSE),VLOOKUP($A8,EnrollData2324,'2324 Jun 24 Enroll'!M$1,FALSE)+VLOOKUP($A8,EnrollData2324,'2324 Jun 24 Enroll'!D$1,FALSE),VLOOKUP($A8,'ESA Calculations 2425'!$A$4:$AE$37,18,FALSE)+VLOOKUP($A8,'ESA Calculations 2425'!$A$4:$AE$37,4,FALSE)),5)</f>
        <v>5.806E-2</v>
      </c>
      <c r="K8" s="11">
        <f t="shared" si="1"/>
        <v>4.385E-3</v>
      </c>
      <c r="L8">
        <f>ROUND(IF(VLOOKUP($A8,EnrollData2324,'2324 Jun 24 Enroll'!D$1,FALSE)=VLOOKUP($A8,'ESA Calculations 2425'!$A$4:$AE$37,4,FALSE),VLOOKUP($A8,EnrollData2324,'2324 Jun 24 Enroll'!D$1,FALSE),VLOOKUP($A8,'ESA Calculations 2425'!$A$4:$AE$37,4,FALSE))*K8,3)</f>
        <v>0</v>
      </c>
      <c r="M8">
        <f>ROUND(IF(VLOOKUP($A8,EnrollData2324,'2324 Jun 24 Enroll'!E$1,FALSE)=VLOOKUP($A8,'ESA Calculations 2425'!$A$4:$AE$37,5,FALSE),VLOOKUP($A8,EnrollData2324,'2324 Jun 24 Enroll'!E$1,FALSE),VLOOKUP($A8,'ESA Calculations 2425'!$A$4:$AE$37,5,FALSE))*K8,3)</f>
        <v>0.49299999999999999</v>
      </c>
      <c r="N8">
        <f>ROUND(IF(VLOOKUP($A8,EnrollData2324,'2324 Jun 24 Enroll'!F$1,FALSE)=VLOOKUP($A8,'ESA Calculations 2425'!$A$4:$AE$37,6,FALSE),VLOOKUP($A8,EnrollData2324,'2324 Jun 24 Enroll'!F$1,FALSE),VLOOKUP($A8,'ESA Calculations 2425'!$A$4:$AE$37,6,FALSE))*Apport_223A2425,3)</f>
        <v>0.11600000000000001</v>
      </c>
      <c r="O8">
        <f>ROUND(IF(VLOOKUP($A8,EnrollData2324,'2324 Jun 24 Enroll'!G$1,FALSE)=VLOOKUP($A8,'ESA Calculations 2425'!$A$4:$AE$37,7,FALSE),VLOOKUP($A8,EnrollData2324,'2324 Jun 24 Enroll'!G$1,FALSE),VLOOKUP($A8,'ESA Calculations 2425'!$A$4:$AE$37,7,FALSE))*Apport_211A2425,3)</f>
        <v>0.19900000000000001</v>
      </c>
      <c r="P8">
        <f>ROUND(IF(VLOOKUP($A8,EnrollData2324,'2324 Jun 24 Enroll'!H$1,FALSE)=VLOOKUP($A8,'ESA Calculations 2425'!$A$4:$AE$37,8,FALSE),VLOOKUP($A8,EnrollData2324,'2324 Jun 24 Enroll'!H$1,FALSE),VLOOKUP($A8,'ESA Calculations 2425'!$A$4:$AE$37,8,FALSE))*Apport_214A2425,3)</f>
        <v>0.223</v>
      </c>
      <c r="Q8">
        <f>ROUND(IF(VLOOKUP($A8,EnrollData2324,'2324 Jun 24 Enroll'!I$1,FALSE)+VLOOKUP($A8,EnrollData2324,'2324 Jun 24 Enroll'!M$1,FALSE)-VLOOKUP($A8,EnrollData2324,'2324 Jun 24 Enroll'!J$1,FALSE)=VLOOKUP($A8,'ESA Calculations 2425'!$A$4:$AE$37,9,FALSE)+VLOOKUP($A8,'ESA Calculations 2425'!$A$4:$AE$37,18,FALSE)-VLOOKUP($A8,'ESA Calculations 2425'!$A$4:$AE$37,10,FALSE),VLOOKUP($A8,EnrollData2324,'2324 Jun 24 Enroll'!I$1,FALSE)+VLOOKUP($A8,EnrollData2324,'2324 Jun 24 Enroll'!M$1,FALSE)-VLOOKUP($A8,EnrollData2324,'2324 Jun 24 Enroll'!J$1,FALSE),VLOOKUP($A8,'ESA Calculations 2425'!$A$4:$AE$37,9,FALSE)+VLOOKUP($A8,'ESA Calculations 2425'!$A$4:$AE$37,18,FALSE)-VLOOKUP($A8,'ESA Calculations 2425'!$A$4:$AE$37,10,FALSE))*Apport_217A2425,3)</f>
        <v>0.40200000000000002</v>
      </c>
      <c r="R8">
        <f>ROUND(SUM(L8:Q8)/IF(VLOOKUP($A8,EnrollData2324,'2324 Jun 24 Enroll'!M$1,FALSE)+VLOOKUP($A8,EnrollData2324,'2324 Jun 24 Enroll'!D$1,FALSE)=VLOOKUP($A8,'ESA Calculations 2425'!$A$4:$AE$37,18,FALSE)+VLOOKUP($A8,'ESA Calculations 2425'!$A$4:$AE$37,4,FALSE),VLOOKUP($A8,EnrollData2324,'2324 Jun 24 Enroll'!M$1,FALSE)+VLOOKUP($A8,EnrollData2324,'2324 Jun 24 Enroll'!D$1,FALSE),VLOOKUP($A8,'ESA Calculations 2425'!$A$4:$AE$37,18,FALSE)+VLOOKUP($A8,'ESA Calculations 2425'!$A$4:$AE$37,4,FALSE)),5)</f>
        <v>4.1599999999999996E-3</v>
      </c>
      <c r="S8" s="11">
        <f t="shared" si="2"/>
        <v>1.8734299999999999E-2</v>
      </c>
      <c r="T8">
        <f>ROUND(IF(VLOOKUP($A8,EnrollData2324,'2324 Jun 24 Enroll'!D$1,FALSE)=VLOOKUP($A8,'ESA Calculations 2425'!$A$4:$AE$37,4,FALSE),VLOOKUP($A8,EnrollData2324,'2324 Jun 24 Enroll'!D$1,FALSE),VLOOKUP($A8,'ESA Calculations 2425'!$A$4:$AE$37,4,FALSE))*S8,3)</f>
        <v>0</v>
      </c>
      <c r="U8">
        <f>ROUND(IF(VLOOKUP($A8,EnrollData2324,'2324 Jun 24 Enroll'!E$1,FALSE)=VLOOKUP($A8,'ESA Calculations 2425'!$A$4:$AE$37,5,FALSE),VLOOKUP($A8,EnrollData2324,'2324 Jun 24 Enroll'!E$1,FALSE),VLOOKUP($A8,'ESA Calculations 2425'!$A$4:$AE$37,5,FALSE))*S8,3)</f>
        <v>2.1059999999999999</v>
      </c>
      <c r="V8">
        <f>ROUND(IF(VLOOKUP($A8,EnrollData2324,'2324 Jun 24 Enroll'!F$1,FALSE)=VLOOKUP($A8,'ESA Calculations 2425'!$A$4:$AE$37,6,FALSE),VLOOKUP($A8,EnrollData2324,'2324 Jun 24 Enroll'!F$1,FALSE),VLOOKUP($A8,'ESA Calculations 2425'!$A$4:$AE$37,6,FALSE))*Apport_224A2425,3)</f>
        <v>0.50900000000000001</v>
      </c>
      <c r="W8">
        <f>ROUND(IF(VLOOKUP($A8,EnrollData2324,'2324 Jun 24 Enroll'!G$1,FALSE)=VLOOKUP($A8,'ESA Calculations 2425'!$A$4:$AE$37,7,FALSE),VLOOKUP($A8,EnrollData2324,'2324 Jun 24 Enroll'!G$1,FALSE),VLOOKUP($A8,'ESA Calculations 2425'!$A$4:$AE$37,7,FALSE))*Apport_212A2425,3)</f>
        <v>0.874</v>
      </c>
      <c r="X8">
        <f>ROUND(IF(VLOOKUP($A8,EnrollData2324,'2324 Jun 24 Enroll'!H$1,FALSE)=VLOOKUP($A8,'ESA Calculations 2425'!$A$4:$AE$37,8,FALSE),VLOOKUP($A8,EnrollData2324,'2324 Jun 24 Enroll'!H$1,FALSE),VLOOKUP($A8,'ESA Calculations 2425'!$A$4:$AE$37,8,FALSE))*Apport_215A2425,3)</f>
        <v>0.96499999999999997</v>
      </c>
      <c r="Y8">
        <f>ROUND(IF(VLOOKUP($A8,EnrollData2324,'2324 Jun 24 Enroll'!I$1,FALSE)+VLOOKUP($A8,EnrollData2324,'2324 Jun 24 Enroll'!M$1,FALSE)-VLOOKUP($A8,EnrollData2324,'2324 Jun 24 Enroll'!J$1,FALSE)=VLOOKUP($A8,'ESA Calculations 2425'!$A$4:$AE$37,9,FALSE)+VLOOKUP($A8,'ESA Calculations 2425'!$A$4:$AE$37,18,FALSE)-VLOOKUP($A8,'ESA Calculations 2425'!$A$4:$AE$37,10,FALSE),VLOOKUP($A8,EnrollData2324,'2324 Jun 24 Enroll'!I$1,FALSE)+VLOOKUP($A8,EnrollData2324,'2324 Jun 24 Enroll'!M$1,FALSE)-VLOOKUP($A8,EnrollData2324,'2324 Jun 24 Enroll'!J$1,FALSE),VLOOKUP($A8,'ESA Calculations 2425'!$A$4:$AE$37,9,FALSE)+VLOOKUP($A8,'ESA Calculations 2425'!$A$4:$AE$37,18,FALSE)-VLOOKUP($A8,'ESA Calculations 2425'!$A$4:$AE$37,10,FALSE))*Apport_218A2425,3)</f>
        <v>1.73</v>
      </c>
      <c r="Z8">
        <f>ROUND(SUM(T8:Y8)/IF(VLOOKUP($A8,EnrollData2324,'2324 Jun 24 Enroll'!M$1,FALSE)+VLOOKUP($A8,EnrollData2324,'2324 Jun 24 Enroll'!D$1,FALSE)=VLOOKUP($A8,'ESA Calculations 2425'!$A$4:$AE$37,18,FALSE)+VLOOKUP($A8,'ESA Calculations 2425'!$A$4:$AE$37,4,FALSE),VLOOKUP($A8,EnrollData2324,'2324 Jun 24 Enroll'!M$1,FALSE)+VLOOKUP($A8,EnrollData2324,'2324 Jun 24 Enroll'!D$1,FALSE),VLOOKUP($A8,'ESA Calculations 2425'!$A$4:$AE$37,18,FALSE)+VLOOKUP($A8,'ESA Calculations 2425'!$A$4:$AE$37,4,FALSE)),5)</f>
        <v>1.7940000000000001E-2</v>
      </c>
      <c r="AA8" s="6">
        <f>ROUND($J8*CIS_Base_Salary2425*VLOOKUP($A8,EnrollData2324,'2324 Jun 24 Enroll'!AH$1,FALSE),2)</f>
        <v>4378.83</v>
      </c>
      <c r="AB8" s="6">
        <f>ROUND($J8*CIS_Inc_Salary2425*(VLOOKUP($A8,EnrollData2324,'2324 Jun 24 Enroll'!AI$1,FALSE)+VLOOKUP($A8,EnrollData2324,'2324 Jun 24 Enroll'!AJ$1,FALSE)),2)-AA8</f>
        <v>343.61999999999989</v>
      </c>
      <c r="AC8" s="6" cm="1">
        <f t="array" ref="AC8">ROUND($R8*CAS_Base_Salary2425*VLOOKUP($A8,EnrollData2324,'2324 Jun 24 Enroll'!AH$1,FALSE),2)</f>
        <v>465.71</v>
      </c>
      <c r="AD8" s="6">
        <f>ROUND($R8*CAS_Inc_Salary2425*VLOOKUP($A8,EnrollData2324,'2324 Jun 24 Enroll'!AI$1,FALSE),2)-AC8</f>
        <v>17.230000000000018</v>
      </c>
      <c r="AE8" s="6">
        <f>ROUND($Z8*CLS_Base_Salary2425*VLOOKUP($A8,EnrollData2324,'2324 Jun 24 Enroll'!AH$1,FALSE),2)</f>
        <v>970.61</v>
      </c>
      <c r="AF8" s="6">
        <f>ROUND($Z8*CLS_Inc_Salary2425*VLOOKUP($A8,EnrollData2324,'2324 Jun 24 Enroll'!AI$1,FALSE),2)-AE8</f>
        <v>35.909999999999968</v>
      </c>
      <c r="AG8" cm="1">
        <f t="array" ref="AG8">ROUND(($J8+$R8)*Apport_124X2425,2)</f>
        <v>821.3</v>
      </c>
      <c r="AH8" s="69" cm="1">
        <f t="array" ref="AH8">ROUND(($J8+$R8)*Apport_621X2425*Apport_125XC2425,2)-AG8</f>
        <v>75.830000000000041</v>
      </c>
      <c r="AI8" cm="1">
        <f t="array" ref="AI8">ROUND($Z8*Apport_124X2425,2)</f>
        <v>236.81</v>
      </c>
      <c r="AJ8">
        <f t="shared" si="3"/>
        <v>125.83999999999997</v>
      </c>
      <c r="AK8">
        <f t="shared" si="4"/>
        <v>879.28</v>
      </c>
      <c r="AL8">
        <f t="shared" si="5"/>
        <v>63.18</v>
      </c>
      <c r="AM8">
        <f t="shared" si="6"/>
        <v>210.23</v>
      </c>
      <c r="AN8">
        <f t="shared" si="7"/>
        <v>6.52</v>
      </c>
      <c r="AO8">
        <f>ROUND(($J8*CIS_Inc_Salary2425*(VLOOKUP($A8,EnrollData2324,'2324 Jun 24 Enroll'!AI$1,FALSE)+VLOOKUP($A8,EnrollData2324,'2324 Jun 24 Enroll'!AJ$1,FALSE))/Apport_613Xpd)*Apport_614Xpd,2)</f>
        <v>78.709999999999994</v>
      </c>
      <c r="AP8">
        <f t="shared" si="8"/>
        <v>13.78</v>
      </c>
      <c r="AQ8">
        <f t="shared" si="11"/>
        <v>32.340000000000003</v>
      </c>
      <c r="AR8" s="6">
        <f>ROUND((IF(VLOOKUP($A8,EnrollData2324,'2324 Jun 24 Enroll'!D$1,FALSE)=VLOOKUP($A8,'ESA Calculations 2425'!$A$4:$AE$37,4,FALSE),VLOOKUP($A8,EnrollData2324,'2324 Jun 24 Enroll'!D$1,FALSE),VLOOKUP($A8,'ESA Calculations 2425'!$A$4:$AE$37,4,FALSE))*Apport_M802425+IF(VLOOKUP($A8,EnrollData2324,'2324 Jun 24 Enroll'!M$1,FALSE)=VLOOKUP($A8,'ESA Calculations 2425'!$A$4:$AE$37,18,FALSE),VLOOKUP($A8,EnrollData2324,'2324 Jun 24 Enroll'!M$1,FALSE),VLOOKUP($A8,'ESA Calculations 2425'!$A$4:$AE$37,18,FALSE))*Apport_M802425+IF((VLOOKUP($A8,EnrollData2324,'2324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Enroll'!L$1,FALSE))=VLOOKUP($A8,EnrollData2324,'2324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Enroll'!L$1,FALSE),(VLOOKUP($A8,EnrollData2324,'2324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Enroll'!L$1,FALSE)),(VLOOKUP($A8,EnrollData2324,'2324 Jun 24 Enroll'!P$1,FALSE)+VLOOKUP($A8,EnrollData2324,'2324 Jun 24 Enroll'!Q$1,FALSE)+VLOOKUP($A8,EnrollData2324,'2324 Jun 24 Enroll'!R$1,FALSE)+VLOOKUP($A8,EnrollData2324,'2324 Jun 24 Enroll'!I$1,FALSE)+VLOOKUP($A8,EnrollData2324,'2324 Jun 24 Enroll'!N$1,FALSE)+VLOOKUP($A8,EnrollData2324,'2324 Jun 24 Enroll'!O$1,FALSE)+VLOOKUP($A8,EnrollData2324,'2324 Jun 24 Enroll'!K$1,FALSE)+VLOOKUP($A8,EnrollData2324,'2324 Jun 24 Enroll'!L$1,FALSE)))*Apport_M812425)/(IF(VLOOKUP($A8,EnrollData2324,'2324 Jun 24 Enroll'!M$1,FALSE)=VLOOKUP($A8,'ESA Calculations 2425'!$A$4:$AE$37,18,FALSE),VLOOKUP($A8,EnrollData2324,'2324 Jun 24 Enroll'!M$1,FALSE),VLOOKUP($A8,'ESA Calculations 2425'!$A$4:$AE$37,18,FALSE))+IF(VLOOKUP($A8,EnrollData2324,'2324 Jun 24 Enroll'!D$1,FALSE)=VLOOKUP($A8,'ESA Calculations 2425'!$A$4:$AE$37,4,FALSE),VLOOKUP($A8,EnrollData2324,'2324 Jun 24 Enroll'!D$1,FALSE),VLOOKUP($A8,'ESA Calculations 2425'!$A$4:$AE$37,4,FALSE))),2)</f>
        <v>1591.69</v>
      </c>
      <c r="AS8" s="7">
        <f t="shared" ref="AS8:AS36" si="12">SUM(AA8:AR8)</f>
        <v>10347.42</v>
      </c>
      <c r="AT8" s="6">
        <f>IF(VLOOKUP($A8,EnrollData2324,'2324 Jun 24 Enroll'!AA$1,FALSE)=VLOOKUP($A8,'ESA Calculations 2425'!$A$4:$AE$37,24,FALSE),VLOOKUP($A8,EnrollData2324,'2324 Jun 24 Enroll'!AA$1,FALSE),VLOOKUP($A8,'ESA Calculations 2425'!$A$4:$AE$37,24,FALSE))</f>
        <v>347.36</v>
      </c>
    </row>
    <row r="9" spans="1:49">
      <c r="A9" s="40" t="s">
        <v>829</v>
      </c>
      <c r="B9" s="40" t="s">
        <v>830</v>
      </c>
      <c r="C9" s="11">
        <f>ROUND((IFERROR((1/IF(VLOOKUP($A9,EnrollData2324,28,FALSE)=VLOOKUP($A9,'ESA Calculations 2425'!$A$4:$AE$37,3,FALSE),VLOOKUP($A9,EnrollData2324,28,FALSE),VLOOKUP($A9,'ESA Calculations 2425'!$A$4:$AE$37,3,FALSE)))*(1+Apport_Z315),0))+Apport_201A2425,6)</f>
        <v>7.0842000000000002E-2</v>
      </c>
      <c r="D9">
        <f>ROUND(IF(VLOOKUP($A9,EnrollData2324,'2324 Jun 24 Enroll'!D$1,FALSE)=VLOOKUP($A9,'ESA Calculations 2425'!$A$4:$AE$37,4,FALSE),VLOOKUP($A9,EnrollData2324,'2324 Jun 24 Enroll'!D$1,FALSE),VLOOKUP($A9,'ESA Calculations 2425'!$A$4:$AE$37,4,FALSE))*C9,3)</f>
        <v>0</v>
      </c>
      <c r="E9">
        <f>ROUND(IF(VLOOKUP($A9,EnrollData2324,'2324 Jun 24 Enroll'!E$1,FALSE)=VLOOKUP($A9,'ESA Calculations 2425'!$A$4:$AE$37,5,FALSE),VLOOKUP($A9,EnrollData2324,'2324 Jun 24 Enroll'!E$1,FALSE),VLOOKUP($A9,'ESA Calculations 2425'!$A$4:$AE$37,5,FALSE))*C9,3)</f>
        <v>15.494999999999999</v>
      </c>
      <c r="F9">
        <f>ROUND(IF(VLOOKUP($A9,EnrollData2324,'2324 Jun 24 Enroll'!F$1,FALSE)=VLOOKUP($A9,'ESA Calculations 2425'!$A$4:$AE$37,6,FALSE),VLOOKUP($A9,EnrollData2324,'2324 Jun 24 Enroll'!F$1,FALSE),VLOOKUP($A9,'ESA Calculations 2425'!$A$4:$AE$37,6,FALSE))*Apport_222A2425,3)</f>
        <v>2.802</v>
      </c>
      <c r="G9">
        <f>ROUND(IF(VLOOKUP($A9,EnrollData2324,'2324 Jun 24 Enroll'!G$1,FALSE)=VLOOKUP($A9,'ESA Calculations 2425'!$A$4:$AE$37,7,FALSE),VLOOKUP($A9,EnrollData2324,'2324 Jun 24 Enroll'!G$1,FALSE),VLOOKUP($A9,'ESA Calculations 2425'!$A$4:$AE$37,7,FALSE))*Apport_210A2425,3)</f>
        <v>5.0750000000000002</v>
      </c>
      <c r="H9">
        <f>ROUND(IF(VLOOKUP($A9,EnrollData2324,'2324 Jun 24 Enroll'!H$1,FALSE)=VLOOKUP($A9,'ESA Calculations 2425'!$A$4:$AE$37,8,FALSE),VLOOKUP($A9,EnrollData2324,'2324 Jun 24 Enroll'!H$1,FALSE),VLOOKUP($A9,'ESA Calculations 2425'!$A$4:$AE$37,8,FALSE))*Apport_213A2425,3)</f>
        <v>5.62</v>
      </c>
      <c r="I9">
        <f>ROUND(IF(VLOOKUP($A9,EnrollData2324,'2324 Jun 24 Enroll'!I$1,FALSE)+VLOOKUP($A9,EnrollData2324,'2324 Jun 24 Enroll'!M$1,FALSE)-VLOOKUP($A9,EnrollData2324,'2324 Jun 24 Enroll'!J$1,FALSE)=VLOOKUP($A9,'ESA Calculations 2425'!$A$4:$AE$37,9,FALSE)+VLOOKUP($A9,'ESA Calculations 2425'!$A$4:$AE$37,18,FALSE)-VLOOKUP($A9,'ESA Calculations 2425'!$A$4:$AE$37,10,FALSE),VLOOKUP($A9,EnrollData2324,'2324 Jun 24 Enroll'!I$1,FALSE)+VLOOKUP($A9,EnrollData2324,'2324 Jun 24 Enroll'!M$1,FALSE)-VLOOKUP($A9,EnrollData2324,'2324 Jun 24 Enroll'!J$1,FALSE),VLOOKUP($A9,'ESA Calculations 2425'!$A$4:$AE$37,9,FALSE)+VLOOKUP($A9,'ESA Calculations 2425'!$A$4:$AE$37,18,FALSE)-VLOOKUP($A9,'ESA Calculations 2425'!$A$4:$AE$37,10,FALSE))*Apport_216A2425,3)</f>
        <v>9.2650000000000006</v>
      </c>
      <c r="J9">
        <f>ROUND(SUM(D9:I9)/IF(VLOOKUP($A9,EnrollData2324,'2324 Jun 24 Enroll'!M$1,FALSE)+VLOOKUP($A9,EnrollData2324,'2324 Jun 24 Enroll'!D$1,FALSE)=VLOOKUP($A9,'ESA Calculations 2425'!$A$4:$AE$37,18,FALSE)+VLOOKUP($A9,'ESA Calculations 2425'!$A$4:$AE$37,4,FALSE),VLOOKUP($A9,EnrollData2324,'2324 Jun 24 Enroll'!M$1,FALSE)+VLOOKUP($A9,EnrollData2324,'2324 Jun 24 Enroll'!D$1,FALSE),VLOOKUP($A9,'ESA Calculations 2425'!$A$4:$AE$37,18,FALSE)+VLOOKUP($A9,'ESA Calculations 2425'!$A$4:$AE$37,4,FALSE)),5)</f>
        <v>5.679E-2</v>
      </c>
      <c r="K9" s="11">
        <f t="shared" si="1"/>
        <v>4.3350000000000003E-3</v>
      </c>
      <c r="L9">
        <f>ROUND(IF(VLOOKUP($A9,EnrollData2324,'2324 Jun 24 Enroll'!D$1,FALSE)=VLOOKUP($A9,'ESA Calculations 2425'!$A$4:$AE$37,4,FALSE),VLOOKUP($A9,EnrollData2324,'2324 Jun 24 Enroll'!D$1,FALSE),VLOOKUP($A9,'ESA Calculations 2425'!$A$4:$AE$37,4,FALSE))*K9,3)</f>
        <v>0</v>
      </c>
      <c r="M9">
        <f>ROUND(IF(VLOOKUP($A9,EnrollData2324,'2324 Jun 24 Enroll'!E$1,FALSE)=VLOOKUP($A9,'ESA Calculations 2425'!$A$4:$AE$37,5,FALSE),VLOOKUP($A9,EnrollData2324,'2324 Jun 24 Enroll'!E$1,FALSE),VLOOKUP($A9,'ESA Calculations 2425'!$A$4:$AE$37,5,FALSE))*K9,3)</f>
        <v>0.94799999999999995</v>
      </c>
      <c r="N9">
        <f>ROUND(IF(VLOOKUP($A9,EnrollData2324,'2324 Jun 24 Enroll'!F$1,FALSE)=VLOOKUP($A9,'ESA Calculations 2425'!$A$4:$AE$37,6,FALSE),VLOOKUP($A9,EnrollData2324,'2324 Jun 24 Enroll'!F$1,FALSE),VLOOKUP($A9,'ESA Calculations 2425'!$A$4:$AE$37,6,FALSE))*Apport_223A2425,3)</f>
        <v>0.22900000000000001</v>
      </c>
      <c r="O9">
        <f>ROUND(IF(VLOOKUP($A9,EnrollData2324,'2324 Jun 24 Enroll'!G$1,FALSE)=VLOOKUP($A9,'ESA Calculations 2425'!$A$4:$AE$37,7,FALSE),VLOOKUP($A9,EnrollData2324,'2324 Jun 24 Enroll'!G$1,FALSE),VLOOKUP($A9,'ESA Calculations 2425'!$A$4:$AE$37,7,FALSE))*Apport_211A2425,3)</f>
        <v>0.41599999999999998</v>
      </c>
      <c r="P9">
        <f>ROUND(IF(VLOOKUP($A9,EnrollData2324,'2324 Jun 24 Enroll'!H$1,FALSE)=VLOOKUP($A9,'ESA Calculations 2425'!$A$4:$AE$37,8,FALSE),VLOOKUP($A9,EnrollData2324,'2324 Jun 24 Enroll'!H$1,FALSE),VLOOKUP($A9,'ESA Calculations 2425'!$A$4:$AE$37,8,FALSE))*Apport_214A2425,3)</f>
        <v>0.45900000000000002</v>
      </c>
      <c r="Q9">
        <f>ROUND(IF(VLOOKUP($A9,EnrollData2324,'2324 Jun 24 Enroll'!I$1,FALSE)+VLOOKUP($A9,EnrollData2324,'2324 Jun 24 Enroll'!M$1,FALSE)-VLOOKUP($A9,EnrollData2324,'2324 Jun 24 Enroll'!J$1,FALSE)=VLOOKUP($A9,'ESA Calculations 2425'!$A$4:$AE$37,9,FALSE)+VLOOKUP($A9,'ESA Calculations 2425'!$A$4:$AE$37,18,FALSE)-VLOOKUP($A9,'ESA Calculations 2425'!$A$4:$AE$37,10,FALSE),VLOOKUP($A9,EnrollData2324,'2324 Jun 24 Enroll'!I$1,FALSE)+VLOOKUP($A9,EnrollData2324,'2324 Jun 24 Enroll'!M$1,FALSE)-VLOOKUP($A9,EnrollData2324,'2324 Jun 24 Enroll'!J$1,FALSE),VLOOKUP($A9,'ESA Calculations 2425'!$A$4:$AE$37,9,FALSE)+VLOOKUP($A9,'ESA Calculations 2425'!$A$4:$AE$37,18,FALSE)-VLOOKUP($A9,'ESA Calculations 2425'!$A$4:$AE$37,10,FALSE))*Apport_217A2425,3)</f>
        <v>0.73899999999999999</v>
      </c>
      <c r="R9">
        <f>ROUND(SUM(L9:Q9)/IF(VLOOKUP($A9,EnrollData2324,'2324 Jun 24 Enroll'!M$1,FALSE)+VLOOKUP($A9,EnrollData2324,'2324 Jun 24 Enroll'!D$1,FALSE)=VLOOKUP($A9,'ESA Calculations 2425'!$A$4:$AE$37,18,FALSE)+VLOOKUP($A9,'ESA Calculations 2425'!$A$4:$AE$37,4,FALSE),VLOOKUP($A9,EnrollData2324,'2324 Jun 24 Enroll'!M$1,FALSE)+VLOOKUP($A9,EnrollData2324,'2324 Jun 24 Enroll'!D$1,FALSE),VLOOKUP($A9,'ESA Calculations 2425'!$A$4:$AE$37,18,FALSE)+VLOOKUP($A9,'ESA Calculations 2425'!$A$4:$AE$37,4,FALSE)),5)</f>
        <v>4.1399999999999996E-3</v>
      </c>
      <c r="S9" s="11">
        <f t="shared" si="2"/>
        <v>1.8586600000000002E-2</v>
      </c>
      <c r="T9">
        <f>ROUND(IF(VLOOKUP($A9,EnrollData2324,'2324 Jun 24 Enroll'!D$1,FALSE)=VLOOKUP($A9,'ESA Calculations 2425'!$A$4:$AE$37,4,FALSE),VLOOKUP($A9,EnrollData2324,'2324 Jun 24 Enroll'!D$1,FALSE),VLOOKUP($A9,'ESA Calculations 2425'!$A$4:$AE$37,4,FALSE))*S9,3)</f>
        <v>0</v>
      </c>
      <c r="U9">
        <f>ROUND(IF(VLOOKUP($A9,EnrollData2324,'2324 Jun 24 Enroll'!E$1,FALSE)=VLOOKUP($A9,'ESA Calculations 2425'!$A$4:$AE$37,5,FALSE),VLOOKUP($A9,EnrollData2324,'2324 Jun 24 Enroll'!E$1,FALSE),VLOOKUP($A9,'ESA Calculations 2425'!$A$4:$AE$37,5,FALSE))*S9,3)</f>
        <v>4.0650000000000004</v>
      </c>
      <c r="V9">
        <f>ROUND(IF(VLOOKUP($A9,EnrollData2324,'2324 Jun 24 Enroll'!F$1,FALSE)=VLOOKUP($A9,'ESA Calculations 2425'!$A$4:$AE$37,6,FALSE),VLOOKUP($A9,EnrollData2324,'2324 Jun 24 Enroll'!F$1,FALSE),VLOOKUP($A9,'ESA Calculations 2425'!$A$4:$AE$37,6,FALSE))*Apport_224A2425,3)</f>
        <v>1.006</v>
      </c>
      <c r="W9">
        <f>ROUND(IF(VLOOKUP($A9,EnrollData2324,'2324 Jun 24 Enroll'!G$1,FALSE)=VLOOKUP($A9,'ESA Calculations 2425'!$A$4:$AE$37,7,FALSE),VLOOKUP($A9,EnrollData2324,'2324 Jun 24 Enroll'!G$1,FALSE),VLOOKUP($A9,'ESA Calculations 2425'!$A$4:$AE$37,7,FALSE))*Apport_212A2425,3)</f>
        <v>1.8220000000000001</v>
      </c>
      <c r="X9">
        <f>ROUND(IF(VLOOKUP($A9,EnrollData2324,'2324 Jun 24 Enroll'!H$1,FALSE)=VLOOKUP($A9,'ESA Calculations 2425'!$A$4:$AE$37,8,FALSE),VLOOKUP($A9,EnrollData2324,'2324 Jun 24 Enroll'!H$1,FALSE),VLOOKUP($A9,'ESA Calculations 2425'!$A$4:$AE$37,8,FALSE))*Apport_215A2425,3)</f>
        <v>1.9850000000000001</v>
      </c>
      <c r="Y9">
        <f>ROUND(IF(VLOOKUP($A9,EnrollData2324,'2324 Jun 24 Enroll'!I$1,FALSE)+VLOOKUP($A9,EnrollData2324,'2324 Jun 24 Enroll'!M$1,FALSE)-VLOOKUP($A9,EnrollData2324,'2324 Jun 24 Enroll'!J$1,FALSE)=VLOOKUP($A9,'ESA Calculations 2425'!$A$4:$AE$37,9,FALSE)+VLOOKUP($A9,'ESA Calculations 2425'!$A$4:$AE$37,18,FALSE)-VLOOKUP($A9,'ESA Calculations 2425'!$A$4:$AE$37,10,FALSE),VLOOKUP($A9,EnrollData2324,'2324 Jun 24 Enroll'!I$1,FALSE)+VLOOKUP($A9,EnrollData2324,'2324 Jun 24 Enroll'!M$1,FALSE)-VLOOKUP($A9,EnrollData2324,'2324 Jun 24 Enroll'!J$1,FALSE),VLOOKUP($A9,'ESA Calculations 2425'!$A$4:$AE$37,9,FALSE)+VLOOKUP($A9,'ESA Calculations 2425'!$A$4:$AE$37,18,FALSE)-VLOOKUP($A9,'ESA Calculations 2425'!$A$4:$AE$37,10,FALSE))*Apport_218A2425,3)</f>
        <v>3.1779999999999999</v>
      </c>
      <c r="Z9">
        <f>ROUND(SUM(T9:Y9)/IF(VLOOKUP($A9,EnrollData2324,'2324 Jun 24 Enroll'!M$1,FALSE)+VLOOKUP($A9,EnrollData2324,'2324 Jun 24 Enroll'!D$1,FALSE)=VLOOKUP($A9,'ESA Calculations 2425'!$A$4:$AE$37,18,FALSE)+VLOOKUP($A9,'ESA Calculations 2425'!$A$4:$AE$37,4,FALSE),VLOOKUP($A9,EnrollData2324,'2324 Jun 24 Enroll'!M$1,FALSE)+VLOOKUP($A9,EnrollData2324,'2324 Jun 24 Enroll'!D$1,FALSE),VLOOKUP($A9,'ESA Calculations 2425'!$A$4:$AE$37,18,FALSE)+VLOOKUP($A9,'ESA Calculations 2425'!$A$4:$AE$37,4,FALSE)),5)</f>
        <v>1.7899999999999999E-2</v>
      </c>
      <c r="AA9" s="6">
        <f>ROUND($J9*CIS_Base_Salary2425*VLOOKUP($A9,EnrollData2324,'2324 Jun 24 Enroll'!AH$1,FALSE),2)</f>
        <v>4283.05</v>
      </c>
      <c r="AB9" s="6">
        <f>ROUND($J9*CIS_Inc_Salary2425*(VLOOKUP($A9,EnrollData2324,'2324 Jun 24 Enroll'!AI$1,FALSE)+VLOOKUP($A9,EnrollData2324,'2324 Jun 24 Enroll'!AJ$1,FALSE)),2)-AA9</f>
        <v>202.84999999999945</v>
      </c>
      <c r="AC9" s="6" cm="1">
        <f t="array" ref="AC9">ROUND($R9*CAS_Base_Salary2425*VLOOKUP($A9,EnrollData2324,'2324 Jun 24 Enroll'!AH$1,FALSE),2)</f>
        <v>463.47</v>
      </c>
      <c r="AD9" s="6">
        <f>ROUND($R9*CAS_Inc_Salary2425*VLOOKUP($A9,EnrollData2324,'2324 Jun 24 Enroll'!AI$1,FALSE),2)-AC9</f>
        <v>17.149999999999977</v>
      </c>
      <c r="AE9" s="6">
        <f>ROUND($Z9*CLS_Base_Salary2425*VLOOKUP($A9,EnrollData2324,'2324 Jun 24 Enroll'!AH$1,FALSE),2)</f>
        <v>968.44</v>
      </c>
      <c r="AF9" s="6">
        <f>ROUND($Z9*CLS_Inc_Salary2425*VLOOKUP($A9,EnrollData2324,'2324 Jun 24 Enroll'!AI$1,FALSE),2)-AE9</f>
        <v>35.839999999999918</v>
      </c>
      <c r="AG9" cm="1">
        <f t="array" ref="AG9">ROUND(($J9+$R9)*Apport_124X2425,2)</f>
        <v>804.28</v>
      </c>
      <c r="AH9" s="69" cm="1">
        <f t="array" ref="AH9">ROUND(($J9+$R9)*Apport_621X2425*Apport_125XC2425,2)-AG9</f>
        <v>74.25</v>
      </c>
      <c r="AI9" cm="1">
        <f t="array" ref="AI9">ROUND($Z9*Apport_124X2425,2)</f>
        <v>236.28</v>
      </c>
      <c r="AJ9">
        <f t="shared" si="3"/>
        <v>125.55999999999997</v>
      </c>
      <c r="AK9">
        <f t="shared" si="4"/>
        <v>861.49</v>
      </c>
      <c r="AL9">
        <f t="shared" si="5"/>
        <v>38.520000000000003</v>
      </c>
      <c r="AM9">
        <f t="shared" si="6"/>
        <v>209.76</v>
      </c>
      <c r="AN9">
        <f t="shared" si="7"/>
        <v>6.51</v>
      </c>
      <c r="AO9">
        <f>ROUND(($J9*CIS_Inc_Salary2425*(VLOOKUP($A9,EnrollData2324,'2324 Jun 24 Enroll'!AI$1,FALSE)+VLOOKUP($A9,EnrollData2324,'2324 Jun 24 Enroll'!AJ$1,FALSE))/Apport_613Xpd)*Apport_614Xpd,2)</f>
        <v>74.77</v>
      </c>
      <c r="AP9">
        <f t="shared" si="8"/>
        <v>13.09</v>
      </c>
      <c r="AQ9">
        <f t="shared" si="11"/>
        <v>31.63</v>
      </c>
      <c r="AR9" s="6">
        <f>ROUND((IF(VLOOKUP($A9,EnrollData2324,'2324 Jun 24 Enroll'!D$1,FALSE)=VLOOKUP($A9,'ESA Calculations 2425'!$A$4:$AE$37,4,FALSE),VLOOKUP($A9,EnrollData2324,'2324 Jun 24 Enroll'!D$1,FALSE),VLOOKUP($A9,'ESA Calculations 2425'!$A$4:$AE$37,4,FALSE))*Apport_M802425+IF(VLOOKUP($A9,EnrollData2324,'2324 Jun 24 Enroll'!M$1,FALSE)=VLOOKUP($A9,'ESA Calculations 2425'!$A$4:$AE$37,18,FALSE),VLOOKUP($A9,EnrollData2324,'2324 Jun 24 Enroll'!M$1,FALSE),VLOOKUP($A9,'ESA Calculations 2425'!$A$4:$AE$37,18,FALSE))*Apport_M802425+IF((VLOOKUP($A9,EnrollData2324,'2324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Enroll'!L$1,FALSE))=VLOOKUP($A9,EnrollData2324,'2324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Enroll'!L$1,FALSE),(VLOOKUP($A9,EnrollData2324,'2324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Enroll'!L$1,FALSE)),(VLOOKUP($A9,EnrollData2324,'2324 Jun 24 Enroll'!P$1,FALSE)+VLOOKUP($A9,EnrollData2324,'2324 Jun 24 Enroll'!Q$1,FALSE)+VLOOKUP($A9,EnrollData2324,'2324 Jun 24 Enroll'!R$1,FALSE)+VLOOKUP($A9,EnrollData2324,'2324 Jun 24 Enroll'!I$1,FALSE)+VLOOKUP($A9,EnrollData2324,'2324 Jun 24 Enroll'!N$1,FALSE)+VLOOKUP($A9,EnrollData2324,'2324 Jun 24 Enroll'!O$1,FALSE)+VLOOKUP($A9,EnrollData2324,'2324 Jun 24 Enroll'!K$1,FALSE)+VLOOKUP($A9,EnrollData2324,'2324 Jun 24 Enroll'!L$1,FALSE)))*Apport_M812425)/(IF(VLOOKUP($A9,EnrollData2324,'2324 Jun 24 Enroll'!M$1,FALSE)=VLOOKUP($A9,'ESA Calculations 2425'!$A$4:$AE$37,18,FALSE),VLOOKUP($A9,EnrollData2324,'2324 Jun 24 Enroll'!M$1,FALSE),VLOOKUP($A9,'ESA Calculations 2425'!$A$4:$AE$37,18,FALSE))+IF(VLOOKUP($A9,EnrollData2324,'2324 Jun 24 Enroll'!D$1,FALSE)=VLOOKUP($A9,'ESA Calculations 2425'!$A$4:$AE$37,4,FALSE),VLOOKUP($A9,EnrollData2324,'2324 Jun 24 Enroll'!D$1,FALSE),VLOOKUP($A9,'ESA Calculations 2425'!$A$4:$AE$37,4,FALSE))),2)</f>
        <v>1588.17</v>
      </c>
      <c r="AS9" s="7">
        <f t="shared" si="12"/>
        <v>10035.109999999999</v>
      </c>
      <c r="AT9" s="6">
        <f>IF(VLOOKUP($A9,EnrollData2324,'2324 Jun 24 Enroll'!AA$1,FALSE)=VLOOKUP($A9,'ESA Calculations 2425'!$A$4:$AE$37,24,FALSE),VLOOKUP($A9,EnrollData2324,'2324 Jun 24 Enroll'!AA$1,FALSE),VLOOKUP($A9,'ESA Calculations 2425'!$A$4:$AE$37,24,FALSE))</f>
        <v>673.63</v>
      </c>
    </row>
    <row r="10" spans="1:49">
      <c r="A10" s="40" t="s">
        <v>518</v>
      </c>
      <c r="B10" s="40" t="s">
        <v>519</v>
      </c>
      <c r="C10" s="11">
        <f>ROUND((IFERROR((1/IF(VLOOKUP($A10,EnrollData2324,28,FALSE)=VLOOKUP($A10,'ESA Calculations 2425'!$A$4:$AE$37,3,FALSE),VLOOKUP($A10,EnrollData2324,28,FALSE),VLOOKUP($A10,'ESA Calculations 2425'!$A$4:$AE$37,3,FALSE)))*(1+Apport_Z315),0))+Apport_201A2425,6)</f>
        <v>7.4580999999999995E-2</v>
      </c>
      <c r="D10">
        <f>ROUND(IF(VLOOKUP($A10,EnrollData2324,'2324 Jun 24 Enroll'!D$1,FALSE)=VLOOKUP($A10,'ESA Calculations 2425'!$A$4:$AE$37,4,FALSE),VLOOKUP($A10,EnrollData2324,'2324 Jun 24 Enroll'!D$1,FALSE),VLOOKUP($A10,'ESA Calculations 2425'!$A$4:$AE$37,4,FALSE))*C10,3)</f>
        <v>2.5609999999999999</v>
      </c>
      <c r="E10">
        <f>ROUND(IF(VLOOKUP($A10,EnrollData2324,'2324 Jun 24 Enroll'!E$1,FALSE)=VLOOKUP($A10,'ESA Calculations 2425'!$A$4:$AE$37,5,FALSE),VLOOKUP($A10,EnrollData2324,'2324 Jun 24 Enroll'!E$1,FALSE),VLOOKUP($A10,'ESA Calculations 2425'!$A$4:$AE$37,5,FALSE))*C10,3)</f>
        <v>23.529</v>
      </c>
      <c r="F10">
        <f>ROUND(IF(VLOOKUP($A10,EnrollData2324,'2324 Jun 24 Enroll'!F$1,FALSE)=VLOOKUP($A10,'ESA Calculations 2425'!$A$4:$AE$37,6,FALSE),VLOOKUP($A10,EnrollData2324,'2324 Jun 24 Enroll'!F$1,FALSE),VLOOKUP($A10,'ESA Calculations 2425'!$A$4:$AE$37,6,FALSE))*Apport_222A2425,3)</f>
        <v>4.9119999999999999</v>
      </c>
      <c r="G10">
        <f>ROUND(IF(VLOOKUP($A10,EnrollData2324,'2324 Jun 24 Enroll'!G$1,FALSE)=VLOOKUP($A10,'ESA Calculations 2425'!$A$4:$AE$37,7,FALSE),VLOOKUP($A10,EnrollData2324,'2324 Jun 24 Enroll'!G$1,FALSE),VLOOKUP($A10,'ESA Calculations 2425'!$A$4:$AE$37,7,FALSE))*Apport_210A2425,3)</f>
        <v>9.24</v>
      </c>
      <c r="H10">
        <f>ROUND(IF(VLOOKUP($A10,EnrollData2324,'2324 Jun 24 Enroll'!H$1,FALSE)=VLOOKUP($A10,'ESA Calculations 2425'!$A$4:$AE$37,8,FALSE),VLOOKUP($A10,EnrollData2324,'2324 Jun 24 Enroll'!H$1,FALSE),VLOOKUP($A10,'ESA Calculations 2425'!$A$4:$AE$37,8,FALSE))*Apport_213A2425,3)</f>
        <v>7.3</v>
      </c>
      <c r="I10">
        <f>ROUND(IF(VLOOKUP($A10,EnrollData2324,'2324 Jun 24 Enroll'!I$1,FALSE)+VLOOKUP($A10,EnrollData2324,'2324 Jun 24 Enroll'!M$1,FALSE)-VLOOKUP($A10,EnrollData2324,'2324 Jun 24 Enroll'!J$1,FALSE)=VLOOKUP($A10,'ESA Calculations 2425'!$A$4:$AE$37,9,FALSE)+VLOOKUP($A10,'ESA Calculations 2425'!$A$4:$AE$37,18,FALSE)-VLOOKUP($A10,'ESA Calculations 2425'!$A$4:$AE$37,10,FALSE),VLOOKUP($A10,EnrollData2324,'2324 Jun 24 Enroll'!I$1,FALSE)+VLOOKUP($A10,EnrollData2324,'2324 Jun 24 Enroll'!M$1,FALSE)-VLOOKUP($A10,EnrollData2324,'2324 Jun 24 Enroll'!J$1,FALSE),VLOOKUP($A10,'ESA Calculations 2425'!$A$4:$AE$37,9,FALSE)+VLOOKUP($A10,'ESA Calculations 2425'!$A$4:$AE$37,18,FALSE)-VLOOKUP($A10,'ESA Calculations 2425'!$A$4:$AE$37,10,FALSE))*Apport_216A2425,3)</f>
        <v>18.006</v>
      </c>
      <c r="J10">
        <f>ROUND(SUM(D10:I10)/IF(VLOOKUP($A10,EnrollData2324,'2324 Jun 24 Enroll'!M$1,FALSE)+VLOOKUP($A10,EnrollData2324,'2324 Jun 24 Enroll'!D$1,FALSE)=VLOOKUP($A10,'ESA Calculations 2425'!$A$4:$AE$37,18,FALSE)+VLOOKUP($A10,'ESA Calculations 2425'!$A$4:$AE$37,4,FALSE),VLOOKUP($A10,EnrollData2324,'2324 Jun 24 Enroll'!M$1,FALSE)+VLOOKUP($A10,EnrollData2324,'2324 Jun 24 Enroll'!D$1,FALSE),VLOOKUP($A10,'ESA Calculations 2425'!$A$4:$AE$37,18,FALSE)+VLOOKUP($A10,'ESA Calculations 2425'!$A$4:$AE$37,4,FALSE)),5)</f>
        <v>5.7630000000000001E-2</v>
      </c>
      <c r="K10" s="11">
        <f t="shared" si="1"/>
        <v>4.385E-3</v>
      </c>
      <c r="L10">
        <f>ROUND(IF(VLOOKUP($A10,EnrollData2324,'2324 Jun 24 Enroll'!D$1,FALSE)=VLOOKUP($A10,'ESA Calculations 2425'!$A$4:$AE$37,4,FALSE),VLOOKUP($A10,EnrollData2324,'2324 Jun 24 Enroll'!D$1,FALSE),VLOOKUP($A10,'ESA Calculations 2425'!$A$4:$AE$37,4,FALSE))*K10,3)</f>
        <v>0.151</v>
      </c>
      <c r="M10">
        <f>ROUND(IF(VLOOKUP($A10,EnrollData2324,'2324 Jun 24 Enroll'!E$1,FALSE)=VLOOKUP($A10,'ESA Calculations 2425'!$A$4:$AE$37,5,FALSE),VLOOKUP($A10,EnrollData2324,'2324 Jun 24 Enroll'!E$1,FALSE),VLOOKUP($A10,'ESA Calculations 2425'!$A$4:$AE$37,5,FALSE))*K10,3)</f>
        <v>1.383</v>
      </c>
      <c r="N10">
        <f>ROUND(IF(VLOOKUP($A10,EnrollData2324,'2324 Jun 24 Enroll'!F$1,FALSE)=VLOOKUP($A10,'ESA Calculations 2425'!$A$4:$AE$37,6,FALSE),VLOOKUP($A10,EnrollData2324,'2324 Jun 24 Enroll'!F$1,FALSE),VLOOKUP($A10,'ESA Calculations 2425'!$A$4:$AE$37,6,FALSE))*Apport_223A2425,3)</f>
        <v>0.40200000000000002</v>
      </c>
      <c r="O10">
        <f>ROUND(IF(VLOOKUP($A10,EnrollData2324,'2324 Jun 24 Enroll'!G$1,FALSE)=VLOOKUP($A10,'ESA Calculations 2425'!$A$4:$AE$37,7,FALSE),VLOOKUP($A10,EnrollData2324,'2324 Jun 24 Enroll'!G$1,FALSE),VLOOKUP($A10,'ESA Calculations 2425'!$A$4:$AE$37,7,FALSE))*Apport_211A2425,3)</f>
        <v>0.75700000000000001</v>
      </c>
      <c r="P10">
        <f>ROUND(IF(VLOOKUP($A10,EnrollData2324,'2324 Jun 24 Enroll'!H$1,FALSE)=VLOOKUP($A10,'ESA Calculations 2425'!$A$4:$AE$37,8,FALSE),VLOOKUP($A10,EnrollData2324,'2324 Jun 24 Enroll'!H$1,FALSE),VLOOKUP($A10,'ESA Calculations 2425'!$A$4:$AE$37,8,FALSE))*Apport_214A2425,3)</f>
        <v>0.59599999999999997</v>
      </c>
      <c r="Q10">
        <f>ROUND(IF(VLOOKUP($A10,EnrollData2324,'2324 Jun 24 Enroll'!I$1,FALSE)+VLOOKUP($A10,EnrollData2324,'2324 Jun 24 Enroll'!M$1,FALSE)-VLOOKUP($A10,EnrollData2324,'2324 Jun 24 Enroll'!J$1,FALSE)=VLOOKUP($A10,'ESA Calculations 2425'!$A$4:$AE$37,9,FALSE)+VLOOKUP($A10,'ESA Calculations 2425'!$A$4:$AE$37,18,FALSE)-VLOOKUP($A10,'ESA Calculations 2425'!$A$4:$AE$37,10,FALSE),VLOOKUP($A10,EnrollData2324,'2324 Jun 24 Enroll'!I$1,FALSE)+VLOOKUP($A10,EnrollData2324,'2324 Jun 24 Enroll'!M$1,FALSE)-VLOOKUP($A10,EnrollData2324,'2324 Jun 24 Enroll'!J$1,FALSE),VLOOKUP($A10,'ESA Calculations 2425'!$A$4:$AE$37,9,FALSE)+VLOOKUP($A10,'ESA Calculations 2425'!$A$4:$AE$37,18,FALSE)-VLOOKUP($A10,'ESA Calculations 2425'!$A$4:$AE$37,10,FALSE))*Apport_217A2425,3)</f>
        <v>1.4370000000000001</v>
      </c>
      <c r="R10">
        <f>ROUND(SUM(L10:Q10)/IF(VLOOKUP($A10,EnrollData2324,'2324 Jun 24 Enroll'!M$1,FALSE)+VLOOKUP($A10,EnrollData2324,'2324 Jun 24 Enroll'!D$1,FALSE)=VLOOKUP($A10,'ESA Calculations 2425'!$A$4:$AE$37,18,FALSE)+VLOOKUP($A10,'ESA Calculations 2425'!$A$4:$AE$37,4,FALSE),VLOOKUP($A10,EnrollData2324,'2324 Jun 24 Enroll'!M$1,FALSE)+VLOOKUP($A10,EnrollData2324,'2324 Jun 24 Enroll'!D$1,FALSE),VLOOKUP($A10,'ESA Calculations 2425'!$A$4:$AE$37,18,FALSE)+VLOOKUP($A10,'ESA Calculations 2425'!$A$4:$AE$37,4,FALSE)),5)</f>
        <v>4.1599999999999996E-3</v>
      </c>
      <c r="S10" s="11">
        <f t="shared" si="2"/>
        <v>1.8734299999999999E-2</v>
      </c>
      <c r="T10">
        <f>ROUND(IF(VLOOKUP($A10,EnrollData2324,'2324 Jun 24 Enroll'!D$1,FALSE)=VLOOKUP($A10,'ESA Calculations 2425'!$A$4:$AE$37,4,FALSE),VLOOKUP($A10,EnrollData2324,'2324 Jun 24 Enroll'!D$1,FALSE),VLOOKUP($A10,'ESA Calculations 2425'!$A$4:$AE$37,4,FALSE))*S10,3)</f>
        <v>0.64300000000000002</v>
      </c>
      <c r="U10">
        <f>ROUND(IF(VLOOKUP($A10,EnrollData2324,'2324 Jun 24 Enroll'!E$1,FALSE)=VLOOKUP($A10,'ESA Calculations 2425'!$A$4:$AE$37,5,FALSE),VLOOKUP($A10,EnrollData2324,'2324 Jun 24 Enroll'!E$1,FALSE),VLOOKUP($A10,'ESA Calculations 2425'!$A$4:$AE$37,5,FALSE))*S10,3)</f>
        <v>5.91</v>
      </c>
      <c r="V10">
        <f>ROUND(IF(VLOOKUP($A10,EnrollData2324,'2324 Jun 24 Enroll'!F$1,FALSE)=VLOOKUP($A10,'ESA Calculations 2425'!$A$4:$AE$37,6,FALSE),VLOOKUP($A10,EnrollData2324,'2324 Jun 24 Enroll'!F$1,FALSE),VLOOKUP($A10,'ESA Calculations 2425'!$A$4:$AE$37,6,FALSE))*Apport_224A2425,3)</f>
        <v>1.7629999999999999</v>
      </c>
      <c r="W10">
        <f>ROUND(IF(VLOOKUP($A10,EnrollData2324,'2324 Jun 24 Enroll'!G$1,FALSE)=VLOOKUP($A10,'ESA Calculations 2425'!$A$4:$AE$37,7,FALSE),VLOOKUP($A10,EnrollData2324,'2324 Jun 24 Enroll'!G$1,FALSE),VLOOKUP($A10,'ESA Calculations 2425'!$A$4:$AE$37,7,FALSE))*Apport_212A2425,3)</f>
        <v>3.3170000000000002</v>
      </c>
      <c r="X10">
        <f>ROUND(IF(VLOOKUP($A10,EnrollData2324,'2324 Jun 24 Enroll'!H$1,FALSE)=VLOOKUP($A10,'ESA Calculations 2425'!$A$4:$AE$37,8,FALSE),VLOOKUP($A10,EnrollData2324,'2324 Jun 24 Enroll'!H$1,FALSE),VLOOKUP($A10,'ESA Calculations 2425'!$A$4:$AE$37,8,FALSE))*Apport_215A2425,3)</f>
        <v>2.5790000000000002</v>
      </c>
      <c r="Y10">
        <f>ROUND(IF(VLOOKUP($A10,EnrollData2324,'2324 Jun 24 Enroll'!I$1,FALSE)+VLOOKUP($A10,EnrollData2324,'2324 Jun 24 Enroll'!M$1,FALSE)-VLOOKUP($A10,EnrollData2324,'2324 Jun 24 Enroll'!J$1,FALSE)=VLOOKUP($A10,'ESA Calculations 2425'!$A$4:$AE$37,9,FALSE)+VLOOKUP($A10,'ESA Calculations 2425'!$A$4:$AE$37,18,FALSE)-VLOOKUP($A10,'ESA Calculations 2425'!$A$4:$AE$37,10,FALSE),VLOOKUP($A10,EnrollData2324,'2324 Jun 24 Enroll'!I$1,FALSE)+VLOOKUP($A10,EnrollData2324,'2324 Jun 24 Enroll'!M$1,FALSE)-VLOOKUP($A10,EnrollData2324,'2324 Jun 24 Enroll'!J$1,FALSE),VLOOKUP($A10,'ESA Calculations 2425'!$A$4:$AE$37,9,FALSE)+VLOOKUP($A10,'ESA Calculations 2425'!$A$4:$AE$37,18,FALSE)-VLOOKUP($A10,'ESA Calculations 2425'!$A$4:$AE$37,10,FALSE))*Apport_218A2425,3)</f>
        <v>6.1769999999999996</v>
      </c>
      <c r="Z10">
        <f>ROUND(SUM(T10:Y10)/IF(VLOOKUP($A10,EnrollData2324,'2324 Jun 24 Enroll'!M$1,FALSE)+VLOOKUP($A10,EnrollData2324,'2324 Jun 24 Enroll'!D$1,FALSE)=VLOOKUP($A10,'ESA Calculations 2425'!$A$4:$AE$37,18,FALSE)+VLOOKUP($A10,'ESA Calculations 2425'!$A$4:$AE$37,4,FALSE),VLOOKUP($A10,EnrollData2324,'2324 Jun 24 Enroll'!M$1,FALSE)+VLOOKUP($A10,EnrollData2324,'2324 Jun 24 Enroll'!D$1,FALSE),VLOOKUP($A10,'ESA Calculations 2425'!$A$4:$AE$37,18,FALSE)+VLOOKUP($A10,'ESA Calculations 2425'!$A$4:$AE$37,4,FALSE)),5)</f>
        <v>1.7930000000000001E-2</v>
      </c>
      <c r="AA10" s="6">
        <f>ROUND($J10*CIS_Base_Salary2425*VLOOKUP($A10,EnrollData2324,'2324 Jun 24 Enroll'!AH$1,FALSE),2)</f>
        <v>4346.3999999999996</v>
      </c>
      <c r="AB10" s="6">
        <f>ROUND($J10*CIS_Inc_Salary2425*(VLOOKUP($A10,EnrollData2324,'2324 Jun 24 Enroll'!AI$1,FALSE)+VLOOKUP($A10,EnrollData2324,'2324 Jun 24 Enroll'!AJ$1,FALSE)),2)-AA10</f>
        <v>160.78000000000065</v>
      </c>
      <c r="AC10" s="6" cm="1">
        <f t="array" ref="AC10">ROUND($R10*CAS_Base_Salary2425*VLOOKUP($A10,EnrollData2324,'2324 Jun 24 Enroll'!AH$1,FALSE),2)</f>
        <v>465.71</v>
      </c>
      <c r="AD10" s="6">
        <f>ROUND($R10*CAS_Inc_Salary2425*VLOOKUP($A10,EnrollData2324,'2324 Jun 24 Enroll'!AI$1,FALSE),2)-AC10</f>
        <v>17.230000000000018</v>
      </c>
      <c r="AE10" s="6">
        <f>ROUND($Z10*CLS_Base_Salary2425*VLOOKUP($A10,EnrollData2324,'2324 Jun 24 Enroll'!AH$1,FALSE),2)</f>
        <v>970.07</v>
      </c>
      <c r="AF10" s="6">
        <f>ROUND($Z10*CLS_Inc_Salary2425*VLOOKUP($A10,EnrollData2324,'2324 Jun 24 Enroll'!AI$1,FALSE),2)-AE10</f>
        <v>35.889999999999986</v>
      </c>
      <c r="AG10" cm="1">
        <f t="array" ref="AG10">ROUND(($J10+$R10)*Apport_124X2425,2)</f>
        <v>815.63</v>
      </c>
      <c r="AH10" s="69" cm="1">
        <f t="array" ref="AH10">ROUND(($J10+$R10)*Apport_621X2425*Apport_125XC2425,2)-AG10</f>
        <v>75.299999999999955</v>
      </c>
      <c r="AI10" cm="1">
        <f t="array" ref="AI10">ROUND($Z10*Apport_124X2425,2)</f>
        <v>236.68</v>
      </c>
      <c r="AJ10">
        <f t="shared" si="3"/>
        <v>125.76999999999998</v>
      </c>
      <c r="AK10">
        <f t="shared" si="4"/>
        <v>873.4</v>
      </c>
      <c r="AL10">
        <f t="shared" si="5"/>
        <v>31.17</v>
      </c>
      <c r="AM10">
        <f t="shared" si="6"/>
        <v>210.12</v>
      </c>
      <c r="AN10">
        <f t="shared" si="7"/>
        <v>6.52</v>
      </c>
      <c r="AO10">
        <f>ROUND(($J10*CIS_Inc_Salary2425*(VLOOKUP($A10,EnrollData2324,'2324 Jun 24 Enroll'!AI$1,FALSE)+VLOOKUP($A10,EnrollData2324,'2324 Jun 24 Enroll'!AJ$1,FALSE))/Apport_613Xpd)*Apport_614Xpd,2)</f>
        <v>75.12</v>
      </c>
      <c r="AP10">
        <f t="shared" si="8"/>
        <v>13.15</v>
      </c>
      <c r="AQ10">
        <f t="shared" si="11"/>
        <v>32.1</v>
      </c>
      <c r="AR10" s="6">
        <f>ROUND((IF(VLOOKUP($A10,EnrollData2324,'2324 Jun 24 Enroll'!D$1,FALSE)=VLOOKUP($A10,'ESA Calculations 2425'!$A$4:$AE$37,4,FALSE),VLOOKUP($A10,EnrollData2324,'2324 Jun 24 Enroll'!D$1,FALSE),VLOOKUP($A10,'ESA Calculations 2425'!$A$4:$AE$37,4,FALSE))*Apport_M802425+IF(VLOOKUP($A10,EnrollData2324,'2324 Jun 24 Enroll'!M$1,FALSE)=VLOOKUP($A10,'ESA Calculations 2425'!$A$4:$AE$37,18,FALSE),VLOOKUP($A10,EnrollData2324,'2324 Jun 24 Enroll'!M$1,FALSE),VLOOKUP($A10,'ESA Calculations 2425'!$A$4:$AE$37,18,FALSE))*Apport_M802425+IF((VLOOKUP($A10,EnrollData2324,'2324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Enroll'!L$1,FALSE))=VLOOKUP($A10,EnrollData2324,'2324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Enroll'!L$1,FALSE),(VLOOKUP($A10,EnrollData2324,'2324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Enroll'!L$1,FALSE)),(VLOOKUP($A10,EnrollData2324,'2324 Jun 24 Enroll'!P$1,FALSE)+VLOOKUP($A10,EnrollData2324,'2324 Jun 24 Enroll'!Q$1,FALSE)+VLOOKUP($A10,EnrollData2324,'2324 Jun 24 Enroll'!R$1,FALSE)+VLOOKUP($A10,EnrollData2324,'2324 Jun 24 Enroll'!I$1,FALSE)+VLOOKUP($A10,EnrollData2324,'2324 Jun 24 Enroll'!N$1,FALSE)+VLOOKUP($A10,EnrollData2324,'2324 Jun 24 Enroll'!O$1,FALSE)+VLOOKUP($A10,EnrollData2324,'2324 Jun 24 Enroll'!K$1,FALSE)+VLOOKUP($A10,EnrollData2324,'2324 Jun 24 Enroll'!L$1,FALSE)))*Apport_M812425)/(IF(VLOOKUP($A10,EnrollData2324,'2324 Jun 24 Enroll'!M$1,FALSE)=VLOOKUP($A10,'ESA Calculations 2425'!$A$4:$AE$37,18,FALSE),VLOOKUP($A10,EnrollData2324,'2324 Jun 24 Enroll'!M$1,FALSE),VLOOKUP($A10,'ESA Calculations 2425'!$A$4:$AE$37,18,FALSE))+IF(VLOOKUP($A10,EnrollData2324,'2324 Jun 24 Enroll'!D$1,FALSE)=VLOOKUP($A10,'ESA Calculations 2425'!$A$4:$AE$37,4,FALSE),VLOOKUP($A10,EnrollData2324,'2324 Jun 24 Enroll'!D$1,FALSE),VLOOKUP($A10,'ESA Calculations 2425'!$A$4:$AE$37,4,FALSE))),2)</f>
        <v>1596.5</v>
      </c>
      <c r="AS10" s="7">
        <f t="shared" si="12"/>
        <v>10087.540000000003</v>
      </c>
      <c r="AT10" s="6">
        <f>IF(VLOOKUP($A10,EnrollData2324,'2324 Jun 24 Enroll'!AA$1,FALSE)=VLOOKUP($A10,'ESA Calculations 2425'!$A$4:$AE$37,24,FALSE),VLOOKUP($A10,EnrollData2324,'2324 Jun 24 Enroll'!AA$1,FALSE),VLOOKUP($A10,'ESA Calculations 2425'!$A$4:$AE$37,24,FALSE))</f>
        <v>1138.68</v>
      </c>
      <c r="AW10" s="27"/>
    </row>
    <row r="11" spans="1:49">
      <c r="A11" s="40" t="s">
        <v>669</v>
      </c>
      <c r="B11" s="40" t="s">
        <v>670</v>
      </c>
      <c r="C11" s="11">
        <f>ROUND((IFERROR((1/IF(VLOOKUP($A11,EnrollData2324,28,FALSE)=VLOOKUP($A11,'ESA Calculations 2425'!$A$4:$AE$37,3,FALSE),VLOOKUP($A11,EnrollData2324,28,FALSE),VLOOKUP($A11,'ESA Calculations 2425'!$A$4:$AE$37,3,FALSE)))*(1+Apport_Z315),0))+Apport_201A2425,6)</f>
        <v>7.4580999999999995E-2</v>
      </c>
      <c r="D11">
        <f>ROUND(IF(VLOOKUP($A11,EnrollData2324,'2324 Jun 24 Enroll'!D$1,FALSE)=VLOOKUP($A11,'ESA Calculations 2425'!$A$4:$AE$37,4,FALSE),VLOOKUP($A11,EnrollData2324,'2324 Jun 24 Enroll'!D$1,FALSE),VLOOKUP($A11,'ESA Calculations 2425'!$A$4:$AE$37,4,FALSE))*C11,3)</f>
        <v>0</v>
      </c>
      <c r="E11">
        <f>ROUND(IF(VLOOKUP($A11,EnrollData2324,'2324 Jun 24 Enroll'!E$1,FALSE)=VLOOKUP($A11,'ESA Calculations 2425'!$A$4:$AE$37,5,FALSE),VLOOKUP($A11,EnrollData2324,'2324 Jun 24 Enroll'!E$1,FALSE),VLOOKUP($A11,'ESA Calculations 2425'!$A$4:$AE$37,5,FALSE))*C11,3)</f>
        <v>3.6989999999999998</v>
      </c>
      <c r="F11">
        <f>ROUND(IF(VLOOKUP($A11,EnrollData2324,'2324 Jun 24 Enroll'!F$1,FALSE)=VLOOKUP($A11,'ESA Calculations 2425'!$A$4:$AE$37,6,FALSE),VLOOKUP($A11,EnrollData2324,'2324 Jun 24 Enroll'!F$1,FALSE),VLOOKUP($A11,'ESA Calculations 2425'!$A$4:$AE$37,6,FALSE))*Apport_222A2425,3)</f>
        <v>0.59299999999999997</v>
      </c>
      <c r="G11">
        <f>ROUND(IF(VLOOKUP($A11,EnrollData2324,'2324 Jun 24 Enroll'!G$1,FALSE)=VLOOKUP($A11,'ESA Calculations 2425'!$A$4:$AE$37,7,FALSE),VLOOKUP($A11,EnrollData2324,'2324 Jun 24 Enroll'!G$1,FALSE),VLOOKUP($A11,'ESA Calculations 2425'!$A$4:$AE$37,7,FALSE))*Apport_210A2425,3)</f>
        <v>1.2310000000000001</v>
      </c>
      <c r="H11">
        <f>ROUND(IF(VLOOKUP($A11,EnrollData2324,'2324 Jun 24 Enroll'!H$1,FALSE)=VLOOKUP($A11,'ESA Calculations 2425'!$A$4:$AE$37,8,FALSE),VLOOKUP($A11,EnrollData2324,'2324 Jun 24 Enroll'!H$1,FALSE),VLOOKUP($A11,'ESA Calculations 2425'!$A$4:$AE$37,8,FALSE))*Apport_213A2425,3)</f>
        <v>1.1180000000000001</v>
      </c>
      <c r="I11">
        <f>ROUND(IF(VLOOKUP($A11,EnrollData2324,'2324 Jun 24 Enroll'!I$1,FALSE)+VLOOKUP($A11,EnrollData2324,'2324 Jun 24 Enroll'!M$1,FALSE)-VLOOKUP($A11,EnrollData2324,'2324 Jun 24 Enroll'!J$1,FALSE)=VLOOKUP($A11,'ESA Calculations 2425'!$A$4:$AE$37,9,FALSE)+VLOOKUP($A11,'ESA Calculations 2425'!$A$4:$AE$37,18,FALSE)-VLOOKUP($A11,'ESA Calculations 2425'!$A$4:$AE$37,10,FALSE),VLOOKUP($A11,EnrollData2324,'2324 Jun 24 Enroll'!I$1,FALSE)+VLOOKUP($A11,EnrollData2324,'2324 Jun 24 Enroll'!M$1,FALSE)-VLOOKUP($A11,EnrollData2324,'2324 Jun 24 Enroll'!J$1,FALSE),VLOOKUP($A11,'ESA Calculations 2425'!$A$4:$AE$37,9,FALSE)+VLOOKUP($A11,'ESA Calculations 2425'!$A$4:$AE$37,18,FALSE)-VLOOKUP($A11,'ESA Calculations 2425'!$A$4:$AE$37,10,FALSE))*Apport_216A2425,3)</f>
        <v>0</v>
      </c>
      <c r="J11">
        <f>ROUND(SUM(D11:I11)/IF(VLOOKUP($A11,EnrollData2324,'2324 Jun 24 Enroll'!M$1,FALSE)+VLOOKUP($A11,EnrollData2324,'2324 Jun 24 Enroll'!D$1,FALSE)=VLOOKUP($A11,'ESA Calculations 2425'!$A$4:$AE$37,18,FALSE)+VLOOKUP($A11,'ESA Calculations 2425'!$A$4:$AE$37,4,FALSE),VLOOKUP($A11,EnrollData2324,'2324 Jun 24 Enroll'!M$1,FALSE)+VLOOKUP($A11,EnrollData2324,'2324 Jun 24 Enroll'!D$1,FALSE),VLOOKUP($A11,'ESA Calculations 2425'!$A$4:$AE$37,18,FALSE)+VLOOKUP($A11,'ESA Calculations 2425'!$A$4:$AE$37,4,FALSE)),5)</f>
        <v>6.089E-2</v>
      </c>
      <c r="K11" s="11">
        <f t="shared" si="1"/>
        <v>4.385E-3</v>
      </c>
      <c r="L11">
        <f>ROUND(IF(VLOOKUP($A11,EnrollData2324,'2324 Jun 24 Enroll'!D$1,FALSE)=VLOOKUP($A11,'ESA Calculations 2425'!$A$4:$AE$37,4,FALSE),VLOOKUP($A11,EnrollData2324,'2324 Jun 24 Enroll'!D$1,FALSE),VLOOKUP($A11,'ESA Calculations 2425'!$A$4:$AE$37,4,FALSE))*K11,3)</f>
        <v>0</v>
      </c>
      <c r="M11">
        <f>ROUND(IF(VLOOKUP($A11,EnrollData2324,'2324 Jun 24 Enroll'!E$1,FALSE)=VLOOKUP($A11,'ESA Calculations 2425'!$A$4:$AE$37,5,FALSE),VLOOKUP($A11,EnrollData2324,'2324 Jun 24 Enroll'!E$1,FALSE),VLOOKUP($A11,'ESA Calculations 2425'!$A$4:$AE$37,5,FALSE))*K11,3)</f>
        <v>0.217</v>
      </c>
      <c r="N11">
        <f>ROUND(IF(VLOOKUP($A11,EnrollData2324,'2324 Jun 24 Enroll'!F$1,FALSE)=VLOOKUP($A11,'ESA Calculations 2425'!$A$4:$AE$37,6,FALSE),VLOOKUP($A11,EnrollData2324,'2324 Jun 24 Enroll'!F$1,FALSE),VLOOKUP($A11,'ESA Calculations 2425'!$A$4:$AE$37,6,FALSE))*Apport_223A2425,3)</f>
        <v>4.9000000000000002E-2</v>
      </c>
      <c r="O11">
        <f>ROUND(IF(VLOOKUP($A11,EnrollData2324,'2324 Jun 24 Enroll'!G$1,FALSE)=VLOOKUP($A11,'ESA Calculations 2425'!$A$4:$AE$37,7,FALSE),VLOOKUP($A11,EnrollData2324,'2324 Jun 24 Enroll'!G$1,FALSE),VLOOKUP($A11,'ESA Calculations 2425'!$A$4:$AE$37,7,FALSE))*Apport_211A2425,3)</f>
        <v>0.10100000000000001</v>
      </c>
      <c r="P11">
        <f>ROUND(IF(VLOOKUP($A11,EnrollData2324,'2324 Jun 24 Enroll'!H$1,FALSE)=VLOOKUP($A11,'ESA Calculations 2425'!$A$4:$AE$37,8,FALSE),VLOOKUP($A11,EnrollData2324,'2324 Jun 24 Enroll'!H$1,FALSE),VLOOKUP($A11,'ESA Calculations 2425'!$A$4:$AE$37,8,FALSE))*Apport_214A2425,3)</f>
        <v>9.0999999999999998E-2</v>
      </c>
      <c r="Q11">
        <f>ROUND(IF(VLOOKUP($A11,EnrollData2324,'2324 Jun 24 Enroll'!I$1,FALSE)+VLOOKUP($A11,EnrollData2324,'2324 Jun 24 Enroll'!M$1,FALSE)-VLOOKUP($A11,EnrollData2324,'2324 Jun 24 Enroll'!J$1,FALSE)=VLOOKUP($A11,'ESA Calculations 2425'!$A$4:$AE$37,9,FALSE)+VLOOKUP($A11,'ESA Calculations 2425'!$A$4:$AE$37,18,FALSE)-VLOOKUP($A11,'ESA Calculations 2425'!$A$4:$AE$37,10,FALSE),VLOOKUP($A11,EnrollData2324,'2324 Jun 24 Enroll'!I$1,FALSE)+VLOOKUP($A11,EnrollData2324,'2324 Jun 24 Enroll'!M$1,FALSE)-VLOOKUP($A11,EnrollData2324,'2324 Jun 24 Enroll'!J$1,FALSE),VLOOKUP($A11,'ESA Calculations 2425'!$A$4:$AE$37,9,FALSE)+VLOOKUP($A11,'ESA Calculations 2425'!$A$4:$AE$37,18,FALSE)-VLOOKUP($A11,'ESA Calculations 2425'!$A$4:$AE$37,10,FALSE))*Apport_217A2425,3)</f>
        <v>0</v>
      </c>
      <c r="R11">
        <f>ROUND(SUM(L11:Q11)/IF(VLOOKUP($A11,EnrollData2324,'2324 Jun 24 Enroll'!M$1,FALSE)+VLOOKUP($A11,EnrollData2324,'2324 Jun 24 Enroll'!D$1,FALSE)=VLOOKUP($A11,'ESA Calculations 2425'!$A$4:$AE$37,18,FALSE)+VLOOKUP($A11,'ESA Calculations 2425'!$A$4:$AE$37,4,FALSE),VLOOKUP($A11,EnrollData2324,'2324 Jun 24 Enroll'!M$1,FALSE)+VLOOKUP($A11,EnrollData2324,'2324 Jun 24 Enroll'!D$1,FALSE),VLOOKUP($A11,'ESA Calculations 2425'!$A$4:$AE$37,18,FALSE)+VLOOKUP($A11,'ESA Calculations 2425'!$A$4:$AE$37,4,FALSE)),5)</f>
        <v>4.1999999999999997E-3</v>
      </c>
      <c r="S11" s="11">
        <f t="shared" si="2"/>
        <v>1.8734299999999999E-2</v>
      </c>
      <c r="T11">
        <f>ROUND(IF(VLOOKUP($A11,EnrollData2324,'2324 Jun 24 Enroll'!D$1,FALSE)=VLOOKUP($A11,'ESA Calculations 2425'!$A$4:$AE$37,4,FALSE),VLOOKUP($A11,EnrollData2324,'2324 Jun 24 Enroll'!D$1,FALSE),VLOOKUP($A11,'ESA Calculations 2425'!$A$4:$AE$37,4,FALSE))*S11,3)</f>
        <v>0</v>
      </c>
      <c r="U11">
        <f>ROUND(IF(VLOOKUP($A11,EnrollData2324,'2324 Jun 24 Enroll'!E$1,FALSE)=VLOOKUP($A11,'ESA Calculations 2425'!$A$4:$AE$37,5,FALSE),VLOOKUP($A11,EnrollData2324,'2324 Jun 24 Enroll'!E$1,FALSE),VLOOKUP($A11,'ESA Calculations 2425'!$A$4:$AE$37,5,FALSE))*S11,3)</f>
        <v>0.92900000000000005</v>
      </c>
      <c r="V11">
        <f>ROUND(IF(VLOOKUP($A11,EnrollData2324,'2324 Jun 24 Enroll'!F$1,FALSE)=VLOOKUP($A11,'ESA Calculations 2425'!$A$4:$AE$37,6,FALSE),VLOOKUP($A11,EnrollData2324,'2324 Jun 24 Enroll'!F$1,FALSE),VLOOKUP($A11,'ESA Calculations 2425'!$A$4:$AE$37,6,FALSE))*Apport_224A2425,3)</f>
        <v>0.21299999999999999</v>
      </c>
      <c r="W11">
        <f>ROUND(IF(VLOOKUP($A11,EnrollData2324,'2324 Jun 24 Enroll'!G$1,FALSE)=VLOOKUP($A11,'ESA Calculations 2425'!$A$4:$AE$37,7,FALSE),VLOOKUP($A11,EnrollData2324,'2324 Jun 24 Enroll'!G$1,FALSE),VLOOKUP($A11,'ESA Calculations 2425'!$A$4:$AE$37,7,FALSE))*Apport_212A2425,3)</f>
        <v>0.442</v>
      </c>
      <c r="X11">
        <f>ROUND(IF(VLOOKUP($A11,EnrollData2324,'2324 Jun 24 Enroll'!H$1,FALSE)=VLOOKUP($A11,'ESA Calculations 2425'!$A$4:$AE$37,8,FALSE),VLOOKUP($A11,EnrollData2324,'2324 Jun 24 Enroll'!H$1,FALSE),VLOOKUP($A11,'ESA Calculations 2425'!$A$4:$AE$37,8,FALSE))*Apport_215A2425,3)</f>
        <v>0.39500000000000002</v>
      </c>
      <c r="Y11">
        <f>ROUND(IF(VLOOKUP($A11,EnrollData2324,'2324 Jun 24 Enroll'!I$1,FALSE)+VLOOKUP($A11,EnrollData2324,'2324 Jun 24 Enroll'!M$1,FALSE)-VLOOKUP($A11,EnrollData2324,'2324 Jun 24 Enroll'!J$1,FALSE)=VLOOKUP($A11,'ESA Calculations 2425'!$A$4:$AE$37,9,FALSE)+VLOOKUP($A11,'ESA Calculations 2425'!$A$4:$AE$37,18,FALSE)-VLOOKUP($A11,'ESA Calculations 2425'!$A$4:$AE$37,10,FALSE),VLOOKUP($A11,EnrollData2324,'2324 Jun 24 Enroll'!I$1,FALSE)+VLOOKUP($A11,EnrollData2324,'2324 Jun 24 Enroll'!M$1,FALSE)-VLOOKUP($A11,EnrollData2324,'2324 Jun 24 Enroll'!J$1,FALSE),VLOOKUP($A11,'ESA Calculations 2425'!$A$4:$AE$37,9,FALSE)+VLOOKUP($A11,'ESA Calculations 2425'!$A$4:$AE$37,18,FALSE)-VLOOKUP($A11,'ESA Calculations 2425'!$A$4:$AE$37,10,FALSE))*Apport_218A2425,3)</f>
        <v>0</v>
      </c>
      <c r="Z11">
        <f>ROUND(SUM(T11:Y11)/IF(VLOOKUP($A11,EnrollData2324,'2324 Jun 24 Enroll'!M$1,FALSE)+VLOOKUP($A11,EnrollData2324,'2324 Jun 24 Enroll'!D$1,FALSE)=VLOOKUP($A11,'ESA Calculations 2425'!$A$4:$AE$37,18,FALSE)+VLOOKUP($A11,'ESA Calculations 2425'!$A$4:$AE$37,4,FALSE),VLOOKUP($A11,EnrollData2324,'2324 Jun 24 Enroll'!M$1,FALSE)+VLOOKUP($A11,EnrollData2324,'2324 Jun 24 Enroll'!D$1,FALSE),VLOOKUP($A11,'ESA Calculations 2425'!$A$4:$AE$37,18,FALSE)+VLOOKUP($A11,'ESA Calculations 2425'!$A$4:$AE$37,4,FALSE)),5)</f>
        <v>1.8149999999999999E-2</v>
      </c>
      <c r="AA11" s="6">
        <f>ROUND($J11*CIS_Base_Salary2425*VLOOKUP($A11,EnrollData2324,'2324 Jun 24 Enroll'!AH$1,FALSE),2)</f>
        <v>4592.26</v>
      </c>
      <c r="AB11" s="6">
        <f>ROUND($J11*CIS_Inc_Salary2425*(VLOOKUP($A11,EnrollData2324,'2324 Jun 24 Enroll'!AI$1,FALSE)+VLOOKUP($A11,EnrollData2324,'2324 Jun 24 Enroll'!AJ$1,FALSE)),2)-AA11</f>
        <v>169.88999999999942</v>
      </c>
      <c r="AC11" s="6" cm="1">
        <f t="array" ref="AC11">ROUND($R11*CAS_Base_Salary2425*VLOOKUP($A11,EnrollData2324,'2324 Jun 24 Enroll'!AH$1,FALSE),2)</f>
        <v>470.19</v>
      </c>
      <c r="AD11" s="6">
        <f>ROUND($R11*CAS_Inc_Salary2425*VLOOKUP($A11,EnrollData2324,'2324 Jun 24 Enroll'!AI$1,FALSE),2)-AC11</f>
        <v>17.399999999999977</v>
      </c>
      <c r="AE11" s="6">
        <f>ROUND($Z11*CLS_Base_Salary2425*VLOOKUP($A11,EnrollData2324,'2324 Jun 24 Enroll'!AH$1,FALSE),2)</f>
        <v>981.97</v>
      </c>
      <c r="AF11" s="6">
        <f>ROUND($Z11*CLS_Inc_Salary2425*VLOOKUP($A11,EnrollData2324,'2324 Jun 24 Enroll'!AI$1,FALSE),2)-AE11</f>
        <v>36.339999999999918</v>
      </c>
      <c r="AG11" cm="1">
        <f t="array" ref="AG11">ROUND(($J11+$R11)*Apport_124X2425,2)</f>
        <v>859.19</v>
      </c>
      <c r="AH11" s="69" cm="1">
        <f t="array" ref="AH11">ROUND(($J11+$R11)*Apport_621X2425*Apport_125XC2425,2)-AG11</f>
        <v>79.319999999999936</v>
      </c>
      <c r="AI11" cm="1">
        <f t="array" ref="AI11">ROUND($Z11*Apport_124X2425,2)</f>
        <v>239.58</v>
      </c>
      <c r="AJ11">
        <f t="shared" si="3"/>
        <v>127.30999999999997</v>
      </c>
      <c r="AK11">
        <f t="shared" si="4"/>
        <v>918.83</v>
      </c>
      <c r="AL11">
        <f t="shared" si="5"/>
        <v>32.79</v>
      </c>
      <c r="AM11">
        <f t="shared" si="6"/>
        <v>212.69</v>
      </c>
      <c r="AN11">
        <f t="shared" si="7"/>
        <v>6.6</v>
      </c>
      <c r="AO11">
        <f>ROUND(($J11*CIS_Inc_Salary2425*(VLOOKUP($A11,EnrollData2324,'2324 Jun 24 Enroll'!AI$1,FALSE)+VLOOKUP($A11,EnrollData2324,'2324 Jun 24 Enroll'!AJ$1,FALSE))/Apport_613Xpd)*Apport_614Xpd,2)</f>
        <v>79.37</v>
      </c>
      <c r="AP11">
        <f t="shared" si="8"/>
        <v>13.9</v>
      </c>
      <c r="AQ11">
        <f t="shared" si="11"/>
        <v>33.92</v>
      </c>
      <c r="AR11" s="6">
        <f>ROUND((IF(VLOOKUP($A11,EnrollData2324,'2324 Jun 24 Enroll'!D$1,FALSE)=VLOOKUP($A11,'ESA Calculations 2425'!$A$4:$AE$37,4,FALSE),VLOOKUP($A11,EnrollData2324,'2324 Jun 24 Enroll'!D$1,FALSE),VLOOKUP($A11,'ESA Calculations 2425'!$A$4:$AE$37,4,FALSE))*Apport_M802425+IF(VLOOKUP($A11,EnrollData2324,'2324 Jun 24 Enroll'!M$1,FALSE)=VLOOKUP($A11,'ESA Calculations 2425'!$A$4:$AE$37,18,FALSE),VLOOKUP($A11,EnrollData2324,'2324 Jun 24 Enroll'!M$1,FALSE),VLOOKUP($A11,'ESA Calculations 2425'!$A$4:$AE$37,18,FALSE))*Apport_M802425+IF((VLOOKUP($A11,EnrollData2324,'2324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Enroll'!L$1,FALSE))=VLOOKUP($A11,EnrollData2324,'2324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Enroll'!L$1,FALSE),(VLOOKUP($A11,EnrollData2324,'2324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Enroll'!L$1,FALSE)),(VLOOKUP($A11,EnrollData2324,'2324 Jun 24 Enroll'!P$1,FALSE)+VLOOKUP($A11,EnrollData2324,'2324 Jun 24 Enroll'!Q$1,FALSE)+VLOOKUP($A11,EnrollData2324,'2324 Jun 24 Enroll'!R$1,FALSE)+VLOOKUP($A11,EnrollData2324,'2324 Jun 24 Enroll'!I$1,FALSE)+VLOOKUP($A11,EnrollData2324,'2324 Jun 24 Enroll'!N$1,FALSE)+VLOOKUP($A11,EnrollData2324,'2324 Jun 24 Enroll'!O$1,FALSE)+VLOOKUP($A11,EnrollData2324,'2324 Jun 24 Enroll'!K$1,FALSE)+VLOOKUP($A11,EnrollData2324,'2324 Jun 24 Enroll'!L$1,FALSE)))*Apport_M812425)/(IF(VLOOKUP($A11,EnrollData2324,'2324 Jun 24 Enroll'!M$1,FALSE)=VLOOKUP($A11,'ESA Calculations 2425'!$A$4:$AE$37,18,FALSE),VLOOKUP($A11,EnrollData2324,'2324 Jun 24 Enroll'!M$1,FALSE),VLOOKUP($A11,'ESA Calculations 2425'!$A$4:$AE$37,18,FALSE))+IF(VLOOKUP($A11,EnrollData2324,'2324 Jun 24 Enroll'!D$1,FALSE)=VLOOKUP($A11,'ESA Calculations 2425'!$A$4:$AE$37,4,FALSE),VLOOKUP($A11,EnrollData2324,'2324 Jun 24 Enroll'!D$1,FALSE),VLOOKUP($A11,'ESA Calculations 2425'!$A$4:$AE$37,4,FALSE))),2)</f>
        <v>1533.02</v>
      </c>
      <c r="AS11" s="7">
        <f t="shared" si="12"/>
        <v>10404.570000000003</v>
      </c>
      <c r="AT11" s="6">
        <f>IF(VLOOKUP($A11,EnrollData2324,'2324 Jun 24 Enroll'!AA$1,FALSE)=VLOOKUP($A11,'ESA Calculations 2425'!$A$4:$AE$37,24,FALSE),VLOOKUP($A11,EnrollData2324,'2324 Jun 24 Enroll'!AA$1,FALSE),VLOOKUP($A11,'ESA Calculations 2425'!$A$4:$AE$37,24,FALSE))</f>
        <v>109.06</v>
      </c>
    </row>
    <row r="12" spans="1:49">
      <c r="A12" s="40" t="s">
        <v>677</v>
      </c>
      <c r="B12" s="40" t="s">
        <v>678</v>
      </c>
      <c r="C12" s="11">
        <f>ROUND((IFERROR((1/IF(VLOOKUP($A12,EnrollData2324,28,FALSE)=VLOOKUP($A12,'ESA Calculations 2425'!$A$4:$AE$37,3,FALSE),VLOOKUP($A12,EnrollData2324,28,FALSE),VLOOKUP($A12,'ESA Calculations 2425'!$A$4:$AE$37,3,FALSE)))*(1+Apport_Z315),0))+Apport_201A2425,6)</f>
        <v>7.4580999999999995E-2</v>
      </c>
      <c r="D12">
        <f>ROUND(IF(VLOOKUP($A12,EnrollData2324,'2324 Jun 24 Enroll'!D$1,FALSE)=VLOOKUP($A12,'ESA Calculations 2425'!$A$4:$AE$37,4,FALSE),VLOOKUP($A12,EnrollData2324,'2324 Jun 24 Enroll'!D$1,FALSE),VLOOKUP($A12,'ESA Calculations 2425'!$A$4:$AE$37,4,FALSE))*C12,3)</f>
        <v>0.224</v>
      </c>
      <c r="E12">
        <f>ROUND(IF(VLOOKUP($A12,EnrollData2324,'2324 Jun 24 Enroll'!E$1,FALSE)=VLOOKUP($A12,'ESA Calculations 2425'!$A$4:$AE$37,5,FALSE),VLOOKUP($A12,EnrollData2324,'2324 Jun 24 Enroll'!E$1,FALSE),VLOOKUP($A12,'ESA Calculations 2425'!$A$4:$AE$37,5,FALSE))*C12,3)</f>
        <v>1.1339999999999999</v>
      </c>
      <c r="F12">
        <f>ROUND(IF(VLOOKUP($A12,EnrollData2324,'2324 Jun 24 Enroll'!F$1,FALSE)=VLOOKUP($A12,'ESA Calculations 2425'!$A$4:$AE$37,6,FALSE),VLOOKUP($A12,EnrollData2324,'2324 Jun 24 Enroll'!F$1,FALSE),VLOOKUP($A12,'ESA Calculations 2425'!$A$4:$AE$37,6,FALSE))*Apport_222A2425,3)</f>
        <v>0.19800000000000001</v>
      </c>
      <c r="G12">
        <f>ROUND(IF(VLOOKUP($A12,EnrollData2324,'2324 Jun 24 Enroll'!G$1,FALSE)=VLOOKUP($A12,'ESA Calculations 2425'!$A$4:$AE$37,7,FALSE),VLOOKUP($A12,EnrollData2324,'2324 Jun 24 Enroll'!G$1,FALSE),VLOOKUP($A12,'ESA Calculations 2425'!$A$4:$AE$37,7,FALSE))*Apport_210A2425,3)</f>
        <v>0.222</v>
      </c>
      <c r="H12">
        <f>ROUND(IF(VLOOKUP($A12,EnrollData2324,'2324 Jun 24 Enroll'!H$1,FALSE)=VLOOKUP($A12,'ESA Calculations 2425'!$A$4:$AE$37,8,FALSE),VLOOKUP($A12,EnrollData2324,'2324 Jun 24 Enroll'!H$1,FALSE),VLOOKUP($A12,'ESA Calculations 2425'!$A$4:$AE$37,8,FALSE))*Apport_213A2425,3)</f>
        <v>0</v>
      </c>
      <c r="I12">
        <f>ROUND(IF(VLOOKUP($A12,EnrollData2324,'2324 Jun 24 Enroll'!I$1,FALSE)+VLOOKUP($A12,EnrollData2324,'2324 Jun 24 Enroll'!M$1,FALSE)-VLOOKUP($A12,EnrollData2324,'2324 Jun 24 Enroll'!J$1,FALSE)=VLOOKUP($A12,'ESA Calculations 2425'!$A$4:$AE$37,9,FALSE)+VLOOKUP($A12,'ESA Calculations 2425'!$A$4:$AE$37,18,FALSE)-VLOOKUP($A12,'ESA Calculations 2425'!$A$4:$AE$37,10,FALSE),VLOOKUP($A12,EnrollData2324,'2324 Jun 24 Enroll'!I$1,FALSE)+VLOOKUP($A12,EnrollData2324,'2324 Jun 24 Enroll'!M$1,FALSE)-VLOOKUP($A12,EnrollData2324,'2324 Jun 24 Enroll'!J$1,FALSE),VLOOKUP($A12,'ESA Calculations 2425'!$A$4:$AE$37,9,FALSE)+VLOOKUP($A12,'ESA Calculations 2425'!$A$4:$AE$37,18,FALSE)-VLOOKUP($A12,'ESA Calculations 2425'!$A$4:$AE$37,10,FALSE))*Apport_216A2425,3)</f>
        <v>0</v>
      </c>
      <c r="J12">
        <f>ROUND(SUM(D12:I12)/IF(VLOOKUP($A12,EnrollData2324,'2324 Jun 24 Enroll'!M$1,FALSE)+VLOOKUP($A12,EnrollData2324,'2324 Jun 24 Enroll'!D$1,FALSE)=VLOOKUP($A12,'ESA Calculations 2425'!$A$4:$AE$37,18,FALSE)+VLOOKUP($A12,'ESA Calculations 2425'!$A$4:$AE$37,4,FALSE),VLOOKUP($A12,EnrollData2324,'2324 Jun 24 Enroll'!M$1,FALSE)+VLOOKUP($A12,EnrollData2324,'2324 Jun 24 Enroll'!D$1,FALSE),VLOOKUP($A12,'ESA Calculations 2425'!$A$4:$AE$37,18,FALSE)+VLOOKUP($A12,'ESA Calculations 2425'!$A$4:$AE$37,4,FALSE)),5)</f>
        <v>6.6589999999999996E-2</v>
      </c>
      <c r="K12" s="11">
        <f t="shared" si="1"/>
        <v>4.385E-3</v>
      </c>
      <c r="L12">
        <f>ROUND(IF(VLOOKUP($A12,EnrollData2324,'2324 Jun 24 Enroll'!D$1,FALSE)=VLOOKUP($A12,'ESA Calculations 2425'!$A$4:$AE$37,4,FALSE),VLOOKUP($A12,EnrollData2324,'2324 Jun 24 Enroll'!D$1,FALSE),VLOOKUP($A12,'ESA Calculations 2425'!$A$4:$AE$37,4,FALSE))*K12,3)</f>
        <v>1.2999999999999999E-2</v>
      </c>
      <c r="M12">
        <f>ROUND(IF(VLOOKUP($A12,EnrollData2324,'2324 Jun 24 Enroll'!E$1,FALSE)=VLOOKUP($A12,'ESA Calculations 2425'!$A$4:$AE$37,5,FALSE),VLOOKUP($A12,EnrollData2324,'2324 Jun 24 Enroll'!E$1,FALSE),VLOOKUP($A12,'ESA Calculations 2425'!$A$4:$AE$37,5,FALSE))*K12,3)</f>
        <v>6.7000000000000004E-2</v>
      </c>
      <c r="N12">
        <f>ROUND(IF(VLOOKUP($A12,EnrollData2324,'2324 Jun 24 Enroll'!F$1,FALSE)=VLOOKUP($A12,'ESA Calculations 2425'!$A$4:$AE$37,6,FALSE),VLOOKUP($A12,EnrollData2324,'2324 Jun 24 Enroll'!F$1,FALSE),VLOOKUP($A12,'ESA Calculations 2425'!$A$4:$AE$37,6,FALSE))*Apport_223A2425,3)</f>
        <v>1.6E-2</v>
      </c>
      <c r="O12">
        <f>ROUND(IF(VLOOKUP($A12,EnrollData2324,'2324 Jun 24 Enroll'!G$1,FALSE)=VLOOKUP($A12,'ESA Calculations 2425'!$A$4:$AE$37,7,FALSE),VLOOKUP($A12,EnrollData2324,'2324 Jun 24 Enroll'!G$1,FALSE),VLOOKUP($A12,'ESA Calculations 2425'!$A$4:$AE$37,7,FALSE))*Apport_211A2425,3)</f>
        <v>1.7999999999999999E-2</v>
      </c>
      <c r="P12">
        <f>ROUND(IF(VLOOKUP($A12,EnrollData2324,'2324 Jun 24 Enroll'!H$1,FALSE)=VLOOKUP($A12,'ESA Calculations 2425'!$A$4:$AE$37,8,FALSE),VLOOKUP($A12,EnrollData2324,'2324 Jun 24 Enroll'!H$1,FALSE),VLOOKUP($A12,'ESA Calculations 2425'!$A$4:$AE$37,8,FALSE))*Apport_214A2425,3)</f>
        <v>0</v>
      </c>
      <c r="Q12">
        <f>ROUND(IF(VLOOKUP($A12,EnrollData2324,'2324 Jun 24 Enroll'!I$1,FALSE)+VLOOKUP($A12,EnrollData2324,'2324 Jun 24 Enroll'!M$1,FALSE)-VLOOKUP($A12,EnrollData2324,'2324 Jun 24 Enroll'!J$1,FALSE)=VLOOKUP($A12,'ESA Calculations 2425'!$A$4:$AE$37,9,FALSE)+VLOOKUP($A12,'ESA Calculations 2425'!$A$4:$AE$37,18,FALSE)-VLOOKUP($A12,'ESA Calculations 2425'!$A$4:$AE$37,10,FALSE),VLOOKUP($A12,EnrollData2324,'2324 Jun 24 Enroll'!I$1,FALSE)+VLOOKUP($A12,EnrollData2324,'2324 Jun 24 Enroll'!M$1,FALSE)-VLOOKUP($A12,EnrollData2324,'2324 Jun 24 Enroll'!J$1,FALSE),VLOOKUP($A12,'ESA Calculations 2425'!$A$4:$AE$37,9,FALSE)+VLOOKUP($A12,'ESA Calculations 2425'!$A$4:$AE$37,18,FALSE)-VLOOKUP($A12,'ESA Calculations 2425'!$A$4:$AE$37,10,FALSE))*Apport_217A2425,3)</f>
        <v>0</v>
      </c>
      <c r="R12">
        <f>ROUND(SUM(L12:Q12)/IF(VLOOKUP($A12,EnrollData2324,'2324 Jun 24 Enroll'!M$1,FALSE)+VLOOKUP($A12,EnrollData2324,'2324 Jun 24 Enroll'!D$1,FALSE)=VLOOKUP($A12,'ESA Calculations 2425'!$A$4:$AE$37,18,FALSE)+VLOOKUP($A12,'ESA Calculations 2425'!$A$4:$AE$37,4,FALSE),VLOOKUP($A12,EnrollData2324,'2324 Jun 24 Enroll'!M$1,FALSE)+VLOOKUP($A12,EnrollData2324,'2324 Jun 24 Enroll'!D$1,FALSE),VLOOKUP($A12,'ESA Calculations 2425'!$A$4:$AE$37,18,FALSE)+VLOOKUP($A12,'ESA Calculations 2425'!$A$4:$AE$37,4,FALSE)),5)</f>
        <v>4.2700000000000004E-3</v>
      </c>
      <c r="S12" s="11">
        <f t="shared" si="2"/>
        <v>1.8734299999999999E-2</v>
      </c>
      <c r="T12">
        <f>ROUND(IF(VLOOKUP($A12,EnrollData2324,'2324 Jun 24 Enroll'!D$1,FALSE)=VLOOKUP($A12,'ESA Calculations 2425'!$A$4:$AE$37,4,FALSE),VLOOKUP($A12,EnrollData2324,'2324 Jun 24 Enroll'!D$1,FALSE),VLOOKUP($A12,'ESA Calculations 2425'!$A$4:$AE$37,4,FALSE))*S12,3)</f>
        <v>5.6000000000000001E-2</v>
      </c>
      <c r="U12">
        <f>ROUND(IF(VLOOKUP($A12,EnrollData2324,'2324 Jun 24 Enroll'!E$1,FALSE)=VLOOKUP($A12,'ESA Calculations 2425'!$A$4:$AE$37,5,FALSE),VLOOKUP($A12,EnrollData2324,'2324 Jun 24 Enroll'!E$1,FALSE),VLOOKUP($A12,'ESA Calculations 2425'!$A$4:$AE$37,5,FALSE))*S12,3)</f>
        <v>0.28499999999999998</v>
      </c>
      <c r="V12">
        <f>ROUND(IF(VLOOKUP($A12,EnrollData2324,'2324 Jun 24 Enroll'!F$1,FALSE)=VLOOKUP($A12,'ESA Calculations 2425'!$A$4:$AE$37,6,FALSE),VLOOKUP($A12,EnrollData2324,'2324 Jun 24 Enroll'!F$1,FALSE),VLOOKUP($A12,'ESA Calculations 2425'!$A$4:$AE$37,6,FALSE))*Apport_224A2425,3)</f>
        <v>7.0999999999999994E-2</v>
      </c>
      <c r="W12">
        <f>ROUND(IF(VLOOKUP($A12,EnrollData2324,'2324 Jun 24 Enroll'!G$1,FALSE)=VLOOKUP($A12,'ESA Calculations 2425'!$A$4:$AE$37,7,FALSE),VLOOKUP($A12,EnrollData2324,'2324 Jun 24 Enroll'!G$1,FALSE),VLOOKUP($A12,'ESA Calculations 2425'!$A$4:$AE$37,7,FALSE))*Apport_212A2425,3)</f>
        <v>0.08</v>
      </c>
      <c r="X12">
        <f>ROUND(IF(VLOOKUP($A12,EnrollData2324,'2324 Jun 24 Enroll'!H$1,FALSE)=VLOOKUP($A12,'ESA Calculations 2425'!$A$4:$AE$37,8,FALSE),VLOOKUP($A12,EnrollData2324,'2324 Jun 24 Enroll'!H$1,FALSE),VLOOKUP($A12,'ESA Calculations 2425'!$A$4:$AE$37,8,FALSE))*Apport_215A2425,3)</f>
        <v>0</v>
      </c>
      <c r="Y12">
        <f>ROUND(IF(VLOOKUP($A12,EnrollData2324,'2324 Jun 24 Enroll'!I$1,FALSE)+VLOOKUP($A12,EnrollData2324,'2324 Jun 24 Enroll'!M$1,FALSE)-VLOOKUP($A12,EnrollData2324,'2324 Jun 24 Enroll'!J$1,FALSE)=VLOOKUP($A12,'ESA Calculations 2425'!$A$4:$AE$37,9,FALSE)+VLOOKUP($A12,'ESA Calculations 2425'!$A$4:$AE$37,18,FALSE)-VLOOKUP($A12,'ESA Calculations 2425'!$A$4:$AE$37,10,FALSE),VLOOKUP($A12,EnrollData2324,'2324 Jun 24 Enroll'!I$1,FALSE)+VLOOKUP($A12,EnrollData2324,'2324 Jun 24 Enroll'!M$1,FALSE)-VLOOKUP($A12,EnrollData2324,'2324 Jun 24 Enroll'!J$1,FALSE),VLOOKUP($A12,'ESA Calculations 2425'!$A$4:$AE$37,9,FALSE)+VLOOKUP($A12,'ESA Calculations 2425'!$A$4:$AE$37,18,FALSE)-VLOOKUP($A12,'ESA Calculations 2425'!$A$4:$AE$37,10,FALSE))*Apport_218A2425,3)</f>
        <v>0</v>
      </c>
      <c r="Z12">
        <f>ROUND(SUM(T12:Y12)/IF(VLOOKUP($A12,EnrollData2324,'2324 Jun 24 Enroll'!M$1,FALSE)+VLOOKUP($A12,EnrollData2324,'2324 Jun 24 Enroll'!D$1,FALSE)=VLOOKUP($A12,'ESA Calculations 2425'!$A$4:$AE$37,18,FALSE)+VLOOKUP($A12,'ESA Calculations 2425'!$A$4:$AE$37,4,FALSE),VLOOKUP($A12,EnrollData2324,'2324 Jun 24 Enroll'!M$1,FALSE)+VLOOKUP($A12,EnrollData2324,'2324 Jun 24 Enroll'!D$1,FALSE),VLOOKUP($A12,'ESA Calculations 2425'!$A$4:$AE$37,18,FALSE)+VLOOKUP($A12,'ESA Calculations 2425'!$A$4:$AE$37,4,FALSE)),5)</f>
        <v>1.8429999999999998E-2</v>
      </c>
      <c r="AA12" s="6">
        <f>ROUND($J12*CIS_Base_Salary2425*VLOOKUP($A12,EnrollData2324,'2324 Jun 24 Enroll'!AH$1,FALSE),2)</f>
        <v>5022.1499999999996</v>
      </c>
      <c r="AB12" s="6">
        <f>ROUND($J12*CIS_Inc_Salary2425*(VLOOKUP($A12,EnrollData2324,'2324 Jun 24 Enroll'!AI$1,FALSE)+VLOOKUP($A12,EnrollData2324,'2324 Jun 24 Enroll'!AJ$1,FALSE)),2)-AA12</f>
        <v>185.78999999999996</v>
      </c>
      <c r="AC12" s="6" cm="1">
        <f t="array" ref="AC12">ROUND($R12*CAS_Base_Salary2425*VLOOKUP($A12,EnrollData2324,'2324 Jun 24 Enroll'!AH$1,FALSE),2)</f>
        <v>478.03</v>
      </c>
      <c r="AD12" s="6">
        <f>ROUND($R12*CAS_Inc_Salary2425*VLOOKUP($A12,EnrollData2324,'2324 Jun 24 Enroll'!AI$1,FALSE),2)-AC12</f>
        <v>17.680000000000007</v>
      </c>
      <c r="AE12" s="6">
        <f>ROUND($Z12*CLS_Base_Salary2425*VLOOKUP($A12,EnrollData2324,'2324 Jun 24 Enroll'!AH$1,FALSE),2)</f>
        <v>997.12</v>
      </c>
      <c r="AF12" s="6">
        <f>ROUND($Z12*CLS_Inc_Salary2425*VLOOKUP($A12,EnrollData2324,'2324 Jun 24 Enroll'!AI$1,FALSE),2)-AE12</f>
        <v>36.899999999999977</v>
      </c>
      <c r="AG12" cm="1">
        <f t="array" ref="AG12">ROUND(($J12+$R12)*Apport_124X2425,2)</f>
        <v>935.35</v>
      </c>
      <c r="AH12" s="69" cm="1">
        <f t="array" ref="AH12">ROUND(($J12+$R12)*Apport_621X2425*Apport_125XC2425,2)-AG12</f>
        <v>86.360000000000014</v>
      </c>
      <c r="AI12" cm="1">
        <f t="array" ref="AI12">ROUND($Z12*Apport_124X2425,2)</f>
        <v>243.28</v>
      </c>
      <c r="AJ12">
        <f t="shared" si="3"/>
        <v>129.27000000000001</v>
      </c>
      <c r="AK12">
        <f t="shared" si="4"/>
        <v>998.28</v>
      </c>
      <c r="AL12">
        <f t="shared" si="5"/>
        <v>35.630000000000003</v>
      </c>
      <c r="AM12">
        <f t="shared" si="6"/>
        <v>215.98</v>
      </c>
      <c r="AN12">
        <f t="shared" si="7"/>
        <v>6.7</v>
      </c>
      <c r="AO12">
        <f>ROUND(($J12*CIS_Inc_Salary2425*(VLOOKUP($A12,EnrollData2324,'2324 Jun 24 Enroll'!AI$1,FALSE)+VLOOKUP($A12,EnrollData2324,'2324 Jun 24 Enroll'!AJ$1,FALSE))/Apport_613Xpd)*Apport_614Xpd,2)</f>
        <v>86.8</v>
      </c>
      <c r="AP12">
        <f t="shared" si="8"/>
        <v>15.2</v>
      </c>
      <c r="AQ12">
        <f t="shared" si="11"/>
        <v>37.090000000000003</v>
      </c>
      <c r="AR12" s="6">
        <f>ROUND((IF(VLOOKUP($A12,EnrollData2324,'2324 Jun 24 Enroll'!D$1,FALSE)=VLOOKUP($A12,'ESA Calculations 2425'!$A$4:$AE$37,4,FALSE),VLOOKUP($A12,EnrollData2324,'2324 Jun 24 Enroll'!D$1,FALSE),VLOOKUP($A12,'ESA Calculations 2425'!$A$4:$AE$37,4,FALSE))*Apport_M802425+IF(VLOOKUP($A12,EnrollData2324,'2324 Jun 24 Enroll'!M$1,FALSE)=VLOOKUP($A12,'ESA Calculations 2425'!$A$4:$AE$37,18,FALSE),VLOOKUP($A12,EnrollData2324,'2324 Jun 24 Enroll'!M$1,FALSE),VLOOKUP($A12,'ESA Calculations 2425'!$A$4:$AE$37,18,FALSE))*Apport_M802425+IF((VLOOKUP($A12,EnrollData2324,'2324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Enroll'!L$1,FALSE))=VLOOKUP($A12,EnrollData2324,'2324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Enroll'!L$1,FALSE),(VLOOKUP($A12,EnrollData2324,'2324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Enroll'!L$1,FALSE)),(VLOOKUP($A12,EnrollData2324,'2324 Jun 24 Enroll'!P$1,FALSE)+VLOOKUP($A12,EnrollData2324,'2324 Jun 24 Enroll'!Q$1,FALSE)+VLOOKUP($A12,EnrollData2324,'2324 Jun 24 Enroll'!R$1,FALSE)+VLOOKUP($A12,EnrollData2324,'2324 Jun 24 Enroll'!I$1,FALSE)+VLOOKUP($A12,EnrollData2324,'2324 Jun 24 Enroll'!N$1,FALSE)+VLOOKUP($A12,EnrollData2324,'2324 Jun 24 Enroll'!O$1,FALSE)+VLOOKUP($A12,EnrollData2324,'2324 Jun 24 Enroll'!K$1,FALSE)+VLOOKUP($A12,EnrollData2324,'2324 Jun 24 Enroll'!L$1,FALSE)))*Apport_M812425)/(IF(VLOOKUP($A12,EnrollData2324,'2324 Jun 24 Enroll'!M$1,FALSE)=VLOOKUP($A12,'ESA Calculations 2425'!$A$4:$AE$37,18,FALSE),VLOOKUP($A12,EnrollData2324,'2324 Jun 24 Enroll'!M$1,FALSE),VLOOKUP($A12,'ESA Calculations 2425'!$A$4:$AE$37,18,FALSE))+IF(VLOOKUP($A12,EnrollData2324,'2324 Jun 24 Enroll'!D$1,FALSE)=VLOOKUP($A12,'ESA Calculations 2425'!$A$4:$AE$37,4,FALSE),VLOOKUP($A12,EnrollData2324,'2324 Jun 24 Enroll'!D$1,FALSE),VLOOKUP($A12,'ESA Calculations 2425'!$A$4:$AE$37,4,FALSE))),2)</f>
        <v>1533.02</v>
      </c>
      <c r="AS12" s="7">
        <f t="shared" si="12"/>
        <v>11060.63</v>
      </c>
      <c r="AT12" s="6">
        <f>IF(VLOOKUP($A12,EnrollData2324,'2324 Jun 24 Enroll'!AA$1,FALSE)=VLOOKUP($A12,'ESA Calculations 2425'!$A$4:$AE$37,24,FALSE),VLOOKUP($A12,EnrollData2324,'2324 Jun 24 Enroll'!AA$1,FALSE),VLOOKUP($A12,'ESA Calculations 2425'!$A$4:$AE$37,24,FALSE))</f>
        <v>26.7</v>
      </c>
    </row>
    <row r="13" spans="1:49">
      <c r="A13" s="40" t="s">
        <v>570</v>
      </c>
      <c r="B13" s="40" t="s">
        <v>571</v>
      </c>
      <c r="C13" s="11">
        <f>ROUND((IFERROR((1/IF(VLOOKUP($A13,EnrollData2324,28,FALSE)=VLOOKUP($A13,'ESA Calculations 2425'!$A$4:$AE$37,3,FALSE),VLOOKUP($A13,EnrollData2324,28,FALSE),VLOOKUP($A13,'ESA Calculations 2425'!$A$4:$AE$37,3,FALSE)))*(1+Apport_Z315),0))+Apport_201A2425,6)</f>
        <v>7.4580999999999995E-2</v>
      </c>
      <c r="D13">
        <f>ROUND(IF(VLOOKUP($A13,EnrollData2324,'2324 Jun 24 Enroll'!D$1,FALSE)=VLOOKUP($A13,'ESA Calculations 2425'!$A$4:$AE$37,4,FALSE),VLOOKUP($A13,EnrollData2324,'2324 Jun 24 Enroll'!D$1,FALSE),VLOOKUP($A13,'ESA Calculations 2425'!$A$4:$AE$37,4,FALSE))*C13,3)</f>
        <v>0</v>
      </c>
      <c r="E13">
        <f>ROUND(IF(VLOOKUP($A13,EnrollData2324,'2324 Jun 24 Enroll'!E$1,FALSE)=VLOOKUP($A13,'ESA Calculations 2425'!$A$4:$AE$37,5,FALSE),VLOOKUP($A13,EnrollData2324,'2324 Jun 24 Enroll'!E$1,FALSE),VLOOKUP($A13,'ESA Calculations 2425'!$A$4:$AE$37,5,FALSE))*C13,3)</f>
        <v>2.4910000000000001</v>
      </c>
      <c r="F13">
        <f>ROUND(IF(VLOOKUP($A13,EnrollData2324,'2324 Jun 24 Enroll'!F$1,FALSE)=VLOOKUP($A13,'ESA Calculations 2425'!$A$4:$AE$37,6,FALSE),VLOOKUP($A13,EnrollData2324,'2324 Jun 24 Enroll'!F$1,FALSE),VLOOKUP($A13,'ESA Calculations 2425'!$A$4:$AE$37,6,FALSE))*Apport_222A2425,3)</f>
        <v>0.44500000000000001</v>
      </c>
      <c r="G13">
        <f>ROUND(IF(VLOOKUP($A13,EnrollData2324,'2324 Jun 24 Enroll'!G$1,FALSE)=VLOOKUP($A13,'ESA Calculations 2425'!$A$4:$AE$37,7,FALSE),VLOOKUP($A13,EnrollData2324,'2324 Jun 24 Enroll'!G$1,FALSE),VLOOKUP($A13,'ESA Calculations 2425'!$A$4:$AE$37,7,FALSE))*Apport_210A2425,3)</f>
        <v>0.65700000000000003</v>
      </c>
      <c r="H13">
        <f>ROUND(IF(VLOOKUP($A13,EnrollData2324,'2324 Jun 24 Enroll'!H$1,FALSE)=VLOOKUP($A13,'ESA Calculations 2425'!$A$4:$AE$37,8,FALSE),VLOOKUP($A13,EnrollData2324,'2324 Jun 24 Enroll'!H$1,FALSE),VLOOKUP($A13,'ESA Calculations 2425'!$A$4:$AE$37,8,FALSE))*Apport_213A2425,3)</f>
        <v>0.76300000000000001</v>
      </c>
      <c r="I13">
        <f>ROUND(IF(VLOOKUP($A13,EnrollData2324,'2324 Jun 24 Enroll'!I$1,FALSE)+VLOOKUP($A13,EnrollData2324,'2324 Jun 24 Enroll'!M$1,FALSE)-VLOOKUP($A13,EnrollData2324,'2324 Jun 24 Enroll'!J$1,FALSE)=VLOOKUP($A13,'ESA Calculations 2425'!$A$4:$AE$37,9,FALSE)+VLOOKUP($A13,'ESA Calculations 2425'!$A$4:$AE$37,18,FALSE)-VLOOKUP($A13,'ESA Calculations 2425'!$A$4:$AE$37,10,FALSE),VLOOKUP($A13,EnrollData2324,'2324 Jun 24 Enroll'!I$1,FALSE)+VLOOKUP($A13,EnrollData2324,'2324 Jun 24 Enroll'!M$1,FALSE)-VLOOKUP($A13,EnrollData2324,'2324 Jun 24 Enroll'!J$1,FALSE),VLOOKUP($A13,'ESA Calculations 2425'!$A$4:$AE$37,9,FALSE)+VLOOKUP($A13,'ESA Calculations 2425'!$A$4:$AE$37,18,FALSE)-VLOOKUP($A13,'ESA Calculations 2425'!$A$4:$AE$37,10,FALSE))*Apport_216A2425,3)</f>
        <v>1.4670000000000001</v>
      </c>
      <c r="J13">
        <f>ROUND(SUM(D13:I13)/IF(VLOOKUP($A13,EnrollData2324,'2324 Jun 24 Enroll'!M$1,FALSE)+VLOOKUP($A13,EnrollData2324,'2324 Jun 24 Enroll'!D$1,FALSE)=VLOOKUP($A13,'ESA Calculations 2425'!$A$4:$AE$37,18,FALSE)+VLOOKUP($A13,'ESA Calculations 2425'!$A$4:$AE$37,4,FALSE),VLOOKUP($A13,EnrollData2324,'2324 Jun 24 Enroll'!M$1,FALSE)+VLOOKUP($A13,EnrollData2324,'2324 Jun 24 Enroll'!D$1,FALSE),VLOOKUP($A13,'ESA Calculations 2425'!$A$4:$AE$37,18,FALSE)+VLOOKUP($A13,'ESA Calculations 2425'!$A$4:$AE$37,4,FALSE)),5)</f>
        <v>5.8259999999999999E-2</v>
      </c>
      <c r="K13" s="11">
        <f t="shared" si="1"/>
        <v>4.385E-3</v>
      </c>
      <c r="L13">
        <f>ROUND(IF(VLOOKUP($A13,EnrollData2324,'2324 Jun 24 Enroll'!D$1,FALSE)=VLOOKUP($A13,'ESA Calculations 2425'!$A$4:$AE$37,4,FALSE),VLOOKUP($A13,EnrollData2324,'2324 Jun 24 Enroll'!D$1,FALSE),VLOOKUP($A13,'ESA Calculations 2425'!$A$4:$AE$37,4,FALSE))*K13,3)</f>
        <v>0</v>
      </c>
      <c r="M13">
        <f>ROUND(IF(VLOOKUP($A13,EnrollData2324,'2324 Jun 24 Enroll'!E$1,FALSE)=VLOOKUP($A13,'ESA Calculations 2425'!$A$4:$AE$37,5,FALSE),VLOOKUP($A13,EnrollData2324,'2324 Jun 24 Enroll'!E$1,FALSE),VLOOKUP($A13,'ESA Calculations 2425'!$A$4:$AE$37,5,FALSE))*K13,3)</f>
        <v>0.14599999999999999</v>
      </c>
      <c r="N13">
        <f>ROUND(IF(VLOOKUP($A13,EnrollData2324,'2324 Jun 24 Enroll'!F$1,FALSE)=VLOOKUP($A13,'ESA Calculations 2425'!$A$4:$AE$37,6,FALSE),VLOOKUP($A13,EnrollData2324,'2324 Jun 24 Enroll'!F$1,FALSE),VLOOKUP($A13,'ESA Calculations 2425'!$A$4:$AE$37,6,FALSE))*Apport_223A2425,3)</f>
        <v>3.5999999999999997E-2</v>
      </c>
      <c r="O13">
        <f>ROUND(IF(VLOOKUP($A13,EnrollData2324,'2324 Jun 24 Enroll'!G$1,FALSE)=VLOOKUP($A13,'ESA Calculations 2425'!$A$4:$AE$37,7,FALSE),VLOOKUP($A13,EnrollData2324,'2324 Jun 24 Enroll'!G$1,FALSE),VLOOKUP($A13,'ESA Calculations 2425'!$A$4:$AE$37,7,FALSE))*Apport_211A2425,3)</f>
        <v>5.3999999999999999E-2</v>
      </c>
      <c r="P13">
        <f>ROUND(IF(VLOOKUP($A13,EnrollData2324,'2324 Jun 24 Enroll'!H$1,FALSE)=VLOOKUP($A13,'ESA Calculations 2425'!$A$4:$AE$37,8,FALSE),VLOOKUP($A13,EnrollData2324,'2324 Jun 24 Enroll'!H$1,FALSE),VLOOKUP($A13,'ESA Calculations 2425'!$A$4:$AE$37,8,FALSE))*Apport_214A2425,3)</f>
        <v>6.2E-2</v>
      </c>
      <c r="Q13">
        <f>ROUND(IF(VLOOKUP($A13,EnrollData2324,'2324 Jun 24 Enroll'!I$1,FALSE)+VLOOKUP($A13,EnrollData2324,'2324 Jun 24 Enroll'!M$1,FALSE)-VLOOKUP($A13,EnrollData2324,'2324 Jun 24 Enroll'!J$1,FALSE)=VLOOKUP($A13,'ESA Calculations 2425'!$A$4:$AE$37,9,FALSE)+VLOOKUP($A13,'ESA Calculations 2425'!$A$4:$AE$37,18,FALSE)-VLOOKUP($A13,'ESA Calculations 2425'!$A$4:$AE$37,10,FALSE),VLOOKUP($A13,EnrollData2324,'2324 Jun 24 Enroll'!I$1,FALSE)+VLOOKUP($A13,EnrollData2324,'2324 Jun 24 Enroll'!M$1,FALSE)-VLOOKUP($A13,EnrollData2324,'2324 Jun 24 Enroll'!J$1,FALSE),VLOOKUP($A13,'ESA Calculations 2425'!$A$4:$AE$37,9,FALSE)+VLOOKUP($A13,'ESA Calculations 2425'!$A$4:$AE$37,18,FALSE)-VLOOKUP($A13,'ESA Calculations 2425'!$A$4:$AE$37,10,FALSE))*Apport_217A2425,3)</f>
        <v>0.11700000000000001</v>
      </c>
      <c r="R13">
        <f>ROUND(SUM(L13:Q13)/IF(VLOOKUP($A13,EnrollData2324,'2324 Jun 24 Enroll'!M$1,FALSE)+VLOOKUP($A13,EnrollData2324,'2324 Jun 24 Enroll'!D$1,FALSE)=VLOOKUP($A13,'ESA Calculations 2425'!$A$4:$AE$37,18,FALSE)+VLOOKUP($A13,'ESA Calculations 2425'!$A$4:$AE$37,4,FALSE),VLOOKUP($A13,EnrollData2324,'2324 Jun 24 Enroll'!M$1,FALSE)+VLOOKUP($A13,EnrollData2324,'2324 Jun 24 Enroll'!D$1,FALSE),VLOOKUP($A13,'ESA Calculations 2425'!$A$4:$AE$37,18,FALSE)+VLOOKUP($A13,'ESA Calculations 2425'!$A$4:$AE$37,4,FALSE)),5)</f>
        <v>4.15E-3</v>
      </c>
      <c r="S13" s="11">
        <f t="shared" si="2"/>
        <v>1.8734299999999999E-2</v>
      </c>
      <c r="T13">
        <f>ROUND(IF(VLOOKUP($A13,EnrollData2324,'2324 Jun 24 Enroll'!D$1,FALSE)=VLOOKUP($A13,'ESA Calculations 2425'!$A$4:$AE$37,4,FALSE),VLOOKUP($A13,EnrollData2324,'2324 Jun 24 Enroll'!D$1,FALSE),VLOOKUP($A13,'ESA Calculations 2425'!$A$4:$AE$37,4,FALSE))*S13,3)</f>
        <v>0</v>
      </c>
      <c r="U13">
        <f>ROUND(IF(VLOOKUP($A13,EnrollData2324,'2324 Jun 24 Enroll'!E$1,FALSE)=VLOOKUP($A13,'ESA Calculations 2425'!$A$4:$AE$37,5,FALSE),VLOOKUP($A13,EnrollData2324,'2324 Jun 24 Enroll'!E$1,FALSE),VLOOKUP($A13,'ESA Calculations 2425'!$A$4:$AE$37,5,FALSE))*S13,3)</f>
        <v>0.626</v>
      </c>
      <c r="V13">
        <f>ROUND(IF(VLOOKUP($A13,EnrollData2324,'2324 Jun 24 Enroll'!F$1,FALSE)=VLOOKUP($A13,'ESA Calculations 2425'!$A$4:$AE$37,6,FALSE),VLOOKUP($A13,EnrollData2324,'2324 Jun 24 Enroll'!F$1,FALSE),VLOOKUP($A13,'ESA Calculations 2425'!$A$4:$AE$37,6,FALSE))*Apport_224A2425,3)</f>
        <v>0.16</v>
      </c>
      <c r="W13">
        <f>ROUND(IF(VLOOKUP($A13,EnrollData2324,'2324 Jun 24 Enroll'!G$1,FALSE)=VLOOKUP($A13,'ESA Calculations 2425'!$A$4:$AE$37,7,FALSE),VLOOKUP($A13,EnrollData2324,'2324 Jun 24 Enroll'!G$1,FALSE),VLOOKUP($A13,'ESA Calculations 2425'!$A$4:$AE$37,7,FALSE))*Apport_212A2425,3)</f>
        <v>0.23599999999999999</v>
      </c>
      <c r="X13">
        <f>ROUND(IF(VLOOKUP($A13,EnrollData2324,'2324 Jun 24 Enroll'!H$1,FALSE)=VLOOKUP($A13,'ESA Calculations 2425'!$A$4:$AE$37,8,FALSE),VLOOKUP($A13,EnrollData2324,'2324 Jun 24 Enroll'!H$1,FALSE),VLOOKUP($A13,'ESA Calculations 2425'!$A$4:$AE$37,8,FALSE))*Apport_215A2425,3)</f>
        <v>0.27</v>
      </c>
      <c r="Y13">
        <f>ROUND(IF(VLOOKUP($A13,EnrollData2324,'2324 Jun 24 Enroll'!I$1,FALSE)+VLOOKUP($A13,EnrollData2324,'2324 Jun 24 Enroll'!M$1,FALSE)-VLOOKUP($A13,EnrollData2324,'2324 Jun 24 Enroll'!J$1,FALSE)=VLOOKUP($A13,'ESA Calculations 2425'!$A$4:$AE$37,9,FALSE)+VLOOKUP($A13,'ESA Calculations 2425'!$A$4:$AE$37,18,FALSE)-VLOOKUP($A13,'ESA Calculations 2425'!$A$4:$AE$37,10,FALSE),VLOOKUP($A13,EnrollData2324,'2324 Jun 24 Enroll'!I$1,FALSE)+VLOOKUP($A13,EnrollData2324,'2324 Jun 24 Enroll'!M$1,FALSE)-VLOOKUP($A13,EnrollData2324,'2324 Jun 24 Enroll'!J$1,FALSE),VLOOKUP($A13,'ESA Calculations 2425'!$A$4:$AE$37,9,FALSE)+VLOOKUP($A13,'ESA Calculations 2425'!$A$4:$AE$37,18,FALSE)-VLOOKUP($A13,'ESA Calculations 2425'!$A$4:$AE$37,10,FALSE))*Apport_218A2425,3)</f>
        <v>0.503</v>
      </c>
      <c r="Z13">
        <f>ROUND(SUM(T13:Y13)/IF(VLOOKUP($A13,EnrollData2324,'2324 Jun 24 Enroll'!M$1,FALSE)+VLOOKUP($A13,EnrollData2324,'2324 Jun 24 Enroll'!D$1,FALSE)=VLOOKUP($A13,'ESA Calculations 2425'!$A$4:$AE$37,18,FALSE)+VLOOKUP($A13,'ESA Calculations 2425'!$A$4:$AE$37,4,FALSE),VLOOKUP($A13,EnrollData2324,'2324 Jun 24 Enroll'!M$1,FALSE)+VLOOKUP($A13,EnrollData2324,'2324 Jun 24 Enroll'!D$1,FALSE),VLOOKUP($A13,'ESA Calculations 2425'!$A$4:$AE$37,18,FALSE)+VLOOKUP($A13,'ESA Calculations 2425'!$A$4:$AE$37,4,FALSE)),5)</f>
        <v>1.796E-2</v>
      </c>
      <c r="AA13" s="6">
        <f>ROUND($J13*CIS_Base_Salary2425*VLOOKUP($A13,EnrollData2324,'2324 Jun 24 Enroll'!AH$1,FALSE),2)</f>
        <v>4393.91</v>
      </c>
      <c r="AB13" s="6">
        <f>ROUND($J13*CIS_Inc_Salary2425*(VLOOKUP($A13,EnrollData2324,'2324 Jun 24 Enroll'!AI$1,FALSE)+VLOOKUP($A13,EnrollData2324,'2324 Jun 24 Enroll'!AJ$1,FALSE)),2)-AA13</f>
        <v>162.55000000000018</v>
      </c>
      <c r="AC13" s="6" cm="1">
        <f t="array" ref="AC13">ROUND($R13*CAS_Base_Salary2425*VLOOKUP($A13,EnrollData2324,'2324 Jun 24 Enroll'!AH$1,FALSE),2)</f>
        <v>464.59</v>
      </c>
      <c r="AD13" s="6">
        <f>ROUND($R13*CAS_Inc_Salary2425*VLOOKUP($A13,EnrollData2324,'2324 Jun 24 Enroll'!AI$1,FALSE),2)-AC13</f>
        <v>17.189999999999998</v>
      </c>
      <c r="AE13" s="6">
        <f>ROUND($Z13*CLS_Base_Salary2425*VLOOKUP($A13,EnrollData2324,'2324 Jun 24 Enroll'!AH$1,FALSE),2)</f>
        <v>971.69</v>
      </c>
      <c r="AF13" s="6">
        <f>ROUND($Z13*CLS_Inc_Salary2425*VLOOKUP($A13,EnrollData2324,'2324 Jun 24 Enroll'!AI$1,FALSE),2)-AE13</f>
        <v>35.959999999999923</v>
      </c>
      <c r="AG13" cm="1">
        <f t="array" ref="AG13">ROUND(($J13+$R13)*Apport_124X2425,2)</f>
        <v>823.81</v>
      </c>
      <c r="AH13" s="69" cm="1">
        <f t="array" ref="AH13">ROUND(($J13+$R13)*Apport_621X2425*Apport_125XC2425,2)-AG13</f>
        <v>76.060000000000059</v>
      </c>
      <c r="AI13" cm="1">
        <f t="array" ref="AI13">ROUND($Z13*Apport_124X2425,2)</f>
        <v>237.07</v>
      </c>
      <c r="AJ13">
        <f t="shared" si="3"/>
        <v>125.98000000000002</v>
      </c>
      <c r="AK13">
        <f t="shared" si="4"/>
        <v>881.82</v>
      </c>
      <c r="AL13">
        <f t="shared" si="5"/>
        <v>31.47</v>
      </c>
      <c r="AM13">
        <f t="shared" si="6"/>
        <v>210.47</v>
      </c>
      <c r="AN13">
        <f t="shared" si="7"/>
        <v>6.53</v>
      </c>
      <c r="AO13">
        <f>ROUND(($J13*CIS_Inc_Salary2425*(VLOOKUP($A13,EnrollData2324,'2324 Jun 24 Enroll'!AI$1,FALSE)+VLOOKUP($A13,EnrollData2324,'2324 Jun 24 Enroll'!AJ$1,FALSE))/Apport_613Xpd)*Apport_614Xpd,2)</f>
        <v>75.94</v>
      </c>
      <c r="AP13">
        <f t="shared" si="8"/>
        <v>13.3</v>
      </c>
      <c r="AQ13">
        <f t="shared" si="11"/>
        <v>32.450000000000003</v>
      </c>
      <c r="AR13" s="6">
        <f>ROUND((IF(VLOOKUP($A13,EnrollData2324,'2324 Jun 24 Enroll'!D$1,FALSE)=VLOOKUP($A13,'ESA Calculations 2425'!$A$4:$AE$37,4,FALSE),VLOOKUP($A13,EnrollData2324,'2324 Jun 24 Enroll'!D$1,FALSE),VLOOKUP($A13,'ESA Calculations 2425'!$A$4:$AE$37,4,FALSE))*Apport_M802425+IF(VLOOKUP($A13,EnrollData2324,'2324 Jun 24 Enroll'!M$1,FALSE)=VLOOKUP($A13,'ESA Calculations 2425'!$A$4:$AE$37,18,FALSE),VLOOKUP($A13,EnrollData2324,'2324 Jun 24 Enroll'!M$1,FALSE),VLOOKUP($A13,'ESA Calculations 2425'!$A$4:$AE$37,18,FALSE))*Apport_M802425+IF((VLOOKUP($A13,EnrollData2324,'2324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Enroll'!L$1,FALSE))=VLOOKUP($A13,EnrollData2324,'2324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Enroll'!L$1,FALSE),(VLOOKUP($A13,EnrollData2324,'2324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Enroll'!L$1,FALSE)),(VLOOKUP($A13,EnrollData2324,'2324 Jun 24 Enroll'!P$1,FALSE)+VLOOKUP($A13,EnrollData2324,'2324 Jun 24 Enroll'!Q$1,FALSE)+VLOOKUP($A13,EnrollData2324,'2324 Jun 24 Enroll'!R$1,FALSE)+VLOOKUP($A13,EnrollData2324,'2324 Jun 24 Enroll'!I$1,FALSE)+VLOOKUP($A13,EnrollData2324,'2324 Jun 24 Enroll'!N$1,FALSE)+VLOOKUP($A13,EnrollData2324,'2324 Jun 24 Enroll'!O$1,FALSE)+VLOOKUP($A13,EnrollData2324,'2324 Jun 24 Enroll'!K$1,FALSE)+VLOOKUP($A13,EnrollData2324,'2324 Jun 24 Enroll'!L$1,FALSE)))*Apport_M812425)/(IF(VLOOKUP($A13,EnrollData2324,'2324 Jun 24 Enroll'!M$1,FALSE)=VLOOKUP($A13,'ESA Calculations 2425'!$A$4:$AE$37,18,FALSE),VLOOKUP($A13,EnrollData2324,'2324 Jun 24 Enroll'!M$1,FALSE),VLOOKUP($A13,'ESA Calculations 2425'!$A$4:$AE$37,18,FALSE))+IF(VLOOKUP($A13,EnrollData2324,'2324 Jun 24 Enroll'!D$1,FALSE)=VLOOKUP($A13,'ESA Calculations 2425'!$A$4:$AE$37,4,FALSE),VLOOKUP($A13,EnrollData2324,'2324 Jun 24 Enroll'!D$1,FALSE),VLOOKUP($A13,'ESA Calculations 2425'!$A$4:$AE$37,4,FALSE))),2)</f>
        <v>1591.9</v>
      </c>
      <c r="AS13" s="7">
        <f t="shared" si="12"/>
        <v>10152.69</v>
      </c>
      <c r="AT13" s="6">
        <f>IF(VLOOKUP($A13,EnrollData2324,'2324 Jun 24 Enroll'!AA$1,FALSE)=VLOOKUP($A13,'ESA Calculations 2425'!$A$4:$AE$37,24,FALSE),VLOOKUP($A13,EnrollData2324,'2324 Jun 24 Enroll'!AA$1,FALSE),VLOOKUP($A13,'ESA Calculations 2425'!$A$4:$AE$37,24,FALSE))</f>
        <v>99.95</v>
      </c>
    </row>
    <row r="14" spans="1:49">
      <c r="A14" s="40" t="s">
        <v>861</v>
      </c>
      <c r="B14" s="40" t="s">
        <v>862</v>
      </c>
      <c r="C14" s="11">
        <f>ROUND((IFERROR((1/IF(VLOOKUP($A14,EnrollData2324,28,FALSE)=VLOOKUP($A14,'ESA Calculations 2425'!$A$4:$AE$37,3,FALSE),VLOOKUP($A14,EnrollData2324,28,FALSE),VLOOKUP($A14,'ESA Calculations 2425'!$A$4:$AE$37,3,FALSE)))*(1+Apport_Z315),0))+Apport_201A2425,6)</f>
        <v>7.4580999999999995E-2</v>
      </c>
      <c r="D14">
        <f>ROUND(IF(VLOOKUP($A14,EnrollData2324,'2324 Jun 24 Enroll'!D$1,FALSE)=VLOOKUP($A14,'ESA Calculations 2425'!$A$4:$AE$37,4,FALSE),VLOOKUP($A14,EnrollData2324,'2324 Jun 24 Enroll'!D$1,FALSE),VLOOKUP($A14,'ESA Calculations 2425'!$A$4:$AE$37,4,FALSE))*C14,3)</f>
        <v>1.298</v>
      </c>
      <c r="E14">
        <f>ROUND(IF(VLOOKUP($A14,EnrollData2324,'2324 Jun 24 Enroll'!E$1,FALSE)=VLOOKUP($A14,'ESA Calculations 2425'!$A$4:$AE$37,5,FALSE),VLOOKUP($A14,EnrollData2324,'2324 Jun 24 Enroll'!E$1,FALSE),VLOOKUP($A14,'ESA Calculations 2425'!$A$4:$AE$37,5,FALSE))*C14,3)</f>
        <v>5.4889999999999999</v>
      </c>
      <c r="F14">
        <f>ROUND(IF(VLOOKUP($A14,EnrollData2324,'2324 Jun 24 Enroll'!F$1,FALSE)=VLOOKUP($A14,'ESA Calculations 2425'!$A$4:$AE$37,6,FALSE),VLOOKUP($A14,EnrollData2324,'2324 Jun 24 Enroll'!F$1,FALSE),VLOOKUP($A14,'ESA Calculations 2425'!$A$4:$AE$37,6,FALSE))*Apport_222A2425,3)</f>
        <v>0.98799999999999999</v>
      </c>
      <c r="G14">
        <f>ROUND(IF(VLOOKUP($A14,EnrollData2324,'2324 Jun 24 Enroll'!G$1,FALSE)=VLOOKUP($A14,'ESA Calculations 2425'!$A$4:$AE$37,7,FALSE),VLOOKUP($A14,EnrollData2324,'2324 Jun 24 Enroll'!G$1,FALSE),VLOOKUP($A14,'ESA Calculations 2425'!$A$4:$AE$37,7,FALSE))*Apport_210A2425,3)</f>
        <v>1.2669999999999999</v>
      </c>
      <c r="H14">
        <f>ROUND(IF(VLOOKUP($A14,EnrollData2324,'2324 Jun 24 Enroll'!H$1,FALSE)=VLOOKUP($A14,'ESA Calculations 2425'!$A$4:$AE$37,8,FALSE),VLOOKUP($A14,EnrollData2324,'2324 Jun 24 Enroll'!H$1,FALSE),VLOOKUP($A14,'ESA Calculations 2425'!$A$4:$AE$37,8,FALSE))*Apport_213A2425,3)</f>
        <v>2.13</v>
      </c>
      <c r="I14">
        <f>ROUND(IF(VLOOKUP($A14,EnrollData2324,'2324 Jun 24 Enroll'!I$1,FALSE)+VLOOKUP($A14,EnrollData2324,'2324 Jun 24 Enroll'!M$1,FALSE)-VLOOKUP($A14,EnrollData2324,'2324 Jun 24 Enroll'!J$1,FALSE)=VLOOKUP($A14,'ESA Calculations 2425'!$A$4:$AE$37,9,FALSE)+VLOOKUP($A14,'ESA Calculations 2425'!$A$4:$AE$37,18,FALSE)-VLOOKUP($A14,'ESA Calculations 2425'!$A$4:$AE$37,10,FALSE),VLOOKUP($A14,EnrollData2324,'2324 Jun 24 Enroll'!I$1,FALSE)+VLOOKUP($A14,EnrollData2324,'2324 Jun 24 Enroll'!M$1,FALSE)-VLOOKUP($A14,EnrollData2324,'2324 Jun 24 Enroll'!J$1,FALSE),VLOOKUP($A14,'ESA Calculations 2425'!$A$4:$AE$37,9,FALSE)+VLOOKUP($A14,'ESA Calculations 2425'!$A$4:$AE$37,18,FALSE)-VLOOKUP($A14,'ESA Calculations 2425'!$A$4:$AE$37,10,FALSE))*Apport_216A2425,3)</f>
        <v>3.8450000000000002</v>
      </c>
      <c r="J14">
        <f>ROUND(SUM(D14:I14)/IF(VLOOKUP($A14,EnrollData2324,'2324 Jun 24 Enroll'!M$1,FALSE)+VLOOKUP($A14,EnrollData2324,'2324 Jun 24 Enroll'!D$1,FALSE)=VLOOKUP($A14,'ESA Calculations 2425'!$A$4:$AE$37,18,FALSE)+VLOOKUP($A14,'ESA Calculations 2425'!$A$4:$AE$37,4,FALSE),VLOOKUP($A14,EnrollData2324,'2324 Jun 24 Enroll'!M$1,FALSE)+VLOOKUP($A14,EnrollData2324,'2324 Jun 24 Enroll'!D$1,FALSE),VLOOKUP($A14,'ESA Calculations 2425'!$A$4:$AE$37,18,FALSE)+VLOOKUP($A14,'ESA Calculations 2425'!$A$4:$AE$37,4,FALSE)),5)</f>
        <v>5.885E-2</v>
      </c>
      <c r="K14" s="11">
        <f t="shared" si="1"/>
        <v>4.385E-3</v>
      </c>
      <c r="L14">
        <f>ROUND(IF(VLOOKUP($A14,EnrollData2324,'2324 Jun 24 Enroll'!D$1,FALSE)=VLOOKUP($A14,'ESA Calculations 2425'!$A$4:$AE$37,4,FALSE),VLOOKUP($A14,EnrollData2324,'2324 Jun 24 Enroll'!D$1,FALSE),VLOOKUP($A14,'ESA Calculations 2425'!$A$4:$AE$37,4,FALSE))*K14,3)</f>
        <v>7.5999999999999998E-2</v>
      </c>
      <c r="M14">
        <f>ROUND(IF(VLOOKUP($A14,EnrollData2324,'2324 Jun 24 Enroll'!E$1,FALSE)=VLOOKUP($A14,'ESA Calculations 2425'!$A$4:$AE$37,5,FALSE),VLOOKUP($A14,EnrollData2324,'2324 Jun 24 Enroll'!E$1,FALSE),VLOOKUP($A14,'ESA Calculations 2425'!$A$4:$AE$37,5,FALSE))*K14,3)</f>
        <v>0.32300000000000001</v>
      </c>
      <c r="N14">
        <f>ROUND(IF(VLOOKUP($A14,EnrollData2324,'2324 Jun 24 Enroll'!F$1,FALSE)=VLOOKUP($A14,'ESA Calculations 2425'!$A$4:$AE$37,6,FALSE),VLOOKUP($A14,EnrollData2324,'2324 Jun 24 Enroll'!F$1,FALSE),VLOOKUP($A14,'ESA Calculations 2425'!$A$4:$AE$37,6,FALSE))*Apport_223A2425,3)</f>
        <v>8.1000000000000003E-2</v>
      </c>
      <c r="O14">
        <f>ROUND(IF(VLOOKUP($A14,EnrollData2324,'2324 Jun 24 Enroll'!G$1,FALSE)=VLOOKUP($A14,'ESA Calculations 2425'!$A$4:$AE$37,7,FALSE),VLOOKUP($A14,EnrollData2324,'2324 Jun 24 Enroll'!G$1,FALSE),VLOOKUP($A14,'ESA Calculations 2425'!$A$4:$AE$37,7,FALSE))*Apport_211A2425,3)</f>
        <v>0.104</v>
      </c>
      <c r="P14">
        <f>ROUND(IF(VLOOKUP($A14,EnrollData2324,'2324 Jun 24 Enroll'!H$1,FALSE)=VLOOKUP($A14,'ESA Calculations 2425'!$A$4:$AE$37,8,FALSE),VLOOKUP($A14,EnrollData2324,'2324 Jun 24 Enroll'!H$1,FALSE),VLOOKUP($A14,'ESA Calculations 2425'!$A$4:$AE$37,8,FALSE))*Apport_214A2425,3)</f>
        <v>0.17399999999999999</v>
      </c>
      <c r="Q14">
        <f>ROUND(IF(VLOOKUP($A14,EnrollData2324,'2324 Jun 24 Enroll'!I$1,FALSE)+VLOOKUP($A14,EnrollData2324,'2324 Jun 24 Enroll'!M$1,FALSE)-VLOOKUP($A14,EnrollData2324,'2324 Jun 24 Enroll'!J$1,FALSE)=VLOOKUP($A14,'ESA Calculations 2425'!$A$4:$AE$37,9,FALSE)+VLOOKUP($A14,'ESA Calculations 2425'!$A$4:$AE$37,18,FALSE)-VLOOKUP($A14,'ESA Calculations 2425'!$A$4:$AE$37,10,FALSE),VLOOKUP($A14,EnrollData2324,'2324 Jun 24 Enroll'!I$1,FALSE)+VLOOKUP($A14,EnrollData2324,'2324 Jun 24 Enroll'!M$1,FALSE)-VLOOKUP($A14,EnrollData2324,'2324 Jun 24 Enroll'!J$1,FALSE),VLOOKUP($A14,'ESA Calculations 2425'!$A$4:$AE$37,9,FALSE)+VLOOKUP($A14,'ESA Calculations 2425'!$A$4:$AE$37,18,FALSE)-VLOOKUP($A14,'ESA Calculations 2425'!$A$4:$AE$37,10,FALSE))*Apport_217A2425,3)</f>
        <v>0.307</v>
      </c>
      <c r="R14">
        <f>ROUND(SUM(L14:Q14)/IF(VLOOKUP($A14,EnrollData2324,'2324 Jun 24 Enroll'!M$1,FALSE)+VLOOKUP($A14,EnrollData2324,'2324 Jun 24 Enroll'!D$1,FALSE)=VLOOKUP($A14,'ESA Calculations 2425'!$A$4:$AE$37,18,FALSE)+VLOOKUP($A14,'ESA Calculations 2425'!$A$4:$AE$37,4,FALSE),VLOOKUP($A14,EnrollData2324,'2324 Jun 24 Enroll'!M$1,FALSE)+VLOOKUP($A14,EnrollData2324,'2324 Jun 24 Enroll'!D$1,FALSE),VLOOKUP($A14,'ESA Calculations 2425'!$A$4:$AE$37,18,FALSE)+VLOOKUP($A14,'ESA Calculations 2425'!$A$4:$AE$37,4,FALSE)),5)</f>
        <v>4.1700000000000001E-3</v>
      </c>
      <c r="S14" s="11">
        <f t="shared" si="2"/>
        <v>1.8734299999999999E-2</v>
      </c>
      <c r="T14">
        <f>ROUND(IF(VLOOKUP($A14,EnrollData2324,'2324 Jun 24 Enroll'!D$1,FALSE)=VLOOKUP($A14,'ESA Calculations 2425'!$A$4:$AE$37,4,FALSE),VLOOKUP($A14,EnrollData2324,'2324 Jun 24 Enroll'!D$1,FALSE),VLOOKUP($A14,'ESA Calculations 2425'!$A$4:$AE$37,4,FALSE))*S14,3)</f>
        <v>0.32600000000000001</v>
      </c>
      <c r="U14">
        <f>ROUND(IF(VLOOKUP($A14,EnrollData2324,'2324 Jun 24 Enroll'!E$1,FALSE)=VLOOKUP($A14,'ESA Calculations 2425'!$A$4:$AE$37,5,FALSE),VLOOKUP($A14,EnrollData2324,'2324 Jun 24 Enroll'!E$1,FALSE),VLOOKUP($A14,'ESA Calculations 2425'!$A$4:$AE$37,5,FALSE))*S14,3)</f>
        <v>1.379</v>
      </c>
      <c r="V14">
        <f>ROUND(IF(VLOOKUP($A14,EnrollData2324,'2324 Jun 24 Enroll'!F$1,FALSE)=VLOOKUP($A14,'ESA Calculations 2425'!$A$4:$AE$37,6,FALSE),VLOOKUP($A14,EnrollData2324,'2324 Jun 24 Enroll'!F$1,FALSE),VLOOKUP($A14,'ESA Calculations 2425'!$A$4:$AE$37,6,FALSE))*Apport_224A2425,3)</f>
        <v>0.35499999999999998</v>
      </c>
      <c r="W14">
        <f>ROUND(IF(VLOOKUP($A14,EnrollData2324,'2324 Jun 24 Enroll'!G$1,FALSE)=VLOOKUP($A14,'ESA Calculations 2425'!$A$4:$AE$37,7,FALSE),VLOOKUP($A14,EnrollData2324,'2324 Jun 24 Enroll'!G$1,FALSE),VLOOKUP($A14,'ESA Calculations 2425'!$A$4:$AE$37,7,FALSE))*Apport_212A2425,3)</f>
        <v>0.45500000000000002</v>
      </c>
      <c r="X14">
        <f>ROUND(IF(VLOOKUP($A14,EnrollData2324,'2324 Jun 24 Enroll'!H$1,FALSE)=VLOOKUP($A14,'ESA Calculations 2425'!$A$4:$AE$37,8,FALSE),VLOOKUP($A14,EnrollData2324,'2324 Jun 24 Enroll'!H$1,FALSE),VLOOKUP($A14,'ESA Calculations 2425'!$A$4:$AE$37,8,FALSE))*Apport_215A2425,3)</f>
        <v>0.752</v>
      </c>
      <c r="Y14">
        <f>ROUND(IF(VLOOKUP($A14,EnrollData2324,'2324 Jun 24 Enroll'!I$1,FALSE)+VLOOKUP($A14,EnrollData2324,'2324 Jun 24 Enroll'!M$1,FALSE)-VLOOKUP($A14,EnrollData2324,'2324 Jun 24 Enroll'!J$1,FALSE)=VLOOKUP($A14,'ESA Calculations 2425'!$A$4:$AE$37,9,FALSE)+VLOOKUP($A14,'ESA Calculations 2425'!$A$4:$AE$37,18,FALSE)-VLOOKUP($A14,'ESA Calculations 2425'!$A$4:$AE$37,10,FALSE),VLOOKUP($A14,EnrollData2324,'2324 Jun 24 Enroll'!I$1,FALSE)+VLOOKUP($A14,EnrollData2324,'2324 Jun 24 Enroll'!M$1,FALSE)-VLOOKUP($A14,EnrollData2324,'2324 Jun 24 Enroll'!J$1,FALSE),VLOOKUP($A14,'ESA Calculations 2425'!$A$4:$AE$37,9,FALSE)+VLOOKUP($A14,'ESA Calculations 2425'!$A$4:$AE$37,18,FALSE)-VLOOKUP($A14,'ESA Calculations 2425'!$A$4:$AE$37,10,FALSE))*Apport_218A2425,3)</f>
        <v>1.319</v>
      </c>
      <c r="Z14">
        <f>ROUND(SUM(T14:Y14)/IF(VLOOKUP($A14,EnrollData2324,'2324 Jun 24 Enroll'!M$1,FALSE)+VLOOKUP($A14,EnrollData2324,'2324 Jun 24 Enroll'!D$1,FALSE)=VLOOKUP($A14,'ESA Calculations 2425'!$A$4:$AE$37,18,FALSE)+VLOOKUP($A14,'ESA Calculations 2425'!$A$4:$AE$37,4,FALSE),VLOOKUP($A14,EnrollData2324,'2324 Jun 24 Enroll'!M$1,FALSE)+VLOOKUP($A14,EnrollData2324,'2324 Jun 24 Enroll'!D$1,FALSE),VLOOKUP($A14,'ESA Calculations 2425'!$A$4:$AE$37,18,FALSE)+VLOOKUP($A14,'ESA Calculations 2425'!$A$4:$AE$37,4,FALSE)),5)</f>
        <v>1.797E-2</v>
      </c>
      <c r="AA14" s="6">
        <f>ROUND($J14*CIS_Base_Salary2425*VLOOKUP($A14,EnrollData2324,'2324 Jun 24 Enroll'!AH$1,FALSE),2)</f>
        <v>4438.41</v>
      </c>
      <c r="AB14" s="6">
        <f>ROUND($J14*CIS_Inc_Salary2425*(VLOOKUP($A14,EnrollData2324,'2324 Jun 24 Enroll'!AI$1,FALSE)+VLOOKUP($A14,EnrollData2324,'2324 Jun 24 Enroll'!AJ$1,FALSE)),2)-AA14</f>
        <v>164.19000000000051</v>
      </c>
      <c r="AC14" s="6" cm="1">
        <f t="array" ref="AC14">ROUND($R14*CAS_Base_Salary2425*VLOOKUP($A14,EnrollData2324,'2324 Jun 24 Enroll'!AH$1,FALSE),2)</f>
        <v>466.83</v>
      </c>
      <c r="AD14" s="6">
        <f>ROUND($R14*CAS_Inc_Salary2425*VLOOKUP($A14,EnrollData2324,'2324 Jun 24 Enroll'!AI$1,FALSE),2)-AC14</f>
        <v>17.270000000000039</v>
      </c>
      <c r="AE14" s="6">
        <f>ROUND($Z14*CLS_Base_Salary2425*VLOOKUP($A14,EnrollData2324,'2324 Jun 24 Enroll'!AH$1,FALSE),2)</f>
        <v>972.23</v>
      </c>
      <c r="AF14" s="6">
        <f>ROUND($Z14*CLS_Inc_Salary2425*VLOOKUP($A14,EnrollData2324,'2324 Jun 24 Enroll'!AI$1,FALSE),2)-AE14</f>
        <v>35.980000000000018</v>
      </c>
      <c r="AG14" cm="1">
        <f t="array" ref="AG14">ROUND(($J14+$R14)*Apport_124X2425,2)</f>
        <v>831.86</v>
      </c>
      <c r="AH14" s="69" cm="1">
        <f t="array" ref="AH14">ROUND(($J14+$R14)*Apport_621X2425*Apport_125XC2425,2)-AG14</f>
        <v>76.809999999999945</v>
      </c>
      <c r="AI14" cm="1">
        <f t="array" ref="AI14">ROUND($Z14*Apport_124X2425,2)</f>
        <v>237.2</v>
      </c>
      <c r="AJ14">
        <f t="shared" si="3"/>
        <v>126.05000000000001</v>
      </c>
      <c r="AK14">
        <f t="shared" si="4"/>
        <v>890.3</v>
      </c>
      <c r="AL14">
        <f t="shared" si="5"/>
        <v>31.77</v>
      </c>
      <c r="AM14">
        <f t="shared" si="6"/>
        <v>210.59</v>
      </c>
      <c r="AN14">
        <f t="shared" si="7"/>
        <v>6.53</v>
      </c>
      <c r="AO14">
        <f>ROUND(($J14*CIS_Inc_Salary2425*(VLOOKUP($A14,EnrollData2324,'2324 Jun 24 Enroll'!AI$1,FALSE)+VLOOKUP($A14,EnrollData2324,'2324 Jun 24 Enroll'!AJ$1,FALSE))/Apport_613Xpd)*Apport_614Xpd,2)</f>
        <v>76.709999999999994</v>
      </c>
      <c r="AP14">
        <f t="shared" si="8"/>
        <v>13.43</v>
      </c>
      <c r="AQ14">
        <f t="shared" si="11"/>
        <v>32.78</v>
      </c>
      <c r="AR14" s="6">
        <f>ROUND((IF(VLOOKUP($A14,EnrollData2324,'2324 Jun 24 Enroll'!D$1,FALSE)=VLOOKUP($A14,'ESA Calculations 2425'!$A$4:$AE$37,4,FALSE),VLOOKUP($A14,EnrollData2324,'2324 Jun 24 Enroll'!D$1,FALSE),VLOOKUP($A14,'ESA Calculations 2425'!$A$4:$AE$37,4,FALSE))*Apport_M802425+IF(VLOOKUP($A14,EnrollData2324,'2324 Jun 24 Enroll'!M$1,FALSE)=VLOOKUP($A14,'ESA Calculations 2425'!$A$4:$AE$37,18,FALSE),VLOOKUP($A14,EnrollData2324,'2324 Jun 24 Enroll'!M$1,FALSE),VLOOKUP($A14,'ESA Calculations 2425'!$A$4:$AE$37,18,FALSE))*Apport_M802425+IF((VLOOKUP($A14,EnrollData2324,'2324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Enroll'!L$1,FALSE))=VLOOKUP($A14,EnrollData2324,'2324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Enroll'!L$1,FALSE),(VLOOKUP($A14,EnrollData2324,'2324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Enroll'!L$1,FALSE)),(VLOOKUP($A14,EnrollData2324,'2324 Jun 24 Enroll'!P$1,FALSE)+VLOOKUP($A14,EnrollData2324,'2324 Jun 24 Enroll'!Q$1,FALSE)+VLOOKUP($A14,EnrollData2324,'2324 Jun 24 Enroll'!R$1,FALSE)+VLOOKUP($A14,EnrollData2324,'2324 Jun 24 Enroll'!I$1,FALSE)+VLOOKUP($A14,EnrollData2324,'2324 Jun 24 Enroll'!N$1,FALSE)+VLOOKUP($A14,EnrollData2324,'2324 Jun 24 Enroll'!O$1,FALSE)+VLOOKUP($A14,EnrollData2324,'2324 Jun 24 Enroll'!K$1,FALSE)+VLOOKUP($A14,EnrollData2324,'2324 Jun 24 Enroll'!L$1,FALSE)))*Apport_M812425)/(IF(VLOOKUP($A14,EnrollData2324,'2324 Jun 24 Enroll'!M$1,FALSE)=VLOOKUP($A14,'ESA Calculations 2425'!$A$4:$AE$37,18,FALSE),VLOOKUP($A14,EnrollData2324,'2324 Jun 24 Enroll'!M$1,FALSE),VLOOKUP($A14,'ESA Calculations 2425'!$A$4:$AE$37,18,FALSE))+IF(VLOOKUP($A14,EnrollData2324,'2324 Jun 24 Enroll'!D$1,FALSE)=VLOOKUP($A14,'ESA Calculations 2425'!$A$4:$AE$37,4,FALSE),VLOOKUP($A14,EnrollData2324,'2324 Jun 24 Enroll'!D$1,FALSE),VLOOKUP($A14,'ESA Calculations 2425'!$A$4:$AE$37,4,FALSE))),2)</f>
        <v>1593.44</v>
      </c>
      <c r="AS14" s="7">
        <f t="shared" si="12"/>
        <v>10222.380000000001</v>
      </c>
      <c r="AT14" s="6">
        <f>IF(VLOOKUP($A14,EnrollData2324,'2324 Jun 24 Enroll'!AA$1,FALSE)=VLOOKUP($A14,'ESA Calculations 2425'!$A$4:$AE$37,24,FALSE),VLOOKUP($A14,EnrollData2324,'2324 Jun 24 Enroll'!AA$1,FALSE),VLOOKUP($A14,'ESA Calculations 2425'!$A$4:$AE$37,24,FALSE))</f>
        <v>255.77</v>
      </c>
    </row>
    <row r="15" spans="1:49">
      <c r="A15" s="40" t="s">
        <v>516</v>
      </c>
      <c r="B15" s="40" t="s">
        <v>517</v>
      </c>
      <c r="C15" s="11">
        <f>ROUND((IFERROR((1/IF(VLOOKUP($A15,EnrollData2324,28,FALSE)=VLOOKUP($A15,'ESA Calculations 2425'!$A$4:$AE$37,3,FALSE),VLOOKUP($A15,EnrollData2324,28,FALSE),VLOOKUP($A15,'ESA Calculations 2425'!$A$4:$AE$37,3,FALSE)))*(1+Apport_Z315),0))+Apport_201A2425,6)</f>
        <v>7.4580999999999995E-2</v>
      </c>
      <c r="D15">
        <f>ROUND(IF(VLOOKUP($A15,EnrollData2324,'2324 Jun 24 Enroll'!D$1,FALSE)=VLOOKUP($A15,'ESA Calculations 2425'!$A$4:$AE$37,4,FALSE),VLOOKUP($A15,EnrollData2324,'2324 Jun 24 Enroll'!D$1,FALSE),VLOOKUP($A15,'ESA Calculations 2425'!$A$4:$AE$37,4,FALSE))*C15,3)</f>
        <v>0</v>
      </c>
      <c r="E15">
        <f>ROUND(IF(VLOOKUP($A15,EnrollData2324,'2324 Jun 24 Enroll'!E$1,FALSE)=VLOOKUP($A15,'ESA Calculations 2425'!$A$4:$AE$37,5,FALSE),VLOOKUP($A15,EnrollData2324,'2324 Jun 24 Enroll'!E$1,FALSE),VLOOKUP($A15,'ESA Calculations 2425'!$A$4:$AE$37,5,FALSE))*C15,3)</f>
        <v>1.119</v>
      </c>
      <c r="F15">
        <f>ROUND(IF(VLOOKUP($A15,EnrollData2324,'2324 Jun 24 Enroll'!F$1,FALSE)=VLOOKUP($A15,'ESA Calculations 2425'!$A$4:$AE$37,6,FALSE),VLOOKUP($A15,EnrollData2324,'2324 Jun 24 Enroll'!F$1,FALSE),VLOOKUP($A15,'ESA Calculations 2425'!$A$4:$AE$37,6,FALSE))*Apport_222A2425,3)</f>
        <v>0.28199999999999997</v>
      </c>
      <c r="G15">
        <f>ROUND(IF(VLOOKUP($A15,EnrollData2324,'2324 Jun 24 Enroll'!G$1,FALSE)=VLOOKUP($A15,'ESA Calculations 2425'!$A$4:$AE$37,7,FALSE),VLOOKUP($A15,EnrollData2324,'2324 Jun 24 Enroll'!G$1,FALSE),VLOOKUP($A15,'ESA Calculations 2425'!$A$4:$AE$37,7,FALSE))*Apport_210A2425,3)</f>
        <v>0.499</v>
      </c>
      <c r="H15">
        <f>ROUND(IF(VLOOKUP($A15,EnrollData2324,'2324 Jun 24 Enroll'!H$1,FALSE)=VLOOKUP($A15,'ESA Calculations 2425'!$A$4:$AE$37,8,FALSE),VLOOKUP($A15,EnrollData2324,'2324 Jun 24 Enroll'!H$1,FALSE),VLOOKUP($A15,'ESA Calculations 2425'!$A$4:$AE$37,8,FALSE))*Apport_213A2425,3)</f>
        <v>0.253</v>
      </c>
      <c r="I15">
        <f>ROUND(IF(VLOOKUP($A15,EnrollData2324,'2324 Jun 24 Enroll'!I$1,FALSE)+VLOOKUP($A15,EnrollData2324,'2324 Jun 24 Enroll'!M$1,FALSE)-VLOOKUP($A15,EnrollData2324,'2324 Jun 24 Enroll'!J$1,FALSE)=VLOOKUP($A15,'ESA Calculations 2425'!$A$4:$AE$37,9,FALSE)+VLOOKUP($A15,'ESA Calculations 2425'!$A$4:$AE$37,18,FALSE)-VLOOKUP($A15,'ESA Calculations 2425'!$A$4:$AE$37,10,FALSE),VLOOKUP($A15,EnrollData2324,'2324 Jun 24 Enroll'!I$1,FALSE)+VLOOKUP($A15,EnrollData2324,'2324 Jun 24 Enroll'!M$1,FALSE)-VLOOKUP($A15,EnrollData2324,'2324 Jun 24 Enroll'!J$1,FALSE),VLOOKUP($A15,'ESA Calculations 2425'!$A$4:$AE$37,9,FALSE)+VLOOKUP($A15,'ESA Calculations 2425'!$A$4:$AE$37,18,FALSE)-VLOOKUP($A15,'ESA Calculations 2425'!$A$4:$AE$37,10,FALSE))*Apport_216A2425,3)</f>
        <v>0.64200000000000002</v>
      </c>
      <c r="J15">
        <f>ROUND(SUM(D15:I15)/IF(VLOOKUP($A15,EnrollData2324,'2324 Jun 24 Enroll'!M$1,FALSE)+VLOOKUP($A15,EnrollData2324,'2324 Jun 24 Enroll'!D$1,FALSE)=VLOOKUP($A15,'ESA Calculations 2425'!$A$4:$AE$37,18,FALSE)+VLOOKUP($A15,'ESA Calculations 2425'!$A$4:$AE$37,4,FALSE),VLOOKUP($A15,EnrollData2324,'2324 Jun 24 Enroll'!M$1,FALSE)+VLOOKUP($A15,EnrollData2324,'2324 Jun 24 Enroll'!D$1,FALSE),VLOOKUP($A15,'ESA Calculations 2425'!$A$4:$AE$37,18,FALSE)+VLOOKUP($A15,'ESA Calculations 2425'!$A$4:$AE$37,4,FALSE)),5)</f>
        <v>5.7619999999999998E-2</v>
      </c>
      <c r="K15" s="11">
        <f t="shared" si="1"/>
        <v>4.385E-3</v>
      </c>
      <c r="L15">
        <f>ROUND(IF(VLOOKUP($A15,EnrollData2324,'2324 Jun 24 Enroll'!D$1,FALSE)=VLOOKUP($A15,'ESA Calculations 2425'!$A$4:$AE$37,4,FALSE),VLOOKUP($A15,EnrollData2324,'2324 Jun 24 Enroll'!D$1,FALSE),VLOOKUP($A15,'ESA Calculations 2425'!$A$4:$AE$37,4,FALSE))*K15,3)</f>
        <v>0</v>
      </c>
      <c r="M15">
        <f>ROUND(IF(VLOOKUP($A15,EnrollData2324,'2324 Jun 24 Enroll'!E$1,FALSE)=VLOOKUP($A15,'ESA Calculations 2425'!$A$4:$AE$37,5,FALSE),VLOOKUP($A15,EnrollData2324,'2324 Jun 24 Enroll'!E$1,FALSE),VLOOKUP($A15,'ESA Calculations 2425'!$A$4:$AE$37,5,FALSE))*K15,3)</f>
        <v>6.6000000000000003E-2</v>
      </c>
      <c r="N15">
        <f>ROUND(IF(VLOOKUP($A15,EnrollData2324,'2324 Jun 24 Enroll'!F$1,FALSE)=VLOOKUP($A15,'ESA Calculations 2425'!$A$4:$AE$37,6,FALSE),VLOOKUP($A15,EnrollData2324,'2324 Jun 24 Enroll'!F$1,FALSE),VLOOKUP($A15,'ESA Calculations 2425'!$A$4:$AE$37,6,FALSE))*Apport_223A2425,3)</f>
        <v>2.3E-2</v>
      </c>
      <c r="O15">
        <f>ROUND(IF(VLOOKUP($A15,EnrollData2324,'2324 Jun 24 Enroll'!G$1,FALSE)=VLOOKUP($A15,'ESA Calculations 2425'!$A$4:$AE$37,7,FALSE),VLOOKUP($A15,EnrollData2324,'2324 Jun 24 Enroll'!G$1,FALSE),VLOOKUP($A15,'ESA Calculations 2425'!$A$4:$AE$37,7,FALSE))*Apport_211A2425,3)</f>
        <v>4.1000000000000002E-2</v>
      </c>
      <c r="P15">
        <f>ROUND(IF(VLOOKUP($A15,EnrollData2324,'2324 Jun 24 Enroll'!H$1,FALSE)=VLOOKUP($A15,'ESA Calculations 2425'!$A$4:$AE$37,8,FALSE),VLOOKUP($A15,EnrollData2324,'2324 Jun 24 Enroll'!H$1,FALSE),VLOOKUP($A15,'ESA Calculations 2425'!$A$4:$AE$37,8,FALSE))*Apport_214A2425,3)</f>
        <v>2.1000000000000001E-2</v>
      </c>
      <c r="Q15">
        <f>ROUND(IF(VLOOKUP($A15,EnrollData2324,'2324 Jun 24 Enroll'!I$1,FALSE)+VLOOKUP($A15,EnrollData2324,'2324 Jun 24 Enroll'!M$1,FALSE)-VLOOKUP($A15,EnrollData2324,'2324 Jun 24 Enroll'!J$1,FALSE)=VLOOKUP($A15,'ESA Calculations 2425'!$A$4:$AE$37,9,FALSE)+VLOOKUP($A15,'ESA Calculations 2425'!$A$4:$AE$37,18,FALSE)-VLOOKUP($A15,'ESA Calculations 2425'!$A$4:$AE$37,10,FALSE),VLOOKUP($A15,EnrollData2324,'2324 Jun 24 Enroll'!I$1,FALSE)+VLOOKUP($A15,EnrollData2324,'2324 Jun 24 Enroll'!M$1,FALSE)-VLOOKUP($A15,EnrollData2324,'2324 Jun 24 Enroll'!J$1,FALSE),VLOOKUP($A15,'ESA Calculations 2425'!$A$4:$AE$37,9,FALSE)+VLOOKUP($A15,'ESA Calculations 2425'!$A$4:$AE$37,18,FALSE)-VLOOKUP($A15,'ESA Calculations 2425'!$A$4:$AE$37,10,FALSE))*Apport_217A2425,3)</f>
        <v>5.0999999999999997E-2</v>
      </c>
      <c r="R15">
        <f>ROUND(SUM(L15:Q15)/IF(VLOOKUP($A15,EnrollData2324,'2324 Jun 24 Enroll'!M$1,FALSE)+VLOOKUP($A15,EnrollData2324,'2324 Jun 24 Enroll'!D$1,FALSE)=VLOOKUP($A15,'ESA Calculations 2425'!$A$4:$AE$37,18,FALSE)+VLOOKUP($A15,'ESA Calculations 2425'!$A$4:$AE$37,4,FALSE),VLOOKUP($A15,EnrollData2324,'2324 Jun 24 Enroll'!M$1,FALSE)+VLOOKUP($A15,EnrollData2324,'2324 Jun 24 Enroll'!D$1,FALSE),VLOOKUP($A15,'ESA Calculations 2425'!$A$4:$AE$37,18,FALSE)+VLOOKUP($A15,'ESA Calculations 2425'!$A$4:$AE$37,4,FALSE)),5)</f>
        <v>4.1599999999999996E-3</v>
      </c>
      <c r="S15" s="11">
        <f t="shared" si="2"/>
        <v>1.8734299999999999E-2</v>
      </c>
      <c r="T15">
        <f>ROUND(IF(VLOOKUP($A15,EnrollData2324,'2324 Jun 24 Enroll'!D$1,FALSE)=VLOOKUP($A15,'ESA Calculations 2425'!$A$4:$AE$37,4,FALSE),VLOOKUP($A15,EnrollData2324,'2324 Jun 24 Enroll'!D$1,FALSE),VLOOKUP($A15,'ESA Calculations 2425'!$A$4:$AE$37,4,FALSE))*S15,3)</f>
        <v>0</v>
      </c>
      <c r="U15">
        <f>ROUND(IF(VLOOKUP($A15,EnrollData2324,'2324 Jun 24 Enroll'!E$1,FALSE)=VLOOKUP($A15,'ESA Calculations 2425'!$A$4:$AE$37,5,FALSE),VLOOKUP($A15,EnrollData2324,'2324 Jun 24 Enroll'!E$1,FALSE),VLOOKUP($A15,'ESA Calculations 2425'!$A$4:$AE$37,5,FALSE))*S15,3)</f>
        <v>0.28100000000000003</v>
      </c>
      <c r="V15">
        <f>ROUND(IF(VLOOKUP($A15,EnrollData2324,'2324 Jun 24 Enroll'!F$1,FALSE)=VLOOKUP($A15,'ESA Calculations 2425'!$A$4:$AE$37,6,FALSE),VLOOKUP($A15,EnrollData2324,'2324 Jun 24 Enroll'!F$1,FALSE),VLOOKUP($A15,'ESA Calculations 2425'!$A$4:$AE$37,6,FALSE))*Apport_224A2425,3)</f>
        <v>0.10100000000000001</v>
      </c>
      <c r="W15">
        <f>ROUND(IF(VLOOKUP($A15,EnrollData2324,'2324 Jun 24 Enroll'!G$1,FALSE)=VLOOKUP($A15,'ESA Calculations 2425'!$A$4:$AE$37,7,FALSE),VLOOKUP($A15,EnrollData2324,'2324 Jun 24 Enroll'!G$1,FALSE),VLOOKUP($A15,'ESA Calculations 2425'!$A$4:$AE$37,7,FALSE))*Apport_212A2425,3)</f>
        <v>0.17899999999999999</v>
      </c>
      <c r="X15">
        <f>ROUND(IF(VLOOKUP($A15,EnrollData2324,'2324 Jun 24 Enroll'!H$1,FALSE)=VLOOKUP($A15,'ESA Calculations 2425'!$A$4:$AE$37,8,FALSE),VLOOKUP($A15,EnrollData2324,'2324 Jun 24 Enroll'!H$1,FALSE),VLOOKUP($A15,'ESA Calculations 2425'!$A$4:$AE$37,8,FALSE))*Apport_215A2425,3)</f>
        <v>8.8999999999999996E-2</v>
      </c>
      <c r="Y15">
        <f>ROUND(IF(VLOOKUP($A15,EnrollData2324,'2324 Jun 24 Enroll'!I$1,FALSE)+VLOOKUP($A15,EnrollData2324,'2324 Jun 24 Enroll'!M$1,FALSE)-VLOOKUP($A15,EnrollData2324,'2324 Jun 24 Enroll'!J$1,FALSE)=VLOOKUP($A15,'ESA Calculations 2425'!$A$4:$AE$37,9,FALSE)+VLOOKUP($A15,'ESA Calculations 2425'!$A$4:$AE$37,18,FALSE)-VLOOKUP($A15,'ESA Calculations 2425'!$A$4:$AE$37,10,FALSE),VLOOKUP($A15,EnrollData2324,'2324 Jun 24 Enroll'!I$1,FALSE)+VLOOKUP($A15,EnrollData2324,'2324 Jun 24 Enroll'!M$1,FALSE)-VLOOKUP($A15,EnrollData2324,'2324 Jun 24 Enroll'!J$1,FALSE),VLOOKUP($A15,'ESA Calculations 2425'!$A$4:$AE$37,9,FALSE)+VLOOKUP($A15,'ESA Calculations 2425'!$A$4:$AE$37,18,FALSE)-VLOOKUP($A15,'ESA Calculations 2425'!$A$4:$AE$37,10,FALSE))*Apport_218A2425,3)</f>
        <v>0.22</v>
      </c>
      <c r="Z15">
        <f>ROUND(SUM(T15:Y15)/IF(VLOOKUP($A15,EnrollData2324,'2324 Jun 24 Enroll'!M$1,FALSE)+VLOOKUP($A15,EnrollData2324,'2324 Jun 24 Enroll'!D$1,FALSE)=VLOOKUP($A15,'ESA Calculations 2425'!$A$4:$AE$37,18,FALSE)+VLOOKUP($A15,'ESA Calculations 2425'!$A$4:$AE$37,4,FALSE),VLOOKUP($A15,EnrollData2324,'2324 Jun 24 Enroll'!M$1,FALSE)+VLOOKUP($A15,EnrollData2324,'2324 Jun 24 Enroll'!D$1,FALSE),VLOOKUP($A15,'ESA Calculations 2425'!$A$4:$AE$37,18,FALSE)+VLOOKUP($A15,'ESA Calculations 2425'!$A$4:$AE$37,4,FALSE)),5)</f>
        <v>1.7930000000000001E-2</v>
      </c>
      <c r="AA15" s="6">
        <f>ROUND($J15*CIS_Base_Salary2425*VLOOKUP($A15,EnrollData2324,'2324 Jun 24 Enroll'!AH$1,FALSE),2)</f>
        <v>4345.6400000000003</v>
      </c>
      <c r="AB15" s="6">
        <f>ROUND($J15*CIS_Inc_Salary2425*(VLOOKUP($A15,EnrollData2324,'2324 Jun 24 Enroll'!AI$1,FALSE)+VLOOKUP($A15,EnrollData2324,'2324 Jun 24 Enroll'!AJ$1,FALSE)),2)-AA15</f>
        <v>205.82999999999993</v>
      </c>
      <c r="AC15" s="6" cm="1">
        <f t="array" ref="AC15">ROUND($R15*CAS_Base_Salary2425*VLOOKUP($A15,EnrollData2324,'2324 Jun 24 Enroll'!AH$1,FALSE),2)</f>
        <v>465.71</v>
      </c>
      <c r="AD15" s="6">
        <f>ROUND($R15*CAS_Inc_Salary2425*VLOOKUP($A15,EnrollData2324,'2324 Jun 24 Enroll'!AI$1,FALSE),2)-AC15</f>
        <v>17.230000000000018</v>
      </c>
      <c r="AE15" s="6">
        <f>ROUND($Z15*CLS_Base_Salary2425*VLOOKUP($A15,EnrollData2324,'2324 Jun 24 Enroll'!AH$1,FALSE),2)</f>
        <v>970.07</v>
      </c>
      <c r="AF15" s="6">
        <f>ROUND($Z15*CLS_Inc_Salary2425*VLOOKUP($A15,EnrollData2324,'2324 Jun 24 Enroll'!AI$1,FALSE),2)-AE15</f>
        <v>35.889999999999986</v>
      </c>
      <c r="AG15" cm="1">
        <f t="array" ref="AG15">ROUND(($J15+$R15)*Apport_124X2425,2)</f>
        <v>815.5</v>
      </c>
      <c r="AH15" s="69" cm="1">
        <f t="array" ref="AH15">ROUND(($J15+$R15)*Apport_621X2425*Apport_125XC2425,2)-AG15</f>
        <v>75.289999999999964</v>
      </c>
      <c r="AI15" cm="1">
        <f t="array" ref="AI15">ROUND($Z15*Apport_124X2425,2)</f>
        <v>236.68</v>
      </c>
      <c r="AJ15">
        <f t="shared" si="3"/>
        <v>125.76999999999998</v>
      </c>
      <c r="AK15">
        <f t="shared" si="4"/>
        <v>873.26</v>
      </c>
      <c r="AL15">
        <f t="shared" si="5"/>
        <v>39.06</v>
      </c>
      <c r="AM15">
        <f t="shared" si="6"/>
        <v>210.12</v>
      </c>
      <c r="AN15">
        <f t="shared" si="7"/>
        <v>6.52</v>
      </c>
      <c r="AO15">
        <f>ROUND(($J15*CIS_Inc_Salary2425*(VLOOKUP($A15,EnrollData2324,'2324 Jun 24 Enroll'!AI$1,FALSE)+VLOOKUP($A15,EnrollData2324,'2324 Jun 24 Enroll'!AJ$1,FALSE))/Apport_613Xpd)*Apport_614Xpd,2)</f>
        <v>75.86</v>
      </c>
      <c r="AP15">
        <f t="shared" si="8"/>
        <v>13.28</v>
      </c>
      <c r="AQ15">
        <f t="shared" si="11"/>
        <v>32.1</v>
      </c>
      <c r="AR15" s="6">
        <f>ROUND((IF(VLOOKUP($A15,EnrollData2324,'2324 Jun 24 Enroll'!D$1,FALSE)=VLOOKUP($A15,'ESA Calculations 2425'!$A$4:$AE$37,4,FALSE),VLOOKUP($A15,EnrollData2324,'2324 Jun 24 Enroll'!D$1,FALSE),VLOOKUP($A15,'ESA Calculations 2425'!$A$4:$AE$37,4,FALSE))*Apport_M802425+IF(VLOOKUP($A15,EnrollData2324,'2324 Jun 24 Enroll'!M$1,FALSE)=VLOOKUP($A15,'ESA Calculations 2425'!$A$4:$AE$37,18,FALSE),VLOOKUP($A15,EnrollData2324,'2324 Jun 24 Enroll'!M$1,FALSE),VLOOKUP($A15,'ESA Calculations 2425'!$A$4:$AE$37,18,FALSE))*Apport_M802425+IF((VLOOKUP($A15,EnrollData2324,'2324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Enroll'!L$1,FALSE))=VLOOKUP($A15,EnrollData2324,'2324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Enroll'!L$1,FALSE),(VLOOKUP($A15,EnrollData2324,'2324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Enroll'!L$1,FALSE)),(VLOOKUP($A15,EnrollData2324,'2324 Jun 24 Enroll'!P$1,FALSE)+VLOOKUP($A15,EnrollData2324,'2324 Jun 24 Enroll'!Q$1,FALSE)+VLOOKUP($A15,EnrollData2324,'2324 Jun 24 Enroll'!R$1,FALSE)+VLOOKUP($A15,EnrollData2324,'2324 Jun 24 Enroll'!I$1,FALSE)+VLOOKUP($A15,EnrollData2324,'2324 Jun 24 Enroll'!N$1,FALSE)+VLOOKUP($A15,EnrollData2324,'2324 Jun 24 Enroll'!O$1,FALSE)+VLOOKUP($A15,EnrollData2324,'2324 Jun 24 Enroll'!K$1,FALSE)+VLOOKUP($A15,EnrollData2324,'2324 Jun 24 Enroll'!L$1,FALSE)))*Apport_M812425)/(IF(VLOOKUP($A15,EnrollData2324,'2324 Jun 24 Enroll'!M$1,FALSE)=VLOOKUP($A15,'ESA Calculations 2425'!$A$4:$AE$37,18,FALSE),VLOOKUP($A15,EnrollData2324,'2324 Jun 24 Enroll'!M$1,FALSE),VLOOKUP($A15,'ESA Calculations 2425'!$A$4:$AE$37,18,FALSE))+IF(VLOOKUP($A15,EnrollData2324,'2324 Jun 24 Enroll'!D$1,FALSE)=VLOOKUP($A15,'ESA Calculations 2425'!$A$4:$AE$37,4,FALSE),VLOOKUP($A15,EnrollData2324,'2324 Jun 24 Enroll'!D$1,FALSE),VLOOKUP($A15,'ESA Calculations 2425'!$A$4:$AE$37,4,FALSE))),2)</f>
        <v>1586.06</v>
      </c>
      <c r="AS15" s="7">
        <f t="shared" si="12"/>
        <v>10129.870000000003</v>
      </c>
      <c r="AT15" s="6">
        <f>IF(VLOOKUP($A15,EnrollData2324,'2324 Jun 24 Enroll'!AA$1,FALSE)=VLOOKUP($A15,'ESA Calculations 2425'!$A$4:$AE$37,24,FALSE),VLOOKUP($A15,EnrollData2324,'2324 Jun 24 Enroll'!AA$1,FALSE),VLOOKUP($A15,'ESA Calculations 2425'!$A$4:$AE$37,24,FALSE))</f>
        <v>48.51</v>
      </c>
    </row>
    <row r="16" spans="1:49">
      <c r="A16" s="40" t="s">
        <v>544</v>
      </c>
      <c r="B16" s="40" t="s">
        <v>545</v>
      </c>
      <c r="C16" s="11">
        <f>ROUND((IFERROR((1/IF(VLOOKUP($A16,EnrollData2324,28,FALSE)=VLOOKUP($A16,'ESA Calculations 2425'!$A$4:$AE$37,3,FALSE),VLOOKUP($A16,EnrollData2324,28,FALSE),VLOOKUP($A16,'ESA Calculations 2425'!$A$4:$AE$37,3,FALSE)))*(1+Apport_Z315),0))+Apport_201A2425,6)</f>
        <v>7.4580999999999995E-2</v>
      </c>
      <c r="D16">
        <f>ROUND(IF(VLOOKUP($A16,EnrollData2324,'2324 Jun 24 Enroll'!D$1,FALSE)=VLOOKUP($A16,'ESA Calculations 2425'!$A$4:$AE$37,4,FALSE),VLOOKUP($A16,EnrollData2324,'2324 Jun 24 Enroll'!D$1,FALSE),VLOOKUP($A16,'ESA Calculations 2425'!$A$4:$AE$37,4,FALSE))*C16,3)</f>
        <v>0</v>
      </c>
      <c r="E16">
        <f>ROUND(IF(VLOOKUP($A16,EnrollData2324,'2324 Jun 24 Enroll'!E$1,FALSE)=VLOOKUP($A16,'ESA Calculations 2425'!$A$4:$AE$37,5,FALSE),VLOOKUP($A16,EnrollData2324,'2324 Jun 24 Enroll'!E$1,FALSE),VLOOKUP($A16,'ESA Calculations 2425'!$A$4:$AE$37,5,FALSE))*C16,3)</f>
        <v>4.0199999999999996</v>
      </c>
      <c r="F16">
        <f>ROUND(IF(VLOOKUP($A16,EnrollData2324,'2324 Jun 24 Enroll'!F$1,FALSE)=VLOOKUP($A16,'ESA Calculations 2425'!$A$4:$AE$37,6,FALSE),VLOOKUP($A16,EnrollData2324,'2324 Jun 24 Enroll'!F$1,FALSE),VLOOKUP($A16,'ESA Calculations 2425'!$A$4:$AE$37,6,FALSE))*Apport_222A2425,3)</f>
        <v>1.2110000000000001</v>
      </c>
      <c r="G16">
        <f>ROUND(IF(VLOOKUP($A16,EnrollData2324,'2324 Jun 24 Enroll'!G$1,FALSE)=VLOOKUP($A16,'ESA Calculations 2425'!$A$4:$AE$37,7,FALSE),VLOOKUP($A16,EnrollData2324,'2324 Jun 24 Enroll'!G$1,FALSE),VLOOKUP($A16,'ESA Calculations 2425'!$A$4:$AE$37,7,FALSE))*Apport_210A2425,3)</f>
        <v>1.3939999999999999</v>
      </c>
      <c r="H16">
        <f>ROUND(IF(VLOOKUP($A16,EnrollData2324,'2324 Jun 24 Enroll'!H$1,FALSE)=VLOOKUP($A16,'ESA Calculations 2425'!$A$4:$AE$37,8,FALSE),VLOOKUP($A16,EnrollData2324,'2324 Jun 24 Enroll'!H$1,FALSE),VLOOKUP($A16,'ESA Calculations 2425'!$A$4:$AE$37,8,FALSE))*Apport_213A2425,3)</f>
        <v>1.6950000000000001</v>
      </c>
      <c r="I16">
        <f>ROUND(IF(VLOOKUP($A16,EnrollData2324,'2324 Jun 24 Enroll'!I$1,FALSE)+VLOOKUP($A16,EnrollData2324,'2324 Jun 24 Enroll'!M$1,FALSE)-VLOOKUP($A16,EnrollData2324,'2324 Jun 24 Enroll'!J$1,FALSE)=VLOOKUP($A16,'ESA Calculations 2425'!$A$4:$AE$37,9,FALSE)+VLOOKUP($A16,'ESA Calculations 2425'!$A$4:$AE$37,18,FALSE)-VLOOKUP($A16,'ESA Calculations 2425'!$A$4:$AE$37,10,FALSE),VLOOKUP($A16,EnrollData2324,'2324 Jun 24 Enroll'!I$1,FALSE)+VLOOKUP($A16,EnrollData2324,'2324 Jun 24 Enroll'!M$1,FALSE)-VLOOKUP($A16,EnrollData2324,'2324 Jun 24 Enroll'!J$1,FALSE),VLOOKUP($A16,'ESA Calculations 2425'!$A$4:$AE$37,9,FALSE)+VLOOKUP($A16,'ESA Calculations 2425'!$A$4:$AE$37,18,FALSE)-VLOOKUP($A16,'ESA Calculations 2425'!$A$4:$AE$37,10,FALSE))*Apport_216A2425,3)</f>
        <v>3.42</v>
      </c>
      <c r="J16">
        <f>ROUND(SUM(D16:I16)/IF(VLOOKUP($A16,EnrollData2324,'2324 Jun 24 Enroll'!M$1,FALSE)+VLOOKUP($A16,EnrollData2324,'2324 Jun 24 Enroll'!D$1,FALSE)=VLOOKUP($A16,'ESA Calculations 2425'!$A$4:$AE$37,18,FALSE)+VLOOKUP($A16,'ESA Calculations 2425'!$A$4:$AE$37,4,FALSE),VLOOKUP($A16,EnrollData2324,'2324 Jun 24 Enroll'!M$1,FALSE)+VLOOKUP($A16,EnrollData2324,'2324 Jun 24 Enroll'!D$1,FALSE),VLOOKUP($A16,'ESA Calculations 2425'!$A$4:$AE$37,18,FALSE)+VLOOKUP($A16,'ESA Calculations 2425'!$A$4:$AE$37,4,FALSE)),5)</f>
        <v>5.6439999999999997E-2</v>
      </c>
      <c r="K16" s="11">
        <f t="shared" si="1"/>
        <v>4.385E-3</v>
      </c>
      <c r="L16">
        <f>ROUND(IF(VLOOKUP($A16,EnrollData2324,'2324 Jun 24 Enroll'!D$1,FALSE)=VLOOKUP($A16,'ESA Calculations 2425'!$A$4:$AE$37,4,FALSE),VLOOKUP($A16,EnrollData2324,'2324 Jun 24 Enroll'!D$1,FALSE),VLOOKUP($A16,'ESA Calculations 2425'!$A$4:$AE$37,4,FALSE))*K16,3)</f>
        <v>0</v>
      </c>
      <c r="M16">
        <f>ROUND(IF(VLOOKUP($A16,EnrollData2324,'2324 Jun 24 Enroll'!E$1,FALSE)=VLOOKUP($A16,'ESA Calculations 2425'!$A$4:$AE$37,5,FALSE),VLOOKUP($A16,EnrollData2324,'2324 Jun 24 Enroll'!E$1,FALSE),VLOOKUP($A16,'ESA Calculations 2425'!$A$4:$AE$37,5,FALSE))*K16,3)</f>
        <v>0.23599999999999999</v>
      </c>
      <c r="N16">
        <f>ROUND(IF(VLOOKUP($A16,EnrollData2324,'2324 Jun 24 Enroll'!F$1,FALSE)=VLOOKUP($A16,'ESA Calculations 2425'!$A$4:$AE$37,6,FALSE),VLOOKUP($A16,EnrollData2324,'2324 Jun 24 Enroll'!F$1,FALSE),VLOOKUP($A16,'ESA Calculations 2425'!$A$4:$AE$37,6,FALSE))*Apport_223A2425,3)</f>
        <v>9.9000000000000005E-2</v>
      </c>
      <c r="O16">
        <f>ROUND(IF(VLOOKUP($A16,EnrollData2324,'2324 Jun 24 Enroll'!G$1,FALSE)=VLOOKUP($A16,'ESA Calculations 2425'!$A$4:$AE$37,7,FALSE),VLOOKUP($A16,EnrollData2324,'2324 Jun 24 Enroll'!G$1,FALSE),VLOOKUP($A16,'ESA Calculations 2425'!$A$4:$AE$37,7,FALSE))*Apport_211A2425,3)</f>
        <v>0.114</v>
      </c>
      <c r="P16">
        <f>ROUND(IF(VLOOKUP($A16,EnrollData2324,'2324 Jun 24 Enroll'!H$1,FALSE)=VLOOKUP($A16,'ESA Calculations 2425'!$A$4:$AE$37,8,FALSE),VLOOKUP($A16,EnrollData2324,'2324 Jun 24 Enroll'!H$1,FALSE),VLOOKUP($A16,'ESA Calculations 2425'!$A$4:$AE$37,8,FALSE))*Apport_214A2425,3)</f>
        <v>0.13800000000000001</v>
      </c>
      <c r="Q16">
        <f>ROUND(IF(VLOOKUP($A16,EnrollData2324,'2324 Jun 24 Enroll'!I$1,FALSE)+VLOOKUP($A16,EnrollData2324,'2324 Jun 24 Enroll'!M$1,FALSE)-VLOOKUP($A16,EnrollData2324,'2324 Jun 24 Enroll'!J$1,FALSE)=VLOOKUP($A16,'ESA Calculations 2425'!$A$4:$AE$37,9,FALSE)+VLOOKUP($A16,'ESA Calculations 2425'!$A$4:$AE$37,18,FALSE)-VLOOKUP($A16,'ESA Calculations 2425'!$A$4:$AE$37,10,FALSE),VLOOKUP($A16,EnrollData2324,'2324 Jun 24 Enroll'!I$1,FALSE)+VLOOKUP($A16,EnrollData2324,'2324 Jun 24 Enroll'!M$1,FALSE)-VLOOKUP($A16,EnrollData2324,'2324 Jun 24 Enroll'!J$1,FALSE),VLOOKUP($A16,'ESA Calculations 2425'!$A$4:$AE$37,9,FALSE)+VLOOKUP($A16,'ESA Calculations 2425'!$A$4:$AE$37,18,FALSE)-VLOOKUP($A16,'ESA Calculations 2425'!$A$4:$AE$37,10,FALSE))*Apport_217A2425,3)</f>
        <v>0.27300000000000002</v>
      </c>
      <c r="R16">
        <f>ROUND(SUM(L16:Q16)/IF(VLOOKUP($A16,EnrollData2324,'2324 Jun 24 Enroll'!M$1,FALSE)+VLOOKUP($A16,EnrollData2324,'2324 Jun 24 Enroll'!D$1,FALSE)=VLOOKUP($A16,'ESA Calculations 2425'!$A$4:$AE$37,18,FALSE)+VLOOKUP($A16,'ESA Calculations 2425'!$A$4:$AE$37,4,FALSE),VLOOKUP($A16,EnrollData2324,'2324 Jun 24 Enroll'!M$1,FALSE)+VLOOKUP($A16,EnrollData2324,'2324 Jun 24 Enroll'!D$1,FALSE),VLOOKUP($A16,'ESA Calculations 2425'!$A$4:$AE$37,18,FALSE)+VLOOKUP($A16,'ESA Calculations 2425'!$A$4:$AE$37,4,FALSE)),5)</f>
        <v>4.13E-3</v>
      </c>
      <c r="S16" s="11">
        <f t="shared" si="2"/>
        <v>1.8734299999999999E-2</v>
      </c>
      <c r="T16">
        <f>ROUND(IF(VLOOKUP($A16,EnrollData2324,'2324 Jun 24 Enroll'!D$1,FALSE)=VLOOKUP($A16,'ESA Calculations 2425'!$A$4:$AE$37,4,FALSE),VLOOKUP($A16,EnrollData2324,'2324 Jun 24 Enroll'!D$1,FALSE),VLOOKUP($A16,'ESA Calculations 2425'!$A$4:$AE$37,4,FALSE))*S16,3)</f>
        <v>0</v>
      </c>
      <c r="U16">
        <f>ROUND(IF(VLOOKUP($A16,EnrollData2324,'2324 Jun 24 Enroll'!E$1,FALSE)=VLOOKUP($A16,'ESA Calculations 2425'!$A$4:$AE$37,5,FALSE),VLOOKUP($A16,EnrollData2324,'2324 Jun 24 Enroll'!E$1,FALSE),VLOOKUP($A16,'ESA Calculations 2425'!$A$4:$AE$37,5,FALSE))*S16,3)</f>
        <v>1.01</v>
      </c>
      <c r="V16">
        <f>ROUND(IF(VLOOKUP($A16,EnrollData2324,'2324 Jun 24 Enroll'!F$1,FALSE)=VLOOKUP($A16,'ESA Calculations 2425'!$A$4:$AE$37,6,FALSE),VLOOKUP($A16,EnrollData2324,'2324 Jun 24 Enroll'!F$1,FALSE),VLOOKUP($A16,'ESA Calculations 2425'!$A$4:$AE$37,6,FALSE))*Apport_224A2425,3)</f>
        <v>0.435</v>
      </c>
      <c r="W16">
        <f>ROUND(IF(VLOOKUP($A16,EnrollData2324,'2324 Jun 24 Enroll'!G$1,FALSE)=VLOOKUP($A16,'ESA Calculations 2425'!$A$4:$AE$37,7,FALSE),VLOOKUP($A16,EnrollData2324,'2324 Jun 24 Enroll'!G$1,FALSE),VLOOKUP($A16,'ESA Calculations 2425'!$A$4:$AE$37,7,FALSE))*Apport_212A2425,3)</f>
        <v>0.5</v>
      </c>
      <c r="X16">
        <f>ROUND(IF(VLOOKUP($A16,EnrollData2324,'2324 Jun 24 Enroll'!H$1,FALSE)=VLOOKUP($A16,'ESA Calculations 2425'!$A$4:$AE$37,8,FALSE),VLOOKUP($A16,EnrollData2324,'2324 Jun 24 Enroll'!H$1,FALSE),VLOOKUP($A16,'ESA Calculations 2425'!$A$4:$AE$37,8,FALSE))*Apport_215A2425,3)</f>
        <v>0.59899999999999998</v>
      </c>
      <c r="Y16">
        <f>ROUND(IF(VLOOKUP($A16,EnrollData2324,'2324 Jun 24 Enroll'!I$1,FALSE)+VLOOKUP($A16,EnrollData2324,'2324 Jun 24 Enroll'!M$1,FALSE)-VLOOKUP($A16,EnrollData2324,'2324 Jun 24 Enroll'!J$1,FALSE)=VLOOKUP($A16,'ESA Calculations 2425'!$A$4:$AE$37,9,FALSE)+VLOOKUP($A16,'ESA Calculations 2425'!$A$4:$AE$37,18,FALSE)-VLOOKUP($A16,'ESA Calculations 2425'!$A$4:$AE$37,10,FALSE),VLOOKUP($A16,EnrollData2324,'2324 Jun 24 Enroll'!I$1,FALSE)+VLOOKUP($A16,EnrollData2324,'2324 Jun 24 Enroll'!M$1,FALSE)-VLOOKUP($A16,EnrollData2324,'2324 Jun 24 Enroll'!J$1,FALSE),VLOOKUP($A16,'ESA Calculations 2425'!$A$4:$AE$37,9,FALSE)+VLOOKUP($A16,'ESA Calculations 2425'!$A$4:$AE$37,18,FALSE)-VLOOKUP($A16,'ESA Calculations 2425'!$A$4:$AE$37,10,FALSE))*Apport_218A2425,3)</f>
        <v>1.173</v>
      </c>
      <c r="Z16">
        <f>ROUND(SUM(T16:Y16)/IF(VLOOKUP($A16,EnrollData2324,'2324 Jun 24 Enroll'!M$1,FALSE)+VLOOKUP($A16,EnrollData2324,'2324 Jun 24 Enroll'!D$1,FALSE)=VLOOKUP($A16,'ESA Calculations 2425'!$A$4:$AE$37,18,FALSE)+VLOOKUP($A16,'ESA Calculations 2425'!$A$4:$AE$37,4,FALSE),VLOOKUP($A16,EnrollData2324,'2324 Jun 24 Enroll'!M$1,FALSE)+VLOOKUP($A16,EnrollData2324,'2324 Jun 24 Enroll'!D$1,FALSE),VLOOKUP($A16,'ESA Calculations 2425'!$A$4:$AE$37,18,FALSE)+VLOOKUP($A16,'ESA Calculations 2425'!$A$4:$AE$37,4,FALSE)),5)</f>
        <v>1.787E-2</v>
      </c>
      <c r="AA16" s="6">
        <f>ROUND($J16*CIS_Base_Salary2425*VLOOKUP($A16,EnrollData2324,'2324 Jun 24 Enroll'!AH$1,FALSE),2)</f>
        <v>4256.6499999999996</v>
      </c>
      <c r="AB16" s="6">
        <f>ROUND($J16*CIS_Inc_Salary2425*(VLOOKUP($A16,EnrollData2324,'2324 Jun 24 Enroll'!AI$1,FALSE)+VLOOKUP($A16,EnrollData2324,'2324 Jun 24 Enroll'!AJ$1,FALSE)),2)-AA16</f>
        <v>157.47000000000025</v>
      </c>
      <c r="AC16" s="6" cm="1">
        <f t="array" ref="AC16">ROUND($R16*CAS_Base_Salary2425*VLOOKUP($A16,EnrollData2324,'2324 Jun 24 Enroll'!AH$1,FALSE),2)</f>
        <v>462.35</v>
      </c>
      <c r="AD16" s="6">
        <f>ROUND($R16*CAS_Inc_Salary2425*VLOOKUP($A16,EnrollData2324,'2324 Jun 24 Enroll'!AI$1,FALSE),2)-AC16</f>
        <v>17.109999999999957</v>
      </c>
      <c r="AE16" s="6">
        <f>ROUND($Z16*CLS_Base_Salary2425*VLOOKUP($A16,EnrollData2324,'2324 Jun 24 Enroll'!AH$1,FALSE),2)</f>
        <v>966.82</v>
      </c>
      <c r="AF16" s="6">
        <f>ROUND($Z16*CLS_Inc_Salary2425*VLOOKUP($A16,EnrollData2324,'2324 Jun 24 Enroll'!AI$1,FALSE),2)-AE16</f>
        <v>35.779999999999973</v>
      </c>
      <c r="AG16" cm="1">
        <f t="array" ref="AG16">ROUND(($J16+$R16)*Apport_124X2425,2)</f>
        <v>799.52</v>
      </c>
      <c r="AH16" s="69" cm="1">
        <f t="array" ref="AH16">ROUND(($J16+$R16)*Apport_621X2425*Apport_125XC2425,2)-AG16</f>
        <v>73.82000000000005</v>
      </c>
      <c r="AI16" cm="1">
        <f t="array" ref="AI16">ROUND($Z16*Apport_124X2425,2)</f>
        <v>235.88</v>
      </c>
      <c r="AJ16">
        <f t="shared" si="3"/>
        <v>125.35000000000002</v>
      </c>
      <c r="AK16">
        <f t="shared" si="4"/>
        <v>856.5</v>
      </c>
      <c r="AL16">
        <f t="shared" si="5"/>
        <v>30.57</v>
      </c>
      <c r="AM16">
        <f t="shared" si="6"/>
        <v>209.41</v>
      </c>
      <c r="AN16">
        <f t="shared" si="7"/>
        <v>6.5</v>
      </c>
      <c r="AO16">
        <f>ROUND(($J16*CIS_Inc_Salary2425*(VLOOKUP($A16,EnrollData2324,'2324 Jun 24 Enroll'!AI$1,FALSE)+VLOOKUP($A16,EnrollData2324,'2324 Jun 24 Enroll'!AJ$1,FALSE))/Apport_613Xpd)*Apport_614Xpd,2)</f>
        <v>73.569999999999993</v>
      </c>
      <c r="AP16">
        <f t="shared" si="8"/>
        <v>12.88</v>
      </c>
      <c r="AQ16">
        <f t="shared" si="11"/>
        <v>31.44</v>
      </c>
      <c r="AR16" s="6">
        <f>ROUND((IF(VLOOKUP($A16,EnrollData2324,'2324 Jun 24 Enroll'!D$1,FALSE)=VLOOKUP($A16,'ESA Calculations 2425'!$A$4:$AE$37,4,FALSE),VLOOKUP($A16,EnrollData2324,'2324 Jun 24 Enroll'!D$1,FALSE),VLOOKUP($A16,'ESA Calculations 2425'!$A$4:$AE$37,4,FALSE))*Apport_M802425+IF(VLOOKUP($A16,EnrollData2324,'2324 Jun 24 Enroll'!M$1,FALSE)=VLOOKUP($A16,'ESA Calculations 2425'!$A$4:$AE$37,18,FALSE),VLOOKUP($A16,EnrollData2324,'2324 Jun 24 Enroll'!M$1,FALSE),VLOOKUP($A16,'ESA Calculations 2425'!$A$4:$AE$37,18,FALSE))*Apport_M802425+IF((VLOOKUP($A16,EnrollData2324,'2324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Enroll'!L$1,FALSE))=VLOOKUP($A16,EnrollData2324,'2324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Enroll'!L$1,FALSE),(VLOOKUP($A16,EnrollData2324,'2324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Enroll'!L$1,FALSE)),(VLOOKUP($A16,EnrollData2324,'2324 Jun 24 Enroll'!P$1,FALSE)+VLOOKUP($A16,EnrollData2324,'2324 Jun 24 Enroll'!Q$1,FALSE)+VLOOKUP($A16,EnrollData2324,'2324 Jun 24 Enroll'!R$1,FALSE)+VLOOKUP($A16,EnrollData2324,'2324 Jun 24 Enroll'!I$1,FALSE)+VLOOKUP($A16,EnrollData2324,'2324 Jun 24 Enroll'!N$1,FALSE)+VLOOKUP($A16,EnrollData2324,'2324 Jun 24 Enroll'!O$1,FALSE)+VLOOKUP($A16,EnrollData2324,'2324 Jun 24 Enroll'!K$1,FALSE)+VLOOKUP($A16,EnrollData2324,'2324 Jun 24 Enroll'!L$1,FALSE)))*Apport_M812425)/(IF(VLOOKUP($A16,EnrollData2324,'2324 Jun 24 Enroll'!M$1,FALSE)=VLOOKUP($A16,'ESA Calculations 2425'!$A$4:$AE$37,18,FALSE),VLOOKUP($A16,EnrollData2324,'2324 Jun 24 Enroll'!M$1,FALSE),VLOOKUP($A16,'ESA Calculations 2425'!$A$4:$AE$37,18,FALSE))+IF(VLOOKUP($A16,EnrollData2324,'2324 Jun 24 Enroll'!D$1,FALSE)=VLOOKUP($A16,'ESA Calculations 2425'!$A$4:$AE$37,4,FALSE),VLOOKUP($A16,EnrollData2324,'2324 Jun 24 Enroll'!D$1,FALSE),VLOOKUP($A16,'ESA Calculations 2425'!$A$4:$AE$37,4,FALSE))),2)</f>
        <v>1598.95</v>
      </c>
      <c r="AS16" s="7">
        <f t="shared" si="12"/>
        <v>9950.57</v>
      </c>
      <c r="AT16" s="6">
        <f>IF(VLOOKUP($A16,EnrollData2324,'2324 Jun 24 Enroll'!AA$1,FALSE)=VLOOKUP($A16,'ESA Calculations 2425'!$A$4:$AE$37,24,FALSE),VLOOKUP($A16,EnrollData2324,'2324 Jun 24 Enroll'!AA$1,FALSE),VLOOKUP($A16,'ESA Calculations 2425'!$A$4:$AE$37,24,FALSE))</f>
        <v>208.02</v>
      </c>
    </row>
    <row r="17" spans="1:46">
      <c r="A17" s="40" t="s">
        <v>887</v>
      </c>
      <c r="B17" s="40" t="s">
        <v>888</v>
      </c>
      <c r="C17" s="11">
        <f>ROUND((IFERROR((1/IF(VLOOKUP($A17,EnrollData2324,28,FALSE)=VLOOKUP($A17,'ESA Calculations 2425'!$A$4:$AE$37,3,FALSE),VLOOKUP($A17,EnrollData2324,28,FALSE),VLOOKUP($A17,'ESA Calculations 2425'!$A$4:$AE$37,3,FALSE)))*(1+Apport_Z315),0))+Apport_201A2425,6)</f>
        <v>7.4580999999999995E-2</v>
      </c>
      <c r="D17">
        <f>ROUND(IF(VLOOKUP($A17,EnrollData2324,'2324 Jun 24 Enroll'!D$1,FALSE)=VLOOKUP($A17,'ESA Calculations 2425'!$A$4:$AE$37,4,FALSE),VLOOKUP($A17,EnrollData2324,'2324 Jun 24 Enroll'!D$1,FALSE),VLOOKUP($A17,'ESA Calculations 2425'!$A$4:$AE$37,4,FALSE))*C17,3)</f>
        <v>0</v>
      </c>
      <c r="E17">
        <f>ROUND(IF(VLOOKUP($A17,EnrollData2324,'2324 Jun 24 Enroll'!E$1,FALSE)=VLOOKUP($A17,'ESA Calculations 2425'!$A$4:$AE$37,5,FALSE),VLOOKUP($A17,EnrollData2324,'2324 Jun 24 Enroll'!E$1,FALSE),VLOOKUP($A17,'ESA Calculations 2425'!$A$4:$AE$37,5,FALSE))*C17,3)</f>
        <v>2.6549999999999998</v>
      </c>
      <c r="F17">
        <f>ROUND(IF(VLOOKUP($A17,EnrollData2324,'2324 Jun 24 Enroll'!F$1,FALSE)=VLOOKUP($A17,'ESA Calculations 2425'!$A$4:$AE$37,6,FALSE),VLOOKUP($A17,EnrollData2324,'2324 Jun 24 Enroll'!F$1,FALSE),VLOOKUP($A17,'ESA Calculations 2425'!$A$4:$AE$37,6,FALSE))*Apport_222A2425,3)</f>
        <v>0.30099999999999999</v>
      </c>
      <c r="G17">
        <f>ROUND(IF(VLOOKUP($A17,EnrollData2324,'2324 Jun 24 Enroll'!G$1,FALSE)=VLOOKUP($A17,'ESA Calculations 2425'!$A$4:$AE$37,7,FALSE),VLOOKUP($A17,EnrollData2324,'2324 Jun 24 Enroll'!G$1,FALSE),VLOOKUP($A17,'ESA Calculations 2425'!$A$4:$AE$37,7,FALSE))*Apport_210A2425,3)</f>
        <v>0.77600000000000002</v>
      </c>
      <c r="H17">
        <f>ROUND(IF(VLOOKUP($A17,EnrollData2324,'2324 Jun 24 Enroll'!H$1,FALSE)=VLOOKUP($A17,'ESA Calculations 2425'!$A$4:$AE$37,8,FALSE),VLOOKUP($A17,EnrollData2324,'2324 Jun 24 Enroll'!H$1,FALSE),VLOOKUP($A17,'ESA Calculations 2425'!$A$4:$AE$37,8,FALSE))*Apport_213A2425,3)</f>
        <v>0.84699999999999998</v>
      </c>
      <c r="I17">
        <f>ROUND(IF(VLOOKUP($A17,EnrollData2324,'2324 Jun 24 Enroll'!I$1,FALSE)+VLOOKUP($A17,EnrollData2324,'2324 Jun 24 Enroll'!M$1,FALSE)-VLOOKUP($A17,EnrollData2324,'2324 Jun 24 Enroll'!J$1,FALSE)=VLOOKUP($A17,'ESA Calculations 2425'!$A$4:$AE$37,9,FALSE)+VLOOKUP($A17,'ESA Calculations 2425'!$A$4:$AE$37,18,FALSE)-VLOOKUP($A17,'ESA Calculations 2425'!$A$4:$AE$37,10,FALSE),VLOOKUP($A17,EnrollData2324,'2324 Jun 24 Enroll'!I$1,FALSE)+VLOOKUP($A17,EnrollData2324,'2324 Jun 24 Enroll'!M$1,FALSE)-VLOOKUP($A17,EnrollData2324,'2324 Jun 24 Enroll'!J$1,FALSE),VLOOKUP($A17,'ESA Calculations 2425'!$A$4:$AE$37,9,FALSE)+VLOOKUP($A17,'ESA Calculations 2425'!$A$4:$AE$37,18,FALSE)-VLOOKUP($A17,'ESA Calculations 2425'!$A$4:$AE$37,10,FALSE))*Apport_216A2425,3)</f>
        <v>1.319</v>
      </c>
      <c r="J17">
        <f>ROUND(SUM(D17:I17)/IF(VLOOKUP($A17,EnrollData2324,'2324 Jun 24 Enroll'!M$1,FALSE)+VLOOKUP($A17,EnrollData2324,'2324 Jun 24 Enroll'!D$1,FALSE)=VLOOKUP($A17,'ESA Calculations 2425'!$A$4:$AE$37,18,FALSE)+VLOOKUP($A17,'ESA Calculations 2425'!$A$4:$AE$37,4,FALSE),VLOOKUP($A17,EnrollData2324,'2324 Jun 24 Enroll'!M$1,FALSE)+VLOOKUP($A17,EnrollData2324,'2324 Jun 24 Enroll'!D$1,FALSE),VLOOKUP($A17,'ESA Calculations 2425'!$A$4:$AE$37,18,FALSE)+VLOOKUP($A17,'ESA Calculations 2425'!$A$4:$AE$37,4,FALSE)),5)</f>
        <v>5.8729999999999997E-2</v>
      </c>
      <c r="K17" s="11">
        <f t="shared" si="1"/>
        <v>4.385E-3</v>
      </c>
      <c r="L17">
        <f>ROUND(IF(VLOOKUP($A17,EnrollData2324,'2324 Jun 24 Enroll'!D$1,FALSE)=VLOOKUP($A17,'ESA Calculations 2425'!$A$4:$AE$37,4,FALSE),VLOOKUP($A17,EnrollData2324,'2324 Jun 24 Enroll'!D$1,FALSE),VLOOKUP($A17,'ESA Calculations 2425'!$A$4:$AE$37,4,FALSE))*K17,3)</f>
        <v>0</v>
      </c>
      <c r="M17">
        <f>ROUND(IF(VLOOKUP($A17,EnrollData2324,'2324 Jun 24 Enroll'!E$1,FALSE)=VLOOKUP($A17,'ESA Calculations 2425'!$A$4:$AE$37,5,FALSE),VLOOKUP($A17,EnrollData2324,'2324 Jun 24 Enroll'!E$1,FALSE),VLOOKUP($A17,'ESA Calculations 2425'!$A$4:$AE$37,5,FALSE))*K17,3)</f>
        <v>0.156</v>
      </c>
      <c r="N17">
        <f>ROUND(IF(VLOOKUP($A17,EnrollData2324,'2324 Jun 24 Enroll'!F$1,FALSE)=VLOOKUP($A17,'ESA Calculations 2425'!$A$4:$AE$37,6,FALSE),VLOOKUP($A17,EnrollData2324,'2324 Jun 24 Enroll'!F$1,FALSE),VLOOKUP($A17,'ESA Calculations 2425'!$A$4:$AE$37,6,FALSE))*Apport_223A2425,3)</f>
        <v>2.5000000000000001E-2</v>
      </c>
      <c r="O17">
        <f>ROUND(IF(VLOOKUP($A17,EnrollData2324,'2324 Jun 24 Enroll'!G$1,FALSE)=VLOOKUP($A17,'ESA Calculations 2425'!$A$4:$AE$37,7,FALSE),VLOOKUP($A17,EnrollData2324,'2324 Jun 24 Enroll'!G$1,FALSE),VLOOKUP($A17,'ESA Calculations 2425'!$A$4:$AE$37,7,FALSE))*Apport_211A2425,3)</f>
        <v>6.4000000000000001E-2</v>
      </c>
      <c r="P17">
        <f>ROUND(IF(VLOOKUP($A17,EnrollData2324,'2324 Jun 24 Enroll'!H$1,FALSE)=VLOOKUP($A17,'ESA Calculations 2425'!$A$4:$AE$37,8,FALSE),VLOOKUP($A17,EnrollData2324,'2324 Jun 24 Enroll'!H$1,FALSE),VLOOKUP($A17,'ESA Calculations 2425'!$A$4:$AE$37,8,FALSE))*Apport_214A2425,3)</f>
        <v>6.9000000000000006E-2</v>
      </c>
      <c r="Q17">
        <f>ROUND(IF(VLOOKUP($A17,EnrollData2324,'2324 Jun 24 Enroll'!I$1,FALSE)+VLOOKUP($A17,EnrollData2324,'2324 Jun 24 Enroll'!M$1,FALSE)-VLOOKUP($A17,EnrollData2324,'2324 Jun 24 Enroll'!J$1,FALSE)=VLOOKUP($A17,'ESA Calculations 2425'!$A$4:$AE$37,9,FALSE)+VLOOKUP($A17,'ESA Calculations 2425'!$A$4:$AE$37,18,FALSE)-VLOOKUP($A17,'ESA Calculations 2425'!$A$4:$AE$37,10,FALSE),VLOOKUP($A17,EnrollData2324,'2324 Jun 24 Enroll'!I$1,FALSE)+VLOOKUP($A17,EnrollData2324,'2324 Jun 24 Enroll'!M$1,FALSE)-VLOOKUP($A17,EnrollData2324,'2324 Jun 24 Enroll'!J$1,FALSE),VLOOKUP($A17,'ESA Calculations 2425'!$A$4:$AE$37,9,FALSE)+VLOOKUP($A17,'ESA Calculations 2425'!$A$4:$AE$37,18,FALSE)-VLOOKUP($A17,'ESA Calculations 2425'!$A$4:$AE$37,10,FALSE))*Apport_217A2425,3)</f>
        <v>0.105</v>
      </c>
      <c r="R17">
        <f>ROUND(SUM(L17:Q17)/IF(VLOOKUP($A17,EnrollData2324,'2324 Jun 24 Enroll'!M$1,FALSE)+VLOOKUP($A17,EnrollData2324,'2324 Jun 24 Enroll'!D$1,FALSE)=VLOOKUP($A17,'ESA Calculations 2425'!$A$4:$AE$37,18,FALSE)+VLOOKUP($A17,'ESA Calculations 2425'!$A$4:$AE$37,4,FALSE),VLOOKUP($A17,EnrollData2324,'2324 Jun 24 Enroll'!M$1,FALSE)+VLOOKUP($A17,EnrollData2324,'2324 Jun 24 Enroll'!D$1,FALSE),VLOOKUP($A17,'ESA Calculations 2425'!$A$4:$AE$37,18,FALSE)+VLOOKUP($A17,'ESA Calculations 2425'!$A$4:$AE$37,4,FALSE)),5)</f>
        <v>4.1700000000000001E-3</v>
      </c>
      <c r="S17" s="11">
        <f t="shared" si="2"/>
        <v>1.8734299999999999E-2</v>
      </c>
      <c r="T17">
        <f>ROUND(IF(VLOOKUP($A17,EnrollData2324,'2324 Jun 24 Enroll'!D$1,FALSE)=VLOOKUP($A17,'ESA Calculations 2425'!$A$4:$AE$37,4,FALSE),VLOOKUP($A17,EnrollData2324,'2324 Jun 24 Enroll'!D$1,FALSE),VLOOKUP($A17,'ESA Calculations 2425'!$A$4:$AE$37,4,FALSE))*S17,3)</f>
        <v>0</v>
      </c>
      <c r="U17">
        <f>ROUND(IF(VLOOKUP($A17,EnrollData2324,'2324 Jun 24 Enroll'!E$1,FALSE)=VLOOKUP($A17,'ESA Calculations 2425'!$A$4:$AE$37,5,FALSE),VLOOKUP($A17,EnrollData2324,'2324 Jun 24 Enroll'!E$1,FALSE),VLOOKUP($A17,'ESA Calculations 2425'!$A$4:$AE$37,5,FALSE))*S17,3)</f>
        <v>0.66700000000000004</v>
      </c>
      <c r="V17">
        <f>ROUND(IF(VLOOKUP($A17,EnrollData2324,'2324 Jun 24 Enroll'!F$1,FALSE)=VLOOKUP($A17,'ESA Calculations 2425'!$A$4:$AE$37,6,FALSE),VLOOKUP($A17,EnrollData2324,'2324 Jun 24 Enroll'!F$1,FALSE),VLOOKUP($A17,'ESA Calculations 2425'!$A$4:$AE$37,6,FALSE))*Apport_224A2425,3)</f>
        <v>0.108</v>
      </c>
      <c r="W17">
        <f>ROUND(IF(VLOOKUP($A17,EnrollData2324,'2324 Jun 24 Enroll'!G$1,FALSE)=VLOOKUP($A17,'ESA Calculations 2425'!$A$4:$AE$37,7,FALSE),VLOOKUP($A17,EnrollData2324,'2324 Jun 24 Enroll'!G$1,FALSE),VLOOKUP($A17,'ESA Calculations 2425'!$A$4:$AE$37,7,FALSE))*Apport_212A2425,3)</f>
        <v>0.27900000000000003</v>
      </c>
      <c r="X17">
        <f>ROUND(IF(VLOOKUP($A17,EnrollData2324,'2324 Jun 24 Enroll'!H$1,FALSE)=VLOOKUP($A17,'ESA Calculations 2425'!$A$4:$AE$37,8,FALSE),VLOOKUP($A17,EnrollData2324,'2324 Jun 24 Enroll'!H$1,FALSE),VLOOKUP($A17,'ESA Calculations 2425'!$A$4:$AE$37,8,FALSE))*Apport_215A2425,3)</f>
        <v>0.29899999999999999</v>
      </c>
      <c r="Y17">
        <f>ROUND(IF(VLOOKUP($A17,EnrollData2324,'2324 Jun 24 Enroll'!I$1,FALSE)+VLOOKUP($A17,EnrollData2324,'2324 Jun 24 Enroll'!M$1,FALSE)-VLOOKUP($A17,EnrollData2324,'2324 Jun 24 Enroll'!J$1,FALSE)=VLOOKUP($A17,'ESA Calculations 2425'!$A$4:$AE$37,9,FALSE)+VLOOKUP($A17,'ESA Calculations 2425'!$A$4:$AE$37,18,FALSE)-VLOOKUP($A17,'ESA Calculations 2425'!$A$4:$AE$37,10,FALSE),VLOOKUP($A17,EnrollData2324,'2324 Jun 24 Enroll'!I$1,FALSE)+VLOOKUP($A17,EnrollData2324,'2324 Jun 24 Enroll'!M$1,FALSE)-VLOOKUP($A17,EnrollData2324,'2324 Jun 24 Enroll'!J$1,FALSE),VLOOKUP($A17,'ESA Calculations 2425'!$A$4:$AE$37,9,FALSE)+VLOOKUP($A17,'ESA Calculations 2425'!$A$4:$AE$37,18,FALSE)-VLOOKUP($A17,'ESA Calculations 2425'!$A$4:$AE$37,10,FALSE))*Apport_218A2425,3)</f>
        <v>0.45300000000000001</v>
      </c>
      <c r="Z17">
        <f>ROUND(SUM(T17:Y17)/IF(VLOOKUP($A17,EnrollData2324,'2324 Jun 24 Enroll'!M$1,FALSE)+VLOOKUP($A17,EnrollData2324,'2324 Jun 24 Enroll'!D$1,FALSE)=VLOOKUP($A17,'ESA Calculations 2425'!$A$4:$AE$37,18,FALSE)+VLOOKUP($A17,'ESA Calculations 2425'!$A$4:$AE$37,4,FALSE),VLOOKUP($A17,EnrollData2324,'2324 Jun 24 Enroll'!M$1,FALSE)+VLOOKUP($A17,EnrollData2324,'2324 Jun 24 Enroll'!D$1,FALSE),VLOOKUP($A17,'ESA Calculations 2425'!$A$4:$AE$37,18,FALSE)+VLOOKUP($A17,'ESA Calculations 2425'!$A$4:$AE$37,4,FALSE)),5)</f>
        <v>1.7979999999999999E-2</v>
      </c>
      <c r="AA17" s="6">
        <f>ROUND($J17*CIS_Base_Salary2425*VLOOKUP($A17,EnrollData2324,'2324 Jun 24 Enroll'!AH$1,FALSE),2)</f>
        <v>4429.3599999999997</v>
      </c>
      <c r="AB17" s="6">
        <f>ROUND($J17*CIS_Inc_Salary2425*(VLOOKUP($A17,EnrollData2324,'2324 Jun 24 Enroll'!AI$1,FALSE)+VLOOKUP($A17,EnrollData2324,'2324 Jun 24 Enroll'!AJ$1,FALSE)),2)-AA17</f>
        <v>163.85000000000036</v>
      </c>
      <c r="AC17" s="6" cm="1">
        <f t="array" ref="AC17">ROUND($R17*CAS_Base_Salary2425*VLOOKUP($A17,EnrollData2324,'2324 Jun 24 Enroll'!AH$1,FALSE),2)</f>
        <v>466.83</v>
      </c>
      <c r="AD17" s="6">
        <f>ROUND($R17*CAS_Inc_Salary2425*VLOOKUP($A17,EnrollData2324,'2324 Jun 24 Enroll'!AI$1,FALSE),2)-AC17</f>
        <v>17.270000000000039</v>
      </c>
      <c r="AE17" s="6">
        <f>ROUND($Z17*CLS_Base_Salary2425*VLOOKUP($A17,EnrollData2324,'2324 Jun 24 Enroll'!AH$1,FALSE),2)</f>
        <v>972.77</v>
      </c>
      <c r="AF17" s="6">
        <f>ROUND($Z17*CLS_Inc_Salary2425*VLOOKUP($A17,EnrollData2324,'2324 Jun 24 Enroll'!AI$1,FALSE),2)-AE17</f>
        <v>36</v>
      </c>
      <c r="AG17" cm="1">
        <f t="array" ref="AG17">ROUND(($J17+$R17)*Apport_124X2425,2)</f>
        <v>830.28</v>
      </c>
      <c r="AH17" s="69" cm="1">
        <f t="array" ref="AH17">ROUND(($J17+$R17)*Apport_621X2425*Apport_125XC2425,2)-AG17</f>
        <v>76.660000000000082</v>
      </c>
      <c r="AI17" cm="1">
        <f t="array" ref="AI17">ROUND($Z17*Apport_124X2425,2)</f>
        <v>237.34</v>
      </c>
      <c r="AJ17">
        <f t="shared" si="3"/>
        <v>126.11999999999998</v>
      </c>
      <c r="AK17">
        <f t="shared" si="4"/>
        <v>888.66</v>
      </c>
      <c r="AL17">
        <f t="shared" si="5"/>
        <v>31.71</v>
      </c>
      <c r="AM17">
        <f t="shared" si="6"/>
        <v>210.7</v>
      </c>
      <c r="AN17">
        <f t="shared" si="7"/>
        <v>6.54</v>
      </c>
      <c r="AO17">
        <f>ROUND(($J17*CIS_Inc_Salary2425*(VLOOKUP($A17,EnrollData2324,'2324 Jun 24 Enroll'!AI$1,FALSE)+VLOOKUP($A17,EnrollData2324,'2324 Jun 24 Enroll'!AJ$1,FALSE))/Apport_613Xpd)*Apport_614Xpd,2)</f>
        <v>76.55</v>
      </c>
      <c r="AP17">
        <f t="shared" si="8"/>
        <v>13.4</v>
      </c>
      <c r="AQ17">
        <f t="shared" si="11"/>
        <v>32.71</v>
      </c>
      <c r="AR17" s="6">
        <f>ROUND((IF(VLOOKUP($A17,EnrollData2324,'2324 Jun 24 Enroll'!D$1,FALSE)=VLOOKUP($A17,'ESA Calculations 2425'!$A$4:$AE$37,4,FALSE),VLOOKUP($A17,EnrollData2324,'2324 Jun 24 Enroll'!D$1,FALSE),VLOOKUP($A17,'ESA Calculations 2425'!$A$4:$AE$37,4,FALSE))*Apport_M802425+IF(VLOOKUP($A17,EnrollData2324,'2324 Jun 24 Enroll'!M$1,FALSE)=VLOOKUP($A17,'ESA Calculations 2425'!$A$4:$AE$37,18,FALSE),VLOOKUP($A17,EnrollData2324,'2324 Jun 24 Enroll'!M$1,FALSE),VLOOKUP($A17,'ESA Calculations 2425'!$A$4:$AE$37,18,FALSE))*Apport_M802425+IF((VLOOKUP($A17,EnrollData2324,'2324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Enroll'!L$1,FALSE))=VLOOKUP($A17,EnrollData2324,'2324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Enroll'!L$1,FALSE),(VLOOKUP($A17,EnrollData2324,'2324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Enroll'!L$1,FALSE)),(VLOOKUP($A17,EnrollData2324,'2324 Jun 24 Enroll'!P$1,FALSE)+VLOOKUP($A17,EnrollData2324,'2324 Jun 24 Enroll'!Q$1,FALSE)+VLOOKUP($A17,EnrollData2324,'2324 Jun 24 Enroll'!R$1,FALSE)+VLOOKUP($A17,EnrollData2324,'2324 Jun 24 Enroll'!I$1,FALSE)+VLOOKUP($A17,EnrollData2324,'2324 Jun 24 Enroll'!N$1,FALSE)+VLOOKUP($A17,EnrollData2324,'2324 Jun 24 Enroll'!O$1,FALSE)+VLOOKUP($A17,EnrollData2324,'2324 Jun 24 Enroll'!K$1,FALSE)+VLOOKUP($A17,EnrollData2324,'2324 Jun 24 Enroll'!L$1,FALSE)))*Apport_M812425)/(IF(VLOOKUP($A17,EnrollData2324,'2324 Jun 24 Enroll'!M$1,FALSE)=VLOOKUP($A17,'ESA Calculations 2425'!$A$4:$AE$37,18,FALSE),VLOOKUP($A17,EnrollData2324,'2324 Jun 24 Enroll'!M$1,FALSE),VLOOKUP($A17,'ESA Calculations 2425'!$A$4:$AE$37,18,FALSE))+IF(VLOOKUP($A17,EnrollData2324,'2324 Jun 24 Enroll'!D$1,FALSE)=VLOOKUP($A17,'ESA Calculations 2425'!$A$4:$AE$37,4,FALSE),VLOOKUP($A17,EnrollData2324,'2324 Jun 24 Enroll'!D$1,FALSE),VLOOKUP($A17,'ESA Calculations 2425'!$A$4:$AE$37,4,FALSE))),2)</f>
        <v>1585.7</v>
      </c>
      <c r="AS17" s="7">
        <f t="shared" si="12"/>
        <v>10202.449999999999</v>
      </c>
      <c r="AT17" s="6">
        <f>IF(VLOOKUP($A17,EnrollData2324,'2324 Jun 24 Enroll'!AA$1,FALSE)=VLOOKUP($A17,'ESA Calculations 2425'!$A$4:$AE$37,24,FALSE),VLOOKUP($A17,EnrollData2324,'2324 Jun 24 Enroll'!AA$1,FALSE),VLOOKUP($A17,'ESA Calculations 2425'!$A$4:$AE$37,24,FALSE))</f>
        <v>100.43</v>
      </c>
    </row>
    <row r="18" spans="1:46">
      <c r="A18" s="40" t="s">
        <v>341</v>
      </c>
      <c r="B18" s="40" t="s">
        <v>342</v>
      </c>
      <c r="C18" s="11">
        <f>ROUND((IFERROR((1/IF(VLOOKUP($A18,EnrollData2324,28,FALSE)=VLOOKUP($A18,'ESA Calculations 2425'!$A$4:$AE$37,3,FALSE),VLOOKUP($A18,EnrollData2324,28,FALSE),VLOOKUP($A18,'ESA Calculations 2425'!$A$4:$AE$37,3,FALSE)))*(1+Apport_Z315),0))+Apport_201A2425,6)</f>
        <v>7.4580999999999995E-2</v>
      </c>
      <c r="D18">
        <f>ROUND(IF(VLOOKUP($A18,EnrollData2324,'2324 Jun 24 Enroll'!D$1,FALSE)=VLOOKUP($A18,'ESA Calculations 2425'!$A$4:$AE$37,4,FALSE),VLOOKUP($A18,EnrollData2324,'2324 Jun 24 Enroll'!D$1,FALSE),VLOOKUP($A18,'ESA Calculations 2425'!$A$4:$AE$37,4,FALSE))*C18,3)</f>
        <v>0</v>
      </c>
      <c r="E18">
        <f>ROUND(IF(VLOOKUP($A18,EnrollData2324,'2324 Jun 24 Enroll'!E$1,FALSE)=VLOOKUP($A18,'ESA Calculations 2425'!$A$4:$AE$37,5,FALSE),VLOOKUP($A18,EnrollData2324,'2324 Jun 24 Enroll'!E$1,FALSE),VLOOKUP($A18,'ESA Calculations 2425'!$A$4:$AE$37,5,FALSE))*C18,3)</f>
        <v>2.4980000000000002</v>
      </c>
      <c r="F18">
        <f>ROUND(IF(VLOOKUP($A18,EnrollData2324,'2324 Jun 24 Enroll'!F$1,FALSE)=VLOOKUP($A18,'ESA Calculations 2425'!$A$4:$AE$37,6,FALSE),VLOOKUP($A18,EnrollData2324,'2324 Jun 24 Enroll'!F$1,FALSE),VLOOKUP($A18,'ESA Calculations 2425'!$A$4:$AE$37,6,FALSE))*Apport_222A2425,3)</f>
        <v>0.35599999999999998</v>
      </c>
      <c r="G18">
        <f>ROUND(IF(VLOOKUP($A18,EnrollData2324,'2324 Jun 24 Enroll'!G$1,FALSE)=VLOOKUP($A18,'ESA Calculations 2425'!$A$4:$AE$37,7,FALSE),VLOOKUP($A18,EnrollData2324,'2324 Jun 24 Enroll'!G$1,FALSE),VLOOKUP($A18,'ESA Calculations 2425'!$A$4:$AE$37,7,FALSE))*Apport_210A2425,3)</f>
        <v>1.0029999999999999</v>
      </c>
      <c r="H18">
        <f>ROUND(IF(VLOOKUP($A18,EnrollData2324,'2324 Jun 24 Enroll'!H$1,FALSE)=VLOOKUP($A18,'ESA Calculations 2425'!$A$4:$AE$37,8,FALSE),VLOOKUP($A18,EnrollData2324,'2324 Jun 24 Enroll'!H$1,FALSE),VLOOKUP($A18,'ESA Calculations 2425'!$A$4:$AE$37,8,FALSE))*Apport_213A2425,3)</f>
        <v>0.77300000000000002</v>
      </c>
      <c r="I18">
        <f>ROUND(IF(VLOOKUP($A18,EnrollData2324,'2324 Jun 24 Enroll'!I$1,FALSE)+VLOOKUP($A18,EnrollData2324,'2324 Jun 24 Enroll'!M$1,FALSE)-VLOOKUP($A18,EnrollData2324,'2324 Jun 24 Enroll'!J$1,FALSE)=VLOOKUP($A18,'ESA Calculations 2425'!$A$4:$AE$37,9,FALSE)+VLOOKUP($A18,'ESA Calculations 2425'!$A$4:$AE$37,18,FALSE)-VLOOKUP($A18,'ESA Calculations 2425'!$A$4:$AE$37,10,FALSE),VLOOKUP($A18,EnrollData2324,'2324 Jun 24 Enroll'!I$1,FALSE)+VLOOKUP($A18,EnrollData2324,'2324 Jun 24 Enroll'!M$1,FALSE)-VLOOKUP($A18,EnrollData2324,'2324 Jun 24 Enroll'!J$1,FALSE),VLOOKUP($A18,'ESA Calculations 2425'!$A$4:$AE$37,9,FALSE)+VLOOKUP($A18,'ESA Calculations 2425'!$A$4:$AE$37,18,FALSE)-VLOOKUP($A18,'ESA Calculations 2425'!$A$4:$AE$37,10,FALSE))*Apport_216A2425,3)</f>
        <v>1.1399999999999999</v>
      </c>
      <c r="J18">
        <f>ROUND(SUM(D18:I18)/IF(VLOOKUP($A18,EnrollData2324,'2324 Jun 24 Enroll'!M$1,FALSE)+VLOOKUP($A18,EnrollData2324,'2324 Jun 24 Enroll'!D$1,FALSE)=VLOOKUP($A18,'ESA Calculations 2425'!$A$4:$AE$37,18,FALSE)+VLOOKUP($A18,'ESA Calculations 2425'!$A$4:$AE$37,4,FALSE),VLOOKUP($A18,EnrollData2324,'2324 Jun 24 Enroll'!M$1,FALSE)+VLOOKUP($A18,EnrollData2324,'2324 Jun 24 Enroll'!D$1,FALSE),VLOOKUP($A18,'ESA Calculations 2425'!$A$4:$AE$37,18,FALSE)+VLOOKUP($A18,'ESA Calculations 2425'!$A$4:$AE$37,4,FALSE)),5)</f>
        <v>5.8279999999999998E-2</v>
      </c>
      <c r="K18" s="11">
        <f t="shared" si="1"/>
        <v>4.385E-3</v>
      </c>
      <c r="L18">
        <f>ROUND(IF(VLOOKUP($A18,EnrollData2324,'2324 Jun 24 Enroll'!D$1,FALSE)=VLOOKUP($A18,'ESA Calculations 2425'!$A$4:$AE$37,4,FALSE),VLOOKUP($A18,EnrollData2324,'2324 Jun 24 Enroll'!D$1,FALSE),VLOOKUP($A18,'ESA Calculations 2425'!$A$4:$AE$37,4,FALSE))*K18,3)</f>
        <v>0</v>
      </c>
      <c r="M18">
        <f>ROUND(IF(VLOOKUP($A18,EnrollData2324,'2324 Jun 24 Enroll'!E$1,FALSE)=VLOOKUP($A18,'ESA Calculations 2425'!$A$4:$AE$37,5,FALSE),VLOOKUP($A18,EnrollData2324,'2324 Jun 24 Enroll'!E$1,FALSE),VLOOKUP($A18,'ESA Calculations 2425'!$A$4:$AE$37,5,FALSE))*K18,3)</f>
        <v>0.14699999999999999</v>
      </c>
      <c r="N18">
        <f>ROUND(IF(VLOOKUP($A18,EnrollData2324,'2324 Jun 24 Enroll'!F$1,FALSE)=VLOOKUP($A18,'ESA Calculations 2425'!$A$4:$AE$37,6,FALSE),VLOOKUP($A18,EnrollData2324,'2324 Jun 24 Enroll'!F$1,FALSE),VLOOKUP($A18,'ESA Calculations 2425'!$A$4:$AE$37,6,FALSE))*Apport_223A2425,3)</f>
        <v>2.9000000000000001E-2</v>
      </c>
      <c r="O18">
        <f>ROUND(IF(VLOOKUP($A18,EnrollData2324,'2324 Jun 24 Enroll'!G$1,FALSE)=VLOOKUP($A18,'ESA Calculations 2425'!$A$4:$AE$37,7,FALSE),VLOOKUP($A18,EnrollData2324,'2324 Jun 24 Enroll'!G$1,FALSE),VLOOKUP($A18,'ESA Calculations 2425'!$A$4:$AE$37,7,FALSE))*Apport_211A2425,3)</f>
        <v>8.2000000000000003E-2</v>
      </c>
      <c r="P18">
        <f>ROUND(IF(VLOOKUP($A18,EnrollData2324,'2324 Jun 24 Enroll'!H$1,FALSE)=VLOOKUP($A18,'ESA Calculations 2425'!$A$4:$AE$37,8,FALSE),VLOOKUP($A18,EnrollData2324,'2324 Jun 24 Enroll'!H$1,FALSE),VLOOKUP($A18,'ESA Calculations 2425'!$A$4:$AE$37,8,FALSE))*Apport_214A2425,3)</f>
        <v>6.3E-2</v>
      </c>
      <c r="Q18">
        <f>ROUND(IF(VLOOKUP($A18,EnrollData2324,'2324 Jun 24 Enroll'!I$1,FALSE)+VLOOKUP($A18,EnrollData2324,'2324 Jun 24 Enroll'!M$1,FALSE)-VLOOKUP($A18,EnrollData2324,'2324 Jun 24 Enroll'!J$1,FALSE)=VLOOKUP($A18,'ESA Calculations 2425'!$A$4:$AE$37,9,FALSE)+VLOOKUP($A18,'ESA Calculations 2425'!$A$4:$AE$37,18,FALSE)-VLOOKUP($A18,'ESA Calculations 2425'!$A$4:$AE$37,10,FALSE),VLOOKUP($A18,EnrollData2324,'2324 Jun 24 Enroll'!I$1,FALSE)+VLOOKUP($A18,EnrollData2324,'2324 Jun 24 Enroll'!M$1,FALSE)-VLOOKUP($A18,EnrollData2324,'2324 Jun 24 Enroll'!J$1,FALSE),VLOOKUP($A18,'ESA Calculations 2425'!$A$4:$AE$37,9,FALSE)+VLOOKUP($A18,'ESA Calculations 2425'!$A$4:$AE$37,18,FALSE)-VLOOKUP($A18,'ESA Calculations 2425'!$A$4:$AE$37,10,FALSE))*Apport_217A2425,3)</f>
        <v>9.0999999999999998E-2</v>
      </c>
      <c r="R18">
        <f>ROUND(SUM(L18:Q18)/IF(VLOOKUP($A18,EnrollData2324,'2324 Jun 24 Enroll'!M$1,FALSE)+VLOOKUP($A18,EnrollData2324,'2324 Jun 24 Enroll'!D$1,FALSE)=VLOOKUP($A18,'ESA Calculations 2425'!$A$4:$AE$37,18,FALSE)+VLOOKUP($A18,'ESA Calculations 2425'!$A$4:$AE$37,4,FALSE),VLOOKUP($A18,EnrollData2324,'2324 Jun 24 Enroll'!M$1,FALSE)+VLOOKUP($A18,EnrollData2324,'2324 Jun 24 Enroll'!D$1,FALSE),VLOOKUP($A18,'ESA Calculations 2425'!$A$4:$AE$37,18,FALSE)+VLOOKUP($A18,'ESA Calculations 2425'!$A$4:$AE$37,4,FALSE)),5)</f>
        <v>4.1599999999999996E-3</v>
      </c>
      <c r="S18" s="11">
        <f t="shared" si="2"/>
        <v>1.8734299999999999E-2</v>
      </c>
      <c r="T18">
        <f>ROUND(IF(VLOOKUP($A18,EnrollData2324,'2324 Jun 24 Enroll'!D$1,FALSE)=VLOOKUP($A18,'ESA Calculations 2425'!$A$4:$AE$37,4,FALSE),VLOOKUP($A18,EnrollData2324,'2324 Jun 24 Enroll'!D$1,FALSE),VLOOKUP($A18,'ESA Calculations 2425'!$A$4:$AE$37,4,FALSE))*S18,3)</f>
        <v>0</v>
      </c>
      <c r="U18">
        <f>ROUND(IF(VLOOKUP($A18,EnrollData2324,'2324 Jun 24 Enroll'!E$1,FALSE)=VLOOKUP($A18,'ESA Calculations 2425'!$A$4:$AE$37,5,FALSE),VLOOKUP($A18,EnrollData2324,'2324 Jun 24 Enroll'!E$1,FALSE),VLOOKUP($A18,'ESA Calculations 2425'!$A$4:$AE$37,5,FALSE))*S18,3)</f>
        <v>0.628</v>
      </c>
      <c r="V18">
        <f>ROUND(IF(VLOOKUP($A18,EnrollData2324,'2324 Jun 24 Enroll'!F$1,FALSE)=VLOOKUP($A18,'ESA Calculations 2425'!$A$4:$AE$37,6,FALSE),VLOOKUP($A18,EnrollData2324,'2324 Jun 24 Enroll'!F$1,FALSE),VLOOKUP($A18,'ESA Calculations 2425'!$A$4:$AE$37,6,FALSE))*Apport_224A2425,3)</f>
        <v>0.128</v>
      </c>
      <c r="W18">
        <f>ROUND(IF(VLOOKUP($A18,EnrollData2324,'2324 Jun 24 Enroll'!G$1,FALSE)=VLOOKUP($A18,'ESA Calculations 2425'!$A$4:$AE$37,7,FALSE),VLOOKUP($A18,EnrollData2324,'2324 Jun 24 Enroll'!G$1,FALSE),VLOOKUP($A18,'ESA Calculations 2425'!$A$4:$AE$37,7,FALSE))*Apport_212A2425,3)</f>
        <v>0.36</v>
      </c>
      <c r="X18">
        <f>ROUND(IF(VLOOKUP($A18,EnrollData2324,'2324 Jun 24 Enroll'!H$1,FALSE)=VLOOKUP($A18,'ESA Calculations 2425'!$A$4:$AE$37,8,FALSE),VLOOKUP($A18,EnrollData2324,'2324 Jun 24 Enroll'!H$1,FALSE),VLOOKUP($A18,'ESA Calculations 2425'!$A$4:$AE$37,8,FALSE))*Apport_215A2425,3)</f>
        <v>0.27300000000000002</v>
      </c>
      <c r="Y18">
        <f>ROUND(IF(VLOOKUP($A18,EnrollData2324,'2324 Jun 24 Enroll'!I$1,FALSE)+VLOOKUP($A18,EnrollData2324,'2324 Jun 24 Enroll'!M$1,FALSE)-VLOOKUP($A18,EnrollData2324,'2324 Jun 24 Enroll'!J$1,FALSE)=VLOOKUP($A18,'ESA Calculations 2425'!$A$4:$AE$37,9,FALSE)+VLOOKUP($A18,'ESA Calculations 2425'!$A$4:$AE$37,18,FALSE)-VLOOKUP($A18,'ESA Calculations 2425'!$A$4:$AE$37,10,FALSE),VLOOKUP($A18,EnrollData2324,'2324 Jun 24 Enroll'!I$1,FALSE)+VLOOKUP($A18,EnrollData2324,'2324 Jun 24 Enroll'!M$1,FALSE)-VLOOKUP($A18,EnrollData2324,'2324 Jun 24 Enroll'!J$1,FALSE),VLOOKUP($A18,'ESA Calculations 2425'!$A$4:$AE$37,9,FALSE)+VLOOKUP($A18,'ESA Calculations 2425'!$A$4:$AE$37,18,FALSE)-VLOOKUP($A18,'ESA Calculations 2425'!$A$4:$AE$37,10,FALSE))*Apport_218A2425,3)</f>
        <v>0.39100000000000001</v>
      </c>
      <c r="Z18">
        <f>ROUND(SUM(T18:Y18)/IF(VLOOKUP($A18,EnrollData2324,'2324 Jun 24 Enroll'!M$1,FALSE)+VLOOKUP($A18,EnrollData2324,'2324 Jun 24 Enroll'!D$1,FALSE)=VLOOKUP($A18,'ESA Calculations 2425'!$A$4:$AE$37,18,FALSE)+VLOOKUP($A18,'ESA Calculations 2425'!$A$4:$AE$37,4,FALSE),VLOOKUP($A18,EnrollData2324,'2324 Jun 24 Enroll'!M$1,FALSE)+VLOOKUP($A18,EnrollData2324,'2324 Jun 24 Enroll'!D$1,FALSE),VLOOKUP($A18,'ESA Calculations 2425'!$A$4:$AE$37,18,FALSE)+VLOOKUP($A18,'ESA Calculations 2425'!$A$4:$AE$37,4,FALSE)),5)</f>
        <v>1.7979999999999999E-2</v>
      </c>
      <c r="AA18" s="6">
        <f>ROUND($J18*CIS_Base_Salary2425*VLOOKUP($A18,EnrollData2324,'2324 Jun 24 Enroll'!AH$1,FALSE),2)</f>
        <v>4395.42</v>
      </c>
      <c r="AB18" s="6">
        <f>ROUND($J18*CIS_Inc_Salary2425*(VLOOKUP($A18,EnrollData2324,'2324 Jun 24 Enroll'!AI$1,FALSE)+VLOOKUP($A18,EnrollData2324,'2324 Jun 24 Enroll'!AJ$1,FALSE)),2)-AA18</f>
        <v>162.60000000000036</v>
      </c>
      <c r="AC18" s="6" cm="1">
        <f t="array" ref="AC18">ROUND($R18*CAS_Base_Salary2425*VLOOKUP($A18,EnrollData2324,'2324 Jun 24 Enroll'!AH$1,FALSE),2)</f>
        <v>465.71</v>
      </c>
      <c r="AD18" s="6">
        <f>ROUND($R18*CAS_Inc_Salary2425*VLOOKUP($A18,EnrollData2324,'2324 Jun 24 Enroll'!AI$1,FALSE),2)-AC18</f>
        <v>17.230000000000018</v>
      </c>
      <c r="AE18" s="6">
        <f>ROUND($Z18*CLS_Base_Salary2425*VLOOKUP($A18,EnrollData2324,'2324 Jun 24 Enroll'!AH$1,FALSE),2)</f>
        <v>972.77</v>
      </c>
      <c r="AF18" s="6">
        <f>ROUND($Z18*CLS_Inc_Salary2425*VLOOKUP($A18,EnrollData2324,'2324 Jun 24 Enroll'!AI$1,FALSE),2)-AE18</f>
        <v>36</v>
      </c>
      <c r="AG18" cm="1">
        <f t="array" ref="AG18">ROUND(($J18+$R18)*Apport_124X2425,2)</f>
        <v>824.21</v>
      </c>
      <c r="AH18" s="69" cm="1">
        <f t="array" ref="AH18">ROUND(($J18+$R18)*Apport_621X2425*Apport_125XC2425,2)-AG18</f>
        <v>76.089999999999918</v>
      </c>
      <c r="AI18" cm="1">
        <f t="array" ref="AI18">ROUND($Z18*Apport_124X2425,2)</f>
        <v>237.34</v>
      </c>
      <c r="AJ18">
        <f t="shared" si="3"/>
        <v>126.11999999999998</v>
      </c>
      <c r="AK18">
        <f t="shared" si="4"/>
        <v>882.3</v>
      </c>
      <c r="AL18">
        <f t="shared" si="5"/>
        <v>31.49</v>
      </c>
      <c r="AM18">
        <f t="shared" si="6"/>
        <v>210.7</v>
      </c>
      <c r="AN18">
        <f t="shared" si="7"/>
        <v>6.54</v>
      </c>
      <c r="AO18">
        <f>ROUND(($J18*CIS_Inc_Salary2425*(VLOOKUP($A18,EnrollData2324,'2324 Jun 24 Enroll'!AI$1,FALSE)+VLOOKUP($A18,EnrollData2324,'2324 Jun 24 Enroll'!AJ$1,FALSE))/Apport_613Xpd)*Apport_614Xpd,2)</f>
        <v>75.97</v>
      </c>
      <c r="AP18">
        <f t="shared" si="8"/>
        <v>13.3</v>
      </c>
      <c r="AQ18">
        <f t="shared" si="11"/>
        <v>32.46</v>
      </c>
      <c r="AR18" s="6">
        <f>ROUND((IF(VLOOKUP($A18,EnrollData2324,'2324 Jun 24 Enroll'!D$1,FALSE)=VLOOKUP($A18,'ESA Calculations 2425'!$A$4:$AE$37,4,FALSE),VLOOKUP($A18,EnrollData2324,'2324 Jun 24 Enroll'!D$1,FALSE),VLOOKUP($A18,'ESA Calculations 2425'!$A$4:$AE$37,4,FALSE))*Apport_M802425+IF(VLOOKUP($A18,EnrollData2324,'2324 Jun 24 Enroll'!M$1,FALSE)=VLOOKUP($A18,'ESA Calculations 2425'!$A$4:$AE$37,18,FALSE),VLOOKUP($A18,EnrollData2324,'2324 Jun 24 Enroll'!M$1,FALSE),VLOOKUP($A18,'ESA Calculations 2425'!$A$4:$AE$37,18,FALSE))*Apport_M802425+IF((VLOOKUP($A18,EnrollData2324,'2324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Enroll'!L$1,FALSE))=VLOOKUP($A18,EnrollData2324,'2324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Enroll'!L$1,FALSE),(VLOOKUP($A18,EnrollData2324,'2324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Enroll'!L$1,FALSE)),(VLOOKUP($A18,EnrollData2324,'2324 Jun 24 Enroll'!P$1,FALSE)+VLOOKUP($A18,EnrollData2324,'2324 Jun 24 Enroll'!Q$1,FALSE)+VLOOKUP($A18,EnrollData2324,'2324 Jun 24 Enroll'!R$1,FALSE)+VLOOKUP($A18,EnrollData2324,'2324 Jun 24 Enroll'!I$1,FALSE)+VLOOKUP($A18,EnrollData2324,'2324 Jun 24 Enroll'!N$1,FALSE)+VLOOKUP($A18,EnrollData2324,'2324 Jun 24 Enroll'!O$1,FALSE)+VLOOKUP($A18,EnrollData2324,'2324 Jun 24 Enroll'!K$1,FALSE)+VLOOKUP($A18,EnrollData2324,'2324 Jun 24 Enroll'!L$1,FALSE)))*Apport_M812425)/(IF(VLOOKUP($A18,EnrollData2324,'2324 Jun 24 Enroll'!M$1,FALSE)=VLOOKUP($A18,'ESA Calculations 2425'!$A$4:$AE$37,18,FALSE),VLOOKUP($A18,EnrollData2324,'2324 Jun 24 Enroll'!M$1,FALSE),VLOOKUP($A18,'ESA Calculations 2425'!$A$4:$AE$37,18,FALSE))+IF(VLOOKUP($A18,EnrollData2324,'2324 Jun 24 Enroll'!D$1,FALSE)=VLOOKUP($A18,'ESA Calculations 2425'!$A$4:$AE$37,4,FALSE),VLOOKUP($A18,EnrollData2324,'2324 Jun 24 Enroll'!D$1,FALSE),VLOOKUP($A18,'ESA Calculations 2425'!$A$4:$AE$37,4,FALSE))),2)</f>
        <v>1579.18</v>
      </c>
      <c r="AS18" s="7">
        <f t="shared" si="12"/>
        <v>10145.43</v>
      </c>
      <c r="AT18" s="6">
        <f>IF(VLOOKUP($A18,EnrollData2324,'2324 Jun 24 Enroll'!AA$1,FALSE)=VLOOKUP($A18,'ESA Calculations 2425'!$A$4:$AE$37,24,FALSE),VLOOKUP($A18,EnrollData2324,'2324 Jun 24 Enroll'!AA$1,FALSE),VLOOKUP($A18,'ESA Calculations 2425'!$A$4:$AE$37,24,FALSE))</f>
        <v>99</v>
      </c>
    </row>
    <row r="19" spans="1:46">
      <c r="A19" s="40" t="s">
        <v>368</v>
      </c>
      <c r="B19" s="40" t="s">
        <v>369</v>
      </c>
      <c r="C19" s="11">
        <f>ROUND((IFERROR((1/IF(VLOOKUP($A19,EnrollData2324,28,FALSE)=VLOOKUP($A19,'ESA Calculations 2425'!$A$4:$AE$37,3,FALSE),VLOOKUP($A19,EnrollData2324,28,FALSE),VLOOKUP($A19,'ESA Calculations 2425'!$A$4:$AE$37,3,FALSE)))*(1+Apport_Z315),0))+Apport_201A2425,6)</f>
        <v>7.3172000000000001E-2</v>
      </c>
      <c r="D19">
        <f>ROUND(IF(VLOOKUP($A19,EnrollData2324,'2324 Jun 24 Enroll'!D$1,FALSE)=VLOOKUP($A19,'ESA Calculations 2425'!$A$4:$AE$37,4,FALSE),VLOOKUP($A19,EnrollData2324,'2324 Jun 24 Enroll'!D$1,FALSE),VLOOKUP($A19,'ESA Calculations 2425'!$A$4:$AE$37,4,FALSE))*C19,3)</f>
        <v>0</v>
      </c>
      <c r="E19">
        <f>ROUND(IF(VLOOKUP($A19,EnrollData2324,'2324 Jun 24 Enroll'!E$1,FALSE)=VLOOKUP($A19,'ESA Calculations 2425'!$A$4:$AE$37,5,FALSE),VLOOKUP($A19,EnrollData2324,'2324 Jun 24 Enroll'!E$1,FALSE),VLOOKUP($A19,'ESA Calculations 2425'!$A$4:$AE$37,5,FALSE))*C19,3)</f>
        <v>3.3660000000000001</v>
      </c>
      <c r="F19">
        <f>ROUND(IF(VLOOKUP($A19,EnrollData2324,'2324 Jun 24 Enroll'!F$1,FALSE)=VLOOKUP($A19,'ESA Calculations 2425'!$A$4:$AE$37,6,FALSE),VLOOKUP($A19,EnrollData2324,'2324 Jun 24 Enroll'!F$1,FALSE),VLOOKUP($A19,'ESA Calculations 2425'!$A$4:$AE$37,6,FALSE))*Apport_222A2425,3)</f>
        <v>0.34599999999999997</v>
      </c>
      <c r="G19">
        <f>ROUND(IF(VLOOKUP($A19,EnrollData2324,'2324 Jun 24 Enroll'!G$1,FALSE)=VLOOKUP($A19,'ESA Calculations 2425'!$A$4:$AE$37,7,FALSE),VLOOKUP($A19,EnrollData2324,'2324 Jun 24 Enroll'!G$1,FALSE),VLOOKUP($A19,'ESA Calculations 2425'!$A$4:$AE$37,7,FALSE))*Apport_210A2425,3)</f>
        <v>0.89</v>
      </c>
      <c r="H19">
        <f>ROUND(IF(VLOOKUP($A19,EnrollData2324,'2324 Jun 24 Enroll'!H$1,FALSE)=VLOOKUP($A19,'ESA Calculations 2425'!$A$4:$AE$37,8,FALSE),VLOOKUP($A19,EnrollData2324,'2324 Jun 24 Enroll'!H$1,FALSE),VLOOKUP($A19,'ESA Calculations 2425'!$A$4:$AE$37,8,FALSE))*Apport_213A2425,3)</f>
        <v>0.95599999999999996</v>
      </c>
      <c r="I19">
        <f>ROUND(IF(VLOOKUP($A19,EnrollData2324,'2324 Jun 24 Enroll'!I$1,FALSE)+VLOOKUP($A19,EnrollData2324,'2324 Jun 24 Enroll'!M$1,FALSE)-VLOOKUP($A19,EnrollData2324,'2324 Jun 24 Enroll'!J$1,FALSE)=VLOOKUP($A19,'ESA Calculations 2425'!$A$4:$AE$37,9,FALSE)+VLOOKUP($A19,'ESA Calculations 2425'!$A$4:$AE$37,18,FALSE)-VLOOKUP($A19,'ESA Calculations 2425'!$A$4:$AE$37,10,FALSE),VLOOKUP($A19,EnrollData2324,'2324 Jun 24 Enroll'!I$1,FALSE)+VLOOKUP($A19,EnrollData2324,'2324 Jun 24 Enroll'!M$1,FALSE)-VLOOKUP($A19,EnrollData2324,'2324 Jun 24 Enroll'!J$1,FALSE),VLOOKUP($A19,'ESA Calculations 2425'!$A$4:$AE$37,9,FALSE)+VLOOKUP($A19,'ESA Calculations 2425'!$A$4:$AE$37,18,FALSE)-VLOOKUP($A19,'ESA Calculations 2425'!$A$4:$AE$37,10,FALSE))*Apport_216A2425,3)</f>
        <v>0</v>
      </c>
      <c r="J19">
        <f>ROUND(SUM(D19:I19)/IF(VLOOKUP($A19,EnrollData2324,'2324 Jun 24 Enroll'!M$1,FALSE)+VLOOKUP($A19,EnrollData2324,'2324 Jun 24 Enroll'!D$1,FALSE)=VLOOKUP($A19,'ESA Calculations 2425'!$A$4:$AE$37,18,FALSE)+VLOOKUP($A19,'ESA Calculations 2425'!$A$4:$AE$37,4,FALSE),VLOOKUP($A19,EnrollData2324,'2324 Jun 24 Enroll'!M$1,FALSE)+VLOOKUP($A19,EnrollData2324,'2324 Jun 24 Enroll'!D$1,FALSE),VLOOKUP($A19,'ESA Calculations 2425'!$A$4:$AE$37,18,FALSE)+VLOOKUP($A19,'ESA Calculations 2425'!$A$4:$AE$37,4,FALSE)),5)</f>
        <v>6.1550000000000001E-2</v>
      </c>
      <c r="K19" s="11">
        <f t="shared" si="1"/>
        <v>4.3660000000000001E-3</v>
      </c>
      <c r="L19">
        <f>ROUND(IF(VLOOKUP($A19,EnrollData2324,'2324 Jun 24 Enroll'!D$1,FALSE)=VLOOKUP($A19,'ESA Calculations 2425'!$A$4:$AE$37,4,FALSE),VLOOKUP($A19,EnrollData2324,'2324 Jun 24 Enroll'!D$1,FALSE),VLOOKUP($A19,'ESA Calculations 2425'!$A$4:$AE$37,4,FALSE))*K19,3)</f>
        <v>0</v>
      </c>
      <c r="M19">
        <f>ROUND(IF(VLOOKUP($A19,EnrollData2324,'2324 Jun 24 Enroll'!E$1,FALSE)=VLOOKUP($A19,'ESA Calculations 2425'!$A$4:$AE$37,5,FALSE),VLOOKUP($A19,EnrollData2324,'2324 Jun 24 Enroll'!E$1,FALSE),VLOOKUP($A19,'ESA Calculations 2425'!$A$4:$AE$37,5,FALSE))*K19,3)</f>
        <v>0.20100000000000001</v>
      </c>
      <c r="N19">
        <f>ROUND(IF(VLOOKUP($A19,EnrollData2324,'2324 Jun 24 Enroll'!F$1,FALSE)=VLOOKUP($A19,'ESA Calculations 2425'!$A$4:$AE$37,6,FALSE),VLOOKUP($A19,EnrollData2324,'2324 Jun 24 Enroll'!F$1,FALSE),VLOOKUP($A19,'ESA Calculations 2425'!$A$4:$AE$37,6,FALSE))*Apport_223A2425,3)</f>
        <v>2.8000000000000001E-2</v>
      </c>
      <c r="O19">
        <f>ROUND(IF(VLOOKUP($A19,EnrollData2324,'2324 Jun 24 Enroll'!G$1,FALSE)=VLOOKUP($A19,'ESA Calculations 2425'!$A$4:$AE$37,7,FALSE),VLOOKUP($A19,EnrollData2324,'2324 Jun 24 Enroll'!G$1,FALSE),VLOOKUP($A19,'ESA Calculations 2425'!$A$4:$AE$37,7,FALSE))*Apport_211A2425,3)</f>
        <v>7.2999999999999995E-2</v>
      </c>
      <c r="P19">
        <f>ROUND(IF(VLOOKUP($A19,EnrollData2324,'2324 Jun 24 Enroll'!H$1,FALSE)=VLOOKUP($A19,'ESA Calculations 2425'!$A$4:$AE$37,8,FALSE),VLOOKUP($A19,EnrollData2324,'2324 Jun 24 Enroll'!H$1,FALSE),VLOOKUP($A19,'ESA Calculations 2425'!$A$4:$AE$37,8,FALSE))*Apport_214A2425,3)</f>
        <v>7.8E-2</v>
      </c>
      <c r="Q19">
        <f>ROUND(IF(VLOOKUP($A19,EnrollData2324,'2324 Jun 24 Enroll'!I$1,FALSE)+VLOOKUP($A19,EnrollData2324,'2324 Jun 24 Enroll'!M$1,FALSE)-VLOOKUP($A19,EnrollData2324,'2324 Jun 24 Enroll'!J$1,FALSE)=VLOOKUP($A19,'ESA Calculations 2425'!$A$4:$AE$37,9,FALSE)+VLOOKUP($A19,'ESA Calculations 2425'!$A$4:$AE$37,18,FALSE)-VLOOKUP($A19,'ESA Calculations 2425'!$A$4:$AE$37,10,FALSE),VLOOKUP($A19,EnrollData2324,'2324 Jun 24 Enroll'!I$1,FALSE)+VLOOKUP($A19,EnrollData2324,'2324 Jun 24 Enroll'!M$1,FALSE)-VLOOKUP($A19,EnrollData2324,'2324 Jun 24 Enroll'!J$1,FALSE),VLOOKUP($A19,'ESA Calculations 2425'!$A$4:$AE$37,9,FALSE)+VLOOKUP($A19,'ESA Calculations 2425'!$A$4:$AE$37,18,FALSE)-VLOOKUP($A19,'ESA Calculations 2425'!$A$4:$AE$37,10,FALSE))*Apport_217A2425,3)</f>
        <v>0</v>
      </c>
      <c r="R19">
        <f>ROUND(SUM(L19:Q19)/IF(VLOOKUP($A19,EnrollData2324,'2324 Jun 24 Enroll'!M$1,FALSE)+VLOOKUP($A19,EnrollData2324,'2324 Jun 24 Enroll'!D$1,FALSE)=VLOOKUP($A19,'ESA Calculations 2425'!$A$4:$AE$37,18,FALSE)+VLOOKUP($A19,'ESA Calculations 2425'!$A$4:$AE$37,4,FALSE),VLOOKUP($A19,EnrollData2324,'2324 Jun 24 Enroll'!M$1,FALSE)+VLOOKUP($A19,EnrollData2324,'2324 Jun 24 Enroll'!D$1,FALSE),VLOOKUP($A19,'ESA Calculations 2425'!$A$4:$AE$37,18,FALSE)+VLOOKUP($A19,'ESA Calculations 2425'!$A$4:$AE$37,4,FALSE)),5)</f>
        <v>4.2100000000000002E-3</v>
      </c>
      <c r="S19" s="11">
        <f t="shared" si="2"/>
        <v>1.86786E-2</v>
      </c>
      <c r="T19">
        <f>ROUND(IF(VLOOKUP($A19,EnrollData2324,'2324 Jun 24 Enroll'!D$1,FALSE)=VLOOKUP($A19,'ESA Calculations 2425'!$A$4:$AE$37,4,FALSE),VLOOKUP($A19,EnrollData2324,'2324 Jun 24 Enroll'!D$1,FALSE),VLOOKUP($A19,'ESA Calculations 2425'!$A$4:$AE$37,4,FALSE))*S19,3)</f>
        <v>0</v>
      </c>
      <c r="U19">
        <f>ROUND(IF(VLOOKUP($A19,EnrollData2324,'2324 Jun 24 Enroll'!E$1,FALSE)=VLOOKUP($A19,'ESA Calculations 2425'!$A$4:$AE$37,5,FALSE),VLOOKUP($A19,EnrollData2324,'2324 Jun 24 Enroll'!E$1,FALSE),VLOOKUP($A19,'ESA Calculations 2425'!$A$4:$AE$37,5,FALSE))*S19,3)</f>
        <v>0.85899999999999999</v>
      </c>
      <c r="V19">
        <f>ROUND(IF(VLOOKUP($A19,EnrollData2324,'2324 Jun 24 Enroll'!F$1,FALSE)=VLOOKUP($A19,'ESA Calculations 2425'!$A$4:$AE$37,6,FALSE),VLOOKUP($A19,EnrollData2324,'2324 Jun 24 Enroll'!F$1,FALSE),VLOOKUP($A19,'ESA Calculations 2425'!$A$4:$AE$37,6,FALSE))*Apport_224A2425,3)</f>
        <v>0.124</v>
      </c>
      <c r="W19">
        <f>ROUND(IF(VLOOKUP($A19,EnrollData2324,'2324 Jun 24 Enroll'!G$1,FALSE)=VLOOKUP($A19,'ESA Calculations 2425'!$A$4:$AE$37,7,FALSE),VLOOKUP($A19,EnrollData2324,'2324 Jun 24 Enroll'!G$1,FALSE),VLOOKUP($A19,'ESA Calculations 2425'!$A$4:$AE$37,7,FALSE))*Apport_212A2425,3)</f>
        <v>0.31900000000000001</v>
      </c>
      <c r="X19">
        <f>ROUND(IF(VLOOKUP($A19,EnrollData2324,'2324 Jun 24 Enroll'!H$1,FALSE)=VLOOKUP($A19,'ESA Calculations 2425'!$A$4:$AE$37,8,FALSE),VLOOKUP($A19,EnrollData2324,'2324 Jun 24 Enroll'!H$1,FALSE),VLOOKUP($A19,'ESA Calculations 2425'!$A$4:$AE$37,8,FALSE))*Apport_215A2425,3)</f>
        <v>0.33800000000000002</v>
      </c>
      <c r="Y19">
        <f>ROUND(IF(VLOOKUP($A19,EnrollData2324,'2324 Jun 24 Enroll'!I$1,FALSE)+VLOOKUP($A19,EnrollData2324,'2324 Jun 24 Enroll'!M$1,FALSE)-VLOOKUP($A19,EnrollData2324,'2324 Jun 24 Enroll'!J$1,FALSE)=VLOOKUP($A19,'ESA Calculations 2425'!$A$4:$AE$37,9,FALSE)+VLOOKUP($A19,'ESA Calculations 2425'!$A$4:$AE$37,18,FALSE)-VLOOKUP($A19,'ESA Calculations 2425'!$A$4:$AE$37,10,FALSE),VLOOKUP($A19,EnrollData2324,'2324 Jun 24 Enroll'!I$1,FALSE)+VLOOKUP($A19,EnrollData2324,'2324 Jun 24 Enroll'!M$1,FALSE)-VLOOKUP($A19,EnrollData2324,'2324 Jun 24 Enroll'!J$1,FALSE),VLOOKUP($A19,'ESA Calculations 2425'!$A$4:$AE$37,9,FALSE)+VLOOKUP($A19,'ESA Calculations 2425'!$A$4:$AE$37,18,FALSE)-VLOOKUP($A19,'ESA Calculations 2425'!$A$4:$AE$37,10,FALSE))*Apport_218A2425,3)</f>
        <v>0</v>
      </c>
      <c r="Z19">
        <f>ROUND(SUM(T19:Y19)/IF(VLOOKUP($A19,EnrollData2324,'2324 Jun 24 Enroll'!M$1,FALSE)+VLOOKUP($A19,EnrollData2324,'2324 Jun 24 Enroll'!D$1,FALSE)=VLOOKUP($A19,'ESA Calculations 2425'!$A$4:$AE$37,18,FALSE)+VLOOKUP($A19,'ESA Calculations 2425'!$A$4:$AE$37,4,FALSE),VLOOKUP($A19,EnrollData2324,'2324 Jun 24 Enroll'!M$1,FALSE)+VLOOKUP($A19,EnrollData2324,'2324 Jun 24 Enroll'!D$1,FALSE),VLOOKUP($A19,'ESA Calculations 2425'!$A$4:$AE$37,18,FALSE)+VLOOKUP($A19,'ESA Calculations 2425'!$A$4:$AE$37,4,FALSE)),5)</f>
        <v>1.8159999999999999E-2</v>
      </c>
      <c r="AA19" s="6">
        <f>ROUND($J19*CIS_Base_Salary2425*VLOOKUP($A19,EnrollData2324,'2324 Jun 24 Enroll'!AH$1,FALSE),2)</f>
        <v>4642.04</v>
      </c>
      <c r="AB19" s="6">
        <f>ROUND($J19*CIS_Inc_Salary2425*(VLOOKUP($A19,EnrollData2324,'2324 Jun 24 Enroll'!AI$1,FALSE)+VLOOKUP($A19,EnrollData2324,'2324 Jun 24 Enroll'!AJ$1,FALSE)),2)-AA19</f>
        <v>219.85999999999967</v>
      </c>
      <c r="AC19" s="6" cm="1">
        <f t="array" ref="AC19">ROUND($R19*CAS_Base_Salary2425*VLOOKUP($A19,EnrollData2324,'2324 Jun 24 Enroll'!AH$1,FALSE),2)</f>
        <v>471.31</v>
      </c>
      <c r="AD19" s="6">
        <f>ROUND($R19*CAS_Inc_Salary2425*VLOOKUP($A19,EnrollData2324,'2324 Jun 24 Enroll'!AI$1,FALSE),2)-AC19</f>
        <v>17.439999999999998</v>
      </c>
      <c r="AE19" s="6">
        <f>ROUND($Z19*CLS_Base_Salary2425*VLOOKUP($A19,EnrollData2324,'2324 Jun 24 Enroll'!AH$1,FALSE),2)</f>
        <v>982.51</v>
      </c>
      <c r="AF19" s="6">
        <f>ROUND($Z19*CLS_Inc_Salary2425*VLOOKUP($A19,EnrollData2324,'2324 Jun 24 Enroll'!AI$1,FALSE),2)-AE19</f>
        <v>36.360000000000014</v>
      </c>
      <c r="AG19" cm="1">
        <f t="array" ref="AG19">ROUND(($J19+$R19)*Apport_124X2425,2)</f>
        <v>868.03</v>
      </c>
      <c r="AH19" s="69" cm="1">
        <f t="array" ref="AH19">ROUND(($J19+$R19)*Apport_621X2425*Apport_125XC2425,2)-AG19</f>
        <v>80.149999999999977</v>
      </c>
      <c r="AI19" cm="1">
        <f t="array" ref="AI19">ROUND($Z19*Apport_124X2425,2)</f>
        <v>239.71</v>
      </c>
      <c r="AJ19">
        <f t="shared" si="3"/>
        <v>127.37999999999997</v>
      </c>
      <c r="AK19">
        <f t="shared" si="4"/>
        <v>928.07</v>
      </c>
      <c r="AL19">
        <f t="shared" si="5"/>
        <v>41.55</v>
      </c>
      <c r="AM19">
        <f t="shared" si="6"/>
        <v>212.81</v>
      </c>
      <c r="AN19">
        <f t="shared" si="7"/>
        <v>6.6</v>
      </c>
      <c r="AO19">
        <f>ROUND(($J19*CIS_Inc_Salary2425*(VLOOKUP($A19,EnrollData2324,'2324 Jun 24 Enroll'!AI$1,FALSE)+VLOOKUP($A19,EnrollData2324,'2324 Jun 24 Enroll'!AJ$1,FALSE))/Apport_613Xpd)*Apport_614Xpd,2)</f>
        <v>81.03</v>
      </c>
      <c r="AP19">
        <f t="shared" si="8"/>
        <v>14.19</v>
      </c>
      <c r="AQ19">
        <f t="shared" si="11"/>
        <v>34.28</v>
      </c>
      <c r="AR19" s="6">
        <f>ROUND((IF(VLOOKUP($A19,EnrollData2324,'2324 Jun 24 Enroll'!D$1,FALSE)=VLOOKUP($A19,'ESA Calculations 2425'!$A$4:$AE$37,4,FALSE),VLOOKUP($A19,EnrollData2324,'2324 Jun 24 Enroll'!D$1,FALSE),VLOOKUP($A19,'ESA Calculations 2425'!$A$4:$AE$37,4,FALSE))*Apport_M802425+IF(VLOOKUP($A19,EnrollData2324,'2324 Jun 24 Enroll'!M$1,FALSE)=VLOOKUP($A19,'ESA Calculations 2425'!$A$4:$AE$37,18,FALSE),VLOOKUP($A19,EnrollData2324,'2324 Jun 24 Enroll'!M$1,FALSE),VLOOKUP($A19,'ESA Calculations 2425'!$A$4:$AE$37,18,FALSE))*Apport_M802425+IF((VLOOKUP($A19,EnrollData2324,'2324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Enroll'!L$1,FALSE))=VLOOKUP($A19,EnrollData2324,'2324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Enroll'!L$1,FALSE),(VLOOKUP($A19,EnrollData2324,'2324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Enroll'!L$1,FALSE)),(VLOOKUP($A19,EnrollData2324,'2324 Jun 24 Enroll'!P$1,FALSE)+VLOOKUP($A19,EnrollData2324,'2324 Jun 24 Enroll'!Q$1,FALSE)+VLOOKUP($A19,EnrollData2324,'2324 Jun 24 Enroll'!R$1,FALSE)+VLOOKUP($A19,EnrollData2324,'2324 Jun 24 Enroll'!I$1,FALSE)+VLOOKUP($A19,EnrollData2324,'2324 Jun 24 Enroll'!N$1,FALSE)+VLOOKUP($A19,EnrollData2324,'2324 Jun 24 Enroll'!O$1,FALSE)+VLOOKUP($A19,EnrollData2324,'2324 Jun 24 Enroll'!K$1,FALSE)+VLOOKUP($A19,EnrollData2324,'2324 Jun 24 Enroll'!L$1,FALSE)))*Apport_M812425)/(IF(VLOOKUP($A19,EnrollData2324,'2324 Jun 24 Enroll'!M$1,FALSE)=VLOOKUP($A19,'ESA Calculations 2425'!$A$4:$AE$37,18,FALSE),VLOOKUP($A19,EnrollData2324,'2324 Jun 24 Enroll'!M$1,FALSE),VLOOKUP($A19,'ESA Calculations 2425'!$A$4:$AE$37,18,FALSE))+IF(VLOOKUP($A19,EnrollData2324,'2324 Jun 24 Enroll'!D$1,FALSE)=VLOOKUP($A19,'ESA Calculations 2425'!$A$4:$AE$37,4,FALSE),VLOOKUP($A19,EnrollData2324,'2324 Jun 24 Enroll'!D$1,FALSE),VLOOKUP($A19,'ESA Calculations 2425'!$A$4:$AE$37,4,FALSE))),2)</f>
        <v>1533.02</v>
      </c>
      <c r="AS19" s="7">
        <f t="shared" si="12"/>
        <v>10536.34</v>
      </c>
      <c r="AT19" s="6">
        <f>IF(VLOOKUP($A19,EnrollData2324,'2324 Jun 24 Enroll'!AA$1,FALSE)=VLOOKUP($A19,'ESA Calculations 2425'!$A$4:$AE$37,24,FALSE),VLOOKUP($A19,EnrollData2324,'2324 Jun 24 Enroll'!AA$1,FALSE),VLOOKUP($A19,'ESA Calculations 2425'!$A$4:$AE$37,24,FALSE))</f>
        <v>90.3</v>
      </c>
    </row>
    <row r="20" spans="1:46">
      <c r="A20" s="40" t="s">
        <v>831</v>
      </c>
      <c r="B20" s="40" t="s">
        <v>832</v>
      </c>
      <c r="C20" s="11">
        <f>ROUND((IFERROR((1/IF(VLOOKUP($A20,EnrollData2324,28,FALSE)=VLOOKUP($A20,'ESA Calculations 2425'!$A$4:$AE$37,3,FALSE),VLOOKUP($A20,EnrollData2324,28,FALSE),VLOOKUP($A20,'ESA Calculations 2425'!$A$4:$AE$37,3,FALSE)))*(1+Apport_Z315),0))+Apport_201A2425,6)</f>
        <v>7.4580999999999995E-2</v>
      </c>
      <c r="D20">
        <f>ROUND(IF(VLOOKUP($A20,EnrollData2324,'2324 Jun 24 Enroll'!D$1,FALSE)=VLOOKUP($A20,'ESA Calculations 2425'!$A$4:$AE$37,4,FALSE),VLOOKUP($A20,EnrollData2324,'2324 Jun 24 Enroll'!D$1,FALSE),VLOOKUP($A20,'ESA Calculations 2425'!$A$4:$AE$37,4,FALSE))*C20,3)</f>
        <v>0</v>
      </c>
      <c r="E20">
        <f>ROUND(IF(VLOOKUP($A20,EnrollData2324,'2324 Jun 24 Enroll'!E$1,FALSE)=VLOOKUP($A20,'ESA Calculations 2425'!$A$4:$AE$37,5,FALSE),VLOOKUP($A20,EnrollData2324,'2324 Jun 24 Enroll'!E$1,FALSE),VLOOKUP($A20,'ESA Calculations 2425'!$A$4:$AE$37,5,FALSE))*C20,3)</f>
        <v>4.3410000000000002</v>
      </c>
      <c r="F20">
        <f>ROUND(IF(VLOOKUP($A20,EnrollData2324,'2324 Jun 24 Enroll'!F$1,FALSE)=VLOOKUP($A20,'ESA Calculations 2425'!$A$4:$AE$37,6,FALSE),VLOOKUP($A20,EnrollData2324,'2324 Jun 24 Enroll'!F$1,FALSE),VLOOKUP($A20,'ESA Calculations 2425'!$A$4:$AE$37,6,FALSE))*Apport_222A2425,3)</f>
        <v>0.86499999999999999</v>
      </c>
      <c r="G20">
        <f>ROUND(IF(VLOOKUP($A20,EnrollData2324,'2324 Jun 24 Enroll'!G$1,FALSE)=VLOOKUP($A20,'ESA Calculations 2425'!$A$4:$AE$37,7,FALSE),VLOOKUP($A20,EnrollData2324,'2324 Jun 24 Enroll'!G$1,FALSE),VLOOKUP($A20,'ESA Calculations 2425'!$A$4:$AE$37,7,FALSE))*Apport_210A2425,3)</f>
        <v>1.0820000000000001</v>
      </c>
      <c r="H20">
        <f>ROUND(IF(VLOOKUP($A20,EnrollData2324,'2324 Jun 24 Enroll'!H$1,FALSE)=VLOOKUP($A20,'ESA Calculations 2425'!$A$4:$AE$37,8,FALSE),VLOOKUP($A20,EnrollData2324,'2324 Jun 24 Enroll'!H$1,FALSE),VLOOKUP($A20,'ESA Calculations 2425'!$A$4:$AE$37,8,FALSE))*Apport_213A2425,3)</f>
        <v>1.841</v>
      </c>
      <c r="I20">
        <f>ROUND(IF(VLOOKUP($A20,EnrollData2324,'2324 Jun 24 Enroll'!I$1,FALSE)+VLOOKUP($A20,EnrollData2324,'2324 Jun 24 Enroll'!M$1,FALSE)-VLOOKUP($A20,EnrollData2324,'2324 Jun 24 Enroll'!J$1,FALSE)=VLOOKUP($A20,'ESA Calculations 2425'!$A$4:$AE$37,9,FALSE)+VLOOKUP($A20,'ESA Calculations 2425'!$A$4:$AE$37,18,FALSE)-VLOOKUP($A20,'ESA Calculations 2425'!$A$4:$AE$37,10,FALSE),VLOOKUP($A20,EnrollData2324,'2324 Jun 24 Enroll'!I$1,FALSE)+VLOOKUP($A20,EnrollData2324,'2324 Jun 24 Enroll'!M$1,FALSE)-VLOOKUP($A20,EnrollData2324,'2324 Jun 24 Enroll'!J$1,FALSE),VLOOKUP($A20,'ESA Calculations 2425'!$A$4:$AE$37,9,FALSE)+VLOOKUP($A20,'ESA Calculations 2425'!$A$4:$AE$37,18,FALSE)-VLOOKUP($A20,'ESA Calculations 2425'!$A$4:$AE$37,10,FALSE))*Apport_216A2425,3)</f>
        <v>3.5790000000000002</v>
      </c>
      <c r="J20">
        <f>ROUND(SUM(D20:I20)/IF(VLOOKUP($A20,EnrollData2324,'2324 Jun 24 Enroll'!M$1,FALSE)+VLOOKUP($A20,EnrollData2324,'2324 Jun 24 Enroll'!D$1,FALSE)=VLOOKUP($A20,'ESA Calculations 2425'!$A$4:$AE$37,18,FALSE)+VLOOKUP($A20,'ESA Calculations 2425'!$A$4:$AE$37,4,FALSE),VLOOKUP($A20,EnrollData2324,'2324 Jun 24 Enroll'!M$1,FALSE)+VLOOKUP($A20,EnrollData2324,'2324 Jun 24 Enroll'!D$1,FALSE),VLOOKUP($A20,'ESA Calculations 2425'!$A$4:$AE$37,18,FALSE)+VLOOKUP($A20,'ESA Calculations 2425'!$A$4:$AE$37,4,FALSE)),5)</f>
        <v>5.7079999999999999E-2</v>
      </c>
      <c r="K20" s="11">
        <f t="shared" si="1"/>
        <v>4.385E-3</v>
      </c>
      <c r="L20">
        <f>ROUND(IF(VLOOKUP($A20,EnrollData2324,'2324 Jun 24 Enroll'!D$1,FALSE)=VLOOKUP($A20,'ESA Calculations 2425'!$A$4:$AE$37,4,FALSE),VLOOKUP($A20,EnrollData2324,'2324 Jun 24 Enroll'!D$1,FALSE),VLOOKUP($A20,'ESA Calculations 2425'!$A$4:$AE$37,4,FALSE))*K20,3)</f>
        <v>0</v>
      </c>
      <c r="M20">
        <f>ROUND(IF(VLOOKUP($A20,EnrollData2324,'2324 Jun 24 Enroll'!E$1,FALSE)=VLOOKUP($A20,'ESA Calculations 2425'!$A$4:$AE$37,5,FALSE),VLOOKUP($A20,EnrollData2324,'2324 Jun 24 Enroll'!E$1,FALSE),VLOOKUP($A20,'ESA Calculations 2425'!$A$4:$AE$37,5,FALSE))*K20,3)</f>
        <v>0.255</v>
      </c>
      <c r="N20">
        <f>ROUND(IF(VLOOKUP($A20,EnrollData2324,'2324 Jun 24 Enroll'!F$1,FALSE)=VLOOKUP($A20,'ESA Calculations 2425'!$A$4:$AE$37,6,FALSE),VLOOKUP($A20,EnrollData2324,'2324 Jun 24 Enroll'!F$1,FALSE),VLOOKUP($A20,'ESA Calculations 2425'!$A$4:$AE$37,6,FALSE))*Apport_223A2425,3)</f>
        <v>7.0999999999999994E-2</v>
      </c>
      <c r="O20">
        <f>ROUND(IF(VLOOKUP($A20,EnrollData2324,'2324 Jun 24 Enroll'!G$1,FALSE)=VLOOKUP($A20,'ESA Calculations 2425'!$A$4:$AE$37,7,FALSE),VLOOKUP($A20,EnrollData2324,'2324 Jun 24 Enroll'!G$1,FALSE),VLOOKUP($A20,'ESA Calculations 2425'!$A$4:$AE$37,7,FALSE))*Apport_211A2425,3)</f>
        <v>8.8999999999999996E-2</v>
      </c>
      <c r="P20">
        <f>ROUND(IF(VLOOKUP($A20,EnrollData2324,'2324 Jun 24 Enroll'!H$1,FALSE)=VLOOKUP($A20,'ESA Calculations 2425'!$A$4:$AE$37,8,FALSE),VLOOKUP($A20,EnrollData2324,'2324 Jun 24 Enroll'!H$1,FALSE),VLOOKUP($A20,'ESA Calculations 2425'!$A$4:$AE$37,8,FALSE))*Apport_214A2425,3)</f>
        <v>0.15</v>
      </c>
      <c r="Q20">
        <f>ROUND(IF(VLOOKUP($A20,EnrollData2324,'2324 Jun 24 Enroll'!I$1,FALSE)+VLOOKUP($A20,EnrollData2324,'2324 Jun 24 Enroll'!M$1,FALSE)-VLOOKUP($A20,EnrollData2324,'2324 Jun 24 Enroll'!J$1,FALSE)=VLOOKUP($A20,'ESA Calculations 2425'!$A$4:$AE$37,9,FALSE)+VLOOKUP($A20,'ESA Calculations 2425'!$A$4:$AE$37,18,FALSE)-VLOOKUP($A20,'ESA Calculations 2425'!$A$4:$AE$37,10,FALSE),VLOOKUP($A20,EnrollData2324,'2324 Jun 24 Enroll'!I$1,FALSE)+VLOOKUP($A20,EnrollData2324,'2324 Jun 24 Enroll'!M$1,FALSE)-VLOOKUP($A20,EnrollData2324,'2324 Jun 24 Enroll'!J$1,FALSE),VLOOKUP($A20,'ESA Calculations 2425'!$A$4:$AE$37,9,FALSE)+VLOOKUP($A20,'ESA Calculations 2425'!$A$4:$AE$37,18,FALSE)-VLOOKUP($A20,'ESA Calculations 2425'!$A$4:$AE$37,10,FALSE))*Apport_217A2425,3)</f>
        <v>0.28599999999999998</v>
      </c>
      <c r="R20">
        <f>ROUND(SUM(L20:Q20)/IF(VLOOKUP($A20,EnrollData2324,'2324 Jun 24 Enroll'!M$1,FALSE)+VLOOKUP($A20,EnrollData2324,'2324 Jun 24 Enroll'!D$1,FALSE)=VLOOKUP($A20,'ESA Calculations 2425'!$A$4:$AE$37,18,FALSE)+VLOOKUP($A20,'ESA Calculations 2425'!$A$4:$AE$37,4,FALSE),VLOOKUP($A20,EnrollData2324,'2324 Jun 24 Enroll'!M$1,FALSE)+VLOOKUP($A20,EnrollData2324,'2324 Jun 24 Enroll'!D$1,FALSE),VLOOKUP($A20,'ESA Calculations 2425'!$A$4:$AE$37,18,FALSE)+VLOOKUP($A20,'ESA Calculations 2425'!$A$4:$AE$37,4,FALSE)),5)</f>
        <v>4.15E-3</v>
      </c>
      <c r="S20" s="11">
        <f t="shared" si="2"/>
        <v>1.8734299999999999E-2</v>
      </c>
      <c r="T20">
        <f>ROUND(IF(VLOOKUP($A20,EnrollData2324,'2324 Jun 24 Enroll'!D$1,FALSE)=VLOOKUP($A20,'ESA Calculations 2425'!$A$4:$AE$37,4,FALSE),VLOOKUP($A20,EnrollData2324,'2324 Jun 24 Enroll'!D$1,FALSE),VLOOKUP($A20,'ESA Calculations 2425'!$A$4:$AE$37,4,FALSE))*S20,3)</f>
        <v>0</v>
      </c>
      <c r="U20">
        <f>ROUND(IF(VLOOKUP($A20,EnrollData2324,'2324 Jun 24 Enroll'!E$1,FALSE)=VLOOKUP($A20,'ESA Calculations 2425'!$A$4:$AE$37,5,FALSE),VLOOKUP($A20,EnrollData2324,'2324 Jun 24 Enroll'!E$1,FALSE),VLOOKUP($A20,'ESA Calculations 2425'!$A$4:$AE$37,5,FALSE))*S20,3)</f>
        <v>1.0900000000000001</v>
      </c>
      <c r="V20">
        <f>ROUND(IF(VLOOKUP($A20,EnrollData2324,'2324 Jun 24 Enroll'!F$1,FALSE)=VLOOKUP($A20,'ESA Calculations 2425'!$A$4:$AE$37,6,FALSE),VLOOKUP($A20,EnrollData2324,'2324 Jun 24 Enroll'!F$1,FALSE),VLOOKUP($A20,'ESA Calculations 2425'!$A$4:$AE$37,6,FALSE))*Apport_224A2425,3)</f>
        <v>0.31</v>
      </c>
      <c r="W20">
        <f>ROUND(IF(VLOOKUP($A20,EnrollData2324,'2324 Jun 24 Enroll'!G$1,FALSE)=VLOOKUP($A20,'ESA Calculations 2425'!$A$4:$AE$37,7,FALSE),VLOOKUP($A20,EnrollData2324,'2324 Jun 24 Enroll'!G$1,FALSE),VLOOKUP($A20,'ESA Calculations 2425'!$A$4:$AE$37,7,FALSE))*Apport_212A2425,3)</f>
        <v>0.38900000000000001</v>
      </c>
      <c r="X20">
        <f>ROUND(IF(VLOOKUP($A20,EnrollData2324,'2324 Jun 24 Enroll'!H$1,FALSE)=VLOOKUP($A20,'ESA Calculations 2425'!$A$4:$AE$37,8,FALSE),VLOOKUP($A20,EnrollData2324,'2324 Jun 24 Enroll'!H$1,FALSE),VLOOKUP($A20,'ESA Calculations 2425'!$A$4:$AE$37,8,FALSE))*Apport_215A2425,3)</f>
        <v>0.65</v>
      </c>
      <c r="Y20">
        <f>ROUND(IF(VLOOKUP($A20,EnrollData2324,'2324 Jun 24 Enroll'!I$1,FALSE)+VLOOKUP($A20,EnrollData2324,'2324 Jun 24 Enroll'!M$1,FALSE)-VLOOKUP($A20,EnrollData2324,'2324 Jun 24 Enroll'!J$1,FALSE)=VLOOKUP($A20,'ESA Calculations 2425'!$A$4:$AE$37,9,FALSE)+VLOOKUP($A20,'ESA Calculations 2425'!$A$4:$AE$37,18,FALSE)-VLOOKUP($A20,'ESA Calculations 2425'!$A$4:$AE$37,10,FALSE),VLOOKUP($A20,EnrollData2324,'2324 Jun 24 Enroll'!I$1,FALSE)+VLOOKUP($A20,EnrollData2324,'2324 Jun 24 Enroll'!M$1,FALSE)-VLOOKUP($A20,EnrollData2324,'2324 Jun 24 Enroll'!J$1,FALSE),VLOOKUP($A20,'ESA Calculations 2425'!$A$4:$AE$37,9,FALSE)+VLOOKUP($A20,'ESA Calculations 2425'!$A$4:$AE$37,18,FALSE)-VLOOKUP($A20,'ESA Calculations 2425'!$A$4:$AE$37,10,FALSE))*Apport_218A2425,3)</f>
        <v>1.228</v>
      </c>
      <c r="Z20">
        <f>ROUND(SUM(T20:Y20)/IF(VLOOKUP($A20,EnrollData2324,'2324 Jun 24 Enroll'!M$1,FALSE)+VLOOKUP($A20,EnrollData2324,'2324 Jun 24 Enroll'!D$1,FALSE)=VLOOKUP($A20,'ESA Calculations 2425'!$A$4:$AE$37,18,FALSE)+VLOOKUP($A20,'ESA Calculations 2425'!$A$4:$AE$37,4,FALSE),VLOOKUP($A20,EnrollData2324,'2324 Jun 24 Enroll'!M$1,FALSE)+VLOOKUP($A20,EnrollData2324,'2324 Jun 24 Enroll'!D$1,FALSE),VLOOKUP($A20,'ESA Calculations 2425'!$A$4:$AE$37,18,FALSE)+VLOOKUP($A20,'ESA Calculations 2425'!$A$4:$AE$37,4,FALSE)),5)</f>
        <v>1.788E-2</v>
      </c>
      <c r="AA20" s="6">
        <f>ROUND($J20*CIS_Base_Salary2425*VLOOKUP($A20,EnrollData2324,'2324 Jun 24 Enroll'!AH$1,FALSE),2)</f>
        <v>4304.92</v>
      </c>
      <c r="AB20" s="6">
        <f>ROUND($J20*CIS_Inc_Salary2425*(VLOOKUP($A20,EnrollData2324,'2324 Jun 24 Enroll'!AI$1,FALSE)+VLOOKUP($A20,EnrollData2324,'2324 Jun 24 Enroll'!AJ$1,FALSE)),2)-AA20</f>
        <v>159.25</v>
      </c>
      <c r="AC20" s="6" cm="1">
        <f t="array" ref="AC20">ROUND($R20*CAS_Base_Salary2425*VLOOKUP($A20,EnrollData2324,'2324 Jun 24 Enroll'!AH$1,FALSE),2)</f>
        <v>464.59</v>
      </c>
      <c r="AD20" s="6">
        <f>ROUND($R20*CAS_Inc_Salary2425*VLOOKUP($A20,EnrollData2324,'2324 Jun 24 Enroll'!AI$1,FALSE),2)-AC20</f>
        <v>17.189999999999998</v>
      </c>
      <c r="AE20" s="6">
        <f>ROUND($Z20*CLS_Base_Salary2425*VLOOKUP($A20,EnrollData2324,'2324 Jun 24 Enroll'!AH$1,FALSE),2)</f>
        <v>967.36</v>
      </c>
      <c r="AF20" s="6">
        <f>ROUND($Z20*CLS_Inc_Salary2425*VLOOKUP($A20,EnrollData2324,'2324 Jun 24 Enroll'!AI$1,FALSE),2)-AE20</f>
        <v>35.799999999999955</v>
      </c>
      <c r="AG20" cm="1">
        <f t="array" ref="AG20">ROUND(($J20+$R20)*Apport_124X2425,2)</f>
        <v>808.24</v>
      </c>
      <c r="AH20" s="69" cm="1">
        <f t="array" ref="AH20">ROUND(($J20+$R20)*Apport_621X2425*Apport_125XC2425,2)-AG20</f>
        <v>74.62</v>
      </c>
      <c r="AI20" cm="1">
        <f t="array" ref="AI20">ROUND($Z20*Apport_124X2425,2)</f>
        <v>236.02</v>
      </c>
      <c r="AJ20">
        <f t="shared" si="3"/>
        <v>125.41</v>
      </c>
      <c r="AK20">
        <f t="shared" si="4"/>
        <v>865.67</v>
      </c>
      <c r="AL20">
        <f t="shared" si="5"/>
        <v>30.89</v>
      </c>
      <c r="AM20">
        <f t="shared" si="6"/>
        <v>209.53</v>
      </c>
      <c r="AN20">
        <f t="shared" si="7"/>
        <v>6.5</v>
      </c>
      <c r="AO20">
        <f>ROUND(($J20*CIS_Inc_Salary2425*(VLOOKUP($A20,EnrollData2324,'2324 Jun 24 Enroll'!AI$1,FALSE)+VLOOKUP($A20,EnrollData2324,'2324 Jun 24 Enroll'!AJ$1,FALSE))/Apport_613Xpd)*Apport_614Xpd,2)</f>
        <v>74.400000000000006</v>
      </c>
      <c r="AP20">
        <f t="shared" si="8"/>
        <v>13.03</v>
      </c>
      <c r="AQ20">
        <f t="shared" si="11"/>
        <v>31.79</v>
      </c>
      <c r="AR20" s="6">
        <f>ROUND((IF(VLOOKUP($A20,EnrollData2324,'2324 Jun 24 Enroll'!D$1,FALSE)=VLOOKUP($A20,'ESA Calculations 2425'!$A$4:$AE$37,4,FALSE),VLOOKUP($A20,EnrollData2324,'2324 Jun 24 Enroll'!D$1,FALSE),VLOOKUP($A20,'ESA Calculations 2425'!$A$4:$AE$37,4,FALSE))*Apport_M802425+IF(VLOOKUP($A20,EnrollData2324,'2324 Jun 24 Enroll'!M$1,FALSE)=VLOOKUP($A20,'ESA Calculations 2425'!$A$4:$AE$37,18,FALSE),VLOOKUP($A20,EnrollData2324,'2324 Jun 24 Enroll'!M$1,FALSE),VLOOKUP($A20,'ESA Calculations 2425'!$A$4:$AE$37,18,FALSE))*Apport_M802425+IF((VLOOKUP($A20,EnrollData2324,'2324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Enroll'!L$1,FALSE))=VLOOKUP($A20,EnrollData2324,'2324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Enroll'!L$1,FALSE),(VLOOKUP($A20,EnrollData2324,'2324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Enroll'!L$1,FALSE)),(VLOOKUP($A20,EnrollData2324,'2324 Jun 24 Enroll'!P$1,FALSE)+VLOOKUP($A20,EnrollData2324,'2324 Jun 24 Enroll'!Q$1,FALSE)+VLOOKUP($A20,EnrollData2324,'2324 Jun 24 Enroll'!R$1,FALSE)+VLOOKUP($A20,EnrollData2324,'2324 Jun 24 Enroll'!I$1,FALSE)+VLOOKUP($A20,EnrollData2324,'2324 Jun 24 Enroll'!N$1,FALSE)+VLOOKUP($A20,EnrollData2324,'2324 Jun 24 Enroll'!O$1,FALSE)+VLOOKUP($A20,EnrollData2324,'2324 Jun 24 Enroll'!K$1,FALSE)+VLOOKUP($A20,EnrollData2324,'2324 Jun 24 Enroll'!L$1,FALSE)))*Apport_M812425)/(IF(VLOOKUP($A20,EnrollData2324,'2324 Jun 24 Enroll'!M$1,FALSE)=VLOOKUP($A20,'ESA Calculations 2425'!$A$4:$AE$37,18,FALSE),VLOOKUP($A20,EnrollData2324,'2324 Jun 24 Enroll'!M$1,FALSE),VLOOKUP($A20,'ESA Calculations 2425'!$A$4:$AE$37,18,FALSE))+IF(VLOOKUP($A20,EnrollData2324,'2324 Jun 24 Enroll'!D$1,FALSE)=VLOOKUP($A20,'ESA Calculations 2425'!$A$4:$AE$37,4,FALSE),VLOOKUP($A20,EnrollData2324,'2324 Jun 24 Enroll'!D$1,FALSE),VLOOKUP($A20,'ESA Calculations 2425'!$A$4:$AE$37,4,FALSE))),2)</f>
        <v>1602.99</v>
      </c>
      <c r="AS20" s="7">
        <f t="shared" si="12"/>
        <v>10028.200000000001</v>
      </c>
      <c r="AT20" s="6">
        <f>IF(VLOOKUP($A20,EnrollData2324,'2324 Jun 24 Enroll'!AA$1,FALSE)=VLOOKUP($A20,'ESA Calculations 2425'!$A$4:$AE$37,24,FALSE),VLOOKUP($A20,EnrollData2324,'2324 Jun 24 Enroll'!AA$1,FALSE),VLOOKUP($A20,'ESA Calculations 2425'!$A$4:$AE$37,24,FALSE))</f>
        <v>206.71</v>
      </c>
    </row>
    <row r="21" spans="1:46">
      <c r="A21" s="40" t="s">
        <v>478</v>
      </c>
      <c r="B21" s="40" t="s">
        <v>479</v>
      </c>
      <c r="C21" s="11">
        <f>ROUND((IFERROR((1/IF(VLOOKUP($A21,EnrollData2324,28,FALSE)=VLOOKUP($A21,'ESA Calculations 2425'!$A$4:$AE$37,3,FALSE),VLOOKUP($A21,EnrollData2324,28,FALSE),VLOOKUP($A21,'ESA Calculations 2425'!$A$4:$AE$37,3,FALSE)))*(1+Apport_Z315),0))+Apport_201A2425,6)</f>
        <v>7.4580999999999995E-2</v>
      </c>
      <c r="D21">
        <f>ROUND(IF(VLOOKUP($A21,EnrollData2324,'2324 Jun 24 Enroll'!D$1,FALSE)=VLOOKUP($A21,'ESA Calculations 2425'!$A$4:$AE$37,4,FALSE),VLOOKUP($A21,EnrollData2324,'2324 Jun 24 Enroll'!D$1,FALSE),VLOOKUP($A21,'ESA Calculations 2425'!$A$4:$AE$37,4,FALSE))*C21,3)</f>
        <v>0</v>
      </c>
      <c r="E21">
        <f>ROUND(IF(VLOOKUP($A21,EnrollData2324,'2324 Jun 24 Enroll'!E$1,FALSE)=VLOOKUP($A21,'ESA Calculations 2425'!$A$4:$AE$37,5,FALSE),VLOOKUP($A21,EnrollData2324,'2324 Jun 24 Enroll'!E$1,FALSE),VLOOKUP($A21,'ESA Calculations 2425'!$A$4:$AE$37,5,FALSE))*C21,3)</f>
        <v>1.484</v>
      </c>
      <c r="F21">
        <f>ROUND(IF(VLOOKUP($A21,EnrollData2324,'2324 Jun 24 Enroll'!F$1,FALSE)=VLOOKUP($A21,'ESA Calculations 2425'!$A$4:$AE$37,6,FALSE),VLOOKUP($A21,EnrollData2324,'2324 Jun 24 Enroll'!F$1,FALSE),VLOOKUP($A21,'ESA Calculations 2425'!$A$4:$AE$37,6,FALSE))*Apport_222A2425,3)</f>
        <v>0.24199999999999999</v>
      </c>
      <c r="G21">
        <f>ROUND(IF(VLOOKUP($A21,EnrollData2324,'2324 Jun 24 Enroll'!G$1,FALSE)=VLOOKUP($A21,'ESA Calculations 2425'!$A$4:$AE$37,7,FALSE),VLOOKUP($A21,EnrollData2324,'2324 Jun 24 Enroll'!G$1,FALSE),VLOOKUP($A21,'ESA Calculations 2425'!$A$4:$AE$37,7,FALSE))*Apport_210A2425,3)</f>
        <v>0.19800000000000001</v>
      </c>
      <c r="H21">
        <f>ROUND(IF(VLOOKUP($A21,EnrollData2324,'2324 Jun 24 Enroll'!H$1,FALSE)=VLOOKUP($A21,'ESA Calculations 2425'!$A$4:$AE$37,8,FALSE),VLOOKUP($A21,EnrollData2324,'2324 Jun 24 Enroll'!H$1,FALSE),VLOOKUP($A21,'ESA Calculations 2425'!$A$4:$AE$37,8,FALSE))*Apport_213A2425,3)</f>
        <v>0.372</v>
      </c>
      <c r="I21">
        <f>ROUND(IF(VLOOKUP($A21,EnrollData2324,'2324 Jun 24 Enroll'!I$1,FALSE)+VLOOKUP($A21,EnrollData2324,'2324 Jun 24 Enroll'!M$1,FALSE)-VLOOKUP($A21,EnrollData2324,'2324 Jun 24 Enroll'!J$1,FALSE)=VLOOKUP($A21,'ESA Calculations 2425'!$A$4:$AE$37,9,FALSE)+VLOOKUP($A21,'ESA Calculations 2425'!$A$4:$AE$37,18,FALSE)-VLOOKUP($A21,'ESA Calculations 2425'!$A$4:$AE$37,10,FALSE),VLOOKUP($A21,EnrollData2324,'2324 Jun 24 Enroll'!I$1,FALSE)+VLOOKUP($A21,EnrollData2324,'2324 Jun 24 Enroll'!M$1,FALSE)-VLOOKUP($A21,EnrollData2324,'2324 Jun 24 Enroll'!J$1,FALSE),VLOOKUP($A21,'ESA Calculations 2425'!$A$4:$AE$37,9,FALSE)+VLOOKUP($A21,'ESA Calculations 2425'!$A$4:$AE$37,18,FALSE)-VLOOKUP($A21,'ESA Calculations 2425'!$A$4:$AE$37,10,FALSE))*Apport_216A2425,3)</f>
        <v>1.2869999999999999</v>
      </c>
      <c r="J21">
        <f>ROUND(SUM(D21:I21)/IF(VLOOKUP($A21,EnrollData2324,'2324 Jun 24 Enroll'!M$1,FALSE)+VLOOKUP($A21,EnrollData2324,'2324 Jun 24 Enroll'!D$1,FALSE)=VLOOKUP($A21,'ESA Calculations 2425'!$A$4:$AE$37,18,FALSE)+VLOOKUP($A21,'ESA Calculations 2425'!$A$4:$AE$37,4,FALSE),VLOOKUP($A21,EnrollData2324,'2324 Jun 24 Enroll'!M$1,FALSE)+VLOOKUP($A21,EnrollData2324,'2324 Jun 24 Enroll'!D$1,FALSE),VLOOKUP($A21,'ESA Calculations 2425'!$A$4:$AE$37,18,FALSE)+VLOOKUP($A21,'ESA Calculations 2425'!$A$4:$AE$37,4,FALSE)),5)</f>
        <v>5.8169999999999999E-2</v>
      </c>
      <c r="K21" s="11">
        <f t="shared" si="1"/>
        <v>4.385E-3</v>
      </c>
      <c r="L21">
        <f>ROUND(IF(VLOOKUP($A21,EnrollData2324,'2324 Jun 24 Enroll'!D$1,FALSE)=VLOOKUP($A21,'ESA Calculations 2425'!$A$4:$AE$37,4,FALSE),VLOOKUP($A21,EnrollData2324,'2324 Jun 24 Enroll'!D$1,FALSE),VLOOKUP($A21,'ESA Calculations 2425'!$A$4:$AE$37,4,FALSE))*K21,3)</f>
        <v>0</v>
      </c>
      <c r="M21">
        <f>ROUND(IF(VLOOKUP($A21,EnrollData2324,'2324 Jun 24 Enroll'!E$1,FALSE)=VLOOKUP($A21,'ESA Calculations 2425'!$A$4:$AE$37,5,FALSE),VLOOKUP($A21,EnrollData2324,'2324 Jun 24 Enroll'!E$1,FALSE),VLOOKUP($A21,'ESA Calculations 2425'!$A$4:$AE$37,5,FALSE))*K21,3)</f>
        <v>8.6999999999999994E-2</v>
      </c>
      <c r="N21">
        <f>ROUND(IF(VLOOKUP($A21,EnrollData2324,'2324 Jun 24 Enroll'!F$1,FALSE)=VLOOKUP($A21,'ESA Calculations 2425'!$A$4:$AE$37,6,FALSE),VLOOKUP($A21,EnrollData2324,'2324 Jun 24 Enroll'!F$1,FALSE),VLOOKUP($A21,'ESA Calculations 2425'!$A$4:$AE$37,6,FALSE))*Apport_223A2425,3)</f>
        <v>0.02</v>
      </c>
      <c r="O21">
        <f>ROUND(IF(VLOOKUP($A21,EnrollData2324,'2324 Jun 24 Enroll'!G$1,FALSE)=VLOOKUP($A21,'ESA Calculations 2425'!$A$4:$AE$37,7,FALSE),VLOOKUP($A21,EnrollData2324,'2324 Jun 24 Enroll'!G$1,FALSE),VLOOKUP($A21,'ESA Calculations 2425'!$A$4:$AE$37,7,FALSE))*Apport_211A2425,3)</f>
        <v>1.6E-2</v>
      </c>
      <c r="P21">
        <f>ROUND(IF(VLOOKUP($A21,EnrollData2324,'2324 Jun 24 Enroll'!H$1,FALSE)=VLOOKUP($A21,'ESA Calculations 2425'!$A$4:$AE$37,8,FALSE),VLOOKUP($A21,EnrollData2324,'2324 Jun 24 Enroll'!H$1,FALSE),VLOOKUP($A21,'ESA Calculations 2425'!$A$4:$AE$37,8,FALSE))*Apport_214A2425,3)</f>
        <v>0.03</v>
      </c>
      <c r="Q21">
        <f>ROUND(IF(VLOOKUP($A21,EnrollData2324,'2324 Jun 24 Enroll'!I$1,FALSE)+VLOOKUP($A21,EnrollData2324,'2324 Jun 24 Enroll'!M$1,FALSE)-VLOOKUP($A21,EnrollData2324,'2324 Jun 24 Enroll'!J$1,FALSE)=VLOOKUP($A21,'ESA Calculations 2425'!$A$4:$AE$37,9,FALSE)+VLOOKUP($A21,'ESA Calculations 2425'!$A$4:$AE$37,18,FALSE)-VLOOKUP($A21,'ESA Calculations 2425'!$A$4:$AE$37,10,FALSE),VLOOKUP($A21,EnrollData2324,'2324 Jun 24 Enroll'!I$1,FALSE)+VLOOKUP($A21,EnrollData2324,'2324 Jun 24 Enroll'!M$1,FALSE)-VLOOKUP($A21,EnrollData2324,'2324 Jun 24 Enroll'!J$1,FALSE),VLOOKUP($A21,'ESA Calculations 2425'!$A$4:$AE$37,9,FALSE)+VLOOKUP($A21,'ESA Calculations 2425'!$A$4:$AE$37,18,FALSE)-VLOOKUP($A21,'ESA Calculations 2425'!$A$4:$AE$37,10,FALSE))*Apport_217A2425,3)</f>
        <v>0.10299999999999999</v>
      </c>
      <c r="R21">
        <f>ROUND(SUM(L21:Q21)/IF(VLOOKUP($A21,EnrollData2324,'2324 Jun 24 Enroll'!M$1,FALSE)+VLOOKUP($A21,EnrollData2324,'2324 Jun 24 Enroll'!D$1,FALSE)=VLOOKUP($A21,'ESA Calculations 2425'!$A$4:$AE$37,18,FALSE)+VLOOKUP($A21,'ESA Calculations 2425'!$A$4:$AE$37,4,FALSE),VLOOKUP($A21,EnrollData2324,'2324 Jun 24 Enroll'!M$1,FALSE)+VLOOKUP($A21,EnrollData2324,'2324 Jun 24 Enroll'!D$1,FALSE),VLOOKUP($A21,'ESA Calculations 2425'!$A$4:$AE$37,18,FALSE)+VLOOKUP($A21,'ESA Calculations 2425'!$A$4:$AE$37,4,FALSE)),5)</f>
        <v>4.1599999999999996E-3</v>
      </c>
      <c r="S21" s="11">
        <f t="shared" si="2"/>
        <v>1.8734299999999999E-2</v>
      </c>
      <c r="T21">
        <f>ROUND(IF(VLOOKUP($A21,EnrollData2324,'2324 Jun 24 Enroll'!D$1,FALSE)=VLOOKUP($A21,'ESA Calculations 2425'!$A$4:$AE$37,4,FALSE),VLOOKUP($A21,EnrollData2324,'2324 Jun 24 Enroll'!D$1,FALSE),VLOOKUP($A21,'ESA Calculations 2425'!$A$4:$AE$37,4,FALSE))*S21,3)</f>
        <v>0</v>
      </c>
      <c r="U21">
        <f>ROUND(IF(VLOOKUP($A21,EnrollData2324,'2324 Jun 24 Enroll'!E$1,FALSE)=VLOOKUP($A21,'ESA Calculations 2425'!$A$4:$AE$37,5,FALSE),VLOOKUP($A21,EnrollData2324,'2324 Jun 24 Enroll'!E$1,FALSE),VLOOKUP($A21,'ESA Calculations 2425'!$A$4:$AE$37,5,FALSE))*S21,3)</f>
        <v>0.373</v>
      </c>
      <c r="V21">
        <f>ROUND(IF(VLOOKUP($A21,EnrollData2324,'2324 Jun 24 Enroll'!F$1,FALSE)=VLOOKUP($A21,'ESA Calculations 2425'!$A$4:$AE$37,6,FALSE),VLOOKUP($A21,EnrollData2324,'2324 Jun 24 Enroll'!F$1,FALSE),VLOOKUP($A21,'ESA Calculations 2425'!$A$4:$AE$37,6,FALSE))*Apport_224A2425,3)</f>
        <v>8.6999999999999994E-2</v>
      </c>
      <c r="W21">
        <f>ROUND(IF(VLOOKUP($A21,EnrollData2324,'2324 Jun 24 Enroll'!G$1,FALSE)=VLOOKUP($A21,'ESA Calculations 2425'!$A$4:$AE$37,7,FALSE),VLOOKUP($A21,EnrollData2324,'2324 Jun 24 Enroll'!G$1,FALSE),VLOOKUP($A21,'ESA Calculations 2425'!$A$4:$AE$37,7,FALSE))*Apport_212A2425,3)</f>
        <v>7.0999999999999994E-2</v>
      </c>
      <c r="X21">
        <f>ROUND(IF(VLOOKUP($A21,EnrollData2324,'2324 Jun 24 Enroll'!H$1,FALSE)=VLOOKUP($A21,'ESA Calculations 2425'!$A$4:$AE$37,8,FALSE),VLOOKUP($A21,EnrollData2324,'2324 Jun 24 Enroll'!H$1,FALSE),VLOOKUP($A21,'ESA Calculations 2425'!$A$4:$AE$37,8,FALSE))*Apport_215A2425,3)</f>
        <v>0.13100000000000001</v>
      </c>
      <c r="Y21">
        <f>ROUND(IF(VLOOKUP($A21,EnrollData2324,'2324 Jun 24 Enroll'!I$1,FALSE)+VLOOKUP($A21,EnrollData2324,'2324 Jun 24 Enroll'!M$1,FALSE)-VLOOKUP($A21,EnrollData2324,'2324 Jun 24 Enroll'!J$1,FALSE)=VLOOKUP($A21,'ESA Calculations 2425'!$A$4:$AE$37,9,FALSE)+VLOOKUP($A21,'ESA Calculations 2425'!$A$4:$AE$37,18,FALSE)-VLOOKUP($A21,'ESA Calculations 2425'!$A$4:$AE$37,10,FALSE),VLOOKUP($A21,EnrollData2324,'2324 Jun 24 Enroll'!I$1,FALSE)+VLOOKUP($A21,EnrollData2324,'2324 Jun 24 Enroll'!M$1,FALSE)-VLOOKUP($A21,EnrollData2324,'2324 Jun 24 Enroll'!J$1,FALSE),VLOOKUP($A21,'ESA Calculations 2425'!$A$4:$AE$37,9,FALSE)+VLOOKUP($A21,'ESA Calculations 2425'!$A$4:$AE$37,18,FALSE)-VLOOKUP($A21,'ESA Calculations 2425'!$A$4:$AE$37,10,FALSE))*Apport_218A2425,3)</f>
        <v>0.442</v>
      </c>
      <c r="Z21">
        <f>ROUND(SUM(T21:Y21)/IF(VLOOKUP($A21,EnrollData2324,'2324 Jun 24 Enroll'!M$1,FALSE)+VLOOKUP($A21,EnrollData2324,'2324 Jun 24 Enroll'!D$1,FALSE)=VLOOKUP($A21,'ESA Calculations 2425'!$A$4:$AE$37,18,FALSE)+VLOOKUP($A21,'ESA Calculations 2425'!$A$4:$AE$37,4,FALSE),VLOOKUP($A21,EnrollData2324,'2324 Jun 24 Enroll'!M$1,FALSE)+VLOOKUP($A21,EnrollData2324,'2324 Jun 24 Enroll'!D$1,FALSE),VLOOKUP($A21,'ESA Calculations 2425'!$A$4:$AE$37,18,FALSE)+VLOOKUP($A21,'ESA Calculations 2425'!$A$4:$AE$37,4,FALSE)),5)</f>
        <v>1.7919999999999998E-2</v>
      </c>
      <c r="AA21" s="6">
        <f>ROUND($J21*CIS_Base_Salary2425*VLOOKUP($A21,EnrollData2324,'2324 Jun 24 Enroll'!AH$1,FALSE),2)</f>
        <v>4387.12</v>
      </c>
      <c r="AB21" s="6">
        <f>ROUND($J21*CIS_Inc_Salary2425*(VLOOKUP($A21,EnrollData2324,'2324 Jun 24 Enroll'!AI$1,FALSE)+VLOOKUP($A21,EnrollData2324,'2324 Jun 24 Enroll'!AJ$1,FALSE)),2)-AA21</f>
        <v>344.27000000000044</v>
      </c>
      <c r="AC21" s="6" cm="1">
        <f t="array" ref="AC21">ROUND($R21*CAS_Base_Salary2425*VLOOKUP($A21,EnrollData2324,'2324 Jun 24 Enroll'!AH$1,FALSE),2)</f>
        <v>465.71</v>
      </c>
      <c r="AD21" s="6">
        <f>ROUND($R21*CAS_Inc_Salary2425*VLOOKUP($A21,EnrollData2324,'2324 Jun 24 Enroll'!AI$1,FALSE),2)-AC21</f>
        <v>17.230000000000018</v>
      </c>
      <c r="AE21" s="6">
        <f>ROUND($Z21*CLS_Base_Salary2425*VLOOKUP($A21,EnrollData2324,'2324 Jun 24 Enroll'!AH$1,FALSE),2)</f>
        <v>969.53</v>
      </c>
      <c r="AF21" s="6">
        <f>ROUND($Z21*CLS_Inc_Salary2425*VLOOKUP($A21,EnrollData2324,'2324 Jun 24 Enroll'!AI$1,FALSE),2)-AE21</f>
        <v>35.870000000000005</v>
      </c>
      <c r="AG21" cm="1">
        <f t="array" ref="AG21">ROUND(($J21+$R21)*Apport_124X2425,2)</f>
        <v>822.76</v>
      </c>
      <c r="AH21" s="69" cm="1">
        <f t="array" ref="AH21">ROUND(($J21+$R21)*Apport_621X2425*Apport_125XC2425,2)-AG21</f>
        <v>75.960000000000036</v>
      </c>
      <c r="AI21" cm="1">
        <f t="array" ref="AI21">ROUND($Z21*Apport_124X2425,2)</f>
        <v>236.54</v>
      </c>
      <c r="AJ21">
        <f t="shared" si="3"/>
        <v>125.70000000000002</v>
      </c>
      <c r="AK21">
        <f t="shared" si="4"/>
        <v>880.79</v>
      </c>
      <c r="AL21">
        <f t="shared" si="5"/>
        <v>63.3</v>
      </c>
      <c r="AM21">
        <f t="shared" si="6"/>
        <v>210</v>
      </c>
      <c r="AN21">
        <f t="shared" si="7"/>
        <v>6.51</v>
      </c>
      <c r="AO21">
        <f>ROUND(($J21*CIS_Inc_Salary2425*(VLOOKUP($A21,EnrollData2324,'2324 Jun 24 Enroll'!AI$1,FALSE)+VLOOKUP($A21,EnrollData2324,'2324 Jun 24 Enroll'!AJ$1,FALSE))/Apport_613Xpd)*Apport_614Xpd,2)</f>
        <v>78.86</v>
      </c>
      <c r="AP21">
        <f t="shared" si="8"/>
        <v>13.81</v>
      </c>
      <c r="AQ21">
        <f t="shared" si="11"/>
        <v>32.4</v>
      </c>
      <c r="AR21" s="6">
        <f>ROUND((IF(VLOOKUP($A21,EnrollData2324,'2324 Jun 24 Enroll'!D$1,FALSE)=VLOOKUP($A21,'ESA Calculations 2425'!$A$4:$AE$37,4,FALSE),VLOOKUP($A21,EnrollData2324,'2324 Jun 24 Enroll'!D$1,FALSE),VLOOKUP($A21,'ESA Calculations 2425'!$A$4:$AE$37,4,FALSE))*Apport_M802425+IF(VLOOKUP($A21,EnrollData2324,'2324 Jun 24 Enroll'!M$1,FALSE)=VLOOKUP($A21,'ESA Calculations 2425'!$A$4:$AE$37,18,FALSE),VLOOKUP($A21,EnrollData2324,'2324 Jun 24 Enroll'!M$1,FALSE),VLOOKUP($A21,'ESA Calculations 2425'!$A$4:$AE$37,18,FALSE))*Apport_M802425+IF((VLOOKUP($A21,EnrollData2324,'2324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Enroll'!L$1,FALSE))=VLOOKUP($A21,EnrollData2324,'2324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Enroll'!L$1,FALSE),(VLOOKUP($A21,EnrollData2324,'2324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Enroll'!L$1,FALSE)),(VLOOKUP($A21,EnrollData2324,'2324 Jun 24 Enroll'!P$1,FALSE)+VLOOKUP($A21,EnrollData2324,'2324 Jun 24 Enroll'!Q$1,FALSE)+VLOOKUP($A21,EnrollData2324,'2324 Jun 24 Enroll'!R$1,FALSE)+VLOOKUP($A21,EnrollData2324,'2324 Jun 24 Enroll'!I$1,FALSE)+VLOOKUP($A21,EnrollData2324,'2324 Jun 24 Enroll'!N$1,FALSE)+VLOOKUP($A21,EnrollData2324,'2324 Jun 24 Enroll'!O$1,FALSE)+VLOOKUP($A21,EnrollData2324,'2324 Jun 24 Enroll'!K$1,FALSE)+VLOOKUP($A21,EnrollData2324,'2324 Jun 24 Enroll'!L$1,FALSE)))*Apport_M812425)/(IF(VLOOKUP($A21,EnrollData2324,'2324 Jun 24 Enroll'!M$1,FALSE)=VLOOKUP($A21,'ESA Calculations 2425'!$A$4:$AE$37,18,FALSE),VLOOKUP($A21,EnrollData2324,'2324 Jun 24 Enroll'!M$1,FALSE),VLOOKUP($A21,'ESA Calculations 2425'!$A$4:$AE$37,18,FALSE))+IF(VLOOKUP($A21,EnrollData2324,'2324 Jun 24 Enroll'!D$1,FALSE)=VLOOKUP($A21,'ESA Calculations 2425'!$A$4:$AE$37,4,FALSE),VLOOKUP($A21,EnrollData2324,'2324 Jun 24 Enroll'!D$1,FALSE),VLOOKUP($A21,'ESA Calculations 2425'!$A$4:$AE$37,4,FALSE))),2)</f>
        <v>1616.82</v>
      </c>
      <c r="AS21" s="7">
        <f t="shared" si="12"/>
        <v>10383.179999999998</v>
      </c>
      <c r="AT21" s="6">
        <f>IF(VLOOKUP($A21,EnrollData2324,'2324 Jun 24 Enroll'!AA$1,FALSE)=VLOOKUP($A21,'ESA Calculations 2425'!$A$4:$AE$37,24,FALSE),VLOOKUP($A21,EnrollData2324,'2324 Jun 24 Enroll'!AA$1,FALSE),VLOOKUP($A21,'ESA Calculations 2425'!$A$4:$AE$37,24,FALSE))</f>
        <v>61.89</v>
      </c>
    </row>
    <row r="22" spans="1:46">
      <c r="A22" s="40" t="s">
        <v>534</v>
      </c>
      <c r="B22" s="40" t="s">
        <v>535</v>
      </c>
      <c r="C22" s="11">
        <f>ROUND((IFERROR((1/IF(VLOOKUP($A22,EnrollData2324,28,FALSE)=VLOOKUP($A22,'ESA Calculations 2425'!$A$4:$AE$37,3,FALSE),VLOOKUP($A22,EnrollData2324,28,FALSE),VLOOKUP($A22,'ESA Calculations 2425'!$A$4:$AE$37,3,FALSE)))*(1+Apport_Z315),0))+Apport_201A2425,6)</f>
        <v>7.4580999999999995E-2</v>
      </c>
      <c r="D22">
        <f>ROUND(IF(VLOOKUP($A22,EnrollData2324,'2324 Jun 24 Enroll'!D$1,FALSE)=VLOOKUP($A22,'ESA Calculations 2425'!$A$4:$AE$37,4,FALSE),VLOOKUP($A22,EnrollData2324,'2324 Jun 24 Enroll'!D$1,FALSE),VLOOKUP($A22,'ESA Calculations 2425'!$A$4:$AE$37,4,FALSE))*C22,3)</f>
        <v>0</v>
      </c>
      <c r="E22">
        <f>ROUND(IF(VLOOKUP($A22,EnrollData2324,'2324 Jun 24 Enroll'!E$1,FALSE)=VLOOKUP($A22,'ESA Calculations 2425'!$A$4:$AE$37,5,FALSE),VLOOKUP($A22,EnrollData2324,'2324 Jun 24 Enroll'!E$1,FALSE),VLOOKUP($A22,'ESA Calculations 2425'!$A$4:$AE$37,5,FALSE))*C22,3)</f>
        <v>2.0510000000000002</v>
      </c>
      <c r="F22">
        <f>ROUND(IF(VLOOKUP($A22,EnrollData2324,'2324 Jun 24 Enroll'!F$1,FALSE)=VLOOKUP($A22,'ESA Calculations 2425'!$A$4:$AE$37,6,FALSE),VLOOKUP($A22,EnrollData2324,'2324 Jun 24 Enroll'!F$1,FALSE),VLOOKUP($A22,'ESA Calculations 2425'!$A$4:$AE$37,6,FALSE))*Apport_222A2425,3)</f>
        <v>0.35599999999999998</v>
      </c>
      <c r="G22">
        <f>ROUND(IF(VLOOKUP($A22,EnrollData2324,'2324 Jun 24 Enroll'!G$1,FALSE)=VLOOKUP($A22,'ESA Calculations 2425'!$A$4:$AE$37,7,FALSE),VLOOKUP($A22,EnrollData2324,'2324 Jun 24 Enroll'!G$1,FALSE),VLOOKUP($A22,'ESA Calculations 2425'!$A$4:$AE$37,7,FALSE))*Apport_210A2425,3)</f>
        <v>0.67700000000000005</v>
      </c>
      <c r="H22">
        <f>ROUND(IF(VLOOKUP($A22,EnrollData2324,'2324 Jun 24 Enroll'!H$1,FALSE)=VLOOKUP($A22,'ESA Calculations 2425'!$A$4:$AE$37,8,FALSE),VLOOKUP($A22,EnrollData2324,'2324 Jun 24 Enroll'!H$1,FALSE),VLOOKUP($A22,'ESA Calculations 2425'!$A$4:$AE$37,8,FALSE))*Apport_213A2425,3)</f>
        <v>0.53500000000000003</v>
      </c>
      <c r="I22">
        <f>ROUND(IF(VLOOKUP($A22,EnrollData2324,'2324 Jun 24 Enroll'!I$1,FALSE)+VLOOKUP($A22,EnrollData2324,'2324 Jun 24 Enroll'!M$1,FALSE)-VLOOKUP($A22,EnrollData2324,'2324 Jun 24 Enroll'!J$1,FALSE)=VLOOKUP($A22,'ESA Calculations 2425'!$A$4:$AE$37,9,FALSE)+VLOOKUP($A22,'ESA Calculations 2425'!$A$4:$AE$37,18,FALSE)-VLOOKUP($A22,'ESA Calculations 2425'!$A$4:$AE$37,10,FALSE),VLOOKUP($A22,EnrollData2324,'2324 Jun 24 Enroll'!I$1,FALSE)+VLOOKUP($A22,EnrollData2324,'2324 Jun 24 Enroll'!M$1,FALSE)-VLOOKUP($A22,EnrollData2324,'2324 Jun 24 Enroll'!J$1,FALSE),VLOOKUP($A22,'ESA Calculations 2425'!$A$4:$AE$37,9,FALSE)+VLOOKUP($A22,'ESA Calculations 2425'!$A$4:$AE$37,18,FALSE)-VLOOKUP($A22,'ESA Calculations 2425'!$A$4:$AE$37,10,FALSE))*Apport_216A2425,3)</f>
        <v>1.3560000000000001</v>
      </c>
      <c r="J22">
        <f>ROUND(SUM(D22:I22)/IF(VLOOKUP($A22,EnrollData2324,'2324 Jun 24 Enroll'!M$1,FALSE)+VLOOKUP($A22,EnrollData2324,'2324 Jun 24 Enroll'!D$1,FALSE)=VLOOKUP($A22,'ESA Calculations 2425'!$A$4:$AE$37,18,FALSE)+VLOOKUP($A22,'ESA Calculations 2425'!$A$4:$AE$37,4,FALSE),VLOOKUP($A22,EnrollData2324,'2324 Jun 24 Enroll'!M$1,FALSE)+VLOOKUP($A22,EnrollData2324,'2324 Jun 24 Enroll'!D$1,FALSE),VLOOKUP($A22,'ESA Calculations 2425'!$A$4:$AE$37,18,FALSE)+VLOOKUP($A22,'ESA Calculations 2425'!$A$4:$AE$37,4,FALSE)),5)</f>
        <v>5.7950000000000002E-2</v>
      </c>
      <c r="K22" s="11">
        <f t="shared" si="1"/>
        <v>4.385E-3</v>
      </c>
      <c r="L22">
        <f>ROUND(IF(VLOOKUP($A22,EnrollData2324,'2324 Jun 24 Enroll'!D$1,FALSE)=VLOOKUP($A22,'ESA Calculations 2425'!$A$4:$AE$37,4,FALSE),VLOOKUP($A22,EnrollData2324,'2324 Jun 24 Enroll'!D$1,FALSE),VLOOKUP($A22,'ESA Calculations 2425'!$A$4:$AE$37,4,FALSE))*K22,3)</f>
        <v>0</v>
      </c>
      <c r="M22">
        <f>ROUND(IF(VLOOKUP($A22,EnrollData2324,'2324 Jun 24 Enroll'!E$1,FALSE)=VLOOKUP($A22,'ESA Calculations 2425'!$A$4:$AE$37,5,FALSE),VLOOKUP($A22,EnrollData2324,'2324 Jun 24 Enroll'!E$1,FALSE),VLOOKUP($A22,'ESA Calculations 2425'!$A$4:$AE$37,5,FALSE))*K22,3)</f>
        <v>0.121</v>
      </c>
      <c r="N22">
        <f>ROUND(IF(VLOOKUP($A22,EnrollData2324,'2324 Jun 24 Enroll'!F$1,FALSE)=VLOOKUP($A22,'ESA Calculations 2425'!$A$4:$AE$37,6,FALSE),VLOOKUP($A22,EnrollData2324,'2324 Jun 24 Enroll'!F$1,FALSE),VLOOKUP($A22,'ESA Calculations 2425'!$A$4:$AE$37,6,FALSE))*Apport_223A2425,3)</f>
        <v>2.9000000000000001E-2</v>
      </c>
      <c r="O22">
        <f>ROUND(IF(VLOOKUP($A22,EnrollData2324,'2324 Jun 24 Enroll'!G$1,FALSE)=VLOOKUP($A22,'ESA Calculations 2425'!$A$4:$AE$37,7,FALSE),VLOOKUP($A22,EnrollData2324,'2324 Jun 24 Enroll'!G$1,FALSE),VLOOKUP($A22,'ESA Calculations 2425'!$A$4:$AE$37,7,FALSE))*Apport_211A2425,3)</f>
        <v>5.5E-2</v>
      </c>
      <c r="P22">
        <f>ROUND(IF(VLOOKUP($A22,EnrollData2324,'2324 Jun 24 Enroll'!H$1,FALSE)=VLOOKUP($A22,'ESA Calculations 2425'!$A$4:$AE$37,8,FALSE),VLOOKUP($A22,EnrollData2324,'2324 Jun 24 Enroll'!H$1,FALSE),VLOOKUP($A22,'ESA Calculations 2425'!$A$4:$AE$37,8,FALSE))*Apport_214A2425,3)</f>
        <v>4.3999999999999997E-2</v>
      </c>
      <c r="Q22">
        <f>ROUND(IF(VLOOKUP($A22,EnrollData2324,'2324 Jun 24 Enroll'!I$1,FALSE)+VLOOKUP($A22,EnrollData2324,'2324 Jun 24 Enroll'!M$1,FALSE)-VLOOKUP($A22,EnrollData2324,'2324 Jun 24 Enroll'!J$1,FALSE)=VLOOKUP($A22,'ESA Calculations 2425'!$A$4:$AE$37,9,FALSE)+VLOOKUP($A22,'ESA Calculations 2425'!$A$4:$AE$37,18,FALSE)-VLOOKUP($A22,'ESA Calculations 2425'!$A$4:$AE$37,10,FALSE),VLOOKUP($A22,EnrollData2324,'2324 Jun 24 Enroll'!I$1,FALSE)+VLOOKUP($A22,EnrollData2324,'2324 Jun 24 Enroll'!M$1,FALSE)-VLOOKUP($A22,EnrollData2324,'2324 Jun 24 Enroll'!J$1,FALSE),VLOOKUP($A22,'ESA Calculations 2425'!$A$4:$AE$37,9,FALSE)+VLOOKUP($A22,'ESA Calculations 2425'!$A$4:$AE$37,18,FALSE)-VLOOKUP($A22,'ESA Calculations 2425'!$A$4:$AE$37,10,FALSE))*Apport_217A2425,3)</f>
        <v>0.108</v>
      </c>
      <c r="R22">
        <f>ROUND(SUM(L22:Q22)/IF(VLOOKUP($A22,EnrollData2324,'2324 Jun 24 Enroll'!M$1,FALSE)+VLOOKUP($A22,EnrollData2324,'2324 Jun 24 Enroll'!D$1,FALSE)=VLOOKUP($A22,'ESA Calculations 2425'!$A$4:$AE$37,18,FALSE)+VLOOKUP($A22,'ESA Calculations 2425'!$A$4:$AE$37,4,FALSE),VLOOKUP($A22,EnrollData2324,'2324 Jun 24 Enroll'!M$1,FALSE)+VLOOKUP($A22,EnrollData2324,'2324 Jun 24 Enroll'!D$1,FALSE),VLOOKUP($A22,'ESA Calculations 2425'!$A$4:$AE$37,18,FALSE)+VLOOKUP($A22,'ESA Calculations 2425'!$A$4:$AE$37,4,FALSE)),5)</f>
        <v>4.1599999999999996E-3</v>
      </c>
      <c r="S22" s="11">
        <f t="shared" si="2"/>
        <v>1.8734299999999999E-2</v>
      </c>
      <c r="T22">
        <f>ROUND(IF(VLOOKUP($A22,EnrollData2324,'2324 Jun 24 Enroll'!D$1,FALSE)=VLOOKUP($A22,'ESA Calculations 2425'!$A$4:$AE$37,4,FALSE),VLOOKUP($A22,EnrollData2324,'2324 Jun 24 Enroll'!D$1,FALSE),VLOOKUP($A22,'ESA Calculations 2425'!$A$4:$AE$37,4,FALSE))*S22,3)</f>
        <v>0</v>
      </c>
      <c r="U22">
        <f>ROUND(IF(VLOOKUP($A22,EnrollData2324,'2324 Jun 24 Enroll'!E$1,FALSE)=VLOOKUP($A22,'ESA Calculations 2425'!$A$4:$AE$37,5,FALSE),VLOOKUP($A22,EnrollData2324,'2324 Jun 24 Enroll'!E$1,FALSE),VLOOKUP($A22,'ESA Calculations 2425'!$A$4:$AE$37,5,FALSE))*S22,3)</f>
        <v>0.51500000000000001</v>
      </c>
      <c r="V22">
        <f>ROUND(IF(VLOOKUP($A22,EnrollData2324,'2324 Jun 24 Enroll'!F$1,FALSE)=VLOOKUP($A22,'ESA Calculations 2425'!$A$4:$AE$37,6,FALSE),VLOOKUP($A22,EnrollData2324,'2324 Jun 24 Enroll'!F$1,FALSE),VLOOKUP($A22,'ESA Calculations 2425'!$A$4:$AE$37,6,FALSE))*Apport_224A2425,3)</f>
        <v>0.128</v>
      </c>
      <c r="W22">
        <f>ROUND(IF(VLOOKUP($A22,EnrollData2324,'2324 Jun 24 Enroll'!G$1,FALSE)=VLOOKUP($A22,'ESA Calculations 2425'!$A$4:$AE$37,7,FALSE),VLOOKUP($A22,EnrollData2324,'2324 Jun 24 Enroll'!G$1,FALSE),VLOOKUP($A22,'ESA Calculations 2425'!$A$4:$AE$37,7,FALSE))*Apport_212A2425,3)</f>
        <v>0.24299999999999999</v>
      </c>
      <c r="X22">
        <f>ROUND(IF(VLOOKUP($A22,EnrollData2324,'2324 Jun 24 Enroll'!H$1,FALSE)=VLOOKUP($A22,'ESA Calculations 2425'!$A$4:$AE$37,8,FALSE),VLOOKUP($A22,EnrollData2324,'2324 Jun 24 Enroll'!H$1,FALSE),VLOOKUP($A22,'ESA Calculations 2425'!$A$4:$AE$37,8,FALSE))*Apport_215A2425,3)</f>
        <v>0.189</v>
      </c>
      <c r="Y22">
        <f>ROUND(IF(VLOOKUP($A22,EnrollData2324,'2324 Jun 24 Enroll'!I$1,FALSE)+VLOOKUP($A22,EnrollData2324,'2324 Jun 24 Enroll'!M$1,FALSE)-VLOOKUP($A22,EnrollData2324,'2324 Jun 24 Enroll'!J$1,FALSE)=VLOOKUP($A22,'ESA Calculations 2425'!$A$4:$AE$37,9,FALSE)+VLOOKUP($A22,'ESA Calculations 2425'!$A$4:$AE$37,18,FALSE)-VLOOKUP($A22,'ESA Calculations 2425'!$A$4:$AE$37,10,FALSE),VLOOKUP($A22,EnrollData2324,'2324 Jun 24 Enroll'!I$1,FALSE)+VLOOKUP($A22,EnrollData2324,'2324 Jun 24 Enroll'!M$1,FALSE)-VLOOKUP($A22,EnrollData2324,'2324 Jun 24 Enroll'!J$1,FALSE),VLOOKUP($A22,'ESA Calculations 2425'!$A$4:$AE$37,9,FALSE)+VLOOKUP($A22,'ESA Calculations 2425'!$A$4:$AE$37,18,FALSE)-VLOOKUP($A22,'ESA Calculations 2425'!$A$4:$AE$37,10,FALSE))*Apport_218A2425,3)</f>
        <v>0.46500000000000002</v>
      </c>
      <c r="Z22">
        <f>ROUND(SUM(T22:Y22)/IF(VLOOKUP($A22,EnrollData2324,'2324 Jun 24 Enroll'!M$1,FALSE)+VLOOKUP($A22,EnrollData2324,'2324 Jun 24 Enroll'!D$1,FALSE)=VLOOKUP($A22,'ESA Calculations 2425'!$A$4:$AE$37,18,FALSE)+VLOOKUP($A22,'ESA Calculations 2425'!$A$4:$AE$37,4,FALSE),VLOOKUP($A22,EnrollData2324,'2324 Jun 24 Enroll'!M$1,FALSE)+VLOOKUP($A22,EnrollData2324,'2324 Jun 24 Enroll'!D$1,FALSE),VLOOKUP($A22,'ESA Calculations 2425'!$A$4:$AE$37,18,FALSE)+VLOOKUP($A22,'ESA Calculations 2425'!$A$4:$AE$37,4,FALSE)),5)</f>
        <v>1.7940000000000001E-2</v>
      </c>
      <c r="AA22" s="6">
        <f>ROUND($J22*CIS_Base_Salary2425*VLOOKUP($A22,EnrollData2324,'2324 Jun 24 Enroll'!AH$1,FALSE),2)</f>
        <v>4370.53</v>
      </c>
      <c r="AB22" s="6">
        <f>ROUND($J22*CIS_Inc_Salary2425*(VLOOKUP($A22,EnrollData2324,'2324 Jun 24 Enroll'!AI$1,FALSE)+VLOOKUP($A22,EnrollData2324,'2324 Jun 24 Enroll'!AJ$1,FALSE)),2)-AA22</f>
        <v>342.97000000000025</v>
      </c>
      <c r="AC22" s="6" cm="1">
        <f t="array" ref="AC22">ROUND($R22*CAS_Base_Salary2425*VLOOKUP($A22,EnrollData2324,'2324 Jun 24 Enroll'!AH$1,FALSE),2)</f>
        <v>465.71</v>
      </c>
      <c r="AD22" s="6">
        <f>ROUND($R22*CAS_Inc_Salary2425*VLOOKUP($A22,EnrollData2324,'2324 Jun 24 Enroll'!AI$1,FALSE),2)-AC22</f>
        <v>17.230000000000018</v>
      </c>
      <c r="AE22" s="6">
        <f>ROUND($Z22*CLS_Base_Salary2425*VLOOKUP($A22,EnrollData2324,'2324 Jun 24 Enroll'!AH$1,FALSE),2)</f>
        <v>970.61</v>
      </c>
      <c r="AF22" s="6">
        <f>ROUND($Z22*CLS_Inc_Salary2425*VLOOKUP($A22,EnrollData2324,'2324 Jun 24 Enroll'!AI$1,FALSE),2)-AE22</f>
        <v>35.909999999999968</v>
      </c>
      <c r="AG22" cm="1">
        <f t="array" ref="AG22">ROUND(($J22+$R22)*Apport_124X2425,2)</f>
        <v>819.85</v>
      </c>
      <c r="AH22" s="69" cm="1">
        <f t="array" ref="AH22">ROUND(($J22+$R22)*Apport_621X2425*Apport_125XC2425,2)-AG22</f>
        <v>75.699999999999932</v>
      </c>
      <c r="AI22" cm="1">
        <f t="array" ref="AI22">ROUND($Z22*Apport_124X2425,2)</f>
        <v>236.81</v>
      </c>
      <c r="AJ22">
        <f t="shared" si="3"/>
        <v>125.83999999999997</v>
      </c>
      <c r="AK22">
        <f t="shared" si="4"/>
        <v>877.78</v>
      </c>
      <c r="AL22">
        <f t="shared" si="5"/>
        <v>63.07</v>
      </c>
      <c r="AM22">
        <f t="shared" si="6"/>
        <v>210.23</v>
      </c>
      <c r="AN22">
        <f t="shared" si="7"/>
        <v>6.52</v>
      </c>
      <c r="AO22">
        <f>ROUND(($J22*CIS_Inc_Salary2425*(VLOOKUP($A22,EnrollData2324,'2324 Jun 24 Enroll'!AI$1,FALSE)+VLOOKUP($A22,EnrollData2324,'2324 Jun 24 Enroll'!AJ$1,FALSE))/Apport_613Xpd)*Apport_614Xpd,2)</f>
        <v>78.56</v>
      </c>
      <c r="AP22">
        <f t="shared" si="8"/>
        <v>13.76</v>
      </c>
      <c r="AQ22">
        <f t="shared" si="11"/>
        <v>32.28</v>
      </c>
      <c r="AR22" s="6">
        <f>ROUND((IF(VLOOKUP($A22,EnrollData2324,'2324 Jun 24 Enroll'!D$1,FALSE)=VLOOKUP($A22,'ESA Calculations 2425'!$A$4:$AE$37,4,FALSE),VLOOKUP($A22,EnrollData2324,'2324 Jun 24 Enroll'!D$1,FALSE),VLOOKUP($A22,'ESA Calculations 2425'!$A$4:$AE$37,4,FALSE))*Apport_M802425+IF(VLOOKUP($A22,EnrollData2324,'2324 Jun 24 Enroll'!M$1,FALSE)=VLOOKUP($A22,'ESA Calculations 2425'!$A$4:$AE$37,18,FALSE),VLOOKUP($A22,EnrollData2324,'2324 Jun 24 Enroll'!M$1,FALSE),VLOOKUP($A22,'ESA Calculations 2425'!$A$4:$AE$37,18,FALSE))*Apport_M802425+IF((VLOOKUP($A22,EnrollData2324,'2324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Enroll'!L$1,FALSE))=VLOOKUP($A22,EnrollData2324,'2324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Enroll'!L$1,FALSE),(VLOOKUP($A22,EnrollData2324,'2324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Enroll'!L$1,FALSE)),(VLOOKUP($A22,EnrollData2324,'2324 Jun 24 Enroll'!P$1,FALSE)+VLOOKUP($A22,EnrollData2324,'2324 Jun 24 Enroll'!Q$1,FALSE)+VLOOKUP($A22,EnrollData2324,'2324 Jun 24 Enroll'!R$1,FALSE)+VLOOKUP($A22,EnrollData2324,'2324 Jun 24 Enroll'!I$1,FALSE)+VLOOKUP($A22,EnrollData2324,'2324 Jun 24 Enroll'!N$1,FALSE)+VLOOKUP($A22,EnrollData2324,'2324 Jun 24 Enroll'!O$1,FALSE)+VLOOKUP($A22,EnrollData2324,'2324 Jun 24 Enroll'!K$1,FALSE)+VLOOKUP($A22,EnrollData2324,'2324 Jun 24 Enroll'!L$1,FALSE)))*Apport_M812425)/(IF(VLOOKUP($A22,EnrollData2324,'2324 Jun 24 Enroll'!M$1,FALSE)=VLOOKUP($A22,'ESA Calculations 2425'!$A$4:$AE$37,18,FALSE),VLOOKUP($A22,EnrollData2324,'2324 Jun 24 Enroll'!M$1,FALSE),VLOOKUP($A22,'ESA Calculations 2425'!$A$4:$AE$37,18,FALSE))+IF(VLOOKUP($A22,EnrollData2324,'2324 Jun 24 Enroll'!D$1,FALSE)=VLOOKUP($A22,'ESA Calculations 2425'!$A$4:$AE$37,4,FALSE),VLOOKUP($A22,EnrollData2324,'2324 Jun 24 Enroll'!D$1,FALSE),VLOOKUP($A22,'ESA Calculations 2425'!$A$4:$AE$37,4,FALSE))),2)</f>
        <v>1596.36</v>
      </c>
      <c r="AS22" s="7">
        <f t="shared" si="12"/>
        <v>10339.720000000001</v>
      </c>
      <c r="AT22" s="6">
        <f>IF(VLOOKUP($A22,EnrollData2324,'2324 Jun 24 Enroll'!AA$1,FALSE)=VLOOKUP($A22,'ESA Calculations 2425'!$A$4:$AE$37,24,FALSE),VLOOKUP($A22,EnrollData2324,'2324 Jun 24 Enroll'!AA$1,FALSE),VLOOKUP($A22,'ESA Calculations 2425'!$A$4:$AE$37,24,FALSE))</f>
        <v>85.85</v>
      </c>
    </row>
    <row r="23" spans="1:46">
      <c r="A23" s="40" t="s">
        <v>737</v>
      </c>
      <c r="B23" s="40" t="s">
        <v>738</v>
      </c>
      <c r="C23" s="11">
        <f>ROUND((IFERROR((1/IF(VLOOKUP($A23,EnrollData2324,28,FALSE)=VLOOKUP($A23,'ESA Calculations 2425'!$A$4:$AE$37,3,FALSE),VLOOKUP($A23,EnrollData2324,28,FALSE),VLOOKUP($A23,'ESA Calculations 2425'!$A$4:$AE$37,3,FALSE)))*(1+Apport_Z315),0))+Apport_201A2425,6)</f>
        <v>7.4580999999999995E-2</v>
      </c>
      <c r="D23">
        <f>ROUND(IF(VLOOKUP($A23,EnrollData2324,'2324 Jun 24 Enroll'!D$1,FALSE)=VLOOKUP($A23,'ESA Calculations 2425'!$A$4:$AE$37,4,FALSE),VLOOKUP($A23,EnrollData2324,'2324 Jun 24 Enroll'!D$1,FALSE),VLOOKUP($A23,'ESA Calculations 2425'!$A$4:$AE$37,4,FALSE))*C23,3)</f>
        <v>0</v>
      </c>
      <c r="E23">
        <f>ROUND(IF(VLOOKUP($A23,EnrollData2324,'2324 Jun 24 Enroll'!E$1,FALSE)=VLOOKUP($A23,'ESA Calculations 2425'!$A$4:$AE$37,5,FALSE),VLOOKUP($A23,EnrollData2324,'2324 Jun 24 Enroll'!E$1,FALSE),VLOOKUP($A23,'ESA Calculations 2425'!$A$4:$AE$37,5,FALSE))*C23,3)</f>
        <v>0.85799999999999998</v>
      </c>
      <c r="F23">
        <f>ROUND(IF(VLOOKUP($A23,EnrollData2324,'2324 Jun 24 Enroll'!F$1,FALSE)=VLOOKUP($A23,'ESA Calculations 2425'!$A$4:$AE$37,6,FALSE),VLOOKUP($A23,EnrollData2324,'2324 Jun 24 Enroll'!F$1,FALSE),VLOOKUP($A23,'ESA Calculations 2425'!$A$4:$AE$37,6,FALSE))*Apport_222A2425,3)</f>
        <v>0.124</v>
      </c>
      <c r="G23">
        <f>ROUND(IF(VLOOKUP($A23,EnrollData2324,'2324 Jun 24 Enroll'!G$1,FALSE)=VLOOKUP($A23,'ESA Calculations 2425'!$A$4:$AE$37,7,FALSE),VLOOKUP($A23,EnrollData2324,'2324 Jun 24 Enroll'!G$1,FALSE),VLOOKUP($A23,'ESA Calculations 2425'!$A$4:$AE$37,7,FALSE))*Apport_210A2425,3)</f>
        <v>0.64700000000000002</v>
      </c>
      <c r="H23">
        <f>ROUND(IF(VLOOKUP($A23,EnrollData2324,'2324 Jun 24 Enroll'!H$1,FALSE)=VLOOKUP($A23,'ESA Calculations 2425'!$A$4:$AE$37,8,FALSE),VLOOKUP($A23,EnrollData2324,'2324 Jun 24 Enroll'!H$1,FALSE),VLOOKUP($A23,'ESA Calculations 2425'!$A$4:$AE$37,8,FALSE))*Apport_213A2425,3)</f>
        <v>0</v>
      </c>
      <c r="I23">
        <f>ROUND(IF(VLOOKUP($A23,EnrollData2324,'2324 Jun 24 Enroll'!I$1,FALSE)+VLOOKUP($A23,EnrollData2324,'2324 Jun 24 Enroll'!M$1,FALSE)-VLOOKUP($A23,EnrollData2324,'2324 Jun 24 Enroll'!J$1,FALSE)=VLOOKUP($A23,'ESA Calculations 2425'!$A$4:$AE$37,9,FALSE)+VLOOKUP($A23,'ESA Calculations 2425'!$A$4:$AE$37,18,FALSE)-VLOOKUP($A23,'ESA Calculations 2425'!$A$4:$AE$37,10,FALSE),VLOOKUP($A23,EnrollData2324,'2324 Jun 24 Enroll'!I$1,FALSE)+VLOOKUP($A23,EnrollData2324,'2324 Jun 24 Enroll'!M$1,FALSE)-VLOOKUP($A23,EnrollData2324,'2324 Jun 24 Enroll'!J$1,FALSE),VLOOKUP($A23,'ESA Calculations 2425'!$A$4:$AE$37,9,FALSE)+VLOOKUP($A23,'ESA Calculations 2425'!$A$4:$AE$37,18,FALSE)-VLOOKUP($A23,'ESA Calculations 2425'!$A$4:$AE$37,10,FALSE))*Apport_216A2425,3)</f>
        <v>0</v>
      </c>
      <c r="J23">
        <f>ROUND(SUM(D23:I23)/IF(VLOOKUP($A23,EnrollData2324,'2324 Jun 24 Enroll'!M$1,FALSE)+VLOOKUP($A23,EnrollData2324,'2324 Jun 24 Enroll'!D$1,FALSE)=VLOOKUP($A23,'ESA Calculations 2425'!$A$4:$AE$37,18,FALSE)+VLOOKUP($A23,'ESA Calculations 2425'!$A$4:$AE$37,4,FALSE),VLOOKUP($A23,EnrollData2324,'2324 Jun 24 Enroll'!M$1,FALSE)+VLOOKUP($A23,EnrollData2324,'2324 Jun 24 Enroll'!D$1,FALSE),VLOOKUP($A23,'ESA Calculations 2425'!$A$4:$AE$37,18,FALSE)+VLOOKUP($A23,'ESA Calculations 2425'!$A$4:$AE$37,4,FALSE)),5)</f>
        <v>6.0109999999999997E-2</v>
      </c>
      <c r="K23" s="11">
        <f t="shared" si="1"/>
        <v>4.385E-3</v>
      </c>
      <c r="L23">
        <f>ROUND(IF(VLOOKUP($A23,EnrollData2324,'2324 Jun 24 Enroll'!D$1,FALSE)=VLOOKUP($A23,'ESA Calculations 2425'!$A$4:$AE$37,4,FALSE),VLOOKUP($A23,EnrollData2324,'2324 Jun 24 Enroll'!D$1,FALSE),VLOOKUP($A23,'ESA Calculations 2425'!$A$4:$AE$37,4,FALSE))*K23,3)</f>
        <v>0</v>
      </c>
      <c r="M23">
        <f>ROUND(IF(VLOOKUP($A23,EnrollData2324,'2324 Jun 24 Enroll'!E$1,FALSE)=VLOOKUP($A23,'ESA Calculations 2425'!$A$4:$AE$37,5,FALSE),VLOOKUP($A23,EnrollData2324,'2324 Jun 24 Enroll'!E$1,FALSE),VLOOKUP($A23,'ESA Calculations 2425'!$A$4:$AE$37,5,FALSE))*K23,3)</f>
        <v>0.05</v>
      </c>
      <c r="N23">
        <f>ROUND(IF(VLOOKUP($A23,EnrollData2324,'2324 Jun 24 Enroll'!F$1,FALSE)=VLOOKUP($A23,'ESA Calculations 2425'!$A$4:$AE$37,6,FALSE),VLOOKUP($A23,EnrollData2324,'2324 Jun 24 Enroll'!F$1,FALSE),VLOOKUP($A23,'ESA Calculations 2425'!$A$4:$AE$37,6,FALSE))*Apport_223A2425,3)</f>
        <v>0.01</v>
      </c>
      <c r="O23">
        <f>ROUND(IF(VLOOKUP($A23,EnrollData2324,'2324 Jun 24 Enroll'!G$1,FALSE)=VLOOKUP($A23,'ESA Calculations 2425'!$A$4:$AE$37,7,FALSE),VLOOKUP($A23,EnrollData2324,'2324 Jun 24 Enroll'!G$1,FALSE),VLOOKUP($A23,'ESA Calculations 2425'!$A$4:$AE$37,7,FALSE))*Apport_211A2425,3)</f>
        <v>5.2999999999999999E-2</v>
      </c>
      <c r="P23">
        <f>ROUND(IF(VLOOKUP($A23,EnrollData2324,'2324 Jun 24 Enroll'!H$1,FALSE)=VLOOKUP($A23,'ESA Calculations 2425'!$A$4:$AE$37,8,FALSE),VLOOKUP($A23,EnrollData2324,'2324 Jun 24 Enroll'!H$1,FALSE),VLOOKUP($A23,'ESA Calculations 2425'!$A$4:$AE$37,8,FALSE))*Apport_214A2425,3)</f>
        <v>0</v>
      </c>
      <c r="Q23">
        <f>ROUND(IF(VLOOKUP($A23,EnrollData2324,'2324 Jun 24 Enroll'!I$1,FALSE)+VLOOKUP($A23,EnrollData2324,'2324 Jun 24 Enroll'!M$1,FALSE)-VLOOKUP($A23,EnrollData2324,'2324 Jun 24 Enroll'!J$1,FALSE)=VLOOKUP($A23,'ESA Calculations 2425'!$A$4:$AE$37,9,FALSE)+VLOOKUP($A23,'ESA Calculations 2425'!$A$4:$AE$37,18,FALSE)-VLOOKUP($A23,'ESA Calculations 2425'!$A$4:$AE$37,10,FALSE),VLOOKUP($A23,EnrollData2324,'2324 Jun 24 Enroll'!I$1,FALSE)+VLOOKUP($A23,EnrollData2324,'2324 Jun 24 Enroll'!M$1,FALSE)-VLOOKUP($A23,EnrollData2324,'2324 Jun 24 Enroll'!J$1,FALSE),VLOOKUP($A23,'ESA Calculations 2425'!$A$4:$AE$37,9,FALSE)+VLOOKUP($A23,'ESA Calculations 2425'!$A$4:$AE$37,18,FALSE)-VLOOKUP($A23,'ESA Calculations 2425'!$A$4:$AE$37,10,FALSE))*Apport_217A2425,3)</f>
        <v>0</v>
      </c>
      <c r="R23">
        <f>ROUND(SUM(L23:Q23)/IF(VLOOKUP($A23,EnrollData2324,'2324 Jun 24 Enroll'!M$1,FALSE)+VLOOKUP($A23,EnrollData2324,'2324 Jun 24 Enroll'!D$1,FALSE)=VLOOKUP($A23,'ESA Calculations 2425'!$A$4:$AE$37,18,FALSE)+VLOOKUP($A23,'ESA Calculations 2425'!$A$4:$AE$37,4,FALSE),VLOOKUP($A23,EnrollData2324,'2324 Jun 24 Enroll'!M$1,FALSE)+VLOOKUP($A23,EnrollData2324,'2324 Jun 24 Enroll'!D$1,FALSE),VLOOKUP($A23,'ESA Calculations 2425'!$A$4:$AE$37,18,FALSE)+VLOOKUP($A23,'ESA Calculations 2425'!$A$4:$AE$37,4,FALSE)),5)</f>
        <v>4.1700000000000001E-3</v>
      </c>
      <c r="S23" s="11">
        <f t="shared" si="2"/>
        <v>1.8734299999999999E-2</v>
      </c>
      <c r="T23">
        <f>ROUND(IF(VLOOKUP($A23,EnrollData2324,'2324 Jun 24 Enroll'!D$1,FALSE)=VLOOKUP($A23,'ESA Calculations 2425'!$A$4:$AE$37,4,FALSE),VLOOKUP($A23,EnrollData2324,'2324 Jun 24 Enroll'!D$1,FALSE),VLOOKUP($A23,'ESA Calculations 2425'!$A$4:$AE$37,4,FALSE))*S23,3)</f>
        <v>0</v>
      </c>
      <c r="U23">
        <f>ROUND(IF(VLOOKUP($A23,EnrollData2324,'2324 Jun 24 Enroll'!E$1,FALSE)=VLOOKUP($A23,'ESA Calculations 2425'!$A$4:$AE$37,5,FALSE),VLOOKUP($A23,EnrollData2324,'2324 Jun 24 Enroll'!E$1,FALSE),VLOOKUP($A23,'ESA Calculations 2425'!$A$4:$AE$37,5,FALSE))*S23,3)</f>
        <v>0.215</v>
      </c>
      <c r="V23">
        <f>ROUND(IF(VLOOKUP($A23,EnrollData2324,'2324 Jun 24 Enroll'!F$1,FALSE)=VLOOKUP($A23,'ESA Calculations 2425'!$A$4:$AE$37,6,FALSE),VLOOKUP($A23,EnrollData2324,'2324 Jun 24 Enroll'!F$1,FALSE),VLOOKUP($A23,'ESA Calculations 2425'!$A$4:$AE$37,6,FALSE))*Apport_224A2425,3)</f>
        <v>4.3999999999999997E-2</v>
      </c>
      <c r="W23">
        <f>ROUND(IF(VLOOKUP($A23,EnrollData2324,'2324 Jun 24 Enroll'!G$1,FALSE)=VLOOKUP($A23,'ESA Calculations 2425'!$A$4:$AE$37,7,FALSE),VLOOKUP($A23,EnrollData2324,'2324 Jun 24 Enroll'!G$1,FALSE),VLOOKUP($A23,'ESA Calculations 2425'!$A$4:$AE$37,7,FALSE))*Apport_212A2425,3)</f>
        <v>0.23200000000000001</v>
      </c>
      <c r="X23">
        <f>ROUND(IF(VLOOKUP($A23,EnrollData2324,'2324 Jun 24 Enroll'!H$1,FALSE)=VLOOKUP($A23,'ESA Calculations 2425'!$A$4:$AE$37,8,FALSE),VLOOKUP($A23,EnrollData2324,'2324 Jun 24 Enroll'!H$1,FALSE),VLOOKUP($A23,'ESA Calculations 2425'!$A$4:$AE$37,8,FALSE))*Apport_215A2425,3)</f>
        <v>0</v>
      </c>
      <c r="Y23">
        <f>ROUND(IF(VLOOKUP($A23,EnrollData2324,'2324 Jun 24 Enroll'!I$1,FALSE)+VLOOKUP($A23,EnrollData2324,'2324 Jun 24 Enroll'!M$1,FALSE)-VLOOKUP($A23,EnrollData2324,'2324 Jun 24 Enroll'!J$1,FALSE)=VLOOKUP($A23,'ESA Calculations 2425'!$A$4:$AE$37,9,FALSE)+VLOOKUP($A23,'ESA Calculations 2425'!$A$4:$AE$37,18,FALSE)-VLOOKUP($A23,'ESA Calculations 2425'!$A$4:$AE$37,10,FALSE),VLOOKUP($A23,EnrollData2324,'2324 Jun 24 Enroll'!I$1,FALSE)+VLOOKUP($A23,EnrollData2324,'2324 Jun 24 Enroll'!M$1,FALSE)-VLOOKUP($A23,EnrollData2324,'2324 Jun 24 Enroll'!J$1,FALSE),VLOOKUP($A23,'ESA Calculations 2425'!$A$4:$AE$37,9,FALSE)+VLOOKUP($A23,'ESA Calculations 2425'!$A$4:$AE$37,18,FALSE)-VLOOKUP($A23,'ESA Calculations 2425'!$A$4:$AE$37,10,FALSE))*Apport_218A2425,3)</f>
        <v>0</v>
      </c>
      <c r="Z23">
        <f>ROUND(SUM(T23:Y23)/IF(VLOOKUP($A23,EnrollData2324,'2324 Jun 24 Enroll'!M$1,FALSE)+VLOOKUP($A23,EnrollData2324,'2324 Jun 24 Enroll'!D$1,FALSE)=VLOOKUP($A23,'ESA Calculations 2425'!$A$4:$AE$37,18,FALSE)+VLOOKUP($A23,'ESA Calculations 2425'!$A$4:$AE$37,4,FALSE),VLOOKUP($A23,EnrollData2324,'2324 Jun 24 Enroll'!M$1,FALSE)+VLOOKUP($A23,EnrollData2324,'2324 Jun 24 Enroll'!D$1,FALSE),VLOOKUP($A23,'ESA Calculations 2425'!$A$4:$AE$37,18,FALSE)+VLOOKUP($A23,'ESA Calculations 2425'!$A$4:$AE$37,4,FALSE)),5)</f>
        <v>1.8120000000000001E-2</v>
      </c>
      <c r="AA23" s="6">
        <f>ROUND($J23*CIS_Base_Salary2425*VLOOKUP($A23,EnrollData2324,'2324 Jun 24 Enroll'!AH$1,FALSE),2)</f>
        <v>4533.4399999999996</v>
      </c>
      <c r="AB23" s="6">
        <f>ROUND($J23*CIS_Inc_Salary2425*(VLOOKUP($A23,EnrollData2324,'2324 Jun 24 Enroll'!AI$1,FALSE)+VLOOKUP($A23,EnrollData2324,'2324 Jun 24 Enroll'!AJ$1,FALSE)),2)-AA23</f>
        <v>167.70000000000073</v>
      </c>
      <c r="AC23" s="6" cm="1">
        <f t="array" ref="AC23">ROUND($R23*CAS_Base_Salary2425*VLOOKUP($A23,EnrollData2324,'2324 Jun 24 Enroll'!AH$1,FALSE),2)</f>
        <v>466.83</v>
      </c>
      <c r="AD23" s="6">
        <f>ROUND($R23*CAS_Inc_Salary2425*VLOOKUP($A23,EnrollData2324,'2324 Jun 24 Enroll'!AI$1,FALSE),2)-AC23</f>
        <v>17.270000000000039</v>
      </c>
      <c r="AE23" s="6">
        <f>ROUND($Z23*CLS_Base_Salary2425*VLOOKUP($A23,EnrollData2324,'2324 Jun 24 Enroll'!AH$1,FALSE),2)</f>
        <v>980.35</v>
      </c>
      <c r="AF23" s="6">
        <f>ROUND($Z23*CLS_Inc_Salary2425*VLOOKUP($A23,EnrollData2324,'2324 Jun 24 Enroll'!AI$1,FALSE),2)-AE23</f>
        <v>36.269999999999982</v>
      </c>
      <c r="AG23" cm="1">
        <f t="array" ref="AG23">ROUND(($J23+$R23)*Apport_124X2425,2)</f>
        <v>848.5</v>
      </c>
      <c r="AH23" s="69" cm="1">
        <f t="array" ref="AH23">ROUND(($J23+$R23)*Apport_621X2425*Apport_125XC2425,2)-AG23</f>
        <v>78.340000000000032</v>
      </c>
      <c r="AI23" cm="1">
        <f t="array" ref="AI23">ROUND($Z23*Apport_124X2425,2)</f>
        <v>239.18</v>
      </c>
      <c r="AJ23">
        <f t="shared" si="3"/>
        <v>127.11000000000001</v>
      </c>
      <c r="AK23">
        <f t="shared" si="4"/>
        <v>907.55</v>
      </c>
      <c r="AL23">
        <f t="shared" si="5"/>
        <v>32.39</v>
      </c>
      <c r="AM23">
        <f t="shared" si="6"/>
        <v>212.34</v>
      </c>
      <c r="AN23">
        <f t="shared" si="7"/>
        <v>6.59</v>
      </c>
      <c r="AO23">
        <f>ROUND(($J23*CIS_Inc_Salary2425*(VLOOKUP($A23,EnrollData2324,'2324 Jun 24 Enroll'!AI$1,FALSE)+VLOOKUP($A23,EnrollData2324,'2324 Jun 24 Enroll'!AJ$1,FALSE))/Apport_613Xpd)*Apport_614Xpd,2)</f>
        <v>78.349999999999994</v>
      </c>
      <c r="AP23">
        <f t="shared" si="8"/>
        <v>13.72</v>
      </c>
      <c r="AQ23">
        <f t="shared" si="11"/>
        <v>33.479999999999997</v>
      </c>
      <c r="AR23" s="6">
        <f>ROUND((IF(VLOOKUP($A23,EnrollData2324,'2324 Jun 24 Enroll'!D$1,FALSE)=VLOOKUP($A23,'ESA Calculations 2425'!$A$4:$AE$37,4,FALSE),VLOOKUP($A23,EnrollData2324,'2324 Jun 24 Enroll'!D$1,FALSE),VLOOKUP($A23,'ESA Calculations 2425'!$A$4:$AE$37,4,FALSE))*Apport_M802425+IF(VLOOKUP($A23,EnrollData2324,'2324 Jun 24 Enroll'!M$1,FALSE)=VLOOKUP($A23,'ESA Calculations 2425'!$A$4:$AE$37,18,FALSE),VLOOKUP($A23,EnrollData2324,'2324 Jun 24 Enroll'!M$1,FALSE),VLOOKUP($A23,'ESA Calculations 2425'!$A$4:$AE$37,18,FALSE))*Apport_M802425+IF((VLOOKUP($A23,EnrollData2324,'2324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Enroll'!L$1,FALSE))=VLOOKUP($A23,EnrollData2324,'2324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Enroll'!L$1,FALSE),(VLOOKUP($A23,EnrollData2324,'2324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Enroll'!L$1,FALSE)),(VLOOKUP($A23,EnrollData2324,'2324 Jun 24 Enroll'!P$1,FALSE)+VLOOKUP($A23,EnrollData2324,'2324 Jun 24 Enroll'!Q$1,FALSE)+VLOOKUP($A23,EnrollData2324,'2324 Jun 24 Enroll'!R$1,FALSE)+VLOOKUP($A23,EnrollData2324,'2324 Jun 24 Enroll'!I$1,FALSE)+VLOOKUP($A23,EnrollData2324,'2324 Jun 24 Enroll'!N$1,FALSE)+VLOOKUP($A23,EnrollData2324,'2324 Jun 24 Enroll'!O$1,FALSE)+VLOOKUP($A23,EnrollData2324,'2324 Jun 24 Enroll'!K$1,FALSE)+VLOOKUP($A23,EnrollData2324,'2324 Jun 24 Enroll'!L$1,FALSE)))*Apport_M812425)/(IF(VLOOKUP($A23,EnrollData2324,'2324 Jun 24 Enroll'!M$1,FALSE)=VLOOKUP($A23,'ESA Calculations 2425'!$A$4:$AE$37,18,FALSE),VLOOKUP($A23,EnrollData2324,'2324 Jun 24 Enroll'!M$1,FALSE),VLOOKUP($A23,'ESA Calculations 2425'!$A$4:$AE$37,18,FALSE))+IF(VLOOKUP($A23,EnrollData2324,'2324 Jun 24 Enroll'!D$1,FALSE)=VLOOKUP($A23,'ESA Calculations 2425'!$A$4:$AE$37,4,FALSE),VLOOKUP($A23,EnrollData2324,'2324 Jun 24 Enroll'!D$1,FALSE),VLOOKUP($A23,'ESA Calculations 2425'!$A$4:$AE$37,4,FALSE))),2)</f>
        <v>1533.02</v>
      </c>
      <c r="AS23" s="7">
        <f t="shared" si="12"/>
        <v>10312.43</v>
      </c>
      <c r="AT23" s="6">
        <f>IF(VLOOKUP($A23,EnrollData2324,'2324 Jun 24 Enroll'!AA$1,FALSE)=VLOOKUP($A23,'ESA Calculations 2425'!$A$4:$AE$37,24,FALSE),VLOOKUP($A23,EnrollData2324,'2324 Jun 24 Enroll'!AA$1,FALSE),VLOOKUP($A23,'ESA Calculations 2425'!$A$4:$AE$37,24,FALSE))</f>
        <v>27.1</v>
      </c>
    </row>
    <row r="24" spans="1:46">
      <c r="A24" s="40" t="s">
        <v>480</v>
      </c>
      <c r="B24" s="40" t="s">
        <v>481</v>
      </c>
      <c r="C24" s="11">
        <f>ROUND((IFERROR((1/IF(VLOOKUP($A24,EnrollData2324,28,FALSE)=VLOOKUP($A24,'ESA Calculations 2425'!$A$4:$AE$37,3,FALSE),VLOOKUP($A24,EnrollData2324,28,FALSE),VLOOKUP($A24,'ESA Calculations 2425'!$A$4:$AE$37,3,FALSE)))*(1+Apport_Z315),0))+Apport_201A2425,6)</f>
        <v>7.3519000000000001E-2</v>
      </c>
      <c r="D24">
        <f>ROUND(IF(VLOOKUP($A24,EnrollData2324,'2324 Jun 24 Enroll'!D$1,FALSE)=VLOOKUP($A24,'ESA Calculations 2425'!$A$4:$AE$37,4,FALSE),VLOOKUP($A24,EnrollData2324,'2324 Jun 24 Enroll'!D$1,FALSE),VLOOKUP($A24,'ESA Calculations 2425'!$A$4:$AE$37,4,FALSE))*C24,3)</f>
        <v>0</v>
      </c>
      <c r="E24">
        <f>ROUND(IF(VLOOKUP($A24,EnrollData2324,'2324 Jun 24 Enroll'!E$1,FALSE)=VLOOKUP($A24,'ESA Calculations 2425'!$A$4:$AE$37,5,FALSE),VLOOKUP($A24,EnrollData2324,'2324 Jun 24 Enroll'!E$1,FALSE),VLOOKUP($A24,'ESA Calculations 2425'!$A$4:$AE$37,5,FALSE))*C24,3)</f>
        <v>17.341999999999999</v>
      </c>
      <c r="F24">
        <f>ROUND(IF(VLOOKUP($A24,EnrollData2324,'2324 Jun 24 Enroll'!F$1,FALSE)=VLOOKUP($A24,'ESA Calculations 2425'!$A$4:$AE$37,6,FALSE),VLOOKUP($A24,EnrollData2324,'2324 Jun 24 Enroll'!F$1,FALSE),VLOOKUP($A24,'ESA Calculations 2425'!$A$4:$AE$37,6,FALSE))*Apport_222A2425,3)</f>
        <v>3.0390000000000001</v>
      </c>
      <c r="G24">
        <f>ROUND(IF(VLOOKUP($A24,EnrollData2324,'2324 Jun 24 Enroll'!G$1,FALSE)=VLOOKUP($A24,'ESA Calculations 2425'!$A$4:$AE$37,7,FALSE),VLOOKUP($A24,EnrollData2324,'2324 Jun 24 Enroll'!G$1,FALSE),VLOOKUP($A24,'ESA Calculations 2425'!$A$4:$AE$37,7,FALSE))*Apport_210A2425,3)</f>
        <v>5.742</v>
      </c>
      <c r="H24">
        <f>ROUND(IF(VLOOKUP($A24,EnrollData2324,'2324 Jun 24 Enroll'!H$1,FALSE)=VLOOKUP($A24,'ESA Calculations 2425'!$A$4:$AE$37,8,FALSE),VLOOKUP($A24,EnrollData2324,'2324 Jun 24 Enroll'!H$1,FALSE),VLOOKUP($A24,'ESA Calculations 2425'!$A$4:$AE$37,8,FALSE))*Apport_213A2425,3)</f>
        <v>6.8330000000000002</v>
      </c>
      <c r="I24">
        <f>ROUND(IF(VLOOKUP($A24,EnrollData2324,'2324 Jun 24 Enroll'!I$1,FALSE)+VLOOKUP($A24,EnrollData2324,'2324 Jun 24 Enroll'!M$1,FALSE)-VLOOKUP($A24,EnrollData2324,'2324 Jun 24 Enroll'!J$1,FALSE)=VLOOKUP($A24,'ESA Calculations 2425'!$A$4:$AE$37,9,FALSE)+VLOOKUP($A24,'ESA Calculations 2425'!$A$4:$AE$37,18,FALSE)-VLOOKUP($A24,'ESA Calculations 2425'!$A$4:$AE$37,10,FALSE),VLOOKUP($A24,EnrollData2324,'2324 Jun 24 Enroll'!I$1,FALSE)+VLOOKUP($A24,EnrollData2324,'2324 Jun 24 Enroll'!M$1,FALSE)-VLOOKUP($A24,EnrollData2324,'2324 Jun 24 Enroll'!J$1,FALSE),VLOOKUP($A24,'ESA Calculations 2425'!$A$4:$AE$37,9,FALSE)+VLOOKUP($A24,'ESA Calculations 2425'!$A$4:$AE$37,18,FALSE)-VLOOKUP($A24,'ESA Calculations 2425'!$A$4:$AE$37,10,FALSE))*Apport_216A2425,3)</f>
        <v>121.175</v>
      </c>
      <c r="J24">
        <f>ROUND(SUM(D24:I24)/IF(VLOOKUP($A24,EnrollData2324,'2324 Jun 24 Enroll'!M$1,FALSE)+VLOOKUP($A24,EnrollData2324,'2324 Jun 24 Enroll'!D$1,FALSE)=VLOOKUP($A24,'ESA Calculations 2425'!$A$4:$AE$37,18,FALSE)+VLOOKUP($A24,'ESA Calculations 2425'!$A$4:$AE$37,4,FALSE),VLOOKUP($A24,EnrollData2324,'2324 Jun 24 Enroll'!M$1,FALSE)+VLOOKUP($A24,EnrollData2324,'2324 Jun 24 Enroll'!D$1,FALSE),VLOOKUP($A24,'ESA Calculations 2425'!$A$4:$AE$37,18,FALSE)+VLOOKUP($A24,'ESA Calculations 2425'!$A$4:$AE$37,4,FALSE)),5)</f>
        <v>5.2549999999999999E-2</v>
      </c>
      <c r="K24" s="11">
        <f t="shared" si="1"/>
        <v>4.3709999999999999E-3</v>
      </c>
      <c r="L24">
        <f>ROUND(IF(VLOOKUP($A24,EnrollData2324,'2324 Jun 24 Enroll'!D$1,FALSE)=VLOOKUP($A24,'ESA Calculations 2425'!$A$4:$AE$37,4,FALSE),VLOOKUP($A24,EnrollData2324,'2324 Jun 24 Enroll'!D$1,FALSE),VLOOKUP($A24,'ESA Calculations 2425'!$A$4:$AE$37,4,FALSE))*K24,3)</f>
        <v>0</v>
      </c>
      <c r="M24">
        <f>ROUND(IF(VLOOKUP($A24,EnrollData2324,'2324 Jun 24 Enroll'!E$1,FALSE)=VLOOKUP($A24,'ESA Calculations 2425'!$A$4:$AE$37,5,FALSE),VLOOKUP($A24,EnrollData2324,'2324 Jun 24 Enroll'!E$1,FALSE),VLOOKUP($A24,'ESA Calculations 2425'!$A$4:$AE$37,5,FALSE))*K24,3)</f>
        <v>1.0309999999999999</v>
      </c>
      <c r="N24">
        <f>ROUND(IF(VLOOKUP($A24,EnrollData2324,'2324 Jun 24 Enroll'!F$1,FALSE)=VLOOKUP($A24,'ESA Calculations 2425'!$A$4:$AE$37,6,FALSE),VLOOKUP($A24,EnrollData2324,'2324 Jun 24 Enroll'!F$1,FALSE),VLOOKUP($A24,'ESA Calculations 2425'!$A$4:$AE$37,6,FALSE))*Apport_223A2425,3)</f>
        <v>0.249</v>
      </c>
      <c r="O24">
        <f>ROUND(IF(VLOOKUP($A24,EnrollData2324,'2324 Jun 24 Enroll'!G$1,FALSE)=VLOOKUP($A24,'ESA Calculations 2425'!$A$4:$AE$37,7,FALSE),VLOOKUP($A24,EnrollData2324,'2324 Jun 24 Enroll'!G$1,FALSE),VLOOKUP($A24,'ESA Calculations 2425'!$A$4:$AE$37,7,FALSE))*Apport_211A2425,3)</f>
        <v>0.47</v>
      </c>
      <c r="P24">
        <f>ROUND(IF(VLOOKUP($A24,EnrollData2324,'2324 Jun 24 Enroll'!H$1,FALSE)=VLOOKUP($A24,'ESA Calculations 2425'!$A$4:$AE$37,8,FALSE),VLOOKUP($A24,EnrollData2324,'2324 Jun 24 Enroll'!H$1,FALSE),VLOOKUP($A24,'ESA Calculations 2425'!$A$4:$AE$37,8,FALSE))*Apport_214A2425,3)</f>
        <v>0.55800000000000005</v>
      </c>
      <c r="Q24">
        <f>ROUND(IF(VLOOKUP($A24,EnrollData2324,'2324 Jun 24 Enroll'!I$1,FALSE)+VLOOKUP($A24,EnrollData2324,'2324 Jun 24 Enroll'!M$1,FALSE)-VLOOKUP($A24,EnrollData2324,'2324 Jun 24 Enroll'!J$1,FALSE)=VLOOKUP($A24,'ESA Calculations 2425'!$A$4:$AE$37,9,FALSE)+VLOOKUP($A24,'ESA Calculations 2425'!$A$4:$AE$37,18,FALSE)-VLOOKUP($A24,'ESA Calculations 2425'!$A$4:$AE$37,10,FALSE),VLOOKUP($A24,EnrollData2324,'2324 Jun 24 Enroll'!I$1,FALSE)+VLOOKUP($A24,EnrollData2324,'2324 Jun 24 Enroll'!M$1,FALSE)-VLOOKUP($A24,EnrollData2324,'2324 Jun 24 Enroll'!J$1,FALSE),VLOOKUP($A24,'ESA Calculations 2425'!$A$4:$AE$37,9,FALSE)+VLOOKUP($A24,'ESA Calculations 2425'!$A$4:$AE$37,18,FALSE)-VLOOKUP($A24,'ESA Calculations 2425'!$A$4:$AE$37,10,FALSE))*Apport_217A2425,3)</f>
        <v>9.6709999999999994</v>
      </c>
      <c r="R24">
        <f>ROUND(SUM(L24:Q24)/IF(VLOOKUP($A24,EnrollData2324,'2324 Jun 24 Enroll'!M$1,FALSE)+VLOOKUP($A24,EnrollData2324,'2324 Jun 24 Enroll'!D$1,FALSE)=VLOOKUP($A24,'ESA Calculations 2425'!$A$4:$AE$37,18,FALSE)+VLOOKUP($A24,'ESA Calculations 2425'!$A$4:$AE$37,4,FALSE),VLOOKUP($A24,EnrollData2324,'2324 Jun 24 Enroll'!M$1,FALSE)+VLOOKUP($A24,EnrollData2324,'2324 Jun 24 Enroll'!D$1,FALSE),VLOOKUP($A24,'ESA Calculations 2425'!$A$4:$AE$37,18,FALSE)+VLOOKUP($A24,'ESA Calculations 2425'!$A$4:$AE$37,4,FALSE)),5)</f>
        <v>4.0800000000000003E-3</v>
      </c>
      <c r="S24" s="11">
        <f t="shared" si="2"/>
        <v>1.8692299999999998E-2</v>
      </c>
      <c r="T24">
        <f>ROUND(IF(VLOOKUP($A24,EnrollData2324,'2324 Jun 24 Enroll'!D$1,FALSE)=VLOOKUP($A24,'ESA Calculations 2425'!$A$4:$AE$37,4,FALSE),VLOOKUP($A24,EnrollData2324,'2324 Jun 24 Enroll'!D$1,FALSE),VLOOKUP($A24,'ESA Calculations 2425'!$A$4:$AE$37,4,FALSE))*S24,3)</f>
        <v>0</v>
      </c>
      <c r="U24">
        <f>ROUND(IF(VLOOKUP($A24,EnrollData2324,'2324 Jun 24 Enroll'!E$1,FALSE)=VLOOKUP($A24,'ESA Calculations 2425'!$A$4:$AE$37,5,FALSE),VLOOKUP($A24,EnrollData2324,'2324 Jun 24 Enroll'!E$1,FALSE),VLOOKUP($A24,'ESA Calculations 2425'!$A$4:$AE$37,5,FALSE))*S24,3)</f>
        <v>4.4089999999999998</v>
      </c>
      <c r="V24">
        <f>ROUND(IF(VLOOKUP($A24,EnrollData2324,'2324 Jun 24 Enroll'!F$1,FALSE)=VLOOKUP($A24,'ESA Calculations 2425'!$A$4:$AE$37,6,FALSE),VLOOKUP($A24,EnrollData2324,'2324 Jun 24 Enroll'!F$1,FALSE),VLOOKUP($A24,'ESA Calculations 2425'!$A$4:$AE$37,6,FALSE))*Apport_224A2425,3)</f>
        <v>1.091</v>
      </c>
      <c r="W24">
        <f>ROUND(IF(VLOOKUP($A24,EnrollData2324,'2324 Jun 24 Enroll'!G$1,FALSE)=VLOOKUP($A24,'ESA Calculations 2425'!$A$4:$AE$37,7,FALSE),VLOOKUP($A24,EnrollData2324,'2324 Jun 24 Enroll'!G$1,FALSE),VLOOKUP($A24,'ESA Calculations 2425'!$A$4:$AE$37,7,FALSE))*Apport_212A2425,3)</f>
        <v>2.0609999999999999</v>
      </c>
      <c r="X24">
        <f>ROUND(IF(VLOOKUP($A24,EnrollData2324,'2324 Jun 24 Enroll'!H$1,FALSE)=VLOOKUP($A24,'ESA Calculations 2425'!$A$4:$AE$37,8,FALSE),VLOOKUP($A24,EnrollData2324,'2324 Jun 24 Enroll'!H$1,FALSE),VLOOKUP($A24,'ESA Calculations 2425'!$A$4:$AE$37,8,FALSE))*Apport_215A2425,3)</f>
        <v>2.4140000000000001</v>
      </c>
      <c r="Y24">
        <f>ROUND(IF(VLOOKUP($A24,EnrollData2324,'2324 Jun 24 Enroll'!I$1,FALSE)+VLOOKUP($A24,EnrollData2324,'2324 Jun 24 Enroll'!M$1,FALSE)-VLOOKUP($A24,EnrollData2324,'2324 Jun 24 Enroll'!J$1,FALSE)=VLOOKUP($A24,'ESA Calculations 2425'!$A$4:$AE$37,9,FALSE)+VLOOKUP($A24,'ESA Calculations 2425'!$A$4:$AE$37,18,FALSE)-VLOOKUP($A24,'ESA Calculations 2425'!$A$4:$AE$37,10,FALSE),VLOOKUP($A24,EnrollData2324,'2324 Jun 24 Enroll'!I$1,FALSE)+VLOOKUP($A24,EnrollData2324,'2324 Jun 24 Enroll'!M$1,FALSE)-VLOOKUP($A24,EnrollData2324,'2324 Jun 24 Enroll'!J$1,FALSE),VLOOKUP($A24,'ESA Calculations 2425'!$A$4:$AE$37,9,FALSE)+VLOOKUP($A24,'ESA Calculations 2425'!$A$4:$AE$37,18,FALSE)-VLOOKUP($A24,'ESA Calculations 2425'!$A$4:$AE$37,10,FALSE))*Apport_218A2425,3)</f>
        <v>41.567</v>
      </c>
      <c r="Z24">
        <f>ROUND(SUM(T24:Y24)/IF(VLOOKUP($A24,EnrollData2324,'2324 Jun 24 Enroll'!M$1,FALSE)+VLOOKUP($A24,EnrollData2324,'2324 Jun 24 Enroll'!D$1,FALSE)=VLOOKUP($A24,'ESA Calculations 2425'!$A$4:$AE$37,18,FALSE)+VLOOKUP($A24,'ESA Calculations 2425'!$A$4:$AE$37,4,FALSE),VLOOKUP($A24,EnrollData2324,'2324 Jun 24 Enroll'!M$1,FALSE)+VLOOKUP($A24,EnrollData2324,'2324 Jun 24 Enroll'!D$1,FALSE),VLOOKUP($A24,'ESA Calculations 2425'!$A$4:$AE$37,18,FALSE)+VLOOKUP($A24,'ESA Calculations 2425'!$A$4:$AE$37,4,FALSE)),5)</f>
        <v>1.7569999999999999E-2</v>
      </c>
      <c r="AA24" s="6">
        <f>ROUND($J24*CIS_Base_Salary2425*VLOOKUP($A24,EnrollData2324,'2324 Jun 24 Enroll'!AH$1,FALSE),2)</f>
        <v>3963.27</v>
      </c>
      <c r="AB24" s="6">
        <f>ROUND($J24*CIS_Inc_Salary2425*(VLOOKUP($A24,EnrollData2324,'2324 Jun 24 Enroll'!AI$1,FALSE)+VLOOKUP($A24,EnrollData2324,'2324 Jun 24 Enroll'!AJ$1,FALSE)),2)-AA24</f>
        <v>146.61000000000013</v>
      </c>
      <c r="AC24" s="6" cm="1">
        <f t="array" ref="AC24">ROUND($R24*CAS_Base_Salary2425*VLOOKUP($A24,EnrollData2324,'2324 Jun 24 Enroll'!AH$1,FALSE),2)</f>
        <v>456.76</v>
      </c>
      <c r="AD24" s="6">
        <f>ROUND($R24*CAS_Inc_Salary2425*VLOOKUP($A24,EnrollData2324,'2324 Jun 24 Enroll'!AI$1,FALSE),2)-AC24</f>
        <v>16.900000000000034</v>
      </c>
      <c r="AE24" s="6">
        <f>ROUND($Z24*CLS_Base_Salary2425*VLOOKUP($A24,EnrollData2324,'2324 Jun 24 Enroll'!AH$1,FALSE),2)</f>
        <v>950.59</v>
      </c>
      <c r="AF24" s="6">
        <f>ROUND($Z24*CLS_Inc_Salary2425*VLOOKUP($A24,EnrollData2324,'2324 Jun 24 Enroll'!AI$1,FALSE),2)-AE24</f>
        <v>35.169999999999959</v>
      </c>
      <c r="AG24" cm="1">
        <f t="array" ref="AG24">ROUND(($J24+$R24)*Apport_124X2425,2)</f>
        <v>747.52</v>
      </c>
      <c r="AH24" s="69" cm="1">
        <f t="array" ref="AH24">ROUND(($J24+$R24)*Apport_621X2425*Apport_125XC2425,2)-AG24</f>
        <v>69.009999999999991</v>
      </c>
      <c r="AI24" cm="1">
        <f t="array" ref="AI24">ROUND($Z24*Apport_124X2425,2)</f>
        <v>231.92</v>
      </c>
      <c r="AJ24">
        <f t="shared" si="3"/>
        <v>123.25000000000003</v>
      </c>
      <c r="AK24">
        <f t="shared" si="4"/>
        <v>802.24</v>
      </c>
      <c r="AL24">
        <f t="shared" si="5"/>
        <v>28.63</v>
      </c>
      <c r="AM24">
        <f t="shared" si="6"/>
        <v>205.9</v>
      </c>
      <c r="AN24">
        <f t="shared" si="7"/>
        <v>6.39</v>
      </c>
      <c r="AO24">
        <f>ROUND(($J24*CIS_Inc_Salary2425*(VLOOKUP($A24,EnrollData2324,'2324 Jun 24 Enroll'!AI$1,FALSE)+VLOOKUP($A24,EnrollData2324,'2324 Jun 24 Enroll'!AJ$1,FALSE))/Apport_613Xpd)*Apport_614Xpd,2)</f>
        <v>68.5</v>
      </c>
      <c r="AP24">
        <f t="shared" si="8"/>
        <v>11.99</v>
      </c>
      <c r="AQ24">
        <f t="shared" si="11"/>
        <v>29.27</v>
      </c>
      <c r="AR24" s="6">
        <f>ROUND((IF(VLOOKUP($A24,EnrollData2324,'2324 Jun 24 Enroll'!D$1,FALSE)=VLOOKUP($A24,'ESA Calculations 2425'!$A$4:$AE$37,4,FALSE),VLOOKUP($A24,EnrollData2324,'2324 Jun 24 Enroll'!D$1,FALSE),VLOOKUP($A24,'ESA Calculations 2425'!$A$4:$AE$37,4,FALSE))*Apport_M802425+IF(VLOOKUP($A24,EnrollData2324,'2324 Jun 24 Enroll'!M$1,FALSE)=VLOOKUP($A24,'ESA Calculations 2425'!$A$4:$AE$37,18,FALSE),VLOOKUP($A24,EnrollData2324,'2324 Jun 24 Enroll'!M$1,FALSE),VLOOKUP($A24,'ESA Calculations 2425'!$A$4:$AE$37,18,FALSE))*Apport_M802425+IF((VLOOKUP($A24,EnrollData2324,'2324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Enroll'!L$1,FALSE))=VLOOKUP($A24,EnrollData2324,'2324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Enroll'!L$1,FALSE),(VLOOKUP($A24,EnrollData2324,'2324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Enroll'!L$1,FALSE)),(VLOOKUP($A24,EnrollData2324,'2324 Jun 24 Enroll'!P$1,FALSE)+VLOOKUP($A24,EnrollData2324,'2324 Jun 24 Enroll'!Q$1,FALSE)+VLOOKUP($A24,EnrollData2324,'2324 Jun 24 Enroll'!R$1,FALSE)+VLOOKUP($A24,EnrollData2324,'2324 Jun 24 Enroll'!I$1,FALSE)+VLOOKUP($A24,EnrollData2324,'2324 Jun 24 Enroll'!N$1,FALSE)+VLOOKUP($A24,EnrollData2324,'2324 Jun 24 Enroll'!O$1,FALSE)+VLOOKUP($A24,EnrollData2324,'2324 Jun 24 Enroll'!K$1,FALSE)+VLOOKUP($A24,EnrollData2324,'2324 Jun 24 Enroll'!L$1,FALSE)))*Apport_M812425)/(IF(VLOOKUP($A24,EnrollData2324,'2324 Jun 24 Enroll'!M$1,FALSE)=VLOOKUP($A24,'ESA Calculations 2425'!$A$4:$AE$37,18,FALSE),VLOOKUP($A24,EnrollData2324,'2324 Jun 24 Enroll'!M$1,FALSE),VLOOKUP($A24,'ESA Calculations 2425'!$A$4:$AE$37,18,FALSE))+IF(VLOOKUP($A24,EnrollData2324,'2324 Jun 24 Enroll'!D$1,FALSE)=VLOOKUP($A24,'ESA Calculations 2425'!$A$4:$AE$37,4,FALSE),VLOOKUP($A24,EnrollData2324,'2324 Jun 24 Enroll'!D$1,FALSE),VLOOKUP($A24,'ESA Calculations 2425'!$A$4:$AE$37,4,FALSE))),2)</f>
        <v>1698.69</v>
      </c>
      <c r="AS24" s="7">
        <f t="shared" si="12"/>
        <v>9592.61</v>
      </c>
      <c r="AT24" s="6">
        <f>IF(VLOOKUP($A24,EnrollData2324,'2324 Jun 24 Enroll'!AA$1,FALSE)=VLOOKUP($A24,'ESA Calculations 2425'!$A$4:$AE$37,24,FALSE),VLOOKUP($A24,EnrollData2324,'2324 Jun 24 Enroll'!AA$1,FALSE),VLOOKUP($A24,'ESA Calculations 2425'!$A$4:$AE$37,24,FALSE))</f>
        <v>2933</v>
      </c>
    </row>
    <row r="25" spans="1:46">
      <c r="A25" s="40" t="s">
        <v>875</v>
      </c>
      <c r="B25" s="40" t="s">
        <v>876</v>
      </c>
      <c r="C25" s="11">
        <f>ROUND((IFERROR((1/IF(VLOOKUP($A25,EnrollData2324,28,FALSE)=VLOOKUP($A25,'ESA Calculations 2425'!$A$4:$AE$37,3,FALSE),VLOOKUP($A25,EnrollData2324,28,FALSE),VLOOKUP($A25,'ESA Calculations 2425'!$A$4:$AE$37,3,FALSE)))*(1+Apport_Z315),0))+Apport_201A2425,6)</f>
        <v>7.4580999999999995E-2</v>
      </c>
      <c r="D25">
        <f>ROUND(IF(VLOOKUP($A25,EnrollData2324,'2324 Jun 24 Enroll'!D$1,FALSE)=VLOOKUP($A25,'ESA Calculations 2425'!$A$4:$AE$37,4,FALSE),VLOOKUP($A25,EnrollData2324,'2324 Jun 24 Enroll'!D$1,FALSE),VLOOKUP($A25,'ESA Calculations 2425'!$A$4:$AE$37,4,FALSE))*C25,3)</f>
        <v>0</v>
      </c>
      <c r="E25">
        <f>ROUND(IF(VLOOKUP($A25,EnrollData2324,'2324 Jun 24 Enroll'!E$1,FALSE)=VLOOKUP($A25,'ESA Calculations 2425'!$A$4:$AE$37,5,FALSE),VLOOKUP($A25,EnrollData2324,'2324 Jun 24 Enroll'!E$1,FALSE),VLOOKUP($A25,'ESA Calculations 2425'!$A$4:$AE$37,5,FALSE))*C25,3)</f>
        <v>21</v>
      </c>
      <c r="F25">
        <f>ROUND(IF(VLOOKUP($A25,EnrollData2324,'2324 Jun 24 Enroll'!F$1,FALSE)=VLOOKUP($A25,'ESA Calculations 2425'!$A$4:$AE$37,6,FALSE),VLOOKUP($A25,EnrollData2324,'2324 Jun 24 Enroll'!F$1,FALSE),VLOOKUP($A25,'ESA Calculations 2425'!$A$4:$AE$37,6,FALSE))*Apport_222A2425,3)</f>
        <v>4.0330000000000004</v>
      </c>
      <c r="G25">
        <f>ROUND(IF(VLOOKUP($A25,EnrollData2324,'2324 Jun 24 Enroll'!G$1,FALSE)=VLOOKUP($A25,'ESA Calculations 2425'!$A$4:$AE$37,7,FALSE),VLOOKUP($A25,EnrollData2324,'2324 Jun 24 Enroll'!G$1,FALSE),VLOOKUP($A25,'ESA Calculations 2425'!$A$4:$AE$37,7,FALSE))*Apport_210A2425,3)</f>
        <v>8.3520000000000003</v>
      </c>
      <c r="H25">
        <f>ROUND(IF(VLOOKUP($A25,EnrollData2324,'2324 Jun 24 Enroll'!H$1,FALSE)=VLOOKUP($A25,'ESA Calculations 2425'!$A$4:$AE$37,8,FALSE),VLOOKUP($A25,EnrollData2324,'2324 Jun 24 Enroll'!H$1,FALSE),VLOOKUP($A25,'ESA Calculations 2425'!$A$4:$AE$37,8,FALSE))*Apport_213A2425,3)</f>
        <v>8.8840000000000003</v>
      </c>
      <c r="I25">
        <f>ROUND(IF(VLOOKUP($A25,EnrollData2324,'2324 Jun 24 Enroll'!I$1,FALSE)+VLOOKUP($A25,EnrollData2324,'2324 Jun 24 Enroll'!M$1,FALSE)-VLOOKUP($A25,EnrollData2324,'2324 Jun 24 Enroll'!J$1,FALSE)=VLOOKUP($A25,'ESA Calculations 2425'!$A$4:$AE$37,9,FALSE)+VLOOKUP($A25,'ESA Calculations 2425'!$A$4:$AE$37,18,FALSE)-VLOOKUP($A25,'ESA Calculations 2425'!$A$4:$AE$37,10,FALSE),VLOOKUP($A25,EnrollData2324,'2324 Jun 24 Enroll'!I$1,FALSE)+VLOOKUP($A25,EnrollData2324,'2324 Jun 24 Enroll'!M$1,FALSE)-VLOOKUP($A25,EnrollData2324,'2324 Jun 24 Enroll'!J$1,FALSE),VLOOKUP($A25,'ESA Calculations 2425'!$A$4:$AE$37,9,FALSE)+VLOOKUP($A25,'ESA Calculations 2425'!$A$4:$AE$37,18,FALSE)-VLOOKUP($A25,'ESA Calculations 2425'!$A$4:$AE$37,10,FALSE))*Apport_216A2425,3)</f>
        <v>18.97</v>
      </c>
      <c r="J25">
        <f>ROUND(SUM(D25:I25)/IF(VLOOKUP($A25,EnrollData2324,'2324 Jun 24 Enroll'!M$1,FALSE)+VLOOKUP($A25,EnrollData2324,'2324 Jun 24 Enroll'!D$1,FALSE)=VLOOKUP($A25,'ESA Calculations 2425'!$A$4:$AE$37,18,FALSE)+VLOOKUP($A25,'ESA Calculations 2425'!$A$4:$AE$37,4,FALSE),VLOOKUP($A25,EnrollData2324,'2324 Jun 24 Enroll'!M$1,FALSE)+VLOOKUP($A25,EnrollData2324,'2324 Jun 24 Enroll'!D$1,FALSE),VLOOKUP($A25,'ESA Calculations 2425'!$A$4:$AE$37,18,FALSE)+VLOOKUP($A25,'ESA Calculations 2425'!$A$4:$AE$37,4,FALSE)),5)</f>
        <v>5.6480000000000002E-2</v>
      </c>
      <c r="K25" s="11">
        <f t="shared" si="1"/>
        <v>4.385E-3</v>
      </c>
      <c r="L25">
        <f>ROUND(IF(VLOOKUP($A25,EnrollData2324,'2324 Jun 24 Enroll'!D$1,FALSE)=VLOOKUP($A25,'ESA Calculations 2425'!$A$4:$AE$37,4,FALSE),VLOOKUP($A25,EnrollData2324,'2324 Jun 24 Enroll'!D$1,FALSE),VLOOKUP($A25,'ESA Calculations 2425'!$A$4:$AE$37,4,FALSE))*K25,3)</f>
        <v>0</v>
      </c>
      <c r="M25">
        <f>ROUND(IF(VLOOKUP($A25,EnrollData2324,'2324 Jun 24 Enroll'!E$1,FALSE)=VLOOKUP($A25,'ESA Calculations 2425'!$A$4:$AE$37,5,FALSE),VLOOKUP($A25,EnrollData2324,'2324 Jun 24 Enroll'!E$1,FALSE),VLOOKUP($A25,'ESA Calculations 2425'!$A$4:$AE$37,5,FALSE))*K25,3)</f>
        <v>1.2350000000000001</v>
      </c>
      <c r="N25">
        <f>ROUND(IF(VLOOKUP($A25,EnrollData2324,'2324 Jun 24 Enroll'!F$1,FALSE)=VLOOKUP($A25,'ESA Calculations 2425'!$A$4:$AE$37,6,FALSE),VLOOKUP($A25,EnrollData2324,'2324 Jun 24 Enroll'!F$1,FALSE),VLOOKUP($A25,'ESA Calculations 2425'!$A$4:$AE$37,6,FALSE))*Apport_223A2425,3)</f>
        <v>0.33</v>
      </c>
      <c r="O25">
        <f>ROUND(IF(VLOOKUP($A25,EnrollData2324,'2324 Jun 24 Enroll'!G$1,FALSE)=VLOOKUP($A25,'ESA Calculations 2425'!$A$4:$AE$37,7,FALSE),VLOOKUP($A25,EnrollData2324,'2324 Jun 24 Enroll'!G$1,FALSE),VLOOKUP($A25,'ESA Calculations 2425'!$A$4:$AE$37,7,FALSE))*Apport_211A2425,3)</f>
        <v>0.68400000000000005</v>
      </c>
      <c r="P25">
        <f>ROUND(IF(VLOOKUP($A25,EnrollData2324,'2324 Jun 24 Enroll'!H$1,FALSE)=VLOOKUP($A25,'ESA Calculations 2425'!$A$4:$AE$37,8,FALSE),VLOOKUP($A25,EnrollData2324,'2324 Jun 24 Enroll'!H$1,FALSE),VLOOKUP($A25,'ESA Calculations 2425'!$A$4:$AE$37,8,FALSE))*Apport_214A2425,3)</f>
        <v>0.72499999999999998</v>
      </c>
      <c r="Q25">
        <f>ROUND(IF(VLOOKUP($A25,EnrollData2324,'2324 Jun 24 Enroll'!I$1,FALSE)+VLOOKUP($A25,EnrollData2324,'2324 Jun 24 Enroll'!M$1,FALSE)-VLOOKUP($A25,EnrollData2324,'2324 Jun 24 Enroll'!J$1,FALSE)=VLOOKUP($A25,'ESA Calculations 2425'!$A$4:$AE$37,9,FALSE)+VLOOKUP($A25,'ESA Calculations 2425'!$A$4:$AE$37,18,FALSE)-VLOOKUP($A25,'ESA Calculations 2425'!$A$4:$AE$37,10,FALSE),VLOOKUP($A25,EnrollData2324,'2324 Jun 24 Enroll'!I$1,FALSE)+VLOOKUP($A25,EnrollData2324,'2324 Jun 24 Enroll'!M$1,FALSE)-VLOOKUP($A25,EnrollData2324,'2324 Jun 24 Enroll'!J$1,FALSE),VLOOKUP($A25,'ESA Calculations 2425'!$A$4:$AE$37,9,FALSE)+VLOOKUP($A25,'ESA Calculations 2425'!$A$4:$AE$37,18,FALSE)-VLOOKUP($A25,'ESA Calculations 2425'!$A$4:$AE$37,10,FALSE))*Apport_217A2425,3)</f>
        <v>1.514</v>
      </c>
      <c r="R25">
        <f>ROUND(SUM(L25:Q25)/IF(VLOOKUP($A25,EnrollData2324,'2324 Jun 24 Enroll'!M$1,FALSE)+VLOOKUP($A25,EnrollData2324,'2324 Jun 24 Enroll'!D$1,FALSE)=VLOOKUP($A25,'ESA Calculations 2425'!$A$4:$AE$37,18,FALSE)+VLOOKUP($A25,'ESA Calculations 2425'!$A$4:$AE$37,4,FALSE),VLOOKUP($A25,EnrollData2324,'2324 Jun 24 Enroll'!M$1,FALSE)+VLOOKUP($A25,EnrollData2324,'2324 Jun 24 Enroll'!D$1,FALSE),VLOOKUP($A25,'ESA Calculations 2425'!$A$4:$AE$37,18,FALSE)+VLOOKUP($A25,'ESA Calculations 2425'!$A$4:$AE$37,4,FALSE)),5)</f>
        <v>4.1399999999999996E-3</v>
      </c>
      <c r="S25" s="11">
        <f t="shared" si="2"/>
        <v>1.8734299999999999E-2</v>
      </c>
      <c r="T25">
        <f>ROUND(IF(VLOOKUP($A25,EnrollData2324,'2324 Jun 24 Enroll'!D$1,FALSE)=VLOOKUP($A25,'ESA Calculations 2425'!$A$4:$AE$37,4,FALSE),VLOOKUP($A25,EnrollData2324,'2324 Jun 24 Enroll'!D$1,FALSE),VLOOKUP($A25,'ESA Calculations 2425'!$A$4:$AE$37,4,FALSE))*S25,3)</f>
        <v>0</v>
      </c>
      <c r="U25">
        <f>ROUND(IF(VLOOKUP($A25,EnrollData2324,'2324 Jun 24 Enroll'!E$1,FALSE)=VLOOKUP($A25,'ESA Calculations 2425'!$A$4:$AE$37,5,FALSE),VLOOKUP($A25,EnrollData2324,'2324 Jun 24 Enroll'!E$1,FALSE),VLOOKUP($A25,'ESA Calculations 2425'!$A$4:$AE$37,5,FALSE))*S25,3)</f>
        <v>5.2750000000000004</v>
      </c>
      <c r="V25">
        <f>ROUND(IF(VLOOKUP($A25,EnrollData2324,'2324 Jun 24 Enroll'!F$1,FALSE)=VLOOKUP($A25,'ESA Calculations 2425'!$A$4:$AE$37,6,FALSE),VLOOKUP($A25,EnrollData2324,'2324 Jun 24 Enroll'!F$1,FALSE),VLOOKUP($A25,'ESA Calculations 2425'!$A$4:$AE$37,6,FALSE))*Apport_224A2425,3)</f>
        <v>1.448</v>
      </c>
      <c r="W25">
        <f>ROUND(IF(VLOOKUP($A25,EnrollData2324,'2324 Jun 24 Enroll'!G$1,FALSE)=VLOOKUP($A25,'ESA Calculations 2425'!$A$4:$AE$37,7,FALSE),VLOOKUP($A25,EnrollData2324,'2324 Jun 24 Enroll'!G$1,FALSE),VLOOKUP($A25,'ESA Calculations 2425'!$A$4:$AE$37,7,FALSE))*Apport_212A2425,3)</f>
        <v>2.9980000000000002</v>
      </c>
      <c r="X25">
        <f>ROUND(IF(VLOOKUP($A25,EnrollData2324,'2324 Jun 24 Enroll'!H$1,FALSE)=VLOOKUP($A25,'ESA Calculations 2425'!$A$4:$AE$37,8,FALSE),VLOOKUP($A25,EnrollData2324,'2324 Jun 24 Enroll'!H$1,FALSE),VLOOKUP($A25,'ESA Calculations 2425'!$A$4:$AE$37,8,FALSE))*Apport_215A2425,3)</f>
        <v>3.1379999999999999</v>
      </c>
      <c r="Y25">
        <f>ROUND(IF(VLOOKUP($A25,EnrollData2324,'2324 Jun 24 Enroll'!I$1,FALSE)+VLOOKUP($A25,EnrollData2324,'2324 Jun 24 Enroll'!M$1,FALSE)-VLOOKUP($A25,EnrollData2324,'2324 Jun 24 Enroll'!J$1,FALSE)=VLOOKUP($A25,'ESA Calculations 2425'!$A$4:$AE$37,9,FALSE)+VLOOKUP($A25,'ESA Calculations 2425'!$A$4:$AE$37,18,FALSE)-VLOOKUP($A25,'ESA Calculations 2425'!$A$4:$AE$37,10,FALSE),VLOOKUP($A25,EnrollData2324,'2324 Jun 24 Enroll'!I$1,FALSE)+VLOOKUP($A25,EnrollData2324,'2324 Jun 24 Enroll'!M$1,FALSE)-VLOOKUP($A25,EnrollData2324,'2324 Jun 24 Enroll'!J$1,FALSE),VLOOKUP($A25,'ESA Calculations 2425'!$A$4:$AE$37,9,FALSE)+VLOOKUP($A25,'ESA Calculations 2425'!$A$4:$AE$37,18,FALSE)-VLOOKUP($A25,'ESA Calculations 2425'!$A$4:$AE$37,10,FALSE))*Apport_218A2425,3)</f>
        <v>6.5069999999999997</v>
      </c>
      <c r="Z25">
        <f>ROUND(SUM(T25:Y25)/IF(VLOOKUP($A25,EnrollData2324,'2324 Jun 24 Enroll'!M$1,FALSE)+VLOOKUP($A25,EnrollData2324,'2324 Jun 24 Enroll'!D$1,FALSE)=VLOOKUP($A25,'ESA Calculations 2425'!$A$4:$AE$37,18,FALSE)+VLOOKUP($A25,'ESA Calculations 2425'!$A$4:$AE$37,4,FALSE),VLOOKUP($A25,EnrollData2324,'2324 Jun 24 Enroll'!M$1,FALSE)+VLOOKUP($A25,EnrollData2324,'2324 Jun 24 Enroll'!D$1,FALSE),VLOOKUP($A25,'ESA Calculations 2425'!$A$4:$AE$37,18,FALSE)+VLOOKUP($A25,'ESA Calculations 2425'!$A$4:$AE$37,4,FALSE)),5)</f>
        <v>1.7860000000000001E-2</v>
      </c>
      <c r="AA25" s="6">
        <f>ROUND($J25*CIS_Base_Salary2425*VLOOKUP($A25,EnrollData2324,'2324 Jun 24 Enroll'!AH$1,FALSE),2)</f>
        <v>4259.67</v>
      </c>
      <c r="AB25" s="6">
        <f>ROUND($J25*CIS_Inc_Salary2425*(VLOOKUP($A25,EnrollData2324,'2324 Jun 24 Enroll'!AI$1,FALSE)+VLOOKUP($A25,EnrollData2324,'2324 Jun 24 Enroll'!AJ$1,FALSE)),2)-AA25</f>
        <v>334.26000000000022</v>
      </c>
      <c r="AC25" s="6" cm="1">
        <f t="array" ref="AC25">ROUND($R25*CAS_Base_Salary2425*VLOOKUP($A25,EnrollData2324,'2324 Jun 24 Enroll'!AH$1,FALSE),2)</f>
        <v>463.47</v>
      </c>
      <c r="AD25" s="6">
        <f>ROUND($R25*CAS_Inc_Salary2425*VLOOKUP($A25,EnrollData2324,'2324 Jun 24 Enroll'!AI$1,FALSE),2)-AC25</f>
        <v>17.149999999999977</v>
      </c>
      <c r="AE25" s="6">
        <f>ROUND($Z25*CLS_Base_Salary2425*VLOOKUP($A25,EnrollData2324,'2324 Jun 24 Enroll'!AH$1,FALSE),2)</f>
        <v>966.28</v>
      </c>
      <c r="AF25" s="6">
        <f>ROUND($Z25*CLS_Inc_Salary2425*VLOOKUP($A25,EnrollData2324,'2324 Jun 24 Enroll'!AI$1,FALSE),2)-AE25</f>
        <v>35.759999999999991</v>
      </c>
      <c r="AG25" cm="1">
        <f t="array" ref="AG25">ROUND(($J25+$R25)*Apport_124X2425,2)</f>
        <v>800.18</v>
      </c>
      <c r="AH25" s="69" cm="1">
        <f t="array" ref="AH25">ROUND(($J25+$R25)*Apport_621X2425*Apport_125XC2425,2)-AG25</f>
        <v>73.88</v>
      </c>
      <c r="AI25" cm="1">
        <f t="array" ref="AI25">ROUND($Z25*Apport_124X2425,2)</f>
        <v>235.75</v>
      </c>
      <c r="AJ25">
        <f t="shared" si="3"/>
        <v>125.27999999999997</v>
      </c>
      <c r="AK25">
        <f t="shared" si="4"/>
        <v>857.25</v>
      </c>
      <c r="AL25">
        <f t="shared" si="5"/>
        <v>61.53</v>
      </c>
      <c r="AM25">
        <f t="shared" si="6"/>
        <v>209.3</v>
      </c>
      <c r="AN25">
        <f t="shared" si="7"/>
        <v>6.49</v>
      </c>
      <c r="AO25">
        <f>ROUND(($J25*CIS_Inc_Salary2425*(VLOOKUP($A25,EnrollData2324,'2324 Jun 24 Enroll'!AI$1,FALSE)+VLOOKUP($A25,EnrollData2324,'2324 Jun 24 Enroll'!AJ$1,FALSE))/Apport_613Xpd)*Apport_614Xpd,2)</f>
        <v>76.569999999999993</v>
      </c>
      <c r="AP25">
        <f t="shared" si="8"/>
        <v>13.41</v>
      </c>
      <c r="AQ25">
        <f t="shared" si="11"/>
        <v>31.46</v>
      </c>
      <c r="AR25" s="6">
        <f>ROUND((IF(VLOOKUP($A25,EnrollData2324,'2324 Jun 24 Enroll'!D$1,FALSE)=VLOOKUP($A25,'ESA Calculations 2425'!$A$4:$AE$37,4,FALSE),VLOOKUP($A25,EnrollData2324,'2324 Jun 24 Enroll'!D$1,FALSE),VLOOKUP($A25,'ESA Calculations 2425'!$A$4:$AE$37,4,FALSE))*Apport_M802425+IF(VLOOKUP($A25,EnrollData2324,'2324 Jun 24 Enroll'!M$1,FALSE)=VLOOKUP($A25,'ESA Calculations 2425'!$A$4:$AE$37,18,FALSE),VLOOKUP($A25,EnrollData2324,'2324 Jun 24 Enroll'!M$1,FALSE),VLOOKUP($A25,'ESA Calculations 2425'!$A$4:$AE$37,18,FALSE))*Apport_M802425+IF((VLOOKUP($A25,EnrollData2324,'2324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Enroll'!L$1,FALSE))=VLOOKUP($A25,EnrollData2324,'2324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Enroll'!L$1,FALSE),(VLOOKUP($A25,EnrollData2324,'2324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Enroll'!L$1,FALSE)),(VLOOKUP($A25,EnrollData2324,'2324 Jun 24 Enroll'!P$1,FALSE)+VLOOKUP($A25,EnrollData2324,'2324 Jun 24 Enroll'!Q$1,FALSE)+VLOOKUP($A25,EnrollData2324,'2324 Jun 24 Enroll'!R$1,FALSE)+VLOOKUP($A25,EnrollData2324,'2324 Jun 24 Enroll'!I$1,FALSE)+VLOOKUP($A25,EnrollData2324,'2324 Jun 24 Enroll'!N$1,FALSE)+VLOOKUP($A25,EnrollData2324,'2324 Jun 24 Enroll'!O$1,FALSE)+VLOOKUP($A25,EnrollData2324,'2324 Jun 24 Enroll'!K$1,FALSE)+VLOOKUP($A25,EnrollData2324,'2324 Jun 24 Enroll'!L$1,FALSE)))*Apport_M812425)/(IF(VLOOKUP($A25,EnrollData2324,'2324 Jun 24 Enroll'!M$1,FALSE)=VLOOKUP($A25,'ESA Calculations 2425'!$A$4:$AE$37,18,FALSE),VLOOKUP($A25,EnrollData2324,'2324 Jun 24 Enroll'!M$1,FALSE),VLOOKUP($A25,'ESA Calculations 2425'!$A$4:$AE$37,18,FALSE))+IF(VLOOKUP($A25,EnrollData2324,'2324 Jun 24 Enroll'!D$1,FALSE)=VLOOKUP($A25,'ESA Calculations 2425'!$A$4:$AE$37,4,FALSE),VLOOKUP($A25,EnrollData2324,'2324 Jun 24 Enroll'!D$1,FALSE),VLOOKUP($A25,'ESA Calculations 2425'!$A$4:$AE$37,4,FALSE))),2)</f>
        <v>1603.17</v>
      </c>
      <c r="AS25" s="7">
        <f t="shared" si="12"/>
        <v>10170.859999999999</v>
      </c>
      <c r="AT25" s="6">
        <f>IF(VLOOKUP($A25,EnrollData2324,'2324 Jun 24 Enroll'!AA$1,FALSE)=VLOOKUP($A25,'ESA Calculations 2425'!$A$4:$AE$37,24,FALSE),VLOOKUP($A25,EnrollData2324,'2324 Jun 24 Enroll'!AA$1,FALSE),VLOOKUP($A25,'ESA Calculations 2425'!$A$4:$AE$37,24,FALSE))</f>
        <v>1084.3</v>
      </c>
    </row>
    <row r="26" spans="1:46">
      <c r="A26" s="40" t="s">
        <v>564</v>
      </c>
      <c r="B26" s="40" t="s">
        <v>565</v>
      </c>
      <c r="C26" s="11">
        <f>ROUND((IFERROR((1/IF(VLOOKUP($A26,EnrollData2324,28,FALSE)=VLOOKUP($A26,'ESA Calculations 2425'!$A$4:$AE$37,3,FALSE),VLOOKUP($A26,EnrollData2324,28,FALSE),VLOOKUP($A26,'ESA Calculations 2425'!$A$4:$AE$37,3,FALSE)))*(1+Apport_Z315),0))+Apport_201A2425,6)</f>
        <v>7.4580999999999995E-2</v>
      </c>
      <c r="D26">
        <f>ROUND(IF(VLOOKUP($A26,EnrollData2324,'2324 Jun 24 Enroll'!D$1,FALSE)=VLOOKUP($A26,'ESA Calculations 2425'!$A$4:$AE$37,4,FALSE),VLOOKUP($A26,EnrollData2324,'2324 Jun 24 Enroll'!D$1,FALSE),VLOOKUP($A26,'ESA Calculations 2425'!$A$4:$AE$37,4,FALSE))*C26,3)</f>
        <v>0.35799999999999998</v>
      </c>
      <c r="E26">
        <f>ROUND(IF(VLOOKUP($A26,EnrollData2324,'2324 Jun 24 Enroll'!E$1,FALSE)=VLOOKUP($A26,'ESA Calculations 2425'!$A$4:$AE$37,5,FALSE),VLOOKUP($A26,EnrollData2324,'2324 Jun 24 Enroll'!E$1,FALSE),VLOOKUP($A26,'ESA Calculations 2425'!$A$4:$AE$37,5,FALSE))*C26,3)</f>
        <v>4.5199999999999996</v>
      </c>
      <c r="F26">
        <f>ROUND(IF(VLOOKUP($A26,EnrollData2324,'2324 Jun 24 Enroll'!F$1,FALSE)=VLOOKUP($A26,'ESA Calculations 2425'!$A$4:$AE$37,6,FALSE),VLOOKUP($A26,EnrollData2324,'2324 Jun 24 Enroll'!F$1,FALSE),VLOOKUP($A26,'ESA Calculations 2425'!$A$4:$AE$37,6,FALSE))*Apport_222A2425,3)</f>
        <v>0.68700000000000006</v>
      </c>
      <c r="G26">
        <f>ROUND(IF(VLOOKUP($A26,EnrollData2324,'2324 Jun 24 Enroll'!G$1,FALSE)=VLOOKUP($A26,'ESA Calculations 2425'!$A$4:$AE$37,7,FALSE),VLOOKUP($A26,EnrollData2324,'2324 Jun 24 Enroll'!G$1,FALSE),VLOOKUP($A26,'ESA Calculations 2425'!$A$4:$AE$37,7,FALSE))*Apport_210A2425,3)</f>
        <v>1.833</v>
      </c>
      <c r="H26">
        <f>ROUND(IF(VLOOKUP($A26,EnrollData2324,'2324 Jun 24 Enroll'!H$1,FALSE)=VLOOKUP($A26,'ESA Calculations 2425'!$A$4:$AE$37,8,FALSE),VLOOKUP($A26,EnrollData2324,'2324 Jun 24 Enroll'!H$1,FALSE),VLOOKUP($A26,'ESA Calculations 2425'!$A$4:$AE$37,8,FALSE))*Apport_213A2425,3)</f>
        <v>1.454</v>
      </c>
      <c r="I26">
        <f>ROUND(IF(VLOOKUP($A26,EnrollData2324,'2324 Jun 24 Enroll'!I$1,FALSE)+VLOOKUP($A26,EnrollData2324,'2324 Jun 24 Enroll'!M$1,FALSE)-VLOOKUP($A26,EnrollData2324,'2324 Jun 24 Enroll'!J$1,FALSE)=VLOOKUP($A26,'ESA Calculations 2425'!$A$4:$AE$37,9,FALSE)+VLOOKUP($A26,'ESA Calculations 2425'!$A$4:$AE$37,18,FALSE)-VLOOKUP($A26,'ESA Calculations 2425'!$A$4:$AE$37,10,FALSE),VLOOKUP($A26,EnrollData2324,'2324 Jun 24 Enroll'!I$1,FALSE)+VLOOKUP($A26,EnrollData2324,'2324 Jun 24 Enroll'!M$1,FALSE)-VLOOKUP($A26,EnrollData2324,'2324 Jun 24 Enroll'!J$1,FALSE),VLOOKUP($A26,'ESA Calculations 2425'!$A$4:$AE$37,9,FALSE)+VLOOKUP($A26,'ESA Calculations 2425'!$A$4:$AE$37,18,FALSE)-VLOOKUP($A26,'ESA Calculations 2425'!$A$4:$AE$37,10,FALSE))*Apport_216A2425,3)</f>
        <v>2.7770000000000001</v>
      </c>
      <c r="J26">
        <f>ROUND(SUM(D26:I26)/IF(VLOOKUP($A26,EnrollData2324,'2324 Jun 24 Enroll'!M$1,FALSE)+VLOOKUP($A26,EnrollData2324,'2324 Jun 24 Enroll'!D$1,FALSE)=VLOOKUP($A26,'ESA Calculations 2425'!$A$4:$AE$37,18,FALSE)+VLOOKUP($A26,'ESA Calculations 2425'!$A$4:$AE$37,4,FALSE),VLOOKUP($A26,EnrollData2324,'2324 Jun 24 Enroll'!M$1,FALSE)+VLOOKUP($A26,EnrollData2324,'2324 Jun 24 Enroll'!D$1,FALSE),VLOOKUP($A26,'ESA Calculations 2425'!$A$4:$AE$37,18,FALSE)+VLOOKUP($A26,'ESA Calculations 2425'!$A$4:$AE$37,4,FALSE)),5)</f>
        <v>5.8049999999999997E-2</v>
      </c>
      <c r="K26" s="11">
        <f t="shared" si="1"/>
        <v>4.385E-3</v>
      </c>
      <c r="L26">
        <f>ROUND(IF(VLOOKUP($A26,EnrollData2324,'2324 Jun 24 Enroll'!D$1,FALSE)=VLOOKUP($A26,'ESA Calculations 2425'!$A$4:$AE$37,4,FALSE),VLOOKUP($A26,EnrollData2324,'2324 Jun 24 Enroll'!D$1,FALSE),VLOOKUP($A26,'ESA Calculations 2425'!$A$4:$AE$37,4,FALSE))*K26,3)</f>
        <v>2.1000000000000001E-2</v>
      </c>
      <c r="M26">
        <f>ROUND(IF(VLOOKUP($A26,EnrollData2324,'2324 Jun 24 Enroll'!E$1,FALSE)=VLOOKUP($A26,'ESA Calculations 2425'!$A$4:$AE$37,5,FALSE),VLOOKUP($A26,EnrollData2324,'2324 Jun 24 Enroll'!E$1,FALSE),VLOOKUP($A26,'ESA Calculations 2425'!$A$4:$AE$37,5,FALSE))*K26,3)</f>
        <v>0.26600000000000001</v>
      </c>
      <c r="N26">
        <f>ROUND(IF(VLOOKUP($A26,EnrollData2324,'2324 Jun 24 Enroll'!F$1,FALSE)=VLOOKUP($A26,'ESA Calculations 2425'!$A$4:$AE$37,6,FALSE),VLOOKUP($A26,EnrollData2324,'2324 Jun 24 Enroll'!F$1,FALSE),VLOOKUP($A26,'ESA Calculations 2425'!$A$4:$AE$37,6,FALSE))*Apport_223A2425,3)</f>
        <v>5.6000000000000001E-2</v>
      </c>
      <c r="O26">
        <f>ROUND(IF(VLOOKUP($A26,EnrollData2324,'2324 Jun 24 Enroll'!G$1,FALSE)=VLOOKUP($A26,'ESA Calculations 2425'!$A$4:$AE$37,7,FALSE),VLOOKUP($A26,EnrollData2324,'2324 Jun 24 Enroll'!G$1,FALSE),VLOOKUP($A26,'ESA Calculations 2425'!$A$4:$AE$37,7,FALSE))*Apport_211A2425,3)</f>
        <v>0.15</v>
      </c>
      <c r="P26">
        <f>ROUND(IF(VLOOKUP($A26,EnrollData2324,'2324 Jun 24 Enroll'!H$1,FALSE)=VLOOKUP($A26,'ESA Calculations 2425'!$A$4:$AE$37,8,FALSE),VLOOKUP($A26,EnrollData2324,'2324 Jun 24 Enroll'!H$1,FALSE),VLOOKUP($A26,'ESA Calculations 2425'!$A$4:$AE$37,8,FALSE))*Apport_214A2425,3)</f>
        <v>0.11899999999999999</v>
      </c>
      <c r="Q26">
        <f>ROUND(IF(VLOOKUP($A26,EnrollData2324,'2324 Jun 24 Enroll'!I$1,FALSE)+VLOOKUP($A26,EnrollData2324,'2324 Jun 24 Enroll'!M$1,FALSE)-VLOOKUP($A26,EnrollData2324,'2324 Jun 24 Enroll'!J$1,FALSE)=VLOOKUP($A26,'ESA Calculations 2425'!$A$4:$AE$37,9,FALSE)+VLOOKUP($A26,'ESA Calculations 2425'!$A$4:$AE$37,18,FALSE)-VLOOKUP($A26,'ESA Calculations 2425'!$A$4:$AE$37,10,FALSE),VLOOKUP($A26,EnrollData2324,'2324 Jun 24 Enroll'!I$1,FALSE)+VLOOKUP($A26,EnrollData2324,'2324 Jun 24 Enroll'!M$1,FALSE)-VLOOKUP($A26,EnrollData2324,'2324 Jun 24 Enroll'!J$1,FALSE),VLOOKUP($A26,'ESA Calculations 2425'!$A$4:$AE$37,9,FALSE)+VLOOKUP($A26,'ESA Calculations 2425'!$A$4:$AE$37,18,FALSE)-VLOOKUP($A26,'ESA Calculations 2425'!$A$4:$AE$37,10,FALSE))*Apport_217A2425,3)</f>
        <v>0.222</v>
      </c>
      <c r="R26">
        <f>ROUND(SUM(L26:Q26)/IF(VLOOKUP($A26,EnrollData2324,'2324 Jun 24 Enroll'!M$1,FALSE)+VLOOKUP($A26,EnrollData2324,'2324 Jun 24 Enroll'!D$1,FALSE)=VLOOKUP($A26,'ESA Calculations 2425'!$A$4:$AE$37,18,FALSE)+VLOOKUP($A26,'ESA Calculations 2425'!$A$4:$AE$37,4,FALSE),VLOOKUP($A26,EnrollData2324,'2324 Jun 24 Enroll'!M$1,FALSE)+VLOOKUP($A26,EnrollData2324,'2324 Jun 24 Enroll'!D$1,FALSE),VLOOKUP($A26,'ESA Calculations 2425'!$A$4:$AE$37,18,FALSE)+VLOOKUP($A26,'ESA Calculations 2425'!$A$4:$AE$37,4,FALSE)),5)</f>
        <v>4.1599999999999996E-3</v>
      </c>
      <c r="S26" s="11">
        <f t="shared" si="2"/>
        <v>1.8734299999999999E-2</v>
      </c>
      <c r="T26">
        <f>ROUND(IF(VLOOKUP($A26,EnrollData2324,'2324 Jun 24 Enroll'!D$1,FALSE)=VLOOKUP($A26,'ESA Calculations 2425'!$A$4:$AE$37,4,FALSE),VLOOKUP($A26,EnrollData2324,'2324 Jun 24 Enroll'!D$1,FALSE),VLOOKUP($A26,'ESA Calculations 2425'!$A$4:$AE$37,4,FALSE))*S26,3)</f>
        <v>0.09</v>
      </c>
      <c r="U26">
        <f>ROUND(IF(VLOOKUP($A26,EnrollData2324,'2324 Jun 24 Enroll'!E$1,FALSE)=VLOOKUP($A26,'ESA Calculations 2425'!$A$4:$AE$37,5,FALSE),VLOOKUP($A26,EnrollData2324,'2324 Jun 24 Enroll'!E$1,FALSE),VLOOKUP($A26,'ESA Calculations 2425'!$A$4:$AE$37,5,FALSE))*S26,3)</f>
        <v>1.135</v>
      </c>
      <c r="V26">
        <f>ROUND(IF(VLOOKUP($A26,EnrollData2324,'2324 Jun 24 Enroll'!F$1,FALSE)=VLOOKUP($A26,'ESA Calculations 2425'!$A$4:$AE$37,6,FALSE),VLOOKUP($A26,EnrollData2324,'2324 Jun 24 Enroll'!F$1,FALSE),VLOOKUP($A26,'ESA Calculations 2425'!$A$4:$AE$37,6,FALSE))*Apport_224A2425,3)</f>
        <v>0.247</v>
      </c>
      <c r="W26">
        <f>ROUND(IF(VLOOKUP($A26,EnrollData2324,'2324 Jun 24 Enroll'!G$1,FALSE)=VLOOKUP($A26,'ESA Calculations 2425'!$A$4:$AE$37,7,FALSE),VLOOKUP($A26,EnrollData2324,'2324 Jun 24 Enroll'!G$1,FALSE),VLOOKUP($A26,'ESA Calculations 2425'!$A$4:$AE$37,7,FALSE))*Apport_212A2425,3)</f>
        <v>0.65800000000000003</v>
      </c>
      <c r="X26">
        <f>ROUND(IF(VLOOKUP($A26,EnrollData2324,'2324 Jun 24 Enroll'!H$1,FALSE)=VLOOKUP($A26,'ESA Calculations 2425'!$A$4:$AE$37,8,FALSE),VLOOKUP($A26,EnrollData2324,'2324 Jun 24 Enroll'!H$1,FALSE),VLOOKUP($A26,'ESA Calculations 2425'!$A$4:$AE$37,8,FALSE))*Apport_215A2425,3)</f>
        <v>0.51400000000000001</v>
      </c>
      <c r="Y26">
        <f>ROUND(IF(VLOOKUP($A26,EnrollData2324,'2324 Jun 24 Enroll'!I$1,FALSE)+VLOOKUP($A26,EnrollData2324,'2324 Jun 24 Enroll'!M$1,FALSE)-VLOOKUP($A26,EnrollData2324,'2324 Jun 24 Enroll'!J$1,FALSE)=VLOOKUP($A26,'ESA Calculations 2425'!$A$4:$AE$37,9,FALSE)+VLOOKUP($A26,'ESA Calculations 2425'!$A$4:$AE$37,18,FALSE)-VLOOKUP($A26,'ESA Calculations 2425'!$A$4:$AE$37,10,FALSE),VLOOKUP($A26,EnrollData2324,'2324 Jun 24 Enroll'!I$1,FALSE)+VLOOKUP($A26,EnrollData2324,'2324 Jun 24 Enroll'!M$1,FALSE)-VLOOKUP($A26,EnrollData2324,'2324 Jun 24 Enroll'!J$1,FALSE),VLOOKUP($A26,'ESA Calculations 2425'!$A$4:$AE$37,9,FALSE)+VLOOKUP($A26,'ESA Calculations 2425'!$A$4:$AE$37,18,FALSE)-VLOOKUP($A26,'ESA Calculations 2425'!$A$4:$AE$37,10,FALSE))*Apport_218A2425,3)</f>
        <v>0.95299999999999996</v>
      </c>
      <c r="Z26">
        <f>ROUND(SUM(T26:Y26)/IF(VLOOKUP($A26,EnrollData2324,'2324 Jun 24 Enroll'!M$1,FALSE)+VLOOKUP($A26,EnrollData2324,'2324 Jun 24 Enroll'!D$1,FALSE)=VLOOKUP($A26,'ESA Calculations 2425'!$A$4:$AE$37,18,FALSE)+VLOOKUP($A26,'ESA Calculations 2425'!$A$4:$AE$37,4,FALSE),VLOOKUP($A26,EnrollData2324,'2324 Jun 24 Enroll'!M$1,FALSE)+VLOOKUP($A26,EnrollData2324,'2324 Jun 24 Enroll'!D$1,FALSE),VLOOKUP($A26,'ESA Calculations 2425'!$A$4:$AE$37,18,FALSE)+VLOOKUP($A26,'ESA Calculations 2425'!$A$4:$AE$37,4,FALSE)),5)</f>
        <v>1.796E-2</v>
      </c>
      <c r="AA26" s="6">
        <f>ROUND($J26*CIS_Base_Salary2425*VLOOKUP($A26,EnrollData2324,'2324 Jun 24 Enroll'!AH$1,FALSE),2)</f>
        <v>4378.07</v>
      </c>
      <c r="AB26" s="6">
        <f>ROUND($J26*CIS_Inc_Salary2425*(VLOOKUP($A26,EnrollData2324,'2324 Jun 24 Enroll'!AI$1,FALSE)+VLOOKUP($A26,EnrollData2324,'2324 Jun 24 Enroll'!AJ$1,FALSE)),2)-AA26</f>
        <v>161.96000000000004</v>
      </c>
      <c r="AC26" s="6" cm="1">
        <f t="array" ref="AC26">ROUND($R26*CAS_Base_Salary2425*VLOOKUP($A26,EnrollData2324,'2324 Jun 24 Enroll'!AH$1,FALSE),2)</f>
        <v>465.71</v>
      </c>
      <c r="AD26" s="6">
        <f>ROUND($R26*CAS_Inc_Salary2425*VLOOKUP($A26,EnrollData2324,'2324 Jun 24 Enroll'!AI$1,FALSE),2)-AC26</f>
        <v>17.230000000000018</v>
      </c>
      <c r="AE26" s="6">
        <f>ROUND($Z26*CLS_Base_Salary2425*VLOOKUP($A26,EnrollData2324,'2324 Jun 24 Enroll'!AH$1,FALSE),2)</f>
        <v>971.69</v>
      </c>
      <c r="AF26" s="6">
        <f>ROUND($Z26*CLS_Inc_Salary2425*VLOOKUP($A26,EnrollData2324,'2324 Jun 24 Enroll'!AI$1,FALSE),2)-AE26</f>
        <v>35.959999999999923</v>
      </c>
      <c r="AG26" cm="1">
        <f t="array" ref="AG26">ROUND(($J26+$R26)*Apport_124X2425,2)</f>
        <v>821.17</v>
      </c>
      <c r="AH26" s="69" cm="1">
        <f t="array" ref="AH26">ROUND(($J26+$R26)*Apport_621X2425*Apport_125XC2425,2)-AG26</f>
        <v>75.82000000000005</v>
      </c>
      <c r="AI26" cm="1">
        <f t="array" ref="AI26">ROUND($Z26*Apport_124X2425,2)</f>
        <v>237.07</v>
      </c>
      <c r="AJ26">
        <f t="shared" si="3"/>
        <v>125.98000000000002</v>
      </c>
      <c r="AK26">
        <f t="shared" si="4"/>
        <v>879.15</v>
      </c>
      <c r="AL26">
        <f t="shared" si="5"/>
        <v>31.38</v>
      </c>
      <c r="AM26">
        <f t="shared" si="6"/>
        <v>210.47</v>
      </c>
      <c r="AN26">
        <f t="shared" si="7"/>
        <v>6.53</v>
      </c>
      <c r="AO26">
        <f>ROUND(($J26*CIS_Inc_Salary2425*(VLOOKUP($A26,EnrollData2324,'2324 Jun 24 Enroll'!AI$1,FALSE)+VLOOKUP($A26,EnrollData2324,'2324 Jun 24 Enroll'!AJ$1,FALSE))/Apport_613Xpd)*Apport_614Xpd,2)</f>
        <v>75.67</v>
      </c>
      <c r="AP26">
        <f t="shared" si="8"/>
        <v>13.25</v>
      </c>
      <c r="AQ26">
        <f t="shared" si="11"/>
        <v>32.340000000000003</v>
      </c>
      <c r="AR26" s="6">
        <f>ROUND((IF(VLOOKUP($A26,EnrollData2324,'2324 Jun 24 Enroll'!D$1,FALSE)=VLOOKUP($A26,'ESA Calculations 2425'!$A$4:$AE$37,4,FALSE),VLOOKUP($A26,EnrollData2324,'2324 Jun 24 Enroll'!D$1,FALSE),VLOOKUP($A26,'ESA Calculations 2425'!$A$4:$AE$37,4,FALSE))*Apport_M802425+IF(VLOOKUP($A26,EnrollData2324,'2324 Jun 24 Enroll'!M$1,FALSE)=VLOOKUP($A26,'ESA Calculations 2425'!$A$4:$AE$37,18,FALSE),VLOOKUP($A26,EnrollData2324,'2324 Jun 24 Enroll'!M$1,FALSE),VLOOKUP($A26,'ESA Calculations 2425'!$A$4:$AE$37,18,FALSE))*Apport_M802425+IF((VLOOKUP($A26,EnrollData2324,'2324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Enroll'!L$1,FALSE))=VLOOKUP($A26,EnrollData2324,'2324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Enroll'!L$1,FALSE),(VLOOKUP($A26,EnrollData2324,'2324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Enroll'!L$1,FALSE)),(VLOOKUP($A26,EnrollData2324,'2324 Jun 24 Enroll'!P$1,FALSE)+VLOOKUP($A26,EnrollData2324,'2324 Jun 24 Enroll'!Q$1,FALSE)+VLOOKUP($A26,EnrollData2324,'2324 Jun 24 Enroll'!R$1,FALSE)+VLOOKUP($A26,EnrollData2324,'2324 Jun 24 Enroll'!I$1,FALSE)+VLOOKUP($A26,EnrollData2324,'2324 Jun 24 Enroll'!N$1,FALSE)+VLOOKUP($A26,EnrollData2324,'2324 Jun 24 Enroll'!O$1,FALSE)+VLOOKUP($A26,EnrollData2324,'2324 Jun 24 Enroll'!K$1,FALSE)+VLOOKUP($A26,EnrollData2324,'2324 Jun 24 Enroll'!L$1,FALSE)))*Apport_M812425)/(IF(VLOOKUP($A26,EnrollData2324,'2324 Jun 24 Enroll'!M$1,FALSE)=VLOOKUP($A26,'ESA Calculations 2425'!$A$4:$AE$37,18,FALSE),VLOOKUP($A26,EnrollData2324,'2324 Jun 24 Enroll'!M$1,FALSE),VLOOKUP($A26,'ESA Calculations 2425'!$A$4:$AE$37,18,FALSE))+IF(VLOOKUP($A26,EnrollData2324,'2324 Jun 24 Enroll'!D$1,FALSE)=VLOOKUP($A26,'ESA Calculations 2425'!$A$4:$AE$37,4,FALSE),VLOOKUP($A26,EnrollData2324,'2324 Jun 24 Enroll'!D$1,FALSE),VLOOKUP($A26,'ESA Calculations 2425'!$A$4:$AE$37,4,FALSE))),2)</f>
        <v>1588.61</v>
      </c>
      <c r="AS26" s="7">
        <f t="shared" si="12"/>
        <v>10128.06</v>
      </c>
      <c r="AT26" s="6">
        <f>IF(VLOOKUP($A26,EnrollData2324,'2324 Jun 24 Enroll'!AA$1,FALSE)=VLOOKUP($A26,'ESA Calculations 2425'!$A$4:$AE$37,24,FALSE),VLOOKUP($A26,EnrollData2324,'2324 Jun 24 Enroll'!AA$1,FALSE),VLOOKUP($A26,'ESA Calculations 2425'!$A$4:$AE$37,24,FALSE))</f>
        <v>200.32</v>
      </c>
    </row>
    <row r="27" spans="1:46">
      <c r="A27" s="40" t="s">
        <v>590</v>
      </c>
      <c r="B27" s="40" t="s">
        <v>591</v>
      </c>
      <c r="C27" s="11">
        <f>ROUND((IFERROR((1/IF(VLOOKUP($A27,EnrollData2324,28,FALSE)=VLOOKUP($A27,'ESA Calculations 2425'!$A$4:$AE$37,3,FALSE),VLOOKUP($A27,EnrollData2324,28,FALSE),VLOOKUP($A27,'ESA Calculations 2425'!$A$4:$AE$37,3,FALSE)))*(1+Apport_Z315),0))+Apport_201A2425,6)</f>
        <v>7.4580999999999995E-2</v>
      </c>
      <c r="D27">
        <f>ROUND(IF(VLOOKUP($A27,EnrollData2324,'2324 Jun 24 Enroll'!D$1,FALSE)=VLOOKUP($A27,'ESA Calculations 2425'!$A$4:$AE$37,4,FALSE),VLOOKUP($A27,EnrollData2324,'2324 Jun 24 Enroll'!D$1,FALSE),VLOOKUP($A27,'ESA Calculations 2425'!$A$4:$AE$37,4,FALSE))*C27,3)</f>
        <v>0</v>
      </c>
      <c r="E27">
        <f>ROUND(IF(VLOOKUP($A27,EnrollData2324,'2324 Jun 24 Enroll'!E$1,FALSE)=VLOOKUP($A27,'ESA Calculations 2425'!$A$4:$AE$37,5,FALSE),VLOOKUP($A27,EnrollData2324,'2324 Jun 24 Enroll'!E$1,FALSE),VLOOKUP($A27,'ESA Calculations 2425'!$A$4:$AE$37,5,FALSE))*C27,3)</f>
        <v>16.585999999999999</v>
      </c>
      <c r="F27">
        <f>ROUND(IF(VLOOKUP($A27,EnrollData2324,'2324 Jun 24 Enroll'!F$1,FALSE)=VLOOKUP($A27,'ESA Calculations 2425'!$A$4:$AE$37,6,FALSE),VLOOKUP($A27,EnrollData2324,'2324 Jun 24 Enroll'!F$1,FALSE),VLOOKUP($A27,'ESA Calculations 2425'!$A$4:$AE$37,6,FALSE))*Apport_222A2425,3)</f>
        <v>3.286</v>
      </c>
      <c r="G27">
        <f>ROUND(IF(VLOOKUP($A27,EnrollData2324,'2324 Jun 24 Enroll'!G$1,FALSE)=VLOOKUP($A27,'ESA Calculations 2425'!$A$4:$AE$37,7,FALSE),VLOOKUP($A27,EnrollData2324,'2324 Jun 24 Enroll'!G$1,FALSE),VLOOKUP($A27,'ESA Calculations 2425'!$A$4:$AE$37,7,FALSE))*Apport_210A2425,3)</f>
        <v>5.6950000000000003</v>
      </c>
      <c r="H27">
        <f>ROUND(IF(VLOOKUP($A27,EnrollData2324,'2324 Jun 24 Enroll'!H$1,FALSE)=VLOOKUP($A27,'ESA Calculations 2425'!$A$4:$AE$37,8,FALSE),VLOOKUP($A27,EnrollData2324,'2324 Jun 24 Enroll'!H$1,FALSE),VLOOKUP($A27,'ESA Calculations 2425'!$A$4:$AE$37,8,FALSE))*Apport_213A2425,3)</f>
        <v>5.585</v>
      </c>
      <c r="I27">
        <f>ROUND(IF(VLOOKUP($A27,EnrollData2324,'2324 Jun 24 Enroll'!I$1,FALSE)+VLOOKUP($A27,EnrollData2324,'2324 Jun 24 Enroll'!M$1,FALSE)-VLOOKUP($A27,EnrollData2324,'2324 Jun 24 Enroll'!J$1,FALSE)=VLOOKUP($A27,'ESA Calculations 2425'!$A$4:$AE$37,9,FALSE)+VLOOKUP($A27,'ESA Calculations 2425'!$A$4:$AE$37,18,FALSE)-VLOOKUP($A27,'ESA Calculations 2425'!$A$4:$AE$37,10,FALSE),VLOOKUP($A27,EnrollData2324,'2324 Jun 24 Enroll'!I$1,FALSE)+VLOOKUP($A27,EnrollData2324,'2324 Jun 24 Enroll'!M$1,FALSE)-VLOOKUP($A27,EnrollData2324,'2324 Jun 24 Enroll'!J$1,FALSE),VLOOKUP($A27,'ESA Calculations 2425'!$A$4:$AE$37,9,FALSE)+VLOOKUP($A27,'ESA Calculations 2425'!$A$4:$AE$37,18,FALSE)-VLOOKUP($A27,'ESA Calculations 2425'!$A$4:$AE$37,10,FALSE))*Apport_216A2425,3)</f>
        <v>11.962999999999999</v>
      </c>
      <c r="J27">
        <f>ROUND(SUM(D27:I27)/IF(VLOOKUP($A27,EnrollData2324,'2324 Jun 24 Enroll'!M$1,FALSE)+VLOOKUP($A27,EnrollData2324,'2324 Jun 24 Enroll'!D$1,FALSE)=VLOOKUP($A27,'ESA Calculations 2425'!$A$4:$AE$37,18,FALSE)+VLOOKUP($A27,'ESA Calculations 2425'!$A$4:$AE$37,4,FALSE),VLOOKUP($A27,EnrollData2324,'2324 Jun 24 Enroll'!M$1,FALSE)+VLOOKUP($A27,EnrollData2324,'2324 Jun 24 Enroll'!D$1,FALSE),VLOOKUP($A27,'ESA Calculations 2425'!$A$4:$AE$37,18,FALSE)+VLOOKUP($A27,'ESA Calculations 2425'!$A$4:$AE$37,4,FALSE)),5)</f>
        <v>5.7340000000000002E-2</v>
      </c>
      <c r="K27" s="11">
        <f t="shared" si="1"/>
        <v>4.385E-3</v>
      </c>
      <c r="L27">
        <f>ROUND(IF(VLOOKUP($A27,EnrollData2324,'2324 Jun 24 Enroll'!D$1,FALSE)=VLOOKUP($A27,'ESA Calculations 2425'!$A$4:$AE$37,4,FALSE),VLOOKUP($A27,EnrollData2324,'2324 Jun 24 Enroll'!D$1,FALSE),VLOOKUP($A27,'ESA Calculations 2425'!$A$4:$AE$37,4,FALSE))*K27,3)</f>
        <v>0</v>
      </c>
      <c r="M27">
        <f>ROUND(IF(VLOOKUP($A27,EnrollData2324,'2324 Jun 24 Enroll'!E$1,FALSE)=VLOOKUP($A27,'ESA Calculations 2425'!$A$4:$AE$37,5,FALSE),VLOOKUP($A27,EnrollData2324,'2324 Jun 24 Enroll'!E$1,FALSE),VLOOKUP($A27,'ESA Calculations 2425'!$A$4:$AE$37,5,FALSE))*K27,3)</f>
        <v>0.97499999999999998</v>
      </c>
      <c r="N27">
        <f>ROUND(IF(VLOOKUP($A27,EnrollData2324,'2324 Jun 24 Enroll'!F$1,FALSE)=VLOOKUP($A27,'ESA Calculations 2425'!$A$4:$AE$37,6,FALSE),VLOOKUP($A27,EnrollData2324,'2324 Jun 24 Enroll'!F$1,FALSE),VLOOKUP($A27,'ESA Calculations 2425'!$A$4:$AE$37,6,FALSE))*Apport_223A2425,3)</f>
        <v>0.26900000000000002</v>
      </c>
      <c r="O27">
        <f>ROUND(IF(VLOOKUP($A27,EnrollData2324,'2324 Jun 24 Enroll'!G$1,FALSE)=VLOOKUP($A27,'ESA Calculations 2425'!$A$4:$AE$37,7,FALSE),VLOOKUP($A27,EnrollData2324,'2324 Jun 24 Enroll'!G$1,FALSE),VLOOKUP($A27,'ESA Calculations 2425'!$A$4:$AE$37,7,FALSE))*Apport_211A2425,3)</f>
        <v>0.46600000000000003</v>
      </c>
      <c r="P27">
        <f>ROUND(IF(VLOOKUP($A27,EnrollData2324,'2324 Jun 24 Enroll'!H$1,FALSE)=VLOOKUP($A27,'ESA Calculations 2425'!$A$4:$AE$37,8,FALSE),VLOOKUP($A27,EnrollData2324,'2324 Jun 24 Enroll'!H$1,FALSE),VLOOKUP($A27,'ESA Calculations 2425'!$A$4:$AE$37,8,FALSE))*Apport_214A2425,3)</f>
        <v>0.45600000000000002</v>
      </c>
      <c r="Q27">
        <f>ROUND(IF(VLOOKUP($A27,EnrollData2324,'2324 Jun 24 Enroll'!I$1,FALSE)+VLOOKUP($A27,EnrollData2324,'2324 Jun 24 Enroll'!M$1,FALSE)-VLOOKUP($A27,EnrollData2324,'2324 Jun 24 Enroll'!J$1,FALSE)=VLOOKUP($A27,'ESA Calculations 2425'!$A$4:$AE$37,9,FALSE)+VLOOKUP($A27,'ESA Calculations 2425'!$A$4:$AE$37,18,FALSE)-VLOOKUP($A27,'ESA Calculations 2425'!$A$4:$AE$37,10,FALSE),VLOOKUP($A27,EnrollData2324,'2324 Jun 24 Enroll'!I$1,FALSE)+VLOOKUP($A27,EnrollData2324,'2324 Jun 24 Enroll'!M$1,FALSE)-VLOOKUP($A27,EnrollData2324,'2324 Jun 24 Enroll'!J$1,FALSE),VLOOKUP($A27,'ESA Calculations 2425'!$A$4:$AE$37,9,FALSE)+VLOOKUP($A27,'ESA Calculations 2425'!$A$4:$AE$37,18,FALSE)-VLOOKUP($A27,'ESA Calculations 2425'!$A$4:$AE$37,10,FALSE))*Apport_217A2425,3)</f>
        <v>0.95499999999999996</v>
      </c>
      <c r="R27">
        <f>ROUND(SUM(L27:Q27)/IF(VLOOKUP($A27,EnrollData2324,'2324 Jun 24 Enroll'!M$1,FALSE)+VLOOKUP($A27,EnrollData2324,'2324 Jun 24 Enroll'!D$1,FALSE)=VLOOKUP($A27,'ESA Calculations 2425'!$A$4:$AE$37,18,FALSE)+VLOOKUP($A27,'ESA Calculations 2425'!$A$4:$AE$37,4,FALSE),VLOOKUP($A27,EnrollData2324,'2324 Jun 24 Enroll'!M$1,FALSE)+VLOOKUP($A27,EnrollData2324,'2324 Jun 24 Enroll'!D$1,FALSE),VLOOKUP($A27,'ESA Calculations 2425'!$A$4:$AE$37,18,FALSE)+VLOOKUP($A27,'ESA Calculations 2425'!$A$4:$AE$37,4,FALSE)),5)</f>
        <v>4.15E-3</v>
      </c>
      <c r="S27" s="11">
        <f t="shared" si="2"/>
        <v>1.8734299999999999E-2</v>
      </c>
      <c r="T27">
        <f>ROUND(IF(VLOOKUP($A27,EnrollData2324,'2324 Jun 24 Enroll'!D$1,FALSE)=VLOOKUP($A27,'ESA Calculations 2425'!$A$4:$AE$37,4,FALSE),VLOOKUP($A27,EnrollData2324,'2324 Jun 24 Enroll'!D$1,FALSE),VLOOKUP($A27,'ESA Calculations 2425'!$A$4:$AE$37,4,FALSE))*S27,3)</f>
        <v>0</v>
      </c>
      <c r="U27">
        <f>ROUND(IF(VLOOKUP($A27,EnrollData2324,'2324 Jun 24 Enroll'!E$1,FALSE)=VLOOKUP($A27,'ESA Calculations 2425'!$A$4:$AE$37,5,FALSE),VLOOKUP($A27,EnrollData2324,'2324 Jun 24 Enroll'!E$1,FALSE),VLOOKUP($A27,'ESA Calculations 2425'!$A$4:$AE$37,5,FALSE))*S27,3)</f>
        <v>4.1660000000000004</v>
      </c>
      <c r="V27">
        <f>ROUND(IF(VLOOKUP($A27,EnrollData2324,'2324 Jun 24 Enroll'!F$1,FALSE)=VLOOKUP($A27,'ESA Calculations 2425'!$A$4:$AE$37,6,FALSE),VLOOKUP($A27,EnrollData2324,'2324 Jun 24 Enroll'!F$1,FALSE),VLOOKUP($A27,'ESA Calculations 2425'!$A$4:$AE$37,6,FALSE))*Apport_224A2425,3)</f>
        <v>1.18</v>
      </c>
      <c r="W27">
        <f>ROUND(IF(VLOOKUP($A27,EnrollData2324,'2324 Jun 24 Enroll'!G$1,FALSE)=VLOOKUP($A27,'ESA Calculations 2425'!$A$4:$AE$37,7,FALSE),VLOOKUP($A27,EnrollData2324,'2324 Jun 24 Enroll'!G$1,FALSE),VLOOKUP($A27,'ESA Calculations 2425'!$A$4:$AE$37,7,FALSE))*Apport_212A2425,3)</f>
        <v>2.0449999999999999</v>
      </c>
      <c r="X27">
        <f>ROUND(IF(VLOOKUP($A27,EnrollData2324,'2324 Jun 24 Enroll'!H$1,FALSE)=VLOOKUP($A27,'ESA Calculations 2425'!$A$4:$AE$37,8,FALSE),VLOOKUP($A27,EnrollData2324,'2324 Jun 24 Enroll'!H$1,FALSE),VLOOKUP($A27,'ESA Calculations 2425'!$A$4:$AE$37,8,FALSE))*Apport_215A2425,3)</f>
        <v>1.9730000000000001</v>
      </c>
      <c r="Y27">
        <f>ROUND(IF(VLOOKUP($A27,EnrollData2324,'2324 Jun 24 Enroll'!I$1,FALSE)+VLOOKUP($A27,EnrollData2324,'2324 Jun 24 Enroll'!M$1,FALSE)-VLOOKUP($A27,EnrollData2324,'2324 Jun 24 Enroll'!J$1,FALSE)=VLOOKUP($A27,'ESA Calculations 2425'!$A$4:$AE$37,9,FALSE)+VLOOKUP($A27,'ESA Calculations 2425'!$A$4:$AE$37,18,FALSE)-VLOOKUP($A27,'ESA Calculations 2425'!$A$4:$AE$37,10,FALSE),VLOOKUP($A27,EnrollData2324,'2324 Jun 24 Enroll'!I$1,FALSE)+VLOOKUP($A27,EnrollData2324,'2324 Jun 24 Enroll'!M$1,FALSE)-VLOOKUP($A27,EnrollData2324,'2324 Jun 24 Enroll'!J$1,FALSE),VLOOKUP($A27,'ESA Calculations 2425'!$A$4:$AE$37,9,FALSE)+VLOOKUP($A27,'ESA Calculations 2425'!$A$4:$AE$37,18,FALSE)-VLOOKUP($A27,'ESA Calculations 2425'!$A$4:$AE$37,10,FALSE))*Apport_218A2425,3)</f>
        <v>4.1040000000000001</v>
      </c>
      <c r="Z27">
        <f>ROUND(SUM(T27:Y27)/IF(VLOOKUP($A27,EnrollData2324,'2324 Jun 24 Enroll'!M$1,FALSE)+VLOOKUP($A27,EnrollData2324,'2324 Jun 24 Enroll'!D$1,FALSE)=VLOOKUP($A27,'ESA Calculations 2425'!$A$4:$AE$37,18,FALSE)+VLOOKUP($A27,'ESA Calculations 2425'!$A$4:$AE$37,4,FALSE),VLOOKUP($A27,EnrollData2324,'2324 Jun 24 Enroll'!M$1,FALSE)+VLOOKUP($A27,EnrollData2324,'2324 Jun 24 Enroll'!D$1,FALSE),VLOOKUP($A27,'ESA Calculations 2425'!$A$4:$AE$37,18,FALSE)+VLOOKUP($A27,'ESA Calculations 2425'!$A$4:$AE$37,4,FALSE)),5)</f>
        <v>1.7909999999999999E-2</v>
      </c>
      <c r="AA27" s="6">
        <f>ROUND($J27*CIS_Base_Salary2425*VLOOKUP($A27,EnrollData2324,'2324 Jun 24 Enroll'!AH$1,FALSE),2)</f>
        <v>4324.53</v>
      </c>
      <c r="AB27" s="6">
        <f>ROUND($J27*CIS_Inc_Salary2425*(VLOOKUP($A27,EnrollData2324,'2324 Jun 24 Enroll'!AI$1,FALSE)+VLOOKUP($A27,EnrollData2324,'2324 Jun 24 Enroll'!AJ$1,FALSE)),2)-AA27</f>
        <v>159.97000000000025</v>
      </c>
      <c r="AC27" s="6" cm="1">
        <f t="array" ref="AC27">ROUND($R27*CAS_Base_Salary2425*VLOOKUP($A27,EnrollData2324,'2324 Jun 24 Enroll'!AH$1,FALSE),2)</f>
        <v>464.59</v>
      </c>
      <c r="AD27" s="6">
        <f>ROUND($R27*CAS_Inc_Salary2425*VLOOKUP($A27,EnrollData2324,'2324 Jun 24 Enroll'!AI$1,FALSE),2)-AC27</f>
        <v>17.189999999999998</v>
      </c>
      <c r="AE27" s="6">
        <f>ROUND($Z27*CLS_Base_Salary2425*VLOOKUP($A27,EnrollData2324,'2324 Jun 24 Enroll'!AH$1,FALSE),2)</f>
        <v>968.98</v>
      </c>
      <c r="AF27" s="6">
        <f>ROUND($Z27*CLS_Inc_Salary2425*VLOOKUP($A27,EnrollData2324,'2324 Jun 24 Enroll'!AI$1,FALSE),2)-AE27</f>
        <v>35.860000000000014</v>
      </c>
      <c r="AG27" cm="1">
        <f t="array" ref="AG27">ROUND(($J27+$R27)*Apport_124X2425,2)</f>
        <v>811.67</v>
      </c>
      <c r="AH27" s="69" cm="1">
        <f t="array" ref="AH27">ROUND(($J27+$R27)*Apport_621X2425*Apport_125XC2425,2)-AG27</f>
        <v>74.940000000000055</v>
      </c>
      <c r="AI27" cm="1">
        <f t="array" ref="AI27">ROUND($Z27*Apport_124X2425,2)</f>
        <v>236.41</v>
      </c>
      <c r="AJ27">
        <f t="shared" si="3"/>
        <v>125.63000000000002</v>
      </c>
      <c r="AK27">
        <f t="shared" si="4"/>
        <v>869.23</v>
      </c>
      <c r="AL27">
        <f t="shared" si="5"/>
        <v>31.02</v>
      </c>
      <c r="AM27">
        <f t="shared" si="6"/>
        <v>209.88</v>
      </c>
      <c r="AN27">
        <f t="shared" si="7"/>
        <v>6.51</v>
      </c>
      <c r="AO27">
        <f>ROUND(($J27*CIS_Inc_Salary2425*(VLOOKUP($A27,EnrollData2324,'2324 Jun 24 Enroll'!AI$1,FALSE)+VLOOKUP($A27,EnrollData2324,'2324 Jun 24 Enroll'!AJ$1,FALSE))/Apport_613Xpd)*Apport_614Xpd,2)</f>
        <v>74.739999999999995</v>
      </c>
      <c r="AP27">
        <f t="shared" si="8"/>
        <v>13.09</v>
      </c>
      <c r="AQ27">
        <f t="shared" si="11"/>
        <v>31.94</v>
      </c>
      <c r="AR27" s="6">
        <f>ROUND((IF(VLOOKUP($A27,EnrollData2324,'2324 Jun 24 Enroll'!D$1,FALSE)=VLOOKUP($A27,'ESA Calculations 2425'!$A$4:$AE$37,4,FALSE),VLOOKUP($A27,EnrollData2324,'2324 Jun 24 Enroll'!D$1,FALSE),VLOOKUP($A27,'ESA Calculations 2425'!$A$4:$AE$37,4,FALSE))*Apport_M802425+IF(VLOOKUP($A27,EnrollData2324,'2324 Jun 24 Enroll'!M$1,FALSE)=VLOOKUP($A27,'ESA Calculations 2425'!$A$4:$AE$37,18,FALSE),VLOOKUP($A27,EnrollData2324,'2324 Jun 24 Enroll'!M$1,FALSE),VLOOKUP($A27,'ESA Calculations 2425'!$A$4:$AE$37,18,FALSE))*Apport_M802425+IF((VLOOKUP($A27,EnrollData2324,'2324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Enroll'!L$1,FALSE))=VLOOKUP($A27,EnrollData2324,'2324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Enroll'!L$1,FALSE),(VLOOKUP($A27,EnrollData2324,'2324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Enroll'!L$1,FALSE)),(VLOOKUP($A27,EnrollData2324,'2324 Jun 24 Enroll'!P$1,FALSE)+VLOOKUP($A27,EnrollData2324,'2324 Jun 24 Enroll'!Q$1,FALSE)+VLOOKUP($A27,EnrollData2324,'2324 Jun 24 Enroll'!R$1,FALSE)+VLOOKUP($A27,EnrollData2324,'2324 Jun 24 Enroll'!I$1,FALSE)+VLOOKUP($A27,EnrollData2324,'2324 Jun 24 Enroll'!N$1,FALSE)+VLOOKUP($A27,EnrollData2324,'2324 Jun 24 Enroll'!O$1,FALSE)+VLOOKUP($A27,EnrollData2324,'2324 Jun 24 Enroll'!K$1,FALSE)+VLOOKUP($A27,EnrollData2324,'2324 Jun 24 Enroll'!L$1,FALSE)))*Apport_M812425)/(IF(VLOOKUP($A27,EnrollData2324,'2324 Jun 24 Enroll'!M$1,FALSE)=VLOOKUP($A27,'ESA Calculations 2425'!$A$4:$AE$37,18,FALSE),VLOOKUP($A27,EnrollData2324,'2324 Jun 24 Enroll'!M$1,FALSE),VLOOKUP($A27,'ESA Calculations 2425'!$A$4:$AE$37,18,FALSE))+IF(VLOOKUP($A27,EnrollData2324,'2324 Jun 24 Enroll'!D$1,FALSE)=VLOOKUP($A27,'ESA Calculations 2425'!$A$4:$AE$37,4,FALSE),VLOOKUP($A27,EnrollData2324,'2324 Jun 24 Enroll'!D$1,FALSE),VLOOKUP($A27,'ESA Calculations 2425'!$A$4:$AE$37,4,FALSE))),2)</f>
        <v>1596.81</v>
      </c>
      <c r="AS27" s="7">
        <f t="shared" si="12"/>
        <v>10052.99</v>
      </c>
      <c r="AT27" s="6">
        <f>IF(VLOOKUP($A27,EnrollData2324,'2324 Jun 24 Enroll'!AA$1,FALSE)=VLOOKUP($A27,'ESA Calculations 2425'!$A$4:$AE$37,24,FALSE),VLOOKUP($A27,EnrollData2324,'2324 Jun 24 Enroll'!AA$1,FALSE),VLOOKUP($A27,'ESA Calculations 2425'!$A$4:$AE$37,24,FALSE))</f>
        <v>751.97</v>
      </c>
    </row>
    <row r="28" spans="1:46">
      <c r="A28" s="40" t="s">
        <v>649</v>
      </c>
      <c r="B28" s="40" t="s">
        <v>650</v>
      </c>
      <c r="C28" s="11">
        <f>ROUND((IFERROR((1/IF(VLOOKUP($A28,EnrollData2324,28,FALSE)=VLOOKUP($A28,'ESA Calculations 2425'!$A$4:$AE$37,3,FALSE),VLOOKUP($A28,EnrollData2324,28,FALSE),VLOOKUP($A28,'ESA Calculations 2425'!$A$4:$AE$37,3,FALSE)))*(1+Apport_Z315),0))+Apport_201A2425,6)</f>
        <v>7.1382000000000001E-2</v>
      </c>
      <c r="D28">
        <f>ROUND(IF(VLOOKUP($A28,EnrollData2324,'2324 Jun 24 Enroll'!D$1,FALSE)=VLOOKUP($A28,'ESA Calculations 2425'!$A$4:$AE$37,4,FALSE),VLOOKUP($A28,EnrollData2324,'2324 Jun 24 Enroll'!D$1,FALSE),VLOOKUP($A28,'ESA Calculations 2425'!$A$4:$AE$37,4,FALSE))*C28,3)</f>
        <v>0.99199999999999999</v>
      </c>
      <c r="E28">
        <f>ROUND(IF(VLOOKUP($A28,EnrollData2324,'2324 Jun 24 Enroll'!E$1,FALSE)=VLOOKUP($A28,'ESA Calculations 2425'!$A$4:$AE$37,5,FALSE),VLOOKUP($A28,EnrollData2324,'2324 Jun 24 Enroll'!E$1,FALSE),VLOOKUP($A28,'ESA Calculations 2425'!$A$4:$AE$37,5,FALSE))*C28,3)</f>
        <v>18.992000000000001</v>
      </c>
      <c r="F28">
        <f>ROUND(IF(VLOOKUP($A28,EnrollData2324,'2324 Jun 24 Enroll'!F$1,FALSE)=VLOOKUP($A28,'ESA Calculations 2425'!$A$4:$AE$37,6,FALSE),VLOOKUP($A28,EnrollData2324,'2324 Jun 24 Enroll'!F$1,FALSE),VLOOKUP($A28,'ESA Calculations 2425'!$A$4:$AE$37,6,FALSE))*Apport_222A2425,3)</f>
        <v>3.411</v>
      </c>
      <c r="G28">
        <f>ROUND(IF(VLOOKUP($A28,EnrollData2324,'2324 Jun 24 Enroll'!G$1,FALSE)=VLOOKUP($A28,'ESA Calculations 2425'!$A$4:$AE$37,7,FALSE),VLOOKUP($A28,EnrollData2324,'2324 Jun 24 Enroll'!G$1,FALSE),VLOOKUP($A28,'ESA Calculations 2425'!$A$4:$AE$37,7,FALSE))*Apport_210A2425,3)</f>
        <v>6.24</v>
      </c>
      <c r="H28">
        <f>ROUND(IF(VLOOKUP($A28,EnrollData2324,'2324 Jun 24 Enroll'!H$1,FALSE)=VLOOKUP($A28,'ESA Calculations 2425'!$A$4:$AE$37,8,FALSE),VLOOKUP($A28,EnrollData2324,'2324 Jun 24 Enroll'!H$1,FALSE),VLOOKUP($A28,'ESA Calculations 2425'!$A$4:$AE$37,8,FALSE))*Apport_213A2425,3)</f>
        <v>7.5759999999999996</v>
      </c>
      <c r="I28">
        <f>ROUND(IF(VLOOKUP($A28,EnrollData2324,'2324 Jun 24 Enroll'!I$1,FALSE)+VLOOKUP($A28,EnrollData2324,'2324 Jun 24 Enroll'!M$1,FALSE)-VLOOKUP($A28,EnrollData2324,'2324 Jun 24 Enroll'!J$1,FALSE)=VLOOKUP($A28,'ESA Calculations 2425'!$A$4:$AE$37,9,FALSE)+VLOOKUP($A28,'ESA Calculations 2425'!$A$4:$AE$37,18,FALSE)-VLOOKUP($A28,'ESA Calculations 2425'!$A$4:$AE$37,10,FALSE),VLOOKUP($A28,EnrollData2324,'2324 Jun 24 Enroll'!I$1,FALSE)+VLOOKUP($A28,EnrollData2324,'2324 Jun 24 Enroll'!M$1,FALSE)-VLOOKUP($A28,EnrollData2324,'2324 Jun 24 Enroll'!J$1,FALSE),VLOOKUP($A28,'ESA Calculations 2425'!$A$4:$AE$37,9,FALSE)+VLOOKUP($A28,'ESA Calculations 2425'!$A$4:$AE$37,18,FALSE)-VLOOKUP($A28,'ESA Calculations 2425'!$A$4:$AE$37,10,FALSE))*Apport_216A2425,3)</f>
        <v>18.532</v>
      </c>
      <c r="J28">
        <f>ROUND(SUM(D28:I28)/IF(VLOOKUP($A28,EnrollData2324,'2324 Jun 24 Enroll'!M$1,FALSE)+VLOOKUP($A28,EnrollData2324,'2324 Jun 24 Enroll'!D$1,FALSE)=VLOOKUP($A28,'ESA Calculations 2425'!$A$4:$AE$37,18,FALSE)+VLOOKUP($A28,'ESA Calculations 2425'!$A$4:$AE$37,4,FALSE),VLOOKUP($A28,EnrollData2324,'2324 Jun 24 Enroll'!M$1,FALSE)+VLOOKUP($A28,EnrollData2324,'2324 Jun 24 Enroll'!D$1,FALSE),VLOOKUP($A28,'ESA Calculations 2425'!$A$4:$AE$37,18,FALSE)+VLOOKUP($A28,'ESA Calculations 2425'!$A$4:$AE$37,4,FALSE)),5)</f>
        <v>5.6169999999999998E-2</v>
      </c>
      <c r="K28" s="11">
        <f t="shared" si="1"/>
        <v>4.3420000000000004E-3</v>
      </c>
      <c r="L28">
        <f>ROUND(IF(VLOOKUP($A28,EnrollData2324,'2324 Jun 24 Enroll'!D$1,FALSE)=VLOOKUP($A28,'ESA Calculations 2425'!$A$4:$AE$37,4,FALSE),VLOOKUP($A28,EnrollData2324,'2324 Jun 24 Enroll'!D$1,FALSE),VLOOKUP($A28,'ESA Calculations 2425'!$A$4:$AE$37,4,FALSE))*K28,3)</f>
        <v>0.06</v>
      </c>
      <c r="M28">
        <f>ROUND(IF(VLOOKUP($A28,EnrollData2324,'2324 Jun 24 Enroll'!E$1,FALSE)=VLOOKUP($A28,'ESA Calculations 2425'!$A$4:$AE$37,5,FALSE),VLOOKUP($A28,EnrollData2324,'2324 Jun 24 Enroll'!E$1,FALSE),VLOOKUP($A28,'ESA Calculations 2425'!$A$4:$AE$37,5,FALSE))*K28,3)</f>
        <v>1.155</v>
      </c>
      <c r="N28">
        <f>ROUND(IF(VLOOKUP($A28,EnrollData2324,'2324 Jun 24 Enroll'!F$1,FALSE)=VLOOKUP($A28,'ESA Calculations 2425'!$A$4:$AE$37,6,FALSE),VLOOKUP($A28,EnrollData2324,'2324 Jun 24 Enroll'!F$1,FALSE),VLOOKUP($A28,'ESA Calculations 2425'!$A$4:$AE$37,6,FALSE))*Apport_223A2425,3)</f>
        <v>0.27900000000000003</v>
      </c>
      <c r="O28">
        <f>ROUND(IF(VLOOKUP($A28,EnrollData2324,'2324 Jun 24 Enroll'!G$1,FALSE)=VLOOKUP($A28,'ESA Calculations 2425'!$A$4:$AE$37,7,FALSE),VLOOKUP($A28,EnrollData2324,'2324 Jun 24 Enroll'!G$1,FALSE),VLOOKUP($A28,'ESA Calculations 2425'!$A$4:$AE$37,7,FALSE))*Apport_211A2425,3)</f>
        <v>0.51100000000000001</v>
      </c>
      <c r="P28">
        <f>ROUND(IF(VLOOKUP($A28,EnrollData2324,'2324 Jun 24 Enroll'!H$1,FALSE)=VLOOKUP($A28,'ESA Calculations 2425'!$A$4:$AE$37,8,FALSE),VLOOKUP($A28,EnrollData2324,'2324 Jun 24 Enroll'!H$1,FALSE),VLOOKUP($A28,'ESA Calculations 2425'!$A$4:$AE$37,8,FALSE))*Apport_214A2425,3)</f>
        <v>0.61799999999999999</v>
      </c>
      <c r="Q28">
        <f>ROUND(IF(VLOOKUP($A28,EnrollData2324,'2324 Jun 24 Enroll'!I$1,FALSE)+VLOOKUP($A28,EnrollData2324,'2324 Jun 24 Enroll'!M$1,FALSE)-VLOOKUP($A28,EnrollData2324,'2324 Jun 24 Enroll'!J$1,FALSE)=VLOOKUP($A28,'ESA Calculations 2425'!$A$4:$AE$37,9,FALSE)+VLOOKUP($A28,'ESA Calculations 2425'!$A$4:$AE$37,18,FALSE)-VLOOKUP($A28,'ESA Calculations 2425'!$A$4:$AE$37,10,FALSE),VLOOKUP($A28,EnrollData2324,'2324 Jun 24 Enroll'!I$1,FALSE)+VLOOKUP($A28,EnrollData2324,'2324 Jun 24 Enroll'!M$1,FALSE)-VLOOKUP($A28,EnrollData2324,'2324 Jun 24 Enroll'!J$1,FALSE),VLOOKUP($A28,'ESA Calculations 2425'!$A$4:$AE$37,9,FALSE)+VLOOKUP($A28,'ESA Calculations 2425'!$A$4:$AE$37,18,FALSE)-VLOOKUP($A28,'ESA Calculations 2425'!$A$4:$AE$37,10,FALSE))*Apport_217A2425,3)</f>
        <v>1.4790000000000001</v>
      </c>
      <c r="R28">
        <f>ROUND(SUM(L28:Q28)/IF(VLOOKUP($A28,EnrollData2324,'2324 Jun 24 Enroll'!M$1,FALSE)+VLOOKUP($A28,EnrollData2324,'2324 Jun 24 Enroll'!D$1,FALSE)=VLOOKUP($A28,'ESA Calculations 2425'!$A$4:$AE$37,18,FALSE)+VLOOKUP($A28,'ESA Calculations 2425'!$A$4:$AE$37,4,FALSE),VLOOKUP($A28,EnrollData2324,'2324 Jun 24 Enroll'!M$1,FALSE)+VLOOKUP($A28,EnrollData2324,'2324 Jun 24 Enroll'!D$1,FALSE),VLOOKUP($A28,'ESA Calculations 2425'!$A$4:$AE$37,18,FALSE)+VLOOKUP($A28,'ESA Calculations 2425'!$A$4:$AE$37,4,FALSE)),5)</f>
        <v>4.13E-3</v>
      </c>
      <c r="S28" s="11">
        <f t="shared" si="2"/>
        <v>1.86079E-2</v>
      </c>
      <c r="T28">
        <f>ROUND(IF(VLOOKUP($A28,EnrollData2324,'2324 Jun 24 Enroll'!D$1,FALSE)=VLOOKUP($A28,'ESA Calculations 2425'!$A$4:$AE$37,4,FALSE),VLOOKUP($A28,EnrollData2324,'2324 Jun 24 Enroll'!D$1,FALSE),VLOOKUP($A28,'ESA Calculations 2425'!$A$4:$AE$37,4,FALSE))*S28,3)</f>
        <v>0.25900000000000001</v>
      </c>
      <c r="U28">
        <f>ROUND(IF(VLOOKUP($A28,EnrollData2324,'2324 Jun 24 Enroll'!E$1,FALSE)=VLOOKUP($A28,'ESA Calculations 2425'!$A$4:$AE$37,5,FALSE),VLOOKUP($A28,EnrollData2324,'2324 Jun 24 Enroll'!E$1,FALSE),VLOOKUP($A28,'ESA Calculations 2425'!$A$4:$AE$37,5,FALSE))*S28,3)</f>
        <v>4.9509999999999996</v>
      </c>
      <c r="V28">
        <f>ROUND(IF(VLOOKUP($A28,EnrollData2324,'2324 Jun 24 Enroll'!F$1,FALSE)=VLOOKUP($A28,'ESA Calculations 2425'!$A$4:$AE$37,6,FALSE),VLOOKUP($A28,EnrollData2324,'2324 Jun 24 Enroll'!F$1,FALSE),VLOOKUP($A28,'ESA Calculations 2425'!$A$4:$AE$37,6,FALSE))*Apport_224A2425,3)</f>
        <v>1.224</v>
      </c>
      <c r="W28">
        <f>ROUND(IF(VLOOKUP($A28,EnrollData2324,'2324 Jun 24 Enroll'!G$1,FALSE)=VLOOKUP($A28,'ESA Calculations 2425'!$A$4:$AE$37,7,FALSE),VLOOKUP($A28,EnrollData2324,'2324 Jun 24 Enroll'!G$1,FALSE),VLOOKUP($A28,'ESA Calculations 2425'!$A$4:$AE$37,7,FALSE))*Apport_212A2425,3)</f>
        <v>2.2400000000000002</v>
      </c>
      <c r="X28">
        <f>ROUND(IF(VLOOKUP($A28,EnrollData2324,'2324 Jun 24 Enroll'!H$1,FALSE)=VLOOKUP($A28,'ESA Calculations 2425'!$A$4:$AE$37,8,FALSE),VLOOKUP($A28,EnrollData2324,'2324 Jun 24 Enroll'!H$1,FALSE),VLOOKUP($A28,'ESA Calculations 2425'!$A$4:$AE$37,8,FALSE))*Apport_215A2425,3)</f>
        <v>2.6760000000000002</v>
      </c>
      <c r="Y28">
        <f>ROUND(IF(VLOOKUP($A28,EnrollData2324,'2324 Jun 24 Enroll'!I$1,FALSE)+VLOOKUP($A28,EnrollData2324,'2324 Jun 24 Enroll'!M$1,FALSE)-VLOOKUP($A28,EnrollData2324,'2324 Jun 24 Enroll'!J$1,FALSE)=VLOOKUP($A28,'ESA Calculations 2425'!$A$4:$AE$37,9,FALSE)+VLOOKUP($A28,'ESA Calculations 2425'!$A$4:$AE$37,18,FALSE)-VLOOKUP($A28,'ESA Calculations 2425'!$A$4:$AE$37,10,FALSE),VLOOKUP($A28,EnrollData2324,'2324 Jun 24 Enroll'!I$1,FALSE)+VLOOKUP($A28,EnrollData2324,'2324 Jun 24 Enroll'!M$1,FALSE)-VLOOKUP($A28,EnrollData2324,'2324 Jun 24 Enroll'!J$1,FALSE),VLOOKUP($A28,'ESA Calculations 2425'!$A$4:$AE$37,9,FALSE)+VLOOKUP($A28,'ESA Calculations 2425'!$A$4:$AE$37,18,FALSE)-VLOOKUP($A28,'ESA Calculations 2425'!$A$4:$AE$37,10,FALSE))*Apport_218A2425,3)</f>
        <v>6.3570000000000002</v>
      </c>
      <c r="Z28">
        <f>ROUND(SUM(T28:Y28)/IF(VLOOKUP($A28,EnrollData2324,'2324 Jun 24 Enroll'!M$1,FALSE)+VLOOKUP($A28,EnrollData2324,'2324 Jun 24 Enroll'!D$1,FALSE)=VLOOKUP($A28,'ESA Calculations 2425'!$A$4:$AE$37,18,FALSE)+VLOOKUP($A28,'ESA Calculations 2425'!$A$4:$AE$37,4,FALSE),VLOOKUP($A28,EnrollData2324,'2324 Jun 24 Enroll'!M$1,FALSE)+VLOOKUP($A28,EnrollData2324,'2324 Jun 24 Enroll'!D$1,FALSE),VLOOKUP($A28,'ESA Calculations 2425'!$A$4:$AE$37,18,FALSE)+VLOOKUP($A28,'ESA Calculations 2425'!$A$4:$AE$37,4,FALSE)),5)</f>
        <v>1.7840000000000002E-2</v>
      </c>
      <c r="AA28" s="6">
        <f>ROUND($J28*CIS_Base_Salary2425*VLOOKUP($A28,EnrollData2324,'2324 Jun 24 Enroll'!AH$1,FALSE),2)</f>
        <v>4236.29</v>
      </c>
      <c r="AB28" s="6">
        <f>ROUND($J28*CIS_Inc_Salary2425*(VLOOKUP($A28,EnrollData2324,'2324 Jun 24 Enroll'!AI$1,FALSE)+VLOOKUP($A28,EnrollData2324,'2324 Jun 24 Enroll'!AJ$1,FALSE)),2)-AA28</f>
        <v>156.71000000000004</v>
      </c>
      <c r="AC28" s="6" cm="1">
        <f t="array" ref="AC28">ROUND($R28*CAS_Base_Salary2425*VLOOKUP($A28,EnrollData2324,'2324 Jun 24 Enroll'!AH$1,FALSE),2)</f>
        <v>462.35</v>
      </c>
      <c r="AD28" s="6">
        <f>ROUND($R28*CAS_Inc_Salary2425*VLOOKUP($A28,EnrollData2324,'2324 Jun 24 Enroll'!AI$1,FALSE),2)-AC28</f>
        <v>17.109999999999957</v>
      </c>
      <c r="AE28" s="6">
        <f>ROUND($Z28*CLS_Base_Salary2425*VLOOKUP($A28,EnrollData2324,'2324 Jun 24 Enroll'!AH$1,FALSE),2)</f>
        <v>965.2</v>
      </c>
      <c r="AF28" s="6">
        <f>ROUND($Z28*CLS_Inc_Salary2425*VLOOKUP($A28,EnrollData2324,'2324 Jun 24 Enroll'!AI$1,FALSE),2)-AE28</f>
        <v>35.709999999999923</v>
      </c>
      <c r="AG28" cm="1">
        <f t="array" ref="AG28">ROUND(($J28+$R28)*Apport_124X2425,2)</f>
        <v>795.96</v>
      </c>
      <c r="AH28" s="69" cm="1">
        <f t="array" ref="AH28">ROUND(($J28+$R28)*Apport_621X2425*Apport_125XC2425,2)-AG28</f>
        <v>73.490000000000009</v>
      </c>
      <c r="AI28" cm="1">
        <f t="array" ref="AI28">ROUND($Z28*Apport_124X2425,2)</f>
        <v>235.49</v>
      </c>
      <c r="AJ28">
        <f t="shared" si="3"/>
        <v>125.13999999999999</v>
      </c>
      <c r="AK28">
        <f t="shared" si="4"/>
        <v>852.8</v>
      </c>
      <c r="AL28">
        <f t="shared" si="5"/>
        <v>30.44</v>
      </c>
      <c r="AM28">
        <f t="shared" si="6"/>
        <v>209.06</v>
      </c>
      <c r="AN28">
        <f t="shared" si="7"/>
        <v>6.48</v>
      </c>
      <c r="AO28">
        <f>ROUND(($J28*CIS_Inc_Salary2425*(VLOOKUP($A28,EnrollData2324,'2324 Jun 24 Enroll'!AI$1,FALSE)+VLOOKUP($A28,EnrollData2324,'2324 Jun 24 Enroll'!AJ$1,FALSE))/Apport_613Xpd)*Apport_614Xpd,2)</f>
        <v>73.22</v>
      </c>
      <c r="AP28">
        <f t="shared" si="8"/>
        <v>12.82</v>
      </c>
      <c r="AQ28">
        <f t="shared" si="11"/>
        <v>31.29</v>
      </c>
      <c r="AR28" s="6">
        <f>ROUND((IF(VLOOKUP($A28,EnrollData2324,'2324 Jun 24 Enroll'!D$1,FALSE)=VLOOKUP($A28,'ESA Calculations 2425'!$A$4:$AE$37,4,FALSE),VLOOKUP($A28,EnrollData2324,'2324 Jun 24 Enroll'!D$1,FALSE),VLOOKUP($A28,'ESA Calculations 2425'!$A$4:$AE$37,4,FALSE))*Apport_M802425+IF(VLOOKUP($A28,EnrollData2324,'2324 Jun 24 Enroll'!M$1,FALSE)=VLOOKUP($A28,'ESA Calculations 2425'!$A$4:$AE$37,18,FALSE),VLOOKUP($A28,EnrollData2324,'2324 Jun 24 Enroll'!M$1,FALSE),VLOOKUP($A28,'ESA Calculations 2425'!$A$4:$AE$37,18,FALSE))*Apport_M802425+IF((VLOOKUP($A28,EnrollData2324,'2324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Enroll'!L$1,FALSE))=VLOOKUP($A28,EnrollData2324,'2324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Enroll'!L$1,FALSE),(VLOOKUP($A28,EnrollData2324,'2324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Enroll'!L$1,FALSE)),(VLOOKUP($A28,EnrollData2324,'2324 Jun 24 Enroll'!P$1,FALSE)+VLOOKUP($A28,EnrollData2324,'2324 Jun 24 Enroll'!Q$1,FALSE)+VLOOKUP($A28,EnrollData2324,'2324 Jun 24 Enroll'!R$1,FALSE)+VLOOKUP($A28,EnrollData2324,'2324 Jun 24 Enroll'!I$1,FALSE)+VLOOKUP($A28,EnrollData2324,'2324 Jun 24 Enroll'!N$1,FALSE)+VLOOKUP($A28,EnrollData2324,'2324 Jun 24 Enroll'!O$1,FALSE)+VLOOKUP($A28,EnrollData2324,'2324 Jun 24 Enroll'!K$1,FALSE)+VLOOKUP($A28,EnrollData2324,'2324 Jun 24 Enroll'!L$1,FALSE)))*Apport_M812425)/(IF(VLOOKUP($A28,EnrollData2324,'2324 Jun 24 Enroll'!M$1,FALSE)=VLOOKUP($A28,'ESA Calculations 2425'!$A$4:$AE$37,18,FALSE),VLOOKUP($A28,EnrollData2324,'2324 Jun 24 Enroll'!M$1,FALSE),VLOOKUP($A28,'ESA Calculations 2425'!$A$4:$AE$37,18,FALSE))+IF(VLOOKUP($A28,EnrollData2324,'2324 Jun 24 Enroll'!D$1,FALSE)=VLOOKUP($A28,'ESA Calculations 2425'!$A$4:$AE$37,4,FALSE),VLOOKUP($A28,EnrollData2324,'2324 Jun 24 Enroll'!D$1,FALSE),VLOOKUP($A28,'ESA Calculations 2425'!$A$4:$AE$37,4,FALSE))),2)</f>
        <v>1607.9</v>
      </c>
      <c r="AS28" s="7">
        <f t="shared" si="12"/>
        <v>9927.4599999999991</v>
      </c>
      <c r="AT28" s="6">
        <f>IF(VLOOKUP($A28,EnrollData2324,'2324 Jun 24 Enroll'!AA$1,FALSE)=VLOOKUP($A28,'ESA Calculations 2425'!$A$4:$AE$37,24,FALSE),VLOOKUP($A28,EnrollData2324,'2324 Jun 24 Enroll'!AA$1,FALSE),VLOOKUP($A28,'ESA Calculations 2425'!$A$4:$AE$37,24,FALSE))</f>
        <v>992.08</v>
      </c>
    </row>
    <row r="29" spans="1:46">
      <c r="A29" s="40" t="s">
        <v>618</v>
      </c>
      <c r="B29" s="40" t="s">
        <v>619</v>
      </c>
      <c r="C29" s="11">
        <f>ROUND((IFERROR((1/IF(VLOOKUP($A29,EnrollData2324,28,FALSE)=VLOOKUP($A29,'ESA Calculations 2425'!$A$4:$AE$37,3,FALSE),VLOOKUP($A29,EnrollData2324,28,FALSE),VLOOKUP($A29,'ESA Calculations 2425'!$A$4:$AE$37,3,FALSE)))*(1+Apport_Z315),0))+Apport_201A2425,6)</f>
        <v>7.3248999999999995E-2</v>
      </c>
      <c r="D29">
        <f>ROUND(IF(VLOOKUP($A29,EnrollData2324,'2324 Jun 24 Enroll'!D$1,FALSE)=VLOOKUP($A29,'ESA Calculations 2425'!$A$4:$AE$37,4,FALSE),VLOOKUP($A29,EnrollData2324,'2324 Jun 24 Enroll'!D$1,FALSE),VLOOKUP($A29,'ESA Calculations 2425'!$A$4:$AE$37,4,FALSE))*C29,3)</f>
        <v>0</v>
      </c>
      <c r="E29">
        <f>ROUND(IF(VLOOKUP($A29,EnrollData2324,'2324 Jun 24 Enroll'!E$1,FALSE)=VLOOKUP($A29,'ESA Calculations 2425'!$A$4:$AE$37,5,FALSE),VLOOKUP($A29,EnrollData2324,'2324 Jun 24 Enroll'!E$1,FALSE),VLOOKUP($A29,'ESA Calculations 2425'!$A$4:$AE$37,5,FALSE))*C29,3)</f>
        <v>6.1680000000000001</v>
      </c>
      <c r="F29">
        <f>ROUND(IF(VLOOKUP($A29,EnrollData2324,'2324 Jun 24 Enroll'!F$1,FALSE)=VLOOKUP($A29,'ESA Calculations 2425'!$A$4:$AE$37,6,FALSE),VLOOKUP($A29,EnrollData2324,'2324 Jun 24 Enroll'!F$1,FALSE),VLOOKUP($A29,'ESA Calculations 2425'!$A$4:$AE$37,6,FALSE))*Apport_222A2425,3)</f>
        <v>0.96399999999999997</v>
      </c>
      <c r="G29">
        <f>ROUND(IF(VLOOKUP($A29,EnrollData2324,'2324 Jun 24 Enroll'!G$1,FALSE)=VLOOKUP($A29,'ESA Calculations 2425'!$A$4:$AE$37,7,FALSE),VLOOKUP($A29,EnrollData2324,'2324 Jun 24 Enroll'!G$1,FALSE),VLOOKUP($A29,'ESA Calculations 2425'!$A$4:$AE$37,7,FALSE))*Apport_210A2425,3)</f>
        <v>2.298</v>
      </c>
      <c r="H29">
        <f>ROUND(IF(VLOOKUP($A29,EnrollData2324,'2324 Jun 24 Enroll'!H$1,FALSE)=VLOOKUP($A29,'ESA Calculations 2425'!$A$4:$AE$37,8,FALSE),VLOOKUP($A29,EnrollData2324,'2324 Jun 24 Enroll'!H$1,FALSE),VLOOKUP($A29,'ESA Calculations 2425'!$A$4:$AE$37,8,FALSE))*Apport_213A2425,3)</f>
        <v>3.0409999999999999</v>
      </c>
      <c r="I29">
        <f>ROUND(IF(VLOOKUP($A29,EnrollData2324,'2324 Jun 24 Enroll'!I$1,FALSE)+VLOOKUP($A29,EnrollData2324,'2324 Jun 24 Enroll'!M$1,FALSE)-VLOOKUP($A29,EnrollData2324,'2324 Jun 24 Enroll'!J$1,FALSE)=VLOOKUP($A29,'ESA Calculations 2425'!$A$4:$AE$37,9,FALSE)+VLOOKUP($A29,'ESA Calculations 2425'!$A$4:$AE$37,18,FALSE)-VLOOKUP($A29,'ESA Calculations 2425'!$A$4:$AE$37,10,FALSE),VLOOKUP($A29,EnrollData2324,'2324 Jun 24 Enroll'!I$1,FALSE)+VLOOKUP($A29,EnrollData2324,'2324 Jun 24 Enroll'!M$1,FALSE)-VLOOKUP($A29,EnrollData2324,'2324 Jun 24 Enroll'!J$1,FALSE),VLOOKUP($A29,'ESA Calculations 2425'!$A$4:$AE$37,9,FALSE)+VLOOKUP($A29,'ESA Calculations 2425'!$A$4:$AE$37,18,FALSE)-VLOOKUP($A29,'ESA Calculations 2425'!$A$4:$AE$37,10,FALSE))*Apport_216A2425,3)</f>
        <v>5.0129999999999999</v>
      </c>
      <c r="J29">
        <f>ROUND(SUM(D29:I29)/IF(VLOOKUP($A29,EnrollData2324,'2324 Jun 24 Enroll'!M$1,FALSE)+VLOOKUP($A29,EnrollData2324,'2324 Jun 24 Enroll'!D$1,FALSE)=VLOOKUP($A29,'ESA Calculations 2425'!$A$4:$AE$37,18,FALSE)+VLOOKUP($A29,'ESA Calculations 2425'!$A$4:$AE$37,4,FALSE),VLOOKUP($A29,EnrollData2324,'2324 Jun 24 Enroll'!M$1,FALSE)+VLOOKUP($A29,EnrollData2324,'2324 Jun 24 Enroll'!D$1,FALSE),VLOOKUP($A29,'ESA Calculations 2425'!$A$4:$AE$37,18,FALSE)+VLOOKUP($A29,'ESA Calculations 2425'!$A$4:$AE$37,4,FALSE)),5)</f>
        <v>5.638E-2</v>
      </c>
      <c r="K29" s="11">
        <f t="shared" si="1"/>
        <v>4.3680000000000004E-3</v>
      </c>
      <c r="L29">
        <f>ROUND(IF(VLOOKUP($A29,EnrollData2324,'2324 Jun 24 Enroll'!D$1,FALSE)=VLOOKUP($A29,'ESA Calculations 2425'!$A$4:$AE$37,4,FALSE),VLOOKUP($A29,EnrollData2324,'2324 Jun 24 Enroll'!D$1,FALSE),VLOOKUP($A29,'ESA Calculations 2425'!$A$4:$AE$37,4,FALSE))*K29,3)</f>
        <v>0</v>
      </c>
      <c r="M29">
        <f>ROUND(IF(VLOOKUP($A29,EnrollData2324,'2324 Jun 24 Enroll'!E$1,FALSE)=VLOOKUP($A29,'ESA Calculations 2425'!$A$4:$AE$37,5,FALSE),VLOOKUP($A29,EnrollData2324,'2324 Jun 24 Enroll'!E$1,FALSE),VLOOKUP($A29,'ESA Calculations 2425'!$A$4:$AE$37,5,FALSE))*K29,3)</f>
        <v>0.36799999999999999</v>
      </c>
      <c r="N29">
        <f>ROUND(IF(VLOOKUP($A29,EnrollData2324,'2324 Jun 24 Enroll'!F$1,FALSE)=VLOOKUP($A29,'ESA Calculations 2425'!$A$4:$AE$37,6,FALSE),VLOOKUP($A29,EnrollData2324,'2324 Jun 24 Enroll'!F$1,FALSE),VLOOKUP($A29,'ESA Calculations 2425'!$A$4:$AE$37,6,FALSE))*Apport_223A2425,3)</f>
        <v>7.9000000000000001E-2</v>
      </c>
      <c r="O29">
        <f>ROUND(IF(VLOOKUP($A29,EnrollData2324,'2324 Jun 24 Enroll'!G$1,FALSE)=VLOOKUP($A29,'ESA Calculations 2425'!$A$4:$AE$37,7,FALSE),VLOOKUP($A29,EnrollData2324,'2324 Jun 24 Enroll'!G$1,FALSE),VLOOKUP($A29,'ESA Calculations 2425'!$A$4:$AE$37,7,FALSE))*Apport_211A2425,3)</f>
        <v>0.188</v>
      </c>
      <c r="P29">
        <f>ROUND(IF(VLOOKUP($A29,EnrollData2324,'2324 Jun 24 Enroll'!H$1,FALSE)=VLOOKUP($A29,'ESA Calculations 2425'!$A$4:$AE$37,8,FALSE),VLOOKUP($A29,EnrollData2324,'2324 Jun 24 Enroll'!H$1,FALSE),VLOOKUP($A29,'ESA Calculations 2425'!$A$4:$AE$37,8,FALSE))*Apport_214A2425,3)</f>
        <v>0.248</v>
      </c>
      <c r="Q29">
        <f>ROUND(IF(VLOOKUP($A29,EnrollData2324,'2324 Jun 24 Enroll'!I$1,FALSE)+VLOOKUP($A29,EnrollData2324,'2324 Jun 24 Enroll'!M$1,FALSE)-VLOOKUP($A29,EnrollData2324,'2324 Jun 24 Enroll'!J$1,FALSE)=VLOOKUP($A29,'ESA Calculations 2425'!$A$4:$AE$37,9,FALSE)+VLOOKUP($A29,'ESA Calculations 2425'!$A$4:$AE$37,18,FALSE)-VLOOKUP($A29,'ESA Calculations 2425'!$A$4:$AE$37,10,FALSE),VLOOKUP($A29,EnrollData2324,'2324 Jun 24 Enroll'!I$1,FALSE)+VLOOKUP($A29,EnrollData2324,'2324 Jun 24 Enroll'!M$1,FALSE)-VLOOKUP($A29,EnrollData2324,'2324 Jun 24 Enroll'!J$1,FALSE),VLOOKUP($A29,'ESA Calculations 2425'!$A$4:$AE$37,9,FALSE)+VLOOKUP($A29,'ESA Calculations 2425'!$A$4:$AE$37,18,FALSE)-VLOOKUP($A29,'ESA Calculations 2425'!$A$4:$AE$37,10,FALSE))*Apport_217A2425,3)</f>
        <v>0.4</v>
      </c>
      <c r="R29">
        <f>ROUND(SUM(L29:Q29)/IF(VLOOKUP($A29,EnrollData2324,'2324 Jun 24 Enroll'!M$1,FALSE)+VLOOKUP($A29,EnrollData2324,'2324 Jun 24 Enroll'!D$1,FALSE)=VLOOKUP($A29,'ESA Calculations 2425'!$A$4:$AE$37,18,FALSE)+VLOOKUP($A29,'ESA Calculations 2425'!$A$4:$AE$37,4,FALSE),VLOOKUP($A29,EnrollData2324,'2324 Jun 24 Enroll'!M$1,FALSE)+VLOOKUP($A29,EnrollData2324,'2324 Jun 24 Enroll'!D$1,FALSE),VLOOKUP($A29,'ESA Calculations 2425'!$A$4:$AE$37,18,FALSE)+VLOOKUP($A29,'ESA Calculations 2425'!$A$4:$AE$37,4,FALSE)),5)</f>
        <v>4.1399999999999996E-3</v>
      </c>
      <c r="S29" s="11">
        <f t="shared" si="2"/>
        <v>1.8681699999999999E-2</v>
      </c>
      <c r="T29">
        <f>ROUND(IF(VLOOKUP($A29,EnrollData2324,'2324 Jun 24 Enroll'!D$1,FALSE)=VLOOKUP($A29,'ESA Calculations 2425'!$A$4:$AE$37,4,FALSE),VLOOKUP($A29,EnrollData2324,'2324 Jun 24 Enroll'!D$1,FALSE),VLOOKUP($A29,'ESA Calculations 2425'!$A$4:$AE$37,4,FALSE))*S29,3)</f>
        <v>0</v>
      </c>
      <c r="U29">
        <f>ROUND(IF(VLOOKUP($A29,EnrollData2324,'2324 Jun 24 Enroll'!E$1,FALSE)=VLOOKUP($A29,'ESA Calculations 2425'!$A$4:$AE$37,5,FALSE),VLOOKUP($A29,EnrollData2324,'2324 Jun 24 Enroll'!E$1,FALSE),VLOOKUP($A29,'ESA Calculations 2425'!$A$4:$AE$37,5,FALSE))*S29,3)</f>
        <v>1.573</v>
      </c>
      <c r="V29">
        <f>ROUND(IF(VLOOKUP($A29,EnrollData2324,'2324 Jun 24 Enroll'!F$1,FALSE)=VLOOKUP($A29,'ESA Calculations 2425'!$A$4:$AE$37,6,FALSE),VLOOKUP($A29,EnrollData2324,'2324 Jun 24 Enroll'!F$1,FALSE),VLOOKUP($A29,'ESA Calculations 2425'!$A$4:$AE$37,6,FALSE))*Apport_224A2425,3)</f>
        <v>0.34599999999999997</v>
      </c>
      <c r="W29">
        <f>ROUND(IF(VLOOKUP($A29,EnrollData2324,'2324 Jun 24 Enroll'!G$1,FALSE)=VLOOKUP($A29,'ESA Calculations 2425'!$A$4:$AE$37,7,FALSE),VLOOKUP($A29,EnrollData2324,'2324 Jun 24 Enroll'!G$1,FALSE),VLOOKUP($A29,'ESA Calculations 2425'!$A$4:$AE$37,7,FALSE))*Apport_212A2425,3)</f>
        <v>0.82499999999999996</v>
      </c>
      <c r="X29">
        <f>ROUND(IF(VLOOKUP($A29,EnrollData2324,'2324 Jun 24 Enroll'!H$1,FALSE)=VLOOKUP($A29,'ESA Calculations 2425'!$A$4:$AE$37,8,FALSE),VLOOKUP($A29,EnrollData2324,'2324 Jun 24 Enroll'!H$1,FALSE),VLOOKUP($A29,'ESA Calculations 2425'!$A$4:$AE$37,8,FALSE))*Apport_215A2425,3)</f>
        <v>1.0740000000000001</v>
      </c>
      <c r="Y29">
        <f>ROUND(IF(VLOOKUP($A29,EnrollData2324,'2324 Jun 24 Enroll'!I$1,FALSE)+VLOOKUP($A29,EnrollData2324,'2324 Jun 24 Enroll'!M$1,FALSE)-VLOOKUP($A29,EnrollData2324,'2324 Jun 24 Enroll'!J$1,FALSE)=VLOOKUP($A29,'ESA Calculations 2425'!$A$4:$AE$37,9,FALSE)+VLOOKUP($A29,'ESA Calculations 2425'!$A$4:$AE$37,18,FALSE)-VLOOKUP($A29,'ESA Calculations 2425'!$A$4:$AE$37,10,FALSE),VLOOKUP($A29,EnrollData2324,'2324 Jun 24 Enroll'!I$1,FALSE)+VLOOKUP($A29,EnrollData2324,'2324 Jun 24 Enroll'!M$1,FALSE)-VLOOKUP($A29,EnrollData2324,'2324 Jun 24 Enroll'!J$1,FALSE),VLOOKUP($A29,'ESA Calculations 2425'!$A$4:$AE$37,9,FALSE)+VLOOKUP($A29,'ESA Calculations 2425'!$A$4:$AE$37,18,FALSE)-VLOOKUP($A29,'ESA Calculations 2425'!$A$4:$AE$37,10,FALSE))*Apport_218A2425,3)</f>
        <v>1.72</v>
      </c>
      <c r="Z29">
        <f>ROUND(SUM(T29:Y29)/IF(VLOOKUP($A29,EnrollData2324,'2324 Jun 24 Enroll'!M$1,FALSE)+VLOOKUP($A29,EnrollData2324,'2324 Jun 24 Enroll'!D$1,FALSE)=VLOOKUP($A29,'ESA Calculations 2425'!$A$4:$AE$37,18,FALSE)+VLOOKUP($A29,'ESA Calculations 2425'!$A$4:$AE$37,4,FALSE),VLOOKUP($A29,EnrollData2324,'2324 Jun 24 Enroll'!M$1,FALSE)+VLOOKUP($A29,EnrollData2324,'2324 Jun 24 Enroll'!D$1,FALSE),VLOOKUP($A29,'ESA Calculations 2425'!$A$4:$AE$37,18,FALSE)+VLOOKUP($A29,'ESA Calculations 2425'!$A$4:$AE$37,4,FALSE)),5)</f>
        <v>1.7860000000000001E-2</v>
      </c>
      <c r="AA29" s="6">
        <f>ROUND($J29*CIS_Base_Salary2425*VLOOKUP($A29,EnrollData2324,'2324 Jun 24 Enroll'!AH$1,FALSE),2)</f>
        <v>4252.12</v>
      </c>
      <c r="AB29" s="6">
        <f>ROUND($J29*CIS_Inc_Salary2425*(VLOOKUP($A29,EnrollData2324,'2324 Jun 24 Enroll'!AI$1,FALSE)+VLOOKUP($A29,EnrollData2324,'2324 Jun 24 Enroll'!AJ$1,FALSE)),2)-AA29</f>
        <v>201.40000000000055</v>
      </c>
      <c r="AC29" s="6" cm="1">
        <f t="array" ref="AC29">ROUND($R29*CAS_Base_Salary2425*VLOOKUP($A29,EnrollData2324,'2324 Jun 24 Enroll'!AH$1,FALSE),2)</f>
        <v>463.47</v>
      </c>
      <c r="AD29" s="6">
        <f>ROUND($R29*CAS_Inc_Salary2425*VLOOKUP($A29,EnrollData2324,'2324 Jun 24 Enroll'!AI$1,FALSE),2)-AC29</f>
        <v>17.149999999999977</v>
      </c>
      <c r="AE29" s="6">
        <f>ROUND($Z29*CLS_Base_Salary2425*VLOOKUP($A29,EnrollData2324,'2324 Jun 24 Enroll'!AH$1,FALSE),2)</f>
        <v>966.28</v>
      </c>
      <c r="AF29" s="6">
        <f>ROUND($Z29*CLS_Inc_Salary2425*VLOOKUP($A29,EnrollData2324,'2324 Jun 24 Enroll'!AI$1,FALSE),2)-AE29</f>
        <v>35.759999999999991</v>
      </c>
      <c r="AG29" cm="1">
        <f t="array" ref="AG29">ROUND(($J29+$R29)*Apport_124X2425,2)</f>
        <v>798.86</v>
      </c>
      <c r="AH29" s="69" cm="1">
        <f t="array" ref="AH29">ROUND(($J29+$R29)*Apport_621X2425*Apport_125XC2425,2)-AG29</f>
        <v>73.759999999999991</v>
      </c>
      <c r="AI29" cm="1">
        <f t="array" ref="AI29">ROUND($Z29*Apport_124X2425,2)</f>
        <v>235.75</v>
      </c>
      <c r="AJ29">
        <f t="shared" si="3"/>
        <v>125.27999999999997</v>
      </c>
      <c r="AK29">
        <f t="shared" si="4"/>
        <v>855.88</v>
      </c>
      <c r="AL29">
        <f t="shared" si="5"/>
        <v>38.270000000000003</v>
      </c>
      <c r="AM29">
        <f t="shared" si="6"/>
        <v>209.3</v>
      </c>
      <c r="AN29">
        <f t="shared" si="7"/>
        <v>6.49</v>
      </c>
      <c r="AO29">
        <f>ROUND(($J29*CIS_Inc_Salary2425*(VLOOKUP($A29,EnrollData2324,'2324 Jun 24 Enroll'!AI$1,FALSE)+VLOOKUP($A29,EnrollData2324,'2324 Jun 24 Enroll'!AJ$1,FALSE))/Apport_613Xpd)*Apport_614Xpd,2)</f>
        <v>74.23</v>
      </c>
      <c r="AP29">
        <f t="shared" si="8"/>
        <v>13</v>
      </c>
      <c r="AQ29">
        <f t="shared" si="11"/>
        <v>31.4</v>
      </c>
      <c r="AR29" s="6">
        <f>ROUND((IF(VLOOKUP($A29,EnrollData2324,'2324 Jun 24 Enroll'!D$1,FALSE)=VLOOKUP($A29,'ESA Calculations 2425'!$A$4:$AE$37,4,FALSE),VLOOKUP($A29,EnrollData2324,'2324 Jun 24 Enroll'!D$1,FALSE),VLOOKUP($A29,'ESA Calculations 2425'!$A$4:$AE$37,4,FALSE))*Apport_M802425+IF(VLOOKUP($A29,EnrollData2324,'2324 Jun 24 Enroll'!M$1,FALSE)=VLOOKUP($A29,'ESA Calculations 2425'!$A$4:$AE$37,18,FALSE),VLOOKUP($A29,EnrollData2324,'2324 Jun 24 Enroll'!M$1,FALSE),VLOOKUP($A29,'ESA Calculations 2425'!$A$4:$AE$37,18,FALSE))*Apport_M802425+IF((VLOOKUP($A29,EnrollData2324,'2324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Enroll'!L$1,FALSE))=VLOOKUP($A29,EnrollData2324,'2324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Enroll'!L$1,FALSE),(VLOOKUP($A29,EnrollData2324,'2324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Enroll'!L$1,FALSE)),(VLOOKUP($A29,EnrollData2324,'2324 Jun 24 Enroll'!P$1,FALSE)+VLOOKUP($A29,EnrollData2324,'2324 Jun 24 Enroll'!Q$1,FALSE)+VLOOKUP($A29,EnrollData2324,'2324 Jun 24 Enroll'!R$1,FALSE)+VLOOKUP($A29,EnrollData2324,'2324 Jun 24 Enroll'!I$1,FALSE)+VLOOKUP($A29,EnrollData2324,'2324 Jun 24 Enroll'!N$1,FALSE)+VLOOKUP($A29,EnrollData2324,'2324 Jun 24 Enroll'!O$1,FALSE)+VLOOKUP($A29,EnrollData2324,'2324 Jun 24 Enroll'!K$1,FALSE)+VLOOKUP($A29,EnrollData2324,'2324 Jun 24 Enroll'!L$1,FALSE)))*Apport_M812425)/(IF(VLOOKUP($A29,EnrollData2324,'2324 Jun 24 Enroll'!M$1,FALSE)=VLOOKUP($A29,'ESA Calculations 2425'!$A$4:$AE$37,18,FALSE),VLOOKUP($A29,EnrollData2324,'2324 Jun 24 Enroll'!M$1,FALSE),VLOOKUP($A29,'ESA Calculations 2425'!$A$4:$AE$37,18,FALSE))+IF(VLOOKUP($A29,EnrollData2324,'2324 Jun 24 Enroll'!D$1,FALSE)=VLOOKUP($A29,'ESA Calculations 2425'!$A$4:$AE$37,4,FALSE),VLOOKUP($A29,EnrollData2324,'2324 Jun 24 Enroll'!D$1,FALSE),VLOOKUP($A29,'ESA Calculations 2425'!$A$4:$AE$37,4,FALSE))),2)</f>
        <v>1597.85</v>
      </c>
      <c r="AS29" s="7">
        <f t="shared" si="12"/>
        <v>9996.25</v>
      </c>
      <c r="AT29" s="6">
        <f>IF(VLOOKUP($A29,EnrollData2324,'2324 Jun 24 Enroll'!AA$1,FALSE)=VLOOKUP($A29,'ESA Calculations 2425'!$A$4:$AE$37,24,FALSE),VLOOKUP($A29,EnrollData2324,'2324 Jun 24 Enroll'!AA$1,FALSE),VLOOKUP($A29,'ESA Calculations 2425'!$A$4:$AE$37,24,FALSE))</f>
        <v>310.10000000000002</v>
      </c>
    </row>
    <row r="30" spans="1:46">
      <c r="A30" s="40" t="s">
        <v>763</v>
      </c>
      <c r="B30" s="40" t="s">
        <v>764</v>
      </c>
      <c r="C30" s="11">
        <f>ROUND((IFERROR((1/IF(VLOOKUP($A30,EnrollData2324,28,FALSE)=VLOOKUP($A30,'ESA Calculations 2425'!$A$4:$AE$37,3,FALSE),VLOOKUP($A30,EnrollData2324,28,FALSE),VLOOKUP($A30,'ESA Calculations 2425'!$A$4:$AE$37,3,FALSE)))*(1+Apport_Z315),0))+Apport_201A2425,6)</f>
        <v>7.4580999999999995E-2</v>
      </c>
      <c r="D30">
        <f>ROUND(IF(VLOOKUP($A30,EnrollData2324,'2324 Jun 24 Enroll'!D$1,FALSE)=VLOOKUP($A30,'ESA Calculations 2425'!$A$4:$AE$37,4,FALSE),VLOOKUP($A30,EnrollData2324,'2324 Jun 24 Enroll'!D$1,FALSE),VLOOKUP($A30,'ESA Calculations 2425'!$A$4:$AE$37,4,FALSE))*C30,3)</f>
        <v>0.45800000000000002</v>
      </c>
      <c r="E30">
        <f>ROUND(IF(VLOOKUP($A30,EnrollData2324,'2324 Jun 24 Enroll'!E$1,FALSE)=VLOOKUP($A30,'ESA Calculations 2425'!$A$4:$AE$37,5,FALSE),VLOOKUP($A30,EnrollData2324,'2324 Jun 24 Enroll'!E$1,FALSE),VLOOKUP($A30,'ESA Calculations 2425'!$A$4:$AE$37,5,FALSE))*C30,3)</f>
        <v>2.879</v>
      </c>
      <c r="F30">
        <f>ROUND(IF(VLOOKUP($A30,EnrollData2324,'2324 Jun 24 Enroll'!F$1,FALSE)=VLOOKUP($A30,'ESA Calculations 2425'!$A$4:$AE$37,6,FALSE),VLOOKUP($A30,EnrollData2324,'2324 Jun 24 Enroll'!F$1,FALSE),VLOOKUP($A30,'ESA Calculations 2425'!$A$4:$AE$37,6,FALSE))*Apport_222A2425,3)</f>
        <v>0.29699999999999999</v>
      </c>
      <c r="G30">
        <f>ROUND(IF(VLOOKUP($A30,EnrollData2324,'2324 Jun 24 Enroll'!G$1,FALSE)=VLOOKUP($A30,'ESA Calculations 2425'!$A$4:$AE$37,7,FALSE),VLOOKUP($A30,EnrollData2324,'2324 Jun 24 Enroll'!G$1,FALSE),VLOOKUP($A30,'ESA Calculations 2425'!$A$4:$AE$37,7,FALSE))*Apport_210A2425,3)</f>
        <v>1.107</v>
      </c>
      <c r="H30">
        <f>ROUND(IF(VLOOKUP($A30,EnrollData2324,'2324 Jun 24 Enroll'!H$1,FALSE)=VLOOKUP($A30,'ESA Calculations 2425'!$A$4:$AE$37,8,FALSE),VLOOKUP($A30,EnrollData2324,'2324 Jun 24 Enroll'!H$1,FALSE),VLOOKUP($A30,'ESA Calculations 2425'!$A$4:$AE$37,8,FALSE))*Apport_213A2425,3)</f>
        <v>0.44600000000000001</v>
      </c>
      <c r="I30">
        <f>ROUND(IF(VLOOKUP($A30,EnrollData2324,'2324 Jun 24 Enroll'!I$1,FALSE)+VLOOKUP($A30,EnrollData2324,'2324 Jun 24 Enroll'!M$1,FALSE)-VLOOKUP($A30,EnrollData2324,'2324 Jun 24 Enroll'!J$1,FALSE)=VLOOKUP($A30,'ESA Calculations 2425'!$A$4:$AE$37,9,FALSE)+VLOOKUP($A30,'ESA Calculations 2425'!$A$4:$AE$37,18,FALSE)-VLOOKUP($A30,'ESA Calculations 2425'!$A$4:$AE$37,10,FALSE),VLOOKUP($A30,EnrollData2324,'2324 Jun 24 Enroll'!I$1,FALSE)+VLOOKUP($A30,EnrollData2324,'2324 Jun 24 Enroll'!M$1,FALSE)-VLOOKUP($A30,EnrollData2324,'2324 Jun 24 Enroll'!J$1,FALSE),VLOOKUP($A30,'ESA Calculations 2425'!$A$4:$AE$37,9,FALSE)+VLOOKUP($A30,'ESA Calculations 2425'!$A$4:$AE$37,18,FALSE)-VLOOKUP($A30,'ESA Calculations 2425'!$A$4:$AE$37,10,FALSE))*Apport_216A2425,3)</f>
        <v>0</v>
      </c>
      <c r="J30">
        <f>ROUND(SUM(D30:I30)/IF(VLOOKUP($A30,EnrollData2324,'2324 Jun 24 Enroll'!M$1,FALSE)+VLOOKUP($A30,EnrollData2324,'2324 Jun 24 Enroll'!D$1,FALSE)=VLOOKUP($A30,'ESA Calculations 2425'!$A$4:$AE$37,18,FALSE)+VLOOKUP($A30,'ESA Calculations 2425'!$A$4:$AE$37,4,FALSE),VLOOKUP($A30,EnrollData2324,'2324 Jun 24 Enroll'!M$1,FALSE)+VLOOKUP($A30,EnrollData2324,'2324 Jun 24 Enroll'!D$1,FALSE),VLOOKUP($A30,'ESA Calculations 2425'!$A$4:$AE$37,18,FALSE)+VLOOKUP($A30,'ESA Calculations 2425'!$A$4:$AE$37,4,FALSE)),5)</f>
        <v>6.3149999999999998E-2</v>
      </c>
      <c r="K30" s="11">
        <f t="shared" si="1"/>
        <v>4.385E-3</v>
      </c>
      <c r="L30">
        <f>ROUND(IF(VLOOKUP($A30,EnrollData2324,'2324 Jun 24 Enroll'!D$1,FALSE)=VLOOKUP($A30,'ESA Calculations 2425'!$A$4:$AE$37,4,FALSE),VLOOKUP($A30,EnrollData2324,'2324 Jun 24 Enroll'!D$1,FALSE),VLOOKUP($A30,'ESA Calculations 2425'!$A$4:$AE$37,4,FALSE))*K30,3)</f>
        <v>2.7E-2</v>
      </c>
      <c r="M30">
        <f>ROUND(IF(VLOOKUP($A30,EnrollData2324,'2324 Jun 24 Enroll'!E$1,FALSE)=VLOOKUP($A30,'ESA Calculations 2425'!$A$4:$AE$37,5,FALSE),VLOOKUP($A30,EnrollData2324,'2324 Jun 24 Enroll'!E$1,FALSE),VLOOKUP($A30,'ESA Calculations 2425'!$A$4:$AE$37,5,FALSE))*K30,3)</f>
        <v>0.16900000000000001</v>
      </c>
      <c r="N30">
        <f>ROUND(IF(VLOOKUP($A30,EnrollData2324,'2324 Jun 24 Enroll'!F$1,FALSE)=VLOOKUP($A30,'ESA Calculations 2425'!$A$4:$AE$37,6,FALSE),VLOOKUP($A30,EnrollData2324,'2324 Jun 24 Enroll'!F$1,FALSE),VLOOKUP($A30,'ESA Calculations 2425'!$A$4:$AE$37,6,FALSE))*Apport_223A2425,3)</f>
        <v>2.4E-2</v>
      </c>
      <c r="O30">
        <f>ROUND(IF(VLOOKUP($A30,EnrollData2324,'2324 Jun 24 Enroll'!G$1,FALSE)=VLOOKUP($A30,'ESA Calculations 2425'!$A$4:$AE$37,7,FALSE),VLOOKUP($A30,EnrollData2324,'2324 Jun 24 Enroll'!G$1,FALSE),VLOOKUP($A30,'ESA Calculations 2425'!$A$4:$AE$37,7,FALSE))*Apport_211A2425,3)</f>
        <v>9.0999999999999998E-2</v>
      </c>
      <c r="P30">
        <f>ROUND(IF(VLOOKUP($A30,EnrollData2324,'2324 Jun 24 Enroll'!H$1,FALSE)=VLOOKUP($A30,'ESA Calculations 2425'!$A$4:$AE$37,8,FALSE),VLOOKUP($A30,EnrollData2324,'2324 Jun 24 Enroll'!H$1,FALSE),VLOOKUP($A30,'ESA Calculations 2425'!$A$4:$AE$37,8,FALSE))*Apport_214A2425,3)</f>
        <v>3.5999999999999997E-2</v>
      </c>
      <c r="Q30">
        <f>ROUND(IF(VLOOKUP($A30,EnrollData2324,'2324 Jun 24 Enroll'!I$1,FALSE)+VLOOKUP($A30,EnrollData2324,'2324 Jun 24 Enroll'!M$1,FALSE)-VLOOKUP($A30,EnrollData2324,'2324 Jun 24 Enroll'!J$1,FALSE)=VLOOKUP($A30,'ESA Calculations 2425'!$A$4:$AE$37,9,FALSE)+VLOOKUP($A30,'ESA Calculations 2425'!$A$4:$AE$37,18,FALSE)-VLOOKUP($A30,'ESA Calculations 2425'!$A$4:$AE$37,10,FALSE),VLOOKUP($A30,EnrollData2324,'2324 Jun 24 Enroll'!I$1,FALSE)+VLOOKUP($A30,EnrollData2324,'2324 Jun 24 Enroll'!M$1,FALSE)-VLOOKUP($A30,EnrollData2324,'2324 Jun 24 Enroll'!J$1,FALSE),VLOOKUP($A30,'ESA Calculations 2425'!$A$4:$AE$37,9,FALSE)+VLOOKUP($A30,'ESA Calculations 2425'!$A$4:$AE$37,18,FALSE)-VLOOKUP($A30,'ESA Calculations 2425'!$A$4:$AE$37,10,FALSE))*Apport_217A2425,3)</f>
        <v>0</v>
      </c>
      <c r="R30">
        <f>ROUND(SUM(L30:Q30)/IF(VLOOKUP($A30,EnrollData2324,'2324 Jun 24 Enroll'!M$1,FALSE)+VLOOKUP($A30,EnrollData2324,'2324 Jun 24 Enroll'!D$1,FALSE)=VLOOKUP($A30,'ESA Calculations 2425'!$A$4:$AE$37,18,FALSE)+VLOOKUP($A30,'ESA Calculations 2425'!$A$4:$AE$37,4,FALSE),VLOOKUP($A30,EnrollData2324,'2324 Jun 24 Enroll'!M$1,FALSE)+VLOOKUP($A30,EnrollData2324,'2324 Jun 24 Enroll'!D$1,FALSE),VLOOKUP($A30,'ESA Calculations 2425'!$A$4:$AE$37,18,FALSE)+VLOOKUP($A30,'ESA Calculations 2425'!$A$4:$AE$37,4,FALSE)),5)</f>
        <v>4.2199999999999998E-3</v>
      </c>
      <c r="S30" s="11">
        <f t="shared" si="2"/>
        <v>1.8734299999999999E-2</v>
      </c>
      <c r="T30">
        <f>ROUND(IF(VLOOKUP($A30,EnrollData2324,'2324 Jun 24 Enroll'!D$1,FALSE)=VLOOKUP($A30,'ESA Calculations 2425'!$A$4:$AE$37,4,FALSE),VLOOKUP($A30,EnrollData2324,'2324 Jun 24 Enroll'!D$1,FALSE),VLOOKUP($A30,'ESA Calculations 2425'!$A$4:$AE$37,4,FALSE))*S30,3)</f>
        <v>0.115</v>
      </c>
      <c r="U30">
        <f>ROUND(IF(VLOOKUP($A30,EnrollData2324,'2324 Jun 24 Enroll'!E$1,FALSE)=VLOOKUP($A30,'ESA Calculations 2425'!$A$4:$AE$37,5,FALSE),VLOOKUP($A30,EnrollData2324,'2324 Jun 24 Enroll'!E$1,FALSE),VLOOKUP($A30,'ESA Calculations 2425'!$A$4:$AE$37,5,FALSE))*S30,3)</f>
        <v>0.72299999999999998</v>
      </c>
      <c r="V30">
        <f>ROUND(IF(VLOOKUP($A30,EnrollData2324,'2324 Jun 24 Enroll'!F$1,FALSE)=VLOOKUP($A30,'ESA Calculations 2425'!$A$4:$AE$37,6,FALSE),VLOOKUP($A30,EnrollData2324,'2324 Jun 24 Enroll'!F$1,FALSE),VLOOKUP($A30,'ESA Calculations 2425'!$A$4:$AE$37,6,FALSE))*Apport_224A2425,3)</f>
        <v>0.106</v>
      </c>
      <c r="W30">
        <f>ROUND(IF(VLOOKUP($A30,EnrollData2324,'2324 Jun 24 Enroll'!G$1,FALSE)=VLOOKUP($A30,'ESA Calculations 2425'!$A$4:$AE$37,7,FALSE),VLOOKUP($A30,EnrollData2324,'2324 Jun 24 Enroll'!G$1,FALSE),VLOOKUP($A30,'ESA Calculations 2425'!$A$4:$AE$37,7,FALSE))*Apport_212A2425,3)</f>
        <v>0.39700000000000002</v>
      </c>
      <c r="X30">
        <f>ROUND(IF(VLOOKUP($A30,EnrollData2324,'2324 Jun 24 Enroll'!H$1,FALSE)=VLOOKUP($A30,'ESA Calculations 2425'!$A$4:$AE$37,8,FALSE),VLOOKUP($A30,EnrollData2324,'2324 Jun 24 Enroll'!H$1,FALSE),VLOOKUP($A30,'ESA Calculations 2425'!$A$4:$AE$37,8,FALSE))*Apport_215A2425,3)</f>
        <v>0.158</v>
      </c>
      <c r="Y30">
        <f>ROUND(IF(VLOOKUP($A30,EnrollData2324,'2324 Jun 24 Enroll'!I$1,FALSE)+VLOOKUP($A30,EnrollData2324,'2324 Jun 24 Enroll'!M$1,FALSE)-VLOOKUP($A30,EnrollData2324,'2324 Jun 24 Enroll'!J$1,FALSE)=VLOOKUP($A30,'ESA Calculations 2425'!$A$4:$AE$37,9,FALSE)+VLOOKUP($A30,'ESA Calculations 2425'!$A$4:$AE$37,18,FALSE)-VLOOKUP($A30,'ESA Calculations 2425'!$A$4:$AE$37,10,FALSE),VLOOKUP($A30,EnrollData2324,'2324 Jun 24 Enroll'!I$1,FALSE)+VLOOKUP($A30,EnrollData2324,'2324 Jun 24 Enroll'!M$1,FALSE)-VLOOKUP($A30,EnrollData2324,'2324 Jun 24 Enroll'!J$1,FALSE),VLOOKUP($A30,'ESA Calculations 2425'!$A$4:$AE$37,9,FALSE)+VLOOKUP($A30,'ESA Calculations 2425'!$A$4:$AE$37,18,FALSE)-VLOOKUP($A30,'ESA Calculations 2425'!$A$4:$AE$37,10,FALSE))*Apport_218A2425,3)</f>
        <v>0</v>
      </c>
      <c r="Z30">
        <f>ROUND(SUM(T30:Y30)/IF(VLOOKUP($A30,EnrollData2324,'2324 Jun 24 Enroll'!M$1,FALSE)+VLOOKUP($A30,EnrollData2324,'2324 Jun 24 Enroll'!D$1,FALSE)=VLOOKUP($A30,'ESA Calculations 2425'!$A$4:$AE$37,18,FALSE)+VLOOKUP($A30,'ESA Calculations 2425'!$A$4:$AE$37,4,FALSE),VLOOKUP($A30,EnrollData2324,'2324 Jun 24 Enroll'!M$1,FALSE)+VLOOKUP($A30,EnrollData2324,'2324 Jun 24 Enroll'!D$1,FALSE),VLOOKUP($A30,'ESA Calculations 2425'!$A$4:$AE$37,18,FALSE)+VLOOKUP($A30,'ESA Calculations 2425'!$A$4:$AE$37,4,FALSE)),5)</f>
        <v>1.8249999999999999E-2</v>
      </c>
      <c r="AA30" s="6">
        <f>ROUND($J30*CIS_Base_Salary2425*VLOOKUP($A30,EnrollData2324,'2324 Jun 24 Enroll'!AH$1,FALSE),2)</f>
        <v>5048.47</v>
      </c>
      <c r="AB30" s="6">
        <f>ROUND($J30*CIS_Inc_Salary2425*(VLOOKUP($A30,EnrollData2324,'2324 Jun 24 Enroll'!AI$1,FALSE)+VLOOKUP($A30,EnrollData2324,'2324 Jun 24 Enroll'!AJ$1,FALSE)),2)-AA30</f>
        <v>186.75999999999931</v>
      </c>
      <c r="AC30" s="6" cm="1">
        <f t="array" ref="AC30">ROUND($R30*CAS_Base_Salary2425*VLOOKUP($A30,EnrollData2324,'2324 Jun 24 Enroll'!AH$1,FALSE),2)</f>
        <v>500.77</v>
      </c>
      <c r="AD30" s="6">
        <f>ROUND($R30*CAS_Inc_Salary2425*VLOOKUP($A30,EnrollData2324,'2324 Jun 24 Enroll'!AI$1,FALSE),2)-AC30</f>
        <v>18.529999999999973</v>
      </c>
      <c r="AE30" s="6">
        <f>ROUND($Z30*CLS_Base_Salary2425*VLOOKUP($A30,EnrollData2324,'2324 Jun 24 Enroll'!AH$1,FALSE),2)</f>
        <v>1046.6199999999999</v>
      </c>
      <c r="AF30" s="6">
        <f>ROUND($Z30*CLS_Inc_Salary2425*VLOOKUP($A30,EnrollData2324,'2324 Jun 24 Enroll'!AI$1,FALSE),2)-AE30</f>
        <v>38.730000000000018</v>
      </c>
      <c r="AG30" cm="1">
        <f t="array" ref="AG30">ROUND(($J30+$R30)*Apport_124X2425,2)</f>
        <v>889.28</v>
      </c>
      <c r="AH30" s="69" cm="1">
        <f t="array" ref="AH30">ROUND(($J30+$R30)*Apport_621X2425*Apport_125XC2425,2)-AG30</f>
        <v>82.110000000000014</v>
      </c>
      <c r="AI30" cm="1">
        <f t="array" ref="AI30">ROUND($Z30*Apport_124X2425,2)</f>
        <v>240.9</v>
      </c>
      <c r="AJ30">
        <f t="shared" si="3"/>
        <v>128.01000000000002</v>
      </c>
      <c r="AK30">
        <f t="shared" si="4"/>
        <v>1007.19</v>
      </c>
      <c r="AL30">
        <f t="shared" si="5"/>
        <v>35.950000000000003</v>
      </c>
      <c r="AM30">
        <f t="shared" si="6"/>
        <v>226.7</v>
      </c>
      <c r="AN30">
        <f t="shared" si="7"/>
        <v>7.03</v>
      </c>
      <c r="AO30">
        <f>ROUND(($J30*CIS_Inc_Salary2425*(VLOOKUP($A30,EnrollData2324,'2324 Jun 24 Enroll'!AI$1,FALSE)+VLOOKUP($A30,EnrollData2324,'2324 Jun 24 Enroll'!AJ$1,FALSE))/Apport_613Xpd)*Apport_614Xpd,2)</f>
        <v>87.25</v>
      </c>
      <c r="AP30">
        <f t="shared" si="8"/>
        <v>15.28</v>
      </c>
      <c r="AQ30">
        <f t="shared" si="11"/>
        <v>35.18</v>
      </c>
      <c r="AR30" s="6">
        <f>ROUND((IF(VLOOKUP($A30,EnrollData2324,'2324 Jun 24 Enroll'!D$1,FALSE)=VLOOKUP($A30,'ESA Calculations 2425'!$A$4:$AE$37,4,FALSE),VLOOKUP($A30,EnrollData2324,'2324 Jun 24 Enroll'!D$1,FALSE),VLOOKUP($A30,'ESA Calculations 2425'!$A$4:$AE$37,4,FALSE))*Apport_M802425+IF(VLOOKUP($A30,EnrollData2324,'2324 Jun 24 Enroll'!M$1,FALSE)=VLOOKUP($A30,'ESA Calculations 2425'!$A$4:$AE$37,18,FALSE),VLOOKUP($A30,EnrollData2324,'2324 Jun 24 Enroll'!M$1,FALSE),VLOOKUP($A30,'ESA Calculations 2425'!$A$4:$AE$37,18,FALSE))*Apport_M802425+IF((VLOOKUP($A30,EnrollData2324,'2324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Enroll'!L$1,FALSE))=VLOOKUP($A30,EnrollData2324,'2324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Enroll'!L$1,FALSE),(VLOOKUP($A30,EnrollData2324,'2324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Enroll'!L$1,FALSE)),(VLOOKUP($A30,EnrollData2324,'2324 Jun 24 Enroll'!P$1,FALSE)+VLOOKUP($A30,EnrollData2324,'2324 Jun 24 Enroll'!Q$1,FALSE)+VLOOKUP($A30,EnrollData2324,'2324 Jun 24 Enroll'!R$1,FALSE)+VLOOKUP($A30,EnrollData2324,'2324 Jun 24 Enroll'!I$1,FALSE)+VLOOKUP($A30,EnrollData2324,'2324 Jun 24 Enroll'!N$1,FALSE)+VLOOKUP($A30,EnrollData2324,'2324 Jun 24 Enroll'!O$1,FALSE)+VLOOKUP($A30,EnrollData2324,'2324 Jun 24 Enroll'!K$1,FALSE)+VLOOKUP($A30,EnrollData2324,'2324 Jun 24 Enroll'!L$1,FALSE)))*Apport_M812425)/(IF(VLOOKUP($A30,EnrollData2324,'2324 Jun 24 Enroll'!M$1,FALSE)=VLOOKUP($A30,'ESA Calculations 2425'!$A$4:$AE$37,18,FALSE),VLOOKUP($A30,EnrollData2324,'2324 Jun 24 Enroll'!M$1,FALSE),VLOOKUP($A30,'ESA Calculations 2425'!$A$4:$AE$37,18,FALSE))+IF(VLOOKUP($A30,EnrollData2324,'2324 Jun 24 Enroll'!D$1,FALSE)=VLOOKUP($A30,'ESA Calculations 2425'!$A$4:$AE$37,4,FALSE),VLOOKUP($A30,EnrollData2324,'2324 Jun 24 Enroll'!D$1,FALSE),VLOOKUP($A30,'ESA Calculations 2425'!$A$4:$AE$37,4,FALSE))),2)</f>
        <v>1533.02</v>
      </c>
      <c r="AS30" s="7">
        <f t="shared" si="12"/>
        <v>11127.780000000002</v>
      </c>
      <c r="AT30" s="6">
        <f>IF(VLOOKUP($A30,EnrollData2324,'2324 Jun 24 Enroll'!AA$1,FALSE)=VLOOKUP($A30,'ESA Calculations 2425'!$A$4:$AE$37,24,FALSE),VLOOKUP($A30,EnrollData2324,'2324 Jun 24 Enroll'!AA$1,FALSE),VLOOKUP($A30,'ESA Calculations 2425'!$A$4:$AE$37,24,FALSE))</f>
        <v>82.14</v>
      </c>
    </row>
    <row r="31" spans="1:46">
      <c r="A31" s="40" t="s">
        <v>608</v>
      </c>
      <c r="B31" s="40" t="s">
        <v>609</v>
      </c>
      <c r="C31" s="11">
        <f>ROUND((IFERROR((1/IF(VLOOKUP($A31,EnrollData2324,28,FALSE)=VLOOKUP($A31,'ESA Calculations 2425'!$A$4:$AE$37,3,FALSE),VLOOKUP($A31,EnrollData2324,28,FALSE),VLOOKUP($A31,'ESA Calculations 2425'!$A$4:$AE$37,3,FALSE)))*(1+Apport_Z315),0))+Apport_201A2425,6)</f>
        <v>7.4580999999999995E-2</v>
      </c>
      <c r="D31">
        <f>ROUND(IF(VLOOKUP($A31,EnrollData2324,'2324 Jun 24 Enroll'!D$1,FALSE)=VLOOKUP($A31,'ESA Calculations 2425'!$A$4:$AE$37,4,FALSE),VLOOKUP($A31,EnrollData2324,'2324 Jun 24 Enroll'!D$1,FALSE),VLOOKUP($A31,'ESA Calculations 2425'!$A$4:$AE$37,4,FALSE))*C31,3)</f>
        <v>0</v>
      </c>
      <c r="E31">
        <f>ROUND(IF(VLOOKUP($A31,EnrollData2324,'2324 Jun 24 Enroll'!E$1,FALSE)=VLOOKUP($A31,'ESA Calculations 2425'!$A$4:$AE$37,5,FALSE),VLOOKUP($A31,EnrollData2324,'2324 Jun 24 Enroll'!E$1,FALSE),VLOOKUP($A31,'ESA Calculations 2425'!$A$4:$AE$37,5,FALSE))*C31,3)</f>
        <v>2.4020000000000001</v>
      </c>
      <c r="F31">
        <f>ROUND(IF(VLOOKUP($A31,EnrollData2324,'2324 Jun 24 Enroll'!F$1,FALSE)=VLOOKUP($A31,'ESA Calculations 2425'!$A$4:$AE$37,6,FALSE),VLOOKUP($A31,EnrollData2324,'2324 Jun 24 Enroll'!F$1,FALSE),VLOOKUP($A31,'ESA Calculations 2425'!$A$4:$AE$37,6,FALSE))*Apport_222A2425,3)</f>
        <v>0.36099999999999999</v>
      </c>
      <c r="G31">
        <f>ROUND(IF(VLOOKUP($A31,EnrollData2324,'2324 Jun 24 Enroll'!G$1,FALSE)=VLOOKUP($A31,'ESA Calculations 2425'!$A$4:$AE$37,7,FALSE),VLOOKUP($A31,EnrollData2324,'2324 Jun 24 Enroll'!G$1,FALSE),VLOOKUP($A31,'ESA Calculations 2425'!$A$4:$AE$37,7,FALSE))*Apport_210A2425,3)</f>
        <v>0.76100000000000001</v>
      </c>
      <c r="H31">
        <f>ROUND(IF(VLOOKUP($A31,EnrollData2324,'2324 Jun 24 Enroll'!H$1,FALSE)=VLOOKUP($A31,'ESA Calculations 2425'!$A$4:$AE$37,8,FALSE),VLOOKUP($A31,EnrollData2324,'2324 Jun 24 Enroll'!H$1,FALSE),VLOOKUP($A31,'ESA Calculations 2425'!$A$4:$AE$37,8,FALSE))*Apport_213A2425,3)</f>
        <v>0.55000000000000004</v>
      </c>
      <c r="I31">
        <f>ROUND(IF(VLOOKUP($A31,EnrollData2324,'2324 Jun 24 Enroll'!I$1,FALSE)+VLOOKUP($A31,EnrollData2324,'2324 Jun 24 Enroll'!M$1,FALSE)-VLOOKUP($A31,EnrollData2324,'2324 Jun 24 Enroll'!J$1,FALSE)=VLOOKUP($A31,'ESA Calculations 2425'!$A$4:$AE$37,9,FALSE)+VLOOKUP($A31,'ESA Calculations 2425'!$A$4:$AE$37,18,FALSE)-VLOOKUP($A31,'ESA Calculations 2425'!$A$4:$AE$37,10,FALSE),VLOOKUP($A31,EnrollData2324,'2324 Jun 24 Enroll'!I$1,FALSE)+VLOOKUP($A31,EnrollData2324,'2324 Jun 24 Enroll'!M$1,FALSE)-VLOOKUP($A31,EnrollData2324,'2324 Jun 24 Enroll'!J$1,FALSE),VLOOKUP($A31,'ESA Calculations 2425'!$A$4:$AE$37,9,FALSE)+VLOOKUP($A31,'ESA Calculations 2425'!$A$4:$AE$37,18,FALSE)-VLOOKUP($A31,'ESA Calculations 2425'!$A$4:$AE$37,10,FALSE))*Apport_216A2425,3)</f>
        <v>0</v>
      </c>
      <c r="J31">
        <f>ROUND(SUM(D31:I31)/IF(VLOOKUP($A31,EnrollData2324,'2324 Jun 24 Enroll'!M$1,FALSE)+VLOOKUP($A31,EnrollData2324,'2324 Jun 24 Enroll'!D$1,FALSE)=VLOOKUP($A31,'ESA Calculations 2425'!$A$4:$AE$37,18,FALSE)+VLOOKUP($A31,'ESA Calculations 2425'!$A$4:$AE$37,4,FALSE),VLOOKUP($A31,EnrollData2324,'2324 Jun 24 Enroll'!M$1,FALSE)+VLOOKUP($A31,EnrollData2324,'2324 Jun 24 Enroll'!D$1,FALSE),VLOOKUP($A31,'ESA Calculations 2425'!$A$4:$AE$37,18,FALSE)+VLOOKUP($A31,'ESA Calculations 2425'!$A$4:$AE$37,4,FALSE)),5)</f>
        <v>6.173E-2</v>
      </c>
      <c r="K31" s="11">
        <f t="shared" si="1"/>
        <v>4.385E-3</v>
      </c>
      <c r="L31">
        <f>ROUND(IF(VLOOKUP($A31,EnrollData2324,'2324 Jun 24 Enroll'!D$1,FALSE)=VLOOKUP($A31,'ESA Calculations 2425'!$A$4:$AE$37,4,FALSE),VLOOKUP($A31,EnrollData2324,'2324 Jun 24 Enroll'!D$1,FALSE),VLOOKUP($A31,'ESA Calculations 2425'!$A$4:$AE$37,4,FALSE))*K31,3)</f>
        <v>0</v>
      </c>
      <c r="M31">
        <f>ROUND(IF(VLOOKUP($A31,EnrollData2324,'2324 Jun 24 Enroll'!E$1,FALSE)=VLOOKUP($A31,'ESA Calculations 2425'!$A$4:$AE$37,5,FALSE),VLOOKUP($A31,EnrollData2324,'2324 Jun 24 Enroll'!E$1,FALSE),VLOOKUP($A31,'ESA Calculations 2425'!$A$4:$AE$37,5,FALSE))*K31,3)</f>
        <v>0.14099999999999999</v>
      </c>
      <c r="N31">
        <f>ROUND(IF(VLOOKUP($A31,EnrollData2324,'2324 Jun 24 Enroll'!F$1,FALSE)=VLOOKUP($A31,'ESA Calculations 2425'!$A$4:$AE$37,6,FALSE),VLOOKUP($A31,EnrollData2324,'2324 Jun 24 Enroll'!F$1,FALSE),VLOOKUP($A31,'ESA Calculations 2425'!$A$4:$AE$37,6,FALSE))*Apport_223A2425,3)</f>
        <v>0.03</v>
      </c>
      <c r="O31">
        <f>ROUND(IF(VLOOKUP($A31,EnrollData2324,'2324 Jun 24 Enroll'!G$1,FALSE)=VLOOKUP($A31,'ESA Calculations 2425'!$A$4:$AE$37,7,FALSE),VLOOKUP($A31,EnrollData2324,'2324 Jun 24 Enroll'!G$1,FALSE),VLOOKUP($A31,'ESA Calculations 2425'!$A$4:$AE$37,7,FALSE))*Apport_211A2425,3)</f>
        <v>6.2E-2</v>
      </c>
      <c r="P31">
        <f>ROUND(IF(VLOOKUP($A31,EnrollData2324,'2324 Jun 24 Enroll'!H$1,FALSE)=VLOOKUP($A31,'ESA Calculations 2425'!$A$4:$AE$37,8,FALSE),VLOOKUP($A31,EnrollData2324,'2324 Jun 24 Enroll'!H$1,FALSE),VLOOKUP($A31,'ESA Calculations 2425'!$A$4:$AE$37,8,FALSE))*Apport_214A2425,3)</f>
        <v>4.4999999999999998E-2</v>
      </c>
      <c r="Q31">
        <f>ROUND(IF(VLOOKUP($A31,EnrollData2324,'2324 Jun 24 Enroll'!I$1,FALSE)+VLOOKUP($A31,EnrollData2324,'2324 Jun 24 Enroll'!M$1,FALSE)-VLOOKUP($A31,EnrollData2324,'2324 Jun 24 Enroll'!J$1,FALSE)=VLOOKUP($A31,'ESA Calculations 2425'!$A$4:$AE$37,9,FALSE)+VLOOKUP($A31,'ESA Calculations 2425'!$A$4:$AE$37,18,FALSE)-VLOOKUP($A31,'ESA Calculations 2425'!$A$4:$AE$37,10,FALSE),VLOOKUP($A31,EnrollData2324,'2324 Jun 24 Enroll'!I$1,FALSE)+VLOOKUP($A31,EnrollData2324,'2324 Jun 24 Enroll'!M$1,FALSE)-VLOOKUP($A31,EnrollData2324,'2324 Jun 24 Enroll'!J$1,FALSE),VLOOKUP($A31,'ESA Calculations 2425'!$A$4:$AE$37,9,FALSE)+VLOOKUP($A31,'ESA Calculations 2425'!$A$4:$AE$37,18,FALSE)-VLOOKUP($A31,'ESA Calculations 2425'!$A$4:$AE$37,10,FALSE))*Apport_217A2425,3)</f>
        <v>0</v>
      </c>
      <c r="R31">
        <f>ROUND(SUM(L31:Q31)/IF(VLOOKUP($A31,EnrollData2324,'2324 Jun 24 Enroll'!M$1,FALSE)+VLOOKUP($A31,EnrollData2324,'2324 Jun 24 Enroll'!D$1,FALSE)=VLOOKUP($A31,'ESA Calculations 2425'!$A$4:$AE$37,18,FALSE)+VLOOKUP($A31,'ESA Calculations 2425'!$A$4:$AE$37,4,FALSE),VLOOKUP($A31,EnrollData2324,'2324 Jun 24 Enroll'!M$1,FALSE)+VLOOKUP($A31,EnrollData2324,'2324 Jun 24 Enroll'!D$1,FALSE),VLOOKUP($A31,'ESA Calculations 2425'!$A$4:$AE$37,18,FALSE)+VLOOKUP($A31,'ESA Calculations 2425'!$A$4:$AE$37,4,FALSE)),5)</f>
        <v>4.2100000000000002E-3</v>
      </c>
      <c r="S31" s="11">
        <f t="shared" si="2"/>
        <v>1.8734299999999999E-2</v>
      </c>
      <c r="T31">
        <f>ROUND(IF(VLOOKUP($A31,EnrollData2324,'2324 Jun 24 Enroll'!D$1,FALSE)=VLOOKUP($A31,'ESA Calculations 2425'!$A$4:$AE$37,4,FALSE),VLOOKUP($A31,EnrollData2324,'2324 Jun 24 Enroll'!D$1,FALSE),VLOOKUP($A31,'ESA Calculations 2425'!$A$4:$AE$37,4,FALSE))*S31,3)</f>
        <v>0</v>
      </c>
      <c r="U31">
        <f>ROUND(IF(VLOOKUP($A31,EnrollData2324,'2324 Jun 24 Enroll'!E$1,FALSE)=VLOOKUP($A31,'ESA Calculations 2425'!$A$4:$AE$37,5,FALSE),VLOOKUP($A31,EnrollData2324,'2324 Jun 24 Enroll'!E$1,FALSE),VLOOKUP($A31,'ESA Calculations 2425'!$A$4:$AE$37,5,FALSE))*S31,3)</f>
        <v>0.60299999999999998</v>
      </c>
      <c r="V31">
        <f>ROUND(IF(VLOOKUP($A31,EnrollData2324,'2324 Jun 24 Enroll'!F$1,FALSE)=VLOOKUP($A31,'ESA Calculations 2425'!$A$4:$AE$37,6,FALSE),VLOOKUP($A31,EnrollData2324,'2324 Jun 24 Enroll'!F$1,FALSE),VLOOKUP($A31,'ESA Calculations 2425'!$A$4:$AE$37,6,FALSE))*Apport_224A2425,3)</f>
        <v>0.13</v>
      </c>
      <c r="W31">
        <f>ROUND(IF(VLOOKUP($A31,EnrollData2324,'2324 Jun 24 Enroll'!G$1,FALSE)=VLOOKUP($A31,'ESA Calculations 2425'!$A$4:$AE$37,7,FALSE),VLOOKUP($A31,EnrollData2324,'2324 Jun 24 Enroll'!G$1,FALSE),VLOOKUP($A31,'ESA Calculations 2425'!$A$4:$AE$37,7,FALSE))*Apport_212A2425,3)</f>
        <v>0.27300000000000002</v>
      </c>
      <c r="X31">
        <f>ROUND(IF(VLOOKUP($A31,EnrollData2324,'2324 Jun 24 Enroll'!H$1,FALSE)=VLOOKUP($A31,'ESA Calculations 2425'!$A$4:$AE$37,8,FALSE),VLOOKUP($A31,EnrollData2324,'2324 Jun 24 Enroll'!H$1,FALSE),VLOOKUP($A31,'ESA Calculations 2425'!$A$4:$AE$37,8,FALSE))*Apport_215A2425,3)</f>
        <v>0.19400000000000001</v>
      </c>
      <c r="Y31">
        <f>ROUND(IF(VLOOKUP($A31,EnrollData2324,'2324 Jun 24 Enroll'!I$1,FALSE)+VLOOKUP($A31,EnrollData2324,'2324 Jun 24 Enroll'!M$1,FALSE)-VLOOKUP($A31,EnrollData2324,'2324 Jun 24 Enroll'!J$1,FALSE)=VLOOKUP($A31,'ESA Calculations 2425'!$A$4:$AE$37,9,FALSE)+VLOOKUP($A31,'ESA Calculations 2425'!$A$4:$AE$37,18,FALSE)-VLOOKUP($A31,'ESA Calculations 2425'!$A$4:$AE$37,10,FALSE),VLOOKUP($A31,EnrollData2324,'2324 Jun 24 Enroll'!I$1,FALSE)+VLOOKUP($A31,EnrollData2324,'2324 Jun 24 Enroll'!M$1,FALSE)-VLOOKUP($A31,EnrollData2324,'2324 Jun 24 Enroll'!J$1,FALSE),VLOOKUP($A31,'ESA Calculations 2425'!$A$4:$AE$37,9,FALSE)+VLOOKUP($A31,'ESA Calculations 2425'!$A$4:$AE$37,18,FALSE)-VLOOKUP($A31,'ESA Calculations 2425'!$A$4:$AE$37,10,FALSE))*Apport_218A2425,3)</f>
        <v>0</v>
      </c>
      <c r="Z31">
        <f>ROUND(SUM(T31:Y31)/IF(VLOOKUP($A31,EnrollData2324,'2324 Jun 24 Enroll'!M$1,FALSE)+VLOOKUP($A31,EnrollData2324,'2324 Jun 24 Enroll'!D$1,FALSE)=VLOOKUP($A31,'ESA Calculations 2425'!$A$4:$AE$37,18,FALSE)+VLOOKUP($A31,'ESA Calculations 2425'!$A$4:$AE$37,4,FALSE),VLOOKUP($A31,EnrollData2324,'2324 Jun 24 Enroll'!M$1,FALSE)+VLOOKUP($A31,EnrollData2324,'2324 Jun 24 Enroll'!D$1,FALSE),VLOOKUP($A31,'ESA Calculations 2425'!$A$4:$AE$37,18,FALSE)+VLOOKUP($A31,'ESA Calculations 2425'!$A$4:$AE$37,4,FALSE)),5)</f>
        <v>1.8180000000000002E-2</v>
      </c>
      <c r="AA31" s="6">
        <f>ROUND($J31*CIS_Base_Salary2425*VLOOKUP($A31,EnrollData2324,'2324 Jun 24 Enroll'!AH$1,FALSE),2)</f>
        <v>4934.95</v>
      </c>
      <c r="AB31" s="6">
        <f>ROUND($J31*CIS_Inc_Salary2425*(VLOOKUP($A31,EnrollData2324,'2324 Jun 24 Enroll'!AI$1,FALSE)+VLOOKUP($A31,EnrollData2324,'2324 Jun 24 Enroll'!AJ$1,FALSE)),2)-AA31</f>
        <v>182.5600000000004</v>
      </c>
      <c r="AC31" s="6" cm="1">
        <f t="array" ref="AC31">ROUND($R31*CAS_Base_Salary2425*VLOOKUP($A31,EnrollData2324,'2324 Jun 24 Enroll'!AH$1,FALSE),2)</f>
        <v>499.59</v>
      </c>
      <c r="AD31" s="6">
        <f>ROUND($R31*CAS_Inc_Salary2425*VLOOKUP($A31,EnrollData2324,'2324 Jun 24 Enroll'!AI$1,FALSE),2)-AC31</f>
        <v>18.480000000000075</v>
      </c>
      <c r="AE31" s="6">
        <f>ROUND($Z31*CLS_Base_Salary2425*VLOOKUP($A31,EnrollData2324,'2324 Jun 24 Enroll'!AH$1,FALSE),2)</f>
        <v>1042.6099999999999</v>
      </c>
      <c r="AF31" s="6">
        <f>ROUND($Z31*CLS_Inc_Salary2425*VLOOKUP($A31,EnrollData2324,'2324 Jun 24 Enroll'!AI$1,FALSE),2)-AE31</f>
        <v>38.580000000000155</v>
      </c>
      <c r="AG31" cm="1">
        <f t="array" ref="AG31">ROUND(($J31+$R31)*Apport_124X2425,2)</f>
        <v>870.41</v>
      </c>
      <c r="AH31" s="69" cm="1">
        <f t="array" ref="AH31">ROUND(($J31+$R31)*Apport_621X2425*Apport_125XC2425,2)-AG31</f>
        <v>80.360000000000014</v>
      </c>
      <c r="AI31" cm="1">
        <f t="array" ref="AI31">ROUND($Z31*Apport_124X2425,2)</f>
        <v>239.98</v>
      </c>
      <c r="AJ31">
        <f t="shared" si="3"/>
        <v>127.52000000000001</v>
      </c>
      <c r="AK31">
        <f t="shared" si="4"/>
        <v>986.37</v>
      </c>
      <c r="AL31">
        <f t="shared" si="5"/>
        <v>35.200000000000003</v>
      </c>
      <c r="AM31">
        <f t="shared" si="6"/>
        <v>225.83</v>
      </c>
      <c r="AN31">
        <f t="shared" si="7"/>
        <v>7.01</v>
      </c>
      <c r="AO31">
        <f>ROUND(($J31*CIS_Inc_Salary2425*(VLOOKUP($A31,EnrollData2324,'2324 Jun 24 Enroll'!AI$1,FALSE)+VLOOKUP($A31,EnrollData2324,'2324 Jun 24 Enroll'!AJ$1,FALSE))/Apport_613Xpd)*Apport_614Xpd,2)</f>
        <v>85.29</v>
      </c>
      <c r="AP31">
        <f t="shared" si="8"/>
        <v>14.93</v>
      </c>
      <c r="AQ31">
        <f t="shared" si="11"/>
        <v>34.380000000000003</v>
      </c>
      <c r="AR31" s="6">
        <f>ROUND((IF(VLOOKUP($A31,EnrollData2324,'2324 Jun 24 Enroll'!D$1,FALSE)=VLOOKUP($A31,'ESA Calculations 2425'!$A$4:$AE$37,4,FALSE),VLOOKUP($A31,EnrollData2324,'2324 Jun 24 Enroll'!D$1,FALSE),VLOOKUP($A31,'ESA Calculations 2425'!$A$4:$AE$37,4,FALSE))*Apport_M802425+IF(VLOOKUP($A31,EnrollData2324,'2324 Jun 24 Enroll'!M$1,FALSE)=VLOOKUP($A31,'ESA Calculations 2425'!$A$4:$AE$37,18,FALSE),VLOOKUP($A31,EnrollData2324,'2324 Jun 24 Enroll'!M$1,FALSE),VLOOKUP($A31,'ESA Calculations 2425'!$A$4:$AE$37,18,FALSE))*Apport_M802425+IF((VLOOKUP($A31,EnrollData2324,'2324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Enroll'!L$1,FALSE))=VLOOKUP($A31,EnrollData2324,'2324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Enroll'!L$1,FALSE),(VLOOKUP($A31,EnrollData2324,'2324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Enroll'!L$1,FALSE)),(VLOOKUP($A31,EnrollData2324,'2324 Jun 24 Enroll'!P$1,FALSE)+VLOOKUP($A31,EnrollData2324,'2324 Jun 24 Enroll'!Q$1,FALSE)+VLOOKUP($A31,EnrollData2324,'2324 Jun 24 Enroll'!R$1,FALSE)+VLOOKUP($A31,EnrollData2324,'2324 Jun 24 Enroll'!I$1,FALSE)+VLOOKUP($A31,EnrollData2324,'2324 Jun 24 Enroll'!N$1,FALSE)+VLOOKUP($A31,EnrollData2324,'2324 Jun 24 Enroll'!O$1,FALSE)+VLOOKUP($A31,EnrollData2324,'2324 Jun 24 Enroll'!K$1,FALSE)+VLOOKUP($A31,EnrollData2324,'2324 Jun 24 Enroll'!L$1,FALSE)))*Apport_M812425)/(IF(VLOOKUP($A31,EnrollData2324,'2324 Jun 24 Enroll'!M$1,FALSE)=VLOOKUP($A31,'ESA Calculations 2425'!$A$4:$AE$37,18,FALSE),VLOOKUP($A31,EnrollData2324,'2324 Jun 24 Enroll'!M$1,FALSE),VLOOKUP($A31,'ESA Calculations 2425'!$A$4:$AE$37,18,FALSE))+IF(VLOOKUP($A31,EnrollData2324,'2324 Jun 24 Enroll'!D$1,FALSE)=VLOOKUP($A31,'ESA Calculations 2425'!$A$4:$AE$37,4,FALSE),VLOOKUP($A31,EnrollData2324,'2324 Jun 24 Enroll'!D$1,FALSE),VLOOKUP($A31,'ESA Calculations 2425'!$A$4:$AE$37,4,FALSE))),2)</f>
        <v>1533.02</v>
      </c>
      <c r="AS31" s="7">
        <f t="shared" si="12"/>
        <v>10957.070000000002</v>
      </c>
      <c r="AT31" s="6">
        <f>IF(VLOOKUP($A31,EnrollData2324,'2324 Jun 24 Enroll'!AA$1,FALSE)=VLOOKUP($A31,'ESA Calculations 2425'!$A$4:$AE$37,24,FALSE),VLOOKUP($A31,EnrollData2324,'2324 Jun 24 Enroll'!AA$1,FALSE),VLOOKUP($A31,'ESA Calculations 2425'!$A$4:$AE$37,24,FALSE))</f>
        <v>66</v>
      </c>
    </row>
    <row r="32" spans="1:46">
      <c r="A32" s="40" t="s">
        <v>592</v>
      </c>
      <c r="B32" s="40" t="s">
        <v>593</v>
      </c>
      <c r="C32" s="11">
        <f>ROUND((IFERROR((1/IF(VLOOKUP($A32,EnrollData2324,28,FALSE)=VLOOKUP($A32,'ESA Calculations 2425'!$A$4:$AE$37,3,FALSE),VLOOKUP($A32,EnrollData2324,28,FALSE),VLOOKUP($A32,'ESA Calculations 2425'!$A$4:$AE$37,3,FALSE)))*(1+Apport_Z315),0))+Apport_201A2425,6)</f>
        <v>7.4580999999999995E-2</v>
      </c>
      <c r="D32">
        <f>ROUND(IF(VLOOKUP($A32,EnrollData2324,'2324 Jun 24 Enroll'!D$1,FALSE)=VLOOKUP($A32,'ESA Calculations 2425'!$A$4:$AE$37,4,FALSE),VLOOKUP($A32,EnrollData2324,'2324 Jun 24 Enroll'!D$1,FALSE),VLOOKUP($A32,'ESA Calculations 2425'!$A$4:$AE$37,4,FALSE))*C32,3)</f>
        <v>0</v>
      </c>
      <c r="E32">
        <f>ROUND(IF(VLOOKUP($A32,EnrollData2324,'2324 Jun 24 Enroll'!E$1,FALSE)=VLOOKUP($A32,'ESA Calculations 2425'!$A$4:$AE$37,5,FALSE),VLOOKUP($A32,EnrollData2324,'2324 Jun 24 Enroll'!E$1,FALSE),VLOOKUP($A32,'ESA Calculations 2425'!$A$4:$AE$37,5,FALSE))*C32,3)</f>
        <v>1.417</v>
      </c>
      <c r="F32">
        <f>ROUND(IF(VLOOKUP($A32,EnrollData2324,'2324 Jun 24 Enroll'!F$1,FALSE)=VLOOKUP($A32,'ESA Calculations 2425'!$A$4:$AE$37,6,FALSE),VLOOKUP($A32,EnrollData2324,'2324 Jun 24 Enroll'!F$1,FALSE),VLOOKUP($A32,'ESA Calculations 2425'!$A$4:$AE$37,6,FALSE))*Apport_222A2425,3)</f>
        <v>0.29699999999999999</v>
      </c>
      <c r="G32">
        <f>ROUND(IF(VLOOKUP($A32,EnrollData2324,'2324 Jun 24 Enroll'!G$1,FALSE)=VLOOKUP($A32,'ESA Calculations 2425'!$A$4:$AE$37,7,FALSE),VLOOKUP($A32,EnrollData2324,'2324 Jun 24 Enroll'!G$1,FALSE),VLOOKUP($A32,'ESA Calculations 2425'!$A$4:$AE$37,7,FALSE))*Apport_210A2425,3)</f>
        <v>0.70199999999999996</v>
      </c>
      <c r="H32">
        <f>ROUND(IF(VLOOKUP($A32,EnrollData2324,'2324 Jun 24 Enroll'!H$1,FALSE)=VLOOKUP($A32,'ESA Calculations 2425'!$A$4:$AE$37,8,FALSE),VLOOKUP($A32,EnrollData2324,'2324 Jun 24 Enroll'!H$1,FALSE),VLOOKUP($A32,'ESA Calculations 2425'!$A$4:$AE$37,8,FALSE))*Apport_213A2425,3)</f>
        <v>0.30199999999999999</v>
      </c>
      <c r="I32">
        <f>ROUND(IF(VLOOKUP($A32,EnrollData2324,'2324 Jun 24 Enroll'!I$1,FALSE)+VLOOKUP($A32,EnrollData2324,'2324 Jun 24 Enroll'!M$1,FALSE)-VLOOKUP($A32,EnrollData2324,'2324 Jun 24 Enroll'!J$1,FALSE)=VLOOKUP($A32,'ESA Calculations 2425'!$A$4:$AE$37,9,FALSE)+VLOOKUP($A32,'ESA Calculations 2425'!$A$4:$AE$37,18,FALSE)-VLOOKUP($A32,'ESA Calculations 2425'!$A$4:$AE$37,10,FALSE),VLOOKUP($A32,EnrollData2324,'2324 Jun 24 Enroll'!I$1,FALSE)+VLOOKUP($A32,EnrollData2324,'2324 Jun 24 Enroll'!M$1,FALSE)-VLOOKUP($A32,EnrollData2324,'2324 Jun 24 Enroll'!J$1,FALSE),VLOOKUP($A32,'ESA Calculations 2425'!$A$4:$AE$37,9,FALSE)+VLOOKUP($A32,'ESA Calculations 2425'!$A$4:$AE$37,18,FALSE)-VLOOKUP($A32,'ESA Calculations 2425'!$A$4:$AE$37,10,FALSE))*Apport_216A2425,3)</f>
        <v>1.1419999999999999</v>
      </c>
      <c r="J32">
        <f>ROUND(SUM(D32:I32)/IF(VLOOKUP($A32,EnrollData2324,'2324 Jun 24 Enroll'!M$1,FALSE)+VLOOKUP($A32,EnrollData2324,'2324 Jun 24 Enroll'!D$1,FALSE)=VLOOKUP($A32,'ESA Calculations 2425'!$A$4:$AE$37,18,FALSE)+VLOOKUP($A32,'ESA Calculations 2425'!$A$4:$AE$37,4,FALSE),VLOOKUP($A32,EnrollData2324,'2324 Jun 24 Enroll'!M$1,FALSE)+VLOOKUP($A32,EnrollData2324,'2324 Jun 24 Enroll'!D$1,FALSE),VLOOKUP($A32,'ESA Calculations 2425'!$A$4:$AE$37,18,FALSE)+VLOOKUP($A32,'ESA Calculations 2425'!$A$4:$AE$37,4,FALSE)),5)</f>
        <v>5.6980000000000003E-2</v>
      </c>
      <c r="K32" s="11">
        <f t="shared" si="1"/>
        <v>4.385E-3</v>
      </c>
      <c r="L32">
        <f>ROUND(IF(VLOOKUP($A32,EnrollData2324,'2324 Jun 24 Enroll'!D$1,FALSE)=VLOOKUP($A32,'ESA Calculations 2425'!$A$4:$AE$37,4,FALSE),VLOOKUP($A32,EnrollData2324,'2324 Jun 24 Enroll'!D$1,FALSE),VLOOKUP($A32,'ESA Calculations 2425'!$A$4:$AE$37,4,FALSE))*K32,3)</f>
        <v>0</v>
      </c>
      <c r="M32">
        <f>ROUND(IF(VLOOKUP($A32,EnrollData2324,'2324 Jun 24 Enroll'!E$1,FALSE)=VLOOKUP($A32,'ESA Calculations 2425'!$A$4:$AE$37,5,FALSE),VLOOKUP($A32,EnrollData2324,'2324 Jun 24 Enroll'!E$1,FALSE),VLOOKUP($A32,'ESA Calculations 2425'!$A$4:$AE$37,5,FALSE))*K32,3)</f>
        <v>8.3000000000000004E-2</v>
      </c>
      <c r="N32">
        <f>ROUND(IF(VLOOKUP($A32,EnrollData2324,'2324 Jun 24 Enroll'!F$1,FALSE)=VLOOKUP($A32,'ESA Calculations 2425'!$A$4:$AE$37,6,FALSE),VLOOKUP($A32,EnrollData2324,'2324 Jun 24 Enroll'!F$1,FALSE),VLOOKUP($A32,'ESA Calculations 2425'!$A$4:$AE$37,6,FALSE))*Apport_223A2425,3)</f>
        <v>2.4E-2</v>
      </c>
      <c r="O32">
        <f>ROUND(IF(VLOOKUP($A32,EnrollData2324,'2324 Jun 24 Enroll'!G$1,FALSE)=VLOOKUP($A32,'ESA Calculations 2425'!$A$4:$AE$37,7,FALSE),VLOOKUP($A32,EnrollData2324,'2324 Jun 24 Enroll'!G$1,FALSE),VLOOKUP($A32,'ESA Calculations 2425'!$A$4:$AE$37,7,FALSE))*Apport_211A2425,3)</f>
        <v>5.7000000000000002E-2</v>
      </c>
      <c r="P32">
        <f>ROUND(IF(VLOOKUP($A32,EnrollData2324,'2324 Jun 24 Enroll'!H$1,FALSE)=VLOOKUP($A32,'ESA Calculations 2425'!$A$4:$AE$37,8,FALSE),VLOOKUP($A32,EnrollData2324,'2324 Jun 24 Enroll'!H$1,FALSE),VLOOKUP($A32,'ESA Calculations 2425'!$A$4:$AE$37,8,FALSE))*Apport_214A2425,3)</f>
        <v>2.5000000000000001E-2</v>
      </c>
      <c r="Q32">
        <f>ROUND(IF(VLOOKUP($A32,EnrollData2324,'2324 Jun 24 Enroll'!I$1,FALSE)+VLOOKUP($A32,EnrollData2324,'2324 Jun 24 Enroll'!M$1,FALSE)-VLOOKUP($A32,EnrollData2324,'2324 Jun 24 Enroll'!J$1,FALSE)=VLOOKUP($A32,'ESA Calculations 2425'!$A$4:$AE$37,9,FALSE)+VLOOKUP($A32,'ESA Calculations 2425'!$A$4:$AE$37,18,FALSE)-VLOOKUP($A32,'ESA Calculations 2425'!$A$4:$AE$37,10,FALSE),VLOOKUP($A32,EnrollData2324,'2324 Jun 24 Enroll'!I$1,FALSE)+VLOOKUP($A32,EnrollData2324,'2324 Jun 24 Enroll'!M$1,FALSE)-VLOOKUP($A32,EnrollData2324,'2324 Jun 24 Enroll'!J$1,FALSE),VLOOKUP($A32,'ESA Calculations 2425'!$A$4:$AE$37,9,FALSE)+VLOOKUP($A32,'ESA Calculations 2425'!$A$4:$AE$37,18,FALSE)-VLOOKUP($A32,'ESA Calculations 2425'!$A$4:$AE$37,10,FALSE))*Apport_217A2425,3)</f>
        <v>9.0999999999999998E-2</v>
      </c>
      <c r="R32">
        <f>ROUND(SUM(L32:Q32)/IF(VLOOKUP($A32,EnrollData2324,'2324 Jun 24 Enroll'!M$1,FALSE)+VLOOKUP($A32,EnrollData2324,'2324 Jun 24 Enroll'!D$1,FALSE)=VLOOKUP($A32,'ESA Calculations 2425'!$A$4:$AE$37,18,FALSE)+VLOOKUP($A32,'ESA Calculations 2425'!$A$4:$AE$37,4,FALSE),VLOOKUP($A32,EnrollData2324,'2324 Jun 24 Enroll'!M$1,FALSE)+VLOOKUP($A32,EnrollData2324,'2324 Jun 24 Enroll'!D$1,FALSE),VLOOKUP($A32,'ESA Calculations 2425'!$A$4:$AE$37,18,FALSE)+VLOOKUP($A32,'ESA Calculations 2425'!$A$4:$AE$37,4,FALSE)),5)</f>
        <v>4.13E-3</v>
      </c>
      <c r="S32" s="11">
        <f t="shared" si="2"/>
        <v>1.8734299999999999E-2</v>
      </c>
      <c r="T32">
        <f>ROUND(IF(VLOOKUP($A32,EnrollData2324,'2324 Jun 24 Enroll'!D$1,FALSE)=VLOOKUP($A32,'ESA Calculations 2425'!$A$4:$AE$37,4,FALSE),VLOOKUP($A32,EnrollData2324,'2324 Jun 24 Enroll'!D$1,FALSE),VLOOKUP($A32,'ESA Calculations 2425'!$A$4:$AE$37,4,FALSE))*S32,3)</f>
        <v>0</v>
      </c>
      <c r="U32">
        <f>ROUND(IF(VLOOKUP($A32,EnrollData2324,'2324 Jun 24 Enroll'!E$1,FALSE)=VLOOKUP($A32,'ESA Calculations 2425'!$A$4:$AE$37,5,FALSE),VLOOKUP($A32,EnrollData2324,'2324 Jun 24 Enroll'!E$1,FALSE),VLOOKUP($A32,'ESA Calculations 2425'!$A$4:$AE$37,5,FALSE))*S32,3)</f>
        <v>0.35599999999999998</v>
      </c>
      <c r="V32">
        <f>ROUND(IF(VLOOKUP($A32,EnrollData2324,'2324 Jun 24 Enroll'!F$1,FALSE)=VLOOKUP($A32,'ESA Calculations 2425'!$A$4:$AE$37,6,FALSE),VLOOKUP($A32,EnrollData2324,'2324 Jun 24 Enroll'!F$1,FALSE),VLOOKUP($A32,'ESA Calculations 2425'!$A$4:$AE$37,6,FALSE))*Apport_224A2425,3)</f>
        <v>0.106</v>
      </c>
      <c r="W32">
        <f>ROUND(IF(VLOOKUP($A32,EnrollData2324,'2324 Jun 24 Enroll'!G$1,FALSE)=VLOOKUP($A32,'ESA Calculations 2425'!$A$4:$AE$37,7,FALSE),VLOOKUP($A32,EnrollData2324,'2324 Jun 24 Enroll'!G$1,FALSE),VLOOKUP($A32,'ESA Calculations 2425'!$A$4:$AE$37,7,FALSE))*Apport_212A2425,3)</f>
        <v>0.252</v>
      </c>
      <c r="X32">
        <f>ROUND(IF(VLOOKUP($A32,EnrollData2324,'2324 Jun 24 Enroll'!H$1,FALSE)=VLOOKUP($A32,'ESA Calculations 2425'!$A$4:$AE$37,8,FALSE),VLOOKUP($A32,EnrollData2324,'2324 Jun 24 Enroll'!H$1,FALSE),VLOOKUP($A32,'ESA Calculations 2425'!$A$4:$AE$37,8,FALSE))*Apport_215A2425,3)</f>
        <v>0.107</v>
      </c>
      <c r="Y32">
        <f>ROUND(IF(VLOOKUP($A32,EnrollData2324,'2324 Jun 24 Enroll'!I$1,FALSE)+VLOOKUP($A32,EnrollData2324,'2324 Jun 24 Enroll'!M$1,FALSE)-VLOOKUP($A32,EnrollData2324,'2324 Jun 24 Enroll'!J$1,FALSE)=VLOOKUP($A32,'ESA Calculations 2425'!$A$4:$AE$37,9,FALSE)+VLOOKUP($A32,'ESA Calculations 2425'!$A$4:$AE$37,18,FALSE)-VLOOKUP($A32,'ESA Calculations 2425'!$A$4:$AE$37,10,FALSE),VLOOKUP($A32,EnrollData2324,'2324 Jun 24 Enroll'!I$1,FALSE)+VLOOKUP($A32,EnrollData2324,'2324 Jun 24 Enroll'!M$1,FALSE)-VLOOKUP($A32,EnrollData2324,'2324 Jun 24 Enroll'!J$1,FALSE),VLOOKUP($A32,'ESA Calculations 2425'!$A$4:$AE$37,9,FALSE)+VLOOKUP($A32,'ESA Calculations 2425'!$A$4:$AE$37,18,FALSE)-VLOOKUP($A32,'ESA Calculations 2425'!$A$4:$AE$37,10,FALSE))*Apport_218A2425,3)</f>
        <v>0.39200000000000002</v>
      </c>
      <c r="Z32">
        <f>ROUND(SUM(T32:Y32)/IF(VLOOKUP($A32,EnrollData2324,'2324 Jun 24 Enroll'!M$1,FALSE)+VLOOKUP($A32,EnrollData2324,'2324 Jun 24 Enroll'!D$1,FALSE)=VLOOKUP($A32,'ESA Calculations 2425'!$A$4:$AE$37,18,FALSE)+VLOOKUP($A32,'ESA Calculations 2425'!$A$4:$AE$37,4,FALSE),VLOOKUP($A32,EnrollData2324,'2324 Jun 24 Enroll'!M$1,FALSE)+VLOOKUP($A32,EnrollData2324,'2324 Jun 24 Enroll'!D$1,FALSE),VLOOKUP($A32,'ESA Calculations 2425'!$A$4:$AE$37,18,FALSE)+VLOOKUP($A32,'ESA Calculations 2425'!$A$4:$AE$37,4,FALSE)),5)</f>
        <v>1.7909999999999999E-2</v>
      </c>
      <c r="AA32" s="6">
        <f>ROUND($J32*CIS_Base_Salary2425*VLOOKUP($A32,EnrollData2324,'2324 Jun 24 Enroll'!AH$1,FALSE),2)</f>
        <v>4297.37</v>
      </c>
      <c r="AB32" s="6">
        <f>ROUND($J32*CIS_Inc_Salary2425*(VLOOKUP($A32,EnrollData2324,'2324 Jun 24 Enroll'!AI$1,FALSE)+VLOOKUP($A32,EnrollData2324,'2324 Jun 24 Enroll'!AJ$1,FALSE)),2)-AA32</f>
        <v>158.98000000000047</v>
      </c>
      <c r="AC32" s="6" cm="1">
        <f t="array" ref="AC32">ROUND($R32*CAS_Base_Salary2425*VLOOKUP($A32,EnrollData2324,'2324 Jun 24 Enroll'!AH$1,FALSE),2)</f>
        <v>462.35</v>
      </c>
      <c r="AD32" s="6">
        <f>ROUND($R32*CAS_Inc_Salary2425*VLOOKUP($A32,EnrollData2324,'2324 Jun 24 Enroll'!AI$1,FALSE),2)-AC32</f>
        <v>17.109999999999957</v>
      </c>
      <c r="AE32" s="6">
        <f>ROUND($Z32*CLS_Base_Salary2425*VLOOKUP($A32,EnrollData2324,'2324 Jun 24 Enroll'!AH$1,FALSE),2)</f>
        <v>968.98</v>
      </c>
      <c r="AF32" s="6">
        <f>ROUND($Z32*CLS_Inc_Salary2425*VLOOKUP($A32,EnrollData2324,'2324 Jun 24 Enroll'!AI$1,FALSE),2)-AE32</f>
        <v>35.860000000000014</v>
      </c>
      <c r="AG32" cm="1">
        <f t="array" ref="AG32">ROUND(($J32+$R32)*Apport_124X2425,2)</f>
        <v>806.65</v>
      </c>
      <c r="AH32" s="69" cm="1">
        <f t="array" ref="AH32">ROUND(($J32+$R32)*Apport_621X2425*Apport_125XC2425,2)-AG32</f>
        <v>74.480000000000018</v>
      </c>
      <c r="AI32" cm="1">
        <f t="array" ref="AI32">ROUND($Z32*Apport_124X2425,2)</f>
        <v>236.41</v>
      </c>
      <c r="AJ32">
        <f t="shared" si="3"/>
        <v>125.63000000000002</v>
      </c>
      <c r="AK32">
        <f t="shared" si="4"/>
        <v>863.89</v>
      </c>
      <c r="AL32">
        <f t="shared" si="5"/>
        <v>30.83</v>
      </c>
      <c r="AM32">
        <f t="shared" si="6"/>
        <v>209.88</v>
      </c>
      <c r="AN32">
        <f t="shared" si="7"/>
        <v>6.51</v>
      </c>
      <c r="AO32">
        <f>ROUND(($J32*CIS_Inc_Salary2425*(VLOOKUP($A32,EnrollData2324,'2324 Jun 24 Enroll'!AI$1,FALSE)+VLOOKUP($A32,EnrollData2324,'2324 Jun 24 Enroll'!AJ$1,FALSE))/Apport_613Xpd)*Apport_614Xpd,2)</f>
        <v>74.27</v>
      </c>
      <c r="AP32">
        <f t="shared" si="8"/>
        <v>13</v>
      </c>
      <c r="AQ32">
        <f t="shared" si="11"/>
        <v>31.74</v>
      </c>
      <c r="AR32" s="6">
        <f>ROUND((IF(VLOOKUP($A32,EnrollData2324,'2324 Jun 24 Enroll'!D$1,FALSE)=VLOOKUP($A32,'ESA Calculations 2425'!$A$4:$AE$37,4,FALSE),VLOOKUP($A32,EnrollData2324,'2324 Jun 24 Enroll'!D$1,FALSE),VLOOKUP($A32,'ESA Calculations 2425'!$A$4:$AE$37,4,FALSE))*Apport_M802425+IF(VLOOKUP($A32,EnrollData2324,'2324 Jun 24 Enroll'!M$1,FALSE)=VLOOKUP($A32,'ESA Calculations 2425'!$A$4:$AE$37,18,FALSE),VLOOKUP($A32,EnrollData2324,'2324 Jun 24 Enroll'!M$1,FALSE),VLOOKUP($A32,'ESA Calculations 2425'!$A$4:$AE$37,18,FALSE))*Apport_M802425+IF((VLOOKUP($A32,EnrollData2324,'2324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Enroll'!L$1,FALSE))=VLOOKUP($A32,EnrollData2324,'2324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Enroll'!L$1,FALSE),(VLOOKUP($A32,EnrollData2324,'2324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Enroll'!L$1,FALSE)),(VLOOKUP($A32,EnrollData2324,'2324 Jun 24 Enroll'!P$1,FALSE)+VLOOKUP($A32,EnrollData2324,'2324 Jun 24 Enroll'!Q$1,FALSE)+VLOOKUP($A32,EnrollData2324,'2324 Jun 24 Enroll'!R$1,FALSE)+VLOOKUP($A32,EnrollData2324,'2324 Jun 24 Enroll'!I$1,FALSE)+VLOOKUP($A32,EnrollData2324,'2324 Jun 24 Enroll'!N$1,FALSE)+VLOOKUP($A32,EnrollData2324,'2324 Jun 24 Enroll'!O$1,FALSE)+VLOOKUP($A32,EnrollData2324,'2324 Jun 24 Enroll'!K$1,FALSE)+VLOOKUP($A32,EnrollData2324,'2324 Jun 24 Enroll'!L$1,FALSE)))*Apport_M812425)/(IF(VLOOKUP($A32,EnrollData2324,'2324 Jun 24 Enroll'!M$1,FALSE)=VLOOKUP($A32,'ESA Calculations 2425'!$A$4:$AE$37,18,FALSE),VLOOKUP($A32,EnrollData2324,'2324 Jun 24 Enroll'!M$1,FALSE),VLOOKUP($A32,'ESA Calculations 2425'!$A$4:$AE$37,18,FALSE))+IF(VLOOKUP($A32,EnrollData2324,'2324 Jun 24 Enroll'!D$1,FALSE)=VLOOKUP($A32,'ESA Calculations 2425'!$A$4:$AE$37,4,FALSE),VLOOKUP($A32,EnrollData2324,'2324 Jun 24 Enroll'!D$1,FALSE),VLOOKUP($A32,'ESA Calculations 2425'!$A$4:$AE$37,4,FALSE))),2)</f>
        <v>1600.61</v>
      </c>
      <c r="AS32" s="7">
        <f t="shared" si="12"/>
        <v>10014.550000000001</v>
      </c>
      <c r="AT32" s="6">
        <f>IF(VLOOKUP($A32,EnrollData2324,'2324 Jun 24 Enroll'!AA$1,FALSE)=VLOOKUP($A32,'ESA Calculations 2425'!$A$4:$AE$37,24,FALSE),VLOOKUP($A32,EnrollData2324,'2324 Jun 24 Enroll'!AA$1,FALSE),VLOOKUP($A32,'ESA Calculations 2425'!$A$4:$AE$37,24,FALSE))</f>
        <v>67.739999999999995</v>
      </c>
    </row>
    <row r="33" spans="1:48">
      <c r="A33" s="40" t="s">
        <v>799</v>
      </c>
      <c r="B33" s="40" t="s">
        <v>800</v>
      </c>
      <c r="C33" s="11">
        <f>ROUND((IFERROR((1/IF(VLOOKUP($A33,EnrollData2324,28,FALSE)=VLOOKUP($A33,'ESA Calculations 2425'!$A$4:$AE$37,3,FALSE),VLOOKUP($A33,EnrollData2324,28,FALSE),VLOOKUP($A33,'ESA Calculations 2425'!$A$4:$AE$37,3,FALSE)))*(1+Apport_Z315),0))+Apport_201A2425,6)</f>
        <v>7.4580999999999995E-2</v>
      </c>
      <c r="D33">
        <f>ROUND(IF(VLOOKUP($A33,EnrollData2324,'2324 Jun 24 Enroll'!D$1,FALSE)=VLOOKUP($A33,'ESA Calculations 2425'!$A$4:$AE$37,4,FALSE),VLOOKUP($A33,EnrollData2324,'2324 Jun 24 Enroll'!D$1,FALSE),VLOOKUP($A33,'ESA Calculations 2425'!$A$4:$AE$37,4,FALSE))*C33,3)</f>
        <v>2.0510000000000002</v>
      </c>
      <c r="E33">
        <f>ROUND(IF(VLOOKUP($A33,EnrollData2324,'2324 Jun 24 Enroll'!E$1,FALSE)=VLOOKUP($A33,'ESA Calculations 2425'!$A$4:$AE$37,5,FALSE),VLOOKUP($A33,EnrollData2324,'2324 Jun 24 Enroll'!E$1,FALSE),VLOOKUP($A33,'ESA Calculations 2425'!$A$4:$AE$37,5,FALSE))*C33,3)</f>
        <v>14.637</v>
      </c>
      <c r="F33">
        <f>ROUND(IF(VLOOKUP($A33,EnrollData2324,'2324 Jun 24 Enroll'!F$1,FALSE)=VLOOKUP($A33,'ESA Calculations 2425'!$A$4:$AE$37,6,FALSE),VLOOKUP($A33,EnrollData2324,'2324 Jun 24 Enroll'!F$1,FALSE),VLOOKUP($A33,'ESA Calculations 2425'!$A$4:$AE$37,6,FALSE))*Apport_222A2425,3)</f>
        <v>2.2349999999999999</v>
      </c>
      <c r="G33">
        <f>ROUND(IF(VLOOKUP($A33,EnrollData2324,'2324 Jun 24 Enroll'!G$1,FALSE)=VLOOKUP($A33,'ESA Calculations 2425'!$A$4:$AE$37,7,FALSE),VLOOKUP($A33,EnrollData2324,'2324 Jun 24 Enroll'!G$1,FALSE),VLOOKUP($A33,'ESA Calculations 2425'!$A$4:$AE$37,7,FALSE))*Apport_210A2425,3)</f>
        <v>6.4939999999999998</v>
      </c>
      <c r="H33">
        <f>ROUND(IF(VLOOKUP($A33,EnrollData2324,'2324 Jun 24 Enroll'!H$1,FALSE)=VLOOKUP($A33,'ESA Calculations 2425'!$A$4:$AE$37,8,FALSE),VLOOKUP($A33,EnrollData2324,'2324 Jun 24 Enroll'!H$1,FALSE),VLOOKUP($A33,'ESA Calculations 2425'!$A$4:$AE$37,8,FALSE))*Apport_213A2425,3)</f>
        <v>6.2</v>
      </c>
      <c r="I33">
        <f>ROUND(IF(VLOOKUP($A33,EnrollData2324,'2324 Jun 24 Enroll'!I$1,FALSE)+VLOOKUP($A33,EnrollData2324,'2324 Jun 24 Enroll'!M$1,FALSE)-VLOOKUP($A33,EnrollData2324,'2324 Jun 24 Enroll'!J$1,FALSE)=VLOOKUP($A33,'ESA Calculations 2425'!$A$4:$AE$37,9,FALSE)+VLOOKUP($A33,'ESA Calculations 2425'!$A$4:$AE$37,18,FALSE)-VLOOKUP($A33,'ESA Calculations 2425'!$A$4:$AE$37,10,FALSE),VLOOKUP($A33,EnrollData2324,'2324 Jun 24 Enroll'!I$1,FALSE)+VLOOKUP($A33,EnrollData2324,'2324 Jun 24 Enroll'!M$1,FALSE)-VLOOKUP($A33,EnrollData2324,'2324 Jun 24 Enroll'!J$1,FALSE),VLOOKUP($A33,'ESA Calculations 2425'!$A$4:$AE$37,9,FALSE)+VLOOKUP($A33,'ESA Calculations 2425'!$A$4:$AE$37,18,FALSE)-VLOOKUP($A33,'ESA Calculations 2425'!$A$4:$AE$37,10,FALSE))*Apport_216A2425,3)</f>
        <v>13.670999999999999</v>
      </c>
      <c r="J33">
        <f>ROUND(SUM(D33:I33)/IF(VLOOKUP($A33,EnrollData2324,'2324 Jun 24 Enroll'!M$1,FALSE)+VLOOKUP($A33,EnrollData2324,'2324 Jun 24 Enroll'!D$1,FALSE)=VLOOKUP($A33,'ESA Calculations 2425'!$A$4:$AE$37,18,FALSE)+VLOOKUP($A33,'ESA Calculations 2425'!$A$4:$AE$37,4,FALSE),VLOOKUP($A33,EnrollData2324,'2324 Jun 24 Enroll'!M$1,FALSE)+VLOOKUP($A33,EnrollData2324,'2324 Jun 24 Enroll'!D$1,FALSE),VLOOKUP($A33,'ESA Calculations 2425'!$A$4:$AE$37,18,FALSE)+VLOOKUP($A33,'ESA Calculations 2425'!$A$4:$AE$37,4,FALSE)),5)</f>
        <v>5.7020000000000001E-2</v>
      </c>
      <c r="K33" s="11">
        <f t="shared" si="1"/>
        <v>4.385E-3</v>
      </c>
      <c r="L33">
        <f>ROUND(IF(VLOOKUP($A33,EnrollData2324,'2324 Jun 24 Enroll'!D$1,FALSE)=VLOOKUP($A33,'ESA Calculations 2425'!$A$4:$AE$37,4,FALSE),VLOOKUP($A33,EnrollData2324,'2324 Jun 24 Enroll'!D$1,FALSE),VLOOKUP($A33,'ESA Calculations 2425'!$A$4:$AE$37,4,FALSE))*K33,3)</f>
        <v>0.121</v>
      </c>
      <c r="M33">
        <f>ROUND(IF(VLOOKUP($A33,EnrollData2324,'2324 Jun 24 Enroll'!E$1,FALSE)=VLOOKUP($A33,'ESA Calculations 2425'!$A$4:$AE$37,5,FALSE),VLOOKUP($A33,EnrollData2324,'2324 Jun 24 Enroll'!E$1,FALSE),VLOOKUP($A33,'ESA Calculations 2425'!$A$4:$AE$37,5,FALSE))*K33,3)</f>
        <v>0.86099999999999999</v>
      </c>
      <c r="N33">
        <f>ROUND(IF(VLOOKUP($A33,EnrollData2324,'2324 Jun 24 Enroll'!F$1,FALSE)=VLOOKUP($A33,'ESA Calculations 2425'!$A$4:$AE$37,6,FALSE),VLOOKUP($A33,EnrollData2324,'2324 Jun 24 Enroll'!F$1,FALSE),VLOOKUP($A33,'ESA Calculations 2425'!$A$4:$AE$37,6,FALSE))*Apport_223A2425,3)</f>
        <v>0.183</v>
      </c>
      <c r="O33">
        <f>ROUND(IF(VLOOKUP($A33,EnrollData2324,'2324 Jun 24 Enroll'!G$1,FALSE)=VLOOKUP($A33,'ESA Calculations 2425'!$A$4:$AE$37,7,FALSE),VLOOKUP($A33,EnrollData2324,'2324 Jun 24 Enroll'!G$1,FALSE),VLOOKUP($A33,'ESA Calculations 2425'!$A$4:$AE$37,7,FALSE))*Apport_211A2425,3)</f>
        <v>0.53200000000000003</v>
      </c>
      <c r="P33">
        <f>ROUND(IF(VLOOKUP($A33,EnrollData2324,'2324 Jun 24 Enroll'!H$1,FALSE)=VLOOKUP($A33,'ESA Calculations 2425'!$A$4:$AE$37,8,FALSE),VLOOKUP($A33,EnrollData2324,'2324 Jun 24 Enroll'!H$1,FALSE),VLOOKUP($A33,'ESA Calculations 2425'!$A$4:$AE$37,8,FALSE))*Apport_214A2425,3)</f>
        <v>0.50600000000000001</v>
      </c>
      <c r="Q33">
        <f>ROUND(IF(VLOOKUP($A33,EnrollData2324,'2324 Jun 24 Enroll'!I$1,FALSE)+VLOOKUP($A33,EnrollData2324,'2324 Jun 24 Enroll'!M$1,FALSE)-VLOOKUP($A33,EnrollData2324,'2324 Jun 24 Enroll'!J$1,FALSE)=VLOOKUP($A33,'ESA Calculations 2425'!$A$4:$AE$37,9,FALSE)+VLOOKUP($A33,'ESA Calculations 2425'!$A$4:$AE$37,18,FALSE)-VLOOKUP($A33,'ESA Calculations 2425'!$A$4:$AE$37,10,FALSE),VLOOKUP($A33,EnrollData2324,'2324 Jun 24 Enroll'!I$1,FALSE)+VLOOKUP($A33,EnrollData2324,'2324 Jun 24 Enroll'!M$1,FALSE)-VLOOKUP($A33,EnrollData2324,'2324 Jun 24 Enroll'!J$1,FALSE),VLOOKUP($A33,'ESA Calculations 2425'!$A$4:$AE$37,9,FALSE)+VLOOKUP($A33,'ESA Calculations 2425'!$A$4:$AE$37,18,FALSE)-VLOOKUP($A33,'ESA Calculations 2425'!$A$4:$AE$37,10,FALSE))*Apport_217A2425,3)</f>
        <v>1.091</v>
      </c>
      <c r="R33">
        <f>ROUND(SUM(L33:Q33)/IF(VLOOKUP($A33,EnrollData2324,'2324 Jun 24 Enroll'!M$1,FALSE)+VLOOKUP($A33,EnrollData2324,'2324 Jun 24 Enroll'!D$1,FALSE)=VLOOKUP($A33,'ESA Calculations 2425'!$A$4:$AE$37,18,FALSE)+VLOOKUP($A33,'ESA Calculations 2425'!$A$4:$AE$37,4,FALSE),VLOOKUP($A33,EnrollData2324,'2324 Jun 24 Enroll'!M$1,FALSE)+VLOOKUP($A33,EnrollData2324,'2324 Jun 24 Enroll'!D$1,FALSE),VLOOKUP($A33,'ESA Calculations 2425'!$A$4:$AE$37,18,FALSE)+VLOOKUP($A33,'ESA Calculations 2425'!$A$4:$AE$37,4,FALSE)),5)</f>
        <v>4.15E-3</v>
      </c>
      <c r="S33" s="11">
        <f t="shared" si="2"/>
        <v>1.8734299999999999E-2</v>
      </c>
      <c r="T33">
        <f>ROUND(IF(VLOOKUP($A33,EnrollData2324,'2324 Jun 24 Enroll'!D$1,FALSE)=VLOOKUP($A33,'ESA Calculations 2425'!$A$4:$AE$37,4,FALSE),VLOOKUP($A33,EnrollData2324,'2324 Jun 24 Enroll'!D$1,FALSE),VLOOKUP($A33,'ESA Calculations 2425'!$A$4:$AE$37,4,FALSE))*S33,3)</f>
        <v>0.51500000000000001</v>
      </c>
      <c r="U33">
        <f>ROUND(IF(VLOOKUP($A33,EnrollData2324,'2324 Jun 24 Enroll'!E$1,FALSE)=VLOOKUP($A33,'ESA Calculations 2425'!$A$4:$AE$37,5,FALSE),VLOOKUP($A33,EnrollData2324,'2324 Jun 24 Enroll'!E$1,FALSE),VLOOKUP($A33,'ESA Calculations 2425'!$A$4:$AE$37,5,FALSE))*S33,3)</f>
        <v>3.677</v>
      </c>
      <c r="V33">
        <f>ROUND(IF(VLOOKUP($A33,EnrollData2324,'2324 Jun 24 Enroll'!F$1,FALSE)=VLOOKUP($A33,'ESA Calculations 2425'!$A$4:$AE$37,6,FALSE),VLOOKUP($A33,EnrollData2324,'2324 Jun 24 Enroll'!F$1,FALSE),VLOOKUP($A33,'ESA Calculations 2425'!$A$4:$AE$37,6,FALSE))*Apport_224A2425,3)</f>
        <v>0.80200000000000005</v>
      </c>
      <c r="W33">
        <f>ROUND(IF(VLOOKUP($A33,EnrollData2324,'2324 Jun 24 Enroll'!G$1,FALSE)=VLOOKUP($A33,'ESA Calculations 2425'!$A$4:$AE$37,7,FALSE),VLOOKUP($A33,EnrollData2324,'2324 Jun 24 Enroll'!G$1,FALSE),VLOOKUP($A33,'ESA Calculations 2425'!$A$4:$AE$37,7,FALSE))*Apport_212A2425,3)</f>
        <v>2.331</v>
      </c>
      <c r="X33">
        <f>ROUND(IF(VLOOKUP($A33,EnrollData2324,'2324 Jun 24 Enroll'!H$1,FALSE)=VLOOKUP($A33,'ESA Calculations 2425'!$A$4:$AE$37,8,FALSE),VLOOKUP($A33,EnrollData2324,'2324 Jun 24 Enroll'!H$1,FALSE),VLOOKUP($A33,'ESA Calculations 2425'!$A$4:$AE$37,8,FALSE))*Apport_215A2425,3)</f>
        <v>2.19</v>
      </c>
      <c r="Y33">
        <f>ROUND(IF(VLOOKUP($A33,EnrollData2324,'2324 Jun 24 Enroll'!I$1,FALSE)+VLOOKUP($A33,EnrollData2324,'2324 Jun 24 Enroll'!M$1,FALSE)-VLOOKUP($A33,EnrollData2324,'2324 Jun 24 Enroll'!J$1,FALSE)=VLOOKUP($A33,'ESA Calculations 2425'!$A$4:$AE$37,9,FALSE)+VLOOKUP($A33,'ESA Calculations 2425'!$A$4:$AE$37,18,FALSE)-VLOOKUP($A33,'ESA Calculations 2425'!$A$4:$AE$37,10,FALSE),VLOOKUP($A33,EnrollData2324,'2324 Jun 24 Enroll'!I$1,FALSE)+VLOOKUP($A33,EnrollData2324,'2324 Jun 24 Enroll'!M$1,FALSE)-VLOOKUP($A33,EnrollData2324,'2324 Jun 24 Enroll'!J$1,FALSE),VLOOKUP($A33,'ESA Calculations 2425'!$A$4:$AE$37,9,FALSE)+VLOOKUP($A33,'ESA Calculations 2425'!$A$4:$AE$37,18,FALSE)-VLOOKUP($A33,'ESA Calculations 2425'!$A$4:$AE$37,10,FALSE))*Apport_218A2425,3)</f>
        <v>4.6900000000000004</v>
      </c>
      <c r="Z33">
        <f>ROUND(SUM(T33:Y33)/IF(VLOOKUP($A33,EnrollData2324,'2324 Jun 24 Enroll'!M$1,FALSE)+VLOOKUP($A33,EnrollData2324,'2324 Jun 24 Enroll'!D$1,FALSE)=VLOOKUP($A33,'ESA Calculations 2425'!$A$4:$AE$37,18,FALSE)+VLOOKUP($A33,'ESA Calculations 2425'!$A$4:$AE$37,4,FALSE),VLOOKUP($A33,EnrollData2324,'2324 Jun 24 Enroll'!M$1,FALSE)+VLOOKUP($A33,EnrollData2324,'2324 Jun 24 Enroll'!D$1,FALSE),VLOOKUP($A33,'ESA Calculations 2425'!$A$4:$AE$37,18,FALSE)+VLOOKUP($A33,'ESA Calculations 2425'!$A$4:$AE$37,4,FALSE)),5)</f>
        <v>1.789E-2</v>
      </c>
      <c r="AA33" s="6">
        <f>ROUND($J33*CIS_Base_Salary2425*VLOOKUP($A33,EnrollData2324,'2324 Jun 24 Enroll'!AH$1,FALSE),2)</f>
        <v>4300.3900000000003</v>
      </c>
      <c r="AB33" s="6">
        <f>ROUND($J33*CIS_Inc_Salary2425*(VLOOKUP($A33,EnrollData2324,'2324 Jun 24 Enroll'!AI$1,FALSE)+VLOOKUP($A33,EnrollData2324,'2324 Jun 24 Enroll'!AJ$1,FALSE)),2)-AA33</f>
        <v>159.08999999999924</v>
      </c>
      <c r="AC33" s="6" cm="1">
        <f t="array" ref="AC33">ROUND($R33*CAS_Base_Salary2425*VLOOKUP($A33,EnrollData2324,'2324 Jun 24 Enroll'!AH$1,FALSE),2)</f>
        <v>464.59</v>
      </c>
      <c r="AD33" s="6">
        <f>ROUND($R33*CAS_Inc_Salary2425*VLOOKUP($A33,EnrollData2324,'2324 Jun 24 Enroll'!AI$1,FALSE),2)-AC33</f>
        <v>17.189999999999998</v>
      </c>
      <c r="AE33" s="6">
        <f>ROUND($Z33*CLS_Base_Salary2425*VLOOKUP($A33,EnrollData2324,'2324 Jun 24 Enroll'!AH$1,FALSE),2)</f>
        <v>967.9</v>
      </c>
      <c r="AF33" s="6">
        <f>ROUND($Z33*CLS_Inc_Salary2425*VLOOKUP($A33,EnrollData2324,'2324 Jun 24 Enroll'!AI$1,FALSE),2)-AE33</f>
        <v>35.82000000000005</v>
      </c>
      <c r="AG33" cm="1">
        <f t="array" ref="AG33">ROUND(($J33+$R33)*Apport_124X2425,2)</f>
        <v>807.44</v>
      </c>
      <c r="AH33" s="69" cm="1">
        <f t="array" ref="AH33">ROUND(($J33+$R33)*Apport_621X2425*Apport_125XC2425,2)-AG33</f>
        <v>74.549999999999955</v>
      </c>
      <c r="AI33" cm="1">
        <f t="array" ref="AI33">ROUND($Z33*Apport_124X2425,2)</f>
        <v>236.15</v>
      </c>
      <c r="AJ33">
        <f t="shared" si="3"/>
        <v>125.48999999999998</v>
      </c>
      <c r="AK33">
        <f t="shared" si="4"/>
        <v>864.84</v>
      </c>
      <c r="AL33">
        <f t="shared" si="5"/>
        <v>30.87</v>
      </c>
      <c r="AM33">
        <f t="shared" si="6"/>
        <v>209.65</v>
      </c>
      <c r="AN33">
        <f t="shared" si="7"/>
        <v>6.5</v>
      </c>
      <c r="AO33">
        <f>ROUND(($J33*CIS_Inc_Salary2425*(VLOOKUP($A33,EnrollData2324,'2324 Jun 24 Enroll'!AI$1,FALSE)+VLOOKUP($A33,EnrollData2324,'2324 Jun 24 Enroll'!AJ$1,FALSE))/Apport_613Xpd)*Apport_614Xpd,2)</f>
        <v>74.319999999999993</v>
      </c>
      <c r="AP33">
        <f t="shared" si="8"/>
        <v>13.01</v>
      </c>
      <c r="AQ33">
        <f t="shared" si="11"/>
        <v>31.76</v>
      </c>
      <c r="AR33" s="6">
        <f>ROUND((IF(VLOOKUP($A33,EnrollData2324,'2324 Jun 24 Enroll'!D$1,FALSE)=VLOOKUP($A33,'ESA Calculations 2425'!$A$4:$AE$37,4,FALSE),VLOOKUP($A33,EnrollData2324,'2324 Jun 24 Enroll'!D$1,FALSE),VLOOKUP($A33,'ESA Calculations 2425'!$A$4:$AE$37,4,FALSE))*Apport_M802425+IF(VLOOKUP($A33,EnrollData2324,'2324 Jun 24 Enroll'!M$1,FALSE)=VLOOKUP($A33,'ESA Calculations 2425'!$A$4:$AE$37,18,FALSE),VLOOKUP($A33,EnrollData2324,'2324 Jun 24 Enroll'!M$1,FALSE),VLOOKUP($A33,'ESA Calculations 2425'!$A$4:$AE$37,18,FALSE))*Apport_M802425+IF((VLOOKUP($A33,EnrollData2324,'2324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Enroll'!L$1,FALSE))=VLOOKUP($A33,EnrollData2324,'2324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Enroll'!L$1,FALSE),(VLOOKUP($A33,EnrollData2324,'2324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Enroll'!L$1,FALSE)),(VLOOKUP($A33,EnrollData2324,'2324 Jun 24 Enroll'!P$1,FALSE)+VLOOKUP($A33,EnrollData2324,'2324 Jun 24 Enroll'!Q$1,FALSE)+VLOOKUP($A33,EnrollData2324,'2324 Jun 24 Enroll'!R$1,FALSE)+VLOOKUP($A33,EnrollData2324,'2324 Jun 24 Enroll'!I$1,FALSE)+VLOOKUP($A33,EnrollData2324,'2324 Jun 24 Enroll'!N$1,FALSE)+VLOOKUP($A33,EnrollData2324,'2324 Jun 24 Enroll'!O$1,FALSE)+VLOOKUP($A33,EnrollData2324,'2324 Jun 24 Enroll'!K$1,FALSE)+VLOOKUP($A33,EnrollData2324,'2324 Jun 24 Enroll'!L$1,FALSE)))*Apport_M812425)/(IF(VLOOKUP($A33,EnrollData2324,'2324 Jun 24 Enroll'!M$1,FALSE)=VLOOKUP($A33,'ESA Calculations 2425'!$A$4:$AE$37,18,FALSE),VLOOKUP($A33,EnrollData2324,'2324 Jun 24 Enroll'!M$1,FALSE),VLOOKUP($A33,'ESA Calculations 2425'!$A$4:$AE$37,18,FALSE))+IF(VLOOKUP($A33,EnrollData2324,'2324 Jun 24 Enroll'!D$1,FALSE)=VLOOKUP($A33,'ESA Calculations 2425'!$A$4:$AE$37,4,FALSE),VLOOKUP($A33,EnrollData2324,'2324 Jun 24 Enroll'!D$1,FALSE),VLOOKUP($A33,'ESA Calculations 2425'!$A$4:$AE$37,4,FALSE))),2)</f>
        <v>1602.05</v>
      </c>
      <c r="AS33" s="7">
        <f t="shared" si="12"/>
        <v>10021.609999999997</v>
      </c>
      <c r="AT33" s="6">
        <f>IF(VLOOKUP($A33,EnrollData2324,'2324 Jun 24 Enroll'!AA$1,FALSE)=VLOOKUP($A33,'ESA Calculations 2425'!$A$4:$AE$37,24,FALSE),VLOOKUP($A33,EnrollData2324,'2324 Jun 24 Enroll'!AA$1,FALSE),VLOOKUP($A33,'ESA Calculations 2425'!$A$4:$AE$37,24,FALSE))</f>
        <v>795.5</v>
      </c>
    </row>
    <row r="34" spans="1:48">
      <c r="A34" s="40" t="s">
        <v>845</v>
      </c>
      <c r="B34" s="40" t="s">
        <v>846</v>
      </c>
      <c r="C34" s="11">
        <f>ROUND((IFERROR((1/IF(VLOOKUP($A34,EnrollData2324,28,FALSE)=VLOOKUP($A34,'ESA Calculations 2425'!$A$4:$AE$37,3,FALSE),VLOOKUP($A34,EnrollData2324,28,FALSE),VLOOKUP($A34,'ESA Calculations 2425'!$A$4:$AE$37,3,FALSE)))*(1+Apport_Z315),0))+Apport_201A2425,6)</f>
        <v>7.4580999999999995E-2</v>
      </c>
      <c r="D34">
        <f>ROUND(IF(VLOOKUP($A34,EnrollData2324,'2324 Jun 24 Enroll'!D$1,FALSE)=VLOOKUP($A34,'ESA Calculations 2425'!$A$4:$AE$37,4,FALSE),VLOOKUP($A34,EnrollData2324,'2324 Jun 24 Enroll'!D$1,FALSE),VLOOKUP($A34,'ESA Calculations 2425'!$A$4:$AE$37,4,FALSE))*C34,3)</f>
        <v>0</v>
      </c>
      <c r="E34">
        <f>ROUND(IF(VLOOKUP($A34,EnrollData2324,'2324 Jun 24 Enroll'!E$1,FALSE)=VLOOKUP($A34,'ESA Calculations 2425'!$A$4:$AE$37,5,FALSE),VLOOKUP($A34,EnrollData2324,'2324 Jun 24 Enroll'!E$1,FALSE),VLOOKUP($A34,'ESA Calculations 2425'!$A$4:$AE$37,5,FALSE))*C34,3)</f>
        <v>8.2959999999999994</v>
      </c>
      <c r="F34">
        <f>ROUND(IF(VLOOKUP($A34,EnrollData2324,'2324 Jun 24 Enroll'!F$1,FALSE)=VLOOKUP($A34,'ESA Calculations 2425'!$A$4:$AE$37,6,FALSE),VLOOKUP($A34,EnrollData2324,'2324 Jun 24 Enroll'!F$1,FALSE),VLOOKUP($A34,'ESA Calculations 2425'!$A$4:$AE$37,6,FALSE))*Apport_222A2425,3)</f>
        <v>1.6060000000000001</v>
      </c>
      <c r="G34">
        <f>ROUND(IF(VLOOKUP($A34,EnrollData2324,'2324 Jun 24 Enroll'!G$1,FALSE)=VLOOKUP($A34,'ESA Calculations 2425'!$A$4:$AE$37,7,FALSE),VLOOKUP($A34,EnrollData2324,'2324 Jun 24 Enroll'!G$1,FALSE),VLOOKUP($A34,'ESA Calculations 2425'!$A$4:$AE$37,7,FALSE))*Apport_210A2425,3)</f>
        <v>3.3519999999999999</v>
      </c>
      <c r="H34">
        <f>ROUND(IF(VLOOKUP($A34,EnrollData2324,'2324 Jun 24 Enroll'!H$1,FALSE)=VLOOKUP($A34,'ESA Calculations 2425'!$A$4:$AE$37,8,FALSE),VLOOKUP($A34,EnrollData2324,'2324 Jun 24 Enroll'!H$1,FALSE),VLOOKUP($A34,'ESA Calculations 2425'!$A$4:$AE$37,8,FALSE))*Apport_213A2425,3)</f>
        <v>2.5289999999999999</v>
      </c>
      <c r="I34">
        <f>ROUND(IF(VLOOKUP($A34,EnrollData2324,'2324 Jun 24 Enroll'!I$1,FALSE)+VLOOKUP($A34,EnrollData2324,'2324 Jun 24 Enroll'!M$1,FALSE)-VLOOKUP($A34,EnrollData2324,'2324 Jun 24 Enroll'!J$1,FALSE)=VLOOKUP($A34,'ESA Calculations 2425'!$A$4:$AE$37,9,FALSE)+VLOOKUP($A34,'ESA Calculations 2425'!$A$4:$AE$37,18,FALSE)-VLOOKUP($A34,'ESA Calculations 2425'!$A$4:$AE$37,10,FALSE),VLOOKUP($A34,EnrollData2324,'2324 Jun 24 Enroll'!I$1,FALSE)+VLOOKUP($A34,EnrollData2324,'2324 Jun 24 Enroll'!M$1,FALSE)-VLOOKUP($A34,EnrollData2324,'2324 Jun 24 Enroll'!J$1,FALSE),VLOOKUP($A34,'ESA Calculations 2425'!$A$4:$AE$37,9,FALSE)+VLOOKUP($A34,'ESA Calculations 2425'!$A$4:$AE$37,18,FALSE)-VLOOKUP($A34,'ESA Calculations 2425'!$A$4:$AE$37,10,FALSE))*Apport_216A2425,3)</f>
        <v>7.5030000000000001</v>
      </c>
      <c r="J34">
        <f>ROUND(SUM(D34:I34)/IF(VLOOKUP($A34,EnrollData2324,'2324 Jun 24 Enroll'!M$1,FALSE)+VLOOKUP($A34,EnrollData2324,'2324 Jun 24 Enroll'!D$1,FALSE)=VLOOKUP($A34,'ESA Calculations 2425'!$A$4:$AE$37,18,FALSE)+VLOOKUP($A34,'ESA Calculations 2425'!$A$4:$AE$37,4,FALSE),VLOOKUP($A34,EnrollData2324,'2324 Jun 24 Enroll'!M$1,FALSE)+VLOOKUP($A34,EnrollData2324,'2324 Jun 24 Enroll'!D$1,FALSE),VLOOKUP($A34,'ESA Calculations 2425'!$A$4:$AE$37,18,FALSE)+VLOOKUP($A34,'ESA Calculations 2425'!$A$4:$AE$37,4,FALSE)),5)</f>
        <v>5.679E-2</v>
      </c>
      <c r="K34" s="11">
        <f t="shared" si="1"/>
        <v>4.385E-3</v>
      </c>
      <c r="L34">
        <f>ROUND(IF(VLOOKUP($A34,EnrollData2324,'2324 Jun 24 Enroll'!D$1,FALSE)=VLOOKUP($A34,'ESA Calculations 2425'!$A$4:$AE$37,4,FALSE),VLOOKUP($A34,EnrollData2324,'2324 Jun 24 Enroll'!D$1,FALSE),VLOOKUP($A34,'ESA Calculations 2425'!$A$4:$AE$37,4,FALSE))*K34,3)</f>
        <v>0</v>
      </c>
      <c r="M34">
        <f>ROUND(IF(VLOOKUP($A34,EnrollData2324,'2324 Jun 24 Enroll'!E$1,FALSE)=VLOOKUP($A34,'ESA Calculations 2425'!$A$4:$AE$37,5,FALSE),VLOOKUP($A34,EnrollData2324,'2324 Jun 24 Enroll'!E$1,FALSE),VLOOKUP($A34,'ESA Calculations 2425'!$A$4:$AE$37,5,FALSE))*K34,3)</f>
        <v>0.48799999999999999</v>
      </c>
      <c r="N34">
        <f>ROUND(IF(VLOOKUP($A34,EnrollData2324,'2324 Jun 24 Enroll'!F$1,FALSE)=VLOOKUP($A34,'ESA Calculations 2425'!$A$4:$AE$37,6,FALSE),VLOOKUP($A34,EnrollData2324,'2324 Jun 24 Enroll'!F$1,FALSE),VLOOKUP($A34,'ESA Calculations 2425'!$A$4:$AE$37,6,FALSE))*Apport_223A2425,3)</f>
        <v>0.13100000000000001</v>
      </c>
      <c r="O34">
        <f>ROUND(IF(VLOOKUP($A34,EnrollData2324,'2324 Jun 24 Enroll'!G$1,FALSE)=VLOOKUP($A34,'ESA Calculations 2425'!$A$4:$AE$37,7,FALSE),VLOOKUP($A34,EnrollData2324,'2324 Jun 24 Enroll'!G$1,FALSE),VLOOKUP($A34,'ESA Calculations 2425'!$A$4:$AE$37,7,FALSE))*Apport_211A2425,3)</f>
        <v>0.27400000000000002</v>
      </c>
      <c r="P34">
        <f>ROUND(IF(VLOOKUP($A34,EnrollData2324,'2324 Jun 24 Enroll'!H$1,FALSE)=VLOOKUP($A34,'ESA Calculations 2425'!$A$4:$AE$37,8,FALSE),VLOOKUP($A34,EnrollData2324,'2324 Jun 24 Enroll'!H$1,FALSE),VLOOKUP($A34,'ESA Calculations 2425'!$A$4:$AE$37,8,FALSE))*Apport_214A2425,3)</f>
        <v>0.20599999999999999</v>
      </c>
      <c r="Q34">
        <f>ROUND(IF(VLOOKUP($A34,EnrollData2324,'2324 Jun 24 Enroll'!I$1,FALSE)+VLOOKUP($A34,EnrollData2324,'2324 Jun 24 Enroll'!M$1,FALSE)-VLOOKUP($A34,EnrollData2324,'2324 Jun 24 Enroll'!J$1,FALSE)=VLOOKUP($A34,'ESA Calculations 2425'!$A$4:$AE$37,9,FALSE)+VLOOKUP($A34,'ESA Calculations 2425'!$A$4:$AE$37,18,FALSE)-VLOOKUP($A34,'ESA Calculations 2425'!$A$4:$AE$37,10,FALSE),VLOOKUP($A34,EnrollData2324,'2324 Jun 24 Enroll'!I$1,FALSE)+VLOOKUP($A34,EnrollData2324,'2324 Jun 24 Enroll'!M$1,FALSE)-VLOOKUP($A34,EnrollData2324,'2324 Jun 24 Enroll'!J$1,FALSE),VLOOKUP($A34,'ESA Calculations 2425'!$A$4:$AE$37,9,FALSE)+VLOOKUP($A34,'ESA Calculations 2425'!$A$4:$AE$37,18,FALSE)-VLOOKUP($A34,'ESA Calculations 2425'!$A$4:$AE$37,10,FALSE))*Apport_217A2425,3)</f>
        <v>0.59899999999999998</v>
      </c>
      <c r="R34">
        <f>ROUND(SUM(L34:Q34)/IF(VLOOKUP($A34,EnrollData2324,'2324 Jun 24 Enroll'!M$1,FALSE)+VLOOKUP($A34,EnrollData2324,'2324 Jun 24 Enroll'!D$1,FALSE)=VLOOKUP($A34,'ESA Calculations 2425'!$A$4:$AE$37,18,FALSE)+VLOOKUP($A34,'ESA Calculations 2425'!$A$4:$AE$37,4,FALSE),VLOOKUP($A34,EnrollData2324,'2324 Jun 24 Enroll'!M$1,FALSE)+VLOOKUP($A34,EnrollData2324,'2324 Jun 24 Enroll'!D$1,FALSE),VLOOKUP($A34,'ESA Calculations 2425'!$A$4:$AE$37,18,FALSE)+VLOOKUP($A34,'ESA Calculations 2425'!$A$4:$AE$37,4,FALSE)),5)</f>
        <v>4.1399999999999996E-3</v>
      </c>
      <c r="S34" s="11">
        <f t="shared" si="2"/>
        <v>1.8734299999999999E-2</v>
      </c>
      <c r="T34">
        <f>ROUND(IF(VLOOKUP($A34,EnrollData2324,'2324 Jun 24 Enroll'!D$1,FALSE)=VLOOKUP($A34,'ESA Calculations 2425'!$A$4:$AE$37,4,FALSE),VLOOKUP($A34,EnrollData2324,'2324 Jun 24 Enroll'!D$1,FALSE),VLOOKUP($A34,'ESA Calculations 2425'!$A$4:$AE$37,4,FALSE))*S34,3)</f>
        <v>0</v>
      </c>
      <c r="U34">
        <f>ROUND(IF(VLOOKUP($A34,EnrollData2324,'2324 Jun 24 Enroll'!E$1,FALSE)=VLOOKUP($A34,'ESA Calculations 2425'!$A$4:$AE$37,5,FALSE),VLOOKUP($A34,EnrollData2324,'2324 Jun 24 Enroll'!E$1,FALSE),VLOOKUP($A34,'ESA Calculations 2425'!$A$4:$AE$37,5,FALSE))*S34,3)</f>
        <v>2.0840000000000001</v>
      </c>
      <c r="V34">
        <f>ROUND(IF(VLOOKUP($A34,EnrollData2324,'2324 Jun 24 Enroll'!F$1,FALSE)=VLOOKUP($A34,'ESA Calculations 2425'!$A$4:$AE$37,6,FALSE),VLOOKUP($A34,EnrollData2324,'2324 Jun 24 Enroll'!F$1,FALSE),VLOOKUP($A34,'ESA Calculations 2425'!$A$4:$AE$37,6,FALSE))*Apport_224A2425,3)</f>
        <v>0.57699999999999996</v>
      </c>
      <c r="W34">
        <f>ROUND(IF(VLOOKUP($A34,EnrollData2324,'2324 Jun 24 Enroll'!G$1,FALSE)=VLOOKUP($A34,'ESA Calculations 2425'!$A$4:$AE$37,7,FALSE),VLOOKUP($A34,EnrollData2324,'2324 Jun 24 Enroll'!G$1,FALSE),VLOOKUP($A34,'ESA Calculations 2425'!$A$4:$AE$37,7,FALSE))*Apport_212A2425,3)</f>
        <v>1.2030000000000001</v>
      </c>
      <c r="X34">
        <f>ROUND(IF(VLOOKUP($A34,EnrollData2324,'2324 Jun 24 Enroll'!H$1,FALSE)=VLOOKUP($A34,'ESA Calculations 2425'!$A$4:$AE$37,8,FALSE),VLOOKUP($A34,EnrollData2324,'2324 Jun 24 Enroll'!H$1,FALSE),VLOOKUP($A34,'ESA Calculations 2425'!$A$4:$AE$37,8,FALSE))*Apport_215A2425,3)</f>
        <v>0.89300000000000002</v>
      </c>
      <c r="Y34">
        <f>ROUND(IF(VLOOKUP($A34,EnrollData2324,'2324 Jun 24 Enroll'!I$1,FALSE)+VLOOKUP($A34,EnrollData2324,'2324 Jun 24 Enroll'!M$1,FALSE)-VLOOKUP($A34,EnrollData2324,'2324 Jun 24 Enroll'!J$1,FALSE)=VLOOKUP($A34,'ESA Calculations 2425'!$A$4:$AE$37,9,FALSE)+VLOOKUP($A34,'ESA Calculations 2425'!$A$4:$AE$37,18,FALSE)-VLOOKUP($A34,'ESA Calculations 2425'!$A$4:$AE$37,10,FALSE),VLOOKUP($A34,EnrollData2324,'2324 Jun 24 Enroll'!I$1,FALSE)+VLOOKUP($A34,EnrollData2324,'2324 Jun 24 Enroll'!M$1,FALSE)-VLOOKUP($A34,EnrollData2324,'2324 Jun 24 Enroll'!J$1,FALSE),VLOOKUP($A34,'ESA Calculations 2425'!$A$4:$AE$37,9,FALSE)+VLOOKUP($A34,'ESA Calculations 2425'!$A$4:$AE$37,18,FALSE)-VLOOKUP($A34,'ESA Calculations 2425'!$A$4:$AE$37,10,FALSE))*Apport_218A2425,3)</f>
        <v>2.5739999999999998</v>
      </c>
      <c r="Z34">
        <f>ROUND(SUM(T34:Y34)/IF(VLOOKUP($A34,EnrollData2324,'2324 Jun 24 Enroll'!M$1,FALSE)+VLOOKUP($A34,EnrollData2324,'2324 Jun 24 Enroll'!D$1,FALSE)=VLOOKUP($A34,'ESA Calculations 2425'!$A$4:$AE$37,18,FALSE)+VLOOKUP($A34,'ESA Calculations 2425'!$A$4:$AE$37,4,FALSE),VLOOKUP($A34,EnrollData2324,'2324 Jun 24 Enroll'!M$1,FALSE)+VLOOKUP($A34,EnrollData2324,'2324 Jun 24 Enroll'!D$1,FALSE),VLOOKUP($A34,'ESA Calculations 2425'!$A$4:$AE$37,18,FALSE)+VLOOKUP($A34,'ESA Calculations 2425'!$A$4:$AE$37,4,FALSE)),5)</f>
        <v>1.788E-2</v>
      </c>
      <c r="AA34" s="6">
        <f>ROUND($J34*CIS_Base_Salary2425*VLOOKUP($A34,EnrollData2324,'2324 Jun 24 Enroll'!AH$1,FALSE),2)</f>
        <v>4283.05</v>
      </c>
      <c r="AB34" s="6">
        <f>ROUND($J34*CIS_Inc_Salary2425*(VLOOKUP($A34,EnrollData2324,'2324 Jun 24 Enroll'!AI$1,FALSE)+VLOOKUP($A34,EnrollData2324,'2324 Jun 24 Enroll'!AJ$1,FALSE)),2)-AA34</f>
        <v>336.09999999999945</v>
      </c>
      <c r="AC34" s="6" cm="1">
        <f t="array" ref="AC34">ROUND($R34*CAS_Base_Salary2425*VLOOKUP($A34,EnrollData2324,'2324 Jun 24 Enroll'!AH$1,FALSE),2)</f>
        <v>463.47</v>
      </c>
      <c r="AD34" s="6">
        <f>ROUND($R34*CAS_Inc_Salary2425*VLOOKUP($A34,EnrollData2324,'2324 Jun 24 Enroll'!AI$1,FALSE),2)-AC34</f>
        <v>17.149999999999977</v>
      </c>
      <c r="AE34" s="6">
        <f>ROUND($Z34*CLS_Base_Salary2425*VLOOKUP($A34,EnrollData2324,'2324 Jun 24 Enroll'!AH$1,FALSE),2)</f>
        <v>967.36</v>
      </c>
      <c r="AF34" s="6">
        <f>ROUND($Z34*CLS_Inc_Salary2425*VLOOKUP($A34,EnrollData2324,'2324 Jun 24 Enroll'!AI$1,FALSE),2)-AE34</f>
        <v>35.799999999999955</v>
      </c>
      <c r="AG34" cm="1">
        <f t="array" ref="AG34">ROUND(($J34+$R34)*Apport_124X2425,2)</f>
        <v>804.28</v>
      </c>
      <c r="AH34" s="69" cm="1">
        <f t="array" ref="AH34">ROUND(($J34+$R34)*Apport_621X2425*Apport_125XC2425,2)-AG34</f>
        <v>74.25</v>
      </c>
      <c r="AI34" cm="1">
        <f t="array" ref="AI34">ROUND($Z34*Apport_124X2425,2)</f>
        <v>236.02</v>
      </c>
      <c r="AJ34">
        <f t="shared" si="3"/>
        <v>125.41</v>
      </c>
      <c r="AK34">
        <f t="shared" si="4"/>
        <v>861.49</v>
      </c>
      <c r="AL34">
        <f t="shared" si="5"/>
        <v>61.85</v>
      </c>
      <c r="AM34">
        <f t="shared" si="6"/>
        <v>209.53</v>
      </c>
      <c r="AN34">
        <f t="shared" si="7"/>
        <v>6.5</v>
      </c>
      <c r="AO34">
        <f>ROUND(($J34*CIS_Inc_Salary2425*(VLOOKUP($A34,EnrollData2324,'2324 Jun 24 Enroll'!AI$1,FALSE)+VLOOKUP($A34,EnrollData2324,'2324 Jun 24 Enroll'!AJ$1,FALSE))/Apport_613Xpd)*Apport_614Xpd,2)</f>
        <v>76.989999999999995</v>
      </c>
      <c r="AP34">
        <f t="shared" si="8"/>
        <v>13.48</v>
      </c>
      <c r="AQ34">
        <f t="shared" si="11"/>
        <v>31.63</v>
      </c>
      <c r="AR34" s="6">
        <f>ROUND((IF(VLOOKUP($A34,EnrollData2324,'2324 Jun 24 Enroll'!D$1,FALSE)=VLOOKUP($A34,'ESA Calculations 2425'!$A$4:$AE$37,4,FALSE),VLOOKUP($A34,EnrollData2324,'2324 Jun 24 Enroll'!D$1,FALSE),VLOOKUP($A34,'ESA Calculations 2425'!$A$4:$AE$37,4,FALSE))*Apport_M802425+IF(VLOOKUP($A34,EnrollData2324,'2324 Jun 24 Enroll'!M$1,FALSE)=VLOOKUP($A34,'ESA Calculations 2425'!$A$4:$AE$37,18,FALSE),VLOOKUP($A34,EnrollData2324,'2324 Jun 24 Enroll'!M$1,FALSE),VLOOKUP($A34,'ESA Calculations 2425'!$A$4:$AE$37,18,FALSE))*Apport_M802425+IF((VLOOKUP($A34,EnrollData2324,'2324 Jun 24 Enroll'!P$1,FALSE)+VLOOKUP($A34,EnrollData2324,'2324 Jun 24 Enroll'!Q$1,FALSE)+VLOOKUP($A34,EnrollData2324,'2324 Jun 24 Enroll'!R$1,FALSE)+VLOOKUP($A34,EnrollData2324,'2324 Jun 24 Enroll'!I$1,FALSE)+VLOOKUP($A34,EnrollData2324,'2324 Jun 24 Enroll'!N$1,FALSE)+VLOOKUP($A34,EnrollData2324,'2324 Jun 24 Enroll'!O$1,FALSE)+VLOOKUP($A34,EnrollData2324,'2324 Jun 24 Enroll'!K$1,FALSE)+VLOOKUP($A34,EnrollData2324,'2324 Jun 24 Enroll'!L$1,FALSE))=VLOOKUP($A34,EnrollData2324,'2324 Jun 24 Enroll'!P$1,FALSE)+VLOOKUP($A34,EnrollData2324,'2324 Jun 24 Enroll'!Q$1,FALSE)+VLOOKUP($A34,EnrollData2324,'2324 Jun 24 Enroll'!R$1,FALSE)+VLOOKUP($A34,EnrollData2324,'2324 Jun 24 Enroll'!I$1,FALSE)+VLOOKUP($A34,EnrollData2324,'2324 Jun 24 Enroll'!N$1,FALSE)+VLOOKUP($A34,EnrollData2324,'2324 Jun 24 Enroll'!O$1,FALSE)+VLOOKUP($A34,EnrollData2324,'2324 Jun 24 Enroll'!K$1,FALSE)+VLOOKUP($A34,EnrollData2324,'2324 Jun 24 Enroll'!L$1,FALSE),(VLOOKUP($A34,EnrollData2324,'2324 Jun 24 Enroll'!P$1,FALSE)+VLOOKUP($A34,EnrollData2324,'2324 Jun 24 Enroll'!Q$1,FALSE)+VLOOKUP($A34,EnrollData2324,'2324 Jun 24 Enroll'!R$1,FALSE)+VLOOKUP($A34,EnrollData2324,'2324 Jun 24 Enroll'!I$1,FALSE)+VLOOKUP($A34,EnrollData2324,'2324 Jun 24 Enroll'!N$1,FALSE)+VLOOKUP($A34,EnrollData2324,'2324 Jun 24 Enroll'!O$1,FALSE)+VLOOKUP($A34,EnrollData2324,'2324 Jun 24 Enroll'!K$1,FALSE)+VLOOKUP($A34,EnrollData2324,'2324 Jun 24 Enroll'!L$1,FALSE)),(VLOOKUP($A34,EnrollData2324,'2324 Jun 24 Enroll'!P$1,FALSE)+VLOOKUP($A34,EnrollData2324,'2324 Jun 24 Enroll'!Q$1,FALSE)+VLOOKUP($A34,EnrollData2324,'2324 Jun 24 Enroll'!R$1,FALSE)+VLOOKUP($A34,EnrollData2324,'2324 Jun 24 Enroll'!I$1,FALSE)+VLOOKUP($A34,EnrollData2324,'2324 Jun 24 Enroll'!N$1,FALSE)+VLOOKUP($A34,EnrollData2324,'2324 Jun 24 Enroll'!O$1,FALSE)+VLOOKUP($A34,EnrollData2324,'2324 Jun 24 Enroll'!K$1,FALSE)+VLOOKUP($A34,EnrollData2324,'2324 Jun 24 Enroll'!L$1,FALSE)))*Apport_M812425)/(IF(VLOOKUP($A34,EnrollData2324,'2324 Jun 24 Enroll'!M$1,FALSE)=VLOOKUP($A34,'ESA Calculations 2425'!$A$4:$AE$37,18,FALSE),VLOOKUP($A34,EnrollData2324,'2324 Jun 24 Enroll'!M$1,FALSE),VLOOKUP($A34,'ESA Calculations 2425'!$A$4:$AE$37,18,FALSE))+IF(VLOOKUP($A34,EnrollData2324,'2324 Jun 24 Enroll'!D$1,FALSE)=VLOOKUP($A34,'ESA Calculations 2425'!$A$4:$AE$37,4,FALSE),VLOOKUP($A34,EnrollData2324,'2324 Jun 24 Enroll'!D$1,FALSE),VLOOKUP($A34,'ESA Calculations 2425'!$A$4:$AE$37,4,FALSE))),2)</f>
        <v>1606.39</v>
      </c>
      <c r="AS34" s="7">
        <f t="shared" si="12"/>
        <v>10210.749999999998</v>
      </c>
      <c r="AT34" s="6">
        <f>IF(VLOOKUP($A34,EnrollData2324,'2324 Jun 24 Enroll'!AA$1,FALSE)=VLOOKUP($A34,'ESA Calculations 2425'!$A$4:$AE$37,24,FALSE),VLOOKUP($A34,EnrollData2324,'2324 Jun 24 Enroll'!AA$1,FALSE),VLOOKUP($A34,'ESA Calculations 2425'!$A$4:$AE$37,24,FALSE))</f>
        <v>410.42</v>
      </c>
    </row>
    <row r="35" spans="1:48">
      <c r="A35" s="40" t="s">
        <v>432</v>
      </c>
      <c r="B35" s="40" t="s">
        <v>433</v>
      </c>
      <c r="C35" s="11">
        <f>ROUND((IFERROR((1/IF(VLOOKUP($A35,EnrollData2324,28,FALSE)=VLOOKUP($A35,'ESA Calculations 2425'!$A$4:$AE$37,3,FALSE),VLOOKUP($A35,EnrollData2324,28,FALSE),VLOOKUP($A35,'ESA Calculations 2425'!$A$4:$AE$37,3,FALSE)))*(1+Apport_Z315),0))+Apport_201A2425,6)</f>
        <v>7.4580999999999995E-2</v>
      </c>
      <c r="D35">
        <f>ROUND(IF(VLOOKUP($A35,EnrollData2324,'2324 Jun 24 Enroll'!D$1,FALSE)=VLOOKUP($A35,'ESA Calculations 2425'!$A$4:$AE$37,4,FALSE),VLOOKUP($A35,EnrollData2324,'2324 Jun 24 Enroll'!D$1,FALSE),VLOOKUP($A35,'ESA Calculations 2425'!$A$4:$AE$37,4,FALSE))*C35,3)</f>
        <v>0</v>
      </c>
      <c r="E35">
        <f>ROUND(IF(VLOOKUP($A35,EnrollData2324,'2324 Jun 24 Enroll'!E$1,FALSE)=VLOOKUP($A35,'ESA Calculations 2425'!$A$4:$AE$37,5,FALSE),VLOOKUP($A35,EnrollData2324,'2324 Jun 24 Enroll'!E$1,FALSE),VLOOKUP($A35,'ESA Calculations 2425'!$A$4:$AE$37,5,FALSE))*C35,3)</f>
        <v>1.119</v>
      </c>
      <c r="F35">
        <f>ROUND(IF(VLOOKUP($A35,EnrollData2324,'2324 Jun 24 Enroll'!F$1,FALSE)=VLOOKUP($A35,'ESA Calculations 2425'!$A$4:$AE$37,6,FALSE),VLOOKUP($A35,EnrollData2324,'2324 Jun 24 Enroll'!F$1,FALSE),VLOOKUP($A35,'ESA Calculations 2425'!$A$4:$AE$37,6,FALSE))*Apport_222A2425,3)</f>
        <v>4.9000000000000002E-2</v>
      </c>
      <c r="G35">
        <f>ROUND(IF(VLOOKUP($A35,EnrollData2324,'2324 Jun 24 Enroll'!G$1,FALSE)=VLOOKUP($A35,'ESA Calculations 2425'!$A$4:$AE$37,7,FALSE),VLOOKUP($A35,EnrollData2324,'2324 Jun 24 Enroll'!G$1,FALSE),VLOOKUP($A35,'ESA Calculations 2425'!$A$4:$AE$37,7,FALSE))*Apport_210A2425,3)</f>
        <v>0.14799999999999999</v>
      </c>
      <c r="H35">
        <f>ROUND(IF(VLOOKUP($A35,EnrollData2324,'2324 Jun 24 Enroll'!H$1,FALSE)=VLOOKUP($A35,'ESA Calculations 2425'!$A$4:$AE$37,8,FALSE),VLOOKUP($A35,EnrollData2324,'2324 Jun 24 Enroll'!H$1,FALSE),VLOOKUP($A35,'ESA Calculations 2425'!$A$4:$AE$37,8,FALSE))*Apport_213A2425,3)</f>
        <v>0</v>
      </c>
      <c r="I35">
        <f>ROUND(IF(VLOOKUP($A35,EnrollData2324,'2324 Jun 24 Enroll'!I$1,FALSE)+VLOOKUP($A35,EnrollData2324,'2324 Jun 24 Enroll'!M$1,FALSE)-VLOOKUP($A35,EnrollData2324,'2324 Jun 24 Enroll'!J$1,FALSE)=VLOOKUP($A35,'ESA Calculations 2425'!$A$4:$AE$37,9,FALSE)+VLOOKUP($A35,'ESA Calculations 2425'!$A$4:$AE$37,18,FALSE)-VLOOKUP($A35,'ESA Calculations 2425'!$A$4:$AE$37,10,FALSE),VLOOKUP($A35,EnrollData2324,'2324 Jun 24 Enroll'!I$1,FALSE)+VLOOKUP($A35,EnrollData2324,'2324 Jun 24 Enroll'!M$1,FALSE)-VLOOKUP($A35,EnrollData2324,'2324 Jun 24 Enroll'!J$1,FALSE),VLOOKUP($A35,'ESA Calculations 2425'!$A$4:$AE$37,9,FALSE)+VLOOKUP($A35,'ESA Calculations 2425'!$A$4:$AE$37,18,FALSE)-VLOOKUP($A35,'ESA Calculations 2425'!$A$4:$AE$37,10,FALSE))*Apport_216A2425,3)</f>
        <v>0</v>
      </c>
      <c r="J35">
        <f>ROUND(SUM(D35:I35)/IF(VLOOKUP($A35,EnrollData2324,'2324 Jun 24 Enroll'!M$1,FALSE)+VLOOKUP($A35,EnrollData2324,'2324 Jun 24 Enroll'!D$1,FALSE)=VLOOKUP($A35,'ESA Calculations 2425'!$A$4:$AE$37,18,FALSE)+VLOOKUP($A35,'ESA Calculations 2425'!$A$4:$AE$37,4,FALSE),VLOOKUP($A35,EnrollData2324,'2324 Jun 24 Enroll'!M$1,FALSE)+VLOOKUP($A35,EnrollData2324,'2324 Jun 24 Enroll'!D$1,FALSE),VLOOKUP($A35,'ESA Calculations 2425'!$A$4:$AE$37,18,FALSE)+VLOOKUP($A35,'ESA Calculations 2425'!$A$4:$AE$37,4,FALSE)),5)</f>
        <v>6.9260000000000002E-2</v>
      </c>
      <c r="K35" s="11">
        <f t="shared" si="1"/>
        <v>4.385E-3</v>
      </c>
      <c r="L35">
        <f>ROUND(IF(VLOOKUP($A35,EnrollData2324,'2324 Jun 24 Enroll'!D$1,FALSE)=VLOOKUP($A35,'ESA Calculations 2425'!$A$4:$AE$37,4,FALSE),VLOOKUP($A35,EnrollData2324,'2324 Jun 24 Enroll'!D$1,FALSE),VLOOKUP($A35,'ESA Calculations 2425'!$A$4:$AE$37,4,FALSE))*K35,3)</f>
        <v>0</v>
      </c>
      <c r="M35">
        <f>ROUND(IF(VLOOKUP($A35,EnrollData2324,'2324 Jun 24 Enroll'!E$1,FALSE)=VLOOKUP($A35,'ESA Calculations 2425'!$A$4:$AE$37,5,FALSE),VLOOKUP($A35,EnrollData2324,'2324 Jun 24 Enroll'!E$1,FALSE),VLOOKUP($A35,'ESA Calculations 2425'!$A$4:$AE$37,5,FALSE))*K35,3)</f>
        <v>6.6000000000000003E-2</v>
      </c>
      <c r="N35">
        <f>ROUND(IF(VLOOKUP($A35,EnrollData2324,'2324 Jun 24 Enroll'!F$1,FALSE)=VLOOKUP($A35,'ESA Calculations 2425'!$A$4:$AE$37,6,FALSE),VLOOKUP($A35,EnrollData2324,'2324 Jun 24 Enroll'!F$1,FALSE),VLOOKUP($A35,'ESA Calculations 2425'!$A$4:$AE$37,6,FALSE))*Apport_223A2425,3)</f>
        <v>4.0000000000000001E-3</v>
      </c>
      <c r="O35">
        <f>ROUND(IF(VLOOKUP($A35,EnrollData2324,'2324 Jun 24 Enroll'!G$1,FALSE)=VLOOKUP($A35,'ESA Calculations 2425'!$A$4:$AE$37,7,FALSE),VLOOKUP($A35,EnrollData2324,'2324 Jun 24 Enroll'!G$1,FALSE),VLOOKUP($A35,'ESA Calculations 2425'!$A$4:$AE$37,7,FALSE))*Apport_211A2425,3)</f>
        <v>1.2E-2</v>
      </c>
      <c r="P35">
        <f>ROUND(IF(VLOOKUP($A35,EnrollData2324,'2324 Jun 24 Enroll'!H$1,FALSE)=VLOOKUP($A35,'ESA Calculations 2425'!$A$4:$AE$37,8,FALSE),VLOOKUP($A35,EnrollData2324,'2324 Jun 24 Enroll'!H$1,FALSE),VLOOKUP($A35,'ESA Calculations 2425'!$A$4:$AE$37,8,FALSE))*Apport_214A2425,3)</f>
        <v>0</v>
      </c>
      <c r="Q35">
        <f>ROUND(IF(VLOOKUP($A35,EnrollData2324,'2324 Jun 24 Enroll'!I$1,FALSE)+VLOOKUP($A35,EnrollData2324,'2324 Jun 24 Enroll'!M$1,FALSE)-VLOOKUP($A35,EnrollData2324,'2324 Jun 24 Enroll'!J$1,FALSE)=VLOOKUP($A35,'ESA Calculations 2425'!$A$4:$AE$37,9,FALSE)+VLOOKUP($A35,'ESA Calculations 2425'!$A$4:$AE$37,18,FALSE)-VLOOKUP($A35,'ESA Calculations 2425'!$A$4:$AE$37,10,FALSE),VLOOKUP($A35,EnrollData2324,'2324 Jun 24 Enroll'!I$1,FALSE)+VLOOKUP($A35,EnrollData2324,'2324 Jun 24 Enroll'!M$1,FALSE)-VLOOKUP($A35,EnrollData2324,'2324 Jun 24 Enroll'!J$1,FALSE),VLOOKUP($A35,'ESA Calculations 2425'!$A$4:$AE$37,9,FALSE)+VLOOKUP($A35,'ESA Calculations 2425'!$A$4:$AE$37,18,FALSE)-VLOOKUP($A35,'ESA Calculations 2425'!$A$4:$AE$37,10,FALSE))*Apport_217A2425,3)</f>
        <v>0</v>
      </c>
      <c r="R35">
        <f>ROUND(SUM(L35:Q35)/IF(VLOOKUP($A35,EnrollData2324,'2324 Jun 24 Enroll'!M$1,FALSE)+VLOOKUP($A35,EnrollData2324,'2324 Jun 24 Enroll'!D$1,FALSE)=VLOOKUP($A35,'ESA Calculations 2425'!$A$4:$AE$37,18,FALSE)+VLOOKUP($A35,'ESA Calculations 2425'!$A$4:$AE$37,4,FALSE),VLOOKUP($A35,EnrollData2324,'2324 Jun 24 Enroll'!M$1,FALSE)+VLOOKUP($A35,EnrollData2324,'2324 Jun 24 Enroll'!D$1,FALSE),VLOOKUP($A35,'ESA Calculations 2425'!$A$4:$AE$37,18,FALSE)+VLOOKUP($A35,'ESA Calculations 2425'!$A$4:$AE$37,4,FALSE)),5)</f>
        <v>4.3200000000000001E-3</v>
      </c>
      <c r="S35" s="11">
        <f t="shared" si="2"/>
        <v>1.8734299999999999E-2</v>
      </c>
      <c r="T35">
        <f>ROUND(IF(VLOOKUP($A35,EnrollData2324,'2324 Jun 24 Enroll'!D$1,FALSE)=VLOOKUP($A35,'ESA Calculations 2425'!$A$4:$AE$37,4,FALSE),VLOOKUP($A35,EnrollData2324,'2324 Jun 24 Enroll'!D$1,FALSE),VLOOKUP($A35,'ESA Calculations 2425'!$A$4:$AE$37,4,FALSE))*S35,3)</f>
        <v>0</v>
      </c>
      <c r="U35">
        <f>ROUND(IF(VLOOKUP($A35,EnrollData2324,'2324 Jun 24 Enroll'!E$1,FALSE)=VLOOKUP($A35,'ESA Calculations 2425'!$A$4:$AE$37,5,FALSE),VLOOKUP($A35,EnrollData2324,'2324 Jun 24 Enroll'!E$1,FALSE),VLOOKUP($A35,'ESA Calculations 2425'!$A$4:$AE$37,5,FALSE))*S35,3)</f>
        <v>0.28100000000000003</v>
      </c>
      <c r="V35">
        <f>ROUND(IF(VLOOKUP($A35,EnrollData2324,'2324 Jun 24 Enroll'!F$1,FALSE)=VLOOKUP($A35,'ESA Calculations 2425'!$A$4:$AE$37,6,FALSE),VLOOKUP($A35,EnrollData2324,'2324 Jun 24 Enroll'!F$1,FALSE),VLOOKUP($A35,'ESA Calculations 2425'!$A$4:$AE$37,6,FALSE))*Apport_224A2425,3)</f>
        <v>1.7999999999999999E-2</v>
      </c>
      <c r="W35">
        <f>ROUND(IF(VLOOKUP($A35,EnrollData2324,'2324 Jun 24 Enroll'!G$1,FALSE)=VLOOKUP($A35,'ESA Calculations 2425'!$A$4:$AE$37,7,FALSE),VLOOKUP($A35,EnrollData2324,'2324 Jun 24 Enroll'!G$1,FALSE),VLOOKUP($A35,'ESA Calculations 2425'!$A$4:$AE$37,7,FALSE))*Apport_212A2425,3)</f>
        <v>5.2999999999999999E-2</v>
      </c>
      <c r="X35">
        <f>ROUND(IF(VLOOKUP($A35,EnrollData2324,'2324 Jun 24 Enroll'!H$1,FALSE)=VLOOKUP($A35,'ESA Calculations 2425'!$A$4:$AE$37,8,FALSE),VLOOKUP($A35,EnrollData2324,'2324 Jun 24 Enroll'!H$1,FALSE),VLOOKUP($A35,'ESA Calculations 2425'!$A$4:$AE$37,8,FALSE))*Apport_215A2425,3)</f>
        <v>0</v>
      </c>
      <c r="Y35">
        <f>ROUND(IF(VLOOKUP($A35,EnrollData2324,'2324 Jun 24 Enroll'!I$1,FALSE)+VLOOKUP($A35,EnrollData2324,'2324 Jun 24 Enroll'!M$1,FALSE)-VLOOKUP($A35,EnrollData2324,'2324 Jun 24 Enroll'!J$1,FALSE)=VLOOKUP($A35,'ESA Calculations 2425'!$A$4:$AE$37,9,FALSE)+VLOOKUP($A35,'ESA Calculations 2425'!$A$4:$AE$37,18,FALSE)-VLOOKUP($A35,'ESA Calculations 2425'!$A$4:$AE$37,10,FALSE),VLOOKUP($A35,EnrollData2324,'2324 Jun 24 Enroll'!I$1,FALSE)+VLOOKUP($A35,EnrollData2324,'2324 Jun 24 Enroll'!M$1,FALSE)-VLOOKUP($A35,EnrollData2324,'2324 Jun 24 Enroll'!J$1,FALSE),VLOOKUP($A35,'ESA Calculations 2425'!$A$4:$AE$37,9,FALSE)+VLOOKUP($A35,'ESA Calculations 2425'!$A$4:$AE$37,18,FALSE)-VLOOKUP($A35,'ESA Calculations 2425'!$A$4:$AE$37,10,FALSE))*Apport_218A2425,3)</f>
        <v>0</v>
      </c>
      <c r="Z35">
        <f>ROUND(SUM(T35:Y35)/IF(VLOOKUP($A35,EnrollData2324,'2324 Jun 24 Enroll'!M$1,FALSE)+VLOOKUP($A35,EnrollData2324,'2324 Jun 24 Enroll'!D$1,FALSE)=VLOOKUP($A35,'ESA Calculations 2425'!$A$4:$AE$37,18,FALSE)+VLOOKUP($A35,'ESA Calculations 2425'!$A$4:$AE$37,4,FALSE),VLOOKUP($A35,EnrollData2324,'2324 Jun 24 Enroll'!M$1,FALSE)+VLOOKUP($A35,EnrollData2324,'2324 Jun 24 Enroll'!D$1,FALSE),VLOOKUP($A35,'ESA Calculations 2425'!$A$4:$AE$37,18,FALSE)+VLOOKUP($A35,'ESA Calculations 2425'!$A$4:$AE$37,4,FALSE)),5)</f>
        <v>1.8530000000000001E-2</v>
      </c>
      <c r="AA35" s="6">
        <f>ROUND($J35*CIS_Base_Salary2425*VLOOKUP($A35,EnrollData2324,'2324 Jun 24 Enroll'!AH$1,FALSE),2)</f>
        <v>5223.5200000000004</v>
      </c>
      <c r="AB35" s="6">
        <f>ROUND($J35*CIS_Inc_Salary2425*(VLOOKUP($A35,EnrollData2324,'2324 Jun 24 Enroll'!AI$1,FALSE)+VLOOKUP($A35,EnrollData2324,'2324 Jun 24 Enroll'!AJ$1,FALSE)),2)-AA35</f>
        <v>409.90999999999985</v>
      </c>
      <c r="AC35" s="6" cm="1">
        <f t="array" ref="AC35">ROUND($R35*CAS_Base_Salary2425*VLOOKUP($A35,EnrollData2324,'2324 Jun 24 Enroll'!AH$1,FALSE),2)</f>
        <v>483.62</v>
      </c>
      <c r="AD35" s="6">
        <f>ROUND($R35*CAS_Inc_Salary2425*VLOOKUP($A35,EnrollData2324,'2324 Jun 24 Enroll'!AI$1,FALSE),2)-AC35</f>
        <v>17.899999999999977</v>
      </c>
      <c r="AE35" s="6">
        <f>ROUND($Z35*CLS_Base_Salary2425*VLOOKUP($A35,EnrollData2324,'2324 Jun 24 Enroll'!AH$1,FALSE),2)</f>
        <v>1002.53</v>
      </c>
      <c r="AF35" s="6">
        <f>ROUND($Z35*CLS_Inc_Salary2425*VLOOKUP($A35,EnrollData2324,'2324 Jun 24 Enroll'!AI$1,FALSE),2)-AE35</f>
        <v>37.100000000000136</v>
      </c>
      <c r="AG35" cm="1">
        <f t="array" ref="AG35">ROUND(($J35+$R35)*Apport_124X2425,2)</f>
        <v>971.26</v>
      </c>
      <c r="AH35" s="69" cm="1">
        <f t="array" ref="AH35">ROUND(($J35+$R35)*Apport_621X2425*Apport_125XC2425,2)-AG35</f>
        <v>89.670000000000073</v>
      </c>
      <c r="AI35" cm="1">
        <f t="array" ref="AI35">ROUND($Z35*Apport_124X2425,2)</f>
        <v>244.6</v>
      </c>
      <c r="AJ35">
        <f t="shared" si="3"/>
        <v>129.97</v>
      </c>
      <c r="AK35">
        <f t="shared" si="4"/>
        <v>1035.8499999999999</v>
      </c>
      <c r="AL35">
        <f t="shared" si="5"/>
        <v>74.91</v>
      </c>
      <c r="AM35">
        <f t="shared" si="6"/>
        <v>217.15</v>
      </c>
      <c r="AN35">
        <f t="shared" si="7"/>
        <v>6.74</v>
      </c>
      <c r="AO35">
        <f>ROUND(($J35*CIS_Inc_Salary2425*(VLOOKUP($A35,EnrollData2324,'2324 Jun 24 Enroll'!AI$1,FALSE)+VLOOKUP($A35,EnrollData2324,'2324 Jun 24 Enroll'!AJ$1,FALSE))/Apport_613Xpd)*Apport_614Xpd,2)</f>
        <v>93.89</v>
      </c>
      <c r="AP35">
        <f t="shared" si="8"/>
        <v>16.440000000000001</v>
      </c>
      <c r="AQ35">
        <f t="shared" si="11"/>
        <v>38.58</v>
      </c>
      <c r="AR35" s="6">
        <f>ROUND((IF(VLOOKUP($A35,EnrollData2324,'2324 Jun 24 Enroll'!D$1,FALSE)=VLOOKUP($A35,'ESA Calculations 2425'!$A$4:$AE$37,4,FALSE),VLOOKUP($A35,EnrollData2324,'2324 Jun 24 Enroll'!D$1,FALSE),VLOOKUP($A35,'ESA Calculations 2425'!$A$4:$AE$37,4,FALSE))*Apport_M802425+IF(VLOOKUP($A35,EnrollData2324,'2324 Jun 24 Enroll'!M$1,FALSE)=VLOOKUP($A35,'ESA Calculations 2425'!$A$4:$AE$37,18,FALSE),VLOOKUP($A35,EnrollData2324,'2324 Jun 24 Enroll'!M$1,FALSE),VLOOKUP($A35,'ESA Calculations 2425'!$A$4:$AE$37,18,FALSE))*Apport_M802425+IF((VLOOKUP($A35,EnrollData2324,'2324 Jun 24 Enroll'!P$1,FALSE)+VLOOKUP($A35,EnrollData2324,'2324 Jun 24 Enroll'!Q$1,FALSE)+VLOOKUP($A35,EnrollData2324,'2324 Jun 24 Enroll'!R$1,FALSE)+VLOOKUP($A35,EnrollData2324,'2324 Jun 24 Enroll'!I$1,FALSE)+VLOOKUP($A35,EnrollData2324,'2324 Jun 24 Enroll'!N$1,FALSE)+VLOOKUP($A35,EnrollData2324,'2324 Jun 24 Enroll'!O$1,FALSE)+VLOOKUP($A35,EnrollData2324,'2324 Jun 24 Enroll'!K$1,FALSE)+VLOOKUP($A35,EnrollData2324,'2324 Jun 24 Enroll'!L$1,FALSE))=VLOOKUP($A35,EnrollData2324,'2324 Jun 24 Enroll'!P$1,FALSE)+VLOOKUP($A35,EnrollData2324,'2324 Jun 24 Enroll'!Q$1,FALSE)+VLOOKUP($A35,EnrollData2324,'2324 Jun 24 Enroll'!R$1,FALSE)+VLOOKUP($A35,EnrollData2324,'2324 Jun 24 Enroll'!I$1,FALSE)+VLOOKUP($A35,EnrollData2324,'2324 Jun 24 Enroll'!N$1,FALSE)+VLOOKUP($A35,EnrollData2324,'2324 Jun 24 Enroll'!O$1,FALSE)+VLOOKUP($A35,EnrollData2324,'2324 Jun 24 Enroll'!K$1,FALSE)+VLOOKUP($A35,EnrollData2324,'2324 Jun 24 Enroll'!L$1,FALSE),(VLOOKUP($A35,EnrollData2324,'2324 Jun 24 Enroll'!P$1,FALSE)+VLOOKUP($A35,EnrollData2324,'2324 Jun 24 Enroll'!Q$1,FALSE)+VLOOKUP($A35,EnrollData2324,'2324 Jun 24 Enroll'!R$1,FALSE)+VLOOKUP($A35,EnrollData2324,'2324 Jun 24 Enroll'!I$1,FALSE)+VLOOKUP($A35,EnrollData2324,'2324 Jun 24 Enroll'!N$1,FALSE)+VLOOKUP($A35,EnrollData2324,'2324 Jun 24 Enroll'!O$1,FALSE)+VLOOKUP($A35,EnrollData2324,'2324 Jun 24 Enroll'!K$1,FALSE)+VLOOKUP($A35,EnrollData2324,'2324 Jun 24 Enroll'!L$1,FALSE)),(VLOOKUP($A35,EnrollData2324,'2324 Jun 24 Enroll'!P$1,FALSE)+VLOOKUP($A35,EnrollData2324,'2324 Jun 24 Enroll'!Q$1,FALSE)+VLOOKUP($A35,EnrollData2324,'2324 Jun 24 Enroll'!R$1,FALSE)+VLOOKUP($A35,EnrollData2324,'2324 Jun 24 Enroll'!I$1,FALSE)+VLOOKUP($A35,EnrollData2324,'2324 Jun 24 Enroll'!N$1,FALSE)+VLOOKUP($A35,EnrollData2324,'2324 Jun 24 Enroll'!O$1,FALSE)+VLOOKUP($A35,EnrollData2324,'2324 Jun 24 Enroll'!K$1,FALSE)+VLOOKUP($A35,EnrollData2324,'2324 Jun 24 Enroll'!L$1,FALSE)))*Apport_M812425)/(IF(VLOOKUP($A35,EnrollData2324,'2324 Jun 24 Enroll'!M$1,FALSE)=VLOOKUP($A35,'ESA Calculations 2425'!$A$4:$AE$37,18,FALSE),VLOOKUP($A35,EnrollData2324,'2324 Jun 24 Enroll'!M$1,FALSE),VLOOKUP($A35,'ESA Calculations 2425'!$A$4:$AE$37,18,FALSE))+IF(VLOOKUP($A35,EnrollData2324,'2324 Jun 24 Enroll'!D$1,FALSE)=VLOOKUP($A35,'ESA Calculations 2425'!$A$4:$AE$37,4,FALSE),VLOOKUP($A35,EnrollData2324,'2324 Jun 24 Enroll'!D$1,FALSE),VLOOKUP($A35,'ESA Calculations 2425'!$A$4:$AE$37,4,FALSE))),2)</f>
        <v>1533.02</v>
      </c>
      <c r="AS35" s="7">
        <f t="shared" si="12"/>
        <v>11626.66</v>
      </c>
      <c r="AT35" s="6">
        <f>IF(VLOOKUP($A35,EnrollData2324,'2324 Jun 24 Enroll'!AA$1,FALSE)=VLOOKUP($A35,'ESA Calculations 2425'!$A$4:$AE$37,24,FALSE),VLOOKUP($A35,EnrollData2324,'2324 Jun 24 Enroll'!AA$1,FALSE),VLOOKUP($A35,'ESA Calculations 2425'!$A$4:$AE$37,24,FALSE))</f>
        <v>19</v>
      </c>
    </row>
    <row r="36" spans="1:48">
      <c r="A36" s="40" t="s">
        <v>849</v>
      </c>
      <c r="B36" s="40" t="s">
        <v>850</v>
      </c>
      <c r="C36" s="11">
        <f>ROUND((IFERROR((1/IF(VLOOKUP($A36,EnrollData2324,28,FALSE)=VLOOKUP($A36,'ESA Calculations 2425'!$A$4:$AE$37,3,FALSE),VLOOKUP($A36,EnrollData2324,28,FALSE),VLOOKUP($A36,'ESA Calculations 2425'!$A$4:$AE$37,3,FALSE)))*(1+Apport_Z315),0))+Apport_201A2425,6)</f>
        <v>7.4025999999999995E-2</v>
      </c>
      <c r="D36">
        <f>ROUND(IF(VLOOKUP($A36,EnrollData2324,'2324 Jun 24 Enroll'!D$1,FALSE)=VLOOKUP($A36,'ESA Calculations 2425'!$A$4:$AE$37,4,FALSE),VLOOKUP($A36,EnrollData2324,'2324 Jun 24 Enroll'!D$1,FALSE),VLOOKUP($A36,'ESA Calculations 2425'!$A$4:$AE$37,4,FALSE))*C36,3)</f>
        <v>0</v>
      </c>
      <c r="E36">
        <f>ROUND(IF(VLOOKUP($A36,EnrollData2324,'2324 Jun 24 Enroll'!E$1,FALSE)=VLOOKUP($A36,'ESA Calculations 2425'!$A$4:$AE$37,5,FALSE),VLOOKUP($A36,EnrollData2324,'2324 Jun 24 Enroll'!E$1,FALSE),VLOOKUP($A36,'ESA Calculations 2425'!$A$4:$AE$37,5,FALSE))*C36,3)</f>
        <v>6.0090000000000003</v>
      </c>
      <c r="F36">
        <f>ROUND(IF(VLOOKUP($A36,EnrollData2324,'2324 Jun 24 Enroll'!F$1,FALSE)=VLOOKUP($A36,'ESA Calculations 2425'!$A$4:$AE$37,6,FALSE),VLOOKUP($A36,EnrollData2324,'2324 Jun 24 Enroll'!F$1,FALSE),VLOOKUP($A36,'ESA Calculations 2425'!$A$4:$AE$37,6,FALSE))*Apport_222A2425,3)</f>
        <v>0.82499999999999996</v>
      </c>
      <c r="G36">
        <f>ROUND(IF(VLOOKUP($A36,EnrollData2324,'2324 Jun 24 Enroll'!G$1,FALSE)=VLOOKUP($A36,'ESA Calculations 2425'!$A$4:$AE$37,7,FALSE),VLOOKUP($A36,EnrollData2324,'2324 Jun 24 Enroll'!G$1,FALSE),VLOOKUP($A36,'ESA Calculations 2425'!$A$4:$AE$37,7,FALSE))*Apport_210A2425,3)</f>
        <v>2.4420000000000002</v>
      </c>
      <c r="H36">
        <f>ROUND(IF(VLOOKUP($A36,EnrollData2324,'2324 Jun 24 Enroll'!H$1,FALSE)=VLOOKUP($A36,'ESA Calculations 2425'!$A$4:$AE$37,8,FALSE),VLOOKUP($A36,EnrollData2324,'2324 Jun 24 Enroll'!H$1,FALSE),VLOOKUP($A36,'ESA Calculations 2425'!$A$4:$AE$37,8,FALSE))*Apport_213A2425,3)</f>
        <v>2.056</v>
      </c>
      <c r="I36">
        <f>ROUND(IF(VLOOKUP($A36,EnrollData2324,'2324 Jun 24 Enroll'!I$1,FALSE)+VLOOKUP($A36,EnrollData2324,'2324 Jun 24 Enroll'!M$1,FALSE)-VLOOKUP($A36,EnrollData2324,'2324 Jun 24 Enroll'!J$1,FALSE)=VLOOKUP($A36,'ESA Calculations 2425'!$A$4:$AE$37,9,FALSE)+VLOOKUP($A36,'ESA Calculations 2425'!$A$4:$AE$37,18,FALSE)-VLOOKUP($A36,'ESA Calculations 2425'!$A$4:$AE$37,10,FALSE),VLOOKUP($A36,EnrollData2324,'2324 Jun 24 Enroll'!I$1,FALSE)+VLOOKUP($A36,EnrollData2324,'2324 Jun 24 Enroll'!M$1,FALSE)-VLOOKUP($A36,EnrollData2324,'2324 Jun 24 Enroll'!J$1,FALSE),VLOOKUP($A36,'ESA Calculations 2425'!$A$4:$AE$37,9,FALSE)+VLOOKUP($A36,'ESA Calculations 2425'!$A$4:$AE$37,18,FALSE)-VLOOKUP($A36,'ESA Calculations 2425'!$A$4:$AE$37,10,FALSE))*Apport_216A2425,3)</f>
        <v>4.7919999999999998</v>
      </c>
      <c r="J36">
        <f>ROUND(SUM(D36:I36)/IF(VLOOKUP($A36,EnrollData2324,'2324 Jun 24 Enroll'!M$1,FALSE)+VLOOKUP($A36,EnrollData2324,'2324 Jun 24 Enroll'!D$1,FALSE)=VLOOKUP($A36,'ESA Calculations 2425'!$A$4:$AE$37,18,FALSE)+VLOOKUP($A36,'ESA Calculations 2425'!$A$4:$AE$37,4,FALSE),VLOOKUP($A36,EnrollData2324,'2324 Jun 24 Enroll'!M$1,FALSE)+VLOOKUP($A36,EnrollData2324,'2324 Jun 24 Enroll'!D$1,FALSE),VLOOKUP($A36,'ESA Calculations 2425'!$A$4:$AE$37,18,FALSE)+VLOOKUP($A36,'ESA Calculations 2425'!$A$4:$AE$37,4,FALSE)),5)</f>
        <v>5.6989999999999999E-2</v>
      </c>
      <c r="K36" s="11">
        <f t="shared" si="1"/>
        <v>4.3779999999999999E-3</v>
      </c>
      <c r="L36">
        <f>ROUND(IF(VLOOKUP($A36,EnrollData2324,'2324 Jun 24 Enroll'!D$1,FALSE)=VLOOKUP($A36,'ESA Calculations 2425'!$A$4:$AE$37,4,FALSE),VLOOKUP($A36,EnrollData2324,'2324 Jun 24 Enroll'!D$1,FALSE),VLOOKUP($A36,'ESA Calculations 2425'!$A$4:$AE$37,4,FALSE))*K36,3)</f>
        <v>0</v>
      </c>
      <c r="M36">
        <f>ROUND(IF(VLOOKUP($A36,EnrollData2324,'2324 Jun 24 Enroll'!E$1,FALSE)=VLOOKUP($A36,'ESA Calculations 2425'!$A$4:$AE$37,5,FALSE),VLOOKUP($A36,EnrollData2324,'2324 Jun 24 Enroll'!E$1,FALSE),VLOOKUP($A36,'ESA Calculations 2425'!$A$4:$AE$37,5,FALSE))*K36,3)</f>
        <v>0.35499999999999998</v>
      </c>
      <c r="N36">
        <f>ROUND(IF(VLOOKUP($A36,EnrollData2324,'2324 Jun 24 Enroll'!F$1,FALSE)=VLOOKUP($A36,'ESA Calculations 2425'!$A$4:$AE$37,6,FALSE),VLOOKUP($A36,EnrollData2324,'2324 Jun 24 Enroll'!F$1,FALSE),VLOOKUP($A36,'ESA Calculations 2425'!$A$4:$AE$37,6,FALSE))*Apport_223A2425,3)</f>
        <v>6.8000000000000005E-2</v>
      </c>
      <c r="O36">
        <f>ROUND(IF(VLOOKUP($A36,EnrollData2324,'2324 Jun 24 Enroll'!G$1,FALSE)=VLOOKUP($A36,'ESA Calculations 2425'!$A$4:$AE$37,7,FALSE),VLOOKUP($A36,EnrollData2324,'2324 Jun 24 Enroll'!G$1,FALSE),VLOOKUP($A36,'ESA Calculations 2425'!$A$4:$AE$37,7,FALSE))*Apport_211A2425,3)</f>
        <v>0.2</v>
      </c>
      <c r="P36">
        <f>ROUND(IF(VLOOKUP($A36,EnrollData2324,'2324 Jun 24 Enroll'!H$1,FALSE)=VLOOKUP($A36,'ESA Calculations 2425'!$A$4:$AE$37,8,FALSE),VLOOKUP($A36,EnrollData2324,'2324 Jun 24 Enroll'!H$1,FALSE),VLOOKUP($A36,'ESA Calculations 2425'!$A$4:$AE$37,8,FALSE))*Apport_214A2425,3)</f>
        <v>0.16800000000000001</v>
      </c>
      <c r="Q36">
        <f>ROUND(IF(VLOOKUP($A36,EnrollData2324,'2324 Jun 24 Enroll'!I$1,FALSE)+VLOOKUP($A36,EnrollData2324,'2324 Jun 24 Enroll'!M$1,FALSE)-VLOOKUP($A36,EnrollData2324,'2324 Jun 24 Enroll'!J$1,FALSE)=VLOOKUP($A36,'ESA Calculations 2425'!$A$4:$AE$37,9,FALSE)+VLOOKUP($A36,'ESA Calculations 2425'!$A$4:$AE$37,18,FALSE)-VLOOKUP($A36,'ESA Calculations 2425'!$A$4:$AE$37,10,FALSE),VLOOKUP($A36,EnrollData2324,'2324 Jun 24 Enroll'!I$1,FALSE)+VLOOKUP($A36,EnrollData2324,'2324 Jun 24 Enroll'!M$1,FALSE)-VLOOKUP($A36,EnrollData2324,'2324 Jun 24 Enroll'!J$1,FALSE),VLOOKUP($A36,'ESA Calculations 2425'!$A$4:$AE$37,9,FALSE)+VLOOKUP($A36,'ESA Calculations 2425'!$A$4:$AE$37,18,FALSE)-VLOOKUP($A36,'ESA Calculations 2425'!$A$4:$AE$37,10,FALSE))*Apport_217A2425,3)</f>
        <v>0.38200000000000001</v>
      </c>
      <c r="R36">
        <f>ROUND(SUM(L36:Q36)/IF(VLOOKUP($A36,EnrollData2324,'2324 Jun 24 Enroll'!M$1,FALSE)+VLOOKUP($A36,EnrollData2324,'2324 Jun 24 Enroll'!D$1,FALSE)=VLOOKUP($A36,'ESA Calculations 2425'!$A$4:$AE$37,18,FALSE)+VLOOKUP($A36,'ESA Calculations 2425'!$A$4:$AE$37,4,FALSE),VLOOKUP($A36,EnrollData2324,'2324 Jun 24 Enroll'!M$1,FALSE)+VLOOKUP($A36,EnrollData2324,'2324 Jun 24 Enroll'!D$1,FALSE),VLOOKUP($A36,'ESA Calculations 2425'!$A$4:$AE$37,18,FALSE)+VLOOKUP($A36,'ESA Calculations 2425'!$A$4:$AE$37,4,FALSE)),5)</f>
        <v>4.15E-3</v>
      </c>
      <c r="S36" s="11">
        <f t="shared" si="2"/>
        <v>1.8712300000000001E-2</v>
      </c>
      <c r="T36">
        <f>ROUND(IF(VLOOKUP($A36,EnrollData2324,'2324 Jun 24 Enroll'!D$1,FALSE)=VLOOKUP($A36,'ESA Calculations 2425'!$A$4:$AE$37,4,FALSE),VLOOKUP($A36,EnrollData2324,'2324 Jun 24 Enroll'!D$1,FALSE),VLOOKUP($A36,'ESA Calculations 2425'!$A$4:$AE$37,4,FALSE))*S36,3)</f>
        <v>0</v>
      </c>
      <c r="U36">
        <f>ROUND(IF(VLOOKUP($A36,EnrollData2324,'2324 Jun 24 Enroll'!E$1,FALSE)=VLOOKUP($A36,'ESA Calculations 2425'!$A$4:$AE$37,5,FALSE),VLOOKUP($A36,EnrollData2324,'2324 Jun 24 Enroll'!E$1,FALSE),VLOOKUP($A36,'ESA Calculations 2425'!$A$4:$AE$37,5,FALSE))*S36,3)</f>
        <v>1.5189999999999999</v>
      </c>
      <c r="V36">
        <f>ROUND(IF(VLOOKUP($A36,EnrollData2324,'2324 Jun 24 Enroll'!F$1,FALSE)=VLOOKUP($A36,'ESA Calculations 2425'!$A$4:$AE$37,6,FALSE),VLOOKUP($A36,EnrollData2324,'2324 Jun 24 Enroll'!F$1,FALSE),VLOOKUP($A36,'ESA Calculations 2425'!$A$4:$AE$37,6,FALSE))*Apport_224A2425,3)</f>
        <v>0.29599999999999999</v>
      </c>
      <c r="W36">
        <f>ROUND(IF(VLOOKUP($A36,EnrollData2324,'2324 Jun 24 Enroll'!G$1,FALSE)=VLOOKUP($A36,'ESA Calculations 2425'!$A$4:$AE$37,7,FALSE),VLOOKUP($A36,EnrollData2324,'2324 Jun 24 Enroll'!G$1,FALSE),VLOOKUP($A36,'ESA Calculations 2425'!$A$4:$AE$37,7,FALSE))*Apport_212A2425,3)</f>
        <v>0.877</v>
      </c>
      <c r="X36">
        <f>ROUND(IF(VLOOKUP($A36,EnrollData2324,'2324 Jun 24 Enroll'!H$1,FALSE)=VLOOKUP($A36,'ESA Calculations 2425'!$A$4:$AE$37,8,FALSE),VLOOKUP($A36,EnrollData2324,'2324 Jun 24 Enroll'!H$1,FALSE),VLOOKUP($A36,'ESA Calculations 2425'!$A$4:$AE$37,8,FALSE))*Apport_215A2425,3)</f>
        <v>0.72599999999999998</v>
      </c>
      <c r="Y36">
        <f>ROUND(IF(VLOOKUP($A36,EnrollData2324,'2324 Jun 24 Enroll'!I$1,FALSE)+VLOOKUP($A36,EnrollData2324,'2324 Jun 24 Enroll'!M$1,FALSE)-VLOOKUP($A36,EnrollData2324,'2324 Jun 24 Enroll'!J$1,FALSE)=VLOOKUP($A36,'ESA Calculations 2425'!$A$4:$AE$37,9,FALSE)+VLOOKUP($A36,'ESA Calculations 2425'!$A$4:$AE$37,18,FALSE)-VLOOKUP($A36,'ESA Calculations 2425'!$A$4:$AE$37,10,FALSE),VLOOKUP($A36,EnrollData2324,'2324 Jun 24 Enroll'!I$1,FALSE)+VLOOKUP($A36,EnrollData2324,'2324 Jun 24 Enroll'!M$1,FALSE)-VLOOKUP($A36,EnrollData2324,'2324 Jun 24 Enroll'!J$1,FALSE),VLOOKUP($A36,'ESA Calculations 2425'!$A$4:$AE$37,9,FALSE)+VLOOKUP($A36,'ESA Calculations 2425'!$A$4:$AE$37,18,FALSE)-VLOOKUP($A36,'ESA Calculations 2425'!$A$4:$AE$37,10,FALSE))*Apport_218A2425,3)</f>
        <v>1.6439999999999999</v>
      </c>
      <c r="Z36">
        <f>ROUND(SUM(T36:Y36)/IF(VLOOKUP($A36,EnrollData2324,'2324 Jun 24 Enroll'!M$1,FALSE)+VLOOKUP($A36,EnrollData2324,'2324 Jun 24 Enroll'!D$1,FALSE)=VLOOKUP($A36,'ESA Calculations 2425'!$A$4:$AE$37,18,FALSE)+VLOOKUP($A36,'ESA Calculations 2425'!$A$4:$AE$37,4,FALSE),VLOOKUP($A36,EnrollData2324,'2324 Jun 24 Enroll'!M$1,FALSE)+VLOOKUP($A36,EnrollData2324,'2324 Jun 24 Enroll'!D$1,FALSE),VLOOKUP($A36,'ESA Calculations 2425'!$A$4:$AE$37,18,FALSE)+VLOOKUP($A36,'ESA Calculations 2425'!$A$4:$AE$37,4,FALSE)),5)</f>
        <v>1.789E-2</v>
      </c>
      <c r="AA36" s="6">
        <f>ROUND($J36*CIS_Base_Salary2425*VLOOKUP($A36,EnrollData2324,'2324 Jun 24 Enroll'!AH$1,FALSE),2)</f>
        <v>4298.13</v>
      </c>
      <c r="AB36" s="6">
        <f>ROUND($J36*CIS_Inc_Salary2425*(VLOOKUP($A36,EnrollData2324,'2324 Jun 24 Enroll'!AI$1,FALSE)+VLOOKUP($A36,EnrollData2324,'2324 Jun 24 Enroll'!AJ$1,FALSE)),2)-AA36</f>
        <v>159</v>
      </c>
      <c r="AC36" s="6" cm="1">
        <f t="array" ref="AC36">ROUND($R36*CAS_Base_Salary2425*VLOOKUP($A36,EnrollData2324,'2324 Jun 24 Enroll'!AH$1,FALSE),2)</f>
        <v>464.59</v>
      </c>
      <c r="AD36" s="6">
        <f>ROUND($R36*CAS_Inc_Salary2425*VLOOKUP($A36,EnrollData2324,'2324 Jun 24 Enroll'!AI$1,FALSE),2)-AC36</f>
        <v>17.189999999999998</v>
      </c>
      <c r="AE36" s="6">
        <f>ROUND($Z36*CLS_Base_Salary2425*VLOOKUP($A36,EnrollData2324,'2324 Jun 24 Enroll'!AH$1,FALSE),2)</f>
        <v>967.9</v>
      </c>
      <c r="AF36" s="6">
        <f>ROUND($Z36*CLS_Inc_Salary2425*VLOOKUP($A36,EnrollData2324,'2324 Jun 24 Enroll'!AI$1,FALSE),2)-AE36</f>
        <v>35.82000000000005</v>
      </c>
      <c r="AG36" cm="1">
        <f t="array" ref="AG36">ROUND(($J36+$R36)*Apport_124X2425,2)</f>
        <v>807.05</v>
      </c>
      <c r="AH36" s="69" cm="1">
        <f t="array" ref="AH36">ROUND(($J36+$R36)*Apport_621X2425*Apport_125XC2425,2)-AG36</f>
        <v>74.509999999999991</v>
      </c>
      <c r="AI36" cm="1">
        <f t="array" ref="AI36">ROUND($Z36*Apport_124X2425,2)</f>
        <v>236.15</v>
      </c>
      <c r="AJ36">
        <f t="shared" si="3"/>
        <v>125.48999999999998</v>
      </c>
      <c r="AK36">
        <f t="shared" si="4"/>
        <v>864.43</v>
      </c>
      <c r="AL36">
        <f t="shared" si="5"/>
        <v>30.85</v>
      </c>
      <c r="AM36">
        <f t="shared" si="6"/>
        <v>209.65</v>
      </c>
      <c r="AN36">
        <f t="shared" si="7"/>
        <v>6.5</v>
      </c>
      <c r="AO36">
        <f>ROUND(($J36*CIS_Inc_Salary2425*(VLOOKUP($A36,EnrollData2324,'2324 Jun 24 Enroll'!AI$1,FALSE)+VLOOKUP($A36,EnrollData2324,'2324 Jun 24 Enroll'!AJ$1,FALSE))/Apport_613Xpd)*Apport_614Xpd,2)</f>
        <v>74.290000000000006</v>
      </c>
      <c r="AP36">
        <f t="shared" si="8"/>
        <v>13.01</v>
      </c>
      <c r="AQ36">
        <f t="shared" si="11"/>
        <v>31.74</v>
      </c>
      <c r="AR36" s="6">
        <f>ROUND((IF(VLOOKUP($A36,EnrollData2324,'2324 Jun 24 Enroll'!D$1,FALSE)=VLOOKUP($A36,'ESA Calculations 2425'!$A$4:$AE$37,4,FALSE),VLOOKUP($A36,EnrollData2324,'2324 Jun 24 Enroll'!D$1,FALSE),VLOOKUP($A36,'ESA Calculations 2425'!$A$4:$AE$37,4,FALSE))*Apport_M802425+IF(VLOOKUP($A36,EnrollData2324,'2324 Jun 24 Enroll'!M$1,FALSE)=VLOOKUP($A36,'ESA Calculations 2425'!$A$4:$AE$37,18,FALSE),VLOOKUP($A36,EnrollData2324,'2324 Jun 24 Enroll'!M$1,FALSE),VLOOKUP($A36,'ESA Calculations 2425'!$A$4:$AE$37,18,FALSE))*Apport_M802425+IF((VLOOKUP($A36,EnrollData2324,'2324 Jun 24 Enroll'!P$1,FALSE)+VLOOKUP($A36,EnrollData2324,'2324 Jun 24 Enroll'!Q$1,FALSE)+VLOOKUP($A36,EnrollData2324,'2324 Jun 24 Enroll'!R$1,FALSE)+VLOOKUP($A36,EnrollData2324,'2324 Jun 24 Enroll'!I$1,FALSE)+VLOOKUP($A36,EnrollData2324,'2324 Jun 24 Enroll'!N$1,FALSE)+VLOOKUP($A36,EnrollData2324,'2324 Jun 24 Enroll'!O$1,FALSE)+VLOOKUP($A36,EnrollData2324,'2324 Jun 24 Enroll'!K$1,FALSE)+VLOOKUP($A36,EnrollData2324,'2324 Jun 24 Enroll'!L$1,FALSE))=VLOOKUP($A36,EnrollData2324,'2324 Jun 24 Enroll'!P$1,FALSE)+VLOOKUP($A36,EnrollData2324,'2324 Jun 24 Enroll'!Q$1,FALSE)+VLOOKUP($A36,EnrollData2324,'2324 Jun 24 Enroll'!R$1,FALSE)+VLOOKUP($A36,EnrollData2324,'2324 Jun 24 Enroll'!I$1,FALSE)+VLOOKUP($A36,EnrollData2324,'2324 Jun 24 Enroll'!N$1,FALSE)+VLOOKUP($A36,EnrollData2324,'2324 Jun 24 Enroll'!O$1,FALSE)+VLOOKUP($A36,EnrollData2324,'2324 Jun 24 Enroll'!K$1,FALSE)+VLOOKUP($A36,EnrollData2324,'2324 Jun 24 Enroll'!L$1,FALSE),(VLOOKUP($A36,EnrollData2324,'2324 Jun 24 Enroll'!P$1,FALSE)+VLOOKUP($A36,EnrollData2324,'2324 Jun 24 Enroll'!Q$1,FALSE)+VLOOKUP($A36,EnrollData2324,'2324 Jun 24 Enroll'!R$1,FALSE)+VLOOKUP($A36,EnrollData2324,'2324 Jun 24 Enroll'!I$1,FALSE)+VLOOKUP($A36,EnrollData2324,'2324 Jun 24 Enroll'!N$1,FALSE)+VLOOKUP($A36,EnrollData2324,'2324 Jun 24 Enroll'!O$1,FALSE)+VLOOKUP($A36,EnrollData2324,'2324 Jun 24 Enroll'!K$1,FALSE)+VLOOKUP($A36,EnrollData2324,'2324 Jun 24 Enroll'!L$1,FALSE)),(VLOOKUP($A36,EnrollData2324,'2324 Jun 24 Enroll'!P$1,FALSE)+VLOOKUP($A36,EnrollData2324,'2324 Jun 24 Enroll'!Q$1,FALSE)+VLOOKUP($A36,EnrollData2324,'2324 Jun 24 Enroll'!R$1,FALSE)+VLOOKUP($A36,EnrollData2324,'2324 Jun 24 Enroll'!I$1,FALSE)+VLOOKUP($A36,EnrollData2324,'2324 Jun 24 Enroll'!N$1,FALSE)+VLOOKUP($A36,EnrollData2324,'2324 Jun 24 Enroll'!O$1,FALSE)+VLOOKUP($A36,EnrollData2324,'2324 Jun 24 Enroll'!K$1,FALSE)+VLOOKUP($A36,EnrollData2324,'2324 Jun 24 Enroll'!L$1,FALSE)))*Apport_M812425)/(IF(VLOOKUP($A36,EnrollData2324,'2324 Jun 24 Enroll'!M$1,FALSE)=VLOOKUP($A36,'ESA Calculations 2425'!$A$4:$AE$37,18,FALSE),VLOOKUP($A36,EnrollData2324,'2324 Jun 24 Enroll'!M$1,FALSE),VLOOKUP($A36,'ESA Calculations 2425'!$A$4:$AE$37,18,FALSE))+IF(VLOOKUP($A36,EnrollData2324,'2324 Jun 24 Enroll'!D$1,FALSE)=VLOOKUP($A36,'ESA Calculations 2425'!$A$4:$AE$37,4,FALSE),VLOOKUP($A36,EnrollData2324,'2324 Jun 24 Enroll'!D$1,FALSE),VLOOKUP($A36,'ESA Calculations 2425'!$A$4:$AE$37,4,FALSE))),2)</f>
        <v>1600.92</v>
      </c>
      <c r="AS36" s="7">
        <f t="shared" si="12"/>
        <v>10017.220000000001</v>
      </c>
      <c r="AT36" s="6">
        <f>IF(VLOOKUP($A36,EnrollData2324,'2324 Jun 24 Enroll'!AA$1,FALSE)=VLOOKUP($A36,'ESA Calculations 2425'!$A$4:$AE$37,24,FALSE),VLOOKUP($A36,EnrollData2324,'2324 Jun 24 Enroll'!AA$1,FALSE),VLOOKUP($A36,'ESA Calculations 2425'!$A$4:$AE$37,24,FALSE))</f>
        <v>287.66000000000003</v>
      </c>
    </row>
    <row r="37" spans="1:48" s="15" customFormat="1">
      <c r="A37" s="52" t="s">
        <v>1023</v>
      </c>
      <c r="B37" s="52" t="s">
        <v>1024</v>
      </c>
      <c r="C37" s="33"/>
      <c r="K37" s="33"/>
      <c r="S37" s="33"/>
      <c r="AA37" s="50"/>
      <c r="AB37" s="50"/>
      <c r="AC37" s="50"/>
      <c r="AD37" s="50"/>
      <c r="AE37" s="50"/>
      <c r="AF37" s="50"/>
      <c r="AR37" s="50"/>
      <c r="AS37" s="57">
        <f>ROUND(SUMPRODUCT($AT4:$AT36,AS4:AS36)/$AT37,2)</f>
        <v>10013.84</v>
      </c>
      <c r="AT37" s="53">
        <f>SUM(AT4:AT36)</f>
        <v>14006.06</v>
      </c>
      <c r="AU37" s="52"/>
      <c r="AV37" s="52"/>
    </row>
    <row r="38" spans="1:48">
      <c r="A38" s="40" t="s">
        <v>859</v>
      </c>
      <c r="B38" s="40" t="s">
        <v>860</v>
      </c>
      <c r="C38" s="11">
        <f>ROUND((IFERROR((1/IF(VLOOKUP($A38,EnrollData2324,28,FALSE)='District Calculations'!$F$10,VLOOKUP($A38,EnrollData2324,28,FALSE),'District Calculations'!$F$10))*(1+Apport_Z315),0))+Apport_201A2425,6)</f>
        <v>7.4580999999999995E-2</v>
      </c>
      <c r="D38">
        <f>ROUND(IF(VLOOKUP($A38,EnrollData2324,'2324 Jun 24 Enroll'!D$1,FALSE)='District Calculations'!$F$11,VLOOKUP($A38,EnrollData2324,'2324 Jun 24 Enroll'!D$1,FALSE),'District Calculations'!$F$11)*C38,3)</f>
        <v>0</v>
      </c>
      <c r="E38">
        <f>ROUND(IF(VLOOKUP($A38,EnrollData2324,'2324 Jun 24 Enroll'!E$1,FALSE)='District Calculations'!$F$12,VLOOKUP($A38,EnrollData2324,'2324 Jun 24 Enroll'!E$1,FALSE),'District Calculations'!$F$12)*C38,3)</f>
        <v>60.447000000000003</v>
      </c>
      <c r="F38">
        <f>ROUND(IF(VLOOKUP($A38,EnrollData2324,'2324 Jun 24 Enroll'!F$1,FALSE)='District Calculations'!$F$13,VLOOKUP($A38,EnrollData2324,'2324 Jun 24 Enroll'!F$1,FALSE),'District Calculations'!$F$13)*Apport_222A2425,3)</f>
        <v>10.337999999999999</v>
      </c>
      <c r="G38">
        <f>ROUND(IF(VLOOKUP($A38,EnrollData2324,'2324 Jun 24 Enroll'!G$1,FALSE)='District Calculations'!$F$14,VLOOKUP($A38,EnrollData2324,'2324 Jun 24 Enroll'!G$1,FALSE),'District Calculations'!$F$14)*Apport_210A2425,3)</f>
        <v>22.92</v>
      </c>
      <c r="H38">
        <f>ROUND(IF(VLOOKUP($A38,EnrollData2324,'2324 Jun 24 Enroll'!H$1,FALSE)='District Calculations'!$F$15,VLOOKUP($A38,EnrollData2324,'2324 Jun 24 Enroll'!H$1,FALSE),'District Calculations'!$F$15)*Apport_213A2425,3)</f>
        <v>23.619</v>
      </c>
      <c r="I38">
        <f>ROUND(IF(VLOOKUP($A38,EnrollData2324,'2324 Jun 24 Enroll'!I$1,FALSE)+VLOOKUP($A38,EnrollData2324,'2324 Jun 24 Enroll'!M$1,FALSE)-VLOOKUP($A38,EnrollData2324,'2324 Jun 24 Enroll'!J$1,FALSE)='District Calculations'!$F$16+'District Calculations'!$F$25-'District Calculations'!$F$17,VLOOKUP($A38,EnrollData2324,'2324 Jun 24 Enroll'!I$1,FALSE)+VLOOKUP($A38,EnrollData2324,'2324 Jun 24 Enroll'!M$1,FALSE)-VLOOKUP($A38,EnrollData2324,'2324 Jun 24 Enroll'!J$1,FALSE),'District Calculations'!$F$16+'District Calculations'!$F$25-'District Calculations'!$F$17)*Apport_216A2425,3)</f>
        <v>59.057000000000002</v>
      </c>
      <c r="J38">
        <f>ROUND(SUM(D38:I38)/(IF(VLOOKUP($A38,EnrollData2324,'2324 Jun 24 Enroll'!M$1,FALSE)='District Calculations'!$F$25,VLOOKUP($A38,EnrollData2324,'2324 Jun 24 Enroll'!M$1,FALSE),'District Calculations'!$F$25)+IF(VLOOKUP($A38,EnrollData2324,'2324 Jun 24 Enroll'!D$1,FALSE)='District Calculations'!$F$11,VLOOKUP($A38,EnrollData2324,'2324 Jun 24 Enroll'!D$1,FALSE),'District Calculations'!$F$11)),5)</f>
        <v>5.6520000000000001E-2</v>
      </c>
      <c r="K38" s="11">
        <f t="shared" ref="K38:K98" si="13">ROUND(((($C38+Apport_203A2425+Apport_202A2425)*Apport_557X)*Apport_558X)+Apport_202A2425,6)</f>
        <v>4.385E-3</v>
      </c>
      <c r="L38">
        <f>ROUND(IF(VLOOKUP($A38,EnrollData2324,'2324 Jun 24 Enroll'!D$1,FALSE)='District Calculations'!$F$11,VLOOKUP($A38,EnrollData2324,'2324 Jun 24 Enroll'!D$1,FALSE),'District Calculations'!$F$11)*K38,3)</f>
        <v>0</v>
      </c>
      <c r="M38">
        <f>ROUND(IF(VLOOKUP($A38,EnrollData2324,'2324 Jun 24 Enroll'!E$1,FALSE)='District Calculations'!$F$12,VLOOKUP($A38,EnrollData2324,'2324 Jun 24 Enroll'!E$1,FALSE),'District Calculations'!$F$12)*K38,3)</f>
        <v>3.5539999999999998</v>
      </c>
      <c r="N38">
        <f>ROUND(IF(VLOOKUP($A38,EnrollData2324,'2324 Jun 24 Enroll'!F$1,FALSE)='District Calculations'!$F$13,VLOOKUP($A38,EnrollData2324,'2324 Jun 24 Enroll'!F$1,FALSE),'District Calculations'!$F$13)*Apport_223A2425,3)</f>
        <v>0.84599999999999997</v>
      </c>
      <c r="O38">
        <f>ROUND(IF(VLOOKUP($A38,EnrollData2324,'2324 Jun 24 Enroll'!G$1,FALSE)='District Calculations'!$F$14,VLOOKUP($A38,EnrollData2324,'2324 Jun 24 Enroll'!G$1,FALSE),'District Calculations'!$F$14)*Apport_211A2425,3)</f>
        <v>1.877</v>
      </c>
      <c r="P38">
        <f>ROUND(IF(VLOOKUP($A38,EnrollData2324,'2324 Jun 24 Enroll'!H$1,FALSE)='District Calculations'!$F$14,VLOOKUP($A38,EnrollData2324,'2324 Jun 24 Enroll'!H$1,FALSE),'District Calculations'!$F$14)*Apport_214A2425,3)</f>
        <v>1.875</v>
      </c>
      <c r="Q38">
        <f>ROUND(IF(VLOOKUP($A38,EnrollData2324,'2324 Jun 24 Enroll'!I$1,FALSE)+VLOOKUP($A38,EnrollData2324,'2324 Jun 24 Enroll'!M$1,FALSE)-VLOOKUP($A38,EnrollData2324,'2324 Jun 24 Enroll'!J$1,FALSE)='District Calculations'!$F$16+'District Calculations'!$F$25-'District Calculations'!$F$17,VLOOKUP($A38,EnrollData2324,'2324 Jun 24 Enroll'!I$1,FALSE)+VLOOKUP($A38,EnrollData2324,'2324 Jun 24 Enroll'!M$1,FALSE)-VLOOKUP($A38,EnrollData2324,'2324 Jun 24 Enroll'!J$1,FALSE),'District Calculations'!$F$16+'District Calculations'!$F$25-'District Calculations'!$F$17)*Apport_217A2425,3)</f>
        <v>4.7130000000000001</v>
      </c>
      <c r="R38">
        <f>ROUND(SUM(L38:Q38)/IF(VLOOKUP($A38,EnrollData2324,'2324 Jun 24 Enroll'!M$1,FALSE)+VLOOKUP($A38,EnrollData2324,'2324 Jun 24 Enroll'!D$1,FALSE)='District Calculations'!$F$25+'District Calculations'!$F$11,VLOOKUP($A38,EnrollData2324,'2324 Jun 24 Enroll'!M$1,FALSE)+VLOOKUP($A38,EnrollData2324,'2324 Jun 24 Enroll'!D$1,FALSE),'District Calculations'!$F$25+'District Calculations'!$F$11),5)</f>
        <v>4.1200000000000004E-3</v>
      </c>
      <c r="S38" s="11">
        <f t="shared" ref="S38:S98" si="14">ROUND(((($C38+Apport_203A2425+Apport_202A2425)*Apport_557X)*Apport_559X)+Apport_203A2425,7)</f>
        <v>1.8734299999999999E-2</v>
      </c>
      <c r="T38">
        <f>ROUND(IF(VLOOKUP($A38,EnrollData2324,'2324 Jun 24 Enroll'!D$1,FALSE)='District Calculations'!$F$11,VLOOKUP($A38,EnrollData2324,'2324 Jun 24 Enroll'!D$1,FALSE),'District Calculations'!$F$11)*S38,3)</f>
        <v>0</v>
      </c>
      <c r="U38">
        <f>ROUND(IF(VLOOKUP($A38,EnrollData2324,'2324 Jun 24 Enroll'!E$1,FALSE)='District Calculations'!$F$12,VLOOKUP($A38,EnrollData2324,'2324 Jun 24 Enroll'!E$1,FALSE),'District Calculations'!$F$12)*S38,3)</f>
        <v>15.183999999999999</v>
      </c>
      <c r="V38">
        <f>ROUND(IF(VLOOKUP($A38,EnrollData2324,'2324 Jun 24 Enroll'!F$1,FALSE)='District Calculations'!$F$13,VLOOKUP($A38,EnrollData2324,'2324 Jun 24 Enroll'!F$1,FALSE),'District Calculations'!$F$13)*Apport_224A2425,3)</f>
        <v>3.7109999999999999</v>
      </c>
      <c r="W38">
        <f>ROUND(IF(VLOOKUP($A38,EnrollData2324,'2324 Jun 24 Enroll'!G$1,FALSE)='District Calculations'!$F$14,VLOOKUP($A38,EnrollData2324,'2324 Jun 24 Enroll'!G$1,FALSE),'District Calculations'!$F$14)*Apport_212A2425,3)</f>
        <v>8.2279999999999998</v>
      </c>
      <c r="X38">
        <f>ROUND(IF(VLOOKUP($A38,EnrollData2324,'2324 Jun 24 Enroll'!H$1,FALSE)='District Calculations'!$F$14,VLOOKUP($A38,EnrollData2324,'2324 Jun 24 Enroll'!H$1,FALSE),'District Calculations'!$F$14)*Apport_215A2425,3)</f>
        <v>8.1180000000000003</v>
      </c>
      <c r="Y38">
        <f>ROUND(IF(VLOOKUP($A38,EnrollData2324,'2324 Jun 24 Enroll'!I$1,FALSE)+VLOOKUP($A38,EnrollData2324,'2324 Jun 24 Enroll'!M$1,FALSE)-VLOOKUP($A38,EnrollData2324,'2324 Jun 24 Enroll'!J$1,FALSE)='District Calculations'!$F$16+'District Calculations'!$F$25-'District Calculations'!$F$17,VLOOKUP($A38,EnrollData2324,'2324 Jun 24 Enroll'!I$1,FALSE)+VLOOKUP($A38,EnrollData2324,'2324 Jun 24 Enroll'!M$1,FALSE)-VLOOKUP($A38,EnrollData2324,'2324 Jun 24 Enroll'!J$1,FALSE),'District Calculations'!$F$16+'District Calculations'!$F$25-'District Calculations'!$F$17)*Apport_218A2425,3)</f>
        <v>20.257999999999999</v>
      </c>
      <c r="Z38">
        <f>ROUND(SUM(T38:Y38)/IF(VLOOKUP($A38,EnrollData2324,'2324 Jun 24 Enroll'!M$1,FALSE)+VLOOKUP($A38,EnrollData2324,'2324 Jun 24 Enroll'!D$1,FALSE)='District Calculations'!$F$25+'District Calculations'!$F$11,VLOOKUP($A38,EnrollData2324,'2324 Jun 24 Enroll'!M$1,FALSE)+VLOOKUP($A38,EnrollData2324,'2324 Jun 24 Enroll'!D$1,FALSE),'District Calculations'!$F$25+'District Calculations'!$F$11),5)</f>
        <v>1.7780000000000001E-2</v>
      </c>
      <c r="AA38" s="6">
        <f>ROUND($J38*CIS_Base_Salary2425*VLOOKUP($A38,EnrollData2324,'2324 Jun 24 Enroll'!AH$1,FALSE),2)</f>
        <v>4262.68</v>
      </c>
      <c r="AB38" s="6">
        <f>ROUND($J38*CIS_Inc_Salary2425*(VLOOKUP($A38,EnrollData2324,'2324 Jun 24 Enroll'!AI$1,FALSE)+VLOOKUP($A38,EnrollData2324,'2324 Jun 24 Enroll'!AJ$1,FALSE)),2)-AA38</f>
        <v>157.6899999999996</v>
      </c>
      <c r="AC38" s="6" cm="1">
        <f t="array" ref="AC38">ROUND($R38*CAS_Base_Salary2425*VLOOKUP($A38,EnrollData2324,'2324 Jun 24 Enroll'!AH$1,FALSE),2)</f>
        <v>461.23</v>
      </c>
      <c r="AD38" s="6">
        <f>ROUND($R38*CAS_Inc_Salary2425*VLOOKUP($A38,EnrollData2324,'2324 Jun 24 Enroll'!AI$1,FALSE),2)-AC38</f>
        <v>17.069999999999993</v>
      </c>
      <c r="AE38" s="6">
        <f>ROUND($Z38*CLS_Base_Salary2425*VLOOKUP($A38,EnrollData2324,'2324 Jun 24 Enroll'!AH$1,FALSE),2)</f>
        <v>961.95</v>
      </c>
      <c r="AF38" s="6">
        <f>ROUND($Z38*CLS_Inc_Salary2425*VLOOKUP($A38,EnrollData2324,'2324 Jun 24 Enroll'!AI$1,FALSE),2)-AE38</f>
        <v>35.599999999999909</v>
      </c>
      <c r="AG38" cm="1">
        <f t="array" ref="AG38">ROUND(($J38+$R38)*Apport_124X2425,2)</f>
        <v>800.45</v>
      </c>
      <c r="AH38" s="69" cm="1">
        <f t="array" ref="AH38">ROUND(($J38+$R38)*Apport_621X2425*Apport_125XC2425,2)-AG38</f>
        <v>73.899999999999977</v>
      </c>
      <c r="AI38" cm="1">
        <f t="array" ref="AI38">ROUND($Z38*Apport_124X2425,2)</f>
        <v>234.7</v>
      </c>
      <c r="AJ38">
        <f t="shared" ref="AJ38:AJ98" si="15">ROUND($Z38*Apport_621X2425*Apport_125X2425,2)-AI38</f>
        <v>124.71000000000004</v>
      </c>
      <c r="AK38">
        <f t="shared" ref="AK38:AK98" si="16">ROUND((AA38+AC38)*Apport_126X2425,2)</f>
        <v>857.39</v>
      </c>
      <c r="AL38">
        <f t="shared" ref="AL38:AL98" si="17">ROUND((AB38+AD38)*Apport_127X2425,2)</f>
        <v>30.6</v>
      </c>
      <c r="AM38">
        <f t="shared" ref="AM38:AM98" si="18">ROUND(AE38*Apport_128X2425,2)</f>
        <v>208.36</v>
      </c>
      <c r="AN38">
        <f t="shared" ref="AN38:AN98" si="19">ROUND(AF38*Apport_129X2425,2)</f>
        <v>6.46</v>
      </c>
      <c r="AO38">
        <f>ROUND(($J38*CIS_Inc_Salary2425*(VLOOKUP($A38,EnrollData2324,'2324 Jun 24 Enroll'!AI$1,FALSE)+VLOOKUP($A38,EnrollData2324,'2324 Jun 24 Enroll'!AJ$1,FALSE))/Apport_613Xpd)*Apport_614Xpd,2)</f>
        <v>73.67</v>
      </c>
      <c r="AP38">
        <f t="shared" ref="AP38:AP98" si="20">ROUND(AO38*Apport_127X2425,2)</f>
        <v>12.9</v>
      </c>
      <c r="AQ38">
        <f t="shared" ref="AQ38:AQ50" si="21">ROUND((J38*Apport_581X)*(Apport_116X*Apport_132X),2)</f>
        <v>31.48</v>
      </c>
      <c r="AR38" s="6">
        <f>ROUND((VLOOKUP($A38,EnrollData2324,'2324 Jun 24 Enroll'!D$1,FALSE)*Apport_M802425+VLOOKUP($A38,EnrollData2324,'2324 Jun 24 Enroll'!M$1,FALSE)*Apport_M802425+(VLOOKUP($A38,EnrollData2324,'2324 Jun 24 Enroll'!P$1,FALSE)+VLOOKUP($A38,EnrollData2324,'2324 Jun 24 Enroll'!Q$1,FALSE)+VLOOKUP($A38,EnrollData2324,'2324 Jun 24 Enroll'!R$1,FALSE)+VLOOKUP($A38,EnrollData2324,'2324 Jun 24 Enroll'!I$1,FALSE)+VLOOKUP($A38,EnrollData2324,'2324 Jun 24 Enroll'!N$1,FALSE)+VLOOKUP($A38,EnrollData2324,'2324 Jun 24 Enroll'!O$1,FALSE)+VLOOKUP($A38,EnrollData2324,'2324 Jun 24 Enroll'!K$1,FALSE)+VLOOKUP($A38,EnrollData2324,'2324 Jun 24 Enroll'!L$1,FALSE))*Apport_M812425)/(VLOOKUP($A38,EnrollData2324,'2324 Jun 24 Enroll'!M$1,FALSE)+VLOOKUP($A38,EnrollData2324,'2324 Jun 24 Enroll'!D$1,FALSE)),2)</f>
        <v>1620.5</v>
      </c>
      <c r="AS38" s="7">
        <f t="shared" ref="AS38" si="22">SUM(AA38:AR38)</f>
        <v>9971.3399999999983</v>
      </c>
    </row>
    <row r="39" spans="1:48">
      <c r="A39" s="40" t="s">
        <v>337</v>
      </c>
      <c r="B39" s="40" t="s">
        <v>338</v>
      </c>
      <c r="C39" s="11">
        <f>ROUND((IFERROR((1/IF(VLOOKUP($A39,EnrollData2324,28,FALSE)='District Calculations'!$F$10,VLOOKUP($A39,EnrollData2324,28,FALSE),'District Calculations'!$F$10))*(1+Apport_Z315),0))+Apport_201A2425,6)</f>
        <v>7.4580999999999995E-2</v>
      </c>
      <c r="D39">
        <f>ROUND(IF(VLOOKUP($A39,EnrollData2324,'2324 Jun 24 Enroll'!D$1,FALSE)='District Calculations'!$F$11,VLOOKUP($A39,EnrollData2324,'2324 Jun 24 Enroll'!D$1,FALSE),'District Calculations'!$F$11)*C39,3)</f>
        <v>0</v>
      </c>
      <c r="E39">
        <f>ROUND(IF(VLOOKUP($A39,EnrollData2324,'2324 Jun 24 Enroll'!E$1,FALSE)='District Calculations'!$F$12,VLOOKUP($A39,EnrollData2324,'2324 Jun 24 Enroll'!E$1,FALSE),'District Calculations'!$F$12)*C39,3)</f>
        <v>60.447000000000003</v>
      </c>
      <c r="F39">
        <f>ROUND(IF(VLOOKUP($A39,EnrollData2324,'2324 Jun 24 Enroll'!F$1,FALSE)='District Calculations'!$F$13,VLOOKUP($A39,EnrollData2324,'2324 Jun 24 Enroll'!F$1,FALSE),'District Calculations'!$F$13)*Apport_222A2425,3)</f>
        <v>10.337999999999999</v>
      </c>
      <c r="G39">
        <f>ROUND(IF(VLOOKUP($A39,EnrollData2324,'2324 Jun 24 Enroll'!G$1,FALSE)='District Calculations'!$F$14,VLOOKUP($A39,EnrollData2324,'2324 Jun 24 Enroll'!G$1,FALSE),'District Calculations'!$F$14)*Apport_210A2425,3)</f>
        <v>22.92</v>
      </c>
      <c r="H39">
        <f>ROUND(IF(VLOOKUP($A39,EnrollData2324,'2324 Jun 24 Enroll'!H$1,FALSE)='District Calculations'!$F$15,VLOOKUP($A39,EnrollData2324,'2324 Jun 24 Enroll'!H$1,FALSE),'District Calculations'!$F$15)*Apport_213A2425,3)</f>
        <v>23.619</v>
      </c>
      <c r="I39">
        <f>ROUND(IF(VLOOKUP($A39,EnrollData2324,'2324 Jun 24 Enroll'!I$1,FALSE)+VLOOKUP($A39,EnrollData2324,'2324 Jun 24 Enroll'!M$1,FALSE)-VLOOKUP($A39,EnrollData2324,'2324 Jun 24 Enroll'!J$1,FALSE)='District Calculations'!$F$16+'District Calculations'!$F$25-'District Calculations'!$F$17,VLOOKUP($A39,EnrollData2324,'2324 Jun 24 Enroll'!I$1,FALSE)+VLOOKUP($A39,EnrollData2324,'2324 Jun 24 Enroll'!M$1,FALSE)-VLOOKUP($A39,EnrollData2324,'2324 Jun 24 Enroll'!J$1,FALSE),'District Calculations'!$F$16+'District Calculations'!$F$25-'District Calculations'!$F$17)*Apport_216A2425,3)</f>
        <v>59.057000000000002</v>
      </c>
      <c r="J39">
        <f>ROUND(SUM(D39:I39)/(IF(VLOOKUP($A39,EnrollData2324,'2324 Jun 24 Enroll'!M$1,FALSE)='District Calculations'!$F$25,VLOOKUP($A39,EnrollData2324,'2324 Jun 24 Enroll'!M$1,FALSE),'District Calculations'!$F$25)+IF(VLOOKUP($A39,EnrollData2324,'2324 Jun 24 Enroll'!D$1,FALSE)='District Calculations'!$F$11,VLOOKUP($A39,EnrollData2324,'2324 Jun 24 Enroll'!D$1,FALSE),'District Calculations'!$F$11)),5)</f>
        <v>5.6520000000000001E-2</v>
      </c>
      <c r="K39" s="11">
        <f t="shared" si="13"/>
        <v>4.385E-3</v>
      </c>
      <c r="L39">
        <f>ROUND(IF(VLOOKUP($A39,EnrollData2324,'2324 Jun 24 Enroll'!D$1,FALSE)='District Calculations'!$F$11,VLOOKUP($A39,EnrollData2324,'2324 Jun 24 Enroll'!D$1,FALSE),'District Calculations'!$F$11)*K39,3)</f>
        <v>0</v>
      </c>
      <c r="M39">
        <f>ROUND(IF(VLOOKUP($A39,EnrollData2324,'2324 Jun 24 Enroll'!E$1,FALSE)='District Calculations'!$F$12,VLOOKUP($A39,EnrollData2324,'2324 Jun 24 Enroll'!E$1,FALSE),'District Calculations'!$F$12)*K39,3)</f>
        <v>3.5539999999999998</v>
      </c>
      <c r="N39">
        <f>ROUND(IF(VLOOKUP($A39,EnrollData2324,'2324 Jun 24 Enroll'!F$1,FALSE)='District Calculations'!$F$13,VLOOKUP($A39,EnrollData2324,'2324 Jun 24 Enroll'!F$1,FALSE),'District Calculations'!$F$13)*Apport_223A2425,3)</f>
        <v>0.84599999999999997</v>
      </c>
      <c r="O39">
        <f>ROUND(IF(VLOOKUP($A39,EnrollData2324,'2324 Jun 24 Enroll'!G$1,FALSE)='District Calculations'!$F$14,VLOOKUP($A39,EnrollData2324,'2324 Jun 24 Enroll'!G$1,FALSE),'District Calculations'!$F$14)*Apport_211A2425,3)</f>
        <v>1.877</v>
      </c>
      <c r="P39">
        <f>ROUND(IF(VLOOKUP($A39,EnrollData2324,'2324 Jun 24 Enroll'!H$1,FALSE)='District Calculations'!$F$14,VLOOKUP($A39,EnrollData2324,'2324 Jun 24 Enroll'!H$1,FALSE),'District Calculations'!$F$14)*Apport_214A2425,3)</f>
        <v>1.875</v>
      </c>
      <c r="Q39">
        <f>ROUND(IF(VLOOKUP($A39,EnrollData2324,'2324 Jun 24 Enroll'!I$1,FALSE)+VLOOKUP($A39,EnrollData2324,'2324 Jun 24 Enroll'!M$1,FALSE)-VLOOKUP($A39,EnrollData2324,'2324 Jun 24 Enroll'!J$1,FALSE)='District Calculations'!$F$16+'District Calculations'!$F$25-'District Calculations'!$F$17,VLOOKUP($A39,EnrollData2324,'2324 Jun 24 Enroll'!I$1,FALSE)+VLOOKUP($A39,EnrollData2324,'2324 Jun 24 Enroll'!M$1,FALSE)-VLOOKUP($A39,EnrollData2324,'2324 Jun 24 Enroll'!J$1,FALSE),'District Calculations'!$F$16+'District Calculations'!$F$25-'District Calculations'!$F$17)*Apport_217A2425,3)</f>
        <v>4.7130000000000001</v>
      </c>
      <c r="R39">
        <f>ROUND(SUM(L39:Q39)/IF(VLOOKUP($A39,EnrollData2324,'2324 Jun 24 Enroll'!M$1,FALSE)+VLOOKUP($A39,EnrollData2324,'2324 Jun 24 Enroll'!D$1,FALSE)='District Calculations'!$F$25+'District Calculations'!$F$11,VLOOKUP($A39,EnrollData2324,'2324 Jun 24 Enroll'!M$1,FALSE)+VLOOKUP($A39,EnrollData2324,'2324 Jun 24 Enroll'!D$1,FALSE),'District Calculations'!$F$25+'District Calculations'!$F$11),5)</f>
        <v>4.1200000000000004E-3</v>
      </c>
      <c r="S39" s="11">
        <f t="shared" si="14"/>
        <v>1.8734299999999999E-2</v>
      </c>
      <c r="T39">
        <f>ROUND(IF(VLOOKUP($A39,EnrollData2324,'2324 Jun 24 Enroll'!D$1,FALSE)='District Calculations'!$F$11,VLOOKUP($A39,EnrollData2324,'2324 Jun 24 Enroll'!D$1,FALSE),'District Calculations'!$F$11)*S39,3)</f>
        <v>0</v>
      </c>
      <c r="U39">
        <f>ROUND(IF(VLOOKUP($A39,EnrollData2324,'2324 Jun 24 Enroll'!E$1,FALSE)='District Calculations'!$F$12,VLOOKUP($A39,EnrollData2324,'2324 Jun 24 Enroll'!E$1,FALSE),'District Calculations'!$F$12)*S39,3)</f>
        <v>15.183999999999999</v>
      </c>
      <c r="V39">
        <f>ROUND(IF(VLOOKUP($A39,EnrollData2324,'2324 Jun 24 Enroll'!F$1,FALSE)='District Calculations'!$F$13,VLOOKUP($A39,EnrollData2324,'2324 Jun 24 Enroll'!F$1,FALSE),'District Calculations'!$F$13)*Apport_224A2425,3)</f>
        <v>3.7109999999999999</v>
      </c>
      <c r="W39">
        <f>ROUND(IF(VLOOKUP($A39,EnrollData2324,'2324 Jun 24 Enroll'!G$1,FALSE)='District Calculations'!$F$14,VLOOKUP($A39,EnrollData2324,'2324 Jun 24 Enroll'!G$1,FALSE),'District Calculations'!$F$14)*Apport_212A2425,3)</f>
        <v>8.2279999999999998</v>
      </c>
      <c r="X39">
        <f>ROUND(IF(VLOOKUP($A39,EnrollData2324,'2324 Jun 24 Enroll'!H$1,FALSE)='District Calculations'!$F$14,VLOOKUP($A39,EnrollData2324,'2324 Jun 24 Enroll'!H$1,FALSE),'District Calculations'!$F$14)*Apport_215A2425,3)</f>
        <v>8.1180000000000003</v>
      </c>
      <c r="Y39">
        <f>ROUND(IF(VLOOKUP($A39,EnrollData2324,'2324 Jun 24 Enroll'!I$1,FALSE)+VLOOKUP($A39,EnrollData2324,'2324 Jun 24 Enroll'!M$1,FALSE)-VLOOKUP($A39,EnrollData2324,'2324 Jun 24 Enroll'!J$1,FALSE)='District Calculations'!$F$16+'District Calculations'!$F$25-'District Calculations'!$F$17,VLOOKUP($A39,EnrollData2324,'2324 Jun 24 Enroll'!I$1,FALSE)+VLOOKUP($A39,EnrollData2324,'2324 Jun 24 Enroll'!M$1,FALSE)-VLOOKUP($A39,EnrollData2324,'2324 Jun 24 Enroll'!J$1,FALSE),'District Calculations'!$F$16+'District Calculations'!$F$25-'District Calculations'!$F$17)*Apport_218A2425,3)</f>
        <v>20.257999999999999</v>
      </c>
      <c r="Z39">
        <f>ROUND(SUM(T39:Y39)/IF(VLOOKUP($A39,EnrollData2324,'2324 Jun 24 Enroll'!M$1,FALSE)+VLOOKUP($A39,EnrollData2324,'2324 Jun 24 Enroll'!D$1,FALSE)='District Calculations'!$F$25+'District Calculations'!$F$11,VLOOKUP($A39,EnrollData2324,'2324 Jun 24 Enroll'!M$1,FALSE)+VLOOKUP($A39,EnrollData2324,'2324 Jun 24 Enroll'!D$1,FALSE),'District Calculations'!$F$25+'District Calculations'!$F$11),5)</f>
        <v>1.7780000000000001E-2</v>
      </c>
      <c r="AA39" s="6">
        <f>ROUND($J39*CIS_Base_Salary2425*VLOOKUP($A39,EnrollData2324,'2324 Jun 24 Enroll'!AH$1,FALSE),2)</f>
        <v>4262.68</v>
      </c>
      <c r="AB39" s="6">
        <f>ROUND($J39*CIS_Inc_Salary2425*(VLOOKUP($A39,EnrollData2324,'2324 Jun 24 Enroll'!AI$1,FALSE)+VLOOKUP($A39,EnrollData2324,'2324 Jun 24 Enroll'!AJ$1,FALSE)),2)-AA39</f>
        <v>157.6899999999996</v>
      </c>
      <c r="AC39" s="6" cm="1">
        <f t="array" ref="AC39">ROUND($R39*CAS_Base_Salary2425*VLOOKUP($A39,EnrollData2324,'2324 Jun 24 Enroll'!AH$1,FALSE),2)</f>
        <v>461.23</v>
      </c>
      <c r="AD39" s="6">
        <f>ROUND($R39*CAS_Inc_Salary2425*VLOOKUP($A39,EnrollData2324,'2324 Jun 24 Enroll'!AI$1,FALSE),2)-AC39</f>
        <v>17.069999999999993</v>
      </c>
      <c r="AE39" s="6">
        <f>ROUND($Z39*CLS_Base_Salary2425*VLOOKUP($A39,EnrollData2324,'2324 Jun 24 Enroll'!AH$1,FALSE),2)</f>
        <v>961.95</v>
      </c>
      <c r="AF39" s="6">
        <f>ROUND($Z39*CLS_Inc_Salary2425*VLOOKUP($A39,EnrollData2324,'2324 Jun 24 Enroll'!AI$1,FALSE),2)-AE39</f>
        <v>35.599999999999909</v>
      </c>
      <c r="AG39" cm="1">
        <f t="array" ref="AG39">ROUND(($J39+$R39)*Apport_124X2425,2)</f>
        <v>800.45</v>
      </c>
      <c r="AH39" s="69" cm="1">
        <f t="array" ref="AH39">ROUND(($J39+$R39)*Apport_621X2425*Apport_125XC2425,2)-AG39</f>
        <v>73.899999999999977</v>
      </c>
      <c r="AI39" cm="1">
        <f t="array" ref="AI39">ROUND($Z39*Apport_124X2425,2)</f>
        <v>234.7</v>
      </c>
      <c r="AJ39">
        <f t="shared" si="15"/>
        <v>124.71000000000004</v>
      </c>
      <c r="AK39">
        <f t="shared" si="16"/>
        <v>857.39</v>
      </c>
      <c r="AL39">
        <f t="shared" si="17"/>
        <v>30.6</v>
      </c>
      <c r="AM39">
        <f t="shared" si="18"/>
        <v>208.36</v>
      </c>
      <c r="AN39">
        <f t="shared" si="19"/>
        <v>6.46</v>
      </c>
      <c r="AO39">
        <f>ROUND(($J39*CIS_Inc_Salary2425*(VLOOKUP($A39,EnrollData2324,'2324 Jun 24 Enroll'!AI$1,FALSE)+VLOOKUP($A39,EnrollData2324,'2324 Jun 24 Enroll'!AJ$1,FALSE))/Apport_613Xpd)*Apport_614Xpd,2)</f>
        <v>73.67</v>
      </c>
      <c r="AP39">
        <f t="shared" si="20"/>
        <v>12.9</v>
      </c>
      <c r="AQ39">
        <f t="shared" si="21"/>
        <v>31.48</v>
      </c>
      <c r="AR39" s="6">
        <f>ROUND((VLOOKUP($A39,EnrollData2324,'2324 Jun 24 Enroll'!D$1,FALSE)*Apport_M802425+VLOOKUP($A39,EnrollData2324,'2324 Jun 24 Enroll'!M$1,FALSE)*Apport_M802425+(VLOOKUP($A39,EnrollData2324,'2324 Jun 24 Enroll'!P$1,FALSE)+VLOOKUP($A39,EnrollData2324,'2324 Jun 24 Enroll'!Q$1,FALSE)+VLOOKUP($A39,EnrollData2324,'2324 Jun 24 Enroll'!R$1,FALSE)+VLOOKUP($A39,EnrollData2324,'2324 Jun 24 Enroll'!I$1,FALSE)+VLOOKUP($A39,EnrollData2324,'2324 Jun 24 Enroll'!N$1,FALSE)+VLOOKUP($A39,EnrollData2324,'2324 Jun 24 Enroll'!O$1,FALSE)+VLOOKUP($A39,EnrollData2324,'2324 Jun 24 Enroll'!K$1,FALSE)+VLOOKUP($A39,EnrollData2324,'2324 Jun 24 Enroll'!L$1,FALSE))*Apport_M812425)/(VLOOKUP($A39,EnrollData2324,'2324 Jun 24 Enroll'!M$1,FALSE)+VLOOKUP($A39,EnrollData2324,'2324 Jun 24 Enroll'!D$1,FALSE)),2)</f>
        <v>1533.02</v>
      </c>
      <c r="AS39" s="7">
        <f>SUM(AA39:AR39)</f>
        <v>9883.8599999999988</v>
      </c>
    </row>
    <row r="40" spans="1:48">
      <c r="A40" s="40" t="s">
        <v>675</v>
      </c>
      <c r="B40" s="40" t="s">
        <v>676</v>
      </c>
      <c r="C40" s="11">
        <f>ROUND((IFERROR((1/IF(VLOOKUP($A40,EnrollData2324,28,FALSE)='District Calculations'!$F$10,VLOOKUP($A40,EnrollData2324,28,FALSE),'District Calculations'!$F$10))*(1+Apport_Z315),0))+Apport_201A2425,6)</f>
        <v>7.4580999999999995E-2</v>
      </c>
      <c r="D40">
        <f>ROUND(IF(VLOOKUP($A40,EnrollData2324,'2324 Jun 24 Enroll'!D$1,FALSE)='District Calculations'!$F$11,VLOOKUP($A40,EnrollData2324,'2324 Jun 24 Enroll'!D$1,FALSE),'District Calculations'!$F$11)*C40,3)</f>
        <v>0</v>
      </c>
      <c r="E40">
        <f>ROUND(IF(VLOOKUP($A40,EnrollData2324,'2324 Jun 24 Enroll'!E$1,FALSE)='District Calculations'!$F$12,VLOOKUP($A40,EnrollData2324,'2324 Jun 24 Enroll'!E$1,FALSE),'District Calculations'!$F$12)*C40,3)</f>
        <v>60.447000000000003</v>
      </c>
      <c r="F40">
        <f>ROUND(IF(VLOOKUP($A40,EnrollData2324,'2324 Jun 24 Enroll'!F$1,FALSE)='District Calculations'!$F$13,VLOOKUP($A40,EnrollData2324,'2324 Jun 24 Enroll'!F$1,FALSE),'District Calculations'!$F$13)*Apport_222A2425,3)</f>
        <v>10.337999999999999</v>
      </c>
      <c r="G40">
        <f>ROUND(IF(VLOOKUP($A40,EnrollData2324,'2324 Jun 24 Enroll'!G$1,FALSE)='District Calculations'!$F$14,VLOOKUP($A40,EnrollData2324,'2324 Jun 24 Enroll'!G$1,FALSE),'District Calculations'!$F$14)*Apport_210A2425,3)</f>
        <v>22.92</v>
      </c>
      <c r="H40">
        <f>ROUND(IF(VLOOKUP($A40,EnrollData2324,'2324 Jun 24 Enroll'!H$1,FALSE)='District Calculations'!$F$15,VLOOKUP($A40,EnrollData2324,'2324 Jun 24 Enroll'!H$1,FALSE),'District Calculations'!$F$15)*Apport_213A2425,3)</f>
        <v>23.619</v>
      </c>
      <c r="I40">
        <f>ROUND(IF(VLOOKUP($A40,EnrollData2324,'2324 Jun 24 Enroll'!I$1,FALSE)+VLOOKUP($A40,EnrollData2324,'2324 Jun 24 Enroll'!M$1,FALSE)-VLOOKUP($A40,EnrollData2324,'2324 Jun 24 Enroll'!J$1,FALSE)='District Calculations'!$F$16+'District Calculations'!$F$25-'District Calculations'!$F$17,VLOOKUP($A40,EnrollData2324,'2324 Jun 24 Enroll'!I$1,FALSE)+VLOOKUP($A40,EnrollData2324,'2324 Jun 24 Enroll'!M$1,FALSE)-VLOOKUP($A40,EnrollData2324,'2324 Jun 24 Enroll'!J$1,FALSE),'District Calculations'!$F$16+'District Calculations'!$F$25-'District Calculations'!$F$17)*Apport_216A2425,3)</f>
        <v>59.057000000000002</v>
      </c>
      <c r="J40">
        <f>ROUND(SUM(D40:I40)/(IF(VLOOKUP($A40,EnrollData2324,'2324 Jun 24 Enroll'!M$1,FALSE)='District Calculations'!$F$25,VLOOKUP($A40,EnrollData2324,'2324 Jun 24 Enroll'!M$1,FALSE),'District Calculations'!$F$25)+IF(VLOOKUP($A40,EnrollData2324,'2324 Jun 24 Enroll'!D$1,FALSE)='District Calculations'!$F$11,VLOOKUP($A40,EnrollData2324,'2324 Jun 24 Enroll'!D$1,FALSE),'District Calculations'!$F$11)),5)</f>
        <v>5.6520000000000001E-2</v>
      </c>
      <c r="K40" s="11">
        <f t="shared" si="13"/>
        <v>4.385E-3</v>
      </c>
      <c r="L40">
        <f>ROUND(IF(VLOOKUP($A40,EnrollData2324,'2324 Jun 24 Enroll'!D$1,FALSE)='District Calculations'!$F$11,VLOOKUP($A40,EnrollData2324,'2324 Jun 24 Enroll'!D$1,FALSE),'District Calculations'!$F$11)*K40,3)</f>
        <v>0</v>
      </c>
      <c r="M40">
        <f>ROUND(IF(VLOOKUP($A40,EnrollData2324,'2324 Jun 24 Enroll'!E$1,FALSE)='District Calculations'!$F$12,VLOOKUP($A40,EnrollData2324,'2324 Jun 24 Enroll'!E$1,FALSE),'District Calculations'!$F$12)*K40,3)</f>
        <v>3.5539999999999998</v>
      </c>
      <c r="N40">
        <f>ROUND(IF(VLOOKUP($A40,EnrollData2324,'2324 Jun 24 Enroll'!F$1,FALSE)='District Calculations'!$F$13,VLOOKUP($A40,EnrollData2324,'2324 Jun 24 Enroll'!F$1,FALSE),'District Calculations'!$F$13)*Apport_223A2425,3)</f>
        <v>0.84599999999999997</v>
      </c>
      <c r="O40">
        <f>ROUND(IF(VLOOKUP($A40,EnrollData2324,'2324 Jun 24 Enroll'!G$1,FALSE)='District Calculations'!$F$14,VLOOKUP($A40,EnrollData2324,'2324 Jun 24 Enroll'!G$1,FALSE),'District Calculations'!$F$14)*Apport_211A2425,3)</f>
        <v>1.877</v>
      </c>
      <c r="P40">
        <f>ROUND(IF(VLOOKUP($A40,EnrollData2324,'2324 Jun 24 Enroll'!H$1,FALSE)='District Calculations'!$F$14,VLOOKUP($A40,EnrollData2324,'2324 Jun 24 Enroll'!H$1,FALSE),'District Calculations'!$F$14)*Apport_214A2425,3)</f>
        <v>1.875</v>
      </c>
      <c r="Q40">
        <f>ROUND(IF(VLOOKUP($A40,EnrollData2324,'2324 Jun 24 Enroll'!I$1,FALSE)+VLOOKUP($A40,EnrollData2324,'2324 Jun 24 Enroll'!M$1,FALSE)-VLOOKUP($A40,EnrollData2324,'2324 Jun 24 Enroll'!J$1,FALSE)='District Calculations'!$F$16+'District Calculations'!$F$25-'District Calculations'!$F$17,VLOOKUP($A40,EnrollData2324,'2324 Jun 24 Enroll'!I$1,FALSE)+VLOOKUP($A40,EnrollData2324,'2324 Jun 24 Enroll'!M$1,FALSE)-VLOOKUP($A40,EnrollData2324,'2324 Jun 24 Enroll'!J$1,FALSE),'District Calculations'!$F$16+'District Calculations'!$F$25-'District Calculations'!$F$17)*Apport_217A2425,3)</f>
        <v>4.7130000000000001</v>
      </c>
      <c r="R40">
        <f>ROUND(SUM(L40:Q40)/IF(VLOOKUP($A40,EnrollData2324,'2324 Jun 24 Enroll'!M$1,FALSE)+VLOOKUP($A40,EnrollData2324,'2324 Jun 24 Enroll'!D$1,FALSE)='District Calculations'!$F$25+'District Calculations'!$F$11,VLOOKUP($A40,EnrollData2324,'2324 Jun 24 Enroll'!M$1,FALSE)+VLOOKUP($A40,EnrollData2324,'2324 Jun 24 Enroll'!D$1,FALSE),'District Calculations'!$F$25+'District Calculations'!$F$11),5)</f>
        <v>4.1200000000000004E-3</v>
      </c>
      <c r="S40" s="11">
        <f t="shared" si="14"/>
        <v>1.8734299999999999E-2</v>
      </c>
      <c r="T40">
        <f>ROUND(IF(VLOOKUP($A40,EnrollData2324,'2324 Jun 24 Enroll'!D$1,FALSE)='District Calculations'!$F$11,VLOOKUP($A40,EnrollData2324,'2324 Jun 24 Enroll'!D$1,FALSE),'District Calculations'!$F$11)*S40,3)</f>
        <v>0</v>
      </c>
      <c r="U40">
        <f>ROUND(IF(VLOOKUP($A40,EnrollData2324,'2324 Jun 24 Enroll'!E$1,FALSE)='District Calculations'!$F$12,VLOOKUP($A40,EnrollData2324,'2324 Jun 24 Enroll'!E$1,FALSE),'District Calculations'!$F$12)*S40,3)</f>
        <v>15.183999999999999</v>
      </c>
      <c r="V40">
        <f>ROUND(IF(VLOOKUP($A40,EnrollData2324,'2324 Jun 24 Enroll'!F$1,FALSE)='District Calculations'!$F$13,VLOOKUP($A40,EnrollData2324,'2324 Jun 24 Enroll'!F$1,FALSE),'District Calculations'!$F$13)*Apport_224A2425,3)</f>
        <v>3.7109999999999999</v>
      </c>
      <c r="W40">
        <f>ROUND(IF(VLOOKUP($A40,EnrollData2324,'2324 Jun 24 Enroll'!G$1,FALSE)='District Calculations'!$F$14,VLOOKUP($A40,EnrollData2324,'2324 Jun 24 Enroll'!G$1,FALSE),'District Calculations'!$F$14)*Apport_212A2425,3)</f>
        <v>8.2279999999999998</v>
      </c>
      <c r="X40">
        <f>ROUND(IF(VLOOKUP($A40,EnrollData2324,'2324 Jun 24 Enroll'!H$1,FALSE)='District Calculations'!$F$14,VLOOKUP($A40,EnrollData2324,'2324 Jun 24 Enroll'!H$1,FALSE),'District Calculations'!$F$14)*Apport_215A2425,3)</f>
        <v>8.1180000000000003</v>
      </c>
      <c r="Y40">
        <f>ROUND(IF(VLOOKUP($A40,EnrollData2324,'2324 Jun 24 Enroll'!I$1,FALSE)+VLOOKUP($A40,EnrollData2324,'2324 Jun 24 Enroll'!M$1,FALSE)-VLOOKUP($A40,EnrollData2324,'2324 Jun 24 Enroll'!J$1,FALSE)='District Calculations'!$F$16+'District Calculations'!$F$25-'District Calculations'!$F$17,VLOOKUP($A40,EnrollData2324,'2324 Jun 24 Enroll'!I$1,FALSE)+VLOOKUP($A40,EnrollData2324,'2324 Jun 24 Enroll'!M$1,FALSE)-VLOOKUP($A40,EnrollData2324,'2324 Jun 24 Enroll'!J$1,FALSE),'District Calculations'!$F$16+'District Calculations'!$F$25-'District Calculations'!$F$17)*Apport_218A2425,3)</f>
        <v>20.257999999999999</v>
      </c>
      <c r="Z40">
        <f>ROUND(SUM(T40:Y40)/IF(VLOOKUP($A40,EnrollData2324,'2324 Jun 24 Enroll'!M$1,FALSE)+VLOOKUP($A40,EnrollData2324,'2324 Jun 24 Enroll'!D$1,FALSE)='District Calculations'!$F$25+'District Calculations'!$F$11,VLOOKUP($A40,EnrollData2324,'2324 Jun 24 Enroll'!M$1,FALSE)+VLOOKUP($A40,EnrollData2324,'2324 Jun 24 Enroll'!D$1,FALSE),'District Calculations'!$F$25+'District Calculations'!$F$11),5)</f>
        <v>1.7780000000000001E-2</v>
      </c>
      <c r="AA40" s="6">
        <f>ROUND($J40*CIS_Base_Salary2425*VLOOKUP($A40,EnrollData2324,'2324 Jun 24 Enroll'!AH$1,FALSE),2)</f>
        <v>4262.68</v>
      </c>
      <c r="AB40" s="6">
        <f>ROUND($J40*CIS_Inc_Salary2425*(VLOOKUP($A40,EnrollData2324,'2324 Jun 24 Enroll'!AI$1,FALSE)+VLOOKUP($A40,EnrollData2324,'2324 Jun 24 Enroll'!AJ$1,FALSE)),2)-AA40</f>
        <v>157.6899999999996</v>
      </c>
      <c r="AC40" s="6" cm="1">
        <f t="array" ref="AC40">ROUND($R40*CAS_Base_Salary2425*VLOOKUP($A40,EnrollData2324,'2324 Jun 24 Enroll'!AH$1,FALSE),2)</f>
        <v>461.23</v>
      </c>
      <c r="AD40" s="6">
        <f>ROUND($R40*CAS_Inc_Salary2425*VLOOKUP($A40,EnrollData2324,'2324 Jun 24 Enroll'!AI$1,FALSE),2)-AC40</f>
        <v>17.069999999999993</v>
      </c>
      <c r="AE40" s="6">
        <f>ROUND($Z40*CLS_Base_Salary2425*VLOOKUP($A40,EnrollData2324,'2324 Jun 24 Enroll'!AH$1,FALSE),2)</f>
        <v>961.95</v>
      </c>
      <c r="AF40" s="6">
        <f>ROUND($Z40*CLS_Inc_Salary2425*VLOOKUP($A40,EnrollData2324,'2324 Jun 24 Enroll'!AI$1,FALSE),2)-AE40</f>
        <v>35.599999999999909</v>
      </c>
      <c r="AG40" cm="1">
        <f t="array" ref="AG40">ROUND(($J40+$R40)*Apport_124X2425,2)</f>
        <v>800.45</v>
      </c>
      <c r="AH40" s="69" cm="1">
        <f t="array" ref="AH40">ROUND(($J40+$R40)*Apport_621X2425*Apport_125XC2425,2)-AG40</f>
        <v>73.899999999999977</v>
      </c>
      <c r="AI40" cm="1">
        <f t="array" ref="AI40">ROUND($Z40*Apport_124X2425,2)</f>
        <v>234.7</v>
      </c>
      <c r="AJ40">
        <f t="shared" si="15"/>
        <v>124.71000000000004</v>
      </c>
      <c r="AK40">
        <f t="shared" si="16"/>
        <v>857.39</v>
      </c>
      <c r="AL40">
        <f t="shared" si="17"/>
        <v>30.6</v>
      </c>
      <c r="AM40">
        <f t="shared" si="18"/>
        <v>208.36</v>
      </c>
      <c r="AN40">
        <f t="shared" si="19"/>
        <v>6.46</v>
      </c>
      <c r="AO40">
        <f>ROUND(($J40*CIS_Inc_Salary2425*(VLOOKUP($A40,EnrollData2324,'2324 Jun 24 Enroll'!AI$1,FALSE)+VLOOKUP($A40,EnrollData2324,'2324 Jun 24 Enroll'!AJ$1,FALSE))/Apport_613Xpd)*Apport_614Xpd,2)</f>
        <v>73.67</v>
      </c>
      <c r="AP40">
        <f t="shared" si="20"/>
        <v>12.9</v>
      </c>
      <c r="AQ40">
        <f t="shared" si="21"/>
        <v>31.48</v>
      </c>
      <c r="AR40" s="6">
        <f>ROUND((VLOOKUP($A40,EnrollData2324,'2324 Jun 24 Enroll'!D$1,FALSE)*Apport_M802425+VLOOKUP($A40,EnrollData2324,'2324 Jun 24 Enroll'!M$1,FALSE)*Apport_M802425+(VLOOKUP($A40,EnrollData2324,'2324 Jun 24 Enroll'!P$1,FALSE)+VLOOKUP($A40,EnrollData2324,'2324 Jun 24 Enroll'!Q$1,FALSE)+VLOOKUP($A40,EnrollData2324,'2324 Jun 24 Enroll'!R$1,FALSE)+VLOOKUP($A40,EnrollData2324,'2324 Jun 24 Enroll'!I$1,FALSE)+VLOOKUP($A40,EnrollData2324,'2324 Jun 24 Enroll'!N$1,FALSE)+VLOOKUP($A40,EnrollData2324,'2324 Jun 24 Enroll'!O$1,FALSE)+VLOOKUP($A40,EnrollData2324,'2324 Jun 24 Enroll'!K$1,FALSE)+VLOOKUP($A40,EnrollData2324,'2324 Jun 24 Enroll'!L$1,FALSE))*Apport_M812425)/(VLOOKUP($A40,EnrollData2324,'2324 Jun 24 Enroll'!M$1,FALSE)+VLOOKUP($A40,EnrollData2324,'2324 Jun 24 Enroll'!D$1,FALSE)),2)</f>
        <v>1598.99</v>
      </c>
      <c r="AS40" s="7">
        <f t="shared" ref="AS40:AS50" si="23">SUM(AA40:AR40)</f>
        <v>9949.8299999999981</v>
      </c>
    </row>
    <row r="41" spans="1:48">
      <c r="A41" s="40" t="s">
        <v>556</v>
      </c>
      <c r="B41" s="40" t="s">
        <v>557</v>
      </c>
      <c r="C41" s="11">
        <f>ROUND((IFERROR((1/IF(VLOOKUP($A41,EnrollData2324,28,FALSE)='District Calculations'!$F$10,VLOOKUP($A41,EnrollData2324,28,FALSE),'District Calculations'!$F$10))*(1+Apport_Z315),0))+Apport_201A2425,6)</f>
        <v>7.4580999999999995E-2</v>
      </c>
      <c r="D41">
        <f>ROUND(IF(VLOOKUP($A41,EnrollData2324,'2324 Jun 24 Enroll'!D$1,FALSE)='District Calculations'!$F$11,VLOOKUP($A41,EnrollData2324,'2324 Jun 24 Enroll'!D$1,FALSE),'District Calculations'!$F$11)*C41,3)</f>
        <v>0</v>
      </c>
      <c r="E41">
        <f>ROUND(IF(VLOOKUP($A41,EnrollData2324,'2324 Jun 24 Enroll'!E$1,FALSE)='District Calculations'!$F$12,VLOOKUP($A41,EnrollData2324,'2324 Jun 24 Enroll'!E$1,FALSE),'District Calculations'!$F$12)*C41,3)</f>
        <v>60.447000000000003</v>
      </c>
      <c r="F41">
        <f>ROUND(IF(VLOOKUP($A41,EnrollData2324,'2324 Jun 24 Enroll'!F$1,FALSE)='District Calculations'!$F$13,VLOOKUP($A41,EnrollData2324,'2324 Jun 24 Enroll'!F$1,FALSE),'District Calculations'!$F$13)*Apport_222A2425,3)</f>
        <v>10.337999999999999</v>
      </c>
      <c r="G41">
        <f>ROUND(IF(VLOOKUP($A41,EnrollData2324,'2324 Jun 24 Enroll'!G$1,FALSE)='District Calculations'!$F$14,VLOOKUP($A41,EnrollData2324,'2324 Jun 24 Enroll'!G$1,FALSE),'District Calculations'!$F$14)*Apport_210A2425,3)</f>
        <v>22.92</v>
      </c>
      <c r="H41">
        <f>ROUND(IF(VLOOKUP($A41,EnrollData2324,'2324 Jun 24 Enroll'!H$1,FALSE)='District Calculations'!$F$15,VLOOKUP($A41,EnrollData2324,'2324 Jun 24 Enroll'!H$1,FALSE),'District Calculations'!$F$15)*Apport_213A2425,3)</f>
        <v>23.619</v>
      </c>
      <c r="I41">
        <f>ROUND(IF(VLOOKUP($A41,EnrollData2324,'2324 Jun 24 Enroll'!I$1,FALSE)+VLOOKUP($A41,EnrollData2324,'2324 Jun 24 Enroll'!M$1,FALSE)-VLOOKUP($A41,EnrollData2324,'2324 Jun 24 Enroll'!J$1,FALSE)='District Calculations'!$F$16+'District Calculations'!$F$25-'District Calculations'!$F$17,VLOOKUP($A41,EnrollData2324,'2324 Jun 24 Enroll'!I$1,FALSE)+VLOOKUP($A41,EnrollData2324,'2324 Jun 24 Enroll'!M$1,FALSE)-VLOOKUP($A41,EnrollData2324,'2324 Jun 24 Enroll'!J$1,FALSE),'District Calculations'!$F$16+'District Calculations'!$F$25-'District Calculations'!$F$17)*Apport_216A2425,3)</f>
        <v>59.057000000000002</v>
      </c>
      <c r="J41">
        <f>ROUND(SUM(D41:I41)/(IF(VLOOKUP($A41,EnrollData2324,'2324 Jun 24 Enroll'!M$1,FALSE)='District Calculations'!$F$25,VLOOKUP($A41,EnrollData2324,'2324 Jun 24 Enroll'!M$1,FALSE),'District Calculations'!$F$25)+IF(VLOOKUP($A41,EnrollData2324,'2324 Jun 24 Enroll'!D$1,FALSE)='District Calculations'!$F$11,VLOOKUP($A41,EnrollData2324,'2324 Jun 24 Enroll'!D$1,FALSE),'District Calculations'!$F$11)),5)</f>
        <v>5.6520000000000001E-2</v>
      </c>
      <c r="K41" s="11">
        <f t="shared" si="13"/>
        <v>4.385E-3</v>
      </c>
      <c r="L41">
        <f>ROUND(IF(VLOOKUP($A41,EnrollData2324,'2324 Jun 24 Enroll'!D$1,FALSE)='District Calculations'!$F$11,VLOOKUP($A41,EnrollData2324,'2324 Jun 24 Enroll'!D$1,FALSE),'District Calculations'!$F$11)*K41,3)</f>
        <v>0</v>
      </c>
      <c r="M41">
        <f>ROUND(IF(VLOOKUP($A41,EnrollData2324,'2324 Jun 24 Enroll'!E$1,FALSE)='District Calculations'!$F$12,VLOOKUP($A41,EnrollData2324,'2324 Jun 24 Enroll'!E$1,FALSE),'District Calculations'!$F$12)*K41,3)</f>
        <v>3.5539999999999998</v>
      </c>
      <c r="N41">
        <f>ROUND(IF(VLOOKUP($A41,EnrollData2324,'2324 Jun 24 Enroll'!F$1,FALSE)='District Calculations'!$F$13,VLOOKUP($A41,EnrollData2324,'2324 Jun 24 Enroll'!F$1,FALSE),'District Calculations'!$F$13)*Apport_223A2425,3)</f>
        <v>0.84599999999999997</v>
      </c>
      <c r="O41">
        <f>ROUND(IF(VLOOKUP($A41,EnrollData2324,'2324 Jun 24 Enroll'!G$1,FALSE)='District Calculations'!$F$14,VLOOKUP($A41,EnrollData2324,'2324 Jun 24 Enroll'!G$1,FALSE),'District Calculations'!$F$14)*Apport_211A2425,3)</f>
        <v>1.877</v>
      </c>
      <c r="P41">
        <f>ROUND(IF(VLOOKUP($A41,EnrollData2324,'2324 Jun 24 Enroll'!H$1,FALSE)='District Calculations'!$F$14,VLOOKUP($A41,EnrollData2324,'2324 Jun 24 Enroll'!H$1,FALSE),'District Calculations'!$F$14)*Apport_214A2425,3)</f>
        <v>1.875</v>
      </c>
      <c r="Q41">
        <f>ROUND(IF(VLOOKUP($A41,EnrollData2324,'2324 Jun 24 Enroll'!I$1,FALSE)+VLOOKUP($A41,EnrollData2324,'2324 Jun 24 Enroll'!M$1,FALSE)-VLOOKUP($A41,EnrollData2324,'2324 Jun 24 Enroll'!J$1,FALSE)='District Calculations'!$F$16+'District Calculations'!$F$25-'District Calculations'!$F$17,VLOOKUP($A41,EnrollData2324,'2324 Jun 24 Enroll'!I$1,FALSE)+VLOOKUP($A41,EnrollData2324,'2324 Jun 24 Enroll'!M$1,FALSE)-VLOOKUP($A41,EnrollData2324,'2324 Jun 24 Enroll'!J$1,FALSE),'District Calculations'!$F$16+'District Calculations'!$F$25-'District Calculations'!$F$17)*Apport_217A2425,3)</f>
        <v>4.7130000000000001</v>
      </c>
      <c r="R41">
        <f>ROUND(SUM(L41:Q41)/IF(VLOOKUP($A41,EnrollData2324,'2324 Jun 24 Enroll'!M$1,FALSE)+VLOOKUP($A41,EnrollData2324,'2324 Jun 24 Enroll'!D$1,FALSE)='District Calculations'!$F$25+'District Calculations'!$F$11,VLOOKUP($A41,EnrollData2324,'2324 Jun 24 Enroll'!M$1,FALSE)+VLOOKUP($A41,EnrollData2324,'2324 Jun 24 Enroll'!D$1,FALSE),'District Calculations'!$F$25+'District Calculations'!$F$11),5)</f>
        <v>4.1200000000000004E-3</v>
      </c>
      <c r="S41" s="11">
        <f t="shared" si="14"/>
        <v>1.8734299999999999E-2</v>
      </c>
      <c r="T41">
        <f>ROUND(IF(VLOOKUP($A41,EnrollData2324,'2324 Jun 24 Enroll'!D$1,FALSE)='District Calculations'!$F$11,VLOOKUP($A41,EnrollData2324,'2324 Jun 24 Enroll'!D$1,FALSE),'District Calculations'!$F$11)*S41,3)</f>
        <v>0</v>
      </c>
      <c r="U41">
        <f>ROUND(IF(VLOOKUP($A41,EnrollData2324,'2324 Jun 24 Enroll'!E$1,FALSE)='District Calculations'!$F$12,VLOOKUP($A41,EnrollData2324,'2324 Jun 24 Enroll'!E$1,FALSE),'District Calculations'!$F$12)*S41,3)</f>
        <v>15.183999999999999</v>
      </c>
      <c r="V41">
        <f>ROUND(IF(VLOOKUP($A41,EnrollData2324,'2324 Jun 24 Enroll'!F$1,FALSE)='District Calculations'!$F$13,VLOOKUP($A41,EnrollData2324,'2324 Jun 24 Enroll'!F$1,FALSE),'District Calculations'!$F$13)*Apport_224A2425,3)</f>
        <v>3.7109999999999999</v>
      </c>
      <c r="W41">
        <f>ROUND(IF(VLOOKUP($A41,EnrollData2324,'2324 Jun 24 Enroll'!G$1,FALSE)='District Calculations'!$F$14,VLOOKUP($A41,EnrollData2324,'2324 Jun 24 Enroll'!G$1,FALSE),'District Calculations'!$F$14)*Apport_212A2425,3)</f>
        <v>8.2279999999999998</v>
      </c>
      <c r="X41">
        <f>ROUND(IF(VLOOKUP($A41,EnrollData2324,'2324 Jun 24 Enroll'!H$1,FALSE)='District Calculations'!$F$14,VLOOKUP($A41,EnrollData2324,'2324 Jun 24 Enroll'!H$1,FALSE),'District Calculations'!$F$14)*Apport_215A2425,3)</f>
        <v>8.1180000000000003</v>
      </c>
      <c r="Y41">
        <f>ROUND(IF(VLOOKUP($A41,EnrollData2324,'2324 Jun 24 Enroll'!I$1,FALSE)+VLOOKUP($A41,EnrollData2324,'2324 Jun 24 Enroll'!M$1,FALSE)-VLOOKUP($A41,EnrollData2324,'2324 Jun 24 Enroll'!J$1,FALSE)='District Calculations'!$F$16+'District Calculations'!$F$25-'District Calculations'!$F$17,VLOOKUP($A41,EnrollData2324,'2324 Jun 24 Enroll'!I$1,FALSE)+VLOOKUP($A41,EnrollData2324,'2324 Jun 24 Enroll'!M$1,FALSE)-VLOOKUP($A41,EnrollData2324,'2324 Jun 24 Enroll'!J$1,FALSE),'District Calculations'!$F$16+'District Calculations'!$F$25-'District Calculations'!$F$17)*Apport_218A2425,3)</f>
        <v>20.257999999999999</v>
      </c>
      <c r="Z41">
        <f>ROUND(SUM(T41:Y41)/IF(VLOOKUP($A41,EnrollData2324,'2324 Jun 24 Enroll'!M$1,FALSE)+VLOOKUP($A41,EnrollData2324,'2324 Jun 24 Enroll'!D$1,FALSE)='District Calculations'!$F$25+'District Calculations'!$F$11,VLOOKUP($A41,EnrollData2324,'2324 Jun 24 Enroll'!M$1,FALSE)+VLOOKUP($A41,EnrollData2324,'2324 Jun 24 Enroll'!D$1,FALSE),'District Calculations'!$F$25+'District Calculations'!$F$11),5)</f>
        <v>1.7780000000000001E-2</v>
      </c>
      <c r="AA41" s="6">
        <f>ROUND($J41*CIS_Base_Salary2425*VLOOKUP($A41,EnrollData2324,'2324 Jun 24 Enroll'!AH$1,FALSE),2)</f>
        <v>4262.68</v>
      </c>
      <c r="AB41" s="6">
        <f>ROUND($J41*CIS_Inc_Salary2425*(VLOOKUP($A41,EnrollData2324,'2324 Jun 24 Enroll'!AI$1,FALSE)+VLOOKUP($A41,EnrollData2324,'2324 Jun 24 Enroll'!AJ$1,FALSE)),2)-AA41</f>
        <v>157.6899999999996</v>
      </c>
      <c r="AC41" s="6" cm="1">
        <f t="array" ref="AC41">ROUND($R41*CAS_Base_Salary2425*VLOOKUP($A41,EnrollData2324,'2324 Jun 24 Enroll'!AH$1,FALSE),2)</f>
        <v>461.23</v>
      </c>
      <c r="AD41" s="6">
        <f>ROUND($R41*CAS_Inc_Salary2425*VLOOKUP($A41,EnrollData2324,'2324 Jun 24 Enroll'!AI$1,FALSE),2)-AC41</f>
        <v>17.069999999999993</v>
      </c>
      <c r="AE41" s="6">
        <f>ROUND($Z41*CLS_Base_Salary2425*VLOOKUP($A41,EnrollData2324,'2324 Jun 24 Enroll'!AH$1,FALSE),2)</f>
        <v>961.95</v>
      </c>
      <c r="AF41" s="6">
        <f>ROUND($Z41*CLS_Inc_Salary2425*VLOOKUP($A41,EnrollData2324,'2324 Jun 24 Enroll'!AI$1,FALSE),2)-AE41</f>
        <v>35.599999999999909</v>
      </c>
      <c r="AG41" cm="1">
        <f t="array" ref="AG41">ROUND(($J41+$R41)*Apport_124X2425,2)</f>
        <v>800.45</v>
      </c>
      <c r="AH41" s="69" cm="1">
        <f t="array" ref="AH41">ROUND(($J41+$R41)*Apport_621X2425*Apport_125XC2425,2)-AG41</f>
        <v>73.899999999999977</v>
      </c>
      <c r="AI41" cm="1">
        <f t="array" ref="AI41">ROUND($Z41*Apport_124X2425,2)</f>
        <v>234.7</v>
      </c>
      <c r="AJ41">
        <f t="shared" si="15"/>
        <v>124.71000000000004</v>
      </c>
      <c r="AK41">
        <f t="shared" si="16"/>
        <v>857.39</v>
      </c>
      <c r="AL41">
        <f t="shared" si="17"/>
        <v>30.6</v>
      </c>
      <c r="AM41">
        <f t="shared" si="18"/>
        <v>208.36</v>
      </c>
      <c r="AN41">
        <f t="shared" si="19"/>
        <v>6.46</v>
      </c>
      <c r="AO41">
        <f>ROUND(($J41*CIS_Inc_Salary2425*(VLOOKUP($A41,EnrollData2324,'2324 Jun 24 Enroll'!AI$1,FALSE)+VLOOKUP($A41,EnrollData2324,'2324 Jun 24 Enroll'!AJ$1,FALSE))/Apport_613Xpd)*Apport_614Xpd,2)</f>
        <v>73.67</v>
      </c>
      <c r="AP41">
        <f t="shared" si="20"/>
        <v>12.9</v>
      </c>
      <c r="AQ41">
        <f t="shared" si="21"/>
        <v>31.48</v>
      </c>
      <c r="AR41" s="6">
        <f>ROUND((VLOOKUP($A41,EnrollData2324,'2324 Jun 24 Enroll'!D$1,FALSE)*Apport_M802425+VLOOKUP($A41,EnrollData2324,'2324 Jun 24 Enroll'!M$1,FALSE)*Apport_M802425+(VLOOKUP($A41,EnrollData2324,'2324 Jun 24 Enroll'!P$1,FALSE)+VLOOKUP($A41,EnrollData2324,'2324 Jun 24 Enroll'!Q$1,FALSE)+VLOOKUP($A41,EnrollData2324,'2324 Jun 24 Enroll'!R$1,FALSE)+VLOOKUP($A41,EnrollData2324,'2324 Jun 24 Enroll'!I$1,FALSE)+VLOOKUP($A41,EnrollData2324,'2324 Jun 24 Enroll'!N$1,FALSE)+VLOOKUP($A41,EnrollData2324,'2324 Jun 24 Enroll'!O$1,FALSE)+VLOOKUP($A41,EnrollData2324,'2324 Jun 24 Enroll'!K$1,FALSE)+VLOOKUP($A41,EnrollData2324,'2324 Jun 24 Enroll'!L$1,FALSE))*Apport_M812425)/(VLOOKUP($A41,EnrollData2324,'2324 Jun 24 Enroll'!M$1,FALSE)+VLOOKUP($A41,EnrollData2324,'2324 Jun 24 Enroll'!D$1,FALSE)),2)</f>
        <v>1581.09</v>
      </c>
      <c r="AS41" s="7">
        <f t="shared" si="23"/>
        <v>9931.9299999999985</v>
      </c>
    </row>
    <row r="42" spans="1:48">
      <c r="A42" s="40" t="s">
        <v>729</v>
      </c>
      <c r="B42" s="40" t="s">
        <v>730</v>
      </c>
      <c r="C42" s="11">
        <f>ROUND((IFERROR((1/IF(VLOOKUP($A42,EnrollData2324,28,FALSE)='District Calculations'!$F$10,VLOOKUP($A42,EnrollData2324,28,FALSE),'District Calculations'!$F$10))*(1+Apport_Z315),0))+Apport_201A2425,6)</f>
        <v>7.4580999999999995E-2</v>
      </c>
      <c r="D42">
        <f>ROUND(IF(VLOOKUP($A42,EnrollData2324,'2324 Jun 24 Enroll'!D$1,FALSE)='District Calculations'!$F$11,VLOOKUP($A42,EnrollData2324,'2324 Jun 24 Enroll'!D$1,FALSE),'District Calculations'!$F$11)*C42,3)</f>
        <v>0</v>
      </c>
      <c r="E42">
        <f>ROUND(IF(VLOOKUP($A42,EnrollData2324,'2324 Jun 24 Enroll'!E$1,FALSE)='District Calculations'!$F$12,VLOOKUP($A42,EnrollData2324,'2324 Jun 24 Enroll'!E$1,FALSE),'District Calculations'!$F$12)*C42,3)</f>
        <v>60.447000000000003</v>
      </c>
      <c r="F42">
        <f>ROUND(IF(VLOOKUP($A42,EnrollData2324,'2324 Jun 24 Enroll'!F$1,FALSE)='District Calculations'!$F$13,VLOOKUP($A42,EnrollData2324,'2324 Jun 24 Enroll'!F$1,FALSE),'District Calculations'!$F$13)*Apport_222A2425,3)</f>
        <v>10.337999999999999</v>
      </c>
      <c r="G42">
        <f>ROUND(IF(VLOOKUP($A42,EnrollData2324,'2324 Jun 24 Enroll'!G$1,FALSE)='District Calculations'!$F$14,VLOOKUP($A42,EnrollData2324,'2324 Jun 24 Enroll'!G$1,FALSE),'District Calculations'!$F$14)*Apport_210A2425,3)</f>
        <v>22.92</v>
      </c>
      <c r="H42">
        <f>ROUND(IF(VLOOKUP($A42,EnrollData2324,'2324 Jun 24 Enroll'!H$1,FALSE)='District Calculations'!$F$15,VLOOKUP($A42,EnrollData2324,'2324 Jun 24 Enroll'!H$1,FALSE),'District Calculations'!$F$15)*Apport_213A2425,3)</f>
        <v>23.619</v>
      </c>
      <c r="I42">
        <f>ROUND(IF(VLOOKUP($A42,EnrollData2324,'2324 Jun 24 Enroll'!I$1,FALSE)+VLOOKUP($A42,EnrollData2324,'2324 Jun 24 Enroll'!M$1,FALSE)-VLOOKUP($A42,EnrollData2324,'2324 Jun 24 Enroll'!J$1,FALSE)='District Calculations'!$F$16+'District Calculations'!$F$25-'District Calculations'!$F$17,VLOOKUP($A42,EnrollData2324,'2324 Jun 24 Enroll'!I$1,FALSE)+VLOOKUP($A42,EnrollData2324,'2324 Jun 24 Enroll'!M$1,FALSE)-VLOOKUP($A42,EnrollData2324,'2324 Jun 24 Enroll'!J$1,FALSE),'District Calculations'!$F$16+'District Calculations'!$F$25-'District Calculations'!$F$17)*Apport_216A2425,3)</f>
        <v>59.057000000000002</v>
      </c>
      <c r="J42">
        <f>ROUND(SUM(D42:I42)/(IF(VLOOKUP($A42,EnrollData2324,'2324 Jun 24 Enroll'!M$1,FALSE)='District Calculations'!$F$25,VLOOKUP($A42,EnrollData2324,'2324 Jun 24 Enroll'!M$1,FALSE),'District Calculations'!$F$25)+IF(VLOOKUP($A42,EnrollData2324,'2324 Jun 24 Enroll'!D$1,FALSE)='District Calculations'!$F$11,VLOOKUP($A42,EnrollData2324,'2324 Jun 24 Enroll'!D$1,FALSE),'District Calculations'!$F$11)),5)</f>
        <v>5.6520000000000001E-2</v>
      </c>
      <c r="K42" s="11">
        <f t="shared" si="13"/>
        <v>4.385E-3</v>
      </c>
      <c r="L42">
        <f>ROUND(IF(VLOOKUP($A42,EnrollData2324,'2324 Jun 24 Enroll'!D$1,FALSE)='District Calculations'!$F$11,VLOOKUP($A42,EnrollData2324,'2324 Jun 24 Enroll'!D$1,FALSE),'District Calculations'!$F$11)*K42,3)</f>
        <v>0</v>
      </c>
      <c r="M42">
        <f>ROUND(IF(VLOOKUP($A42,EnrollData2324,'2324 Jun 24 Enroll'!E$1,FALSE)='District Calculations'!$F$12,VLOOKUP($A42,EnrollData2324,'2324 Jun 24 Enroll'!E$1,FALSE),'District Calculations'!$F$12)*K42,3)</f>
        <v>3.5539999999999998</v>
      </c>
      <c r="N42">
        <f>ROUND(IF(VLOOKUP($A42,EnrollData2324,'2324 Jun 24 Enroll'!F$1,FALSE)='District Calculations'!$F$13,VLOOKUP($A42,EnrollData2324,'2324 Jun 24 Enroll'!F$1,FALSE),'District Calculations'!$F$13)*Apport_223A2425,3)</f>
        <v>0.84599999999999997</v>
      </c>
      <c r="O42">
        <f>ROUND(IF(VLOOKUP($A42,EnrollData2324,'2324 Jun 24 Enroll'!G$1,FALSE)='District Calculations'!$F$14,VLOOKUP($A42,EnrollData2324,'2324 Jun 24 Enroll'!G$1,FALSE),'District Calculations'!$F$14)*Apport_211A2425,3)</f>
        <v>1.877</v>
      </c>
      <c r="P42">
        <f>ROUND(IF(VLOOKUP($A42,EnrollData2324,'2324 Jun 24 Enroll'!H$1,FALSE)='District Calculations'!$F$14,VLOOKUP($A42,EnrollData2324,'2324 Jun 24 Enroll'!H$1,FALSE),'District Calculations'!$F$14)*Apport_214A2425,3)</f>
        <v>1.875</v>
      </c>
      <c r="Q42">
        <f>ROUND(IF(VLOOKUP($A42,EnrollData2324,'2324 Jun 24 Enroll'!I$1,FALSE)+VLOOKUP($A42,EnrollData2324,'2324 Jun 24 Enroll'!M$1,FALSE)-VLOOKUP($A42,EnrollData2324,'2324 Jun 24 Enroll'!J$1,FALSE)='District Calculations'!$F$16+'District Calculations'!$F$25-'District Calculations'!$F$17,VLOOKUP($A42,EnrollData2324,'2324 Jun 24 Enroll'!I$1,FALSE)+VLOOKUP($A42,EnrollData2324,'2324 Jun 24 Enroll'!M$1,FALSE)-VLOOKUP($A42,EnrollData2324,'2324 Jun 24 Enroll'!J$1,FALSE),'District Calculations'!$F$16+'District Calculations'!$F$25-'District Calculations'!$F$17)*Apport_217A2425,3)</f>
        <v>4.7130000000000001</v>
      </c>
      <c r="R42">
        <f>ROUND(SUM(L42:Q42)/IF(VLOOKUP($A42,EnrollData2324,'2324 Jun 24 Enroll'!M$1,FALSE)+VLOOKUP($A42,EnrollData2324,'2324 Jun 24 Enroll'!D$1,FALSE)='District Calculations'!$F$25+'District Calculations'!$F$11,VLOOKUP($A42,EnrollData2324,'2324 Jun 24 Enroll'!M$1,FALSE)+VLOOKUP($A42,EnrollData2324,'2324 Jun 24 Enroll'!D$1,FALSE),'District Calculations'!$F$25+'District Calculations'!$F$11),5)</f>
        <v>4.1200000000000004E-3</v>
      </c>
      <c r="S42" s="11">
        <f t="shared" si="14"/>
        <v>1.8734299999999999E-2</v>
      </c>
      <c r="T42">
        <f>ROUND(IF(VLOOKUP($A42,EnrollData2324,'2324 Jun 24 Enroll'!D$1,FALSE)='District Calculations'!$F$11,VLOOKUP($A42,EnrollData2324,'2324 Jun 24 Enroll'!D$1,FALSE),'District Calculations'!$F$11)*S42,3)</f>
        <v>0</v>
      </c>
      <c r="U42">
        <f>ROUND(IF(VLOOKUP($A42,EnrollData2324,'2324 Jun 24 Enroll'!E$1,FALSE)='District Calculations'!$F$12,VLOOKUP($A42,EnrollData2324,'2324 Jun 24 Enroll'!E$1,FALSE),'District Calculations'!$F$12)*S42,3)</f>
        <v>15.183999999999999</v>
      </c>
      <c r="V42">
        <f>ROUND(IF(VLOOKUP($A42,EnrollData2324,'2324 Jun 24 Enroll'!F$1,FALSE)='District Calculations'!$F$13,VLOOKUP($A42,EnrollData2324,'2324 Jun 24 Enroll'!F$1,FALSE),'District Calculations'!$F$13)*Apport_224A2425,3)</f>
        <v>3.7109999999999999</v>
      </c>
      <c r="W42">
        <f>ROUND(IF(VLOOKUP($A42,EnrollData2324,'2324 Jun 24 Enroll'!G$1,FALSE)='District Calculations'!$F$14,VLOOKUP($A42,EnrollData2324,'2324 Jun 24 Enroll'!G$1,FALSE),'District Calculations'!$F$14)*Apport_212A2425,3)</f>
        <v>8.2279999999999998</v>
      </c>
      <c r="X42">
        <f>ROUND(IF(VLOOKUP($A42,EnrollData2324,'2324 Jun 24 Enroll'!H$1,FALSE)='District Calculations'!$F$14,VLOOKUP($A42,EnrollData2324,'2324 Jun 24 Enroll'!H$1,FALSE),'District Calculations'!$F$14)*Apport_215A2425,3)</f>
        <v>8.1180000000000003</v>
      </c>
      <c r="Y42">
        <f>ROUND(IF(VLOOKUP($A42,EnrollData2324,'2324 Jun 24 Enroll'!I$1,FALSE)+VLOOKUP($A42,EnrollData2324,'2324 Jun 24 Enroll'!M$1,FALSE)-VLOOKUP($A42,EnrollData2324,'2324 Jun 24 Enroll'!J$1,FALSE)='District Calculations'!$F$16+'District Calculations'!$F$25-'District Calculations'!$F$17,VLOOKUP($A42,EnrollData2324,'2324 Jun 24 Enroll'!I$1,FALSE)+VLOOKUP($A42,EnrollData2324,'2324 Jun 24 Enroll'!M$1,FALSE)-VLOOKUP($A42,EnrollData2324,'2324 Jun 24 Enroll'!J$1,FALSE),'District Calculations'!$F$16+'District Calculations'!$F$25-'District Calculations'!$F$17)*Apport_218A2425,3)</f>
        <v>20.257999999999999</v>
      </c>
      <c r="Z42">
        <f>ROUND(SUM(T42:Y42)/IF(VLOOKUP($A42,EnrollData2324,'2324 Jun 24 Enroll'!M$1,FALSE)+VLOOKUP($A42,EnrollData2324,'2324 Jun 24 Enroll'!D$1,FALSE)='District Calculations'!$F$25+'District Calculations'!$F$11,VLOOKUP($A42,EnrollData2324,'2324 Jun 24 Enroll'!M$1,FALSE)+VLOOKUP($A42,EnrollData2324,'2324 Jun 24 Enroll'!D$1,FALSE),'District Calculations'!$F$25+'District Calculations'!$F$11),5)</f>
        <v>1.7780000000000001E-2</v>
      </c>
      <c r="AA42" s="6">
        <f>ROUND($J42*CIS_Base_Salary2425*VLOOKUP($A42,EnrollData2324,'2324 Jun 24 Enroll'!AH$1,FALSE),2)</f>
        <v>4262.68</v>
      </c>
      <c r="AB42" s="6">
        <f>ROUND($J42*CIS_Inc_Salary2425*(VLOOKUP($A42,EnrollData2324,'2324 Jun 24 Enroll'!AI$1,FALSE)+VLOOKUP($A42,EnrollData2324,'2324 Jun 24 Enroll'!AJ$1,FALSE)),2)-AA42</f>
        <v>334.50999999999931</v>
      </c>
      <c r="AC42" s="6" cm="1">
        <f t="array" ref="AC42">ROUND($R42*CAS_Base_Salary2425*VLOOKUP($A42,EnrollData2324,'2324 Jun 24 Enroll'!AH$1,FALSE),2)</f>
        <v>461.23</v>
      </c>
      <c r="AD42" s="6">
        <f>ROUND($R42*CAS_Inc_Salary2425*VLOOKUP($A42,EnrollData2324,'2324 Jun 24 Enroll'!AI$1,FALSE),2)-AC42</f>
        <v>17.069999999999993</v>
      </c>
      <c r="AE42" s="6">
        <f>ROUND($Z42*CLS_Base_Salary2425*VLOOKUP($A42,EnrollData2324,'2324 Jun 24 Enroll'!AH$1,FALSE),2)</f>
        <v>961.95</v>
      </c>
      <c r="AF42" s="6">
        <f>ROUND($Z42*CLS_Inc_Salary2425*VLOOKUP($A42,EnrollData2324,'2324 Jun 24 Enroll'!AI$1,FALSE),2)-AE42</f>
        <v>35.599999999999909</v>
      </c>
      <c r="AG42" cm="1">
        <f t="array" ref="AG42">ROUND(($J42+$R42)*Apport_124X2425,2)</f>
        <v>800.45</v>
      </c>
      <c r="AH42" s="69" cm="1">
        <f t="array" ref="AH42">ROUND(($J42+$R42)*Apport_621X2425*Apport_125XC2425,2)-AG42</f>
        <v>73.899999999999977</v>
      </c>
      <c r="AI42" cm="1">
        <f t="array" ref="AI42">ROUND($Z42*Apport_124X2425,2)</f>
        <v>234.7</v>
      </c>
      <c r="AJ42">
        <f t="shared" si="15"/>
        <v>124.71000000000004</v>
      </c>
      <c r="AK42">
        <f t="shared" si="16"/>
        <v>857.39</v>
      </c>
      <c r="AL42">
        <f t="shared" si="17"/>
        <v>61.56</v>
      </c>
      <c r="AM42">
        <f t="shared" si="18"/>
        <v>208.36</v>
      </c>
      <c r="AN42">
        <f t="shared" si="19"/>
        <v>6.46</v>
      </c>
      <c r="AO42">
        <f>ROUND(($J42*CIS_Inc_Salary2425*(VLOOKUP($A42,EnrollData2324,'2324 Jun 24 Enroll'!AI$1,FALSE)+VLOOKUP($A42,EnrollData2324,'2324 Jun 24 Enroll'!AJ$1,FALSE))/Apport_613Xpd)*Apport_614Xpd,2)</f>
        <v>76.62</v>
      </c>
      <c r="AP42">
        <f t="shared" si="20"/>
        <v>13.42</v>
      </c>
      <c r="AQ42">
        <f t="shared" si="21"/>
        <v>31.48</v>
      </c>
      <c r="AR42" s="6">
        <f>ROUND((VLOOKUP($A42,EnrollData2324,'2324 Jun 24 Enroll'!D$1,FALSE)*Apport_M802425+VLOOKUP($A42,EnrollData2324,'2324 Jun 24 Enroll'!M$1,FALSE)*Apport_M802425+(VLOOKUP($A42,EnrollData2324,'2324 Jun 24 Enroll'!P$1,FALSE)+VLOOKUP($A42,EnrollData2324,'2324 Jun 24 Enroll'!Q$1,FALSE)+VLOOKUP($A42,EnrollData2324,'2324 Jun 24 Enroll'!R$1,FALSE)+VLOOKUP($A42,EnrollData2324,'2324 Jun 24 Enroll'!I$1,FALSE)+VLOOKUP($A42,EnrollData2324,'2324 Jun 24 Enroll'!N$1,FALSE)+VLOOKUP($A42,EnrollData2324,'2324 Jun 24 Enroll'!O$1,FALSE)+VLOOKUP($A42,EnrollData2324,'2324 Jun 24 Enroll'!K$1,FALSE)+VLOOKUP($A42,EnrollData2324,'2324 Jun 24 Enroll'!L$1,FALSE))*Apport_M812425)/(VLOOKUP($A42,EnrollData2324,'2324 Jun 24 Enroll'!M$1,FALSE)+VLOOKUP($A42,EnrollData2324,'2324 Jun 24 Enroll'!D$1,FALSE)),2)</f>
        <v>1605.57</v>
      </c>
      <c r="AS42" s="7">
        <f t="shared" si="23"/>
        <v>10167.659999999998</v>
      </c>
    </row>
    <row r="43" spans="1:48">
      <c r="A43" s="40" t="s">
        <v>384</v>
      </c>
      <c r="B43" s="40" t="s">
        <v>385</v>
      </c>
      <c r="C43" s="11">
        <f>ROUND((IFERROR((1/IF(VLOOKUP($A43,EnrollData2324,28,FALSE)='District Calculations'!$F$10,VLOOKUP($A43,EnrollData2324,28,FALSE),'District Calculations'!$F$10))*(1+Apport_Z315),0))+Apport_201A2425,6)</f>
        <v>7.4580999999999995E-2</v>
      </c>
      <c r="D43">
        <f>ROUND(IF(VLOOKUP($A43,EnrollData2324,'2324 Jun 24 Enroll'!D$1,FALSE)='District Calculations'!$F$11,VLOOKUP($A43,EnrollData2324,'2324 Jun 24 Enroll'!D$1,FALSE),'District Calculations'!$F$11)*C43,3)</f>
        <v>0</v>
      </c>
      <c r="E43">
        <f>ROUND(IF(VLOOKUP($A43,EnrollData2324,'2324 Jun 24 Enroll'!E$1,FALSE)='District Calculations'!$F$12,VLOOKUP($A43,EnrollData2324,'2324 Jun 24 Enroll'!E$1,FALSE),'District Calculations'!$F$12)*C43,3)</f>
        <v>60.447000000000003</v>
      </c>
      <c r="F43">
        <f>ROUND(IF(VLOOKUP($A43,EnrollData2324,'2324 Jun 24 Enroll'!F$1,FALSE)='District Calculations'!$F$13,VLOOKUP($A43,EnrollData2324,'2324 Jun 24 Enroll'!F$1,FALSE),'District Calculations'!$F$13)*Apport_222A2425,3)</f>
        <v>10.337999999999999</v>
      </c>
      <c r="G43">
        <f>ROUND(IF(VLOOKUP($A43,EnrollData2324,'2324 Jun 24 Enroll'!G$1,FALSE)='District Calculations'!$F$14,VLOOKUP($A43,EnrollData2324,'2324 Jun 24 Enroll'!G$1,FALSE),'District Calculations'!$F$14)*Apport_210A2425,3)</f>
        <v>22.92</v>
      </c>
      <c r="H43">
        <f>ROUND(IF(VLOOKUP($A43,EnrollData2324,'2324 Jun 24 Enroll'!H$1,FALSE)='District Calculations'!$F$15,VLOOKUP($A43,EnrollData2324,'2324 Jun 24 Enroll'!H$1,FALSE),'District Calculations'!$F$15)*Apport_213A2425,3)</f>
        <v>23.619</v>
      </c>
      <c r="I43">
        <f>ROUND(IF(VLOOKUP($A43,EnrollData2324,'2324 Jun 24 Enroll'!I$1,FALSE)+VLOOKUP($A43,EnrollData2324,'2324 Jun 24 Enroll'!M$1,FALSE)-VLOOKUP($A43,EnrollData2324,'2324 Jun 24 Enroll'!J$1,FALSE)='District Calculations'!$F$16+'District Calculations'!$F$25-'District Calculations'!$F$17,VLOOKUP($A43,EnrollData2324,'2324 Jun 24 Enroll'!I$1,FALSE)+VLOOKUP($A43,EnrollData2324,'2324 Jun 24 Enroll'!M$1,FALSE)-VLOOKUP($A43,EnrollData2324,'2324 Jun 24 Enroll'!J$1,FALSE),'District Calculations'!$F$16+'District Calculations'!$F$25-'District Calculations'!$F$17)*Apport_216A2425,3)</f>
        <v>59.057000000000002</v>
      </c>
      <c r="J43">
        <f>ROUND(SUM(D43:I43)/(IF(VLOOKUP($A43,EnrollData2324,'2324 Jun 24 Enroll'!M$1,FALSE)='District Calculations'!$F$25,VLOOKUP($A43,EnrollData2324,'2324 Jun 24 Enroll'!M$1,FALSE),'District Calculations'!$F$25)+IF(VLOOKUP($A43,EnrollData2324,'2324 Jun 24 Enroll'!D$1,FALSE)='District Calculations'!$F$11,VLOOKUP($A43,EnrollData2324,'2324 Jun 24 Enroll'!D$1,FALSE),'District Calculations'!$F$11)),5)</f>
        <v>5.6520000000000001E-2</v>
      </c>
      <c r="K43" s="11">
        <f t="shared" si="13"/>
        <v>4.385E-3</v>
      </c>
      <c r="L43">
        <f>ROUND(IF(VLOOKUP($A43,EnrollData2324,'2324 Jun 24 Enroll'!D$1,FALSE)='District Calculations'!$F$11,VLOOKUP($A43,EnrollData2324,'2324 Jun 24 Enroll'!D$1,FALSE),'District Calculations'!$F$11)*K43,3)</f>
        <v>0</v>
      </c>
      <c r="M43">
        <f>ROUND(IF(VLOOKUP($A43,EnrollData2324,'2324 Jun 24 Enroll'!E$1,FALSE)='District Calculations'!$F$12,VLOOKUP($A43,EnrollData2324,'2324 Jun 24 Enroll'!E$1,FALSE),'District Calculations'!$F$12)*K43,3)</f>
        <v>3.5539999999999998</v>
      </c>
      <c r="N43">
        <f>ROUND(IF(VLOOKUP($A43,EnrollData2324,'2324 Jun 24 Enroll'!F$1,FALSE)='District Calculations'!$F$13,VLOOKUP($A43,EnrollData2324,'2324 Jun 24 Enroll'!F$1,FALSE),'District Calculations'!$F$13)*Apport_223A2425,3)</f>
        <v>0.84599999999999997</v>
      </c>
      <c r="O43">
        <f>ROUND(IF(VLOOKUP($A43,EnrollData2324,'2324 Jun 24 Enroll'!G$1,FALSE)='District Calculations'!$F$14,VLOOKUP($A43,EnrollData2324,'2324 Jun 24 Enroll'!G$1,FALSE),'District Calculations'!$F$14)*Apport_211A2425,3)</f>
        <v>1.877</v>
      </c>
      <c r="P43">
        <f>ROUND(IF(VLOOKUP($A43,EnrollData2324,'2324 Jun 24 Enroll'!H$1,FALSE)='District Calculations'!$F$14,VLOOKUP($A43,EnrollData2324,'2324 Jun 24 Enroll'!H$1,FALSE),'District Calculations'!$F$14)*Apport_214A2425,3)</f>
        <v>1.875</v>
      </c>
      <c r="Q43">
        <f>ROUND(IF(VLOOKUP($A43,EnrollData2324,'2324 Jun 24 Enroll'!I$1,FALSE)+VLOOKUP($A43,EnrollData2324,'2324 Jun 24 Enroll'!M$1,FALSE)-VLOOKUP($A43,EnrollData2324,'2324 Jun 24 Enroll'!J$1,FALSE)='District Calculations'!$F$16+'District Calculations'!$F$25-'District Calculations'!$F$17,VLOOKUP($A43,EnrollData2324,'2324 Jun 24 Enroll'!I$1,FALSE)+VLOOKUP($A43,EnrollData2324,'2324 Jun 24 Enroll'!M$1,FALSE)-VLOOKUP($A43,EnrollData2324,'2324 Jun 24 Enroll'!J$1,FALSE),'District Calculations'!$F$16+'District Calculations'!$F$25-'District Calculations'!$F$17)*Apport_217A2425,3)</f>
        <v>4.7130000000000001</v>
      </c>
      <c r="R43">
        <f>ROUND(SUM(L43:Q43)/IF(VLOOKUP($A43,EnrollData2324,'2324 Jun 24 Enroll'!M$1,FALSE)+VLOOKUP($A43,EnrollData2324,'2324 Jun 24 Enroll'!D$1,FALSE)='District Calculations'!$F$25+'District Calculations'!$F$11,VLOOKUP($A43,EnrollData2324,'2324 Jun 24 Enroll'!M$1,FALSE)+VLOOKUP($A43,EnrollData2324,'2324 Jun 24 Enroll'!D$1,FALSE),'District Calculations'!$F$25+'District Calculations'!$F$11),5)</f>
        <v>4.1200000000000004E-3</v>
      </c>
      <c r="S43" s="11">
        <f t="shared" si="14"/>
        <v>1.8734299999999999E-2</v>
      </c>
      <c r="T43">
        <f>ROUND(IF(VLOOKUP($A43,EnrollData2324,'2324 Jun 24 Enroll'!D$1,FALSE)='District Calculations'!$F$11,VLOOKUP($A43,EnrollData2324,'2324 Jun 24 Enroll'!D$1,FALSE),'District Calculations'!$F$11)*S43,3)</f>
        <v>0</v>
      </c>
      <c r="U43">
        <f>ROUND(IF(VLOOKUP($A43,EnrollData2324,'2324 Jun 24 Enroll'!E$1,FALSE)='District Calculations'!$F$12,VLOOKUP($A43,EnrollData2324,'2324 Jun 24 Enroll'!E$1,FALSE),'District Calculations'!$F$12)*S43,3)</f>
        <v>15.183999999999999</v>
      </c>
      <c r="V43">
        <f>ROUND(IF(VLOOKUP($A43,EnrollData2324,'2324 Jun 24 Enroll'!F$1,FALSE)='District Calculations'!$F$13,VLOOKUP($A43,EnrollData2324,'2324 Jun 24 Enroll'!F$1,FALSE),'District Calculations'!$F$13)*Apport_224A2425,3)</f>
        <v>3.7109999999999999</v>
      </c>
      <c r="W43">
        <f>ROUND(IF(VLOOKUP($A43,EnrollData2324,'2324 Jun 24 Enroll'!G$1,FALSE)='District Calculations'!$F$14,VLOOKUP($A43,EnrollData2324,'2324 Jun 24 Enroll'!G$1,FALSE),'District Calculations'!$F$14)*Apport_212A2425,3)</f>
        <v>8.2279999999999998</v>
      </c>
      <c r="X43">
        <f>ROUND(IF(VLOOKUP($A43,EnrollData2324,'2324 Jun 24 Enroll'!H$1,FALSE)='District Calculations'!$F$14,VLOOKUP($A43,EnrollData2324,'2324 Jun 24 Enroll'!H$1,FALSE),'District Calculations'!$F$14)*Apport_215A2425,3)</f>
        <v>8.1180000000000003</v>
      </c>
      <c r="Y43">
        <f>ROUND(IF(VLOOKUP($A43,EnrollData2324,'2324 Jun 24 Enroll'!I$1,FALSE)+VLOOKUP($A43,EnrollData2324,'2324 Jun 24 Enroll'!M$1,FALSE)-VLOOKUP($A43,EnrollData2324,'2324 Jun 24 Enroll'!J$1,FALSE)='District Calculations'!$F$16+'District Calculations'!$F$25-'District Calculations'!$F$17,VLOOKUP($A43,EnrollData2324,'2324 Jun 24 Enroll'!I$1,FALSE)+VLOOKUP($A43,EnrollData2324,'2324 Jun 24 Enroll'!M$1,FALSE)-VLOOKUP($A43,EnrollData2324,'2324 Jun 24 Enroll'!J$1,FALSE),'District Calculations'!$F$16+'District Calculations'!$F$25-'District Calculations'!$F$17)*Apport_218A2425,3)</f>
        <v>20.257999999999999</v>
      </c>
      <c r="Z43">
        <f>ROUND(SUM(T43:Y43)/IF(VLOOKUP($A43,EnrollData2324,'2324 Jun 24 Enroll'!M$1,FALSE)+VLOOKUP($A43,EnrollData2324,'2324 Jun 24 Enroll'!D$1,FALSE)='District Calculations'!$F$25+'District Calculations'!$F$11,VLOOKUP($A43,EnrollData2324,'2324 Jun 24 Enroll'!M$1,FALSE)+VLOOKUP($A43,EnrollData2324,'2324 Jun 24 Enroll'!D$1,FALSE),'District Calculations'!$F$25+'District Calculations'!$F$11),5)</f>
        <v>1.7780000000000001E-2</v>
      </c>
      <c r="AA43" s="6">
        <f>ROUND($J43*CIS_Base_Salary2425*VLOOKUP($A43,EnrollData2324,'2324 Jun 24 Enroll'!AH$1,FALSE),2)</f>
        <v>4262.68</v>
      </c>
      <c r="AB43" s="6">
        <f>ROUND($J43*CIS_Inc_Salary2425*(VLOOKUP($A43,EnrollData2324,'2324 Jun 24 Enroll'!AI$1,FALSE)+VLOOKUP($A43,EnrollData2324,'2324 Jun 24 Enroll'!AJ$1,FALSE)),2)-AA43</f>
        <v>157.6899999999996</v>
      </c>
      <c r="AC43" s="6" cm="1">
        <f t="array" ref="AC43">ROUND($R43*CAS_Base_Salary2425*VLOOKUP($A43,EnrollData2324,'2324 Jun 24 Enroll'!AH$1,FALSE),2)</f>
        <v>461.23</v>
      </c>
      <c r="AD43" s="6">
        <f>ROUND($R43*CAS_Inc_Salary2425*VLOOKUP($A43,EnrollData2324,'2324 Jun 24 Enroll'!AI$1,FALSE),2)-AC43</f>
        <v>17.069999999999993</v>
      </c>
      <c r="AE43" s="6">
        <f>ROUND($Z43*CLS_Base_Salary2425*VLOOKUP($A43,EnrollData2324,'2324 Jun 24 Enroll'!AH$1,FALSE),2)</f>
        <v>961.95</v>
      </c>
      <c r="AF43" s="6">
        <f>ROUND($Z43*CLS_Inc_Salary2425*VLOOKUP($A43,EnrollData2324,'2324 Jun 24 Enroll'!AI$1,FALSE),2)-AE43</f>
        <v>35.599999999999909</v>
      </c>
      <c r="AG43" cm="1">
        <f t="array" ref="AG43">ROUND(($J43+$R43)*Apport_124X2425,2)</f>
        <v>800.45</v>
      </c>
      <c r="AH43" s="69" cm="1">
        <f t="array" ref="AH43">ROUND(($J43+$R43)*Apport_621X2425*Apport_125XC2425,2)-AG43</f>
        <v>73.899999999999977</v>
      </c>
      <c r="AI43" cm="1">
        <f t="array" ref="AI43">ROUND($Z43*Apport_124X2425,2)</f>
        <v>234.7</v>
      </c>
      <c r="AJ43">
        <f t="shared" si="15"/>
        <v>124.71000000000004</v>
      </c>
      <c r="AK43">
        <f t="shared" si="16"/>
        <v>857.39</v>
      </c>
      <c r="AL43">
        <f t="shared" si="17"/>
        <v>30.6</v>
      </c>
      <c r="AM43">
        <f t="shared" si="18"/>
        <v>208.36</v>
      </c>
      <c r="AN43">
        <f t="shared" si="19"/>
        <v>6.46</v>
      </c>
      <c r="AO43">
        <f>ROUND(($J43*CIS_Inc_Salary2425*(VLOOKUP($A43,EnrollData2324,'2324 Jun 24 Enroll'!AI$1,FALSE)+VLOOKUP($A43,EnrollData2324,'2324 Jun 24 Enroll'!AJ$1,FALSE))/Apport_613Xpd)*Apport_614Xpd,2)</f>
        <v>73.67</v>
      </c>
      <c r="AP43">
        <f t="shared" si="20"/>
        <v>12.9</v>
      </c>
      <c r="AQ43">
        <f t="shared" si="21"/>
        <v>31.48</v>
      </c>
      <c r="AR43" s="6">
        <f>ROUND((VLOOKUP($A43,EnrollData2324,'2324 Jun 24 Enroll'!D$1,FALSE)*Apport_M802425+VLOOKUP($A43,EnrollData2324,'2324 Jun 24 Enroll'!M$1,FALSE)*Apport_M802425+(VLOOKUP($A43,EnrollData2324,'2324 Jun 24 Enroll'!P$1,FALSE)+VLOOKUP($A43,EnrollData2324,'2324 Jun 24 Enroll'!Q$1,FALSE)+VLOOKUP($A43,EnrollData2324,'2324 Jun 24 Enroll'!R$1,FALSE)+VLOOKUP($A43,EnrollData2324,'2324 Jun 24 Enroll'!I$1,FALSE)+VLOOKUP($A43,EnrollData2324,'2324 Jun 24 Enroll'!N$1,FALSE)+VLOOKUP($A43,EnrollData2324,'2324 Jun 24 Enroll'!O$1,FALSE)+VLOOKUP($A43,EnrollData2324,'2324 Jun 24 Enroll'!K$1,FALSE)+VLOOKUP($A43,EnrollData2324,'2324 Jun 24 Enroll'!L$1,FALSE))*Apport_M812425)/(VLOOKUP($A43,EnrollData2324,'2324 Jun 24 Enroll'!M$1,FALSE)+VLOOKUP($A43,EnrollData2324,'2324 Jun 24 Enroll'!D$1,FALSE)),2)</f>
        <v>1603.5</v>
      </c>
      <c r="AS43" s="7">
        <f t="shared" si="23"/>
        <v>9954.3399999999983</v>
      </c>
    </row>
    <row r="44" spans="1:48">
      <c r="A44" s="40" t="s">
        <v>325</v>
      </c>
      <c r="B44" s="40" t="s">
        <v>326</v>
      </c>
      <c r="C44" s="11">
        <f>ROUND((IFERROR((1/IF(VLOOKUP($A44,EnrollData2324,28,FALSE)='District Calculations'!$F$10,VLOOKUP($A44,EnrollData2324,28,FALSE),'District Calculations'!$F$10))*(1+Apport_Z315),0))+Apport_201A2425,6)</f>
        <v>7.4580999999999995E-2</v>
      </c>
      <c r="D44">
        <f>ROUND(IF(VLOOKUP($A44,EnrollData2324,'2324 Jun 24 Enroll'!D$1,FALSE)='District Calculations'!$F$11,VLOOKUP($A44,EnrollData2324,'2324 Jun 24 Enroll'!D$1,FALSE),'District Calculations'!$F$11)*C44,3)</f>
        <v>0</v>
      </c>
      <c r="E44">
        <f>ROUND(IF(VLOOKUP($A44,EnrollData2324,'2324 Jun 24 Enroll'!E$1,FALSE)='District Calculations'!$F$12,VLOOKUP($A44,EnrollData2324,'2324 Jun 24 Enroll'!E$1,FALSE),'District Calculations'!$F$12)*C44,3)</f>
        <v>60.447000000000003</v>
      </c>
      <c r="F44">
        <f>ROUND(IF(VLOOKUP($A44,EnrollData2324,'2324 Jun 24 Enroll'!F$1,FALSE)='District Calculations'!$F$13,VLOOKUP($A44,EnrollData2324,'2324 Jun 24 Enroll'!F$1,FALSE),'District Calculations'!$F$13)*Apport_222A2425,3)</f>
        <v>10.337999999999999</v>
      </c>
      <c r="G44">
        <f>ROUND(IF(VLOOKUP($A44,EnrollData2324,'2324 Jun 24 Enroll'!G$1,FALSE)='District Calculations'!$F$14,VLOOKUP($A44,EnrollData2324,'2324 Jun 24 Enroll'!G$1,FALSE),'District Calculations'!$F$14)*Apport_210A2425,3)</f>
        <v>22.92</v>
      </c>
      <c r="H44">
        <f>ROUND(IF(VLOOKUP($A44,EnrollData2324,'2324 Jun 24 Enroll'!H$1,FALSE)='District Calculations'!$F$15,VLOOKUP($A44,EnrollData2324,'2324 Jun 24 Enroll'!H$1,FALSE),'District Calculations'!$F$15)*Apport_213A2425,3)</f>
        <v>23.619</v>
      </c>
      <c r="I44">
        <f>ROUND(IF(VLOOKUP($A44,EnrollData2324,'2324 Jun 24 Enroll'!I$1,FALSE)+VLOOKUP($A44,EnrollData2324,'2324 Jun 24 Enroll'!M$1,FALSE)-VLOOKUP($A44,EnrollData2324,'2324 Jun 24 Enroll'!J$1,FALSE)='District Calculations'!$F$16+'District Calculations'!$F$25-'District Calculations'!$F$17,VLOOKUP($A44,EnrollData2324,'2324 Jun 24 Enroll'!I$1,FALSE)+VLOOKUP($A44,EnrollData2324,'2324 Jun 24 Enroll'!M$1,FALSE)-VLOOKUP($A44,EnrollData2324,'2324 Jun 24 Enroll'!J$1,FALSE),'District Calculations'!$F$16+'District Calculations'!$F$25-'District Calculations'!$F$17)*Apport_216A2425,3)</f>
        <v>59.057000000000002</v>
      </c>
      <c r="J44">
        <f>ROUND(SUM(D44:I44)/(IF(VLOOKUP($A44,EnrollData2324,'2324 Jun 24 Enroll'!M$1,FALSE)='District Calculations'!$F$25,VLOOKUP($A44,EnrollData2324,'2324 Jun 24 Enroll'!M$1,FALSE),'District Calculations'!$F$25)+IF(VLOOKUP($A44,EnrollData2324,'2324 Jun 24 Enroll'!D$1,FALSE)='District Calculations'!$F$11,VLOOKUP($A44,EnrollData2324,'2324 Jun 24 Enroll'!D$1,FALSE),'District Calculations'!$F$11)),5)</f>
        <v>5.6520000000000001E-2</v>
      </c>
      <c r="K44" s="11">
        <f t="shared" si="13"/>
        <v>4.385E-3</v>
      </c>
      <c r="L44">
        <f>ROUND(IF(VLOOKUP($A44,EnrollData2324,'2324 Jun 24 Enroll'!D$1,FALSE)='District Calculations'!$F$11,VLOOKUP($A44,EnrollData2324,'2324 Jun 24 Enroll'!D$1,FALSE),'District Calculations'!$F$11)*K44,3)</f>
        <v>0</v>
      </c>
      <c r="M44">
        <f>ROUND(IF(VLOOKUP($A44,EnrollData2324,'2324 Jun 24 Enroll'!E$1,FALSE)='District Calculations'!$F$12,VLOOKUP($A44,EnrollData2324,'2324 Jun 24 Enroll'!E$1,FALSE),'District Calculations'!$F$12)*K44,3)</f>
        <v>3.5539999999999998</v>
      </c>
      <c r="N44">
        <f>ROUND(IF(VLOOKUP($A44,EnrollData2324,'2324 Jun 24 Enroll'!F$1,FALSE)='District Calculations'!$F$13,VLOOKUP($A44,EnrollData2324,'2324 Jun 24 Enroll'!F$1,FALSE),'District Calculations'!$F$13)*Apport_223A2425,3)</f>
        <v>0.84599999999999997</v>
      </c>
      <c r="O44">
        <f>ROUND(IF(VLOOKUP($A44,EnrollData2324,'2324 Jun 24 Enroll'!G$1,FALSE)='District Calculations'!$F$14,VLOOKUP($A44,EnrollData2324,'2324 Jun 24 Enroll'!G$1,FALSE),'District Calculations'!$F$14)*Apport_211A2425,3)</f>
        <v>1.877</v>
      </c>
      <c r="P44">
        <f>ROUND(IF(VLOOKUP($A44,EnrollData2324,'2324 Jun 24 Enroll'!H$1,FALSE)='District Calculations'!$F$14,VLOOKUP($A44,EnrollData2324,'2324 Jun 24 Enroll'!H$1,FALSE),'District Calculations'!$F$14)*Apport_214A2425,3)</f>
        <v>1.875</v>
      </c>
      <c r="Q44">
        <f>ROUND(IF(VLOOKUP($A44,EnrollData2324,'2324 Jun 24 Enroll'!I$1,FALSE)+VLOOKUP($A44,EnrollData2324,'2324 Jun 24 Enroll'!M$1,FALSE)-VLOOKUP($A44,EnrollData2324,'2324 Jun 24 Enroll'!J$1,FALSE)='District Calculations'!$F$16+'District Calculations'!$F$25-'District Calculations'!$F$17,VLOOKUP($A44,EnrollData2324,'2324 Jun 24 Enroll'!I$1,FALSE)+VLOOKUP($A44,EnrollData2324,'2324 Jun 24 Enroll'!M$1,FALSE)-VLOOKUP($A44,EnrollData2324,'2324 Jun 24 Enroll'!J$1,FALSE),'District Calculations'!$F$16+'District Calculations'!$F$25-'District Calculations'!$F$17)*Apport_217A2425,3)</f>
        <v>4.7130000000000001</v>
      </c>
      <c r="R44">
        <f>ROUND(SUM(L44:Q44)/IF(VLOOKUP($A44,EnrollData2324,'2324 Jun 24 Enroll'!M$1,FALSE)+VLOOKUP($A44,EnrollData2324,'2324 Jun 24 Enroll'!D$1,FALSE)='District Calculations'!$F$25+'District Calculations'!$F$11,VLOOKUP($A44,EnrollData2324,'2324 Jun 24 Enroll'!M$1,FALSE)+VLOOKUP($A44,EnrollData2324,'2324 Jun 24 Enroll'!D$1,FALSE),'District Calculations'!$F$25+'District Calculations'!$F$11),5)</f>
        <v>4.1200000000000004E-3</v>
      </c>
      <c r="S44" s="11">
        <f t="shared" si="14"/>
        <v>1.8734299999999999E-2</v>
      </c>
      <c r="T44">
        <f>ROUND(IF(VLOOKUP($A44,EnrollData2324,'2324 Jun 24 Enroll'!D$1,FALSE)='District Calculations'!$F$11,VLOOKUP($A44,EnrollData2324,'2324 Jun 24 Enroll'!D$1,FALSE),'District Calculations'!$F$11)*S44,3)</f>
        <v>0</v>
      </c>
      <c r="U44">
        <f>ROUND(IF(VLOOKUP($A44,EnrollData2324,'2324 Jun 24 Enroll'!E$1,FALSE)='District Calculations'!$F$12,VLOOKUP($A44,EnrollData2324,'2324 Jun 24 Enroll'!E$1,FALSE),'District Calculations'!$F$12)*S44,3)</f>
        <v>15.183999999999999</v>
      </c>
      <c r="V44">
        <f>ROUND(IF(VLOOKUP($A44,EnrollData2324,'2324 Jun 24 Enroll'!F$1,FALSE)='District Calculations'!$F$13,VLOOKUP($A44,EnrollData2324,'2324 Jun 24 Enroll'!F$1,FALSE),'District Calculations'!$F$13)*Apport_224A2425,3)</f>
        <v>3.7109999999999999</v>
      </c>
      <c r="W44">
        <f>ROUND(IF(VLOOKUP($A44,EnrollData2324,'2324 Jun 24 Enroll'!G$1,FALSE)='District Calculations'!$F$14,VLOOKUP($A44,EnrollData2324,'2324 Jun 24 Enroll'!G$1,FALSE),'District Calculations'!$F$14)*Apport_212A2425,3)</f>
        <v>8.2279999999999998</v>
      </c>
      <c r="X44">
        <f>ROUND(IF(VLOOKUP($A44,EnrollData2324,'2324 Jun 24 Enroll'!H$1,FALSE)='District Calculations'!$F$14,VLOOKUP($A44,EnrollData2324,'2324 Jun 24 Enroll'!H$1,FALSE),'District Calculations'!$F$14)*Apport_215A2425,3)</f>
        <v>8.1180000000000003</v>
      </c>
      <c r="Y44">
        <f>ROUND(IF(VLOOKUP($A44,EnrollData2324,'2324 Jun 24 Enroll'!I$1,FALSE)+VLOOKUP($A44,EnrollData2324,'2324 Jun 24 Enroll'!M$1,FALSE)-VLOOKUP($A44,EnrollData2324,'2324 Jun 24 Enroll'!J$1,FALSE)='District Calculations'!$F$16+'District Calculations'!$F$25-'District Calculations'!$F$17,VLOOKUP($A44,EnrollData2324,'2324 Jun 24 Enroll'!I$1,FALSE)+VLOOKUP($A44,EnrollData2324,'2324 Jun 24 Enroll'!M$1,FALSE)-VLOOKUP($A44,EnrollData2324,'2324 Jun 24 Enroll'!J$1,FALSE),'District Calculations'!$F$16+'District Calculations'!$F$25-'District Calculations'!$F$17)*Apport_218A2425,3)</f>
        <v>20.257999999999999</v>
      </c>
      <c r="Z44">
        <f>ROUND(SUM(T44:Y44)/IF(VLOOKUP($A44,EnrollData2324,'2324 Jun 24 Enroll'!M$1,FALSE)+VLOOKUP($A44,EnrollData2324,'2324 Jun 24 Enroll'!D$1,FALSE)='District Calculations'!$F$25+'District Calculations'!$F$11,VLOOKUP($A44,EnrollData2324,'2324 Jun 24 Enroll'!M$1,FALSE)+VLOOKUP($A44,EnrollData2324,'2324 Jun 24 Enroll'!D$1,FALSE),'District Calculations'!$F$25+'District Calculations'!$F$11),5)</f>
        <v>1.7780000000000001E-2</v>
      </c>
      <c r="AA44" s="6">
        <f>ROUND($J44*CIS_Base_Salary2425*VLOOKUP($A44,EnrollData2324,'2324 Jun 24 Enroll'!AH$1,FALSE),2)</f>
        <v>4262.68</v>
      </c>
      <c r="AB44" s="6">
        <f>ROUND($J44*CIS_Inc_Salary2425*(VLOOKUP($A44,EnrollData2324,'2324 Jun 24 Enroll'!AI$1,FALSE)+VLOOKUP($A44,EnrollData2324,'2324 Jun 24 Enroll'!AJ$1,FALSE)),2)-AA44</f>
        <v>157.6899999999996</v>
      </c>
      <c r="AC44" s="6" cm="1">
        <f t="array" ref="AC44">ROUND($R44*CAS_Base_Salary2425*VLOOKUP($A44,EnrollData2324,'2324 Jun 24 Enroll'!AH$1,FALSE),2)</f>
        <v>461.23</v>
      </c>
      <c r="AD44" s="6">
        <f>ROUND($R44*CAS_Inc_Salary2425*VLOOKUP($A44,EnrollData2324,'2324 Jun 24 Enroll'!AI$1,FALSE),2)-AC44</f>
        <v>17.069999999999993</v>
      </c>
      <c r="AE44" s="6">
        <f>ROUND($Z44*CLS_Base_Salary2425*VLOOKUP($A44,EnrollData2324,'2324 Jun 24 Enroll'!AH$1,FALSE),2)</f>
        <v>961.95</v>
      </c>
      <c r="AF44" s="6">
        <f>ROUND($Z44*CLS_Inc_Salary2425*VLOOKUP($A44,EnrollData2324,'2324 Jun 24 Enroll'!AI$1,FALSE),2)-AE44</f>
        <v>35.599999999999909</v>
      </c>
      <c r="AG44" cm="1">
        <f t="array" ref="AG44">ROUND(($J44+$R44)*Apport_124X2425,2)</f>
        <v>800.45</v>
      </c>
      <c r="AH44" s="69" cm="1">
        <f t="array" ref="AH44">ROUND(($J44+$R44)*Apport_621X2425*Apport_125XC2425,2)-AG44</f>
        <v>73.899999999999977</v>
      </c>
      <c r="AI44" cm="1">
        <f t="array" ref="AI44">ROUND($Z44*Apport_124X2425,2)</f>
        <v>234.7</v>
      </c>
      <c r="AJ44">
        <f t="shared" si="15"/>
        <v>124.71000000000004</v>
      </c>
      <c r="AK44">
        <f t="shared" si="16"/>
        <v>857.39</v>
      </c>
      <c r="AL44">
        <f t="shared" si="17"/>
        <v>30.6</v>
      </c>
      <c r="AM44">
        <f t="shared" si="18"/>
        <v>208.36</v>
      </c>
      <c r="AN44">
        <f t="shared" si="19"/>
        <v>6.46</v>
      </c>
      <c r="AO44">
        <f>ROUND(($J44*CIS_Inc_Salary2425*(VLOOKUP($A44,EnrollData2324,'2324 Jun 24 Enroll'!AI$1,FALSE)+VLOOKUP($A44,EnrollData2324,'2324 Jun 24 Enroll'!AJ$1,FALSE))/Apport_613Xpd)*Apport_614Xpd,2)</f>
        <v>73.67</v>
      </c>
      <c r="AP44">
        <f t="shared" si="20"/>
        <v>12.9</v>
      </c>
      <c r="AQ44">
        <f t="shared" si="21"/>
        <v>31.48</v>
      </c>
      <c r="AR44" s="6">
        <f>ROUND((VLOOKUP($A44,EnrollData2324,'2324 Jun 24 Enroll'!D$1,FALSE)*Apport_M802425+VLOOKUP($A44,EnrollData2324,'2324 Jun 24 Enroll'!M$1,FALSE)*Apport_M802425+(VLOOKUP($A44,EnrollData2324,'2324 Jun 24 Enroll'!P$1,FALSE)+VLOOKUP($A44,EnrollData2324,'2324 Jun 24 Enroll'!Q$1,FALSE)+VLOOKUP($A44,EnrollData2324,'2324 Jun 24 Enroll'!R$1,FALSE)+VLOOKUP($A44,EnrollData2324,'2324 Jun 24 Enroll'!I$1,FALSE)+VLOOKUP($A44,EnrollData2324,'2324 Jun 24 Enroll'!N$1,FALSE)+VLOOKUP($A44,EnrollData2324,'2324 Jun 24 Enroll'!O$1,FALSE)+VLOOKUP($A44,EnrollData2324,'2324 Jun 24 Enroll'!K$1,FALSE)+VLOOKUP($A44,EnrollData2324,'2324 Jun 24 Enroll'!L$1,FALSE))*Apport_M812425)/(VLOOKUP($A44,EnrollData2324,'2324 Jun 24 Enroll'!M$1,FALSE)+VLOOKUP($A44,EnrollData2324,'2324 Jun 24 Enroll'!D$1,FALSE)),2)</f>
        <v>1590.94</v>
      </c>
      <c r="AS44" s="7">
        <f t="shared" si="23"/>
        <v>9941.7799999999988</v>
      </c>
    </row>
    <row r="45" spans="1:48">
      <c r="A45" s="40" t="s">
        <v>524</v>
      </c>
      <c r="B45" s="40" t="s">
        <v>525</v>
      </c>
      <c r="C45" s="11">
        <f>ROUND((IFERROR((1/IF(VLOOKUP($A45,EnrollData2324,28,FALSE)='District Calculations'!$F$10,VLOOKUP($A45,EnrollData2324,28,FALSE),'District Calculations'!$F$10))*(1+Apport_Z315),0))+Apport_201A2425,6)</f>
        <v>7.4580999999999995E-2</v>
      </c>
      <c r="D45">
        <f>ROUND(IF(VLOOKUP($A45,EnrollData2324,'2324 Jun 24 Enroll'!D$1,FALSE)='District Calculations'!$F$11,VLOOKUP($A45,EnrollData2324,'2324 Jun 24 Enroll'!D$1,FALSE),'District Calculations'!$F$11)*C45,3)</f>
        <v>0</v>
      </c>
      <c r="E45">
        <f>ROUND(IF(VLOOKUP($A45,EnrollData2324,'2324 Jun 24 Enroll'!E$1,FALSE)='District Calculations'!$F$12,VLOOKUP($A45,EnrollData2324,'2324 Jun 24 Enroll'!E$1,FALSE),'District Calculations'!$F$12)*C45,3)</f>
        <v>60.447000000000003</v>
      </c>
      <c r="F45">
        <f>ROUND(IF(VLOOKUP($A45,EnrollData2324,'2324 Jun 24 Enroll'!F$1,FALSE)='District Calculations'!$F$13,VLOOKUP($A45,EnrollData2324,'2324 Jun 24 Enroll'!F$1,FALSE),'District Calculations'!$F$13)*Apport_222A2425,3)</f>
        <v>10.337999999999999</v>
      </c>
      <c r="G45">
        <f>ROUND(IF(VLOOKUP($A45,EnrollData2324,'2324 Jun 24 Enroll'!G$1,FALSE)='District Calculations'!$F$14,VLOOKUP($A45,EnrollData2324,'2324 Jun 24 Enroll'!G$1,FALSE),'District Calculations'!$F$14)*Apport_210A2425,3)</f>
        <v>22.92</v>
      </c>
      <c r="H45">
        <f>ROUND(IF(VLOOKUP($A45,EnrollData2324,'2324 Jun 24 Enroll'!H$1,FALSE)='District Calculations'!$F$15,VLOOKUP($A45,EnrollData2324,'2324 Jun 24 Enroll'!H$1,FALSE),'District Calculations'!$F$15)*Apport_213A2425,3)</f>
        <v>23.619</v>
      </c>
      <c r="I45">
        <f>ROUND(IF(VLOOKUP($A45,EnrollData2324,'2324 Jun 24 Enroll'!I$1,FALSE)+VLOOKUP($A45,EnrollData2324,'2324 Jun 24 Enroll'!M$1,FALSE)-VLOOKUP($A45,EnrollData2324,'2324 Jun 24 Enroll'!J$1,FALSE)='District Calculations'!$F$16+'District Calculations'!$F$25-'District Calculations'!$F$17,VLOOKUP($A45,EnrollData2324,'2324 Jun 24 Enroll'!I$1,FALSE)+VLOOKUP($A45,EnrollData2324,'2324 Jun 24 Enroll'!M$1,FALSE)-VLOOKUP($A45,EnrollData2324,'2324 Jun 24 Enroll'!J$1,FALSE),'District Calculations'!$F$16+'District Calculations'!$F$25-'District Calculations'!$F$17)*Apport_216A2425,3)</f>
        <v>59.057000000000002</v>
      </c>
      <c r="J45">
        <f>ROUND(SUM(D45:I45)/(IF(VLOOKUP($A45,EnrollData2324,'2324 Jun 24 Enroll'!M$1,FALSE)='District Calculations'!$F$25,VLOOKUP($A45,EnrollData2324,'2324 Jun 24 Enroll'!M$1,FALSE),'District Calculations'!$F$25)+IF(VLOOKUP($A45,EnrollData2324,'2324 Jun 24 Enroll'!D$1,FALSE)='District Calculations'!$F$11,VLOOKUP($A45,EnrollData2324,'2324 Jun 24 Enroll'!D$1,FALSE),'District Calculations'!$F$11)),5)</f>
        <v>5.6520000000000001E-2</v>
      </c>
      <c r="K45" s="11">
        <f t="shared" si="13"/>
        <v>4.385E-3</v>
      </c>
      <c r="L45">
        <f>ROUND(IF(VLOOKUP($A45,EnrollData2324,'2324 Jun 24 Enroll'!D$1,FALSE)='District Calculations'!$F$11,VLOOKUP($A45,EnrollData2324,'2324 Jun 24 Enroll'!D$1,FALSE),'District Calculations'!$F$11)*K45,3)</f>
        <v>0</v>
      </c>
      <c r="M45">
        <f>ROUND(IF(VLOOKUP($A45,EnrollData2324,'2324 Jun 24 Enroll'!E$1,FALSE)='District Calculations'!$F$12,VLOOKUP($A45,EnrollData2324,'2324 Jun 24 Enroll'!E$1,FALSE),'District Calculations'!$F$12)*K45,3)</f>
        <v>3.5539999999999998</v>
      </c>
      <c r="N45">
        <f>ROUND(IF(VLOOKUP($A45,EnrollData2324,'2324 Jun 24 Enroll'!F$1,FALSE)='District Calculations'!$F$13,VLOOKUP($A45,EnrollData2324,'2324 Jun 24 Enroll'!F$1,FALSE),'District Calculations'!$F$13)*Apport_223A2425,3)</f>
        <v>0.84599999999999997</v>
      </c>
      <c r="O45">
        <f>ROUND(IF(VLOOKUP($A45,EnrollData2324,'2324 Jun 24 Enroll'!G$1,FALSE)='District Calculations'!$F$14,VLOOKUP($A45,EnrollData2324,'2324 Jun 24 Enroll'!G$1,FALSE),'District Calculations'!$F$14)*Apport_211A2425,3)</f>
        <v>1.877</v>
      </c>
      <c r="P45">
        <f>ROUND(IF(VLOOKUP($A45,EnrollData2324,'2324 Jun 24 Enroll'!H$1,FALSE)='District Calculations'!$F$14,VLOOKUP($A45,EnrollData2324,'2324 Jun 24 Enroll'!H$1,FALSE),'District Calculations'!$F$14)*Apport_214A2425,3)</f>
        <v>1.875</v>
      </c>
      <c r="Q45">
        <f>ROUND(IF(VLOOKUP($A45,EnrollData2324,'2324 Jun 24 Enroll'!I$1,FALSE)+VLOOKUP($A45,EnrollData2324,'2324 Jun 24 Enroll'!M$1,FALSE)-VLOOKUP($A45,EnrollData2324,'2324 Jun 24 Enroll'!J$1,FALSE)='District Calculations'!$F$16+'District Calculations'!$F$25-'District Calculations'!$F$17,VLOOKUP($A45,EnrollData2324,'2324 Jun 24 Enroll'!I$1,FALSE)+VLOOKUP($A45,EnrollData2324,'2324 Jun 24 Enroll'!M$1,FALSE)-VLOOKUP($A45,EnrollData2324,'2324 Jun 24 Enroll'!J$1,FALSE),'District Calculations'!$F$16+'District Calculations'!$F$25-'District Calculations'!$F$17)*Apport_217A2425,3)</f>
        <v>4.7130000000000001</v>
      </c>
      <c r="R45">
        <f>ROUND(SUM(L45:Q45)/IF(VLOOKUP($A45,EnrollData2324,'2324 Jun 24 Enroll'!M$1,FALSE)+VLOOKUP($A45,EnrollData2324,'2324 Jun 24 Enroll'!D$1,FALSE)='District Calculations'!$F$25+'District Calculations'!$F$11,VLOOKUP($A45,EnrollData2324,'2324 Jun 24 Enroll'!M$1,FALSE)+VLOOKUP($A45,EnrollData2324,'2324 Jun 24 Enroll'!D$1,FALSE),'District Calculations'!$F$25+'District Calculations'!$F$11),5)</f>
        <v>4.1200000000000004E-3</v>
      </c>
      <c r="S45" s="11">
        <f t="shared" si="14"/>
        <v>1.8734299999999999E-2</v>
      </c>
      <c r="T45">
        <f>ROUND(IF(VLOOKUP($A45,EnrollData2324,'2324 Jun 24 Enroll'!D$1,FALSE)='District Calculations'!$F$11,VLOOKUP($A45,EnrollData2324,'2324 Jun 24 Enroll'!D$1,FALSE),'District Calculations'!$F$11)*S45,3)</f>
        <v>0</v>
      </c>
      <c r="U45">
        <f>ROUND(IF(VLOOKUP($A45,EnrollData2324,'2324 Jun 24 Enroll'!E$1,FALSE)='District Calculations'!$F$12,VLOOKUP($A45,EnrollData2324,'2324 Jun 24 Enroll'!E$1,FALSE),'District Calculations'!$F$12)*S45,3)</f>
        <v>15.183999999999999</v>
      </c>
      <c r="V45">
        <f>ROUND(IF(VLOOKUP($A45,EnrollData2324,'2324 Jun 24 Enroll'!F$1,FALSE)='District Calculations'!$F$13,VLOOKUP($A45,EnrollData2324,'2324 Jun 24 Enroll'!F$1,FALSE),'District Calculations'!$F$13)*Apport_224A2425,3)</f>
        <v>3.7109999999999999</v>
      </c>
      <c r="W45">
        <f>ROUND(IF(VLOOKUP($A45,EnrollData2324,'2324 Jun 24 Enroll'!G$1,FALSE)='District Calculations'!$F$14,VLOOKUP($A45,EnrollData2324,'2324 Jun 24 Enroll'!G$1,FALSE),'District Calculations'!$F$14)*Apport_212A2425,3)</f>
        <v>8.2279999999999998</v>
      </c>
      <c r="X45">
        <f>ROUND(IF(VLOOKUP($A45,EnrollData2324,'2324 Jun 24 Enroll'!H$1,FALSE)='District Calculations'!$F$14,VLOOKUP($A45,EnrollData2324,'2324 Jun 24 Enroll'!H$1,FALSE),'District Calculations'!$F$14)*Apport_215A2425,3)</f>
        <v>8.1180000000000003</v>
      </c>
      <c r="Y45">
        <f>ROUND(IF(VLOOKUP($A45,EnrollData2324,'2324 Jun 24 Enroll'!I$1,FALSE)+VLOOKUP($A45,EnrollData2324,'2324 Jun 24 Enroll'!M$1,FALSE)-VLOOKUP($A45,EnrollData2324,'2324 Jun 24 Enroll'!J$1,FALSE)='District Calculations'!$F$16+'District Calculations'!$F$25-'District Calculations'!$F$17,VLOOKUP($A45,EnrollData2324,'2324 Jun 24 Enroll'!I$1,FALSE)+VLOOKUP($A45,EnrollData2324,'2324 Jun 24 Enroll'!M$1,FALSE)-VLOOKUP($A45,EnrollData2324,'2324 Jun 24 Enroll'!J$1,FALSE),'District Calculations'!$F$16+'District Calculations'!$F$25-'District Calculations'!$F$17)*Apport_218A2425,3)</f>
        <v>20.257999999999999</v>
      </c>
      <c r="Z45">
        <f>ROUND(SUM(T45:Y45)/IF(VLOOKUP($A45,EnrollData2324,'2324 Jun 24 Enroll'!M$1,FALSE)+VLOOKUP($A45,EnrollData2324,'2324 Jun 24 Enroll'!D$1,FALSE)='District Calculations'!$F$25+'District Calculations'!$F$11,VLOOKUP($A45,EnrollData2324,'2324 Jun 24 Enroll'!M$1,FALSE)+VLOOKUP($A45,EnrollData2324,'2324 Jun 24 Enroll'!D$1,FALSE),'District Calculations'!$F$25+'District Calculations'!$F$11),5)</f>
        <v>1.7780000000000001E-2</v>
      </c>
      <c r="AA45" s="6">
        <f>ROUND($J45*CIS_Base_Salary2425*VLOOKUP($A45,EnrollData2324,'2324 Jun 24 Enroll'!AH$1,FALSE),2)</f>
        <v>4262.68</v>
      </c>
      <c r="AB45" s="6">
        <f>ROUND($J45*CIS_Inc_Salary2425*(VLOOKUP($A45,EnrollData2324,'2324 Jun 24 Enroll'!AI$1,FALSE)+VLOOKUP($A45,EnrollData2324,'2324 Jun 24 Enroll'!AJ$1,FALSE)),2)-AA45</f>
        <v>157.6899999999996</v>
      </c>
      <c r="AC45" s="6" cm="1">
        <f t="array" ref="AC45">ROUND($R45*CAS_Base_Salary2425*VLOOKUP($A45,EnrollData2324,'2324 Jun 24 Enroll'!AH$1,FALSE),2)</f>
        <v>461.23</v>
      </c>
      <c r="AD45" s="6">
        <f>ROUND($R45*CAS_Inc_Salary2425*VLOOKUP($A45,EnrollData2324,'2324 Jun 24 Enroll'!AI$1,FALSE),2)-AC45</f>
        <v>17.069999999999993</v>
      </c>
      <c r="AE45" s="6">
        <f>ROUND($Z45*CLS_Base_Salary2425*VLOOKUP($A45,EnrollData2324,'2324 Jun 24 Enroll'!AH$1,FALSE),2)</f>
        <v>961.95</v>
      </c>
      <c r="AF45" s="6">
        <f>ROUND($Z45*CLS_Inc_Salary2425*VLOOKUP($A45,EnrollData2324,'2324 Jun 24 Enroll'!AI$1,FALSE),2)-AE45</f>
        <v>35.599999999999909</v>
      </c>
      <c r="AG45" cm="1">
        <f t="array" ref="AG45">ROUND(($J45+$R45)*Apport_124X2425,2)</f>
        <v>800.45</v>
      </c>
      <c r="AH45" s="69" cm="1">
        <f t="array" ref="AH45">ROUND(($J45+$R45)*Apport_621X2425*Apport_125XC2425,2)-AG45</f>
        <v>73.899999999999977</v>
      </c>
      <c r="AI45" cm="1">
        <f t="array" ref="AI45">ROUND($Z45*Apport_124X2425,2)</f>
        <v>234.7</v>
      </c>
      <c r="AJ45">
        <f t="shared" si="15"/>
        <v>124.71000000000004</v>
      </c>
      <c r="AK45">
        <f t="shared" si="16"/>
        <v>857.39</v>
      </c>
      <c r="AL45">
        <f t="shared" si="17"/>
        <v>30.6</v>
      </c>
      <c r="AM45">
        <f t="shared" si="18"/>
        <v>208.36</v>
      </c>
      <c r="AN45">
        <f t="shared" si="19"/>
        <v>6.46</v>
      </c>
      <c r="AO45">
        <f>ROUND(($J45*CIS_Inc_Salary2425*(VLOOKUP($A45,EnrollData2324,'2324 Jun 24 Enroll'!AI$1,FALSE)+VLOOKUP($A45,EnrollData2324,'2324 Jun 24 Enroll'!AJ$1,FALSE))/Apport_613Xpd)*Apport_614Xpd,2)</f>
        <v>73.67</v>
      </c>
      <c r="AP45">
        <f t="shared" si="20"/>
        <v>12.9</v>
      </c>
      <c r="AQ45">
        <f t="shared" si="21"/>
        <v>31.48</v>
      </c>
      <c r="AR45" s="6">
        <f>ROUND((VLOOKUP($A45,EnrollData2324,'2324 Jun 24 Enroll'!D$1,FALSE)*Apport_M802425+VLOOKUP($A45,EnrollData2324,'2324 Jun 24 Enroll'!M$1,FALSE)*Apport_M802425+(VLOOKUP($A45,EnrollData2324,'2324 Jun 24 Enroll'!P$1,FALSE)+VLOOKUP($A45,EnrollData2324,'2324 Jun 24 Enroll'!Q$1,FALSE)+VLOOKUP($A45,EnrollData2324,'2324 Jun 24 Enroll'!R$1,FALSE)+VLOOKUP($A45,EnrollData2324,'2324 Jun 24 Enroll'!I$1,FALSE)+VLOOKUP($A45,EnrollData2324,'2324 Jun 24 Enroll'!N$1,FALSE)+VLOOKUP($A45,EnrollData2324,'2324 Jun 24 Enroll'!O$1,FALSE)+VLOOKUP($A45,EnrollData2324,'2324 Jun 24 Enroll'!K$1,FALSE)+VLOOKUP($A45,EnrollData2324,'2324 Jun 24 Enroll'!L$1,FALSE))*Apport_M812425)/(VLOOKUP($A45,EnrollData2324,'2324 Jun 24 Enroll'!M$1,FALSE)+VLOOKUP($A45,EnrollData2324,'2324 Jun 24 Enroll'!D$1,FALSE)),2)</f>
        <v>1605.3</v>
      </c>
      <c r="AS45" s="7">
        <f t="shared" si="23"/>
        <v>9956.1399999999976</v>
      </c>
    </row>
    <row r="46" spans="1:48">
      <c r="A46" s="40" t="s">
        <v>685</v>
      </c>
      <c r="B46" s="40" t="s">
        <v>686</v>
      </c>
      <c r="C46" s="11">
        <f>ROUND((IFERROR((1/IF(VLOOKUP($A46,EnrollData2324,28,FALSE)='District Calculations'!$F$10,VLOOKUP($A46,EnrollData2324,28,FALSE),'District Calculations'!$F$10))*(1+Apport_Z315),0))+Apport_201A2425,6)</f>
        <v>7.4580999999999995E-2</v>
      </c>
      <c r="D46">
        <f>ROUND(IF(VLOOKUP($A46,EnrollData2324,'2324 Jun 24 Enroll'!D$1,FALSE)='District Calculations'!$F$11,VLOOKUP($A46,EnrollData2324,'2324 Jun 24 Enroll'!D$1,FALSE),'District Calculations'!$F$11)*C46,3)</f>
        <v>0</v>
      </c>
      <c r="E46">
        <f>ROUND(IF(VLOOKUP($A46,EnrollData2324,'2324 Jun 24 Enroll'!E$1,FALSE)='District Calculations'!$F$12,VLOOKUP($A46,EnrollData2324,'2324 Jun 24 Enroll'!E$1,FALSE),'District Calculations'!$F$12)*C46,3)</f>
        <v>60.447000000000003</v>
      </c>
      <c r="F46">
        <f>ROUND(IF(VLOOKUP($A46,EnrollData2324,'2324 Jun 24 Enroll'!F$1,FALSE)='District Calculations'!$F$13,VLOOKUP($A46,EnrollData2324,'2324 Jun 24 Enroll'!F$1,FALSE),'District Calculations'!$F$13)*Apport_222A2425,3)</f>
        <v>10.337999999999999</v>
      </c>
      <c r="G46">
        <f>ROUND(IF(VLOOKUP($A46,EnrollData2324,'2324 Jun 24 Enroll'!G$1,FALSE)='District Calculations'!$F$14,VLOOKUP($A46,EnrollData2324,'2324 Jun 24 Enroll'!G$1,FALSE),'District Calculations'!$F$14)*Apport_210A2425,3)</f>
        <v>22.92</v>
      </c>
      <c r="H46">
        <f>ROUND(IF(VLOOKUP($A46,EnrollData2324,'2324 Jun 24 Enroll'!H$1,FALSE)='District Calculations'!$F$15,VLOOKUP($A46,EnrollData2324,'2324 Jun 24 Enroll'!H$1,FALSE),'District Calculations'!$F$15)*Apport_213A2425,3)</f>
        <v>23.619</v>
      </c>
      <c r="I46">
        <f>ROUND(IF(VLOOKUP($A46,EnrollData2324,'2324 Jun 24 Enroll'!I$1,FALSE)+VLOOKUP($A46,EnrollData2324,'2324 Jun 24 Enroll'!M$1,FALSE)-VLOOKUP($A46,EnrollData2324,'2324 Jun 24 Enroll'!J$1,FALSE)='District Calculations'!$F$16+'District Calculations'!$F$25-'District Calculations'!$F$17,VLOOKUP($A46,EnrollData2324,'2324 Jun 24 Enroll'!I$1,FALSE)+VLOOKUP($A46,EnrollData2324,'2324 Jun 24 Enroll'!M$1,FALSE)-VLOOKUP($A46,EnrollData2324,'2324 Jun 24 Enroll'!J$1,FALSE),'District Calculations'!$F$16+'District Calculations'!$F$25-'District Calculations'!$F$17)*Apport_216A2425,3)</f>
        <v>59.057000000000002</v>
      </c>
      <c r="J46">
        <f>ROUND(SUM(D46:I46)/(IF(VLOOKUP($A46,EnrollData2324,'2324 Jun 24 Enroll'!M$1,FALSE)='District Calculations'!$F$25,VLOOKUP($A46,EnrollData2324,'2324 Jun 24 Enroll'!M$1,FALSE),'District Calculations'!$F$25)+IF(VLOOKUP($A46,EnrollData2324,'2324 Jun 24 Enroll'!D$1,FALSE)='District Calculations'!$F$11,VLOOKUP($A46,EnrollData2324,'2324 Jun 24 Enroll'!D$1,FALSE),'District Calculations'!$F$11)),5)</f>
        <v>5.6520000000000001E-2</v>
      </c>
      <c r="K46" s="11">
        <f t="shared" si="13"/>
        <v>4.385E-3</v>
      </c>
      <c r="L46">
        <f>ROUND(IF(VLOOKUP($A46,EnrollData2324,'2324 Jun 24 Enroll'!D$1,FALSE)='District Calculations'!$F$11,VLOOKUP($A46,EnrollData2324,'2324 Jun 24 Enroll'!D$1,FALSE),'District Calculations'!$F$11)*K46,3)</f>
        <v>0</v>
      </c>
      <c r="M46">
        <f>ROUND(IF(VLOOKUP($A46,EnrollData2324,'2324 Jun 24 Enroll'!E$1,FALSE)='District Calculations'!$F$12,VLOOKUP($A46,EnrollData2324,'2324 Jun 24 Enroll'!E$1,FALSE),'District Calculations'!$F$12)*K46,3)</f>
        <v>3.5539999999999998</v>
      </c>
      <c r="N46">
        <f>ROUND(IF(VLOOKUP($A46,EnrollData2324,'2324 Jun 24 Enroll'!F$1,FALSE)='District Calculations'!$F$13,VLOOKUP($A46,EnrollData2324,'2324 Jun 24 Enroll'!F$1,FALSE),'District Calculations'!$F$13)*Apport_223A2425,3)</f>
        <v>0.84599999999999997</v>
      </c>
      <c r="O46">
        <f>ROUND(IF(VLOOKUP($A46,EnrollData2324,'2324 Jun 24 Enroll'!G$1,FALSE)='District Calculations'!$F$14,VLOOKUP($A46,EnrollData2324,'2324 Jun 24 Enroll'!G$1,FALSE),'District Calculations'!$F$14)*Apport_211A2425,3)</f>
        <v>1.877</v>
      </c>
      <c r="P46">
        <f>ROUND(IF(VLOOKUP($A46,EnrollData2324,'2324 Jun 24 Enroll'!H$1,FALSE)='District Calculations'!$F$14,VLOOKUP($A46,EnrollData2324,'2324 Jun 24 Enroll'!H$1,FALSE),'District Calculations'!$F$14)*Apport_214A2425,3)</f>
        <v>1.875</v>
      </c>
      <c r="Q46">
        <f>ROUND(IF(VLOOKUP($A46,EnrollData2324,'2324 Jun 24 Enroll'!I$1,FALSE)+VLOOKUP($A46,EnrollData2324,'2324 Jun 24 Enroll'!M$1,FALSE)-VLOOKUP($A46,EnrollData2324,'2324 Jun 24 Enroll'!J$1,FALSE)='District Calculations'!$F$16+'District Calculations'!$F$25-'District Calculations'!$F$17,VLOOKUP($A46,EnrollData2324,'2324 Jun 24 Enroll'!I$1,FALSE)+VLOOKUP($A46,EnrollData2324,'2324 Jun 24 Enroll'!M$1,FALSE)-VLOOKUP($A46,EnrollData2324,'2324 Jun 24 Enroll'!J$1,FALSE),'District Calculations'!$F$16+'District Calculations'!$F$25-'District Calculations'!$F$17)*Apport_217A2425,3)</f>
        <v>4.7130000000000001</v>
      </c>
      <c r="R46">
        <f>ROUND(SUM(L46:Q46)/IF(VLOOKUP($A46,EnrollData2324,'2324 Jun 24 Enroll'!M$1,FALSE)+VLOOKUP($A46,EnrollData2324,'2324 Jun 24 Enroll'!D$1,FALSE)='District Calculations'!$F$25+'District Calculations'!$F$11,VLOOKUP($A46,EnrollData2324,'2324 Jun 24 Enroll'!M$1,FALSE)+VLOOKUP($A46,EnrollData2324,'2324 Jun 24 Enroll'!D$1,FALSE),'District Calculations'!$F$25+'District Calculations'!$F$11),5)</f>
        <v>4.1200000000000004E-3</v>
      </c>
      <c r="S46" s="11">
        <f t="shared" si="14"/>
        <v>1.8734299999999999E-2</v>
      </c>
      <c r="T46">
        <f>ROUND(IF(VLOOKUP($A46,EnrollData2324,'2324 Jun 24 Enroll'!D$1,FALSE)='District Calculations'!$F$11,VLOOKUP($A46,EnrollData2324,'2324 Jun 24 Enroll'!D$1,FALSE),'District Calculations'!$F$11)*S46,3)</f>
        <v>0</v>
      </c>
      <c r="U46">
        <f>ROUND(IF(VLOOKUP($A46,EnrollData2324,'2324 Jun 24 Enroll'!E$1,FALSE)='District Calculations'!$F$12,VLOOKUP($A46,EnrollData2324,'2324 Jun 24 Enroll'!E$1,FALSE),'District Calculations'!$F$12)*S46,3)</f>
        <v>15.183999999999999</v>
      </c>
      <c r="V46">
        <f>ROUND(IF(VLOOKUP($A46,EnrollData2324,'2324 Jun 24 Enroll'!F$1,FALSE)='District Calculations'!$F$13,VLOOKUP($A46,EnrollData2324,'2324 Jun 24 Enroll'!F$1,FALSE),'District Calculations'!$F$13)*Apport_224A2425,3)</f>
        <v>3.7109999999999999</v>
      </c>
      <c r="W46">
        <f>ROUND(IF(VLOOKUP($A46,EnrollData2324,'2324 Jun 24 Enroll'!G$1,FALSE)='District Calculations'!$F$14,VLOOKUP($A46,EnrollData2324,'2324 Jun 24 Enroll'!G$1,FALSE),'District Calculations'!$F$14)*Apport_212A2425,3)</f>
        <v>8.2279999999999998</v>
      </c>
      <c r="X46">
        <f>ROUND(IF(VLOOKUP($A46,EnrollData2324,'2324 Jun 24 Enroll'!H$1,FALSE)='District Calculations'!$F$14,VLOOKUP($A46,EnrollData2324,'2324 Jun 24 Enroll'!H$1,FALSE),'District Calculations'!$F$14)*Apport_215A2425,3)</f>
        <v>8.1180000000000003</v>
      </c>
      <c r="Y46">
        <f>ROUND(IF(VLOOKUP($A46,EnrollData2324,'2324 Jun 24 Enroll'!I$1,FALSE)+VLOOKUP($A46,EnrollData2324,'2324 Jun 24 Enroll'!M$1,FALSE)-VLOOKUP($A46,EnrollData2324,'2324 Jun 24 Enroll'!J$1,FALSE)='District Calculations'!$F$16+'District Calculations'!$F$25-'District Calculations'!$F$17,VLOOKUP($A46,EnrollData2324,'2324 Jun 24 Enroll'!I$1,FALSE)+VLOOKUP($A46,EnrollData2324,'2324 Jun 24 Enroll'!M$1,FALSE)-VLOOKUP($A46,EnrollData2324,'2324 Jun 24 Enroll'!J$1,FALSE),'District Calculations'!$F$16+'District Calculations'!$F$25-'District Calculations'!$F$17)*Apport_218A2425,3)</f>
        <v>20.257999999999999</v>
      </c>
      <c r="Z46">
        <f>ROUND(SUM(T46:Y46)/IF(VLOOKUP($A46,EnrollData2324,'2324 Jun 24 Enroll'!M$1,FALSE)+VLOOKUP($A46,EnrollData2324,'2324 Jun 24 Enroll'!D$1,FALSE)='District Calculations'!$F$25+'District Calculations'!$F$11,VLOOKUP($A46,EnrollData2324,'2324 Jun 24 Enroll'!M$1,FALSE)+VLOOKUP($A46,EnrollData2324,'2324 Jun 24 Enroll'!D$1,FALSE),'District Calculations'!$F$25+'District Calculations'!$F$11),5)</f>
        <v>1.7780000000000001E-2</v>
      </c>
      <c r="AA46" s="6">
        <f>ROUND($J46*CIS_Base_Salary2425*VLOOKUP($A46,EnrollData2324,'2324 Jun 24 Enroll'!AH$1,FALSE),2)</f>
        <v>4262.68</v>
      </c>
      <c r="AB46" s="6">
        <f>ROUND($J46*CIS_Inc_Salary2425*(VLOOKUP($A46,EnrollData2324,'2324 Jun 24 Enroll'!AI$1,FALSE)+VLOOKUP($A46,EnrollData2324,'2324 Jun 24 Enroll'!AJ$1,FALSE)),2)-AA46</f>
        <v>157.6899999999996</v>
      </c>
      <c r="AC46" s="6" cm="1">
        <f t="array" ref="AC46">ROUND($R46*CAS_Base_Salary2425*VLOOKUP($A46,EnrollData2324,'2324 Jun 24 Enroll'!AH$1,FALSE),2)</f>
        <v>461.23</v>
      </c>
      <c r="AD46" s="6">
        <f>ROUND($R46*CAS_Inc_Salary2425*VLOOKUP($A46,EnrollData2324,'2324 Jun 24 Enroll'!AI$1,FALSE),2)-AC46</f>
        <v>17.069999999999993</v>
      </c>
      <c r="AE46" s="6">
        <f>ROUND($Z46*CLS_Base_Salary2425*VLOOKUP($A46,EnrollData2324,'2324 Jun 24 Enroll'!AH$1,FALSE),2)</f>
        <v>961.95</v>
      </c>
      <c r="AF46" s="6">
        <f>ROUND($Z46*CLS_Inc_Salary2425*VLOOKUP($A46,EnrollData2324,'2324 Jun 24 Enroll'!AI$1,FALSE),2)-AE46</f>
        <v>35.599999999999909</v>
      </c>
      <c r="AG46" cm="1">
        <f t="array" ref="AG46">ROUND(($J46+$R46)*Apport_124X2425,2)</f>
        <v>800.45</v>
      </c>
      <c r="AH46" s="69" cm="1">
        <f t="array" ref="AH46">ROUND(($J46+$R46)*Apport_621X2425*Apport_125XC2425,2)-AG46</f>
        <v>73.899999999999977</v>
      </c>
      <c r="AI46" cm="1">
        <f t="array" ref="AI46">ROUND($Z46*Apport_124X2425,2)</f>
        <v>234.7</v>
      </c>
      <c r="AJ46">
        <f t="shared" si="15"/>
        <v>124.71000000000004</v>
      </c>
      <c r="AK46">
        <f t="shared" si="16"/>
        <v>857.39</v>
      </c>
      <c r="AL46">
        <f t="shared" si="17"/>
        <v>30.6</v>
      </c>
      <c r="AM46">
        <f t="shared" si="18"/>
        <v>208.36</v>
      </c>
      <c r="AN46">
        <f t="shared" si="19"/>
        <v>6.46</v>
      </c>
      <c r="AO46">
        <f>ROUND(($J46*CIS_Inc_Salary2425*(VLOOKUP($A46,EnrollData2324,'2324 Jun 24 Enroll'!AI$1,FALSE)+VLOOKUP($A46,EnrollData2324,'2324 Jun 24 Enroll'!AJ$1,FALSE))/Apport_613Xpd)*Apport_614Xpd,2)</f>
        <v>73.67</v>
      </c>
      <c r="AP46">
        <f t="shared" si="20"/>
        <v>12.9</v>
      </c>
      <c r="AQ46">
        <f t="shared" si="21"/>
        <v>31.48</v>
      </c>
      <c r="AR46" s="6">
        <f>ROUND((VLOOKUP($A46,EnrollData2324,'2324 Jun 24 Enroll'!D$1,FALSE)*Apport_M802425+VLOOKUP($A46,EnrollData2324,'2324 Jun 24 Enroll'!M$1,FALSE)*Apport_M802425+(VLOOKUP($A46,EnrollData2324,'2324 Jun 24 Enroll'!P$1,FALSE)+VLOOKUP($A46,EnrollData2324,'2324 Jun 24 Enroll'!Q$1,FALSE)+VLOOKUP($A46,EnrollData2324,'2324 Jun 24 Enroll'!R$1,FALSE)+VLOOKUP($A46,EnrollData2324,'2324 Jun 24 Enroll'!I$1,FALSE)+VLOOKUP($A46,EnrollData2324,'2324 Jun 24 Enroll'!N$1,FALSE)+VLOOKUP($A46,EnrollData2324,'2324 Jun 24 Enroll'!O$1,FALSE)+VLOOKUP($A46,EnrollData2324,'2324 Jun 24 Enroll'!K$1,FALSE)+VLOOKUP($A46,EnrollData2324,'2324 Jun 24 Enroll'!L$1,FALSE))*Apport_M812425)/(VLOOKUP($A46,EnrollData2324,'2324 Jun 24 Enroll'!M$1,FALSE)+VLOOKUP($A46,EnrollData2324,'2324 Jun 24 Enroll'!D$1,FALSE)),2)</f>
        <v>1533.02</v>
      </c>
      <c r="AS46" s="7">
        <f t="shared" si="23"/>
        <v>9883.8599999999988</v>
      </c>
    </row>
    <row r="47" spans="1:48">
      <c r="A47" s="40" t="s">
        <v>530</v>
      </c>
      <c r="B47" s="40" t="s">
        <v>531</v>
      </c>
      <c r="C47" s="11">
        <f>ROUND((IFERROR((1/IF(VLOOKUP($A47,EnrollData2324,28,FALSE)='District Calculations'!$F$10,VLOOKUP($A47,EnrollData2324,28,FALSE),'District Calculations'!$F$10))*(1+Apport_Z315),0))+Apport_201A2425,6)</f>
        <v>7.4580999999999995E-2</v>
      </c>
      <c r="D47">
        <f>ROUND(IF(VLOOKUP($A47,EnrollData2324,'2324 Jun 24 Enroll'!D$1,FALSE)='District Calculations'!$F$11,VLOOKUP($A47,EnrollData2324,'2324 Jun 24 Enroll'!D$1,FALSE),'District Calculations'!$F$11)*C47,3)</f>
        <v>0</v>
      </c>
      <c r="E47">
        <f>ROUND(IF(VLOOKUP($A47,EnrollData2324,'2324 Jun 24 Enroll'!E$1,FALSE)='District Calculations'!$F$12,VLOOKUP($A47,EnrollData2324,'2324 Jun 24 Enroll'!E$1,FALSE),'District Calculations'!$F$12)*C47,3)</f>
        <v>60.447000000000003</v>
      </c>
      <c r="F47">
        <f>ROUND(IF(VLOOKUP($A47,EnrollData2324,'2324 Jun 24 Enroll'!F$1,FALSE)='District Calculations'!$F$13,VLOOKUP($A47,EnrollData2324,'2324 Jun 24 Enroll'!F$1,FALSE),'District Calculations'!$F$13)*Apport_222A2425,3)</f>
        <v>10.337999999999999</v>
      </c>
      <c r="G47">
        <f>ROUND(IF(VLOOKUP($A47,EnrollData2324,'2324 Jun 24 Enroll'!G$1,FALSE)='District Calculations'!$F$14,VLOOKUP($A47,EnrollData2324,'2324 Jun 24 Enroll'!G$1,FALSE),'District Calculations'!$F$14)*Apport_210A2425,3)</f>
        <v>22.92</v>
      </c>
      <c r="H47">
        <f>ROUND(IF(VLOOKUP($A47,EnrollData2324,'2324 Jun 24 Enroll'!H$1,FALSE)='District Calculations'!$F$15,VLOOKUP($A47,EnrollData2324,'2324 Jun 24 Enroll'!H$1,FALSE),'District Calculations'!$F$15)*Apport_213A2425,3)</f>
        <v>23.619</v>
      </c>
      <c r="I47">
        <f>ROUND(IF(VLOOKUP($A47,EnrollData2324,'2324 Jun 24 Enroll'!I$1,FALSE)+VLOOKUP($A47,EnrollData2324,'2324 Jun 24 Enroll'!M$1,FALSE)-VLOOKUP($A47,EnrollData2324,'2324 Jun 24 Enroll'!J$1,FALSE)='District Calculations'!$F$16+'District Calculations'!$F$25-'District Calculations'!$F$17,VLOOKUP($A47,EnrollData2324,'2324 Jun 24 Enroll'!I$1,FALSE)+VLOOKUP($A47,EnrollData2324,'2324 Jun 24 Enroll'!M$1,FALSE)-VLOOKUP($A47,EnrollData2324,'2324 Jun 24 Enroll'!J$1,FALSE),'District Calculations'!$F$16+'District Calculations'!$F$25-'District Calculations'!$F$17)*Apport_216A2425,3)</f>
        <v>59.057000000000002</v>
      </c>
      <c r="J47">
        <f>ROUND(SUM(D47:I47)/(IF(VLOOKUP($A47,EnrollData2324,'2324 Jun 24 Enroll'!M$1,FALSE)='District Calculations'!$F$25,VLOOKUP($A47,EnrollData2324,'2324 Jun 24 Enroll'!M$1,FALSE),'District Calculations'!$F$25)+IF(VLOOKUP($A47,EnrollData2324,'2324 Jun 24 Enroll'!D$1,FALSE)='District Calculations'!$F$11,VLOOKUP($A47,EnrollData2324,'2324 Jun 24 Enroll'!D$1,FALSE),'District Calculations'!$F$11)),5)</f>
        <v>5.6520000000000001E-2</v>
      </c>
      <c r="K47" s="11">
        <f t="shared" si="13"/>
        <v>4.385E-3</v>
      </c>
      <c r="L47">
        <f>ROUND(IF(VLOOKUP($A47,EnrollData2324,'2324 Jun 24 Enroll'!D$1,FALSE)='District Calculations'!$F$11,VLOOKUP($A47,EnrollData2324,'2324 Jun 24 Enroll'!D$1,FALSE),'District Calculations'!$F$11)*K47,3)</f>
        <v>0</v>
      </c>
      <c r="M47">
        <f>ROUND(IF(VLOOKUP($A47,EnrollData2324,'2324 Jun 24 Enroll'!E$1,FALSE)='District Calculations'!$F$12,VLOOKUP($A47,EnrollData2324,'2324 Jun 24 Enroll'!E$1,FALSE),'District Calculations'!$F$12)*K47,3)</f>
        <v>3.5539999999999998</v>
      </c>
      <c r="N47">
        <f>ROUND(IF(VLOOKUP($A47,EnrollData2324,'2324 Jun 24 Enroll'!F$1,FALSE)='District Calculations'!$F$13,VLOOKUP($A47,EnrollData2324,'2324 Jun 24 Enroll'!F$1,FALSE),'District Calculations'!$F$13)*Apport_223A2425,3)</f>
        <v>0.84599999999999997</v>
      </c>
      <c r="O47">
        <f>ROUND(IF(VLOOKUP($A47,EnrollData2324,'2324 Jun 24 Enroll'!G$1,FALSE)='District Calculations'!$F$14,VLOOKUP($A47,EnrollData2324,'2324 Jun 24 Enroll'!G$1,FALSE),'District Calculations'!$F$14)*Apport_211A2425,3)</f>
        <v>1.877</v>
      </c>
      <c r="P47">
        <f>ROUND(IF(VLOOKUP($A47,EnrollData2324,'2324 Jun 24 Enroll'!H$1,FALSE)='District Calculations'!$F$14,VLOOKUP($A47,EnrollData2324,'2324 Jun 24 Enroll'!H$1,FALSE),'District Calculations'!$F$14)*Apport_214A2425,3)</f>
        <v>1.875</v>
      </c>
      <c r="Q47">
        <f>ROUND(IF(VLOOKUP($A47,EnrollData2324,'2324 Jun 24 Enroll'!I$1,FALSE)+VLOOKUP($A47,EnrollData2324,'2324 Jun 24 Enroll'!M$1,FALSE)-VLOOKUP($A47,EnrollData2324,'2324 Jun 24 Enroll'!J$1,FALSE)='District Calculations'!$F$16+'District Calculations'!$F$25-'District Calculations'!$F$17,VLOOKUP($A47,EnrollData2324,'2324 Jun 24 Enroll'!I$1,FALSE)+VLOOKUP($A47,EnrollData2324,'2324 Jun 24 Enroll'!M$1,FALSE)-VLOOKUP($A47,EnrollData2324,'2324 Jun 24 Enroll'!J$1,FALSE),'District Calculations'!$F$16+'District Calculations'!$F$25-'District Calculations'!$F$17)*Apport_217A2425,3)</f>
        <v>4.7130000000000001</v>
      </c>
      <c r="R47">
        <f>ROUND(SUM(L47:Q47)/IF(VLOOKUP($A47,EnrollData2324,'2324 Jun 24 Enroll'!M$1,FALSE)+VLOOKUP($A47,EnrollData2324,'2324 Jun 24 Enroll'!D$1,FALSE)='District Calculations'!$F$25+'District Calculations'!$F$11,VLOOKUP($A47,EnrollData2324,'2324 Jun 24 Enroll'!M$1,FALSE)+VLOOKUP($A47,EnrollData2324,'2324 Jun 24 Enroll'!D$1,FALSE),'District Calculations'!$F$25+'District Calculations'!$F$11),5)</f>
        <v>4.1200000000000004E-3</v>
      </c>
      <c r="S47" s="11">
        <f t="shared" si="14"/>
        <v>1.8734299999999999E-2</v>
      </c>
      <c r="T47">
        <f>ROUND(IF(VLOOKUP($A47,EnrollData2324,'2324 Jun 24 Enroll'!D$1,FALSE)='District Calculations'!$F$11,VLOOKUP($A47,EnrollData2324,'2324 Jun 24 Enroll'!D$1,FALSE),'District Calculations'!$F$11)*S47,3)</f>
        <v>0</v>
      </c>
      <c r="U47">
        <f>ROUND(IF(VLOOKUP($A47,EnrollData2324,'2324 Jun 24 Enroll'!E$1,FALSE)='District Calculations'!$F$12,VLOOKUP($A47,EnrollData2324,'2324 Jun 24 Enroll'!E$1,FALSE),'District Calculations'!$F$12)*S47,3)</f>
        <v>15.183999999999999</v>
      </c>
      <c r="V47">
        <f>ROUND(IF(VLOOKUP($A47,EnrollData2324,'2324 Jun 24 Enroll'!F$1,FALSE)='District Calculations'!$F$13,VLOOKUP($A47,EnrollData2324,'2324 Jun 24 Enroll'!F$1,FALSE),'District Calculations'!$F$13)*Apport_224A2425,3)</f>
        <v>3.7109999999999999</v>
      </c>
      <c r="W47">
        <f>ROUND(IF(VLOOKUP($A47,EnrollData2324,'2324 Jun 24 Enroll'!G$1,FALSE)='District Calculations'!$F$14,VLOOKUP($A47,EnrollData2324,'2324 Jun 24 Enroll'!G$1,FALSE),'District Calculations'!$F$14)*Apport_212A2425,3)</f>
        <v>8.2279999999999998</v>
      </c>
      <c r="X47">
        <f>ROUND(IF(VLOOKUP($A47,EnrollData2324,'2324 Jun 24 Enroll'!H$1,FALSE)='District Calculations'!$F$14,VLOOKUP($A47,EnrollData2324,'2324 Jun 24 Enroll'!H$1,FALSE),'District Calculations'!$F$14)*Apport_215A2425,3)</f>
        <v>8.1180000000000003</v>
      </c>
      <c r="Y47">
        <f>ROUND(IF(VLOOKUP($A47,EnrollData2324,'2324 Jun 24 Enroll'!I$1,FALSE)+VLOOKUP($A47,EnrollData2324,'2324 Jun 24 Enroll'!M$1,FALSE)-VLOOKUP($A47,EnrollData2324,'2324 Jun 24 Enroll'!J$1,FALSE)='District Calculations'!$F$16+'District Calculations'!$F$25-'District Calculations'!$F$17,VLOOKUP($A47,EnrollData2324,'2324 Jun 24 Enroll'!I$1,FALSE)+VLOOKUP($A47,EnrollData2324,'2324 Jun 24 Enroll'!M$1,FALSE)-VLOOKUP($A47,EnrollData2324,'2324 Jun 24 Enroll'!J$1,FALSE),'District Calculations'!$F$16+'District Calculations'!$F$25-'District Calculations'!$F$17)*Apport_218A2425,3)</f>
        <v>20.257999999999999</v>
      </c>
      <c r="Z47">
        <f>ROUND(SUM(T47:Y47)/IF(VLOOKUP($A47,EnrollData2324,'2324 Jun 24 Enroll'!M$1,FALSE)+VLOOKUP($A47,EnrollData2324,'2324 Jun 24 Enroll'!D$1,FALSE)='District Calculations'!$F$25+'District Calculations'!$F$11,VLOOKUP($A47,EnrollData2324,'2324 Jun 24 Enroll'!M$1,FALSE)+VLOOKUP($A47,EnrollData2324,'2324 Jun 24 Enroll'!D$1,FALSE),'District Calculations'!$F$25+'District Calculations'!$F$11),5)</f>
        <v>1.7780000000000001E-2</v>
      </c>
      <c r="AA47" s="6">
        <f>ROUND($J47*CIS_Base_Salary2425*VLOOKUP($A47,EnrollData2324,'2324 Jun 24 Enroll'!AH$1,FALSE),2)</f>
        <v>4262.68</v>
      </c>
      <c r="AB47" s="6">
        <f>ROUND($J47*CIS_Inc_Salary2425*(VLOOKUP($A47,EnrollData2324,'2324 Jun 24 Enroll'!AI$1,FALSE)+VLOOKUP($A47,EnrollData2324,'2324 Jun 24 Enroll'!AJ$1,FALSE)),2)-AA47</f>
        <v>334.50999999999931</v>
      </c>
      <c r="AC47" s="6" cm="1">
        <f t="array" ref="AC47">ROUND($R47*CAS_Base_Salary2425*VLOOKUP($A47,EnrollData2324,'2324 Jun 24 Enroll'!AH$1,FALSE),2)</f>
        <v>461.23</v>
      </c>
      <c r="AD47" s="6">
        <f>ROUND($R47*CAS_Inc_Salary2425*VLOOKUP($A47,EnrollData2324,'2324 Jun 24 Enroll'!AI$1,FALSE),2)-AC47</f>
        <v>17.069999999999993</v>
      </c>
      <c r="AE47" s="6">
        <f>ROUND($Z47*CLS_Base_Salary2425*VLOOKUP($A47,EnrollData2324,'2324 Jun 24 Enroll'!AH$1,FALSE),2)</f>
        <v>961.95</v>
      </c>
      <c r="AF47" s="6">
        <f>ROUND($Z47*CLS_Inc_Salary2425*VLOOKUP($A47,EnrollData2324,'2324 Jun 24 Enroll'!AI$1,FALSE),2)-AE47</f>
        <v>35.599999999999909</v>
      </c>
      <c r="AG47" cm="1">
        <f t="array" ref="AG47">ROUND(($J47+$R47)*Apport_124X2425,2)</f>
        <v>800.45</v>
      </c>
      <c r="AH47" s="69" cm="1">
        <f t="array" ref="AH47">ROUND(($J47+$R47)*Apport_621X2425*Apport_125XC2425,2)-AG47</f>
        <v>73.899999999999977</v>
      </c>
      <c r="AI47" cm="1">
        <f t="array" ref="AI47">ROUND($Z47*Apport_124X2425,2)</f>
        <v>234.7</v>
      </c>
      <c r="AJ47">
        <f t="shared" si="15"/>
        <v>124.71000000000004</v>
      </c>
      <c r="AK47">
        <f t="shared" si="16"/>
        <v>857.39</v>
      </c>
      <c r="AL47">
        <f t="shared" si="17"/>
        <v>61.56</v>
      </c>
      <c r="AM47">
        <f t="shared" si="18"/>
        <v>208.36</v>
      </c>
      <c r="AN47">
        <f t="shared" si="19"/>
        <v>6.46</v>
      </c>
      <c r="AO47">
        <f>ROUND(($J47*CIS_Inc_Salary2425*(VLOOKUP($A47,EnrollData2324,'2324 Jun 24 Enroll'!AI$1,FALSE)+VLOOKUP($A47,EnrollData2324,'2324 Jun 24 Enroll'!AJ$1,FALSE))/Apport_613Xpd)*Apport_614Xpd,2)</f>
        <v>76.62</v>
      </c>
      <c r="AP47">
        <f t="shared" si="20"/>
        <v>13.42</v>
      </c>
      <c r="AQ47">
        <f t="shared" si="21"/>
        <v>31.48</v>
      </c>
      <c r="AR47" s="6">
        <f>ROUND((VLOOKUP($A47,EnrollData2324,'2324 Jun 24 Enroll'!D$1,FALSE)*Apport_M802425+VLOOKUP($A47,EnrollData2324,'2324 Jun 24 Enroll'!M$1,FALSE)*Apport_M802425+(VLOOKUP($A47,EnrollData2324,'2324 Jun 24 Enroll'!P$1,FALSE)+VLOOKUP($A47,EnrollData2324,'2324 Jun 24 Enroll'!Q$1,FALSE)+VLOOKUP($A47,EnrollData2324,'2324 Jun 24 Enroll'!R$1,FALSE)+VLOOKUP($A47,EnrollData2324,'2324 Jun 24 Enroll'!I$1,FALSE)+VLOOKUP($A47,EnrollData2324,'2324 Jun 24 Enroll'!N$1,FALSE)+VLOOKUP($A47,EnrollData2324,'2324 Jun 24 Enroll'!O$1,FALSE)+VLOOKUP($A47,EnrollData2324,'2324 Jun 24 Enroll'!K$1,FALSE)+VLOOKUP($A47,EnrollData2324,'2324 Jun 24 Enroll'!L$1,FALSE))*Apport_M812425)/(VLOOKUP($A47,EnrollData2324,'2324 Jun 24 Enroll'!M$1,FALSE)+VLOOKUP($A47,EnrollData2324,'2324 Jun 24 Enroll'!D$1,FALSE)),2)</f>
        <v>1595.41</v>
      </c>
      <c r="AS47" s="7">
        <f t="shared" si="23"/>
        <v>10157.499999999998</v>
      </c>
    </row>
    <row r="48" spans="1:48">
      <c r="A48" s="40" t="s">
        <v>470</v>
      </c>
      <c r="B48" s="40" t="s">
        <v>471</v>
      </c>
      <c r="C48" s="11">
        <f>ROUND((IFERROR((1/IF(VLOOKUP($A48,EnrollData2324,28,FALSE)='District Calculations'!$F$10,VLOOKUP($A48,EnrollData2324,28,FALSE),'District Calculations'!$F$10))*(1+Apport_Z315),0))+Apport_201A2425,6)</f>
        <v>7.4580999999999995E-2</v>
      </c>
      <c r="D48">
        <f>ROUND(IF(VLOOKUP($A48,EnrollData2324,'2324 Jun 24 Enroll'!D$1,FALSE)='District Calculations'!$F$11,VLOOKUP($A48,EnrollData2324,'2324 Jun 24 Enroll'!D$1,FALSE),'District Calculations'!$F$11)*C48,3)</f>
        <v>0</v>
      </c>
      <c r="E48">
        <f>ROUND(IF(VLOOKUP($A48,EnrollData2324,'2324 Jun 24 Enroll'!E$1,FALSE)='District Calculations'!$F$12,VLOOKUP($A48,EnrollData2324,'2324 Jun 24 Enroll'!E$1,FALSE),'District Calculations'!$F$12)*C48,3)</f>
        <v>60.447000000000003</v>
      </c>
      <c r="F48">
        <f>ROUND(IF(VLOOKUP($A48,EnrollData2324,'2324 Jun 24 Enroll'!F$1,FALSE)='District Calculations'!$F$13,VLOOKUP($A48,EnrollData2324,'2324 Jun 24 Enroll'!F$1,FALSE),'District Calculations'!$F$13)*Apport_222A2425,3)</f>
        <v>10.337999999999999</v>
      </c>
      <c r="G48">
        <f>ROUND(IF(VLOOKUP($A48,EnrollData2324,'2324 Jun 24 Enroll'!G$1,FALSE)='District Calculations'!$F$14,VLOOKUP($A48,EnrollData2324,'2324 Jun 24 Enroll'!G$1,FALSE),'District Calculations'!$F$14)*Apport_210A2425,3)</f>
        <v>22.92</v>
      </c>
      <c r="H48">
        <f>ROUND(IF(VLOOKUP($A48,EnrollData2324,'2324 Jun 24 Enroll'!H$1,FALSE)='District Calculations'!$F$15,VLOOKUP($A48,EnrollData2324,'2324 Jun 24 Enroll'!H$1,FALSE),'District Calculations'!$F$15)*Apport_213A2425,3)</f>
        <v>23.619</v>
      </c>
      <c r="I48">
        <f>ROUND(IF(VLOOKUP($A48,EnrollData2324,'2324 Jun 24 Enroll'!I$1,FALSE)+VLOOKUP($A48,EnrollData2324,'2324 Jun 24 Enroll'!M$1,FALSE)-VLOOKUP($A48,EnrollData2324,'2324 Jun 24 Enroll'!J$1,FALSE)='District Calculations'!$F$16+'District Calculations'!$F$25-'District Calculations'!$F$17,VLOOKUP($A48,EnrollData2324,'2324 Jun 24 Enroll'!I$1,FALSE)+VLOOKUP($A48,EnrollData2324,'2324 Jun 24 Enroll'!M$1,FALSE)-VLOOKUP($A48,EnrollData2324,'2324 Jun 24 Enroll'!J$1,FALSE),'District Calculations'!$F$16+'District Calculations'!$F$25-'District Calculations'!$F$17)*Apport_216A2425,3)</f>
        <v>59.057000000000002</v>
      </c>
      <c r="J48">
        <f>ROUND(SUM(D48:I48)/(IF(VLOOKUP($A48,EnrollData2324,'2324 Jun 24 Enroll'!M$1,FALSE)='District Calculations'!$F$25,VLOOKUP($A48,EnrollData2324,'2324 Jun 24 Enroll'!M$1,FALSE),'District Calculations'!$F$25)+IF(VLOOKUP($A48,EnrollData2324,'2324 Jun 24 Enroll'!D$1,FALSE)='District Calculations'!$F$11,VLOOKUP($A48,EnrollData2324,'2324 Jun 24 Enroll'!D$1,FALSE),'District Calculations'!$F$11)),5)</f>
        <v>5.6520000000000001E-2</v>
      </c>
      <c r="K48" s="11">
        <f t="shared" si="13"/>
        <v>4.385E-3</v>
      </c>
      <c r="L48">
        <f>ROUND(IF(VLOOKUP($A48,EnrollData2324,'2324 Jun 24 Enroll'!D$1,FALSE)='District Calculations'!$F$11,VLOOKUP($A48,EnrollData2324,'2324 Jun 24 Enroll'!D$1,FALSE),'District Calculations'!$F$11)*K48,3)</f>
        <v>0</v>
      </c>
      <c r="M48">
        <f>ROUND(IF(VLOOKUP($A48,EnrollData2324,'2324 Jun 24 Enroll'!E$1,FALSE)='District Calculations'!$F$12,VLOOKUP($A48,EnrollData2324,'2324 Jun 24 Enroll'!E$1,FALSE),'District Calculations'!$F$12)*K48,3)</f>
        <v>3.5539999999999998</v>
      </c>
      <c r="N48">
        <f>ROUND(IF(VLOOKUP($A48,EnrollData2324,'2324 Jun 24 Enroll'!F$1,FALSE)='District Calculations'!$F$13,VLOOKUP($A48,EnrollData2324,'2324 Jun 24 Enroll'!F$1,FALSE),'District Calculations'!$F$13)*Apport_223A2425,3)</f>
        <v>0.84599999999999997</v>
      </c>
      <c r="O48">
        <f>ROUND(IF(VLOOKUP($A48,EnrollData2324,'2324 Jun 24 Enroll'!G$1,FALSE)='District Calculations'!$F$14,VLOOKUP($A48,EnrollData2324,'2324 Jun 24 Enroll'!G$1,FALSE),'District Calculations'!$F$14)*Apport_211A2425,3)</f>
        <v>1.877</v>
      </c>
      <c r="P48">
        <f>ROUND(IF(VLOOKUP($A48,EnrollData2324,'2324 Jun 24 Enroll'!H$1,FALSE)='District Calculations'!$F$14,VLOOKUP($A48,EnrollData2324,'2324 Jun 24 Enroll'!H$1,FALSE),'District Calculations'!$F$14)*Apport_214A2425,3)</f>
        <v>1.875</v>
      </c>
      <c r="Q48">
        <f>ROUND(IF(VLOOKUP($A48,EnrollData2324,'2324 Jun 24 Enroll'!I$1,FALSE)+VLOOKUP($A48,EnrollData2324,'2324 Jun 24 Enroll'!M$1,FALSE)-VLOOKUP($A48,EnrollData2324,'2324 Jun 24 Enroll'!J$1,FALSE)='District Calculations'!$F$16+'District Calculations'!$F$25-'District Calculations'!$F$17,VLOOKUP($A48,EnrollData2324,'2324 Jun 24 Enroll'!I$1,FALSE)+VLOOKUP($A48,EnrollData2324,'2324 Jun 24 Enroll'!M$1,FALSE)-VLOOKUP($A48,EnrollData2324,'2324 Jun 24 Enroll'!J$1,FALSE),'District Calculations'!$F$16+'District Calculations'!$F$25-'District Calculations'!$F$17)*Apport_217A2425,3)</f>
        <v>4.7130000000000001</v>
      </c>
      <c r="R48">
        <f>ROUND(SUM(L48:Q48)/IF(VLOOKUP($A48,EnrollData2324,'2324 Jun 24 Enroll'!M$1,FALSE)+VLOOKUP($A48,EnrollData2324,'2324 Jun 24 Enroll'!D$1,FALSE)='District Calculations'!$F$25+'District Calculations'!$F$11,VLOOKUP($A48,EnrollData2324,'2324 Jun 24 Enroll'!M$1,FALSE)+VLOOKUP($A48,EnrollData2324,'2324 Jun 24 Enroll'!D$1,FALSE),'District Calculations'!$F$25+'District Calculations'!$F$11),5)</f>
        <v>4.1200000000000004E-3</v>
      </c>
      <c r="S48" s="11">
        <f t="shared" si="14"/>
        <v>1.8734299999999999E-2</v>
      </c>
      <c r="T48">
        <f>ROUND(IF(VLOOKUP($A48,EnrollData2324,'2324 Jun 24 Enroll'!D$1,FALSE)='District Calculations'!$F$11,VLOOKUP($A48,EnrollData2324,'2324 Jun 24 Enroll'!D$1,FALSE),'District Calculations'!$F$11)*S48,3)</f>
        <v>0</v>
      </c>
      <c r="U48">
        <f>ROUND(IF(VLOOKUP($A48,EnrollData2324,'2324 Jun 24 Enroll'!E$1,FALSE)='District Calculations'!$F$12,VLOOKUP($A48,EnrollData2324,'2324 Jun 24 Enroll'!E$1,FALSE),'District Calculations'!$F$12)*S48,3)</f>
        <v>15.183999999999999</v>
      </c>
      <c r="V48">
        <f>ROUND(IF(VLOOKUP($A48,EnrollData2324,'2324 Jun 24 Enroll'!F$1,FALSE)='District Calculations'!$F$13,VLOOKUP($A48,EnrollData2324,'2324 Jun 24 Enroll'!F$1,FALSE),'District Calculations'!$F$13)*Apport_224A2425,3)</f>
        <v>3.7109999999999999</v>
      </c>
      <c r="W48">
        <f>ROUND(IF(VLOOKUP($A48,EnrollData2324,'2324 Jun 24 Enroll'!G$1,FALSE)='District Calculations'!$F$14,VLOOKUP($A48,EnrollData2324,'2324 Jun 24 Enroll'!G$1,FALSE),'District Calculations'!$F$14)*Apport_212A2425,3)</f>
        <v>8.2279999999999998</v>
      </c>
      <c r="X48">
        <f>ROUND(IF(VLOOKUP($A48,EnrollData2324,'2324 Jun 24 Enroll'!H$1,FALSE)='District Calculations'!$F$14,VLOOKUP($A48,EnrollData2324,'2324 Jun 24 Enroll'!H$1,FALSE),'District Calculations'!$F$14)*Apport_215A2425,3)</f>
        <v>8.1180000000000003</v>
      </c>
      <c r="Y48">
        <f>ROUND(IF(VLOOKUP($A48,EnrollData2324,'2324 Jun 24 Enroll'!I$1,FALSE)+VLOOKUP($A48,EnrollData2324,'2324 Jun 24 Enroll'!M$1,FALSE)-VLOOKUP($A48,EnrollData2324,'2324 Jun 24 Enroll'!J$1,FALSE)='District Calculations'!$F$16+'District Calculations'!$F$25-'District Calculations'!$F$17,VLOOKUP($A48,EnrollData2324,'2324 Jun 24 Enroll'!I$1,FALSE)+VLOOKUP($A48,EnrollData2324,'2324 Jun 24 Enroll'!M$1,FALSE)-VLOOKUP($A48,EnrollData2324,'2324 Jun 24 Enroll'!J$1,FALSE),'District Calculations'!$F$16+'District Calculations'!$F$25-'District Calculations'!$F$17)*Apport_218A2425,3)</f>
        <v>20.257999999999999</v>
      </c>
      <c r="Z48">
        <f>ROUND(SUM(T48:Y48)/IF(VLOOKUP($A48,EnrollData2324,'2324 Jun 24 Enroll'!M$1,FALSE)+VLOOKUP($A48,EnrollData2324,'2324 Jun 24 Enroll'!D$1,FALSE)='District Calculations'!$F$25+'District Calculations'!$F$11,VLOOKUP($A48,EnrollData2324,'2324 Jun 24 Enroll'!M$1,FALSE)+VLOOKUP($A48,EnrollData2324,'2324 Jun 24 Enroll'!D$1,FALSE),'District Calculations'!$F$25+'District Calculations'!$F$11),5)</f>
        <v>1.7780000000000001E-2</v>
      </c>
      <c r="AA48" s="6">
        <f>ROUND($J48*CIS_Base_Salary2425*VLOOKUP($A48,EnrollData2324,'2324 Jun 24 Enroll'!AH$1,FALSE),2)</f>
        <v>4262.68</v>
      </c>
      <c r="AB48" s="6">
        <f>ROUND($J48*CIS_Inc_Salary2425*(VLOOKUP($A48,EnrollData2324,'2324 Jun 24 Enroll'!AI$1,FALSE)+VLOOKUP($A48,EnrollData2324,'2324 Jun 24 Enroll'!AJ$1,FALSE)),2)-AA48</f>
        <v>157.6899999999996</v>
      </c>
      <c r="AC48" s="6" cm="1">
        <f t="array" ref="AC48">ROUND($R48*CAS_Base_Salary2425*VLOOKUP($A48,EnrollData2324,'2324 Jun 24 Enroll'!AH$1,FALSE),2)</f>
        <v>461.23</v>
      </c>
      <c r="AD48" s="6">
        <f>ROUND($R48*CAS_Inc_Salary2425*VLOOKUP($A48,EnrollData2324,'2324 Jun 24 Enroll'!AI$1,FALSE),2)-AC48</f>
        <v>17.069999999999993</v>
      </c>
      <c r="AE48" s="6">
        <f>ROUND($Z48*CLS_Base_Salary2425*VLOOKUP($A48,EnrollData2324,'2324 Jun 24 Enroll'!AH$1,FALSE),2)</f>
        <v>961.95</v>
      </c>
      <c r="AF48" s="6">
        <f>ROUND($Z48*CLS_Inc_Salary2425*VLOOKUP($A48,EnrollData2324,'2324 Jun 24 Enroll'!AI$1,FALSE),2)-AE48</f>
        <v>35.599999999999909</v>
      </c>
      <c r="AG48" cm="1">
        <f t="array" ref="AG48">ROUND(($J48+$R48)*Apport_124X2425,2)</f>
        <v>800.45</v>
      </c>
      <c r="AH48" s="69" cm="1">
        <f t="array" ref="AH48">ROUND(($J48+$R48)*Apport_621X2425*Apport_125XC2425,2)-AG48</f>
        <v>73.899999999999977</v>
      </c>
      <c r="AI48" cm="1">
        <f t="array" ref="AI48">ROUND($Z48*Apport_124X2425,2)</f>
        <v>234.7</v>
      </c>
      <c r="AJ48">
        <f t="shared" si="15"/>
        <v>124.71000000000004</v>
      </c>
      <c r="AK48">
        <f t="shared" si="16"/>
        <v>857.39</v>
      </c>
      <c r="AL48">
        <f t="shared" si="17"/>
        <v>30.6</v>
      </c>
      <c r="AM48">
        <f t="shared" si="18"/>
        <v>208.36</v>
      </c>
      <c r="AN48">
        <f t="shared" si="19"/>
        <v>6.46</v>
      </c>
      <c r="AO48">
        <f>ROUND(($J48*CIS_Inc_Salary2425*(VLOOKUP($A48,EnrollData2324,'2324 Jun 24 Enroll'!AI$1,FALSE)+VLOOKUP($A48,EnrollData2324,'2324 Jun 24 Enroll'!AJ$1,FALSE))/Apport_613Xpd)*Apport_614Xpd,2)</f>
        <v>73.67</v>
      </c>
      <c r="AP48">
        <f t="shared" si="20"/>
        <v>12.9</v>
      </c>
      <c r="AQ48">
        <f t="shared" si="21"/>
        <v>31.48</v>
      </c>
      <c r="AR48" s="6">
        <f>ROUND((VLOOKUP($A48,EnrollData2324,'2324 Jun 24 Enroll'!D$1,FALSE)*Apport_M802425+VLOOKUP($A48,EnrollData2324,'2324 Jun 24 Enroll'!M$1,FALSE)*Apport_M802425+(VLOOKUP($A48,EnrollData2324,'2324 Jun 24 Enroll'!P$1,FALSE)+VLOOKUP($A48,EnrollData2324,'2324 Jun 24 Enroll'!Q$1,FALSE)+VLOOKUP($A48,EnrollData2324,'2324 Jun 24 Enroll'!R$1,FALSE)+VLOOKUP($A48,EnrollData2324,'2324 Jun 24 Enroll'!I$1,FALSE)+VLOOKUP($A48,EnrollData2324,'2324 Jun 24 Enroll'!N$1,FALSE)+VLOOKUP($A48,EnrollData2324,'2324 Jun 24 Enroll'!O$1,FALSE)+VLOOKUP($A48,EnrollData2324,'2324 Jun 24 Enroll'!K$1,FALSE)+VLOOKUP($A48,EnrollData2324,'2324 Jun 24 Enroll'!L$1,FALSE))*Apport_M812425)/(VLOOKUP($A48,EnrollData2324,'2324 Jun 24 Enroll'!M$1,FALSE)+VLOOKUP($A48,EnrollData2324,'2324 Jun 24 Enroll'!D$1,FALSE)),2)</f>
        <v>1599.27</v>
      </c>
      <c r="AS48" s="7">
        <f t="shared" si="23"/>
        <v>9950.1099999999988</v>
      </c>
    </row>
    <row r="49" spans="1:45">
      <c r="A49" s="40" t="s">
        <v>701</v>
      </c>
      <c r="B49" s="40" t="s">
        <v>702</v>
      </c>
      <c r="C49" s="11">
        <f>ROUND((IFERROR((1/IF(VLOOKUP($A49,EnrollData2324,28,FALSE)='District Calculations'!$F$10,VLOOKUP($A49,EnrollData2324,28,FALSE),'District Calculations'!$F$10))*(1+Apport_Z315),0))+Apport_201A2425,6)</f>
        <v>7.4580999999999995E-2</v>
      </c>
      <c r="D49">
        <f>ROUND(IF(VLOOKUP($A49,EnrollData2324,'2324 Jun 24 Enroll'!D$1,FALSE)='District Calculations'!$F$11,VLOOKUP($A49,EnrollData2324,'2324 Jun 24 Enroll'!D$1,FALSE),'District Calculations'!$F$11)*C49,3)</f>
        <v>0</v>
      </c>
      <c r="E49">
        <f>ROUND(IF(VLOOKUP($A49,EnrollData2324,'2324 Jun 24 Enroll'!E$1,FALSE)='District Calculations'!$F$12,VLOOKUP($A49,EnrollData2324,'2324 Jun 24 Enroll'!E$1,FALSE),'District Calculations'!$F$12)*C49,3)</f>
        <v>60.447000000000003</v>
      </c>
      <c r="F49">
        <f>ROUND(IF(VLOOKUP($A49,EnrollData2324,'2324 Jun 24 Enroll'!F$1,FALSE)='District Calculations'!$F$13,VLOOKUP($A49,EnrollData2324,'2324 Jun 24 Enroll'!F$1,FALSE),'District Calculations'!$F$13)*Apport_222A2425,3)</f>
        <v>10.337999999999999</v>
      </c>
      <c r="G49">
        <f>ROUND(IF(VLOOKUP($A49,EnrollData2324,'2324 Jun 24 Enroll'!G$1,FALSE)='District Calculations'!$F$14,VLOOKUP($A49,EnrollData2324,'2324 Jun 24 Enroll'!G$1,FALSE),'District Calculations'!$F$14)*Apport_210A2425,3)</f>
        <v>22.92</v>
      </c>
      <c r="H49">
        <f>ROUND(IF(VLOOKUP($A49,EnrollData2324,'2324 Jun 24 Enroll'!H$1,FALSE)='District Calculations'!$F$15,VLOOKUP($A49,EnrollData2324,'2324 Jun 24 Enroll'!H$1,FALSE),'District Calculations'!$F$15)*Apport_213A2425,3)</f>
        <v>23.619</v>
      </c>
      <c r="I49">
        <f>ROUND(IF(VLOOKUP($A49,EnrollData2324,'2324 Jun 24 Enroll'!I$1,FALSE)+VLOOKUP($A49,EnrollData2324,'2324 Jun 24 Enroll'!M$1,FALSE)-VLOOKUP($A49,EnrollData2324,'2324 Jun 24 Enroll'!J$1,FALSE)='District Calculations'!$F$16+'District Calculations'!$F$25-'District Calculations'!$F$17,VLOOKUP($A49,EnrollData2324,'2324 Jun 24 Enroll'!I$1,FALSE)+VLOOKUP($A49,EnrollData2324,'2324 Jun 24 Enroll'!M$1,FALSE)-VLOOKUP($A49,EnrollData2324,'2324 Jun 24 Enroll'!J$1,FALSE),'District Calculations'!$F$16+'District Calculations'!$F$25-'District Calculations'!$F$17)*Apport_216A2425,3)</f>
        <v>59.057000000000002</v>
      </c>
      <c r="J49">
        <f>ROUND(SUM(D49:I49)/(IF(VLOOKUP($A49,EnrollData2324,'2324 Jun 24 Enroll'!M$1,FALSE)='District Calculations'!$F$25,VLOOKUP($A49,EnrollData2324,'2324 Jun 24 Enroll'!M$1,FALSE),'District Calculations'!$F$25)+IF(VLOOKUP($A49,EnrollData2324,'2324 Jun 24 Enroll'!D$1,FALSE)='District Calculations'!$F$11,VLOOKUP($A49,EnrollData2324,'2324 Jun 24 Enroll'!D$1,FALSE),'District Calculations'!$F$11)),5)</f>
        <v>5.6520000000000001E-2</v>
      </c>
      <c r="K49" s="11">
        <f t="shared" si="13"/>
        <v>4.385E-3</v>
      </c>
      <c r="L49">
        <f>ROUND(IF(VLOOKUP($A49,EnrollData2324,'2324 Jun 24 Enroll'!D$1,FALSE)='District Calculations'!$F$11,VLOOKUP($A49,EnrollData2324,'2324 Jun 24 Enroll'!D$1,FALSE),'District Calculations'!$F$11)*K49,3)</f>
        <v>0</v>
      </c>
      <c r="M49">
        <f>ROUND(IF(VLOOKUP($A49,EnrollData2324,'2324 Jun 24 Enroll'!E$1,FALSE)='District Calculations'!$F$12,VLOOKUP($A49,EnrollData2324,'2324 Jun 24 Enroll'!E$1,FALSE),'District Calculations'!$F$12)*K49,3)</f>
        <v>3.5539999999999998</v>
      </c>
      <c r="N49">
        <f>ROUND(IF(VLOOKUP($A49,EnrollData2324,'2324 Jun 24 Enroll'!F$1,FALSE)='District Calculations'!$F$13,VLOOKUP($A49,EnrollData2324,'2324 Jun 24 Enroll'!F$1,FALSE),'District Calculations'!$F$13)*Apport_223A2425,3)</f>
        <v>0.84599999999999997</v>
      </c>
      <c r="O49">
        <f>ROUND(IF(VLOOKUP($A49,EnrollData2324,'2324 Jun 24 Enroll'!G$1,FALSE)='District Calculations'!$F$14,VLOOKUP($A49,EnrollData2324,'2324 Jun 24 Enroll'!G$1,FALSE),'District Calculations'!$F$14)*Apport_211A2425,3)</f>
        <v>1.877</v>
      </c>
      <c r="P49">
        <f>ROUND(IF(VLOOKUP($A49,EnrollData2324,'2324 Jun 24 Enroll'!H$1,FALSE)='District Calculations'!$F$14,VLOOKUP($A49,EnrollData2324,'2324 Jun 24 Enroll'!H$1,FALSE),'District Calculations'!$F$14)*Apport_214A2425,3)</f>
        <v>1.875</v>
      </c>
      <c r="Q49">
        <f>ROUND(IF(VLOOKUP($A49,EnrollData2324,'2324 Jun 24 Enroll'!I$1,FALSE)+VLOOKUP($A49,EnrollData2324,'2324 Jun 24 Enroll'!M$1,FALSE)-VLOOKUP($A49,EnrollData2324,'2324 Jun 24 Enroll'!J$1,FALSE)='District Calculations'!$F$16+'District Calculations'!$F$25-'District Calculations'!$F$17,VLOOKUP($A49,EnrollData2324,'2324 Jun 24 Enroll'!I$1,FALSE)+VLOOKUP($A49,EnrollData2324,'2324 Jun 24 Enroll'!M$1,FALSE)-VLOOKUP($A49,EnrollData2324,'2324 Jun 24 Enroll'!J$1,FALSE),'District Calculations'!$F$16+'District Calculations'!$F$25-'District Calculations'!$F$17)*Apport_217A2425,3)</f>
        <v>4.7130000000000001</v>
      </c>
      <c r="R49">
        <f>ROUND(SUM(L49:Q49)/IF(VLOOKUP($A49,EnrollData2324,'2324 Jun 24 Enroll'!M$1,FALSE)+VLOOKUP($A49,EnrollData2324,'2324 Jun 24 Enroll'!D$1,FALSE)='District Calculations'!$F$25+'District Calculations'!$F$11,VLOOKUP($A49,EnrollData2324,'2324 Jun 24 Enroll'!M$1,FALSE)+VLOOKUP($A49,EnrollData2324,'2324 Jun 24 Enroll'!D$1,FALSE),'District Calculations'!$F$25+'District Calculations'!$F$11),5)</f>
        <v>4.1200000000000004E-3</v>
      </c>
      <c r="S49" s="11">
        <f t="shared" si="14"/>
        <v>1.8734299999999999E-2</v>
      </c>
      <c r="T49">
        <f>ROUND(IF(VLOOKUP($A49,EnrollData2324,'2324 Jun 24 Enroll'!D$1,FALSE)='District Calculations'!$F$11,VLOOKUP($A49,EnrollData2324,'2324 Jun 24 Enroll'!D$1,FALSE),'District Calculations'!$F$11)*S49,3)</f>
        <v>0</v>
      </c>
      <c r="U49">
        <f>ROUND(IF(VLOOKUP($A49,EnrollData2324,'2324 Jun 24 Enroll'!E$1,FALSE)='District Calculations'!$F$12,VLOOKUP($A49,EnrollData2324,'2324 Jun 24 Enroll'!E$1,FALSE),'District Calculations'!$F$12)*S49,3)</f>
        <v>15.183999999999999</v>
      </c>
      <c r="V49">
        <f>ROUND(IF(VLOOKUP($A49,EnrollData2324,'2324 Jun 24 Enroll'!F$1,FALSE)='District Calculations'!$F$13,VLOOKUP($A49,EnrollData2324,'2324 Jun 24 Enroll'!F$1,FALSE),'District Calculations'!$F$13)*Apport_224A2425,3)</f>
        <v>3.7109999999999999</v>
      </c>
      <c r="W49">
        <f>ROUND(IF(VLOOKUP($A49,EnrollData2324,'2324 Jun 24 Enroll'!G$1,FALSE)='District Calculations'!$F$14,VLOOKUP($A49,EnrollData2324,'2324 Jun 24 Enroll'!G$1,FALSE),'District Calculations'!$F$14)*Apport_212A2425,3)</f>
        <v>8.2279999999999998</v>
      </c>
      <c r="X49">
        <f>ROUND(IF(VLOOKUP($A49,EnrollData2324,'2324 Jun 24 Enroll'!H$1,FALSE)='District Calculations'!$F$14,VLOOKUP($A49,EnrollData2324,'2324 Jun 24 Enroll'!H$1,FALSE),'District Calculations'!$F$14)*Apport_215A2425,3)</f>
        <v>8.1180000000000003</v>
      </c>
      <c r="Y49">
        <f>ROUND(IF(VLOOKUP($A49,EnrollData2324,'2324 Jun 24 Enroll'!I$1,FALSE)+VLOOKUP($A49,EnrollData2324,'2324 Jun 24 Enroll'!M$1,FALSE)-VLOOKUP($A49,EnrollData2324,'2324 Jun 24 Enroll'!J$1,FALSE)='District Calculations'!$F$16+'District Calculations'!$F$25-'District Calculations'!$F$17,VLOOKUP($A49,EnrollData2324,'2324 Jun 24 Enroll'!I$1,FALSE)+VLOOKUP($A49,EnrollData2324,'2324 Jun 24 Enroll'!M$1,FALSE)-VLOOKUP($A49,EnrollData2324,'2324 Jun 24 Enroll'!J$1,FALSE),'District Calculations'!$F$16+'District Calculations'!$F$25-'District Calculations'!$F$17)*Apport_218A2425,3)</f>
        <v>20.257999999999999</v>
      </c>
      <c r="Z49">
        <f>ROUND(SUM(T49:Y49)/IF(VLOOKUP($A49,EnrollData2324,'2324 Jun 24 Enroll'!M$1,FALSE)+VLOOKUP($A49,EnrollData2324,'2324 Jun 24 Enroll'!D$1,FALSE)='District Calculations'!$F$25+'District Calculations'!$F$11,VLOOKUP($A49,EnrollData2324,'2324 Jun 24 Enroll'!M$1,FALSE)+VLOOKUP($A49,EnrollData2324,'2324 Jun 24 Enroll'!D$1,FALSE),'District Calculations'!$F$25+'District Calculations'!$F$11),5)</f>
        <v>1.7780000000000001E-2</v>
      </c>
      <c r="AA49" s="6">
        <f>ROUND($J49*CIS_Base_Salary2425*VLOOKUP($A49,EnrollData2324,'2324 Jun 24 Enroll'!AH$1,FALSE),2)</f>
        <v>4262.68</v>
      </c>
      <c r="AB49" s="6">
        <f>ROUND($J49*CIS_Inc_Salary2425*(VLOOKUP($A49,EnrollData2324,'2324 Jun 24 Enroll'!AI$1,FALSE)+VLOOKUP($A49,EnrollData2324,'2324 Jun 24 Enroll'!AJ$1,FALSE)),2)-AA49</f>
        <v>157.6899999999996</v>
      </c>
      <c r="AC49" s="6" cm="1">
        <f t="array" ref="AC49">ROUND($R49*CAS_Base_Salary2425*VLOOKUP($A49,EnrollData2324,'2324 Jun 24 Enroll'!AH$1,FALSE),2)</f>
        <v>461.23</v>
      </c>
      <c r="AD49" s="6">
        <f>ROUND($R49*CAS_Inc_Salary2425*VLOOKUP($A49,EnrollData2324,'2324 Jun 24 Enroll'!AI$1,FALSE),2)-AC49</f>
        <v>17.069999999999993</v>
      </c>
      <c r="AE49" s="6">
        <f>ROUND($Z49*CLS_Base_Salary2425*VLOOKUP($A49,EnrollData2324,'2324 Jun 24 Enroll'!AH$1,FALSE),2)</f>
        <v>961.95</v>
      </c>
      <c r="AF49" s="6">
        <f>ROUND($Z49*CLS_Inc_Salary2425*VLOOKUP($A49,EnrollData2324,'2324 Jun 24 Enroll'!AI$1,FALSE),2)-AE49</f>
        <v>35.599999999999909</v>
      </c>
      <c r="AG49" cm="1">
        <f t="array" ref="AG49">ROUND(($J49+$R49)*Apport_124X2425,2)</f>
        <v>800.45</v>
      </c>
      <c r="AH49" s="69" cm="1">
        <f t="array" ref="AH49">ROUND(($J49+$R49)*Apport_621X2425*Apport_125XC2425,2)-AG49</f>
        <v>73.899999999999977</v>
      </c>
      <c r="AI49" cm="1">
        <f t="array" ref="AI49">ROUND($Z49*Apport_124X2425,2)</f>
        <v>234.7</v>
      </c>
      <c r="AJ49">
        <f t="shared" si="15"/>
        <v>124.71000000000004</v>
      </c>
      <c r="AK49">
        <f t="shared" si="16"/>
        <v>857.39</v>
      </c>
      <c r="AL49">
        <f t="shared" si="17"/>
        <v>30.6</v>
      </c>
      <c r="AM49">
        <f t="shared" si="18"/>
        <v>208.36</v>
      </c>
      <c r="AN49">
        <f t="shared" si="19"/>
        <v>6.46</v>
      </c>
      <c r="AO49">
        <f>ROUND(($J49*CIS_Inc_Salary2425*(VLOOKUP($A49,EnrollData2324,'2324 Jun 24 Enroll'!AI$1,FALSE)+VLOOKUP($A49,EnrollData2324,'2324 Jun 24 Enroll'!AJ$1,FALSE))/Apport_613Xpd)*Apport_614Xpd,2)</f>
        <v>73.67</v>
      </c>
      <c r="AP49">
        <f t="shared" si="20"/>
        <v>12.9</v>
      </c>
      <c r="AQ49">
        <f t="shared" si="21"/>
        <v>31.48</v>
      </c>
      <c r="AR49" s="6">
        <f>ROUND((VLOOKUP($A49,EnrollData2324,'2324 Jun 24 Enroll'!D$1,FALSE)*Apport_M802425+VLOOKUP($A49,EnrollData2324,'2324 Jun 24 Enroll'!M$1,FALSE)*Apport_M802425+(VLOOKUP($A49,EnrollData2324,'2324 Jun 24 Enroll'!P$1,FALSE)+VLOOKUP($A49,EnrollData2324,'2324 Jun 24 Enroll'!Q$1,FALSE)+VLOOKUP($A49,EnrollData2324,'2324 Jun 24 Enroll'!R$1,FALSE)+VLOOKUP($A49,EnrollData2324,'2324 Jun 24 Enroll'!I$1,FALSE)+VLOOKUP($A49,EnrollData2324,'2324 Jun 24 Enroll'!N$1,FALSE)+VLOOKUP($A49,EnrollData2324,'2324 Jun 24 Enroll'!O$1,FALSE)+VLOOKUP($A49,EnrollData2324,'2324 Jun 24 Enroll'!K$1,FALSE)+VLOOKUP($A49,EnrollData2324,'2324 Jun 24 Enroll'!L$1,FALSE))*Apport_M812425)/(VLOOKUP($A49,EnrollData2324,'2324 Jun 24 Enroll'!M$1,FALSE)+VLOOKUP($A49,EnrollData2324,'2324 Jun 24 Enroll'!D$1,FALSE)),2)</f>
        <v>1606.14</v>
      </c>
      <c r="AS49" s="7">
        <f t="shared" si="23"/>
        <v>9956.9799999999977</v>
      </c>
    </row>
    <row r="50" spans="1:45">
      <c r="A50" s="40" t="s">
        <v>725</v>
      </c>
      <c r="B50" s="40" t="s">
        <v>726</v>
      </c>
      <c r="C50" s="11">
        <f>ROUND((IFERROR((1/IF(VLOOKUP($A50,EnrollData2324,28,FALSE)='District Calculations'!$F$10,VLOOKUP($A50,EnrollData2324,28,FALSE),'District Calculations'!$F$10))*(1+Apport_Z315),0))+Apport_201A2425,6)</f>
        <v>7.4580999999999995E-2</v>
      </c>
      <c r="D50">
        <f>ROUND(IF(VLOOKUP($A50,EnrollData2324,'2324 Jun 24 Enroll'!D$1,FALSE)='District Calculations'!$F$11,VLOOKUP($A50,EnrollData2324,'2324 Jun 24 Enroll'!D$1,FALSE),'District Calculations'!$F$11)*C50,3)</f>
        <v>0</v>
      </c>
      <c r="E50">
        <f>ROUND(IF(VLOOKUP($A50,EnrollData2324,'2324 Jun 24 Enroll'!E$1,FALSE)='District Calculations'!$F$12,VLOOKUP($A50,EnrollData2324,'2324 Jun 24 Enroll'!E$1,FALSE),'District Calculations'!$F$12)*C50,3)</f>
        <v>60.447000000000003</v>
      </c>
      <c r="F50">
        <f>ROUND(IF(VLOOKUP($A50,EnrollData2324,'2324 Jun 24 Enroll'!F$1,FALSE)='District Calculations'!$F$13,VLOOKUP($A50,EnrollData2324,'2324 Jun 24 Enroll'!F$1,FALSE),'District Calculations'!$F$13)*Apport_222A2425,3)</f>
        <v>10.337999999999999</v>
      </c>
      <c r="G50">
        <f>ROUND(IF(VLOOKUP($A50,EnrollData2324,'2324 Jun 24 Enroll'!G$1,FALSE)='District Calculations'!$F$14,VLOOKUP($A50,EnrollData2324,'2324 Jun 24 Enroll'!G$1,FALSE),'District Calculations'!$F$14)*Apport_210A2425,3)</f>
        <v>22.92</v>
      </c>
      <c r="H50">
        <f>ROUND(IF(VLOOKUP($A50,EnrollData2324,'2324 Jun 24 Enroll'!H$1,FALSE)='District Calculations'!$F$15,VLOOKUP($A50,EnrollData2324,'2324 Jun 24 Enroll'!H$1,FALSE),'District Calculations'!$F$15)*Apport_213A2425,3)</f>
        <v>23.619</v>
      </c>
      <c r="I50">
        <f>ROUND(IF(VLOOKUP($A50,EnrollData2324,'2324 Jun 24 Enroll'!I$1,FALSE)+VLOOKUP($A50,EnrollData2324,'2324 Jun 24 Enroll'!M$1,FALSE)-VLOOKUP($A50,EnrollData2324,'2324 Jun 24 Enroll'!J$1,FALSE)='District Calculations'!$F$16+'District Calculations'!$F$25-'District Calculations'!$F$17,VLOOKUP($A50,EnrollData2324,'2324 Jun 24 Enroll'!I$1,FALSE)+VLOOKUP($A50,EnrollData2324,'2324 Jun 24 Enroll'!M$1,FALSE)-VLOOKUP($A50,EnrollData2324,'2324 Jun 24 Enroll'!J$1,FALSE),'District Calculations'!$F$16+'District Calculations'!$F$25-'District Calculations'!$F$17)*Apport_216A2425,3)</f>
        <v>59.057000000000002</v>
      </c>
      <c r="J50">
        <f>ROUND(SUM(D50:I50)/(IF(VLOOKUP($A50,EnrollData2324,'2324 Jun 24 Enroll'!M$1,FALSE)='District Calculations'!$F$25,VLOOKUP($A50,EnrollData2324,'2324 Jun 24 Enroll'!M$1,FALSE),'District Calculations'!$F$25)+IF(VLOOKUP($A50,EnrollData2324,'2324 Jun 24 Enroll'!D$1,FALSE)='District Calculations'!$F$11,VLOOKUP($A50,EnrollData2324,'2324 Jun 24 Enroll'!D$1,FALSE),'District Calculations'!$F$11)),5)</f>
        <v>5.6520000000000001E-2</v>
      </c>
      <c r="K50" s="11">
        <f t="shared" si="13"/>
        <v>4.385E-3</v>
      </c>
      <c r="L50">
        <f>ROUND(IF(VLOOKUP($A50,EnrollData2324,'2324 Jun 24 Enroll'!D$1,FALSE)='District Calculations'!$F$11,VLOOKUP($A50,EnrollData2324,'2324 Jun 24 Enroll'!D$1,FALSE),'District Calculations'!$F$11)*K50,3)</f>
        <v>0</v>
      </c>
      <c r="M50">
        <f>ROUND(IF(VLOOKUP($A50,EnrollData2324,'2324 Jun 24 Enroll'!E$1,FALSE)='District Calculations'!$F$12,VLOOKUP($A50,EnrollData2324,'2324 Jun 24 Enroll'!E$1,FALSE),'District Calculations'!$F$12)*K50,3)</f>
        <v>3.5539999999999998</v>
      </c>
      <c r="N50">
        <f>ROUND(IF(VLOOKUP($A50,EnrollData2324,'2324 Jun 24 Enroll'!F$1,FALSE)='District Calculations'!$F$13,VLOOKUP($A50,EnrollData2324,'2324 Jun 24 Enroll'!F$1,FALSE),'District Calculations'!$F$13)*Apport_223A2425,3)</f>
        <v>0.84599999999999997</v>
      </c>
      <c r="O50">
        <f>ROUND(IF(VLOOKUP($A50,EnrollData2324,'2324 Jun 24 Enroll'!G$1,FALSE)='District Calculations'!$F$14,VLOOKUP($A50,EnrollData2324,'2324 Jun 24 Enroll'!G$1,FALSE),'District Calculations'!$F$14)*Apport_211A2425,3)</f>
        <v>1.877</v>
      </c>
      <c r="P50">
        <f>ROUND(IF(VLOOKUP($A50,EnrollData2324,'2324 Jun 24 Enroll'!H$1,FALSE)='District Calculations'!$F$14,VLOOKUP($A50,EnrollData2324,'2324 Jun 24 Enroll'!H$1,FALSE),'District Calculations'!$F$14)*Apport_214A2425,3)</f>
        <v>1.875</v>
      </c>
      <c r="Q50">
        <f>ROUND(IF(VLOOKUP($A50,EnrollData2324,'2324 Jun 24 Enroll'!I$1,FALSE)+VLOOKUP($A50,EnrollData2324,'2324 Jun 24 Enroll'!M$1,FALSE)-VLOOKUP($A50,EnrollData2324,'2324 Jun 24 Enroll'!J$1,FALSE)='District Calculations'!$F$16+'District Calculations'!$F$25-'District Calculations'!$F$17,VLOOKUP($A50,EnrollData2324,'2324 Jun 24 Enroll'!I$1,FALSE)+VLOOKUP($A50,EnrollData2324,'2324 Jun 24 Enroll'!M$1,FALSE)-VLOOKUP($A50,EnrollData2324,'2324 Jun 24 Enroll'!J$1,FALSE),'District Calculations'!$F$16+'District Calculations'!$F$25-'District Calculations'!$F$17)*Apport_217A2425,3)</f>
        <v>4.7130000000000001</v>
      </c>
      <c r="R50">
        <f>ROUND(SUM(L50:Q50)/IF(VLOOKUP($A50,EnrollData2324,'2324 Jun 24 Enroll'!M$1,FALSE)+VLOOKUP($A50,EnrollData2324,'2324 Jun 24 Enroll'!D$1,FALSE)='District Calculations'!$F$25+'District Calculations'!$F$11,VLOOKUP($A50,EnrollData2324,'2324 Jun 24 Enroll'!M$1,FALSE)+VLOOKUP($A50,EnrollData2324,'2324 Jun 24 Enroll'!D$1,FALSE),'District Calculations'!$F$25+'District Calculations'!$F$11),5)</f>
        <v>4.1200000000000004E-3</v>
      </c>
      <c r="S50" s="11">
        <f t="shared" si="14"/>
        <v>1.8734299999999999E-2</v>
      </c>
      <c r="T50">
        <f>ROUND(IF(VLOOKUP($A50,EnrollData2324,'2324 Jun 24 Enroll'!D$1,FALSE)='District Calculations'!$F$11,VLOOKUP($A50,EnrollData2324,'2324 Jun 24 Enroll'!D$1,FALSE),'District Calculations'!$F$11)*S50,3)</f>
        <v>0</v>
      </c>
      <c r="U50">
        <f>ROUND(IF(VLOOKUP($A50,EnrollData2324,'2324 Jun 24 Enroll'!E$1,FALSE)='District Calculations'!$F$12,VLOOKUP($A50,EnrollData2324,'2324 Jun 24 Enroll'!E$1,FALSE),'District Calculations'!$F$12)*S50,3)</f>
        <v>15.183999999999999</v>
      </c>
      <c r="V50">
        <f>ROUND(IF(VLOOKUP($A50,EnrollData2324,'2324 Jun 24 Enroll'!F$1,FALSE)='District Calculations'!$F$13,VLOOKUP($A50,EnrollData2324,'2324 Jun 24 Enroll'!F$1,FALSE),'District Calculations'!$F$13)*Apport_224A2425,3)</f>
        <v>3.7109999999999999</v>
      </c>
      <c r="W50">
        <f>ROUND(IF(VLOOKUP($A50,EnrollData2324,'2324 Jun 24 Enroll'!G$1,FALSE)='District Calculations'!$F$14,VLOOKUP($A50,EnrollData2324,'2324 Jun 24 Enroll'!G$1,FALSE),'District Calculations'!$F$14)*Apport_212A2425,3)</f>
        <v>8.2279999999999998</v>
      </c>
      <c r="X50">
        <f>ROUND(IF(VLOOKUP($A50,EnrollData2324,'2324 Jun 24 Enroll'!H$1,FALSE)='District Calculations'!$F$14,VLOOKUP($A50,EnrollData2324,'2324 Jun 24 Enroll'!H$1,FALSE),'District Calculations'!$F$14)*Apport_215A2425,3)</f>
        <v>8.1180000000000003</v>
      </c>
      <c r="Y50">
        <f>ROUND(IF(VLOOKUP($A50,EnrollData2324,'2324 Jun 24 Enroll'!I$1,FALSE)+VLOOKUP($A50,EnrollData2324,'2324 Jun 24 Enroll'!M$1,FALSE)-VLOOKUP($A50,EnrollData2324,'2324 Jun 24 Enroll'!J$1,FALSE)='District Calculations'!$F$16+'District Calculations'!$F$25-'District Calculations'!$F$17,VLOOKUP($A50,EnrollData2324,'2324 Jun 24 Enroll'!I$1,FALSE)+VLOOKUP($A50,EnrollData2324,'2324 Jun 24 Enroll'!M$1,FALSE)-VLOOKUP($A50,EnrollData2324,'2324 Jun 24 Enroll'!J$1,FALSE),'District Calculations'!$F$16+'District Calculations'!$F$25-'District Calculations'!$F$17)*Apport_218A2425,3)</f>
        <v>20.257999999999999</v>
      </c>
      <c r="Z50">
        <f>ROUND(SUM(T50:Y50)/IF(VLOOKUP($A50,EnrollData2324,'2324 Jun 24 Enroll'!M$1,FALSE)+VLOOKUP($A50,EnrollData2324,'2324 Jun 24 Enroll'!D$1,FALSE)='District Calculations'!$F$25+'District Calculations'!$F$11,VLOOKUP($A50,EnrollData2324,'2324 Jun 24 Enroll'!M$1,FALSE)+VLOOKUP($A50,EnrollData2324,'2324 Jun 24 Enroll'!D$1,FALSE),'District Calculations'!$F$25+'District Calculations'!$F$11),5)</f>
        <v>1.7780000000000001E-2</v>
      </c>
      <c r="AA50" s="6">
        <f>ROUND($J50*CIS_Base_Salary2425*VLOOKUP($A50,EnrollData2324,'2324 Jun 24 Enroll'!AH$1,FALSE),2)</f>
        <v>4262.68</v>
      </c>
      <c r="AB50" s="6">
        <f>ROUND($J50*CIS_Inc_Salary2425*(VLOOKUP($A50,EnrollData2324,'2324 Jun 24 Enroll'!AI$1,FALSE)+VLOOKUP($A50,EnrollData2324,'2324 Jun 24 Enroll'!AJ$1,FALSE)),2)-AA50</f>
        <v>157.6899999999996</v>
      </c>
      <c r="AC50" s="6" cm="1">
        <f t="array" ref="AC50">ROUND($R50*CAS_Base_Salary2425*VLOOKUP($A50,EnrollData2324,'2324 Jun 24 Enroll'!AH$1,FALSE),2)</f>
        <v>461.23</v>
      </c>
      <c r="AD50" s="6">
        <f>ROUND($R50*CAS_Inc_Salary2425*VLOOKUP($A50,EnrollData2324,'2324 Jun 24 Enroll'!AI$1,FALSE),2)-AC50</f>
        <v>17.069999999999993</v>
      </c>
      <c r="AE50" s="6">
        <f>ROUND($Z50*CLS_Base_Salary2425*VLOOKUP($A50,EnrollData2324,'2324 Jun 24 Enroll'!AH$1,FALSE),2)</f>
        <v>961.95</v>
      </c>
      <c r="AF50" s="6">
        <f>ROUND($Z50*CLS_Inc_Salary2425*VLOOKUP($A50,EnrollData2324,'2324 Jun 24 Enroll'!AI$1,FALSE),2)-AE50</f>
        <v>35.599999999999909</v>
      </c>
      <c r="AG50" cm="1">
        <f t="array" ref="AG50">ROUND(($J50+$R50)*Apport_124X2425,2)</f>
        <v>800.45</v>
      </c>
      <c r="AH50" s="69" cm="1">
        <f t="array" ref="AH50">ROUND(($J50+$R50)*Apport_621X2425*Apport_125XC2425,2)-AG50</f>
        <v>73.899999999999977</v>
      </c>
      <c r="AI50" cm="1">
        <f t="array" ref="AI50">ROUND($Z50*Apport_124X2425,2)</f>
        <v>234.7</v>
      </c>
      <c r="AJ50">
        <f t="shared" si="15"/>
        <v>124.71000000000004</v>
      </c>
      <c r="AK50">
        <f t="shared" si="16"/>
        <v>857.39</v>
      </c>
      <c r="AL50">
        <f t="shared" si="17"/>
        <v>30.6</v>
      </c>
      <c r="AM50">
        <f t="shared" si="18"/>
        <v>208.36</v>
      </c>
      <c r="AN50">
        <f t="shared" si="19"/>
        <v>6.46</v>
      </c>
      <c r="AO50">
        <f>ROUND(($J50*CIS_Inc_Salary2425*(VLOOKUP($A50,EnrollData2324,'2324 Jun 24 Enroll'!AI$1,FALSE)+VLOOKUP($A50,EnrollData2324,'2324 Jun 24 Enroll'!AJ$1,FALSE))/Apport_613Xpd)*Apport_614Xpd,2)</f>
        <v>73.67</v>
      </c>
      <c r="AP50">
        <f t="shared" si="20"/>
        <v>12.9</v>
      </c>
      <c r="AQ50">
        <f t="shared" si="21"/>
        <v>31.48</v>
      </c>
      <c r="AR50" s="6">
        <f>ROUND((VLOOKUP($A50,EnrollData2324,'2324 Jun 24 Enroll'!D$1,FALSE)*Apport_M802425+VLOOKUP($A50,EnrollData2324,'2324 Jun 24 Enroll'!M$1,FALSE)*Apport_M802425+(VLOOKUP($A50,EnrollData2324,'2324 Jun 24 Enroll'!P$1,FALSE)+VLOOKUP($A50,EnrollData2324,'2324 Jun 24 Enroll'!Q$1,FALSE)+VLOOKUP($A50,EnrollData2324,'2324 Jun 24 Enroll'!R$1,FALSE)+VLOOKUP($A50,EnrollData2324,'2324 Jun 24 Enroll'!I$1,FALSE)+VLOOKUP($A50,EnrollData2324,'2324 Jun 24 Enroll'!N$1,FALSE)+VLOOKUP($A50,EnrollData2324,'2324 Jun 24 Enroll'!O$1,FALSE)+VLOOKUP($A50,EnrollData2324,'2324 Jun 24 Enroll'!K$1,FALSE)+VLOOKUP($A50,EnrollData2324,'2324 Jun 24 Enroll'!L$1,FALSE))*Apport_M812425)/(VLOOKUP($A50,EnrollData2324,'2324 Jun 24 Enroll'!M$1,FALSE)+VLOOKUP($A50,EnrollData2324,'2324 Jun 24 Enroll'!D$1,FALSE)),2)</f>
        <v>1610.44</v>
      </c>
      <c r="AS50" s="7">
        <f t="shared" si="23"/>
        <v>9961.2799999999988</v>
      </c>
    </row>
    <row r="51" spans="1:45">
      <c r="A51" s="40" t="s">
        <v>793</v>
      </c>
      <c r="B51" s="40" t="s">
        <v>794</v>
      </c>
      <c r="C51" s="11">
        <f>ROUND((IFERROR((1/IF(VLOOKUP($A51,EnrollData2324,28,FALSE)='District Calculations'!$F$10,VLOOKUP($A51,EnrollData2324,28,FALSE),'District Calculations'!$F$10))*(1+Apport_Z315),0))+Apport_201A2425,6)</f>
        <v>7.4580999999999995E-2</v>
      </c>
      <c r="D51">
        <f>ROUND(IF(VLOOKUP($A51,EnrollData2324,'2324 Jun 24 Enroll'!D$1,FALSE)='District Calculations'!$F$11,VLOOKUP($A51,EnrollData2324,'2324 Jun 24 Enroll'!D$1,FALSE),'District Calculations'!$F$11)*C51,3)</f>
        <v>0</v>
      </c>
      <c r="E51">
        <f>ROUND(IF(VLOOKUP($A51,EnrollData2324,'2324 Jun 24 Enroll'!E$1,FALSE)='District Calculations'!$F$12,VLOOKUP($A51,EnrollData2324,'2324 Jun 24 Enroll'!E$1,FALSE),'District Calculations'!$F$12)*C51,3)</f>
        <v>60.447000000000003</v>
      </c>
      <c r="F51">
        <f>ROUND(IF(VLOOKUP($A51,EnrollData2324,'2324 Jun 24 Enroll'!F$1,FALSE)='District Calculations'!$F$13,VLOOKUP($A51,EnrollData2324,'2324 Jun 24 Enroll'!F$1,FALSE),'District Calculations'!$F$13)*Apport_222A2425,3)</f>
        <v>10.337999999999999</v>
      </c>
      <c r="G51">
        <f>ROUND(IF(VLOOKUP($A51,EnrollData2324,'2324 Jun 24 Enroll'!G$1,FALSE)='District Calculations'!$F$14,VLOOKUP($A51,EnrollData2324,'2324 Jun 24 Enroll'!G$1,FALSE),'District Calculations'!$F$14)*Apport_210A2425,3)</f>
        <v>22.92</v>
      </c>
      <c r="H51">
        <f>ROUND(IF(VLOOKUP($A51,EnrollData2324,'2324 Jun 24 Enroll'!H$1,FALSE)='District Calculations'!$F$15,VLOOKUP($A51,EnrollData2324,'2324 Jun 24 Enroll'!H$1,FALSE),'District Calculations'!$F$15)*Apport_213A2425,3)</f>
        <v>23.619</v>
      </c>
      <c r="I51">
        <f>ROUND(IF(VLOOKUP($A51,EnrollData2324,'2324 Jun 24 Enroll'!I$1,FALSE)+VLOOKUP($A51,EnrollData2324,'2324 Jun 24 Enroll'!M$1,FALSE)-VLOOKUP($A51,EnrollData2324,'2324 Jun 24 Enroll'!J$1,FALSE)='District Calculations'!$F$16+'District Calculations'!$F$25-'District Calculations'!$F$17,VLOOKUP($A51,EnrollData2324,'2324 Jun 24 Enroll'!I$1,FALSE)+VLOOKUP($A51,EnrollData2324,'2324 Jun 24 Enroll'!M$1,FALSE)-VLOOKUP($A51,EnrollData2324,'2324 Jun 24 Enroll'!J$1,FALSE),'District Calculations'!$F$16+'District Calculations'!$F$25-'District Calculations'!$F$17)*Apport_216A2425,3)</f>
        <v>59.057000000000002</v>
      </c>
      <c r="J51">
        <f>ROUND(SUM(D51:I51)/(IF(VLOOKUP($A51,EnrollData2324,'2324 Jun 24 Enroll'!M$1,FALSE)='District Calculations'!$F$25,VLOOKUP($A51,EnrollData2324,'2324 Jun 24 Enroll'!M$1,FALSE),'District Calculations'!$F$25)+IF(VLOOKUP($A51,EnrollData2324,'2324 Jun 24 Enroll'!D$1,FALSE)='District Calculations'!$F$11,VLOOKUP($A51,EnrollData2324,'2324 Jun 24 Enroll'!D$1,FALSE),'District Calculations'!$F$11)),5)</f>
        <v>5.6520000000000001E-2</v>
      </c>
      <c r="K51" s="11">
        <f t="shared" si="13"/>
        <v>4.385E-3</v>
      </c>
      <c r="L51">
        <f>ROUND(IF(VLOOKUP($A51,EnrollData2324,'2324 Jun 24 Enroll'!D$1,FALSE)='District Calculations'!$F$11,VLOOKUP($A51,EnrollData2324,'2324 Jun 24 Enroll'!D$1,FALSE),'District Calculations'!$F$11)*K51,3)</f>
        <v>0</v>
      </c>
      <c r="M51">
        <f>ROUND(IF(VLOOKUP($A51,EnrollData2324,'2324 Jun 24 Enroll'!E$1,FALSE)='District Calculations'!$F$12,VLOOKUP($A51,EnrollData2324,'2324 Jun 24 Enroll'!E$1,FALSE),'District Calculations'!$F$12)*K51,3)</f>
        <v>3.5539999999999998</v>
      </c>
      <c r="N51">
        <f>ROUND(IF(VLOOKUP($A51,EnrollData2324,'2324 Jun 24 Enroll'!F$1,FALSE)='District Calculations'!$F$13,VLOOKUP($A51,EnrollData2324,'2324 Jun 24 Enroll'!F$1,FALSE),'District Calculations'!$F$13)*Apport_223A2425,3)</f>
        <v>0.84599999999999997</v>
      </c>
      <c r="O51">
        <f>ROUND(IF(VLOOKUP($A51,EnrollData2324,'2324 Jun 24 Enroll'!G$1,FALSE)='District Calculations'!$F$14,VLOOKUP($A51,EnrollData2324,'2324 Jun 24 Enroll'!G$1,FALSE),'District Calculations'!$F$14)*Apport_211A2425,3)</f>
        <v>1.877</v>
      </c>
      <c r="P51">
        <f>ROUND(IF(VLOOKUP($A51,EnrollData2324,'2324 Jun 24 Enroll'!H$1,FALSE)='District Calculations'!$F$14,VLOOKUP($A51,EnrollData2324,'2324 Jun 24 Enroll'!H$1,FALSE),'District Calculations'!$F$14)*Apport_214A2425,3)</f>
        <v>1.875</v>
      </c>
      <c r="Q51">
        <f>ROUND(IF(VLOOKUP($A51,EnrollData2324,'2324 Jun 24 Enroll'!I$1,FALSE)+VLOOKUP($A51,EnrollData2324,'2324 Jun 24 Enroll'!M$1,FALSE)-VLOOKUP($A51,EnrollData2324,'2324 Jun 24 Enroll'!J$1,FALSE)='District Calculations'!$F$16+'District Calculations'!$F$25-'District Calculations'!$F$17,VLOOKUP($A51,EnrollData2324,'2324 Jun 24 Enroll'!I$1,FALSE)+VLOOKUP($A51,EnrollData2324,'2324 Jun 24 Enroll'!M$1,FALSE)-VLOOKUP($A51,EnrollData2324,'2324 Jun 24 Enroll'!J$1,FALSE),'District Calculations'!$F$16+'District Calculations'!$F$25-'District Calculations'!$F$17)*Apport_217A2425,3)</f>
        <v>4.7130000000000001</v>
      </c>
      <c r="R51">
        <f>ROUND(SUM(L51:Q51)/IF(VLOOKUP($A51,EnrollData2324,'2324 Jun 24 Enroll'!M$1,FALSE)+VLOOKUP($A51,EnrollData2324,'2324 Jun 24 Enroll'!D$1,FALSE)='District Calculations'!$F$25+'District Calculations'!$F$11,VLOOKUP($A51,EnrollData2324,'2324 Jun 24 Enroll'!M$1,FALSE)+VLOOKUP($A51,EnrollData2324,'2324 Jun 24 Enroll'!D$1,FALSE),'District Calculations'!$F$25+'District Calculations'!$F$11),5)</f>
        <v>4.1200000000000004E-3</v>
      </c>
      <c r="S51" s="11">
        <f t="shared" si="14"/>
        <v>1.8734299999999999E-2</v>
      </c>
      <c r="T51">
        <f>ROUND(IF(VLOOKUP($A51,EnrollData2324,'2324 Jun 24 Enroll'!D$1,FALSE)='District Calculations'!$F$11,VLOOKUP($A51,EnrollData2324,'2324 Jun 24 Enroll'!D$1,FALSE),'District Calculations'!$F$11)*S51,3)</f>
        <v>0</v>
      </c>
      <c r="U51">
        <f>ROUND(IF(VLOOKUP($A51,EnrollData2324,'2324 Jun 24 Enroll'!E$1,FALSE)='District Calculations'!$F$12,VLOOKUP($A51,EnrollData2324,'2324 Jun 24 Enroll'!E$1,FALSE),'District Calculations'!$F$12)*S51,3)</f>
        <v>15.183999999999999</v>
      </c>
      <c r="V51">
        <f>ROUND(IF(VLOOKUP($A51,EnrollData2324,'2324 Jun 24 Enroll'!F$1,FALSE)='District Calculations'!$F$13,VLOOKUP($A51,EnrollData2324,'2324 Jun 24 Enroll'!F$1,FALSE),'District Calculations'!$F$13)*Apport_224A2425,3)</f>
        <v>3.7109999999999999</v>
      </c>
      <c r="W51">
        <f>ROUND(IF(VLOOKUP($A51,EnrollData2324,'2324 Jun 24 Enroll'!G$1,FALSE)='District Calculations'!$F$14,VLOOKUP($A51,EnrollData2324,'2324 Jun 24 Enroll'!G$1,FALSE),'District Calculations'!$F$14)*Apport_212A2425,3)</f>
        <v>8.2279999999999998</v>
      </c>
      <c r="X51">
        <f>ROUND(IF(VLOOKUP($A51,EnrollData2324,'2324 Jun 24 Enroll'!H$1,FALSE)='District Calculations'!$F$14,VLOOKUP($A51,EnrollData2324,'2324 Jun 24 Enroll'!H$1,FALSE),'District Calculations'!$F$14)*Apport_215A2425,3)</f>
        <v>8.1180000000000003</v>
      </c>
      <c r="Y51">
        <f>ROUND(IF(VLOOKUP($A51,EnrollData2324,'2324 Jun 24 Enroll'!I$1,FALSE)+VLOOKUP($A51,EnrollData2324,'2324 Jun 24 Enroll'!M$1,FALSE)-VLOOKUP($A51,EnrollData2324,'2324 Jun 24 Enroll'!J$1,FALSE)='District Calculations'!$F$16+'District Calculations'!$F$25-'District Calculations'!$F$17,VLOOKUP($A51,EnrollData2324,'2324 Jun 24 Enroll'!I$1,FALSE)+VLOOKUP($A51,EnrollData2324,'2324 Jun 24 Enroll'!M$1,FALSE)-VLOOKUP($A51,EnrollData2324,'2324 Jun 24 Enroll'!J$1,FALSE),'District Calculations'!$F$16+'District Calculations'!$F$25-'District Calculations'!$F$17)*Apport_218A2425,3)</f>
        <v>20.257999999999999</v>
      </c>
      <c r="Z51">
        <f>ROUND(SUM(T51:Y51)/IF(VLOOKUP($A51,EnrollData2324,'2324 Jun 24 Enroll'!M$1,FALSE)+VLOOKUP($A51,EnrollData2324,'2324 Jun 24 Enroll'!D$1,FALSE)='District Calculations'!$F$25+'District Calculations'!$F$11,VLOOKUP($A51,EnrollData2324,'2324 Jun 24 Enroll'!M$1,FALSE)+VLOOKUP($A51,EnrollData2324,'2324 Jun 24 Enroll'!D$1,FALSE),'District Calculations'!$F$25+'District Calculations'!$F$11),5)</f>
        <v>1.7780000000000001E-2</v>
      </c>
      <c r="AA51" s="6">
        <f>ROUND($J51*CIS_Base_Salary2425*VLOOKUP($A51,EnrollData2324,'2324 Jun 24 Enroll'!AH$1,FALSE),2)</f>
        <v>4262.68</v>
      </c>
      <c r="AB51" s="6">
        <f>ROUND($J51*CIS_Inc_Salary2425*(VLOOKUP($A51,EnrollData2324,'2324 Jun 24 Enroll'!AI$1,FALSE)+VLOOKUP($A51,EnrollData2324,'2324 Jun 24 Enroll'!AJ$1,FALSE)),2)-AA51</f>
        <v>157.6899999999996</v>
      </c>
      <c r="AC51" s="6" cm="1">
        <f t="array" ref="AC51">ROUND($R51*CAS_Base_Salary2425*VLOOKUP($A51,EnrollData2324,'2324 Jun 24 Enroll'!AH$1,FALSE),2)</f>
        <v>461.23</v>
      </c>
      <c r="AD51" s="6">
        <f>ROUND($R51*CAS_Inc_Salary2425*VLOOKUP($A51,EnrollData2324,'2324 Jun 24 Enroll'!AI$1,FALSE),2)-AC51</f>
        <v>17.069999999999993</v>
      </c>
      <c r="AE51" s="6">
        <f>ROUND($Z51*CLS_Base_Salary2425*VLOOKUP($A51,EnrollData2324,'2324 Jun 24 Enroll'!AH$1,FALSE),2)</f>
        <v>961.95</v>
      </c>
      <c r="AF51" s="6">
        <f>ROUND($Z51*CLS_Inc_Salary2425*VLOOKUP($A51,EnrollData2324,'2324 Jun 24 Enroll'!AI$1,FALSE),2)-AE51</f>
        <v>35.599999999999909</v>
      </c>
      <c r="AG51" cm="1">
        <f t="array" ref="AG51">ROUND(($J51+$R51)*Apport_124X2425,2)</f>
        <v>800.45</v>
      </c>
      <c r="AH51" s="69" cm="1">
        <f t="array" ref="AH51">ROUND(($J51+$R51)*Apport_621X2425*Apport_125XC2425,2)-AG51</f>
        <v>73.899999999999977</v>
      </c>
      <c r="AI51" cm="1">
        <f t="array" ref="AI51">ROUND($Z51*Apport_124X2425,2)</f>
        <v>234.7</v>
      </c>
      <c r="AJ51">
        <f t="shared" si="15"/>
        <v>124.71000000000004</v>
      </c>
      <c r="AK51">
        <f t="shared" si="16"/>
        <v>857.39</v>
      </c>
      <c r="AL51">
        <f t="shared" si="17"/>
        <v>30.6</v>
      </c>
      <c r="AM51">
        <f t="shared" si="18"/>
        <v>208.36</v>
      </c>
      <c r="AN51">
        <f t="shared" si="19"/>
        <v>6.46</v>
      </c>
      <c r="AO51">
        <f>ROUND(($J51*CIS_Inc_Salary2425*(VLOOKUP($A51,EnrollData2324,'2324 Jun 24 Enroll'!AI$1,FALSE)+VLOOKUP($A51,EnrollData2324,'2324 Jun 24 Enroll'!AJ$1,FALSE))/Apport_613Xpd)*Apport_614Xpd,2)</f>
        <v>73.67</v>
      </c>
      <c r="AP51">
        <f t="shared" si="20"/>
        <v>12.9</v>
      </c>
      <c r="AQ51">
        <f t="shared" ref="AQ51" si="24">ROUND((J51*Apport_581X)*(Apport_116X*Apport_132X),2)</f>
        <v>31.48</v>
      </c>
      <c r="AR51" s="6">
        <f>ROUND((VLOOKUP($A51,EnrollData2324,'2324 Jun 24 Enroll'!D$1,FALSE)*Apport_M802425+VLOOKUP($A51,EnrollData2324,'2324 Jun 24 Enroll'!M$1,FALSE)*Apport_M802425+(VLOOKUP($A51,EnrollData2324,'2324 Jun 24 Enroll'!P$1,FALSE)+VLOOKUP($A51,EnrollData2324,'2324 Jun 24 Enroll'!Q$1,FALSE)+VLOOKUP($A51,EnrollData2324,'2324 Jun 24 Enroll'!R$1,FALSE)+VLOOKUP($A51,EnrollData2324,'2324 Jun 24 Enroll'!I$1,FALSE)+VLOOKUP($A51,EnrollData2324,'2324 Jun 24 Enroll'!N$1,FALSE)+VLOOKUP($A51,EnrollData2324,'2324 Jun 24 Enroll'!O$1,FALSE)+VLOOKUP($A51,EnrollData2324,'2324 Jun 24 Enroll'!K$1,FALSE)+VLOOKUP($A51,EnrollData2324,'2324 Jun 24 Enroll'!L$1,FALSE))*Apport_M812425)/(VLOOKUP($A51,EnrollData2324,'2324 Jun 24 Enroll'!M$1,FALSE)+VLOOKUP($A51,EnrollData2324,'2324 Jun 24 Enroll'!D$1,FALSE)),2)</f>
        <v>1533.02</v>
      </c>
      <c r="AS51" s="7">
        <f t="shared" ref="AS51" si="25">SUM(AA51:AR51)</f>
        <v>9883.8599999999988</v>
      </c>
    </row>
    <row r="52" spans="1:45">
      <c r="A52" s="40" t="s">
        <v>542</v>
      </c>
      <c r="B52" s="40" t="s">
        <v>543</v>
      </c>
      <c r="C52" s="11">
        <f>ROUND((IFERROR((1/IF(VLOOKUP($A52,EnrollData2324,28,FALSE)='District Calculations'!$F$10,VLOOKUP($A52,EnrollData2324,28,FALSE),'District Calculations'!$F$10))*(1+Apport_Z315),0))+Apport_201A2425,6)</f>
        <v>7.4580999999999995E-2</v>
      </c>
      <c r="D52">
        <f>ROUND(IF(VLOOKUP($A52,EnrollData2324,'2324 Jun 24 Enroll'!D$1,FALSE)='District Calculations'!$F$11,VLOOKUP($A52,EnrollData2324,'2324 Jun 24 Enroll'!D$1,FALSE),'District Calculations'!$F$11)*C52,3)</f>
        <v>0</v>
      </c>
      <c r="E52">
        <f>ROUND(IF(VLOOKUP($A52,EnrollData2324,'2324 Jun 24 Enroll'!E$1,FALSE)='District Calculations'!$F$12,VLOOKUP($A52,EnrollData2324,'2324 Jun 24 Enroll'!E$1,FALSE),'District Calculations'!$F$12)*C52,3)</f>
        <v>60.447000000000003</v>
      </c>
      <c r="F52">
        <f>ROUND(IF(VLOOKUP($A52,EnrollData2324,'2324 Jun 24 Enroll'!F$1,FALSE)='District Calculations'!$F$13,VLOOKUP($A52,EnrollData2324,'2324 Jun 24 Enroll'!F$1,FALSE),'District Calculations'!$F$13)*Apport_222A2425,3)</f>
        <v>10.337999999999999</v>
      </c>
      <c r="G52">
        <f>ROUND(IF(VLOOKUP($A52,EnrollData2324,'2324 Jun 24 Enroll'!G$1,FALSE)='District Calculations'!$F$14,VLOOKUP($A52,EnrollData2324,'2324 Jun 24 Enroll'!G$1,FALSE),'District Calculations'!$F$14)*Apport_210A2425,3)</f>
        <v>22.92</v>
      </c>
      <c r="H52">
        <f>ROUND(IF(VLOOKUP($A52,EnrollData2324,'2324 Jun 24 Enroll'!H$1,FALSE)='District Calculations'!$F$15,VLOOKUP($A52,EnrollData2324,'2324 Jun 24 Enroll'!H$1,FALSE),'District Calculations'!$F$15)*Apport_213A2425,3)</f>
        <v>23.619</v>
      </c>
      <c r="I52">
        <f>ROUND(IF(VLOOKUP($A52,EnrollData2324,'2324 Jun 24 Enroll'!I$1,FALSE)+VLOOKUP($A52,EnrollData2324,'2324 Jun 24 Enroll'!M$1,FALSE)-VLOOKUP($A52,EnrollData2324,'2324 Jun 24 Enroll'!J$1,FALSE)='District Calculations'!$F$16+'District Calculations'!$F$25-'District Calculations'!$F$17,VLOOKUP($A52,EnrollData2324,'2324 Jun 24 Enroll'!I$1,FALSE)+VLOOKUP($A52,EnrollData2324,'2324 Jun 24 Enroll'!M$1,FALSE)-VLOOKUP($A52,EnrollData2324,'2324 Jun 24 Enroll'!J$1,FALSE),'District Calculations'!$F$16+'District Calculations'!$F$25-'District Calculations'!$F$17)*Apport_216A2425,3)</f>
        <v>59.057000000000002</v>
      </c>
      <c r="J52">
        <f>ROUND(SUM(D52:I52)/(IF(VLOOKUP($A52,EnrollData2324,'2324 Jun 24 Enroll'!M$1,FALSE)='District Calculations'!$F$25,VLOOKUP($A52,EnrollData2324,'2324 Jun 24 Enroll'!M$1,FALSE),'District Calculations'!$F$25)+IF(VLOOKUP($A52,EnrollData2324,'2324 Jun 24 Enroll'!D$1,FALSE)='District Calculations'!$F$11,VLOOKUP($A52,EnrollData2324,'2324 Jun 24 Enroll'!D$1,FALSE),'District Calculations'!$F$11)),5)</f>
        <v>5.6520000000000001E-2</v>
      </c>
      <c r="K52" s="11">
        <f t="shared" si="13"/>
        <v>4.385E-3</v>
      </c>
      <c r="L52">
        <f>ROUND(IF(VLOOKUP($A52,EnrollData2324,'2324 Jun 24 Enroll'!D$1,FALSE)='District Calculations'!$F$11,VLOOKUP($A52,EnrollData2324,'2324 Jun 24 Enroll'!D$1,FALSE),'District Calculations'!$F$11)*K52,3)</f>
        <v>0</v>
      </c>
      <c r="M52">
        <f>ROUND(IF(VLOOKUP($A52,EnrollData2324,'2324 Jun 24 Enroll'!E$1,FALSE)='District Calculations'!$F$12,VLOOKUP($A52,EnrollData2324,'2324 Jun 24 Enroll'!E$1,FALSE),'District Calculations'!$F$12)*K52,3)</f>
        <v>3.5539999999999998</v>
      </c>
      <c r="N52">
        <f>ROUND(IF(VLOOKUP($A52,EnrollData2324,'2324 Jun 24 Enroll'!F$1,FALSE)='District Calculations'!$F$13,VLOOKUP($A52,EnrollData2324,'2324 Jun 24 Enroll'!F$1,FALSE),'District Calculations'!$F$13)*Apport_223A2425,3)</f>
        <v>0.84599999999999997</v>
      </c>
      <c r="O52">
        <f>ROUND(IF(VLOOKUP($A52,EnrollData2324,'2324 Jun 24 Enroll'!G$1,FALSE)='District Calculations'!$F$14,VLOOKUP($A52,EnrollData2324,'2324 Jun 24 Enroll'!G$1,FALSE),'District Calculations'!$F$14)*Apport_211A2425,3)</f>
        <v>1.877</v>
      </c>
      <c r="P52">
        <f>ROUND(IF(VLOOKUP($A52,EnrollData2324,'2324 Jun 24 Enroll'!H$1,FALSE)='District Calculations'!$F$14,VLOOKUP($A52,EnrollData2324,'2324 Jun 24 Enroll'!H$1,FALSE),'District Calculations'!$F$14)*Apport_214A2425,3)</f>
        <v>1.875</v>
      </c>
      <c r="Q52">
        <f>ROUND(IF(VLOOKUP($A52,EnrollData2324,'2324 Jun 24 Enroll'!I$1,FALSE)+VLOOKUP($A52,EnrollData2324,'2324 Jun 24 Enroll'!M$1,FALSE)-VLOOKUP($A52,EnrollData2324,'2324 Jun 24 Enroll'!J$1,FALSE)='District Calculations'!$F$16+'District Calculations'!$F$25-'District Calculations'!$F$17,VLOOKUP($A52,EnrollData2324,'2324 Jun 24 Enroll'!I$1,FALSE)+VLOOKUP($A52,EnrollData2324,'2324 Jun 24 Enroll'!M$1,FALSE)-VLOOKUP($A52,EnrollData2324,'2324 Jun 24 Enroll'!J$1,FALSE),'District Calculations'!$F$16+'District Calculations'!$F$25-'District Calculations'!$F$17)*Apport_217A2425,3)</f>
        <v>4.7130000000000001</v>
      </c>
      <c r="R52">
        <f>ROUND(SUM(L52:Q52)/IF(VLOOKUP($A52,EnrollData2324,'2324 Jun 24 Enroll'!M$1,FALSE)+VLOOKUP($A52,EnrollData2324,'2324 Jun 24 Enroll'!D$1,FALSE)='District Calculations'!$F$25+'District Calculations'!$F$11,VLOOKUP($A52,EnrollData2324,'2324 Jun 24 Enroll'!M$1,FALSE)+VLOOKUP($A52,EnrollData2324,'2324 Jun 24 Enroll'!D$1,FALSE),'District Calculations'!$F$25+'District Calculations'!$F$11),5)</f>
        <v>4.1200000000000004E-3</v>
      </c>
      <c r="S52" s="11">
        <f t="shared" si="14"/>
        <v>1.8734299999999999E-2</v>
      </c>
      <c r="T52">
        <f>ROUND(IF(VLOOKUP($A52,EnrollData2324,'2324 Jun 24 Enroll'!D$1,FALSE)='District Calculations'!$F$11,VLOOKUP($A52,EnrollData2324,'2324 Jun 24 Enroll'!D$1,FALSE),'District Calculations'!$F$11)*S52,3)</f>
        <v>0</v>
      </c>
      <c r="U52">
        <f>ROUND(IF(VLOOKUP($A52,EnrollData2324,'2324 Jun 24 Enroll'!E$1,FALSE)='District Calculations'!$F$12,VLOOKUP($A52,EnrollData2324,'2324 Jun 24 Enroll'!E$1,FALSE),'District Calculations'!$F$12)*S52,3)</f>
        <v>15.183999999999999</v>
      </c>
      <c r="V52">
        <f>ROUND(IF(VLOOKUP($A52,EnrollData2324,'2324 Jun 24 Enroll'!F$1,FALSE)='District Calculations'!$F$13,VLOOKUP($A52,EnrollData2324,'2324 Jun 24 Enroll'!F$1,FALSE),'District Calculations'!$F$13)*Apport_224A2425,3)</f>
        <v>3.7109999999999999</v>
      </c>
      <c r="W52">
        <f>ROUND(IF(VLOOKUP($A52,EnrollData2324,'2324 Jun 24 Enroll'!G$1,FALSE)='District Calculations'!$F$14,VLOOKUP($A52,EnrollData2324,'2324 Jun 24 Enroll'!G$1,FALSE),'District Calculations'!$F$14)*Apport_212A2425,3)</f>
        <v>8.2279999999999998</v>
      </c>
      <c r="X52">
        <f>ROUND(IF(VLOOKUP($A52,EnrollData2324,'2324 Jun 24 Enroll'!H$1,FALSE)='District Calculations'!$F$14,VLOOKUP($A52,EnrollData2324,'2324 Jun 24 Enroll'!H$1,FALSE),'District Calculations'!$F$14)*Apport_215A2425,3)</f>
        <v>8.1180000000000003</v>
      </c>
      <c r="Y52">
        <f>ROUND(IF(VLOOKUP($A52,EnrollData2324,'2324 Jun 24 Enroll'!I$1,FALSE)+VLOOKUP($A52,EnrollData2324,'2324 Jun 24 Enroll'!M$1,FALSE)-VLOOKUP($A52,EnrollData2324,'2324 Jun 24 Enroll'!J$1,FALSE)='District Calculations'!$F$16+'District Calculations'!$F$25-'District Calculations'!$F$17,VLOOKUP($A52,EnrollData2324,'2324 Jun 24 Enroll'!I$1,FALSE)+VLOOKUP($A52,EnrollData2324,'2324 Jun 24 Enroll'!M$1,FALSE)-VLOOKUP($A52,EnrollData2324,'2324 Jun 24 Enroll'!J$1,FALSE),'District Calculations'!$F$16+'District Calculations'!$F$25-'District Calculations'!$F$17)*Apport_218A2425,3)</f>
        <v>20.257999999999999</v>
      </c>
      <c r="Z52">
        <f>ROUND(SUM(T52:Y52)/IF(VLOOKUP($A52,EnrollData2324,'2324 Jun 24 Enroll'!M$1,FALSE)+VLOOKUP($A52,EnrollData2324,'2324 Jun 24 Enroll'!D$1,FALSE)='District Calculations'!$F$25+'District Calculations'!$F$11,VLOOKUP($A52,EnrollData2324,'2324 Jun 24 Enroll'!M$1,FALSE)+VLOOKUP($A52,EnrollData2324,'2324 Jun 24 Enroll'!D$1,FALSE),'District Calculations'!$F$25+'District Calculations'!$F$11),5)</f>
        <v>1.7780000000000001E-2</v>
      </c>
      <c r="AA52" s="6">
        <f>ROUND($J52*CIS_Base_Salary2425*VLOOKUP($A52,EnrollData2324,'2324 Jun 24 Enroll'!AH$1,FALSE),2)</f>
        <v>4262.68</v>
      </c>
      <c r="AB52" s="6">
        <f>ROUND($J52*CIS_Inc_Salary2425*(VLOOKUP($A52,EnrollData2324,'2324 Jun 24 Enroll'!AI$1,FALSE)+VLOOKUP($A52,EnrollData2324,'2324 Jun 24 Enroll'!AJ$1,FALSE)),2)-AA52</f>
        <v>157.6899999999996</v>
      </c>
      <c r="AC52" s="6" cm="1">
        <f t="array" ref="AC52">ROUND($R52*CAS_Base_Salary2425*VLOOKUP($A52,EnrollData2324,'2324 Jun 24 Enroll'!AH$1,FALSE),2)</f>
        <v>461.23</v>
      </c>
      <c r="AD52" s="6">
        <f>ROUND($R52*CAS_Inc_Salary2425*VLOOKUP($A52,EnrollData2324,'2324 Jun 24 Enroll'!AI$1,FALSE),2)-AC52</f>
        <v>17.069999999999993</v>
      </c>
      <c r="AE52" s="6">
        <f>ROUND($Z52*CLS_Base_Salary2425*VLOOKUP($A52,EnrollData2324,'2324 Jun 24 Enroll'!AH$1,FALSE),2)</f>
        <v>961.95</v>
      </c>
      <c r="AF52" s="6">
        <f>ROUND($Z52*CLS_Inc_Salary2425*VLOOKUP($A52,EnrollData2324,'2324 Jun 24 Enroll'!AI$1,FALSE),2)-AE52</f>
        <v>35.599999999999909</v>
      </c>
      <c r="AG52" cm="1">
        <f t="array" ref="AG52">ROUND(($J52+$R52)*Apport_124X2425,2)</f>
        <v>800.45</v>
      </c>
      <c r="AH52" s="69" cm="1">
        <f t="array" ref="AH52">ROUND(($J52+$R52)*Apport_621X2425*Apport_125XC2425,2)-AG52</f>
        <v>73.899999999999977</v>
      </c>
      <c r="AI52" cm="1">
        <f t="array" ref="AI52">ROUND($Z52*Apport_124X2425,2)</f>
        <v>234.7</v>
      </c>
      <c r="AJ52">
        <f t="shared" si="15"/>
        <v>124.71000000000004</v>
      </c>
      <c r="AK52">
        <f t="shared" si="16"/>
        <v>857.39</v>
      </c>
      <c r="AL52">
        <f t="shared" si="17"/>
        <v>30.6</v>
      </c>
      <c r="AM52">
        <f t="shared" si="18"/>
        <v>208.36</v>
      </c>
      <c r="AN52">
        <f t="shared" si="19"/>
        <v>6.46</v>
      </c>
      <c r="AO52">
        <f>ROUND(($J52*CIS_Inc_Salary2425*(VLOOKUP($A52,EnrollData2324,'2324 Jun 24 Enroll'!AI$1,FALSE)+VLOOKUP($A52,EnrollData2324,'2324 Jun 24 Enroll'!AJ$1,FALSE))/Apport_613Xpd)*Apport_614Xpd,2)</f>
        <v>73.67</v>
      </c>
      <c r="AP52">
        <f t="shared" si="20"/>
        <v>12.9</v>
      </c>
      <c r="AQ52">
        <f t="shared" ref="AQ52:AQ53" si="26">ROUND((J52*Apport_581X)*(Apport_116X*Apport_132X),2)</f>
        <v>31.48</v>
      </c>
      <c r="AR52" s="6">
        <f>ROUND((VLOOKUP($A52,EnrollData2324,'2324 Jun 24 Enroll'!D$1,FALSE)*Apport_M802425+VLOOKUP($A52,EnrollData2324,'2324 Jun 24 Enroll'!M$1,FALSE)*Apport_M802425+(VLOOKUP($A52,EnrollData2324,'2324 Jun 24 Enroll'!P$1,FALSE)+VLOOKUP($A52,EnrollData2324,'2324 Jun 24 Enroll'!Q$1,FALSE)+VLOOKUP($A52,EnrollData2324,'2324 Jun 24 Enroll'!R$1,FALSE)+VLOOKUP($A52,EnrollData2324,'2324 Jun 24 Enroll'!I$1,FALSE)+VLOOKUP($A52,EnrollData2324,'2324 Jun 24 Enroll'!N$1,FALSE)+VLOOKUP($A52,EnrollData2324,'2324 Jun 24 Enroll'!O$1,FALSE)+VLOOKUP($A52,EnrollData2324,'2324 Jun 24 Enroll'!K$1,FALSE)+VLOOKUP($A52,EnrollData2324,'2324 Jun 24 Enroll'!L$1,FALSE))*Apport_M812425)/(VLOOKUP($A52,EnrollData2324,'2324 Jun 24 Enroll'!M$1,FALSE)+VLOOKUP($A52,EnrollData2324,'2324 Jun 24 Enroll'!D$1,FALSE)),2)</f>
        <v>1611.44</v>
      </c>
      <c r="AS52" s="7">
        <f t="shared" ref="AS52:AS53" si="27">SUM(AA52:AR52)</f>
        <v>9962.2799999999988</v>
      </c>
    </row>
    <row r="53" spans="1:45">
      <c r="A53" s="40" t="s">
        <v>365</v>
      </c>
      <c r="B53" s="40" t="s">
        <v>1007</v>
      </c>
      <c r="C53" s="11">
        <f>ROUND((IFERROR((1/IF(VLOOKUP($A53,EnrollData2324,28,FALSE)='District Calculations'!$F$10,VLOOKUP($A53,EnrollData2324,28,FALSE),'District Calculations'!$F$10))*(1+Apport_Z315),0))+Apport_201A2425,6)</f>
        <v>7.4580999999999995E-2</v>
      </c>
      <c r="D53">
        <f>ROUND(IF(VLOOKUP($A53,EnrollData2324,'2324 Jun 24 Enroll'!D$1,FALSE)='District Calculations'!$F$11,VLOOKUP($A53,EnrollData2324,'2324 Jun 24 Enroll'!D$1,FALSE),'District Calculations'!$F$11)*C53,3)</f>
        <v>0</v>
      </c>
      <c r="E53">
        <f>ROUND(IF(VLOOKUP($A53,EnrollData2324,'2324 Jun 24 Enroll'!E$1,FALSE)='District Calculations'!$F$12,VLOOKUP($A53,EnrollData2324,'2324 Jun 24 Enroll'!E$1,FALSE),'District Calculations'!$F$12)*C53,3)</f>
        <v>60.447000000000003</v>
      </c>
      <c r="F53">
        <f>ROUND(IF(VLOOKUP($A53,EnrollData2324,'2324 Jun 24 Enroll'!F$1,FALSE)='District Calculations'!$F$13,VLOOKUP($A53,EnrollData2324,'2324 Jun 24 Enroll'!F$1,FALSE),'District Calculations'!$F$13)*Apport_222A2425,3)</f>
        <v>10.337999999999999</v>
      </c>
      <c r="G53">
        <f>ROUND(IF(VLOOKUP($A53,EnrollData2324,'2324 Jun 24 Enroll'!G$1,FALSE)='District Calculations'!$F$14,VLOOKUP($A53,EnrollData2324,'2324 Jun 24 Enroll'!G$1,FALSE),'District Calculations'!$F$14)*Apport_210A2425,3)</f>
        <v>22.92</v>
      </c>
      <c r="H53">
        <f>ROUND(IF(VLOOKUP($A53,EnrollData2324,'2324 Jun 24 Enroll'!H$1,FALSE)='District Calculations'!$F$15,VLOOKUP($A53,EnrollData2324,'2324 Jun 24 Enroll'!H$1,FALSE),'District Calculations'!$F$15)*Apport_213A2425,3)</f>
        <v>23.619</v>
      </c>
      <c r="I53">
        <f>ROUND(IF(VLOOKUP($A53,EnrollData2324,'2324 Jun 24 Enroll'!I$1,FALSE)+VLOOKUP($A53,EnrollData2324,'2324 Jun 24 Enroll'!M$1,FALSE)-VLOOKUP($A53,EnrollData2324,'2324 Jun 24 Enroll'!J$1,FALSE)='District Calculations'!$F$16+'District Calculations'!$F$25-'District Calculations'!$F$17,VLOOKUP($A53,EnrollData2324,'2324 Jun 24 Enroll'!I$1,FALSE)+VLOOKUP($A53,EnrollData2324,'2324 Jun 24 Enroll'!M$1,FALSE)-VLOOKUP($A53,EnrollData2324,'2324 Jun 24 Enroll'!J$1,FALSE),'District Calculations'!$F$16+'District Calculations'!$F$25-'District Calculations'!$F$17)*Apport_216A2425,3)</f>
        <v>59.057000000000002</v>
      </c>
      <c r="J53">
        <f>ROUND(SUM(D53:I53)/(IF(VLOOKUP($A53,EnrollData2324,'2324 Jun 24 Enroll'!M$1,FALSE)='District Calculations'!$F$25,VLOOKUP($A53,EnrollData2324,'2324 Jun 24 Enroll'!M$1,FALSE),'District Calculations'!$F$25)+IF(VLOOKUP($A53,EnrollData2324,'2324 Jun 24 Enroll'!D$1,FALSE)='District Calculations'!$F$11,VLOOKUP($A53,EnrollData2324,'2324 Jun 24 Enroll'!D$1,FALSE),'District Calculations'!$F$11)),5)</f>
        <v>5.6520000000000001E-2</v>
      </c>
      <c r="K53" s="11">
        <f t="shared" si="13"/>
        <v>4.385E-3</v>
      </c>
      <c r="L53">
        <f>ROUND(IF(VLOOKUP($A53,EnrollData2324,'2324 Jun 24 Enroll'!D$1,FALSE)='District Calculations'!$F$11,VLOOKUP($A53,EnrollData2324,'2324 Jun 24 Enroll'!D$1,FALSE),'District Calculations'!$F$11)*K53,3)</f>
        <v>0</v>
      </c>
      <c r="M53">
        <f>ROUND(IF(VLOOKUP($A53,EnrollData2324,'2324 Jun 24 Enroll'!E$1,FALSE)='District Calculations'!$F$12,VLOOKUP($A53,EnrollData2324,'2324 Jun 24 Enroll'!E$1,FALSE),'District Calculations'!$F$12)*K53,3)</f>
        <v>3.5539999999999998</v>
      </c>
      <c r="N53">
        <f>ROUND(IF(VLOOKUP($A53,EnrollData2324,'2324 Jun 24 Enroll'!F$1,FALSE)='District Calculations'!$F$13,VLOOKUP($A53,EnrollData2324,'2324 Jun 24 Enroll'!F$1,FALSE),'District Calculations'!$F$13)*Apport_223A2425,3)</f>
        <v>0.84599999999999997</v>
      </c>
      <c r="O53">
        <f>ROUND(IF(VLOOKUP($A53,EnrollData2324,'2324 Jun 24 Enroll'!G$1,FALSE)='District Calculations'!$F$14,VLOOKUP($A53,EnrollData2324,'2324 Jun 24 Enroll'!G$1,FALSE),'District Calculations'!$F$14)*Apport_211A2425,3)</f>
        <v>1.877</v>
      </c>
      <c r="P53">
        <f>ROUND(IF(VLOOKUP($A53,EnrollData2324,'2324 Jun 24 Enroll'!H$1,FALSE)='District Calculations'!$F$14,VLOOKUP($A53,EnrollData2324,'2324 Jun 24 Enroll'!H$1,FALSE),'District Calculations'!$F$14)*Apport_214A2425,3)</f>
        <v>1.875</v>
      </c>
      <c r="Q53">
        <f>ROUND(IF(VLOOKUP($A53,EnrollData2324,'2324 Jun 24 Enroll'!I$1,FALSE)+VLOOKUP($A53,EnrollData2324,'2324 Jun 24 Enroll'!M$1,FALSE)-VLOOKUP($A53,EnrollData2324,'2324 Jun 24 Enroll'!J$1,FALSE)='District Calculations'!$F$16+'District Calculations'!$F$25-'District Calculations'!$F$17,VLOOKUP($A53,EnrollData2324,'2324 Jun 24 Enroll'!I$1,FALSE)+VLOOKUP($A53,EnrollData2324,'2324 Jun 24 Enroll'!M$1,FALSE)-VLOOKUP($A53,EnrollData2324,'2324 Jun 24 Enroll'!J$1,FALSE),'District Calculations'!$F$16+'District Calculations'!$F$25-'District Calculations'!$F$17)*Apport_217A2425,3)</f>
        <v>4.7130000000000001</v>
      </c>
      <c r="R53">
        <f>ROUND(SUM(L53:Q53)/IF(VLOOKUP($A53,EnrollData2324,'2324 Jun 24 Enroll'!M$1,FALSE)+VLOOKUP($A53,EnrollData2324,'2324 Jun 24 Enroll'!D$1,FALSE)='District Calculations'!$F$25+'District Calculations'!$F$11,VLOOKUP($A53,EnrollData2324,'2324 Jun 24 Enroll'!M$1,FALSE)+VLOOKUP($A53,EnrollData2324,'2324 Jun 24 Enroll'!D$1,FALSE),'District Calculations'!$F$25+'District Calculations'!$F$11),5)</f>
        <v>4.1200000000000004E-3</v>
      </c>
      <c r="S53" s="11">
        <f t="shared" si="14"/>
        <v>1.8734299999999999E-2</v>
      </c>
      <c r="T53">
        <f>ROUND(IF(VLOOKUP($A53,EnrollData2324,'2324 Jun 24 Enroll'!D$1,FALSE)='District Calculations'!$F$11,VLOOKUP($A53,EnrollData2324,'2324 Jun 24 Enroll'!D$1,FALSE),'District Calculations'!$F$11)*S53,3)</f>
        <v>0</v>
      </c>
      <c r="U53">
        <f>ROUND(IF(VLOOKUP($A53,EnrollData2324,'2324 Jun 24 Enroll'!E$1,FALSE)='District Calculations'!$F$12,VLOOKUP($A53,EnrollData2324,'2324 Jun 24 Enroll'!E$1,FALSE),'District Calculations'!$F$12)*S53,3)</f>
        <v>15.183999999999999</v>
      </c>
      <c r="V53">
        <f>ROUND(IF(VLOOKUP($A53,EnrollData2324,'2324 Jun 24 Enroll'!F$1,FALSE)='District Calculations'!$F$13,VLOOKUP($A53,EnrollData2324,'2324 Jun 24 Enroll'!F$1,FALSE),'District Calculations'!$F$13)*Apport_224A2425,3)</f>
        <v>3.7109999999999999</v>
      </c>
      <c r="W53">
        <f>ROUND(IF(VLOOKUP($A53,EnrollData2324,'2324 Jun 24 Enroll'!G$1,FALSE)='District Calculations'!$F$14,VLOOKUP($A53,EnrollData2324,'2324 Jun 24 Enroll'!G$1,FALSE),'District Calculations'!$F$14)*Apport_212A2425,3)</f>
        <v>8.2279999999999998</v>
      </c>
      <c r="X53">
        <f>ROUND(IF(VLOOKUP($A53,EnrollData2324,'2324 Jun 24 Enroll'!H$1,FALSE)='District Calculations'!$F$14,VLOOKUP($A53,EnrollData2324,'2324 Jun 24 Enroll'!H$1,FALSE),'District Calculations'!$F$14)*Apport_215A2425,3)</f>
        <v>8.1180000000000003</v>
      </c>
      <c r="Y53">
        <f>ROUND(IF(VLOOKUP($A53,EnrollData2324,'2324 Jun 24 Enroll'!I$1,FALSE)+VLOOKUP($A53,EnrollData2324,'2324 Jun 24 Enroll'!M$1,FALSE)-VLOOKUP($A53,EnrollData2324,'2324 Jun 24 Enroll'!J$1,FALSE)='District Calculations'!$F$16+'District Calculations'!$F$25-'District Calculations'!$F$17,VLOOKUP($A53,EnrollData2324,'2324 Jun 24 Enroll'!I$1,FALSE)+VLOOKUP($A53,EnrollData2324,'2324 Jun 24 Enroll'!M$1,FALSE)-VLOOKUP($A53,EnrollData2324,'2324 Jun 24 Enroll'!J$1,FALSE),'District Calculations'!$F$16+'District Calculations'!$F$25-'District Calculations'!$F$17)*Apport_218A2425,3)</f>
        <v>20.257999999999999</v>
      </c>
      <c r="Z53">
        <f>ROUND(SUM(T53:Y53)/IF(VLOOKUP($A53,EnrollData2324,'2324 Jun 24 Enroll'!M$1,FALSE)+VLOOKUP($A53,EnrollData2324,'2324 Jun 24 Enroll'!D$1,FALSE)='District Calculations'!$F$25+'District Calculations'!$F$11,VLOOKUP($A53,EnrollData2324,'2324 Jun 24 Enroll'!M$1,FALSE)+VLOOKUP($A53,EnrollData2324,'2324 Jun 24 Enroll'!D$1,FALSE),'District Calculations'!$F$25+'District Calculations'!$F$11),5)</f>
        <v>1.7780000000000001E-2</v>
      </c>
      <c r="AA53" s="6">
        <f>ROUND($J53*CIS_Base_Salary2425*VLOOKUP($A53,EnrollData2324,'2324 Jun 24 Enroll'!AH$1,FALSE),2)</f>
        <v>4262.68</v>
      </c>
      <c r="AB53" s="6">
        <f>ROUND($J53*CIS_Inc_Salary2425*(VLOOKUP($A53,EnrollData2324,'2324 Jun 24 Enroll'!AI$1,FALSE)+VLOOKUP($A53,EnrollData2324,'2324 Jun 24 Enroll'!AJ$1,FALSE)),2)-AA53</f>
        <v>334.50999999999931</v>
      </c>
      <c r="AC53" s="6" cm="1">
        <f t="array" ref="AC53">ROUND($R53*CAS_Base_Salary2425*VLOOKUP($A53,EnrollData2324,'2324 Jun 24 Enroll'!AH$1,FALSE),2)</f>
        <v>461.23</v>
      </c>
      <c r="AD53" s="6">
        <f>ROUND($R53*CAS_Inc_Salary2425*VLOOKUP($A53,EnrollData2324,'2324 Jun 24 Enroll'!AI$1,FALSE),2)-AC53</f>
        <v>17.069999999999993</v>
      </c>
      <c r="AE53" s="6">
        <f>ROUND($Z53*CLS_Base_Salary2425*VLOOKUP($A53,EnrollData2324,'2324 Jun 24 Enroll'!AH$1,FALSE),2)</f>
        <v>961.95</v>
      </c>
      <c r="AF53" s="6">
        <f>ROUND($Z53*CLS_Inc_Salary2425*VLOOKUP($A53,EnrollData2324,'2324 Jun 24 Enroll'!AI$1,FALSE),2)-AE53</f>
        <v>35.599999999999909</v>
      </c>
      <c r="AG53" cm="1">
        <f t="array" ref="AG53">ROUND(($J53+$R53)*Apport_124X2425,2)</f>
        <v>800.45</v>
      </c>
      <c r="AH53" s="69" cm="1">
        <f t="array" ref="AH53">ROUND(($J53+$R53)*Apport_621X2425*Apport_125XC2425,2)-AG53</f>
        <v>73.899999999999977</v>
      </c>
      <c r="AI53" cm="1">
        <f t="array" ref="AI53">ROUND($Z53*Apport_124X2425,2)</f>
        <v>234.7</v>
      </c>
      <c r="AJ53">
        <f t="shared" si="15"/>
        <v>124.71000000000004</v>
      </c>
      <c r="AK53">
        <f t="shared" si="16"/>
        <v>857.39</v>
      </c>
      <c r="AL53">
        <f t="shared" si="17"/>
        <v>61.56</v>
      </c>
      <c r="AM53">
        <f t="shared" si="18"/>
        <v>208.36</v>
      </c>
      <c r="AN53">
        <f t="shared" si="19"/>
        <v>6.46</v>
      </c>
      <c r="AO53">
        <f>ROUND(($J53*CIS_Inc_Salary2425*(VLOOKUP($A53,EnrollData2324,'2324 Jun 24 Enroll'!AI$1,FALSE)+VLOOKUP($A53,EnrollData2324,'2324 Jun 24 Enroll'!AJ$1,FALSE))/Apport_613Xpd)*Apport_614Xpd,2)</f>
        <v>76.62</v>
      </c>
      <c r="AP53">
        <f t="shared" si="20"/>
        <v>13.42</v>
      </c>
      <c r="AQ53">
        <f t="shared" si="26"/>
        <v>31.48</v>
      </c>
      <c r="AR53" s="6">
        <f>ROUND((VLOOKUP($A53,EnrollData2324,'2324 Jun 24 Enroll'!D$1,FALSE)*Apport_M802425+VLOOKUP($A53,EnrollData2324,'2324 Jun 24 Enroll'!M$1,FALSE)*Apport_M802425+(VLOOKUP($A53,EnrollData2324,'2324 Jun 24 Enroll'!P$1,FALSE)+VLOOKUP($A53,EnrollData2324,'2324 Jun 24 Enroll'!Q$1,FALSE)+VLOOKUP($A53,EnrollData2324,'2324 Jun 24 Enroll'!R$1,FALSE)+VLOOKUP($A53,EnrollData2324,'2324 Jun 24 Enroll'!I$1,FALSE)+VLOOKUP($A53,EnrollData2324,'2324 Jun 24 Enroll'!N$1,FALSE)+VLOOKUP($A53,EnrollData2324,'2324 Jun 24 Enroll'!O$1,FALSE)+VLOOKUP($A53,EnrollData2324,'2324 Jun 24 Enroll'!K$1,FALSE)+VLOOKUP($A53,EnrollData2324,'2324 Jun 24 Enroll'!L$1,FALSE))*Apport_M812425)/(VLOOKUP($A53,EnrollData2324,'2324 Jun 24 Enroll'!M$1,FALSE)+VLOOKUP($A53,EnrollData2324,'2324 Jun 24 Enroll'!D$1,FALSE)),2)</f>
        <v>1599.36</v>
      </c>
      <c r="AS53" s="7">
        <f t="shared" si="27"/>
        <v>10161.449999999999</v>
      </c>
    </row>
    <row r="54" spans="1:45">
      <c r="A54" s="40" t="s">
        <v>865</v>
      </c>
      <c r="B54" s="40" t="s">
        <v>866</v>
      </c>
      <c r="C54" s="11">
        <f>ROUND((IFERROR((1/IF(VLOOKUP($A54,EnrollData2324,28,FALSE)='District Calculations'!$F$10,VLOOKUP($A54,EnrollData2324,28,FALSE),'District Calculations'!$F$10))*(1+Apport_Z315),0))+Apport_201A2425,6)</f>
        <v>7.4580999999999995E-2</v>
      </c>
      <c r="D54">
        <f>ROUND(IF(VLOOKUP($A54,EnrollData2324,'2324 Jun 24 Enroll'!D$1,FALSE)='District Calculations'!$F$11,VLOOKUP($A54,EnrollData2324,'2324 Jun 24 Enroll'!D$1,FALSE),'District Calculations'!$F$11)*C54,3)</f>
        <v>0</v>
      </c>
      <c r="E54">
        <f>ROUND(IF(VLOOKUP($A54,EnrollData2324,'2324 Jun 24 Enroll'!E$1,FALSE)='District Calculations'!$F$12,VLOOKUP($A54,EnrollData2324,'2324 Jun 24 Enroll'!E$1,FALSE),'District Calculations'!$F$12)*C54,3)</f>
        <v>60.447000000000003</v>
      </c>
      <c r="F54">
        <f>ROUND(IF(VLOOKUP($A54,EnrollData2324,'2324 Jun 24 Enroll'!F$1,FALSE)='District Calculations'!$F$13,VLOOKUP($A54,EnrollData2324,'2324 Jun 24 Enroll'!F$1,FALSE),'District Calculations'!$F$13)*Apport_222A2425,3)</f>
        <v>10.337999999999999</v>
      </c>
      <c r="G54">
        <f>ROUND(IF(VLOOKUP($A54,EnrollData2324,'2324 Jun 24 Enroll'!G$1,FALSE)='District Calculations'!$F$14,VLOOKUP($A54,EnrollData2324,'2324 Jun 24 Enroll'!G$1,FALSE),'District Calculations'!$F$14)*Apport_210A2425,3)</f>
        <v>22.92</v>
      </c>
      <c r="H54">
        <f>ROUND(IF(VLOOKUP($A54,EnrollData2324,'2324 Jun 24 Enroll'!H$1,FALSE)='District Calculations'!$F$15,VLOOKUP($A54,EnrollData2324,'2324 Jun 24 Enroll'!H$1,FALSE),'District Calculations'!$F$15)*Apport_213A2425,3)</f>
        <v>23.619</v>
      </c>
      <c r="I54">
        <f>ROUND(IF(VLOOKUP($A54,EnrollData2324,'2324 Jun 24 Enroll'!I$1,FALSE)+VLOOKUP($A54,EnrollData2324,'2324 Jun 24 Enroll'!M$1,FALSE)-VLOOKUP($A54,EnrollData2324,'2324 Jun 24 Enroll'!J$1,FALSE)='District Calculations'!$F$16+'District Calculations'!$F$25-'District Calculations'!$F$17,VLOOKUP($A54,EnrollData2324,'2324 Jun 24 Enroll'!I$1,FALSE)+VLOOKUP($A54,EnrollData2324,'2324 Jun 24 Enroll'!M$1,FALSE)-VLOOKUP($A54,EnrollData2324,'2324 Jun 24 Enroll'!J$1,FALSE),'District Calculations'!$F$16+'District Calculations'!$F$25-'District Calculations'!$F$17)*Apport_216A2425,3)</f>
        <v>59.057000000000002</v>
      </c>
      <c r="J54">
        <f>ROUND(SUM(D54:I54)/(IF(VLOOKUP($A54,EnrollData2324,'2324 Jun 24 Enroll'!M$1,FALSE)='District Calculations'!$F$25,VLOOKUP($A54,EnrollData2324,'2324 Jun 24 Enroll'!M$1,FALSE),'District Calculations'!$F$25)+IF(VLOOKUP($A54,EnrollData2324,'2324 Jun 24 Enroll'!D$1,FALSE)='District Calculations'!$F$11,VLOOKUP($A54,EnrollData2324,'2324 Jun 24 Enroll'!D$1,FALSE),'District Calculations'!$F$11)),5)</f>
        <v>5.6520000000000001E-2</v>
      </c>
      <c r="K54" s="11">
        <f t="shared" si="13"/>
        <v>4.385E-3</v>
      </c>
      <c r="L54">
        <f>ROUND(IF(VLOOKUP($A54,EnrollData2324,'2324 Jun 24 Enroll'!D$1,FALSE)='District Calculations'!$F$11,VLOOKUP($A54,EnrollData2324,'2324 Jun 24 Enroll'!D$1,FALSE),'District Calculations'!$F$11)*K54,3)</f>
        <v>0</v>
      </c>
      <c r="M54">
        <f>ROUND(IF(VLOOKUP($A54,EnrollData2324,'2324 Jun 24 Enroll'!E$1,FALSE)='District Calculations'!$F$12,VLOOKUP($A54,EnrollData2324,'2324 Jun 24 Enroll'!E$1,FALSE),'District Calculations'!$F$12)*K54,3)</f>
        <v>3.5539999999999998</v>
      </c>
      <c r="N54">
        <f>ROUND(IF(VLOOKUP($A54,EnrollData2324,'2324 Jun 24 Enroll'!F$1,FALSE)='District Calculations'!$F$13,VLOOKUP($A54,EnrollData2324,'2324 Jun 24 Enroll'!F$1,FALSE),'District Calculations'!$F$13)*Apport_223A2425,3)</f>
        <v>0.84599999999999997</v>
      </c>
      <c r="O54">
        <f>ROUND(IF(VLOOKUP($A54,EnrollData2324,'2324 Jun 24 Enroll'!G$1,FALSE)='District Calculations'!$F$14,VLOOKUP($A54,EnrollData2324,'2324 Jun 24 Enroll'!G$1,FALSE),'District Calculations'!$F$14)*Apport_211A2425,3)</f>
        <v>1.877</v>
      </c>
      <c r="P54">
        <f>ROUND(IF(VLOOKUP($A54,EnrollData2324,'2324 Jun 24 Enroll'!H$1,FALSE)='District Calculations'!$F$14,VLOOKUP($A54,EnrollData2324,'2324 Jun 24 Enroll'!H$1,FALSE),'District Calculations'!$F$14)*Apport_214A2425,3)</f>
        <v>1.875</v>
      </c>
      <c r="Q54">
        <f>ROUND(IF(VLOOKUP($A54,EnrollData2324,'2324 Jun 24 Enroll'!I$1,FALSE)+VLOOKUP($A54,EnrollData2324,'2324 Jun 24 Enroll'!M$1,FALSE)-VLOOKUP($A54,EnrollData2324,'2324 Jun 24 Enroll'!J$1,FALSE)='District Calculations'!$F$16+'District Calculations'!$F$25-'District Calculations'!$F$17,VLOOKUP($A54,EnrollData2324,'2324 Jun 24 Enroll'!I$1,FALSE)+VLOOKUP($A54,EnrollData2324,'2324 Jun 24 Enroll'!M$1,FALSE)-VLOOKUP($A54,EnrollData2324,'2324 Jun 24 Enroll'!J$1,FALSE),'District Calculations'!$F$16+'District Calculations'!$F$25-'District Calculations'!$F$17)*Apport_217A2425,3)</f>
        <v>4.7130000000000001</v>
      </c>
      <c r="R54">
        <f>ROUND(SUM(L54:Q54)/IF(VLOOKUP($A54,EnrollData2324,'2324 Jun 24 Enroll'!M$1,FALSE)+VLOOKUP($A54,EnrollData2324,'2324 Jun 24 Enroll'!D$1,FALSE)='District Calculations'!$F$25+'District Calculations'!$F$11,VLOOKUP($A54,EnrollData2324,'2324 Jun 24 Enroll'!M$1,FALSE)+VLOOKUP($A54,EnrollData2324,'2324 Jun 24 Enroll'!D$1,FALSE),'District Calculations'!$F$25+'District Calculations'!$F$11),5)</f>
        <v>4.1200000000000004E-3</v>
      </c>
      <c r="S54" s="11">
        <f t="shared" si="14"/>
        <v>1.8734299999999999E-2</v>
      </c>
      <c r="T54">
        <f>ROUND(IF(VLOOKUP($A54,EnrollData2324,'2324 Jun 24 Enroll'!D$1,FALSE)='District Calculations'!$F$11,VLOOKUP($A54,EnrollData2324,'2324 Jun 24 Enroll'!D$1,FALSE),'District Calculations'!$F$11)*S54,3)</f>
        <v>0</v>
      </c>
      <c r="U54">
        <f>ROUND(IF(VLOOKUP($A54,EnrollData2324,'2324 Jun 24 Enroll'!E$1,FALSE)='District Calculations'!$F$12,VLOOKUP($A54,EnrollData2324,'2324 Jun 24 Enroll'!E$1,FALSE),'District Calculations'!$F$12)*S54,3)</f>
        <v>15.183999999999999</v>
      </c>
      <c r="V54">
        <f>ROUND(IF(VLOOKUP($A54,EnrollData2324,'2324 Jun 24 Enroll'!F$1,FALSE)='District Calculations'!$F$13,VLOOKUP($A54,EnrollData2324,'2324 Jun 24 Enroll'!F$1,FALSE),'District Calculations'!$F$13)*Apport_224A2425,3)</f>
        <v>3.7109999999999999</v>
      </c>
      <c r="W54">
        <f>ROUND(IF(VLOOKUP($A54,EnrollData2324,'2324 Jun 24 Enroll'!G$1,FALSE)='District Calculations'!$F$14,VLOOKUP($A54,EnrollData2324,'2324 Jun 24 Enroll'!G$1,FALSE),'District Calculations'!$F$14)*Apport_212A2425,3)</f>
        <v>8.2279999999999998</v>
      </c>
      <c r="X54">
        <f>ROUND(IF(VLOOKUP($A54,EnrollData2324,'2324 Jun 24 Enroll'!H$1,FALSE)='District Calculations'!$F$14,VLOOKUP($A54,EnrollData2324,'2324 Jun 24 Enroll'!H$1,FALSE),'District Calculations'!$F$14)*Apport_215A2425,3)</f>
        <v>8.1180000000000003</v>
      </c>
      <c r="Y54">
        <f>ROUND(IF(VLOOKUP($A54,EnrollData2324,'2324 Jun 24 Enroll'!I$1,FALSE)+VLOOKUP($A54,EnrollData2324,'2324 Jun 24 Enroll'!M$1,FALSE)-VLOOKUP($A54,EnrollData2324,'2324 Jun 24 Enroll'!J$1,FALSE)='District Calculations'!$F$16+'District Calculations'!$F$25-'District Calculations'!$F$17,VLOOKUP($A54,EnrollData2324,'2324 Jun 24 Enroll'!I$1,FALSE)+VLOOKUP($A54,EnrollData2324,'2324 Jun 24 Enroll'!M$1,FALSE)-VLOOKUP($A54,EnrollData2324,'2324 Jun 24 Enroll'!J$1,FALSE),'District Calculations'!$F$16+'District Calculations'!$F$25-'District Calculations'!$F$17)*Apport_218A2425,3)</f>
        <v>20.257999999999999</v>
      </c>
      <c r="Z54">
        <f>ROUND(SUM(T54:Y54)/IF(VLOOKUP($A54,EnrollData2324,'2324 Jun 24 Enroll'!M$1,FALSE)+VLOOKUP($A54,EnrollData2324,'2324 Jun 24 Enroll'!D$1,FALSE)='District Calculations'!$F$25+'District Calculations'!$F$11,VLOOKUP($A54,EnrollData2324,'2324 Jun 24 Enroll'!M$1,FALSE)+VLOOKUP($A54,EnrollData2324,'2324 Jun 24 Enroll'!D$1,FALSE),'District Calculations'!$F$25+'District Calculations'!$F$11),5)</f>
        <v>1.7780000000000001E-2</v>
      </c>
      <c r="AA54" s="6">
        <f>ROUND($J54*CIS_Base_Salary2425*VLOOKUP($A54,EnrollData2324,'2324 Jun 24 Enroll'!AH$1,FALSE),2)</f>
        <v>4262.68</v>
      </c>
      <c r="AB54" s="6">
        <f>ROUND($J54*CIS_Inc_Salary2425*(VLOOKUP($A54,EnrollData2324,'2324 Jun 24 Enroll'!AI$1,FALSE)+VLOOKUP($A54,EnrollData2324,'2324 Jun 24 Enroll'!AJ$1,FALSE)),2)-AA54</f>
        <v>157.6899999999996</v>
      </c>
      <c r="AC54" s="6" cm="1">
        <f t="array" ref="AC54">ROUND($R54*CAS_Base_Salary2425*VLOOKUP($A54,EnrollData2324,'2324 Jun 24 Enroll'!AH$1,FALSE),2)</f>
        <v>461.23</v>
      </c>
      <c r="AD54" s="6">
        <f>ROUND($R54*CAS_Inc_Salary2425*VLOOKUP($A54,EnrollData2324,'2324 Jun 24 Enroll'!AI$1,FALSE),2)-AC54</f>
        <v>17.069999999999993</v>
      </c>
      <c r="AE54" s="6">
        <f>ROUND($Z54*CLS_Base_Salary2425*VLOOKUP($A54,EnrollData2324,'2324 Jun 24 Enroll'!AH$1,FALSE),2)</f>
        <v>961.95</v>
      </c>
      <c r="AF54" s="6">
        <f>ROUND($Z54*CLS_Inc_Salary2425*VLOOKUP($A54,EnrollData2324,'2324 Jun 24 Enroll'!AI$1,FALSE),2)-AE54</f>
        <v>35.599999999999909</v>
      </c>
      <c r="AG54" cm="1">
        <f t="array" ref="AG54">ROUND(($J54+$R54)*Apport_124X2425,2)</f>
        <v>800.45</v>
      </c>
      <c r="AH54" s="69" cm="1">
        <f t="array" ref="AH54">ROUND(($J54+$R54)*Apport_621X2425*Apport_125XC2425,2)-AG54</f>
        <v>73.899999999999977</v>
      </c>
      <c r="AI54" cm="1">
        <f t="array" ref="AI54">ROUND($Z54*Apport_124X2425,2)</f>
        <v>234.7</v>
      </c>
      <c r="AJ54">
        <f t="shared" si="15"/>
        <v>124.71000000000004</v>
      </c>
      <c r="AK54">
        <f t="shared" si="16"/>
        <v>857.39</v>
      </c>
      <c r="AL54">
        <f t="shared" si="17"/>
        <v>30.6</v>
      </c>
      <c r="AM54">
        <f t="shared" si="18"/>
        <v>208.36</v>
      </c>
      <c r="AN54">
        <f t="shared" si="19"/>
        <v>6.46</v>
      </c>
      <c r="AO54">
        <f>ROUND(($J54*CIS_Inc_Salary2425*(VLOOKUP($A54,EnrollData2324,'2324 Jun 24 Enroll'!AI$1,FALSE)+VLOOKUP($A54,EnrollData2324,'2324 Jun 24 Enroll'!AJ$1,FALSE))/Apport_613Xpd)*Apport_614Xpd,2)</f>
        <v>73.67</v>
      </c>
      <c r="AP54">
        <f t="shared" si="20"/>
        <v>12.9</v>
      </c>
      <c r="AQ54">
        <f t="shared" ref="AQ54:AQ117" si="28">ROUND((J54*Apport_581X)*(Apport_116X*Apport_132X),2)</f>
        <v>31.48</v>
      </c>
      <c r="AR54" s="6">
        <f>ROUND((VLOOKUP($A54,EnrollData2324,'2324 Jun 24 Enroll'!D$1,FALSE)*Apport_M802425+VLOOKUP($A54,EnrollData2324,'2324 Jun 24 Enroll'!M$1,FALSE)*Apport_M802425+(VLOOKUP($A54,EnrollData2324,'2324 Jun 24 Enroll'!P$1,FALSE)+VLOOKUP($A54,EnrollData2324,'2324 Jun 24 Enroll'!Q$1,FALSE)+VLOOKUP($A54,EnrollData2324,'2324 Jun 24 Enroll'!R$1,FALSE)+VLOOKUP($A54,EnrollData2324,'2324 Jun 24 Enroll'!I$1,FALSE)+VLOOKUP($A54,EnrollData2324,'2324 Jun 24 Enroll'!N$1,FALSE)+VLOOKUP($A54,EnrollData2324,'2324 Jun 24 Enroll'!O$1,FALSE)+VLOOKUP($A54,EnrollData2324,'2324 Jun 24 Enroll'!K$1,FALSE)+VLOOKUP($A54,EnrollData2324,'2324 Jun 24 Enroll'!L$1,FALSE))*Apport_M812425)/(VLOOKUP($A54,EnrollData2324,'2324 Jun 24 Enroll'!M$1,FALSE)+VLOOKUP($A54,EnrollData2324,'2324 Jun 24 Enroll'!D$1,FALSE)),2)</f>
        <v>1611.63</v>
      </c>
      <c r="AS54" s="7">
        <f t="shared" ref="AS54:AS117" si="29">SUM(AA54:AR54)</f>
        <v>9962.4699999999975</v>
      </c>
    </row>
    <row r="55" spans="1:45">
      <c r="A55" s="40" t="s">
        <v>1029</v>
      </c>
      <c r="B55" s="40" t="s">
        <v>1030</v>
      </c>
      <c r="C55" s="11">
        <f>ROUND((IFERROR((1/IF(VLOOKUP($A55,EnrollData2324,28,FALSE)='District Calculations'!$F$10,VLOOKUP($A55,EnrollData2324,28,FALSE),'District Calculations'!$F$10))*(1+Apport_Z315),0))+Apport_201A2425,6)</f>
        <v>7.4580999999999995E-2</v>
      </c>
      <c r="D55">
        <f>ROUND(IF(VLOOKUP($A55,EnrollData2324,'2324 Jun 24 Enroll'!D$1,FALSE)='District Calculations'!$F$11,VLOOKUP($A55,EnrollData2324,'2324 Jun 24 Enroll'!D$1,FALSE),'District Calculations'!$F$11)*C55,3)</f>
        <v>0</v>
      </c>
      <c r="E55">
        <f>ROUND(IF(VLOOKUP($A55,EnrollData2324,'2324 Jun 24 Enroll'!E$1,FALSE)='District Calculations'!$F$12,VLOOKUP($A55,EnrollData2324,'2324 Jun 24 Enroll'!E$1,FALSE),'District Calculations'!$F$12)*C55,3)</f>
        <v>60.447000000000003</v>
      </c>
      <c r="F55">
        <f>ROUND(IF(VLOOKUP($A55,EnrollData2324,'2324 Jun 24 Enroll'!F$1,FALSE)='District Calculations'!$F$13,VLOOKUP($A55,EnrollData2324,'2324 Jun 24 Enroll'!F$1,FALSE),'District Calculations'!$F$13)*Apport_222A2425,3)</f>
        <v>10.337999999999999</v>
      </c>
      <c r="G55">
        <f>ROUND(IF(VLOOKUP($A55,EnrollData2324,'2324 Jun 24 Enroll'!G$1,FALSE)='District Calculations'!$F$14,VLOOKUP($A55,EnrollData2324,'2324 Jun 24 Enroll'!G$1,FALSE),'District Calculations'!$F$14)*Apport_210A2425,3)</f>
        <v>22.92</v>
      </c>
      <c r="H55">
        <f>ROUND(IF(VLOOKUP($A55,EnrollData2324,'2324 Jun 24 Enroll'!H$1,FALSE)='District Calculations'!$F$15,VLOOKUP($A55,EnrollData2324,'2324 Jun 24 Enroll'!H$1,FALSE),'District Calculations'!$F$15)*Apport_213A2425,3)</f>
        <v>23.619</v>
      </c>
      <c r="I55">
        <f>ROUND(IF(VLOOKUP($A55,EnrollData2324,'2324 Jun 24 Enroll'!I$1,FALSE)+VLOOKUP($A55,EnrollData2324,'2324 Jun 24 Enroll'!M$1,FALSE)-VLOOKUP($A55,EnrollData2324,'2324 Jun 24 Enroll'!J$1,FALSE)='District Calculations'!$F$16+'District Calculations'!$F$25-'District Calculations'!$F$17,VLOOKUP($A55,EnrollData2324,'2324 Jun 24 Enroll'!I$1,FALSE)+VLOOKUP($A55,EnrollData2324,'2324 Jun 24 Enroll'!M$1,FALSE)-VLOOKUP($A55,EnrollData2324,'2324 Jun 24 Enroll'!J$1,FALSE),'District Calculations'!$F$16+'District Calculations'!$F$25-'District Calculations'!$F$17)*Apport_216A2425,3)</f>
        <v>59.057000000000002</v>
      </c>
      <c r="J55">
        <f>ROUND(SUM(D55:I55)/(IF(VLOOKUP($A55,EnrollData2324,'2324 Jun 24 Enroll'!M$1,FALSE)='District Calculations'!$F$25,VLOOKUP($A55,EnrollData2324,'2324 Jun 24 Enroll'!M$1,FALSE),'District Calculations'!$F$25)+IF(VLOOKUP($A55,EnrollData2324,'2324 Jun 24 Enroll'!D$1,FALSE)='District Calculations'!$F$11,VLOOKUP($A55,EnrollData2324,'2324 Jun 24 Enroll'!D$1,FALSE),'District Calculations'!$F$11)),5)</f>
        <v>5.6520000000000001E-2</v>
      </c>
      <c r="K55" s="11">
        <f t="shared" si="13"/>
        <v>4.385E-3</v>
      </c>
      <c r="L55">
        <f>ROUND(IF(VLOOKUP($A55,EnrollData2324,'2324 Jun 24 Enroll'!D$1,FALSE)='District Calculations'!$F$11,VLOOKUP($A55,EnrollData2324,'2324 Jun 24 Enroll'!D$1,FALSE),'District Calculations'!$F$11)*K55,3)</f>
        <v>0</v>
      </c>
      <c r="M55">
        <f>ROUND(IF(VLOOKUP($A55,EnrollData2324,'2324 Jun 24 Enroll'!E$1,FALSE)='District Calculations'!$F$12,VLOOKUP($A55,EnrollData2324,'2324 Jun 24 Enroll'!E$1,FALSE),'District Calculations'!$F$12)*K55,3)</f>
        <v>3.5539999999999998</v>
      </c>
      <c r="N55">
        <f>ROUND(IF(VLOOKUP($A55,EnrollData2324,'2324 Jun 24 Enroll'!F$1,FALSE)='District Calculations'!$F$13,VLOOKUP($A55,EnrollData2324,'2324 Jun 24 Enroll'!F$1,FALSE),'District Calculations'!$F$13)*Apport_223A2425,3)</f>
        <v>0.84599999999999997</v>
      </c>
      <c r="O55">
        <f>ROUND(IF(VLOOKUP($A55,EnrollData2324,'2324 Jun 24 Enroll'!G$1,FALSE)='District Calculations'!$F$14,VLOOKUP($A55,EnrollData2324,'2324 Jun 24 Enroll'!G$1,FALSE),'District Calculations'!$F$14)*Apport_211A2425,3)</f>
        <v>1.877</v>
      </c>
      <c r="P55">
        <f>ROUND(IF(VLOOKUP($A55,EnrollData2324,'2324 Jun 24 Enroll'!H$1,FALSE)='District Calculations'!$F$14,VLOOKUP($A55,EnrollData2324,'2324 Jun 24 Enroll'!H$1,FALSE),'District Calculations'!$F$14)*Apport_214A2425,3)</f>
        <v>1.875</v>
      </c>
      <c r="Q55">
        <f>ROUND(IF(VLOOKUP($A55,EnrollData2324,'2324 Jun 24 Enroll'!I$1,FALSE)+VLOOKUP($A55,EnrollData2324,'2324 Jun 24 Enroll'!M$1,FALSE)-VLOOKUP($A55,EnrollData2324,'2324 Jun 24 Enroll'!J$1,FALSE)='District Calculations'!$F$16+'District Calculations'!$F$25-'District Calculations'!$F$17,VLOOKUP($A55,EnrollData2324,'2324 Jun 24 Enroll'!I$1,FALSE)+VLOOKUP($A55,EnrollData2324,'2324 Jun 24 Enroll'!M$1,FALSE)-VLOOKUP($A55,EnrollData2324,'2324 Jun 24 Enroll'!J$1,FALSE),'District Calculations'!$F$16+'District Calculations'!$F$25-'District Calculations'!$F$17)*Apport_217A2425,3)</f>
        <v>4.7130000000000001</v>
      </c>
      <c r="R55">
        <f>ROUND(SUM(L55:Q55)/IF(VLOOKUP($A55,EnrollData2324,'2324 Jun 24 Enroll'!M$1,FALSE)+VLOOKUP($A55,EnrollData2324,'2324 Jun 24 Enroll'!D$1,FALSE)='District Calculations'!$F$25+'District Calculations'!$F$11,VLOOKUP($A55,EnrollData2324,'2324 Jun 24 Enroll'!M$1,FALSE)+VLOOKUP($A55,EnrollData2324,'2324 Jun 24 Enroll'!D$1,FALSE),'District Calculations'!$F$25+'District Calculations'!$F$11),5)</f>
        <v>4.1200000000000004E-3</v>
      </c>
      <c r="S55" s="11">
        <f t="shared" si="14"/>
        <v>1.8734299999999999E-2</v>
      </c>
      <c r="T55">
        <f>ROUND(IF(VLOOKUP($A55,EnrollData2324,'2324 Jun 24 Enroll'!D$1,FALSE)='District Calculations'!$F$11,VLOOKUP($A55,EnrollData2324,'2324 Jun 24 Enroll'!D$1,FALSE),'District Calculations'!$F$11)*S55,3)</f>
        <v>0</v>
      </c>
      <c r="U55">
        <f>ROUND(IF(VLOOKUP($A55,EnrollData2324,'2324 Jun 24 Enroll'!E$1,FALSE)='District Calculations'!$F$12,VLOOKUP($A55,EnrollData2324,'2324 Jun 24 Enroll'!E$1,FALSE),'District Calculations'!$F$12)*S55,3)</f>
        <v>15.183999999999999</v>
      </c>
      <c r="V55">
        <f>ROUND(IF(VLOOKUP($A55,EnrollData2324,'2324 Jun 24 Enroll'!F$1,FALSE)='District Calculations'!$F$13,VLOOKUP($A55,EnrollData2324,'2324 Jun 24 Enroll'!F$1,FALSE),'District Calculations'!$F$13)*Apport_224A2425,3)</f>
        <v>3.7109999999999999</v>
      </c>
      <c r="W55">
        <f>ROUND(IF(VLOOKUP($A55,EnrollData2324,'2324 Jun 24 Enroll'!G$1,FALSE)='District Calculations'!$F$14,VLOOKUP($A55,EnrollData2324,'2324 Jun 24 Enroll'!G$1,FALSE),'District Calculations'!$F$14)*Apport_212A2425,3)</f>
        <v>8.2279999999999998</v>
      </c>
      <c r="X55">
        <f>ROUND(IF(VLOOKUP($A55,EnrollData2324,'2324 Jun 24 Enroll'!H$1,FALSE)='District Calculations'!$F$14,VLOOKUP($A55,EnrollData2324,'2324 Jun 24 Enroll'!H$1,FALSE),'District Calculations'!$F$14)*Apport_215A2425,3)</f>
        <v>8.1180000000000003</v>
      </c>
      <c r="Y55">
        <f>ROUND(IF(VLOOKUP($A55,EnrollData2324,'2324 Jun 24 Enroll'!I$1,FALSE)+VLOOKUP($A55,EnrollData2324,'2324 Jun 24 Enroll'!M$1,FALSE)-VLOOKUP($A55,EnrollData2324,'2324 Jun 24 Enroll'!J$1,FALSE)='District Calculations'!$F$16+'District Calculations'!$F$25-'District Calculations'!$F$17,VLOOKUP($A55,EnrollData2324,'2324 Jun 24 Enroll'!I$1,FALSE)+VLOOKUP($A55,EnrollData2324,'2324 Jun 24 Enroll'!M$1,FALSE)-VLOOKUP($A55,EnrollData2324,'2324 Jun 24 Enroll'!J$1,FALSE),'District Calculations'!$F$16+'District Calculations'!$F$25-'District Calculations'!$F$17)*Apport_218A2425,3)</f>
        <v>20.257999999999999</v>
      </c>
      <c r="Z55">
        <f>ROUND(SUM(T55:Y55)/IF(VLOOKUP($A55,EnrollData2324,'2324 Jun 24 Enroll'!M$1,FALSE)+VLOOKUP($A55,EnrollData2324,'2324 Jun 24 Enroll'!D$1,FALSE)='District Calculations'!$F$25+'District Calculations'!$F$11,VLOOKUP($A55,EnrollData2324,'2324 Jun 24 Enroll'!M$1,FALSE)+VLOOKUP($A55,EnrollData2324,'2324 Jun 24 Enroll'!D$1,FALSE),'District Calculations'!$F$25+'District Calculations'!$F$11),5)</f>
        <v>1.7780000000000001E-2</v>
      </c>
      <c r="AA55" s="6">
        <f>ROUND($J55*CIS_Base_Salary2425*VLOOKUP($A55,EnrollData2324,'2324 Jun 24 Enroll'!AH$1,FALSE),2)</f>
        <v>4262.68</v>
      </c>
      <c r="AB55" s="6">
        <f>ROUND($J55*CIS_Inc_Salary2425*(VLOOKUP($A55,EnrollData2324,'2324 Jun 24 Enroll'!AI$1,FALSE)+VLOOKUP($A55,EnrollData2324,'2324 Jun 24 Enroll'!AJ$1,FALSE)),2)-AA55</f>
        <v>157.6899999999996</v>
      </c>
      <c r="AC55" s="6" cm="1">
        <f t="array" ref="AC55">ROUND($R55*CAS_Base_Salary2425*VLOOKUP($A55,EnrollData2324,'2324 Jun 24 Enroll'!AH$1,FALSE),2)</f>
        <v>461.23</v>
      </c>
      <c r="AD55" s="6">
        <f>ROUND($R55*CAS_Inc_Salary2425*VLOOKUP($A55,EnrollData2324,'2324 Jun 24 Enroll'!AI$1,FALSE),2)-AC55</f>
        <v>17.069999999999993</v>
      </c>
      <c r="AE55" s="6">
        <f>ROUND($Z55*CLS_Base_Salary2425*VLOOKUP($A55,EnrollData2324,'2324 Jun 24 Enroll'!AH$1,FALSE),2)</f>
        <v>961.95</v>
      </c>
      <c r="AF55" s="6">
        <f>ROUND($Z55*CLS_Inc_Salary2425*VLOOKUP($A55,EnrollData2324,'2324 Jun 24 Enroll'!AI$1,FALSE),2)-AE55</f>
        <v>35.599999999999909</v>
      </c>
      <c r="AG55" cm="1">
        <f t="array" ref="AG55">ROUND(($J55+$R55)*Apport_124X2425,2)</f>
        <v>800.45</v>
      </c>
      <c r="AH55" s="69" cm="1">
        <f t="array" ref="AH55">ROUND(($J55+$R55)*Apport_621X2425*Apport_125XC2425,2)-AG55</f>
        <v>73.899999999999977</v>
      </c>
      <c r="AI55" cm="1">
        <f t="array" ref="AI55">ROUND($Z55*Apport_124X2425,2)</f>
        <v>234.7</v>
      </c>
      <c r="AJ55">
        <f t="shared" si="15"/>
        <v>124.71000000000004</v>
      </c>
      <c r="AK55">
        <f t="shared" si="16"/>
        <v>857.39</v>
      </c>
      <c r="AL55">
        <f t="shared" si="17"/>
        <v>30.6</v>
      </c>
      <c r="AM55">
        <f t="shared" si="18"/>
        <v>208.36</v>
      </c>
      <c r="AN55">
        <f t="shared" si="19"/>
        <v>6.46</v>
      </c>
      <c r="AO55">
        <f>ROUND(($J55*CIS_Inc_Salary2425*(VLOOKUP($A55,EnrollData2324,'2324 Jun 24 Enroll'!AI$1,FALSE)+VLOOKUP($A55,EnrollData2324,'2324 Jun 24 Enroll'!AJ$1,FALSE))/Apport_613Xpd)*Apport_614Xpd,2)</f>
        <v>73.67</v>
      </c>
      <c r="AP55">
        <f t="shared" si="20"/>
        <v>12.9</v>
      </c>
      <c r="AQ55">
        <f t="shared" si="28"/>
        <v>31.48</v>
      </c>
      <c r="AR55" s="6">
        <f>ROUND((VLOOKUP($A55,EnrollData2324,'2324 Jun 24 Enroll'!D$1,FALSE)*Apport_M802425+VLOOKUP($A55,EnrollData2324,'2324 Jun 24 Enroll'!M$1,FALSE)*Apport_M802425+(VLOOKUP($A55,EnrollData2324,'2324 Jun 24 Enroll'!P$1,FALSE)+VLOOKUP($A55,EnrollData2324,'2324 Jun 24 Enroll'!Q$1,FALSE)+VLOOKUP($A55,EnrollData2324,'2324 Jun 24 Enroll'!R$1,FALSE)+VLOOKUP($A55,EnrollData2324,'2324 Jun 24 Enroll'!I$1,FALSE)+VLOOKUP($A55,EnrollData2324,'2324 Jun 24 Enroll'!N$1,FALSE)+VLOOKUP($A55,EnrollData2324,'2324 Jun 24 Enroll'!O$1,FALSE)+VLOOKUP($A55,EnrollData2324,'2324 Jun 24 Enroll'!K$1,FALSE)+VLOOKUP($A55,EnrollData2324,'2324 Jun 24 Enroll'!L$1,FALSE))*Apport_M812425)/(VLOOKUP($A55,EnrollData2324,'2324 Jun 24 Enroll'!M$1,FALSE)+VLOOKUP($A55,EnrollData2324,'2324 Jun 24 Enroll'!D$1,FALSE)),2)</f>
        <v>1573.87</v>
      </c>
      <c r="AS55" s="7">
        <f t="shared" si="29"/>
        <v>9924.7099999999991</v>
      </c>
    </row>
    <row r="56" spans="1:45">
      <c r="A56" s="40" t="s">
        <v>695</v>
      </c>
      <c r="B56" s="40" t="s">
        <v>696</v>
      </c>
      <c r="C56" s="11">
        <f>ROUND((IFERROR((1/IF(VLOOKUP($A56,EnrollData2324,28,FALSE)='District Calculations'!$F$10,VLOOKUP($A56,EnrollData2324,28,FALSE),'District Calculations'!$F$10))*(1+Apport_Z315),0))+Apport_201A2425,6)</f>
        <v>7.4580999999999995E-2</v>
      </c>
      <c r="D56">
        <f>ROUND(IF(VLOOKUP($A56,EnrollData2324,'2324 Jun 24 Enroll'!D$1,FALSE)='District Calculations'!$F$11,VLOOKUP($A56,EnrollData2324,'2324 Jun 24 Enroll'!D$1,FALSE),'District Calculations'!$F$11)*C56,3)</f>
        <v>0</v>
      </c>
      <c r="E56">
        <f>ROUND(IF(VLOOKUP($A56,EnrollData2324,'2324 Jun 24 Enroll'!E$1,FALSE)='District Calculations'!$F$12,VLOOKUP($A56,EnrollData2324,'2324 Jun 24 Enroll'!E$1,FALSE),'District Calculations'!$F$12)*C56,3)</f>
        <v>60.447000000000003</v>
      </c>
      <c r="F56">
        <f>ROUND(IF(VLOOKUP($A56,EnrollData2324,'2324 Jun 24 Enroll'!F$1,FALSE)='District Calculations'!$F$13,VLOOKUP($A56,EnrollData2324,'2324 Jun 24 Enroll'!F$1,FALSE),'District Calculations'!$F$13)*Apport_222A2425,3)</f>
        <v>10.337999999999999</v>
      </c>
      <c r="G56">
        <f>ROUND(IF(VLOOKUP($A56,EnrollData2324,'2324 Jun 24 Enroll'!G$1,FALSE)='District Calculations'!$F$14,VLOOKUP($A56,EnrollData2324,'2324 Jun 24 Enroll'!G$1,FALSE),'District Calculations'!$F$14)*Apport_210A2425,3)</f>
        <v>22.92</v>
      </c>
      <c r="H56">
        <f>ROUND(IF(VLOOKUP($A56,EnrollData2324,'2324 Jun 24 Enroll'!H$1,FALSE)='District Calculations'!$F$15,VLOOKUP($A56,EnrollData2324,'2324 Jun 24 Enroll'!H$1,FALSE),'District Calculations'!$F$15)*Apport_213A2425,3)</f>
        <v>23.619</v>
      </c>
      <c r="I56">
        <f>ROUND(IF(VLOOKUP($A56,EnrollData2324,'2324 Jun 24 Enroll'!I$1,FALSE)+VLOOKUP($A56,EnrollData2324,'2324 Jun 24 Enroll'!M$1,FALSE)-VLOOKUP($A56,EnrollData2324,'2324 Jun 24 Enroll'!J$1,FALSE)='District Calculations'!$F$16+'District Calculations'!$F$25-'District Calculations'!$F$17,VLOOKUP($A56,EnrollData2324,'2324 Jun 24 Enroll'!I$1,FALSE)+VLOOKUP($A56,EnrollData2324,'2324 Jun 24 Enroll'!M$1,FALSE)-VLOOKUP($A56,EnrollData2324,'2324 Jun 24 Enroll'!J$1,FALSE),'District Calculations'!$F$16+'District Calculations'!$F$25-'District Calculations'!$F$17)*Apport_216A2425,3)</f>
        <v>59.057000000000002</v>
      </c>
      <c r="J56">
        <f>ROUND(SUM(D56:I56)/(IF(VLOOKUP($A56,EnrollData2324,'2324 Jun 24 Enroll'!M$1,FALSE)='District Calculations'!$F$25,VLOOKUP($A56,EnrollData2324,'2324 Jun 24 Enroll'!M$1,FALSE),'District Calculations'!$F$25)+IF(VLOOKUP($A56,EnrollData2324,'2324 Jun 24 Enroll'!D$1,FALSE)='District Calculations'!$F$11,VLOOKUP($A56,EnrollData2324,'2324 Jun 24 Enroll'!D$1,FALSE),'District Calculations'!$F$11)),5)</f>
        <v>5.6520000000000001E-2</v>
      </c>
      <c r="K56" s="11">
        <f t="shared" si="13"/>
        <v>4.385E-3</v>
      </c>
      <c r="L56">
        <f>ROUND(IF(VLOOKUP($A56,EnrollData2324,'2324 Jun 24 Enroll'!D$1,FALSE)='District Calculations'!$F$11,VLOOKUP($A56,EnrollData2324,'2324 Jun 24 Enroll'!D$1,FALSE),'District Calculations'!$F$11)*K56,3)</f>
        <v>0</v>
      </c>
      <c r="M56">
        <f>ROUND(IF(VLOOKUP($A56,EnrollData2324,'2324 Jun 24 Enroll'!E$1,FALSE)='District Calculations'!$F$12,VLOOKUP($A56,EnrollData2324,'2324 Jun 24 Enroll'!E$1,FALSE),'District Calculations'!$F$12)*K56,3)</f>
        <v>3.5539999999999998</v>
      </c>
      <c r="N56">
        <f>ROUND(IF(VLOOKUP($A56,EnrollData2324,'2324 Jun 24 Enroll'!F$1,FALSE)='District Calculations'!$F$13,VLOOKUP($A56,EnrollData2324,'2324 Jun 24 Enroll'!F$1,FALSE),'District Calculations'!$F$13)*Apport_223A2425,3)</f>
        <v>0.84599999999999997</v>
      </c>
      <c r="O56">
        <f>ROUND(IF(VLOOKUP($A56,EnrollData2324,'2324 Jun 24 Enroll'!G$1,FALSE)='District Calculations'!$F$14,VLOOKUP($A56,EnrollData2324,'2324 Jun 24 Enroll'!G$1,FALSE),'District Calculations'!$F$14)*Apport_211A2425,3)</f>
        <v>1.877</v>
      </c>
      <c r="P56">
        <f>ROUND(IF(VLOOKUP($A56,EnrollData2324,'2324 Jun 24 Enroll'!H$1,FALSE)='District Calculations'!$F$14,VLOOKUP($A56,EnrollData2324,'2324 Jun 24 Enroll'!H$1,FALSE),'District Calculations'!$F$14)*Apport_214A2425,3)</f>
        <v>1.875</v>
      </c>
      <c r="Q56">
        <f>ROUND(IF(VLOOKUP($A56,EnrollData2324,'2324 Jun 24 Enroll'!I$1,FALSE)+VLOOKUP($A56,EnrollData2324,'2324 Jun 24 Enroll'!M$1,FALSE)-VLOOKUP($A56,EnrollData2324,'2324 Jun 24 Enroll'!J$1,FALSE)='District Calculations'!$F$16+'District Calculations'!$F$25-'District Calculations'!$F$17,VLOOKUP($A56,EnrollData2324,'2324 Jun 24 Enroll'!I$1,FALSE)+VLOOKUP($A56,EnrollData2324,'2324 Jun 24 Enroll'!M$1,FALSE)-VLOOKUP($A56,EnrollData2324,'2324 Jun 24 Enroll'!J$1,FALSE),'District Calculations'!$F$16+'District Calculations'!$F$25-'District Calculations'!$F$17)*Apport_217A2425,3)</f>
        <v>4.7130000000000001</v>
      </c>
      <c r="R56">
        <f>ROUND(SUM(L56:Q56)/IF(VLOOKUP($A56,EnrollData2324,'2324 Jun 24 Enroll'!M$1,FALSE)+VLOOKUP($A56,EnrollData2324,'2324 Jun 24 Enroll'!D$1,FALSE)='District Calculations'!$F$25+'District Calculations'!$F$11,VLOOKUP($A56,EnrollData2324,'2324 Jun 24 Enroll'!M$1,FALSE)+VLOOKUP($A56,EnrollData2324,'2324 Jun 24 Enroll'!D$1,FALSE),'District Calculations'!$F$25+'District Calculations'!$F$11),5)</f>
        <v>4.1200000000000004E-3</v>
      </c>
      <c r="S56" s="11">
        <f t="shared" si="14"/>
        <v>1.8734299999999999E-2</v>
      </c>
      <c r="T56">
        <f>ROUND(IF(VLOOKUP($A56,EnrollData2324,'2324 Jun 24 Enroll'!D$1,FALSE)='District Calculations'!$F$11,VLOOKUP($A56,EnrollData2324,'2324 Jun 24 Enroll'!D$1,FALSE),'District Calculations'!$F$11)*S56,3)</f>
        <v>0</v>
      </c>
      <c r="U56">
        <f>ROUND(IF(VLOOKUP($A56,EnrollData2324,'2324 Jun 24 Enroll'!E$1,FALSE)='District Calculations'!$F$12,VLOOKUP($A56,EnrollData2324,'2324 Jun 24 Enroll'!E$1,FALSE),'District Calculations'!$F$12)*S56,3)</f>
        <v>15.183999999999999</v>
      </c>
      <c r="V56">
        <f>ROUND(IF(VLOOKUP($A56,EnrollData2324,'2324 Jun 24 Enroll'!F$1,FALSE)='District Calculations'!$F$13,VLOOKUP($A56,EnrollData2324,'2324 Jun 24 Enroll'!F$1,FALSE),'District Calculations'!$F$13)*Apport_224A2425,3)</f>
        <v>3.7109999999999999</v>
      </c>
      <c r="W56">
        <f>ROUND(IF(VLOOKUP($A56,EnrollData2324,'2324 Jun 24 Enroll'!G$1,FALSE)='District Calculations'!$F$14,VLOOKUP($A56,EnrollData2324,'2324 Jun 24 Enroll'!G$1,FALSE),'District Calculations'!$F$14)*Apport_212A2425,3)</f>
        <v>8.2279999999999998</v>
      </c>
      <c r="X56">
        <f>ROUND(IF(VLOOKUP($A56,EnrollData2324,'2324 Jun 24 Enroll'!H$1,FALSE)='District Calculations'!$F$14,VLOOKUP($A56,EnrollData2324,'2324 Jun 24 Enroll'!H$1,FALSE),'District Calculations'!$F$14)*Apport_215A2425,3)</f>
        <v>8.1180000000000003</v>
      </c>
      <c r="Y56">
        <f>ROUND(IF(VLOOKUP($A56,EnrollData2324,'2324 Jun 24 Enroll'!I$1,FALSE)+VLOOKUP($A56,EnrollData2324,'2324 Jun 24 Enroll'!M$1,FALSE)-VLOOKUP($A56,EnrollData2324,'2324 Jun 24 Enroll'!J$1,FALSE)='District Calculations'!$F$16+'District Calculations'!$F$25-'District Calculations'!$F$17,VLOOKUP($A56,EnrollData2324,'2324 Jun 24 Enroll'!I$1,FALSE)+VLOOKUP($A56,EnrollData2324,'2324 Jun 24 Enroll'!M$1,FALSE)-VLOOKUP($A56,EnrollData2324,'2324 Jun 24 Enroll'!J$1,FALSE),'District Calculations'!$F$16+'District Calculations'!$F$25-'District Calculations'!$F$17)*Apport_218A2425,3)</f>
        <v>20.257999999999999</v>
      </c>
      <c r="Z56">
        <f>ROUND(SUM(T56:Y56)/IF(VLOOKUP($A56,EnrollData2324,'2324 Jun 24 Enroll'!M$1,FALSE)+VLOOKUP($A56,EnrollData2324,'2324 Jun 24 Enroll'!D$1,FALSE)='District Calculations'!$F$25+'District Calculations'!$F$11,VLOOKUP($A56,EnrollData2324,'2324 Jun 24 Enroll'!M$1,FALSE)+VLOOKUP($A56,EnrollData2324,'2324 Jun 24 Enroll'!D$1,FALSE),'District Calculations'!$F$25+'District Calculations'!$F$11),5)</f>
        <v>1.7780000000000001E-2</v>
      </c>
      <c r="AA56" s="6">
        <f>ROUND($J56*CIS_Base_Salary2425*VLOOKUP($A56,EnrollData2324,'2324 Jun 24 Enroll'!AH$1,FALSE),2)</f>
        <v>4262.68</v>
      </c>
      <c r="AB56" s="6">
        <f>ROUND($J56*CIS_Inc_Salary2425*(VLOOKUP($A56,EnrollData2324,'2324 Jun 24 Enroll'!AI$1,FALSE)+VLOOKUP($A56,EnrollData2324,'2324 Jun 24 Enroll'!AJ$1,FALSE)),2)-AA56</f>
        <v>334.50999999999931</v>
      </c>
      <c r="AC56" s="6" cm="1">
        <f t="array" ref="AC56">ROUND($R56*CAS_Base_Salary2425*VLOOKUP($A56,EnrollData2324,'2324 Jun 24 Enroll'!AH$1,FALSE),2)</f>
        <v>461.23</v>
      </c>
      <c r="AD56" s="6">
        <f>ROUND($R56*CAS_Inc_Salary2425*VLOOKUP($A56,EnrollData2324,'2324 Jun 24 Enroll'!AI$1,FALSE),2)-AC56</f>
        <v>17.069999999999993</v>
      </c>
      <c r="AE56" s="6">
        <f>ROUND($Z56*CLS_Base_Salary2425*VLOOKUP($A56,EnrollData2324,'2324 Jun 24 Enroll'!AH$1,FALSE),2)</f>
        <v>961.95</v>
      </c>
      <c r="AF56" s="6">
        <f>ROUND($Z56*CLS_Inc_Salary2425*VLOOKUP($A56,EnrollData2324,'2324 Jun 24 Enroll'!AI$1,FALSE),2)-AE56</f>
        <v>35.599999999999909</v>
      </c>
      <c r="AG56" cm="1">
        <f t="array" ref="AG56">ROUND(($J56+$R56)*Apport_124X2425,2)</f>
        <v>800.45</v>
      </c>
      <c r="AH56" s="69" cm="1">
        <f t="array" ref="AH56">ROUND(($J56+$R56)*Apport_621X2425*Apport_125XC2425,2)-AG56</f>
        <v>73.899999999999977</v>
      </c>
      <c r="AI56" cm="1">
        <f t="array" ref="AI56">ROUND($Z56*Apport_124X2425,2)</f>
        <v>234.7</v>
      </c>
      <c r="AJ56">
        <f t="shared" si="15"/>
        <v>124.71000000000004</v>
      </c>
      <c r="AK56">
        <f t="shared" si="16"/>
        <v>857.39</v>
      </c>
      <c r="AL56">
        <f t="shared" si="17"/>
        <v>61.56</v>
      </c>
      <c r="AM56">
        <f t="shared" si="18"/>
        <v>208.36</v>
      </c>
      <c r="AN56">
        <f t="shared" si="19"/>
        <v>6.46</v>
      </c>
      <c r="AO56">
        <f>ROUND(($J56*CIS_Inc_Salary2425*(VLOOKUP($A56,EnrollData2324,'2324 Jun 24 Enroll'!AI$1,FALSE)+VLOOKUP($A56,EnrollData2324,'2324 Jun 24 Enroll'!AJ$1,FALSE))/Apport_613Xpd)*Apport_614Xpd,2)</f>
        <v>76.62</v>
      </c>
      <c r="AP56">
        <f t="shared" si="20"/>
        <v>13.42</v>
      </c>
      <c r="AQ56">
        <f t="shared" si="28"/>
        <v>31.48</v>
      </c>
      <c r="AR56" s="6">
        <f>ROUND((VLOOKUP($A56,EnrollData2324,'2324 Jun 24 Enroll'!D$1,FALSE)*Apport_M802425+VLOOKUP($A56,EnrollData2324,'2324 Jun 24 Enroll'!M$1,FALSE)*Apport_M802425+(VLOOKUP($A56,EnrollData2324,'2324 Jun 24 Enroll'!P$1,FALSE)+VLOOKUP($A56,EnrollData2324,'2324 Jun 24 Enroll'!Q$1,FALSE)+VLOOKUP($A56,EnrollData2324,'2324 Jun 24 Enroll'!R$1,FALSE)+VLOOKUP($A56,EnrollData2324,'2324 Jun 24 Enroll'!I$1,FALSE)+VLOOKUP($A56,EnrollData2324,'2324 Jun 24 Enroll'!N$1,FALSE)+VLOOKUP($A56,EnrollData2324,'2324 Jun 24 Enroll'!O$1,FALSE)+VLOOKUP($A56,EnrollData2324,'2324 Jun 24 Enroll'!K$1,FALSE)+VLOOKUP($A56,EnrollData2324,'2324 Jun 24 Enroll'!L$1,FALSE))*Apport_M812425)/(VLOOKUP($A56,EnrollData2324,'2324 Jun 24 Enroll'!M$1,FALSE)+VLOOKUP($A56,EnrollData2324,'2324 Jun 24 Enroll'!D$1,FALSE)),2)</f>
        <v>1607.65</v>
      </c>
      <c r="AS56" s="7">
        <f t="shared" si="29"/>
        <v>10169.739999999998</v>
      </c>
    </row>
    <row r="57" spans="1:45">
      <c r="A57" s="40" t="s">
        <v>412</v>
      </c>
      <c r="B57" s="40" t="s">
        <v>413</v>
      </c>
      <c r="C57" s="11">
        <f>ROUND((IFERROR((1/IF(VLOOKUP($A57,EnrollData2324,28,FALSE)='District Calculations'!$F$10,VLOOKUP($A57,EnrollData2324,28,FALSE),'District Calculations'!$F$10))*(1+Apport_Z315),0))+Apport_201A2425,6)</f>
        <v>7.4580999999999995E-2</v>
      </c>
      <c r="D57">
        <f>ROUND(IF(VLOOKUP($A57,EnrollData2324,'2324 Jun 24 Enroll'!D$1,FALSE)='District Calculations'!$F$11,VLOOKUP($A57,EnrollData2324,'2324 Jun 24 Enroll'!D$1,FALSE),'District Calculations'!$F$11)*C57,3)</f>
        <v>0</v>
      </c>
      <c r="E57">
        <f>ROUND(IF(VLOOKUP($A57,EnrollData2324,'2324 Jun 24 Enroll'!E$1,FALSE)='District Calculations'!$F$12,VLOOKUP($A57,EnrollData2324,'2324 Jun 24 Enroll'!E$1,FALSE),'District Calculations'!$F$12)*C57,3)</f>
        <v>60.447000000000003</v>
      </c>
      <c r="F57">
        <f>ROUND(IF(VLOOKUP($A57,EnrollData2324,'2324 Jun 24 Enroll'!F$1,FALSE)='District Calculations'!$F$13,VLOOKUP($A57,EnrollData2324,'2324 Jun 24 Enroll'!F$1,FALSE),'District Calculations'!$F$13)*Apport_222A2425,3)</f>
        <v>10.337999999999999</v>
      </c>
      <c r="G57">
        <f>ROUND(IF(VLOOKUP($A57,EnrollData2324,'2324 Jun 24 Enroll'!G$1,FALSE)='District Calculations'!$F$14,VLOOKUP($A57,EnrollData2324,'2324 Jun 24 Enroll'!G$1,FALSE),'District Calculations'!$F$14)*Apport_210A2425,3)</f>
        <v>22.92</v>
      </c>
      <c r="H57">
        <f>ROUND(IF(VLOOKUP($A57,EnrollData2324,'2324 Jun 24 Enroll'!H$1,FALSE)='District Calculations'!$F$15,VLOOKUP($A57,EnrollData2324,'2324 Jun 24 Enroll'!H$1,FALSE),'District Calculations'!$F$15)*Apport_213A2425,3)</f>
        <v>23.619</v>
      </c>
      <c r="I57">
        <f>ROUND(IF(VLOOKUP($A57,EnrollData2324,'2324 Jun 24 Enroll'!I$1,FALSE)+VLOOKUP($A57,EnrollData2324,'2324 Jun 24 Enroll'!M$1,FALSE)-VLOOKUP($A57,EnrollData2324,'2324 Jun 24 Enroll'!J$1,FALSE)='District Calculations'!$F$16+'District Calculations'!$F$25-'District Calculations'!$F$17,VLOOKUP($A57,EnrollData2324,'2324 Jun 24 Enroll'!I$1,FALSE)+VLOOKUP($A57,EnrollData2324,'2324 Jun 24 Enroll'!M$1,FALSE)-VLOOKUP($A57,EnrollData2324,'2324 Jun 24 Enroll'!J$1,FALSE),'District Calculations'!$F$16+'District Calculations'!$F$25-'District Calculations'!$F$17)*Apport_216A2425,3)</f>
        <v>59.057000000000002</v>
      </c>
      <c r="J57">
        <f>ROUND(SUM(D57:I57)/(IF(VLOOKUP($A57,EnrollData2324,'2324 Jun 24 Enroll'!M$1,FALSE)='District Calculations'!$F$25,VLOOKUP($A57,EnrollData2324,'2324 Jun 24 Enroll'!M$1,FALSE),'District Calculations'!$F$25)+IF(VLOOKUP($A57,EnrollData2324,'2324 Jun 24 Enroll'!D$1,FALSE)='District Calculations'!$F$11,VLOOKUP($A57,EnrollData2324,'2324 Jun 24 Enroll'!D$1,FALSE),'District Calculations'!$F$11)),5)</f>
        <v>5.6520000000000001E-2</v>
      </c>
      <c r="K57" s="11">
        <f t="shared" si="13"/>
        <v>4.385E-3</v>
      </c>
      <c r="L57">
        <f>ROUND(IF(VLOOKUP($A57,EnrollData2324,'2324 Jun 24 Enroll'!D$1,FALSE)='District Calculations'!$F$11,VLOOKUP($A57,EnrollData2324,'2324 Jun 24 Enroll'!D$1,FALSE),'District Calculations'!$F$11)*K57,3)</f>
        <v>0</v>
      </c>
      <c r="M57">
        <f>ROUND(IF(VLOOKUP($A57,EnrollData2324,'2324 Jun 24 Enroll'!E$1,FALSE)='District Calculations'!$F$12,VLOOKUP($A57,EnrollData2324,'2324 Jun 24 Enroll'!E$1,FALSE),'District Calculations'!$F$12)*K57,3)</f>
        <v>3.5539999999999998</v>
      </c>
      <c r="N57">
        <f>ROUND(IF(VLOOKUP($A57,EnrollData2324,'2324 Jun 24 Enroll'!F$1,FALSE)='District Calculations'!$F$13,VLOOKUP($A57,EnrollData2324,'2324 Jun 24 Enroll'!F$1,FALSE),'District Calculations'!$F$13)*Apport_223A2425,3)</f>
        <v>0.84599999999999997</v>
      </c>
      <c r="O57">
        <f>ROUND(IF(VLOOKUP($A57,EnrollData2324,'2324 Jun 24 Enroll'!G$1,FALSE)='District Calculations'!$F$14,VLOOKUP($A57,EnrollData2324,'2324 Jun 24 Enroll'!G$1,FALSE),'District Calculations'!$F$14)*Apport_211A2425,3)</f>
        <v>1.877</v>
      </c>
      <c r="P57">
        <f>ROUND(IF(VLOOKUP($A57,EnrollData2324,'2324 Jun 24 Enroll'!H$1,FALSE)='District Calculations'!$F$14,VLOOKUP($A57,EnrollData2324,'2324 Jun 24 Enroll'!H$1,FALSE),'District Calculations'!$F$14)*Apport_214A2425,3)</f>
        <v>1.875</v>
      </c>
      <c r="Q57">
        <f>ROUND(IF(VLOOKUP($A57,EnrollData2324,'2324 Jun 24 Enroll'!I$1,FALSE)+VLOOKUP($A57,EnrollData2324,'2324 Jun 24 Enroll'!M$1,FALSE)-VLOOKUP($A57,EnrollData2324,'2324 Jun 24 Enroll'!J$1,FALSE)='District Calculations'!$F$16+'District Calculations'!$F$25-'District Calculations'!$F$17,VLOOKUP($A57,EnrollData2324,'2324 Jun 24 Enroll'!I$1,FALSE)+VLOOKUP($A57,EnrollData2324,'2324 Jun 24 Enroll'!M$1,FALSE)-VLOOKUP($A57,EnrollData2324,'2324 Jun 24 Enroll'!J$1,FALSE),'District Calculations'!$F$16+'District Calculations'!$F$25-'District Calculations'!$F$17)*Apport_217A2425,3)</f>
        <v>4.7130000000000001</v>
      </c>
      <c r="R57">
        <f>ROUND(SUM(L57:Q57)/IF(VLOOKUP($A57,EnrollData2324,'2324 Jun 24 Enroll'!M$1,FALSE)+VLOOKUP($A57,EnrollData2324,'2324 Jun 24 Enroll'!D$1,FALSE)='District Calculations'!$F$25+'District Calculations'!$F$11,VLOOKUP($A57,EnrollData2324,'2324 Jun 24 Enroll'!M$1,FALSE)+VLOOKUP($A57,EnrollData2324,'2324 Jun 24 Enroll'!D$1,FALSE),'District Calculations'!$F$25+'District Calculations'!$F$11),5)</f>
        <v>4.1200000000000004E-3</v>
      </c>
      <c r="S57" s="11">
        <f t="shared" si="14"/>
        <v>1.8734299999999999E-2</v>
      </c>
      <c r="T57">
        <f>ROUND(IF(VLOOKUP($A57,EnrollData2324,'2324 Jun 24 Enroll'!D$1,FALSE)='District Calculations'!$F$11,VLOOKUP($A57,EnrollData2324,'2324 Jun 24 Enroll'!D$1,FALSE),'District Calculations'!$F$11)*S57,3)</f>
        <v>0</v>
      </c>
      <c r="U57">
        <f>ROUND(IF(VLOOKUP($A57,EnrollData2324,'2324 Jun 24 Enroll'!E$1,FALSE)='District Calculations'!$F$12,VLOOKUP($A57,EnrollData2324,'2324 Jun 24 Enroll'!E$1,FALSE),'District Calculations'!$F$12)*S57,3)</f>
        <v>15.183999999999999</v>
      </c>
      <c r="V57">
        <f>ROUND(IF(VLOOKUP($A57,EnrollData2324,'2324 Jun 24 Enroll'!F$1,FALSE)='District Calculations'!$F$13,VLOOKUP($A57,EnrollData2324,'2324 Jun 24 Enroll'!F$1,FALSE),'District Calculations'!$F$13)*Apport_224A2425,3)</f>
        <v>3.7109999999999999</v>
      </c>
      <c r="W57">
        <f>ROUND(IF(VLOOKUP($A57,EnrollData2324,'2324 Jun 24 Enroll'!G$1,FALSE)='District Calculations'!$F$14,VLOOKUP($A57,EnrollData2324,'2324 Jun 24 Enroll'!G$1,FALSE),'District Calculations'!$F$14)*Apport_212A2425,3)</f>
        <v>8.2279999999999998</v>
      </c>
      <c r="X57">
        <f>ROUND(IF(VLOOKUP($A57,EnrollData2324,'2324 Jun 24 Enroll'!H$1,FALSE)='District Calculations'!$F$14,VLOOKUP($A57,EnrollData2324,'2324 Jun 24 Enroll'!H$1,FALSE),'District Calculations'!$F$14)*Apport_215A2425,3)</f>
        <v>8.1180000000000003</v>
      </c>
      <c r="Y57">
        <f>ROUND(IF(VLOOKUP($A57,EnrollData2324,'2324 Jun 24 Enroll'!I$1,FALSE)+VLOOKUP($A57,EnrollData2324,'2324 Jun 24 Enroll'!M$1,FALSE)-VLOOKUP($A57,EnrollData2324,'2324 Jun 24 Enroll'!J$1,FALSE)='District Calculations'!$F$16+'District Calculations'!$F$25-'District Calculations'!$F$17,VLOOKUP($A57,EnrollData2324,'2324 Jun 24 Enroll'!I$1,FALSE)+VLOOKUP($A57,EnrollData2324,'2324 Jun 24 Enroll'!M$1,FALSE)-VLOOKUP($A57,EnrollData2324,'2324 Jun 24 Enroll'!J$1,FALSE),'District Calculations'!$F$16+'District Calculations'!$F$25-'District Calculations'!$F$17)*Apport_218A2425,3)</f>
        <v>20.257999999999999</v>
      </c>
      <c r="Z57">
        <f>ROUND(SUM(T57:Y57)/IF(VLOOKUP($A57,EnrollData2324,'2324 Jun 24 Enroll'!M$1,FALSE)+VLOOKUP($A57,EnrollData2324,'2324 Jun 24 Enroll'!D$1,FALSE)='District Calculations'!$F$25+'District Calculations'!$F$11,VLOOKUP($A57,EnrollData2324,'2324 Jun 24 Enroll'!M$1,FALSE)+VLOOKUP($A57,EnrollData2324,'2324 Jun 24 Enroll'!D$1,FALSE),'District Calculations'!$F$25+'District Calculations'!$F$11),5)</f>
        <v>1.7780000000000001E-2</v>
      </c>
      <c r="AA57" s="6">
        <f>ROUND($J57*CIS_Base_Salary2425*VLOOKUP($A57,EnrollData2324,'2324 Jun 24 Enroll'!AH$1,FALSE),2)</f>
        <v>4262.68</v>
      </c>
      <c r="AB57" s="6">
        <f>ROUND($J57*CIS_Inc_Salary2425*(VLOOKUP($A57,EnrollData2324,'2324 Jun 24 Enroll'!AI$1,FALSE)+VLOOKUP($A57,EnrollData2324,'2324 Jun 24 Enroll'!AJ$1,FALSE)),2)-AA57</f>
        <v>157.6899999999996</v>
      </c>
      <c r="AC57" s="6" cm="1">
        <f t="array" ref="AC57">ROUND($R57*CAS_Base_Salary2425*VLOOKUP($A57,EnrollData2324,'2324 Jun 24 Enroll'!AH$1,FALSE),2)</f>
        <v>461.23</v>
      </c>
      <c r="AD57" s="6">
        <f>ROUND($R57*CAS_Inc_Salary2425*VLOOKUP($A57,EnrollData2324,'2324 Jun 24 Enroll'!AI$1,FALSE),2)-AC57</f>
        <v>17.069999999999993</v>
      </c>
      <c r="AE57" s="6">
        <f>ROUND($Z57*CLS_Base_Salary2425*VLOOKUP($A57,EnrollData2324,'2324 Jun 24 Enroll'!AH$1,FALSE),2)</f>
        <v>961.95</v>
      </c>
      <c r="AF57" s="6">
        <f>ROUND($Z57*CLS_Inc_Salary2425*VLOOKUP($A57,EnrollData2324,'2324 Jun 24 Enroll'!AI$1,FALSE),2)-AE57</f>
        <v>35.599999999999909</v>
      </c>
      <c r="AG57" cm="1">
        <f t="array" ref="AG57">ROUND(($J57+$R57)*Apport_124X2425,2)</f>
        <v>800.45</v>
      </c>
      <c r="AH57" s="69" cm="1">
        <f t="array" ref="AH57">ROUND(($J57+$R57)*Apport_621X2425*Apport_125XC2425,2)-AG57</f>
        <v>73.899999999999977</v>
      </c>
      <c r="AI57" cm="1">
        <f t="array" ref="AI57">ROUND($Z57*Apport_124X2425,2)</f>
        <v>234.7</v>
      </c>
      <c r="AJ57">
        <f t="shared" si="15"/>
        <v>124.71000000000004</v>
      </c>
      <c r="AK57">
        <f t="shared" si="16"/>
        <v>857.39</v>
      </c>
      <c r="AL57">
        <f t="shared" si="17"/>
        <v>30.6</v>
      </c>
      <c r="AM57">
        <f t="shared" si="18"/>
        <v>208.36</v>
      </c>
      <c r="AN57">
        <f t="shared" si="19"/>
        <v>6.46</v>
      </c>
      <c r="AO57">
        <f>ROUND(($J57*CIS_Inc_Salary2425*(VLOOKUP($A57,EnrollData2324,'2324 Jun 24 Enroll'!AI$1,FALSE)+VLOOKUP($A57,EnrollData2324,'2324 Jun 24 Enroll'!AJ$1,FALSE))/Apport_613Xpd)*Apport_614Xpd,2)</f>
        <v>73.67</v>
      </c>
      <c r="AP57">
        <f t="shared" si="20"/>
        <v>12.9</v>
      </c>
      <c r="AQ57">
        <f t="shared" si="28"/>
        <v>31.48</v>
      </c>
      <c r="AR57" s="6">
        <f>ROUND((VLOOKUP($A57,EnrollData2324,'2324 Jun 24 Enroll'!D$1,FALSE)*Apport_M802425+VLOOKUP($A57,EnrollData2324,'2324 Jun 24 Enroll'!M$1,FALSE)*Apport_M802425+(VLOOKUP($A57,EnrollData2324,'2324 Jun 24 Enroll'!P$1,FALSE)+VLOOKUP($A57,EnrollData2324,'2324 Jun 24 Enroll'!Q$1,FALSE)+VLOOKUP($A57,EnrollData2324,'2324 Jun 24 Enroll'!R$1,FALSE)+VLOOKUP($A57,EnrollData2324,'2324 Jun 24 Enroll'!I$1,FALSE)+VLOOKUP($A57,EnrollData2324,'2324 Jun 24 Enroll'!N$1,FALSE)+VLOOKUP($A57,EnrollData2324,'2324 Jun 24 Enroll'!O$1,FALSE)+VLOOKUP($A57,EnrollData2324,'2324 Jun 24 Enroll'!K$1,FALSE)+VLOOKUP($A57,EnrollData2324,'2324 Jun 24 Enroll'!L$1,FALSE))*Apport_M812425)/(VLOOKUP($A57,EnrollData2324,'2324 Jun 24 Enroll'!M$1,FALSE)+VLOOKUP($A57,EnrollData2324,'2324 Jun 24 Enroll'!D$1,FALSE)),2)</f>
        <v>1655.11</v>
      </c>
      <c r="AS57" s="7">
        <f t="shared" si="29"/>
        <v>10005.949999999999</v>
      </c>
    </row>
    <row r="58" spans="1:45">
      <c r="A58" s="40" t="s">
        <v>755</v>
      </c>
      <c r="B58" s="40" t="s">
        <v>756</v>
      </c>
      <c r="C58" s="11">
        <f>ROUND((IFERROR((1/IF(VLOOKUP($A58,EnrollData2324,28,FALSE)='District Calculations'!$F$10,VLOOKUP($A58,EnrollData2324,28,FALSE),'District Calculations'!$F$10))*(1+Apport_Z315),0))+Apport_201A2425,6)</f>
        <v>7.4580999999999995E-2</v>
      </c>
      <c r="D58">
        <f>ROUND(IF(VLOOKUP($A58,EnrollData2324,'2324 Jun 24 Enroll'!D$1,FALSE)='District Calculations'!$F$11,VLOOKUP($A58,EnrollData2324,'2324 Jun 24 Enroll'!D$1,FALSE),'District Calculations'!$F$11)*C58,3)</f>
        <v>0</v>
      </c>
      <c r="E58">
        <f>ROUND(IF(VLOOKUP($A58,EnrollData2324,'2324 Jun 24 Enroll'!E$1,FALSE)='District Calculations'!$F$12,VLOOKUP($A58,EnrollData2324,'2324 Jun 24 Enroll'!E$1,FALSE),'District Calculations'!$F$12)*C58,3)</f>
        <v>60.447000000000003</v>
      </c>
      <c r="F58">
        <f>ROUND(IF(VLOOKUP($A58,EnrollData2324,'2324 Jun 24 Enroll'!F$1,FALSE)='District Calculations'!$F$13,VLOOKUP($A58,EnrollData2324,'2324 Jun 24 Enroll'!F$1,FALSE),'District Calculations'!$F$13)*Apport_222A2425,3)</f>
        <v>10.337999999999999</v>
      </c>
      <c r="G58">
        <f>ROUND(IF(VLOOKUP($A58,EnrollData2324,'2324 Jun 24 Enroll'!G$1,FALSE)='District Calculations'!$F$14,VLOOKUP($A58,EnrollData2324,'2324 Jun 24 Enroll'!G$1,FALSE),'District Calculations'!$F$14)*Apport_210A2425,3)</f>
        <v>22.92</v>
      </c>
      <c r="H58">
        <f>ROUND(IF(VLOOKUP($A58,EnrollData2324,'2324 Jun 24 Enroll'!H$1,FALSE)='District Calculations'!$F$15,VLOOKUP($A58,EnrollData2324,'2324 Jun 24 Enroll'!H$1,FALSE),'District Calculations'!$F$15)*Apport_213A2425,3)</f>
        <v>23.619</v>
      </c>
      <c r="I58">
        <f>ROUND(IF(VLOOKUP($A58,EnrollData2324,'2324 Jun 24 Enroll'!I$1,FALSE)+VLOOKUP($A58,EnrollData2324,'2324 Jun 24 Enroll'!M$1,FALSE)-VLOOKUP($A58,EnrollData2324,'2324 Jun 24 Enroll'!J$1,FALSE)='District Calculations'!$F$16+'District Calculations'!$F$25-'District Calculations'!$F$17,VLOOKUP($A58,EnrollData2324,'2324 Jun 24 Enroll'!I$1,FALSE)+VLOOKUP($A58,EnrollData2324,'2324 Jun 24 Enroll'!M$1,FALSE)-VLOOKUP($A58,EnrollData2324,'2324 Jun 24 Enroll'!J$1,FALSE),'District Calculations'!$F$16+'District Calculations'!$F$25-'District Calculations'!$F$17)*Apport_216A2425,3)</f>
        <v>59.057000000000002</v>
      </c>
      <c r="J58">
        <f>ROUND(SUM(D58:I58)/(IF(VLOOKUP($A58,EnrollData2324,'2324 Jun 24 Enroll'!M$1,FALSE)='District Calculations'!$F$25,VLOOKUP($A58,EnrollData2324,'2324 Jun 24 Enroll'!M$1,FALSE),'District Calculations'!$F$25)+IF(VLOOKUP($A58,EnrollData2324,'2324 Jun 24 Enroll'!D$1,FALSE)='District Calculations'!$F$11,VLOOKUP($A58,EnrollData2324,'2324 Jun 24 Enroll'!D$1,FALSE),'District Calculations'!$F$11)),5)</f>
        <v>5.6520000000000001E-2</v>
      </c>
      <c r="K58" s="11">
        <f t="shared" si="13"/>
        <v>4.385E-3</v>
      </c>
      <c r="L58">
        <f>ROUND(IF(VLOOKUP($A58,EnrollData2324,'2324 Jun 24 Enroll'!D$1,FALSE)='District Calculations'!$F$11,VLOOKUP($A58,EnrollData2324,'2324 Jun 24 Enroll'!D$1,FALSE),'District Calculations'!$F$11)*K58,3)</f>
        <v>0</v>
      </c>
      <c r="M58">
        <f>ROUND(IF(VLOOKUP($A58,EnrollData2324,'2324 Jun 24 Enroll'!E$1,FALSE)='District Calculations'!$F$12,VLOOKUP($A58,EnrollData2324,'2324 Jun 24 Enroll'!E$1,FALSE),'District Calculations'!$F$12)*K58,3)</f>
        <v>3.5539999999999998</v>
      </c>
      <c r="N58">
        <f>ROUND(IF(VLOOKUP($A58,EnrollData2324,'2324 Jun 24 Enroll'!F$1,FALSE)='District Calculations'!$F$13,VLOOKUP($A58,EnrollData2324,'2324 Jun 24 Enroll'!F$1,FALSE),'District Calculations'!$F$13)*Apport_223A2425,3)</f>
        <v>0.84599999999999997</v>
      </c>
      <c r="O58">
        <f>ROUND(IF(VLOOKUP($A58,EnrollData2324,'2324 Jun 24 Enroll'!G$1,FALSE)='District Calculations'!$F$14,VLOOKUP($A58,EnrollData2324,'2324 Jun 24 Enroll'!G$1,FALSE),'District Calculations'!$F$14)*Apport_211A2425,3)</f>
        <v>1.877</v>
      </c>
      <c r="P58">
        <f>ROUND(IF(VLOOKUP($A58,EnrollData2324,'2324 Jun 24 Enroll'!H$1,FALSE)='District Calculations'!$F$14,VLOOKUP($A58,EnrollData2324,'2324 Jun 24 Enroll'!H$1,FALSE),'District Calculations'!$F$14)*Apport_214A2425,3)</f>
        <v>1.875</v>
      </c>
      <c r="Q58">
        <f>ROUND(IF(VLOOKUP($A58,EnrollData2324,'2324 Jun 24 Enroll'!I$1,FALSE)+VLOOKUP($A58,EnrollData2324,'2324 Jun 24 Enroll'!M$1,FALSE)-VLOOKUP($A58,EnrollData2324,'2324 Jun 24 Enroll'!J$1,FALSE)='District Calculations'!$F$16+'District Calculations'!$F$25-'District Calculations'!$F$17,VLOOKUP($A58,EnrollData2324,'2324 Jun 24 Enroll'!I$1,FALSE)+VLOOKUP($A58,EnrollData2324,'2324 Jun 24 Enroll'!M$1,FALSE)-VLOOKUP($A58,EnrollData2324,'2324 Jun 24 Enroll'!J$1,FALSE),'District Calculations'!$F$16+'District Calculations'!$F$25-'District Calculations'!$F$17)*Apport_217A2425,3)</f>
        <v>4.7130000000000001</v>
      </c>
      <c r="R58">
        <f>ROUND(SUM(L58:Q58)/IF(VLOOKUP($A58,EnrollData2324,'2324 Jun 24 Enroll'!M$1,FALSE)+VLOOKUP($A58,EnrollData2324,'2324 Jun 24 Enroll'!D$1,FALSE)='District Calculations'!$F$25+'District Calculations'!$F$11,VLOOKUP($A58,EnrollData2324,'2324 Jun 24 Enroll'!M$1,FALSE)+VLOOKUP($A58,EnrollData2324,'2324 Jun 24 Enroll'!D$1,FALSE),'District Calculations'!$F$25+'District Calculations'!$F$11),5)</f>
        <v>4.1200000000000004E-3</v>
      </c>
      <c r="S58" s="11">
        <f t="shared" si="14"/>
        <v>1.8734299999999999E-2</v>
      </c>
      <c r="T58">
        <f>ROUND(IF(VLOOKUP($A58,EnrollData2324,'2324 Jun 24 Enroll'!D$1,FALSE)='District Calculations'!$F$11,VLOOKUP($A58,EnrollData2324,'2324 Jun 24 Enroll'!D$1,FALSE),'District Calculations'!$F$11)*S58,3)</f>
        <v>0</v>
      </c>
      <c r="U58">
        <f>ROUND(IF(VLOOKUP($A58,EnrollData2324,'2324 Jun 24 Enroll'!E$1,FALSE)='District Calculations'!$F$12,VLOOKUP($A58,EnrollData2324,'2324 Jun 24 Enroll'!E$1,FALSE),'District Calculations'!$F$12)*S58,3)</f>
        <v>15.183999999999999</v>
      </c>
      <c r="V58">
        <f>ROUND(IF(VLOOKUP($A58,EnrollData2324,'2324 Jun 24 Enroll'!F$1,FALSE)='District Calculations'!$F$13,VLOOKUP($A58,EnrollData2324,'2324 Jun 24 Enroll'!F$1,FALSE),'District Calculations'!$F$13)*Apport_224A2425,3)</f>
        <v>3.7109999999999999</v>
      </c>
      <c r="W58">
        <f>ROUND(IF(VLOOKUP($A58,EnrollData2324,'2324 Jun 24 Enroll'!G$1,FALSE)='District Calculations'!$F$14,VLOOKUP($A58,EnrollData2324,'2324 Jun 24 Enroll'!G$1,FALSE),'District Calculations'!$F$14)*Apport_212A2425,3)</f>
        <v>8.2279999999999998</v>
      </c>
      <c r="X58">
        <f>ROUND(IF(VLOOKUP($A58,EnrollData2324,'2324 Jun 24 Enroll'!H$1,FALSE)='District Calculations'!$F$14,VLOOKUP($A58,EnrollData2324,'2324 Jun 24 Enroll'!H$1,FALSE),'District Calculations'!$F$14)*Apport_215A2425,3)</f>
        <v>8.1180000000000003</v>
      </c>
      <c r="Y58">
        <f>ROUND(IF(VLOOKUP($A58,EnrollData2324,'2324 Jun 24 Enroll'!I$1,FALSE)+VLOOKUP($A58,EnrollData2324,'2324 Jun 24 Enroll'!M$1,FALSE)-VLOOKUP($A58,EnrollData2324,'2324 Jun 24 Enroll'!J$1,FALSE)='District Calculations'!$F$16+'District Calculations'!$F$25-'District Calculations'!$F$17,VLOOKUP($A58,EnrollData2324,'2324 Jun 24 Enroll'!I$1,FALSE)+VLOOKUP($A58,EnrollData2324,'2324 Jun 24 Enroll'!M$1,FALSE)-VLOOKUP($A58,EnrollData2324,'2324 Jun 24 Enroll'!J$1,FALSE),'District Calculations'!$F$16+'District Calculations'!$F$25-'District Calculations'!$F$17)*Apport_218A2425,3)</f>
        <v>20.257999999999999</v>
      </c>
      <c r="Z58">
        <f>ROUND(SUM(T58:Y58)/IF(VLOOKUP($A58,EnrollData2324,'2324 Jun 24 Enroll'!M$1,FALSE)+VLOOKUP($A58,EnrollData2324,'2324 Jun 24 Enroll'!D$1,FALSE)='District Calculations'!$F$25+'District Calculations'!$F$11,VLOOKUP($A58,EnrollData2324,'2324 Jun 24 Enroll'!M$1,FALSE)+VLOOKUP($A58,EnrollData2324,'2324 Jun 24 Enroll'!D$1,FALSE),'District Calculations'!$F$25+'District Calculations'!$F$11),5)</f>
        <v>1.7780000000000001E-2</v>
      </c>
      <c r="AA58" s="6">
        <f>ROUND($J58*CIS_Base_Salary2425*VLOOKUP($A58,EnrollData2324,'2324 Jun 24 Enroll'!AH$1,FALSE),2)</f>
        <v>4518.4399999999996</v>
      </c>
      <c r="AB58" s="6">
        <f>ROUND($J58*CIS_Inc_Salary2425*(VLOOKUP($A58,EnrollData2324,'2324 Jun 24 Enroll'!AI$1,FALSE)+VLOOKUP($A58,EnrollData2324,'2324 Jun 24 Enroll'!AJ$1,FALSE)),2)-AA58</f>
        <v>167.16000000000076</v>
      </c>
      <c r="AC58" s="6" cm="1">
        <f t="array" ref="AC58">ROUND($R58*CAS_Base_Salary2425*VLOOKUP($A58,EnrollData2324,'2324 Jun 24 Enroll'!AH$1,FALSE),2)</f>
        <v>488.91</v>
      </c>
      <c r="AD58" s="6">
        <f>ROUND($R58*CAS_Inc_Salary2425*VLOOKUP($A58,EnrollData2324,'2324 Jun 24 Enroll'!AI$1,FALSE),2)-AC58</f>
        <v>18.089999999999975</v>
      </c>
      <c r="AE58" s="6">
        <f>ROUND($Z58*CLS_Base_Salary2425*VLOOKUP($A58,EnrollData2324,'2324 Jun 24 Enroll'!AH$1,FALSE),2)</f>
        <v>1019.67</v>
      </c>
      <c r="AF58" s="6">
        <f>ROUND($Z58*CLS_Inc_Salary2425*VLOOKUP($A58,EnrollData2324,'2324 Jun 24 Enroll'!AI$1,FALSE),2)-AE58</f>
        <v>37.730000000000132</v>
      </c>
      <c r="AG58" cm="1">
        <f t="array" ref="AG58">ROUND(($J58+$R58)*Apport_124X2425,2)</f>
        <v>800.45</v>
      </c>
      <c r="AH58" s="69" cm="1">
        <f t="array" ref="AH58">ROUND(($J58+$R58)*Apport_621X2425*Apport_125XC2425,2)-AG58</f>
        <v>73.899999999999977</v>
      </c>
      <c r="AI58" cm="1">
        <f t="array" ref="AI58">ROUND($Z58*Apport_124X2425,2)</f>
        <v>234.7</v>
      </c>
      <c r="AJ58">
        <f t="shared" si="15"/>
        <v>124.71000000000004</v>
      </c>
      <c r="AK58">
        <f t="shared" si="16"/>
        <v>908.83</v>
      </c>
      <c r="AL58">
        <f t="shared" si="17"/>
        <v>32.44</v>
      </c>
      <c r="AM58">
        <f t="shared" si="18"/>
        <v>220.86</v>
      </c>
      <c r="AN58">
        <f t="shared" si="19"/>
        <v>6.85</v>
      </c>
      <c r="AO58">
        <f>ROUND(($J58*CIS_Inc_Salary2425*(VLOOKUP($A58,EnrollData2324,'2324 Jun 24 Enroll'!AI$1,FALSE)+VLOOKUP($A58,EnrollData2324,'2324 Jun 24 Enroll'!AJ$1,FALSE))/Apport_613Xpd)*Apport_614Xpd,2)</f>
        <v>78.09</v>
      </c>
      <c r="AP58">
        <f t="shared" si="20"/>
        <v>13.67</v>
      </c>
      <c r="AQ58">
        <f t="shared" si="28"/>
        <v>31.48</v>
      </c>
      <c r="AR58" s="6">
        <f>ROUND((VLOOKUP($A58,EnrollData2324,'2324 Jun 24 Enroll'!D$1,FALSE)*Apport_M802425+VLOOKUP($A58,EnrollData2324,'2324 Jun 24 Enroll'!M$1,FALSE)*Apport_M802425+(VLOOKUP($A58,EnrollData2324,'2324 Jun 24 Enroll'!P$1,FALSE)+VLOOKUP($A58,EnrollData2324,'2324 Jun 24 Enroll'!Q$1,FALSE)+VLOOKUP($A58,EnrollData2324,'2324 Jun 24 Enroll'!R$1,FALSE)+VLOOKUP($A58,EnrollData2324,'2324 Jun 24 Enroll'!I$1,FALSE)+VLOOKUP($A58,EnrollData2324,'2324 Jun 24 Enroll'!N$1,FALSE)+VLOOKUP($A58,EnrollData2324,'2324 Jun 24 Enroll'!O$1,FALSE)+VLOOKUP($A58,EnrollData2324,'2324 Jun 24 Enroll'!K$1,FALSE)+VLOOKUP($A58,EnrollData2324,'2324 Jun 24 Enroll'!L$1,FALSE))*Apport_M812425)/(VLOOKUP($A58,EnrollData2324,'2324 Jun 24 Enroll'!M$1,FALSE)+VLOOKUP($A58,EnrollData2324,'2324 Jun 24 Enroll'!D$1,FALSE)),2)</f>
        <v>1613.7</v>
      </c>
      <c r="AS58" s="7">
        <f t="shared" si="29"/>
        <v>10389.680000000002</v>
      </c>
    </row>
    <row r="59" spans="1:45">
      <c r="A59" s="40" t="s">
        <v>359</v>
      </c>
      <c r="B59" s="40" t="s">
        <v>360</v>
      </c>
      <c r="C59" s="11">
        <f>ROUND((IFERROR((1/IF(VLOOKUP($A59,EnrollData2324,28,FALSE)='District Calculations'!$F$10,VLOOKUP($A59,EnrollData2324,28,FALSE),'District Calculations'!$F$10))*(1+Apport_Z315),0))+Apport_201A2425,6)</f>
        <v>7.4580999999999995E-2</v>
      </c>
      <c r="D59">
        <f>ROUND(IF(VLOOKUP($A59,EnrollData2324,'2324 Jun 24 Enroll'!D$1,FALSE)='District Calculations'!$F$11,VLOOKUP($A59,EnrollData2324,'2324 Jun 24 Enroll'!D$1,FALSE),'District Calculations'!$F$11)*C59,3)</f>
        <v>0</v>
      </c>
      <c r="E59">
        <f>ROUND(IF(VLOOKUP($A59,EnrollData2324,'2324 Jun 24 Enroll'!E$1,FALSE)='District Calculations'!$F$12,VLOOKUP($A59,EnrollData2324,'2324 Jun 24 Enroll'!E$1,FALSE),'District Calculations'!$F$12)*C59,3)</f>
        <v>60.447000000000003</v>
      </c>
      <c r="F59">
        <f>ROUND(IF(VLOOKUP($A59,EnrollData2324,'2324 Jun 24 Enroll'!F$1,FALSE)='District Calculations'!$F$13,VLOOKUP($A59,EnrollData2324,'2324 Jun 24 Enroll'!F$1,FALSE),'District Calculations'!$F$13)*Apport_222A2425,3)</f>
        <v>10.337999999999999</v>
      </c>
      <c r="G59">
        <f>ROUND(IF(VLOOKUP($A59,EnrollData2324,'2324 Jun 24 Enroll'!G$1,FALSE)='District Calculations'!$F$14,VLOOKUP($A59,EnrollData2324,'2324 Jun 24 Enroll'!G$1,FALSE),'District Calculations'!$F$14)*Apport_210A2425,3)</f>
        <v>22.92</v>
      </c>
      <c r="H59">
        <f>ROUND(IF(VLOOKUP($A59,EnrollData2324,'2324 Jun 24 Enroll'!H$1,FALSE)='District Calculations'!$F$15,VLOOKUP($A59,EnrollData2324,'2324 Jun 24 Enroll'!H$1,FALSE),'District Calculations'!$F$15)*Apport_213A2425,3)</f>
        <v>23.619</v>
      </c>
      <c r="I59">
        <f>ROUND(IF(VLOOKUP($A59,EnrollData2324,'2324 Jun 24 Enroll'!I$1,FALSE)+VLOOKUP($A59,EnrollData2324,'2324 Jun 24 Enroll'!M$1,FALSE)-VLOOKUP($A59,EnrollData2324,'2324 Jun 24 Enroll'!J$1,FALSE)='District Calculations'!$F$16+'District Calculations'!$F$25-'District Calculations'!$F$17,VLOOKUP($A59,EnrollData2324,'2324 Jun 24 Enroll'!I$1,FALSE)+VLOOKUP($A59,EnrollData2324,'2324 Jun 24 Enroll'!M$1,FALSE)-VLOOKUP($A59,EnrollData2324,'2324 Jun 24 Enroll'!J$1,FALSE),'District Calculations'!$F$16+'District Calculations'!$F$25-'District Calculations'!$F$17)*Apport_216A2425,3)</f>
        <v>59.057000000000002</v>
      </c>
      <c r="J59">
        <f>ROUND(SUM(D59:I59)/(IF(VLOOKUP($A59,EnrollData2324,'2324 Jun 24 Enroll'!M$1,FALSE)='District Calculations'!$F$25,VLOOKUP($A59,EnrollData2324,'2324 Jun 24 Enroll'!M$1,FALSE),'District Calculations'!$F$25)+IF(VLOOKUP($A59,EnrollData2324,'2324 Jun 24 Enroll'!D$1,FALSE)='District Calculations'!$F$11,VLOOKUP($A59,EnrollData2324,'2324 Jun 24 Enroll'!D$1,FALSE),'District Calculations'!$F$11)),5)</f>
        <v>5.6520000000000001E-2</v>
      </c>
      <c r="K59" s="11">
        <f t="shared" si="13"/>
        <v>4.385E-3</v>
      </c>
      <c r="L59">
        <f>ROUND(IF(VLOOKUP($A59,EnrollData2324,'2324 Jun 24 Enroll'!D$1,FALSE)='District Calculations'!$F$11,VLOOKUP($A59,EnrollData2324,'2324 Jun 24 Enroll'!D$1,FALSE),'District Calculations'!$F$11)*K59,3)</f>
        <v>0</v>
      </c>
      <c r="M59">
        <f>ROUND(IF(VLOOKUP($A59,EnrollData2324,'2324 Jun 24 Enroll'!E$1,FALSE)='District Calculations'!$F$12,VLOOKUP($A59,EnrollData2324,'2324 Jun 24 Enroll'!E$1,FALSE),'District Calculations'!$F$12)*K59,3)</f>
        <v>3.5539999999999998</v>
      </c>
      <c r="N59">
        <f>ROUND(IF(VLOOKUP($A59,EnrollData2324,'2324 Jun 24 Enroll'!F$1,FALSE)='District Calculations'!$F$13,VLOOKUP($A59,EnrollData2324,'2324 Jun 24 Enroll'!F$1,FALSE),'District Calculations'!$F$13)*Apport_223A2425,3)</f>
        <v>0.84599999999999997</v>
      </c>
      <c r="O59">
        <f>ROUND(IF(VLOOKUP($A59,EnrollData2324,'2324 Jun 24 Enroll'!G$1,FALSE)='District Calculations'!$F$14,VLOOKUP($A59,EnrollData2324,'2324 Jun 24 Enroll'!G$1,FALSE),'District Calculations'!$F$14)*Apport_211A2425,3)</f>
        <v>1.877</v>
      </c>
      <c r="P59">
        <f>ROUND(IF(VLOOKUP($A59,EnrollData2324,'2324 Jun 24 Enroll'!H$1,FALSE)='District Calculations'!$F$14,VLOOKUP($A59,EnrollData2324,'2324 Jun 24 Enroll'!H$1,FALSE),'District Calculations'!$F$14)*Apport_214A2425,3)</f>
        <v>1.875</v>
      </c>
      <c r="Q59">
        <f>ROUND(IF(VLOOKUP($A59,EnrollData2324,'2324 Jun 24 Enroll'!I$1,FALSE)+VLOOKUP($A59,EnrollData2324,'2324 Jun 24 Enroll'!M$1,FALSE)-VLOOKUP($A59,EnrollData2324,'2324 Jun 24 Enroll'!J$1,FALSE)='District Calculations'!$F$16+'District Calculations'!$F$25-'District Calculations'!$F$17,VLOOKUP($A59,EnrollData2324,'2324 Jun 24 Enroll'!I$1,FALSE)+VLOOKUP($A59,EnrollData2324,'2324 Jun 24 Enroll'!M$1,FALSE)-VLOOKUP($A59,EnrollData2324,'2324 Jun 24 Enroll'!J$1,FALSE),'District Calculations'!$F$16+'District Calculations'!$F$25-'District Calculations'!$F$17)*Apport_217A2425,3)</f>
        <v>4.7130000000000001</v>
      </c>
      <c r="R59">
        <f>ROUND(SUM(L59:Q59)/IF(VLOOKUP($A59,EnrollData2324,'2324 Jun 24 Enroll'!M$1,FALSE)+VLOOKUP($A59,EnrollData2324,'2324 Jun 24 Enroll'!D$1,FALSE)='District Calculations'!$F$25+'District Calculations'!$F$11,VLOOKUP($A59,EnrollData2324,'2324 Jun 24 Enroll'!M$1,FALSE)+VLOOKUP($A59,EnrollData2324,'2324 Jun 24 Enroll'!D$1,FALSE),'District Calculations'!$F$25+'District Calculations'!$F$11),5)</f>
        <v>4.1200000000000004E-3</v>
      </c>
      <c r="S59" s="11">
        <f t="shared" si="14"/>
        <v>1.8734299999999999E-2</v>
      </c>
      <c r="T59">
        <f>ROUND(IF(VLOOKUP($A59,EnrollData2324,'2324 Jun 24 Enroll'!D$1,FALSE)='District Calculations'!$F$11,VLOOKUP($A59,EnrollData2324,'2324 Jun 24 Enroll'!D$1,FALSE),'District Calculations'!$F$11)*S59,3)</f>
        <v>0</v>
      </c>
      <c r="U59">
        <f>ROUND(IF(VLOOKUP($A59,EnrollData2324,'2324 Jun 24 Enroll'!E$1,FALSE)='District Calculations'!$F$12,VLOOKUP($A59,EnrollData2324,'2324 Jun 24 Enroll'!E$1,FALSE),'District Calculations'!$F$12)*S59,3)</f>
        <v>15.183999999999999</v>
      </c>
      <c r="V59">
        <f>ROUND(IF(VLOOKUP($A59,EnrollData2324,'2324 Jun 24 Enroll'!F$1,FALSE)='District Calculations'!$F$13,VLOOKUP($A59,EnrollData2324,'2324 Jun 24 Enroll'!F$1,FALSE),'District Calculations'!$F$13)*Apport_224A2425,3)</f>
        <v>3.7109999999999999</v>
      </c>
      <c r="W59">
        <f>ROUND(IF(VLOOKUP($A59,EnrollData2324,'2324 Jun 24 Enroll'!G$1,FALSE)='District Calculations'!$F$14,VLOOKUP($A59,EnrollData2324,'2324 Jun 24 Enroll'!G$1,FALSE),'District Calculations'!$F$14)*Apport_212A2425,3)</f>
        <v>8.2279999999999998</v>
      </c>
      <c r="X59">
        <f>ROUND(IF(VLOOKUP($A59,EnrollData2324,'2324 Jun 24 Enroll'!H$1,FALSE)='District Calculations'!$F$14,VLOOKUP($A59,EnrollData2324,'2324 Jun 24 Enroll'!H$1,FALSE),'District Calculations'!$F$14)*Apport_215A2425,3)</f>
        <v>8.1180000000000003</v>
      </c>
      <c r="Y59">
        <f>ROUND(IF(VLOOKUP($A59,EnrollData2324,'2324 Jun 24 Enroll'!I$1,FALSE)+VLOOKUP($A59,EnrollData2324,'2324 Jun 24 Enroll'!M$1,FALSE)-VLOOKUP($A59,EnrollData2324,'2324 Jun 24 Enroll'!J$1,FALSE)='District Calculations'!$F$16+'District Calculations'!$F$25-'District Calculations'!$F$17,VLOOKUP($A59,EnrollData2324,'2324 Jun 24 Enroll'!I$1,FALSE)+VLOOKUP($A59,EnrollData2324,'2324 Jun 24 Enroll'!M$1,FALSE)-VLOOKUP($A59,EnrollData2324,'2324 Jun 24 Enroll'!J$1,FALSE),'District Calculations'!$F$16+'District Calculations'!$F$25-'District Calculations'!$F$17)*Apport_218A2425,3)</f>
        <v>20.257999999999999</v>
      </c>
      <c r="Z59">
        <f>ROUND(SUM(T59:Y59)/IF(VLOOKUP($A59,EnrollData2324,'2324 Jun 24 Enroll'!M$1,FALSE)+VLOOKUP($A59,EnrollData2324,'2324 Jun 24 Enroll'!D$1,FALSE)='District Calculations'!$F$25+'District Calculations'!$F$11,VLOOKUP($A59,EnrollData2324,'2324 Jun 24 Enroll'!M$1,FALSE)+VLOOKUP($A59,EnrollData2324,'2324 Jun 24 Enroll'!D$1,FALSE),'District Calculations'!$F$25+'District Calculations'!$F$11),5)</f>
        <v>1.7780000000000001E-2</v>
      </c>
      <c r="AA59" s="6">
        <f>ROUND($J59*CIS_Base_Salary2425*VLOOKUP($A59,EnrollData2324,'2324 Jun 24 Enroll'!AH$1,FALSE),2)</f>
        <v>4262.68</v>
      </c>
      <c r="AB59" s="6">
        <f>ROUND($J59*CIS_Inc_Salary2425*(VLOOKUP($A59,EnrollData2324,'2324 Jun 24 Enroll'!AI$1,FALSE)+VLOOKUP($A59,EnrollData2324,'2324 Jun 24 Enroll'!AJ$1,FALSE)),2)-AA59</f>
        <v>157.6899999999996</v>
      </c>
      <c r="AC59" s="6" cm="1">
        <f t="array" ref="AC59">ROUND($R59*CAS_Base_Salary2425*VLOOKUP($A59,EnrollData2324,'2324 Jun 24 Enroll'!AH$1,FALSE),2)</f>
        <v>461.23</v>
      </c>
      <c r="AD59" s="6">
        <f>ROUND($R59*CAS_Inc_Salary2425*VLOOKUP($A59,EnrollData2324,'2324 Jun 24 Enroll'!AI$1,FALSE),2)-AC59</f>
        <v>17.069999999999993</v>
      </c>
      <c r="AE59" s="6">
        <f>ROUND($Z59*CLS_Base_Salary2425*VLOOKUP($A59,EnrollData2324,'2324 Jun 24 Enroll'!AH$1,FALSE),2)</f>
        <v>961.95</v>
      </c>
      <c r="AF59" s="6">
        <f>ROUND($Z59*CLS_Inc_Salary2425*VLOOKUP($A59,EnrollData2324,'2324 Jun 24 Enroll'!AI$1,FALSE),2)-AE59</f>
        <v>35.599999999999909</v>
      </c>
      <c r="AG59" cm="1">
        <f t="array" ref="AG59">ROUND(($J59+$R59)*Apport_124X2425,2)</f>
        <v>800.45</v>
      </c>
      <c r="AH59" s="69" cm="1">
        <f t="array" ref="AH59">ROUND(($J59+$R59)*Apport_621X2425*Apport_125XC2425,2)-AG59</f>
        <v>73.899999999999977</v>
      </c>
      <c r="AI59" cm="1">
        <f t="array" ref="AI59">ROUND($Z59*Apport_124X2425,2)</f>
        <v>234.7</v>
      </c>
      <c r="AJ59">
        <f t="shared" si="15"/>
        <v>124.71000000000004</v>
      </c>
      <c r="AK59">
        <f t="shared" si="16"/>
        <v>857.39</v>
      </c>
      <c r="AL59">
        <f t="shared" si="17"/>
        <v>30.6</v>
      </c>
      <c r="AM59">
        <f t="shared" si="18"/>
        <v>208.36</v>
      </c>
      <c r="AN59">
        <f t="shared" si="19"/>
        <v>6.46</v>
      </c>
      <c r="AO59">
        <f>ROUND(($J59*CIS_Inc_Salary2425*(VLOOKUP($A59,EnrollData2324,'2324 Jun 24 Enroll'!AI$1,FALSE)+VLOOKUP($A59,EnrollData2324,'2324 Jun 24 Enroll'!AJ$1,FALSE))/Apport_613Xpd)*Apport_614Xpd,2)</f>
        <v>73.67</v>
      </c>
      <c r="AP59">
        <f t="shared" si="20"/>
        <v>12.9</v>
      </c>
      <c r="AQ59">
        <f t="shared" si="28"/>
        <v>31.48</v>
      </c>
      <c r="AR59" s="6">
        <f>ROUND((VLOOKUP($A59,EnrollData2324,'2324 Jun 24 Enroll'!D$1,FALSE)*Apport_M802425+VLOOKUP($A59,EnrollData2324,'2324 Jun 24 Enroll'!M$1,FALSE)*Apport_M802425+(VLOOKUP($A59,EnrollData2324,'2324 Jun 24 Enroll'!P$1,FALSE)+VLOOKUP($A59,EnrollData2324,'2324 Jun 24 Enroll'!Q$1,FALSE)+VLOOKUP($A59,EnrollData2324,'2324 Jun 24 Enroll'!R$1,FALSE)+VLOOKUP($A59,EnrollData2324,'2324 Jun 24 Enroll'!I$1,FALSE)+VLOOKUP($A59,EnrollData2324,'2324 Jun 24 Enroll'!N$1,FALSE)+VLOOKUP($A59,EnrollData2324,'2324 Jun 24 Enroll'!O$1,FALSE)+VLOOKUP($A59,EnrollData2324,'2324 Jun 24 Enroll'!K$1,FALSE)+VLOOKUP($A59,EnrollData2324,'2324 Jun 24 Enroll'!L$1,FALSE))*Apport_M812425)/(VLOOKUP($A59,EnrollData2324,'2324 Jun 24 Enroll'!M$1,FALSE)+VLOOKUP($A59,EnrollData2324,'2324 Jun 24 Enroll'!D$1,FALSE)),2)</f>
        <v>1589.46</v>
      </c>
      <c r="AS59" s="7">
        <f t="shared" si="29"/>
        <v>9940.2999999999993</v>
      </c>
    </row>
    <row r="60" spans="1:45">
      <c r="A60" s="40" t="s">
        <v>711</v>
      </c>
      <c r="B60" s="40" t="s">
        <v>712</v>
      </c>
      <c r="C60" s="11">
        <f>ROUND((IFERROR((1/IF(VLOOKUP($A60,EnrollData2324,28,FALSE)='District Calculations'!$F$10,VLOOKUP($A60,EnrollData2324,28,FALSE),'District Calculations'!$F$10))*(1+Apport_Z315),0))+Apport_201A2425,6)</f>
        <v>7.4580999999999995E-2</v>
      </c>
      <c r="D60">
        <f>ROUND(IF(VLOOKUP($A60,EnrollData2324,'2324 Jun 24 Enroll'!D$1,FALSE)='District Calculations'!$F$11,VLOOKUP($A60,EnrollData2324,'2324 Jun 24 Enroll'!D$1,FALSE),'District Calculations'!$F$11)*C60,3)</f>
        <v>0</v>
      </c>
      <c r="E60">
        <f>ROUND(IF(VLOOKUP($A60,EnrollData2324,'2324 Jun 24 Enroll'!E$1,FALSE)='District Calculations'!$F$12,VLOOKUP($A60,EnrollData2324,'2324 Jun 24 Enroll'!E$1,FALSE),'District Calculations'!$F$12)*C60,3)</f>
        <v>60.447000000000003</v>
      </c>
      <c r="F60">
        <f>ROUND(IF(VLOOKUP($A60,EnrollData2324,'2324 Jun 24 Enroll'!F$1,FALSE)='District Calculations'!$F$13,VLOOKUP($A60,EnrollData2324,'2324 Jun 24 Enroll'!F$1,FALSE),'District Calculations'!$F$13)*Apport_222A2425,3)</f>
        <v>10.337999999999999</v>
      </c>
      <c r="G60">
        <f>ROUND(IF(VLOOKUP($A60,EnrollData2324,'2324 Jun 24 Enroll'!G$1,FALSE)='District Calculations'!$F$14,VLOOKUP($A60,EnrollData2324,'2324 Jun 24 Enroll'!G$1,FALSE),'District Calculations'!$F$14)*Apport_210A2425,3)</f>
        <v>22.92</v>
      </c>
      <c r="H60">
        <f>ROUND(IF(VLOOKUP($A60,EnrollData2324,'2324 Jun 24 Enroll'!H$1,FALSE)='District Calculations'!$F$15,VLOOKUP($A60,EnrollData2324,'2324 Jun 24 Enroll'!H$1,FALSE),'District Calculations'!$F$15)*Apport_213A2425,3)</f>
        <v>23.619</v>
      </c>
      <c r="I60">
        <f>ROUND(IF(VLOOKUP($A60,EnrollData2324,'2324 Jun 24 Enroll'!I$1,FALSE)+VLOOKUP($A60,EnrollData2324,'2324 Jun 24 Enroll'!M$1,FALSE)-VLOOKUP($A60,EnrollData2324,'2324 Jun 24 Enroll'!J$1,FALSE)='District Calculations'!$F$16+'District Calculations'!$F$25-'District Calculations'!$F$17,VLOOKUP($A60,EnrollData2324,'2324 Jun 24 Enroll'!I$1,FALSE)+VLOOKUP($A60,EnrollData2324,'2324 Jun 24 Enroll'!M$1,FALSE)-VLOOKUP($A60,EnrollData2324,'2324 Jun 24 Enroll'!J$1,FALSE),'District Calculations'!$F$16+'District Calculations'!$F$25-'District Calculations'!$F$17)*Apport_216A2425,3)</f>
        <v>59.057000000000002</v>
      </c>
      <c r="J60">
        <f>ROUND(SUM(D60:I60)/(IF(VLOOKUP($A60,EnrollData2324,'2324 Jun 24 Enroll'!M$1,FALSE)='District Calculations'!$F$25,VLOOKUP($A60,EnrollData2324,'2324 Jun 24 Enroll'!M$1,FALSE),'District Calculations'!$F$25)+IF(VLOOKUP($A60,EnrollData2324,'2324 Jun 24 Enroll'!D$1,FALSE)='District Calculations'!$F$11,VLOOKUP($A60,EnrollData2324,'2324 Jun 24 Enroll'!D$1,FALSE),'District Calculations'!$F$11)),5)</f>
        <v>5.6520000000000001E-2</v>
      </c>
      <c r="K60" s="11">
        <f t="shared" si="13"/>
        <v>4.385E-3</v>
      </c>
      <c r="L60">
        <f>ROUND(IF(VLOOKUP($A60,EnrollData2324,'2324 Jun 24 Enroll'!D$1,FALSE)='District Calculations'!$F$11,VLOOKUP($A60,EnrollData2324,'2324 Jun 24 Enroll'!D$1,FALSE),'District Calculations'!$F$11)*K60,3)</f>
        <v>0</v>
      </c>
      <c r="M60">
        <f>ROUND(IF(VLOOKUP($A60,EnrollData2324,'2324 Jun 24 Enroll'!E$1,FALSE)='District Calculations'!$F$12,VLOOKUP($A60,EnrollData2324,'2324 Jun 24 Enroll'!E$1,FALSE),'District Calculations'!$F$12)*K60,3)</f>
        <v>3.5539999999999998</v>
      </c>
      <c r="N60">
        <f>ROUND(IF(VLOOKUP($A60,EnrollData2324,'2324 Jun 24 Enroll'!F$1,FALSE)='District Calculations'!$F$13,VLOOKUP($A60,EnrollData2324,'2324 Jun 24 Enroll'!F$1,FALSE),'District Calculations'!$F$13)*Apport_223A2425,3)</f>
        <v>0.84599999999999997</v>
      </c>
      <c r="O60">
        <f>ROUND(IF(VLOOKUP($A60,EnrollData2324,'2324 Jun 24 Enroll'!G$1,FALSE)='District Calculations'!$F$14,VLOOKUP($A60,EnrollData2324,'2324 Jun 24 Enroll'!G$1,FALSE),'District Calculations'!$F$14)*Apport_211A2425,3)</f>
        <v>1.877</v>
      </c>
      <c r="P60">
        <f>ROUND(IF(VLOOKUP($A60,EnrollData2324,'2324 Jun 24 Enroll'!H$1,FALSE)='District Calculations'!$F$14,VLOOKUP($A60,EnrollData2324,'2324 Jun 24 Enroll'!H$1,FALSE),'District Calculations'!$F$14)*Apport_214A2425,3)</f>
        <v>1.875</v>
      </c>
      <c r="Q60">
        <f>ROUND(IF(VLOOKUP($A60,EnrollData2324,'2324 Jun 24 Enroll'!I$1,FALSE)+VLOOKUP($A60,EnrollData2324,'2324 Jun 24 Enroll'!M$1,FALSE)-VLOOKUP($A60,EnrollData2324,'2324 Jun 24 Enroll'!J$1,FALSE)='District Calculations'!$F$16+'District Calculations'!$F$25-'District Calculations'!$F$17,VLOOKUP($A60,EnrollData2324,'2324 Jun 24 Enroll'!I$1,FALSE)+VLOOKUP($A60,EnrollData2324,'2324 Jun 24 Enroll'!M$1,FALSE)-VLOOKUP($A60,EnrollData2324,'2324 Jun 24 Enroll'!J$1,FALSE),'District Calculations'!$F$16+'District Calculations'!$F$25-'District Calculations'!$F$17)*Apport_217A2425,3)</f>
        <v>4.7130000000000001</v>
      </c>
      <c r="R60">
        <f>ROUND(SUM(L60:Q60)/IF(VLOOKUP($A60,EnrollData2324,'2324 Jun 24 Enroll'!M$1,FALSE)+VLOOKUP($A60,EnrollData2324,'2324 Jun 24 Enroll'!D$1,FALSE)='District Calculations'!$F$25+'District Calculations'!$F$11,VLOOKUP($A60,EnrollData2324,'2324 Jun 24 Enroll'!M$1,FALSE)+VLOOKUP($A60,EnrollData2324,'2324 Jun 24 Enroll'!D$1,FALSE),'District Calculations'!$F$25+'District Calculations'!$F$11),5)</f>
        <v>4.1200000000000004E-3</v>
      </c>
      <c r="S60" s="11">
        <f t="shared" si="14"/>
        <v>1.8734299999999999E-2</v>
      </c>
      <c r="T60">
        <f>ROUND(IF(VLOOKUP($A60,EnrollData2324,'2324 Jun 24 Enroll'!D$1,FALSE)='District Calculations'!$F$11,VLOOKUP($A60,EnrollData2324,'2324 Jun 24 Enroll'!D$1,FALSE),'District Calculations'!$F$11)*S60,3)</f>
        <v>0</v>
      </c>
      <c r="U60">
        <f>ROUND(IF(VLOOKUP($A60,EnrollData2324,'2324 Jun 24 Enroll'!E$1,FALSE)='District Calculations'!$F$12,VLOOKUP($A60,EnrollData2324,'2324 Jun 24 Enroll'!E$1,FALSE),'District Calculations'!$F$12)*S60,3)</f>
        <v>15.183999999999999</v>
      </c>
      <c r="V60">
        <f>ROUND(IF(VLOOKUP($A60,EnrollData2324,'2324 Jun 24 Enroll'!F$1,FALSE)='District Calculations'!$F$13,VLOOKUP($A60,EnrollData2324,'2324 Jun 24 Enroll'!F$1,FALSE),'District Calculations'!$F$13)*Apport_224A2425,3)</f>
        <v>3.7109999999999999</v>
      </c>
      <c r="W60">
        <f>ROUND(IF(VLOOKUP($A60,EnrollData2324,'2324 Jun 24 Enroll'!G$1,FALSE)='District Calculations'!$F$14,VLOOKUP($A60,EnrollData2324,'2324 Jun 24 Enroll'!G$1,FALSE),'District Calculations'!$F$14)*Apport_212A2425,3)</f>
        <v>8.2279999999999998</v>
      </c>
      <c r="X60">
        <f>ROUND(IF(VLOOKUP($A60,EnrollData2324,'2324 Jun 24 Enroll'!H$1,FALSE)='District Calculations'!$F$14,VLOOKUP($A60,EnrollData2324,'2324 Jun 24 Enroll'!H$1,FALSE),'District Calculations'!$F$14)*Apport_215A2425,3)</f>
        <v>8.1180000000000003</v>
      </c>
      <c r="Y60">
        <f>ROUND(IF(VLOOKUP($A60,EnrollData2324,'2324 Jun 24 Enroll'!I$1,FALSE)+VLOOKUP($A60,EnrollData2324,'2324 Jun 24 Enroll'!M$1,FALSE)-VLOOKUP($A60,EnrollData2324,'2324 Jun 24 Enroll'!J$1,FALSE)='District Calculations'!$F$16+'District Calculations'!$F$25-'District Calculations'!$F$17,VLOOKUP($A60,EnrollData2324,'2324 Jun 24 Enroll'!I$1,FALSE)+VLOOKUP($A60,EnrollData2324,'2324 Jun 24 Enroll'!M$1,FALSE)-VLOOKUP($A60,EnrollData2324,'2324 Jun 24 Enroll'!J$1,FALSE),'District Calculations'!$F$16+'District Calculations'!$F$25-'District Calculations'!$F$17)*Apport_218A2425,3)</f>
        <v>20.257999999999999</v>
      </c>
      <c r="Z60">
        <f>ROUND(SUM(T60:Y60)/IF(VLOOKUP($A60,EnrollData2324,'2324 Jun 24 Enroll'!M$1,FALSE)+VLOOKUP($A60,EnrollData2324,'2324 Jun 24 Enroll'!D$1,FALSE)='District Calculations'!$F$25+'District Calculations'!$F$11,VLOOKUP($A60,EnrollData2324,'2324 Jun 24 Enroll'!M$1,FALSE)+VLOOKUP($A60,EnrollData2324,'2324 Jun 24 Enroll'!D$1,FALSE),'District Calculations'!$F$25+'District Calculations'!$F$11),5)</f>
        <v>1.7780000000000001E-2</v>
      </c>
      <c r="AA60" s="6">
        <f>ROUND($J60*CIS_Base_Salary2425*VLOOKUP($A60,EnrollData2324,'2324 Jun 24 Enroll'!AH$1,FALSE),2)</f>
        <v>4262.68</v>
      </c>
      <c r="AB60" s="6">
        <f>ROUND($J60*CIS_Inc_Salary2425*(VLOOKUP($A60,EnrollData2324,'2324 Jun 24 Enroll'!AI$1,FALSE)+VLOOKUP($A60,EnrollData2324,'2324 Jun 24 Enroll'!AJ$1,FALSE)),2)-AA60</f>
        <v>157.6899999999996</v>
      </c>
      <c r="AC60" s="6" cm="1">
        <f t="array" ref="AC60">ROUND($R60*CAS_Base_Salary2425*VLOOKUP($A60,EnrollData2324,'2324 Jun 24 Enroll'!AH$1,FALSE),2)</f>
        <v>461.23</v>
      </c>
      <c r="AD60" s="6">
        <f>ROUND($R60*CAS_Inc_Salary2425*VLOOKUP($A60,EnrollData2324,'2324 Jun 24 Enroll'!AI$1,FALSE),2)-AC60</f>
        <v>17.069999999999993</v>
      </c>
      <c r="AE60" s="6">
        <f>ROUND($Z60*CLS_Base_Salary2425*VLOOKUP($A60,EnrollData2324,'2324 Jun 24 Enroll'!AH$1,FALSE),2)</f>
        <v>961.95</v>
      </c>
      <c r="AF60" s="6">
        <f>ROUND($Z60*CLS_Inc_Salary2425*VLOOKUP($A60,EnrollData2324,'2324 Jun 24 Enroll'!AI$1,FALSE),2)-AE60</f>
        <v>35.599999999999909</v>
      </c>
      <c r="AG60" cm="1">
        <f t="array" ref="AG60">ROUND(($J60+$R60)*Apport_124X2425,2)</f>
        <v>800.45</v>
      </c>
      <c r="AH60" s="69" cm="1">
        <f t="array" ref="AH60">ROUND(($J60+$R60)*Apport_621X2425*Apport_125XC2425,2)-AG60</f>
        <v>73.899999999999977</v>
      </c>
      <c r="AI60" cm="1">
        <f t="array" ref="AI60">ROUND($Z60*Apport_124X2425,2)</f>
        <v>234.7</v>
      </c>
      <c r="AJ60">
        <f t="shared" si="15"/>
        <v>124.71000000000004</v>
      </c>
      <c r="AK60">
        <f t="shared" si="16"/>
        <v>857.39</v>
      </c>
      <c r="AL60">
        <f t="shared" si="17"/>
        <v>30.6</v>
      </c>
      <c r="AM60">
        <f t="shared" si="18"/>
        <v>208.36</v>
      </c>
      <c r="AN60">
        <f t="shared" si="19"/>
        <v>6.46</v>
      </c>
      <c r="AO60">
        <f>ROUND(($J60*CIS_Inc_Salary2425*(VLOOKUP($A60,EnrollData2324,'2324 Jun 24 Enroll'!AI$1,FALSE)+VLOOKUP($A60,EnrollData2324,'2324 Jun 24 Enroll'!AJ$1,FALSE))/Apport_613Xpd)*Apport_614Xpd,2)</f>
        <v>73.67</v>
      </c>
      <c r="AP60">
        <f t="shared" si="20"/>
        <v>12.9</v>
      </c>
      <c r="AQ60">
        <f t="shared" si="28"/>
        <v>31.48</v>
      </c>
      <c r="AR60" s="6">
        <f>ROUND((VLOOKUP($A60,EnrollData2324,'2324 Jun 24 Enroll'!D$1,FALSE)*Apport_M802425+VLOOKUP($A60,EnrollData2324,'2324 Jun 24 Enroll'!M$1,FALSE)*Apport_M802425+(VLOOKUP($A60,EnrollData2324,'2324 Jun 24 Enroll'!P$1,FALSE)+VLOOKUP($A60,EnrollData2324,'2324 Jun 24 Enroll'!Q$1,FALSE)+VLOOKUP($A60,EnrollData2324,'2324 Jun 24 Enroll'!R$1,FALSE)+VLOOKUP($A60,EnrollData2324,'2324 Jun 24 Enroll'!I$1,FALSE)+VLOOKUP($A60,EnrollData2324,'2324 Jun 24 Enroll'!N$1,FALSE)+VLOOKUP($A60,EnrollData2324,'2324 Jun 24 Enroll'!O$1,FALSE)+VLOOKUP($A60,EnrollData2324,'2324 Jun 24 Enroll'!K$1,FALSE)+VLOOKUP($A60,EnrollData2324,'2324 Jun 24 Enroll'!L$1,FALSE))*Apport_M812425)/(VLOOKUP($A60,EnrollData2324,'2324 Jun 24 Enroll'!M$1,FALSE)+VLOOKUP($A60,EnrollData2324,'2324 Jun 24 Enroll'!D$1,FALSE)),2)</f>
        <v>1701.96</v>
      </c>
      <c r="AS60" s="7">
        <f t="shared" si="29"/>
        <v>10052.799999999999</v>
      </c>
    </row>
    <row r="61" spans="1:45">
      <c r="A61" s="40" t="s">
        <v>920</v>
      </c>
      <c r="B61" s="40" t="s">
        <v>1008</v>
      </c>
      <c r="C61" s="11">
        <f>ROUND((IFERROR((1/IF(VLOOKUP($A61,EnrollData2324,28,FALSE)='District Calculations'!$F$10,VLOOKUP($A61,EnrollData2324,28,FALSE),'District Calculations'!$F$10))*(1+Apport_Z315),0))+Apport_201A2425,6)</f>
        <v>7.4580999999999995E-2</v>
      </c>
      <c r="D61">
        <f>ROUND(IF(VLOOKUP($A61,EnrollData2324,'2324 Jun 24 Enroll'!D$1,FALSE)='District Calculations'!$F$11,VLOOKUP($A61,EnrollData2324,'2324 Jun 24 Enroll'!D$1,FALSE),'District Calculations'!$F$11)*C61,3)</f>
        <v>0</v>
      </c>
      <c r="E61">
        <f>ROUND(IF(VLOOKUP($A61,EnrollData2324,'2324 Jun 24 Enroll'!E$1,FALSE)='District Calculations'!$F$12,VLOOKUP($A61,EnrollData2324,'2324 Jun 24 Enroll'!E$1,FALSE),'District Calculations'!$F$12)*C61,3)</f>
        <v>60.447000000000003</v>
      </c>
      <c r="F61">
        <f>ROUND(IF(VLOOKUP($A61,EnrollData2324,'2324 Jun 24 Enroll'!F$1,FALSE)='District Calculations'!$F$13,VLOOKUP($A61,EnrollData2324,'2324 Jun 24 Enroll'!F$1,FALSE),'District Calculations'!$F$13)*Apport_222A2425,3)</f>
        <v>10.337999999999999</v>
      </c>
      <c r="G61">
        <f>ROUND(IF(VLOOKUP($A61,EnrollData2324,'2324 Jun 24 Enroll'!G$1,FALSE)='District Calculations'!$F$14,VLOOKUP($A61,EnrollData2324,'2324 Jun 24 Enroll'!G$1,FALSE),'District Calculations'!$F$14)*Apport_210A2425,3)</f>
        <v>22.92</v>
      </c>
      <c r="H61">
        <f>ROUND(IF(VLOOKUP($A61,EnrollData2324,'2324 Jun 24 Enroll'!H$1,FALSE)='District Calculations'!$F$15,VLOOKUP($A61,EnrollData2324,'2324 Jun 24 Enroll'!H$1,FALSE),'District Calculations'!$F$15)*Apport_213A2425,3)</f>
        <v>23.619</v>
      </c>
      <c r="I61">
        <f>ROUND(IF(VLOOKUP($A61,EnrollData2324,'2324 Jun 24 Enroll'!I$1,FALSE)+VLOOKUP($A61,EnrollData2324,'2324 Jun 24 Enroll'!M$1,FALSE)-VLOOKUP($A61,EnrollData2324,'2324 Jun 24 Enroll'!J$1,FALSE)='District Calculations'!$F$16+'District Calculations'!$F$25-'District Calculations'!$F$17,VLOOKUP($A61,EnrollData2324,'2324 Jun 24 Enroll'!I$1,FALSE)+VLOOKUP($A61,EnrollData2324,'2324 Jun 24 Enroll'!M$1,FALSE)-VLOOKUP($A61,EnrollData2324,'2324 Jun 24 Enroll'!J$1,FALSE),'District Calculations'!$F$16+'District Calculations'!$F$25-'District Calculations'!$F$17)*Apport_216A2425,3)</f>
        <v>59.057000000000002</v>
      </c>
      <c r="J61">
        <f>ROUND(SUM(D61:I61)/(IF(VLOOKUP($A61,EnrollData2324,'2324 Jun 24 Enroll'!M$1,FALSE)='District Calculations'!$F$25,VLOOKUP($A61,EnrollData2324,'2324 Jun 24 Enroll'!M$1,FALSE),'District Calculations'!$F$25)+IF(VLOOKUP($A61,EnrollData2324,'2324 Jun 24 Enroll'!D$1,FALSE)='District Calculations'!$F$11,VLOOKUP($A61,EnrollData2324,'2324 Jun 24 Enroll'!D$1,FALSE),'District Calculations'!$F$11)),5)</f>
        <v>5.6520000000000001E-2</v>
      </c>
      <c r="K61" s="11">
        <f t="shared" si="13"/>
        <v>4.385E-3</v>
      </c>
      <c r="L61">
        <f>ROUND(IF(VLOOKUP($A61,EnrollData2324,'2324 Jun 24 Enroll'!D$1,FALSE)='District Calculations'!$F$11,VLOOKUP($A61,EnrollData2324,'2324 Jun 24 Enroll'!D$1,FALSE),'District Calculations'!$F$11)*K61,3)</f>
        <v>0</v>
      </c>
      <c r="M61">
        <f>ROUND(IF(VLOOKUP($A61,EnrollData2324,'2324 Jun 24 Enroll'!E$1,FALSE)='District Calculations'!$F$12,VLOOKUP($A61,EnrollData2324,'2324 Jun 24 Enroll'!E$1,FALSE),'District Calculations'!$F$12)*K61,3)</f>
        <v>3.5539999999999998</v>
      </c>
      <c r="N61">
        <f>ROUND(IF(VLOOKUP($A61,EnrollData2324,'2324 Jun 24 Enroll'!F$1,FALSE)='District Calculations'!$F$13,VLOOKUP($A61,EnrollData2324,'2324 Jun 24 Enroll'!F$1,FALSE),'District Calculations'!$F$13)*Apport_223A2425,3)</f>
        <v>0.84599999999999997</v>
      </c>
      <c r="O61">
        <f>ROUND(IF(VLOOKUP($A61,EnrollData2324,'2324 Jun 24 Enroll'!G$1,FALSE)='District Calculations'!$F$14,VLOOKUP($A61,EnrollData2324,'2324 Jun 24 Enroll'!G$1,FALSE),'District Calculations'!$F$14)*Apport_211A2425,3)</f>
        <v>1.877</v>
      </c>
      <c r="P61">
        <f>ROUND(IF(VLOOKUP($A61,EnrollData2324,'2324 Jun 24 Enroll'!H$1,FALSE)='District Calculations'!$F$14,VLOOKUP($A61,EnrollData2324,'2324 Jun 24 Enroll'!H$1,FALSE),'District Calculations'!$F$14)*Apport_214A2425,3)</f>
        <v>1.875</v>
      </c>
      <c r="Q61">
        <f>ROUND(IF(VLOOKUP($A61,EnrollData2324,'2324 Jun 24 Enroll'!I$1,FALSE)+VLOOKUP($A61,EnrollData2324,'2324 Jun 24 Enroll'!M$1,FALSE)-VLOOKUP($A61,EnrollData2324,'2324 Jun 24 Enroll'!J$1,FALSE)='District Calculations'!$F$16+'District Calculations'!$F$25-'District Calculations'!$F$17,VLOOKUP($A61,EnrollData2324,'2324 Jun 24 Enroll'!I$1,FALSE)+VLOOKUP($A61,EnrollData2324,'2324 Jun 24 Enroll'!M$1,FALSE)-VLOOKUP($A61,EnrollData2324,'2324 Jun 24 Enroll'!J$1,FALSE),'District Calculations'!$F$16+'District Calculations'!$F$25-'District Calculations'!$F$17)*Apport_217A2425,3)</f>
        <v>4.7130000000000001</v>
      </c>
      <c r="R61">
        <f>ROUND(SUM(L61:Q61)/IF(VLOOKUP($A61,EnrollData2324,'2324 Jun 24 Enroll'!M$1,FALSE)+VLOOKUP($A61,EnrollData2324,'2324 Jun 24 Enroll'!D$1,FALSE)='District Calculations'!$F$25+'District Calculations'!$F$11,VLOOKUP($A61,EnrollData2324,'2324 Jun 24 Enroll'!M$1,FALSE)+VLOOKUP($A61,EnrollData2324,'2324 Jun 24 Enroll'!D$1,FALSE),'District Calculations'!$F$25+'District Calculations'!$F$11),5)</f>
        <v>4.1200000000000004E-3</v>
      </c>
      <c r="S61" s="11">
        <f t="shared" si="14"/>
        <v>1.8734299999999999E-2</v>
      </c>
      <c r="T61">
        <f>ROUND(IF(VLOOKUP($A61,EnrollData2324,'2324 Jun 24 Enroll'!D$1,FALSE)='District Calculations'!$F$11,VLOOKUP($A61,EnrollData2324,'2324 Jun 24 Enroll'!D$1,FALSE),'District Calculations'!$F$11)*S61,3)</f>
        <v>0</v>
      </c>
      <c r="U61">
        <f>ROUND(IF(VLOOKUP($A61,EnrollData2324,'2324 Jun 24 Enroll'!E$1,FALSE)='District Calculations'!$F$12,VLOOKUP($A61,EnrollData2324,'2324 Jun 24 Enroll'!E$1,FALSE),'District Calculations'!$F$12)*S61,3)</f>
        <v>15.183999999999999</v>
      </c>
      <c r="V61">
        <f>ROUND(IF(VLOOKUP($A61,EnrollData2324,'2324 Jun 24 Enroll'!F$1,FALSE)='District Calculations'!$F$13,VLOOKUP($A61,EnrollData2324,'2324 Jun 24 Enroll'!F$1,FALSE),'District Calculations'!$F$13)*Apport_224A2425,3)</f>
        <v>3.7109999999999999</v>
      </c>
      <c r="W61">
        <f>ROUND(IF(VLOOKUP($A61,EnrollData2324,'2324 Jun 24 Enroll'!G$1,FALSE)='District Calculations'!$F$14,VLOOKUP($A61,EnrollData2324,'2324 Jun 24 Enroll'!G$1,FALSE),'District Calculations'!$F$14)*Apport_212A2425,3)</f>
        <v>8.2279999999999998</v>
      </c>
      <c r="X61">
        <f>ROUND(IF(VLOOKUP($A61,EnrollData2324,'2324 Jun 24 Enroll'!H$1,FALSE)='District Calculations'!$F$14,VLOOKUP($A61,EnrollData2324,'2324 Jun 24 Enroll'!H$1,FALSE),'District Calculations'!$F$14)*Apport_215A2425,3)</f>
        <v>8.1180000000000003</v>
      </c>
      <c r="Y61">
        <f>ROUND(IF(VLOOKUP($A61,EnrollData2324,'2324 Jun 24 Enroll'!I$1,FALSE)+VLOOKUP($A61,EnrollData2324,'2324 Jun 24 Enroll'!M$1,FALSE)-VLOOKUP($A61,EnrollData2324,'2324 Jun 24 Enroll'!J$1,FALSE)='District Calculations'!$F$16+'District Calculations'!$F$25-'District Calculations'!$F$17,VLOOKUP($A61,EnrollData2324,'2324 Jun 24 Enroll'!I$1,FALSE)+VLOOKUP($A61,EnrollData2324,'2324 Jun 24 Enroll'!M$1,FALSE)-VLOOKUP($A61,EnrollData2324,'2324 Jun 24 Enroll'!J$1,FALSE),'District Calculations'!$F$16+'District Calculations'!$F$25-'District Calculations'!$F$17)*Apport_218A2425,3)</f>
        <v>20.257999999999999</v>
      </c>
      <c r="Z61">
        <f>ROUND(SUM(T61:Y61)/IF(VLOOKUP($A61,EnrollData2324,'2324 Jun 24 Enroll'!M$1,FALSE)+VLOOKUP($A61,EnrollData2324,'2324 Jun 24 Enroll'!D$1,FALSE)='District Calculations'!$F$25+'District Calculations'!$F$11,VLOOKUP($A61,EnrollData2324,'2324 Jun 24 Enroll'!M$1,FALSE)+VLOOKUP($A61,EnrollData2324,'2324 Jun 24 Enroll'!D$1,FALSE),'District Calculations'!$F$25+'District Calculations'!$F$11),5)</f>
        <v>1.7780000000000001E-2</v>
      </c>
      <c r="AA61" s="6">
        <f>ROUND($J61*CIS_Base_Salary2425*VLOOKUP($A61,EnrollData2324,'2324 Jun 24 Enroll'!AH$1,FALSE),2)</f>
        <v>4262.68</v>
      </c>
      <c r="AB61" s="6">
        <f>ROUND($J61*CIS_Inc_Salary2425*(VLOOKUP($A61,EnrollData2324,'2324 Jun 24 Enroll'!AI$1,FALSE)+VLOOKUP($A61,EnrollData2324,'2324 Jun 24 Enroll'!AJ$1,FALSE)),2)-AA61</f>
        <v>157.6899999999996</v>
      </c>
      <c r="AC61" s="6" cm="1">
        <f t="array" ref="AC61">ROUND($R61*CAS_Base_Salary2425*VLOOKUP($A61,EnrollData2324,'2324 Jun 24 Enroll'!AH$1,FALSE),2)</f>
        <v>461.23</v>
      </c>
      <c r="AD61" s="6">
        <f>ROUND($R61*CAS_Inc_Salary2425*VLOOKUP($A61,EnrollData2324,'2324 Jun 24 Enroll'!AI$1,FALSE),2)-AC61</f>
        <v>17.069999999999993</v>
      </c>
      <c r="AE61" s="6">
        <f>ROUND($Z61*CLS_Base_Salary2425*VLOOKUP($A61,EnrollData2324,'2324 Jun 24 Enroll'!AH$1,FALSE),2)</f>
        <v>961.95</v>
      </c>
      <c r="AF61" s="6">
        <f>ROUND($Z61*CLS_Inc_Salary2425*VLOOKUP($A61,EnrollData2324,'2324 Jun 24 Enroll'!AI$1,FALSE),2)-AE61</f>
        <v>35.599999999999909</v>
      </c>
      <c r="AG61" cm="1">
        <f t="array" ref="AG61">ROUND(($J61+$R61)*Apport_124X2425,2)</f>
        <v>800.45</v>
      </c>
      <c r="AH61" s="69" cm="1">
        <f t="array" ref="AH61">ROUND(($J61+$R61)*Apport_621X2425*Apport_125XC2425,2)-AG61</f>
        <v>73.899999999999977</v>
      </c>
      <c r="AI61" cm="1">
        <f t="array" ref="AI61">ROUND($Z61*Apport_124X2425,2)</f>
        <v>234.7</v>
      </c>
      <c r="AJ61">
        <f t="shared" si="15"/>
        <v>124.71000000000004</v>
      </c>
      <c r="AK61">
        <f t="shared" si="16"/>
        <v>857.39</v>
      </c>
      <c r="AL61">
        <f t="shared" si="17"/>
        <v>30.6</v>
      </c>
      <c r="AM61">
        <f t="shared" si="18"/>
        <v>208.36</v>
      </c>
      <c r="AN61">
        <f t="shared" si="19"/>
        <v>6.46</v>
      </c>
      <c r="AO61">
        <f>ROUND(($J61*CIS_Inc_Salary2425*(VLOOKUP($A61,EnrollData2324,'2324 Jun 24 Enroll'!AI$1,FALSE)+VLOOKUP($A61,EnrollData2324,'2324 Jun 24 Enroll'!AJ$1,FALSE))/Apport_613Xpd)*Apport_614Xpd,2)</f>
        <v>73.67</v>
      </c>
      <c r="AP61">
        <f t="shared" si="20"/>
        <v>12.9</v>
      </c>
      <c r="AQ61">
        <f t="shared" si="28"/>
        <v>31.48</v>
      </c>
      <c r="AR61" s="6">
        <f>ROUND((VLOOKUP($A61,EnrollData2324,'2324 Jun 24 Enroll'!D$1,FALSE)*Apport_M802425+VLOOKUP($A61,EnrollData2324,'2324 Jun 24 Enroll'!M$1,FALSE)*Apport_M802425+(VLOOKUP($A61,EnrollData2324,'2324 Jun 24 Enroll'!P$1,FALSE)+VLOOKUP($A61,EnrollData2324,'2324 Jun 24 Enroll'!Q$1,FALSE)+VLOOKUP($A61,EnrollData2324,'2324 Jun 24 Enroll'!R$1,FALSE)+VLOOKUP($A61,EnrollData2324,'2324 Jun 24 Enroll'!I$1,FALSE)+VLOOKUP($A61,EnrollData2324,'2324 Jun 24 Enroll'!N$1,FALSE)+VLOOKUP($A61,EnrollData2324,'2324 Jun 24 Enroll'!O$1,FALSE)+VLOOKUP($A61,EnrollData2324,'2324 Jun 24 Enroll'!K$1,FALSE)+VLOOKUP($A61,EnrollData2324,'2324 Jun 24 Enroll'!L$1,FALSE))*Apport_M812425)/(VLOOKUP($A61,EnrollData2324,'2324 Jun 24 Enroll'!M$1,FALSE)+VLOOKUP($A61,EnrollData2324,'2324 Jun 24 Enroll'!D$1,FALSE)),2)</f>
        <v>1603.98</v>
      </c>
      <c r="AS61" s="7">
        <f t="shared" si="29"/>
        <v>9954.8199999999979</v>
      </c>
    </row>
    <row r="62" spans="1:45">
      <c r="A62" s="40" t="s">
        <v>841</v>
      </c>
      <c r="B62" s="40" t="s">
        <v>842</v>
      </c>
      <c r="C62" s="11">
        <f>ROUND((IFERROR((1/IF(VLOOKUP($A62,EnrollData2324,28,FALSE)='District Calculations'!$F$10,VLOOKUP($A62,EnrollData2324,28,FALSE),'District Calculations'!$F$10))*(1+Apport_Z315),0))+Apport_201A2425,6)</f>
        <v>7.4580999999999995E-2</v>
      </c>
      <c r="D62">
        <f>ROUND(IF(VLOOKUP($A62,EnrollData2324,'2324 Jun 24 Enroll'!D$1,FALSE)='District Calculations'!$F$11,VLOOKUP($A62,EnrollData2324,'2324 Jun 24 Enroll'!D$1,FALSE),'District Calculations'!$F$11)*C62,3)</f>
        <v>0</v>
      </c>
      <c r="E62">
        <f>ROUND(IF(VLOOKUP($A62,EnrollData2324,'2324 Jun 24 Enroll'!E$1,FALSE)='District Calculations'!$F$12,VLOOKUP($A62,EnrollData2324,'2324 Jun 24 Enroll'!E$1,FALSE),'District Calculations'!$F$12)*C62,3)</f>
        <v>60.447000000000003</v>
      </c>
      <c r="F62">
        <f>ROUND(IF(VLOOKUP($A62,EnrollData2324,'2324 Jun 24 Enroll'!F$1,FALSE)='District Calculations'!$F$13,VLOOKUP($A62,EnrollData2324,'2324 Jun 24 Enroll'!F$1,FALSE),'District Calculations'!$F$13)*Apport_222A2425,3)</f>
        <v>10.337999999999999</v>
      </c>
      <c r="G62">
        <f>ROUND(IF(VLOOKUP($A62,EnrollData2324,'2324 Jun 24 Enroll'!G$1,FALSE)='District Calculations'!$F$14,VLOOKUP($A62,EnrollData2324,'2324 Jun 24 Enroll'!G$1,FALSE),'District Calculations'!$F$14)*Apport_210A2425,3)</f>
        <v>22.92</v>
      </c>
      <c r="H62">
        <f>ROUND(IF(VLOOKUP($A62,EnrollData2324,'2324 Jun 24 Enroll'!H$1,FALSE)='District Calculations'!$F$15,VLOOKUP($A62,EnrollData2324,'2324 Jun 24 Enroll'!H$1,FALSE),'District Calculations'!$F$15)*Apport_213A2425,3)</f>
        <v>23.619</v>
      </c>
      <c r="I62">
        <f>ROUND(IF(VLOOKUP($A62,EnrollData2324,'2324 Jun 24 Enroll'!I$1,FALSE)+VLOOKUP($A62,EnrollData2324,'2324 Jun 24 Enroll'!M$1,FALSE)-VLOOKUP($A62,EnrollData2324,'2324 Jun 24 Enroll'!J$1,FALSE)='District Calculations'!$F$16+'District Calculations'!$F$25-'District Calculations'!$F$17,VLOOKUP($A62,EnrollData2324,'2324 Jun 24 Enroll'!I$1,FALSE)+VLOOKUP($A62,EnrollData2324,'2324 Jun 24 Enroll'!M$1,FALSE)-VLOOKUP($A62,EnrollData2324,'2324 Jun 24 Enroll'!J$1,FALSE),'District Calculations'!$F$16+'District Calculations'!$F$25-'District Calculations'!$F$17)*Apport_216A2425,3)</f>
        <v>59.057000000000002</v>
      </c>
      <c r="J62">
        <f>ROUND(SUM(D62:I62)/(IF(VLOOKUP($A62,EnrollData2324,'2324 Jun 24 Enroll'!M$1,FALSE)='District Calculations'!$F$25,VLOOKUP($A62,EnrollData2324,'2324 Jun 24 Enroll'!M$1,FALSE),'District Calculations'!$F$25)+IF(VLOOKUP($A62,EnrollData2324,'2324 Jun 24 Enroll'!D$1,FALSE)='District Calculations'!$F$11,VLOOKUP($A62,EnrollData2324,'2324 Jun 24 Enroll'!D$1,FALSE),'District Calculations'!$F$11)),5)</f>
        <v>5.6520000000000001E-2</v>
      </c>
      <c r="K62" s="11">
        <f t="shared" si="13"/>
        <v>4.385E-3</v>
      </c>
      <c r="L62">
        <f>ROUND(IF(VLOOKUP($A62,EnrollData2324,'2324 Jun 24 Enroll'!D$1,FALSE)='District Calculations'!$F$11,VLOOKUP($A62,EnrollData2324,'2324 Jun 24 Enroll'!D$1,FALSE),'District Calculations'!$F$11)*K62,3)</f>
        <v>0</v>
      </c>
      <c r="M62">
        <f>ROUND(IF(VLOOKUP($A62,EnrollData2324,'2324 Jun 24 Enroll'!E$1,FALSE)='District Calculations'!$F$12,VLOOKUP($A62,EnrollData2324,'2324 Jun 24 Enroll'!E$1,FALSE),'District Calculations'!$F$12)*K62,3)</f>
        <v>3.5539999999999998</v>
      </c>
      <c r="N62">
        <f>ROUND(IF(VLOOKUP($A62,EnrollData2324,'2324 Jun 24 Enroll'!F$1,FALSE)='District Calculations'!$F$13,VLOOKUP($A62,EnrollData2324,'2324 Jun 24 Enroll'!F$1,FALSE),'District Calculations'!$F$13)*Apport_223A2425,3)</f>
        <v>0.84599999999999997</v>
      </c>
      <c r="O62">
        <f>ROUND(IF(VLOOKUP($A62,EnrollData2324,'2324 Jun 24 Enroll'!G$1,FALSE)='District Calculations'!$F$14,VLOOKUP($A62,EnrollData2324,'2324 Jun 24 Enroll'!G$1,FALSE),'District Calculations'!$F$14)*Apport_211A2425,3)</f>
        <v>1.877</v>
      </c>
      <c r="P62">
        <f>ROUND(IF(VLOOKUP($A62,EnrollData2324,'2324 Jun 24 Enroll'!H$1,FALSE)='District Calculations'!$F$14,VLOOKUP($A62,EnrollData2324,'2324 Jun 24 Enroll'!H$1,FALSE),'District Calculations'!$F$14)*Apport_214A2425,3)</f>
        <v>1.875</v>
      </c>
      <c r="Q62">
        <f>ROUND(IF(VLOOKUP($A62,EnrollData2324,'2324 Jun 24 Enroll'!I$1,FALSE)+VLOOKUP($A62,EnrollData2324,'2324 Jun 24 Enroll'!M$1,FALSE)-VLOOKUP($A62,EnrollData2324,'2324 Jun 24 Enroll'!J$1,FALSE)='District Calculations'!$F$16+'District Calculations'!$F$25-'District Calculations'!$F$17,VLOOKUP($A62,EnrollData2324,'2324 Jun 24 Enroll'!I$1,FALSE)+VLOOKUP($A62,EnrollData2324,'2324 Jun 24 Enroll'!M$1,FALSE)-VLOOKUP($A62,EnrollData2324,'2324 Jun 24 Enroll'!J$1,FALSE),'District Calculations'!$F$16+'District Calculations'!$F$25-'District Calculations'!$F$17)*Apport_217A2425,3)</f>
        <v>4.7130000000000001</v>
      </c>
      <c r="R62">
        <f>ROUND(SUM(L62:Q62)/IF(VLOOKUP($A62,EnrollData2324,'2324 Jun 24 Enroll'!M$1,FALSE)+VLOOKUP($A62,EnrollData2324,'2324 Jun 24 Enroll'!D$1,FALSE)='District Calculations'!$F$25+'District Calculations'!$F$11,VLOOKUP($A62,EnrollData2324,'2324 Jun 24 Enroll'!M$1,FALSE)+VLOOKUP($A62,EnrollData2324,'2324 Jun 24 Enroll'!D$1,FALSE),'District Calculations'!$F$25+'District Calculations'!$F$11),5)</f>
        <v>4.1200000000000004E-3</v>
      </c>
      <c r="S62" s="11">
        <f t="shared" si="14"/>
        <v>1.8734299999999999E-2</v>
      </c>
      <c r="T62">
        <f>ROUND(IF(VLOOKUP($A62,EnrollData2324,'2324 Jun 24 Enroll'!D$1,FALSE)='District Calculations'!$F$11,VLOOKUP($A62,EnrollData2324,'2324 Jun 24 Enroll'!D$1,FALSE),'District Calculations'!$F$11)*S62,3)</f>
        <v>0</v>
      </c>
      <c r="U62">
        <f>ROUND(IF(VLOOKUP($A62,EnrollData2324,'2324 Jun 24 Enroll'!E$1,FALSE)='District Calculations'!$F$12,VLOOKUP($A62,EnrollData2324,'2324 Jun 24 Enroll'!E$1,FALSE),'District Calculations'!$F$12)*S62,3)</f>
        <v>15.183999999999999</v>
      </c>
      <c r="V62">
        <f>ROUND(IF(VLOOKUP($A62,EnrollData2324,'2324 Jun 24 Enroll'!F$1,FALSE)='District Calculations'!$F$13,VLOOKUP($A62,EnrollData2324,'2324 Jun 24 Enroll'!F$1,FALSE),'District Calculations'!$F$13)*Apport_224A2425,3)</f>
        <v>3.7109999999999999</v>
      </c>
      <c r="W62">
        <f>ROUND(IF(VLOOKUP($A62,EnrollData2324,'2324 Jun 24 Enroll'!G$1,FALSE)='District Calculations'!$F$14,VLOOKUP($A62,EnrollData2324,'2324 Jun 24 Enroll'!G$1,FALSE),'District Calculations'!$F$14)*Apport_212A2425,3)</f>
        <v>8.2279999999999998</v>
      </c>
      <c r="X62">
        <f>ROUND(IF(VLOOKUP($A62,EnrollData2324,'2324 Jun 24 Enroll'!H$1,FALSE)='District Calculations'!$F$14,VLOOKUP($A62,EnrollData2324,'2324 Jun 24 Enroll'!H$1,FALSE),'District Calculations'!$F$14)*Apport_215A2425,3)</f>
        <v>8.1180000000000003</v>
      </c>
      <c r="Y62">
        <f>ROUND(IF(VLOOKUP($A62,EnrollData2324,'2324 Jun 24 Enroll'!I$1,FALSE)+VLOOKUP($A62,EnrollData2324,'2324 Jun 24 Enroll'!M$1,FALSE)-VLOOKUP($A62,EnrollData2324,'2324 Jun 24 Enroll'!J$1,FALSE)='District Calculations'!$F$16+'District Calculations'!$F$25-'District Calculations'!$F$17,VLOOKUP($A62,EnrollData2324,'2324 Jun 24 Enroll'!I$1,FALSE)+VLOOKUP($A62,EnrollData2324,'2324 Jun 24 Enroll'!M$1,FALSE)-VLOOKUP($A62,EnrollData2324,'2324 Jun 24 Enroll'!J$1,FALSE),'District Calculations'!$F$16+'District Calculations'!$F$25-'District Calculations'!$F$17)*Apport_218A2425,3)</f>
        <v>20.257999999999999</v>
      </c>
      <c r="Z62">
        <f>ROUND(SUM(T62:Y62)/IF(VLOOKUP($A62,EnrollData2324,'2324 Jun 24 Enroll'!M$1,FALSE)+VLOOKUP($A62,EnrollData2324,'2324 Jun 24 Enroll'!D$1,FALSE)='District Calculations'!$F$25+'District Calculations'!$F$11,VLOOKUP($A62,EnrollData2324,'2324 Jun 24 Enroll'!M$1,FALSE)+VLOOKUP($A62,EnrollData2324,'2324 Jun 24 Enroll'!D$1,FALSE),'District Calculations'!$F$25+'District Calculations'!$F$11),5)</f>
        <v>1.7780000000000001E-2</v>
      </c>
      <c r="AA62" s="6">
        <f>ROUND($J62*CIS_Base_Salary2425*VLOOKUP($A62,EnrollData2324,'2324 Jun 24 Enroll'!AH$1,FALSE),2)</f>
        <v>4518.4399999999996</v>
      </c>
      <c r="AB62" s="6">
        <f>ROUND($J62*CIS_Inc_Salary2425*(VLOOKUP($A62,EnrollData2324,'2324 Jun 24 Enroll'!AI$1,FALSE)+VLOOKUP($A62,EnrollData2324,'2324 Jun 24 Enroll'!AJ$1,FALSE)),2)-AA62</f>
        <v>167.16000000000076</v>
      </c>
      <c r="AC62" s="6" cm="1">
        <f t="array" ref="AC62">ROUND($R62*CAS_Base_Salary2425*VLOOKUP($A62,EnrollData2324,'2324 Jun 24 Enroll'!AH$1,FALSE),2)</f>
        <v>488.91</v>
      </c>
      <c r="AD62" s="6">
        <f>ROUND($R62*CAS_Inc_Salary2425*VLOOKUP($A62,EnrollData2324,'2324 Jun 24 Enroll'!AI$1,FALSE),2)-AC62</f>
        <v>18.089999999999975</v>
      </c>
      <c r="AE62" s="6">
        <f>ROUND($Z62*CLS_Base_Salary2425*VLOOKUP($A62,EnrollData2324,'2324 Jun 24 Enroll'!AH$1,FALSE),2)</f>
        <v>1019.67</v>
      </c>
      <c r="AF62" s="6">
        <f>ROUND($Z62*CLS_Inc_Salary2425*VLOOKUP($A62,EnrollData2324,'2324 Jun 24 Enroll'!AI$1,FALSE),2)-AE62</f>
        <v>37.730000000000132</v>
      </c>
      <c r="AG62" cm="1">
        <f t="array" ref="AG62">ROUND(($J62+$R62)*Apport_124X2425,2)</f>
        <v>800.45</v>
      </c>
      <c r="AH62" s="69" cm="1">
        <f t="array" ref="AH62">ROUND(($J62+$R62)*Apport_621X2425*Apport_125XC2425,2)-AG62</f>
        <v>73.899999999999977</v>
      </c>
      <c r="AI62" cm="1">
        <f t="array" ref="AI62">ROUND($Z62*Apport_124X2425,2)</f>
        <v>234.7</v>
      </c>
      <c r="AJ62">
        <f t="shared" si="15"/>
        <v>124.71000000000004</v>
      </c>
      <c r="AK62">
        <f t="shared" si="16"/>
        <v>908.83</v>
      </c>
      <c r="AL62">
        <f t="shared" si="17"/>
        <v>32.44</v>
      </c>
      <c r="AM62">
        <f t="shared" si="18"/>
        <v>220.86</v>
      </c>
      <c r="AN62">
        <f t="shared" si="19"/>
        <v>6.85</v>
      </c>
      <c r="AO62">
        <f>ROUND(($J62*CIS_Inc_Salary2425*(VLOOKUP($A62,EnrollData2324,'2324 Jun 24 Enroll'!AI$1,FALSE)+VLOOKUP($A62,EnrollData2324,'2324 Jun 24 Enroll'!AJ$1,FALSE))/Apport_613Xpd)*Apport_614Xpd,2)</f>
        <v>78.09</v>
      </c>
      <c r="AP62">
        <f t="shared" si="20"/>
        <v>13.67</v>
      </c>
      <c r="AQ62">
        <f t="shared" si="28"/>
        <v>31.48</v>
      </c>
      <c r="AR62" s="6">
        <f>ROUND((VLOOKUP($A62,EnrollData2324,'2324 Jun 24 Enroll'!D$1,FALSE)*Apport_M802425+VLOOKUP($A62,EnrollData2324,'2324 Jun 24 Enroll'!M$1,FALSE)*Apport_M802425+(VLOOKUP($A62,EnrollData2324,'2324 Jun 24 Enroll'!P$1,FALSE)+VLOOKUP($A62,EnrollData2324,'2324 Jun 24 Enroll'!Q$1,FALSE)+VLOOKUP($A62,EnrollData2324,'2324 Jun 24 Enroll'!R$1,FALSE)+VLOOKUP($A62,EnrollData2324,'2324 Jun 24 Enroll'!I$1,FALSE)+VLOOKUP($A62,EnrollData2324,'2324 Jun 24 Enroll'!N$1,FALSE)+VLOOKUP($A62,EnrollData2324,'2324 Jun 24 Enroll'!O$1,FALSE)+VLOOKUP($A62,EnrollData2324,'2324 Jun 24 Enroll'!K$1,FALSE)+VLOOKUP($A62,EnrollData2324,'2324 Jun 24 Enroll'!L$1,FALSE))*Apport_M812425)/(VLOOKUP($A62,EnrollData2324,'2324 Jun 24 Enroll'!M$1,FALSE)+VLOOKUP($A62,EnrollData2324,'2324 Jun 24 Enroll'!D$1,FALSE)),2)</f>
        <v>1602.52</v>
      </c>
      <c r="AS62" s="7">
        <f t="shared" si="29"/>
        <v>10378.500000000002</v>
      </c>
    </row>
    <row r="63" spans="1:45">
      <c r="A63" s="40" t="s">
        <v>504</v>
      </c>
      <c r="B63" s="40" t="s">
        <v>505</v>
      </c>
      <c r="C63" s="11">
        <f>ROUND((IFERROR((1/IF(VLOOKUP($A63,EnrollData2324,28,FALSE)='District Calculations'!$F$10,VLOOKUP($A63,EnrollData2324,28,FALSE),'District Calculations'!$F$10))*(1+Apport_Z315),0))+Apport_201A2425,6)</f>
        <v>7.4580999999999995E-2</v>
      </c>
      <c r="D63">
        <f>ROUND(IF(VLOOKUP($A63,EnrollData2324,'2324 Jun 24 Enroll'!D$1,FALSE)='District Calculations'!$F$11,VLOOKUP($A63,EnrollData2324,'2324 Jun 24 Enroll'!D$1,FALSE),'District Calculations'!$F$11)*C63,3)</f>
        <v>0</v>
      </c>
      <c r="E63">
        <f>ROUND(IF(VLOOKUP($A63,EnrollData2324,'2324 Jun 24 Enroll'!E$1,FALSE)='District Calculations'!$F$12,VLOOKUP($A63,EnrollData2324,'2324 Jun 24 Enroll'!E$1,FALSE),'District Calculations'!$F$12)*C63,3)</f>
        <v>60.447000000000003</v>
      </c>
      <c r="F63">
        <f>ROUND(IF(VLOOKUP($A63,EnrollData2324,'2324 Jun 24 Enroll'!F$1,FALSE)='District Calculations'!$F$13,VLOOKUP($A63,EnrollData2324,'2324 Jun 24 Enroll'!F$1,FALSE),'District Calculations'!$F$13)*Apport_222A2425,3)</f>
        <v>10.337999999999999</v>
      </c>
      <c r="G63">
        <f>ROUND(IF(VLOOKUP($A63,EnrollData2324,'2324 Jun 24 Enroll'!G$1,FALSE)='District Calculations'!$F$14,VLOOKUP($A63,EnrollData2324,'2324 Jun 24 Enroll'!G$1,FALSE),'District Calculations'!$F$14)*Apport_210A2425,3)</f>
        <v>22.92</v>
      </c>
      <c r="H63">
        <f>ROUND(IF(VLOOKUP($A63,EnrollData2324,'2324 Jun 24 Enroll'!H$1,FALSE)='District Calculations'!$F$15,VLOOKUP($A63,EnrollData2324,'2324 Jun 24 Enroll'!H$1,FALSE),'District Calculations'!$F$15)*Apport_213A2425,3)</f>
        <v>23.619</v>
      </c>
      <c r="I63">
        <f>ROUND(IF(VLOOKUP($A63,EnrollData2324,'2324 Jun 24 Enroll'!I$1,FALSE)+VLOOKUP($A63,EnrollData2324,'2324 Jun 24 Enroll'!M$1,FALSE)-VLOOKUP($A63,EnrollData2324,'2324 Jun 24 Enroll'!J$1,FALSE)='District Calculations'!$F$16+'District Calculations'!$F$25-'District Calculations'!$F$17,VLOOKUP($A63,EnrollData2324,'2324 Jun 24 Enroll'!I$1,FALSE)+VLOOKUP($A63,EnrollData2324,'2324 Jun 24 Enroll'!M$1,FALSE)-VLOOKUP($A63,EnrollData2324,'2324 Jun 24 Enroll'!J$1,FALSE),'District Calculations'!$F$16+'District Calculations'!$F$25-'District Calculations'!$F$17)*Apport_216A2425,3)</f>
        <v>59.057000000000002</v>
      </c>
      <c r="J63">
        <f>ROUND(SUM(D63:I63)/(IF(VLOOKUP($A63,EnrollData2324,'2324 Jun 24 Enroll'!M$1,FALSE)='District Calculations'!$F$25,VLOOKUP($A63,EnrollData2324,'2324 Jun 24 Enroll'!M$1,FALSE),'District Calculations'!$F$25)+IF(VLOOKUP($A63,EnrollData2324,'2324 Jun 24 Enroll'!D$1,FALSE)='District Calculations'!$F$11,VLOOKUP($A63,EnrollData2324,'2324 Jun 24 Enroll'!D$1,FALSE),'District Calculations'!$F$11)),5)</f>
        <v>5.6520000000000001E-2</v>
      </c>
      <c r="K63" s="11">
        <f t="shared" si="13"/>
        <v>4.385E-3</v>
      </c>
      <c r="L63">
        <f>ROUND(IF(VLOOKUP($A63,EnrollData2324,'2324 Jun 24 Enroll'!D$1,FALSE)='District Calculations'!$F$11,VLOOKUP($A63,EnrollData2324,'2324 Jun 24 Enroll'!D$1,FALSE),'District Calculations'!$F$11)*K63,3)</f>
        <v>0</v>
      </c>
      <c r="M63">
        <f>ROUND(IF(VLOOKUP($A63,EnrollData2324,'2324 Jun 24 Enroll'!E$1,FALSE)='District Calculations'!$F$12,VLOOKUP($A63,EnrollData2324,'2324 Jun 24 Enroll'!E$1,FALSE),'District Calculations'!$F$12)*K63,3)</f>
        <v>3.5539999999999998</v>
      </c>
      <c r="N63">
        <f>ROUND(IF(VLOOKUP($A63,EnrollData2324,'2324 Jun 24 Enroll'!F$1,FALSE)='District Calculations'!$F$13,VLOOKUP($A63,EnrollData2324,'2324 Jun 24 Enroll'!F$1,FALSE),'District Calculations'!$F$13)*Apport_223A2425,3)</f>
        <v>0.84599999999999997</v>
      </c>
      <c r="O63">
        <f>ROUND(IF(VLOOKUP($A63,EnrollData2324,'2324 Jun 24 Enroll'!G$1,FALSE)='District Calculations'!$F$14,VLOOKUP($A63,EnrollData2324,'2324 Jun 24 Enroll'!G$1,FALSE),'District Calculations'!$F$14)*Apport_211A2425,3)</f>
        <v>1.877</v>
      </c>
      <c r="P63">
        <f>ROUND(IF(VLOOKUP($A63,EnrollData2324,'2324 Jun 24 Enroll'!H$1,FALSE)='District Calculations'!$F$14,VLOOKUP($A63,EnrollData2324,'2324 Jun 24 Enroll'!H$1,FALSE),'District Calculations'!$F$14)*Apport_214A2425,3)</f>
        <v>1.875</v>
      </c>
      <c r="Q63">
        <f>ROUND(IF(VLOOKUP($A63,EnrollData2324,'2324 Jun 24 Enroll'!I$1,FALSE)+VLOOKUP($A63,EnrollData2324,'2324 Jun 24 Enroll'!M$1,FALSE)-VLOOKUP($A63,EnrollData2324,'2324 Jun 24 Enroll'!J$1,FALSE)='District Calculations'!$F$16+'District Calculations'!$F$25-'District Calculations'!$F$17,VLOOKUP($A63,EnrollData2324,'2324 Jun 24 Enroll'!I$1,FALSE)+VLOOKUP($A63,EnrollData2324,'2324 Jun 24 Enroll'!M$1,FALSE)-VLOOKUP($A63,EnrollData2324,'2324 Jun 24 Enroll'!J$1,FALSE),'District Calculations'!$F$16+'District Calculations'!$F$25-'District Calculations'!$F$17)*Apport_217A2425,3)</f>
        <v>4.7130000000000001</v>
      </c>
      <c r="R63">
        <f>ROUND(SUM(L63:Q63)/IF(VLOOKUP($A63,EnrollData2324,'2324 Jun 24 Enroll'!M$1,FALSE)+VLOOKUP($A63,EnrollData2324,'2324 Jun 24 Enroll'!D$1,FALSE)='District Calculations'!$F$25+'District Calculations'!$F$11,VLOOKUP($A63,EnrollData2324,'2324 Jun 24 Enroll'!M$1,FALSE)+VLOOKUP($A63,EnrollData2324,'2324 Jun 24 Enroll'!D$1,FALSE),'District Calculations'!$F$25+'District Calculations'!$F$11),5)</f>
        <v>4.1200000000000004E-3</v>
      </c>
      <c r="S63" s="11">
        <f t="shared" si="14"/>
        <v>1.8734299999999999E-2</v>
      </c>
      <c r="T63">
        <f>ROUND(IF(VLOOKUP($A63,EnrollData2324,'2324 Jun 24 Enroll'!D$1,FALSE)='District Calculations'!$F$11,VLOOKUP($A63,EnrollData2324,'2324 Jun 24 Enroll'!D$1,FALSE),'District Calculations'!$F$11)*S63,3)</f>
        <v>0</v>
      </c>
      <c r="U63">
        <f>ROUND(IF(VLOOKUP($A63,EnrollData2324,'2324 Jun 24 Enroll'!E$1,FALSE)='District Calculations'!$F$12,VLOOKUP($A63,EnrollData2324,'2324 Jun 24 Enroll'!E$1,FALSE),'District Calculations'!$F$12)*S63,3)</f>
        <v>15.183999999999999</v>
      </c>
      <c r="V63">
        <f>ROUND(IF(VLOOKUP($A63,EnrollData2324,'2324 Jun 24 Enroll'!F$1,FALSE)='District Calculations'!$F$13,VLOOKUP($A63,EnrollData2324,'2324 Jun 24 Enroll'!F$1,FALSE),'District Calculations'!$F$13)*Apport_224A2425,3)</f>
        <v>3.7109999999999999</v>
      </c>
      <c r="W63">
        <f>ROUND(IF(VLOOKUP($A63,EnrollData2324,'2324 Jun 24 Enroll'!G$1,FALSE)='District Calculations'!$F$14,VLOOKUP($A63,EnrollData2324,'2324 Jun 24 Enroll'!G$1,FALSE),'District Calculations'!$F$14)*Apport_212A2425,3)</f>
        <v>8.2279999999999998</v>
      </c>
      <c r="X63">
        <f>ROUND(IF(VLOOKUP($A63,EnrollData2324,'2324 Jun 24 Enroll'!H$1,FALSE)='District Calculations'!$F$14,VLOOKUP($A63,EnrollData2324,'2324 Jun 24 Enroll'!H$1,FALSE),'District Calculations'!$F$14)*Apport_215A2425,3)</f>
        <v>8.1180000000000003</v>
      </c>
      <c r="Y63">
        <f>ROUND(IF(VLOOKUP($A63,EnrollData2324,'2324 Jun 24 Enroll'!I$1,FALSE)+VLOOKUP($A63,EnrollData2324,'2324 Jun 24 Enroll'!M$1,FALSE)-VLOOKUP($A63,EnrollData2324,'2324 Jun 24 Enroll'!J$1,FALSE)='District Calculations'!$F$16+'District Calculations'!$F$25-'District Calculations'!$F$17,VLOOKUP($A63,EnrollData2324,'2324 Jun 24 Enroll'!I$1,FALSE)+VLOOKUP($A63,EnrollData2324,'2324 Jun 24 Enroll'!M$1,FALSE)-VLOOKUP($A63,EnrollData2324,'2324 Jun 24 Enroll'!J$1,FALSE),'District Calculations'!$F$16+'District Calculations'!$F$25-'District Calculations'!$F$17)*Apport_218A2425,3)</f>
        <v>20.257999999999999</v>
      </c>
      <c r="Z63">
        <f>ROUND(SUM(T63:Y63)/IF(VLOOKUP($A63,EnrollData2324,'2324 Jun 24 Enroll'!M$1,FALSE)+VLOOKUP($A63,EnrollData2324,'2324 Jun 24 Enroll'!D$1,FALSE)='District Calculations'!$F$25+'District Calculations'!$F$11,VLOOKUP($A63,EnrollData2324,'2324 Jun 24 Enroll'!M$1,FALSE)+VLOOKUP($A63,EnrollData2324,'2324 Jun 24 Enroll'!D$1,FALSE),'District Calculations'!$F$25+'District Calculations'!$F$11),5)</f>
        <v>1.7780000000000001E-2</v>
      </c>
      <c r="AA63" s="6">
        <f>ROUND($J63*CIS_Base_Salary2425*VLOOKUP($A63,EnrollData2324,'2324 Jun 24 Enroll'!AH$1,FALSE),2)</f>
        <v>4518.4399999999996</v>
      </c>
      <c r="AB63" s="6">
        <f>ROUND($J63*CIS_Inc_Salary2425*(VLOOKUP($A63,EnrollData2324,'2324 Jun 24 Enroll'!AI$1,FALSE)+VLOOKUP($A63,EnrollData2324,'2324 Jun 24 Enroll'!AJ$1,FALSE)),2)-AA63</f>
        <v>167.16000000000076</v>
      </c>
      <c r="AC63" s="6" cm="1">
        <f t="array" ref="AC63">ROUND($R63*CAS_Base_Salary2425*VLOOKUP($A63,EnrollData2324,'2324 Jun 24 Enroll'!AH$1,FALSE),2)</f>
        <v>488.91</v>
      </c>
      <c r="AD63" s="6">
        <f>ROUND($R63*CAS_Inc_Salary2425*VLOOKUP($A63,EnrollData2324,'2324 Jun 24 Enroll'!AI$1,FALSE),2)-AC63</f>
        <v>18.089999999999975</v>
      </c>
      <c r="AE63" s="6">
        <f>ROUND($Z63*CLS_Base_Salary2425*VLOOKUP($A63,EnrollData2324,'2324 Jun 24 Enroll'!AH$1,FALSE),2)</f>
        <v>1019.67</v>
      </c>
      <c r="AF63" s="6">
        <f>ROUND($Z63*CLS_Inc_Salary2425*VLOOKUP($A63,EnrollData2324,'2324 Jun 24 Enroll'!AI$1,FALSE),2)-AE63</f>
        <v>37.730000000000132</v>
      </c>
      <c r="AG63" cm="1">
        <f t="array" ref="AG63">ROUND(($J63+$R63)*Apport_124X2425,2)</f>
        <v>800.45</v>
      </c>
      <c r="AH63" s="69" cm="1">
        <f t="array" ref="AH63">ROUND(($J63+$R63)*Apport_621X2425*Apport_125XC2425,2)-AG63</f>
        <v>73.899999999999977</v>
      </c>
      <c r="AI63" cm="1">
        <f t="array" ref="AI63">ROUND($Z63*Apport_124X2425,2)</f>
        <v>234.7</v>
      </c>
      <c r="AJ63">
        <f t="shared" si="15"/>
        <v>124.71000000000004</v>
      </c>
      <c r="AK63">
        <f t="shared" si="16"/>
        <v>908.83</v>
      </c>
      <c r="AL63">
        <f t="shared" si="17"/>
        <v>32.44</v>
      </c>
      <c r="AM63">
        <f t="shared" si="18"/>
        <v>220.86</v>
      </c>
      <c r="AN63">
        <f t="shared" si="19"/>
        <v>6.85</v>
      </c>
      <c r="AO63">
        <f>ROUND(($J63*CIS_Inc_Salary2425*(VLOOKUP($A63,EnrollData2324,'2324 Jun 24 Enroll'!AI$1,FALSE)+VLOOKUP($A63,EnrollData2324,'2324 Jun 24 Enroll'!AJ$1,FALSE))/Apport_613Xpd)*Apport_614Xpd,2)</f>
        <v>78.09</v>
      </c>
      <c r="AP63">
        <f t="shared" si="20"/>
        <v>13.67</v>
      </c>
      <c r="AQ63">
        <f t="shared" si="28"/>
        <v>31.48</v>
      </c>
      <c r="AR63" s="6">
        <f>ROUND((VLOOKUP($A63,EnrollData2324,'2324 Jun 24 Enroll'!D$1,FALSE)*Apport_M802425+VLOOKUP($A63,EnrollData2324,'2324 Jun 24 Enroll'!M$1,FALSE)*Apport_M802425+(VLOOKUP($A63,EnrollData2324,'2324 Jun 24 Enroll'!P$1,FALSE)+VLOOKUP($A63,EnrollData2324,'2324 Jun 24 Enroll'!Q$1,FALSE)+VLOOKUP($A63,EnrollData2324,'2324 Jun 24 Enroll'!R$1,FALSE)+VLOOKUP($A63,EnrollData2324,'2324 Jun 24 Enroll'!I$1,FALSE)+VLOOKUP($A63,EnrollData2324,'2324 Jun 24 Enroll'!N$1,FALSE)+VLOOKUP($A63,EnrollData2324,'2324 Jun 24 Enroll'!O$1,FALSE)+VLOOKUP($A63,EnrollData2324,'2324 Jun 24 Enroll'!K$1,FALSE)+VLOOKUP($A63,EnrollData2324,'2324 Jun 24 Enroll'!L$1,FALSE))*Apport_M812425)/(VLOOKUP($A63,EnrollData2324,'2324 Jun 24 Enroll'!M$1,FALSE)+VLOOKUP($A63,EnrollData2324,'2324 Jun 24 Enroll'!D$1,FALSE)),2)</f>
        <v>1600.24</v>
      </c>
      <c r="AS63" s="7">
        <f t="shared" si="29"/>
        <v>10376.220000000001</v>
      </c>
    </row>
    <row r="64" spans="1:45">
      <c r="A64" s="40" t="s">
        <v>536</v>
      </c>
      <c r="B64" s="40" t="s">
        <v>537</v>
      </c>
      <c r="C64" s="11">
        <f>ROUND((IFERROR((1/IF(VLOOKUP($A64,EnrollData2324,28,FALSE)='District Calculations'!$F$10,VLOOKUP($A64,EnrollData2324,28,FALSE),'District Calculations'!$F$10))*(1+Apport_Z315),0))+Apport_201A2425,6)</f>
        <v>7.4580999999999995E-2</v>
      </c>
      <c r="D64">
        <f>ROUND(IF(VLOOKUP($A64,EnrollData2324,'2324 Jun 24 Enroll'!D$1,FALSE)='District Calculations'!$F$11,VLOOKUP($A64,EnrollData2324,'2324 Jun 24 Enroll'!D$1,FALSE),'District Calculations'!$F$11)*C64,3)</f>
        <v>0</v>
      </c>
      <c r="E64">
        <f>ROUND(IF(VLOOKUP($A64,EnrollData2324,'2324 Jun 24 Enroll'!E$1,FALSE)='District Calculations'!$F$12,VLOOKUP($A64,EnrollData2324,'2324 Jun 24 Enroll'!E$1,FALSE),'District Calculations'!$F$12)*C64,3)</f>
        <v>60.447000000000003</v>
      </c>
      <c r="F64">
        <f>ROUND(IF(VLOOKUP($A64,EnrollData2324,'2324 Jun 24 Enroll'!F$1,FALSE)='District Calculations'!$F$13,VLOOKUP($A64,EnrollData2324,'2324 Jun 24 Enroll'!F$1,FALSE),'District Calculations'!$F$13)*Apport_222A2425,3)</f>
        <v>10.337999999999999</v>
      </c>
      <c r="G64">
        <f>ROUND(IF(VLOOKUP($A64,EnrollData2324,'2324 Jun 24 Enroll'!G$1,FALSE)='District Calculations'!$F$14,VLOOKUP($A64,EnrollData2324,'2324 Jun 24 Enroll'!G$1,FALSE),'District Calculations'!$F$14)*Apport_210A2425,3)</f>
        <v>22.92</v>
      </c>
      <c r="H64">
        <f>ROUND(IF(VLOOKUP($A64,EnrollData2324,'2324 Jun 24 Enroll'!H$1,FALSE)='District Calculations'!$F$15,VLOOKUP($A64,EnrollData2324,'2324 Jun 24 Enroll'!H$1,FALSE),'District Calculations'!$F$15)*Apport_213A2425,3)</f>
        <v>23.619</v>
      </c>
      <c r="I64">
        <f>ROUND(IF(VLOOKUP($A64,EnrollData2324,'2324 Jun 24 Enroll'!I$1,FALSE)+VLOOKUP($A64,EnrollData2324,'2324 Jun 24 Enroll'!M$1,FALSE)-VLOOKUP($A64,EnrollData2324,'2324 Jun 24 Enroll'!J$1,FALSE)='District Calculations'!$F$16+'District Calculations'!$F$25-'District Calculations'!$F$17,VLOOKUP($A64,EnrollData2324,'2324 Jun 24 Enroll'!I$1,FALSE)+VLOOKUP($A64,EnrollData2324,'2324 Jun 24 Enroll'!M$1,FALSE)-VLOOKUP($A64,EnrollData2324,'2324 Jun 24 Enroll'!J$1,FALSE),'District Calculations'!$F$16+'District Calculations'!$F$25-'District Calculations'!$F$17)*Apport_216A2425,3)</f>
        <v>59.057000000000002</v>
      </c>
      <c r="J64">
        <f>ROUND(SUM(D64:I64)/(IF(VLOOKUP($A64,EnrollData2324,'2324 Jun 24 Enroll'!M$1,FALSE)='District Calculations'!$F$25,VLOOKUP($A64,EnrollData2324,'2324 Jun 24 Enroll'!M$1,FALSE),'District Calculations'!$F$25)+IF(VLOOKUP($A64,EnrollData2324,'2324 Jun 24 Enroll'!D$1,FALSE)='District Calculations'!$F$11,VLOOKUP($A64,EnrollData2324,'2324 Jun 24 Enroll'!D$1,FALSE),'District Calculations'!$F$11)),5)</f>
        <v>5.6520000000000001E-2</v>
      </c>
      <c r="K64" s="11">
        <f t="shared" si="13"/>
        <v>4.385E-3</v>
      </c>
      <c r="L64">
        <f>ROUND(IF(VLOOKUP($A64,EnrollData2324,'2324 Jun 24 Enroll'!D$1,FALSE)='District Calculations'!$F$11,VLOOKUP($A64,EnrollData2324,'2324 Jun 24 Enroll'!D$1,FALSE),'District Calculations'!$F$11)*K64,3)</f>
        <v>0</v>
      </c>
      <c r="M64">
        <f>ROUND(IF(VLOOKUP($A64,EnrollData2324,'2324 Jun 24 Enroll'!E$1,FALSE)='District Calculations'!$F$12,VLOOKUP($A64,EnrollData2324,'2324 Jun 24 Enroll'!E$1,FALSE),'District Calculations'!$F$12)*K64,3)</f>
        <v>3.5539999999999998</v>
      </c>
      <c r="N64">
        <f>ROUND(IF(VLOOKUP($A64,EnrollData2324,'2324 Jun 24 Enroll'!F$1,FALSE)='District Calculations'!$F$13,VLOOKUP($A64,EnrollData2324,'2324 Jun 24 Enroll'!F$1,FALSE),'District Calculations'!$F$13)*Apport_223A2425,3)</f>
        <v>0.84599999999999997</v>
      </c>
      <c r="O64">
        <f>ROUND(IF(VLOOKUP($A64,EnrollData2324,'2324 Jun 24 Enroll'!G$1,FALSE)='District Calculations'!$F$14,VLOOKUP($A64,EnrollData2324,'2324 Jun 24 Enroll'!G$1,FALSE),'District Calculations'!$F$14)*Apport_211A2425,3)</f>
        <v>1.877</v>
      </c>
      <c r="P64">
        <f>ROUND(IF(VLOOKUP($A64,EnrollData2324,'2324 Jun 24 Enroll'!H$1,FALSE)='District Calculations'!$F$14,VLOOKUP($A64,EnrollData2324,'2324 Jun 24 Enroll'!H$1,FALSE),'District Calculations'!$F$14)*Apport_214A2425,3)</f>
        <v>1.875</v>
      </c>
      <c r="Q64">
        <f>ROUND(IF(VLOOKUP($A64,EnrollData2324,'2324 Jun 24 Enroll'!I$1,FALSE)+VLOOKUP($A64,EnrollData2324,'2324 Jun 24 Enroll'!M$1,FALSE)-VLOOKUP($A64,EnrollData2324,'2324 Jun 24 Enroll'!J$1,FALSE)='District Calculations'!$F$16+'District Calculations'!$F$25-'District Calculations'!$F$17,VLOOKUP($A64,EnrollData2324,'2324 Jun 24 Enroll'!I$1,FALSE)+VLOOKUP($A64,EnrollData2324,'2324 Jun 24 Enroll'!M$1,FALSE)-VLOOKUP($A64,EnrollData2324,'2324 Jun 24 Enroll'!J$1,FALSE),'District Calculations'!$F$16+'District Calculations'!$F$25-'District Calculations'!$F$17)*Apport_217A2425,3)</f>
        <v>4.7130000000000001</v>
      </c>
      <c r="R64">
        <f>ROUND(SUM(L64:Q64)/IF(VLOOKUP($A64,EnrollData2324,'2324 Jun 24 Enroll'!M$1,FALSE)+VLOOKUP($A64,EnrollData2324,'2324 Jun 24 Enroll'!D$1,FALSE)='District Calculations'!$F$25+'District Calculations'!$F$11,VLOOKUP($A64,EnrollData2324,'2324 Jun 24 Enroll'!M$1,FALSE)+VLOOKUP($A64,EnrollData2324,'2324 Jun 24 Enroll'!D$1,FALSE),'District Calculations'!$F$25+'District Calculations'!$F$11),5)</f>
        <v>4.1200000000000004E-3</v>
      </c>
      <c r="S64" s="11">
        <f t="shared" si="14"/>
        <v>1.8734299999999999E-2</v>
      </c>
      <c r="T64">
        <f>ROUND(IF(VLOOKUP($A64,EnrollData2324,'2324 Jun 24 Enroll'!D$1,FALSE)='District Calculations'!$F$11,VLOOKUP($A64,EnrollData2324,'2324 Jun 24 Enroll'!D$1,FALSE),'District Calculations'!$F$11)*S64,3)</f>
        <v>0</v>
      </c>
      <c r="U64">
        <f>ROUND(IF(VLOOKUP($A64,EnrollData2324,'2324 Jun 24 Enroll'!E$1,FALSE)='District Calculations'!$F$12,VLOOKUP($A64,EnrollData2324,'2324 Jun 24 Enroll'!E$1,FALSE),'District Calculations'!$F$12)*S64,3)</f>
        <v>15.183999999999999</v>
      </c>
      <c r="V64">
        <f>ROUND(IF(VLOOKUP($A64,EnrollData2324,'2324 Jun 24 Enroll'!F$1,FALSE)='District Calculations'!$F$13,VLOOKUP($A64,EnrollData2324,'2324 Jun 24 Enroll'!F$1,FALSE),'District Calculations'!$F$13)*Apport_224A2425,3)</f>
        <v>3.7109999999999999</v>
      </c>
      <c r="W64">
        <f>ROUND(IF(VLOOKUP($A64,EnrollData2324,'2324 Jun 24 Enroll'!G$1,FALSE)='District Calculations'!$F$14,VLOOKUP($A64,EnrollData2324,'2324 Jun 24 Enroll'!G$1,FALSE),'District Calculations'!$F$14)*Apport_212A2425,3)</f>
        <v>8.2279999999999998</v>
      </c>
      <c r="X64">
        <f>ROUND(IF(VLOOKUP($A64,EnrollData2324,'2324 Jun 24 Enroll'!H$1,FALSE)='District Calculations'!$F$14,VLOOKUP($A64,EnrollData2324,'2324 Jun 24 Enroll'!H$1,FALSE),'District Calculations'!$F$14)*Apport_215A2425,3)</f>
        <v>8.1180000000000003</v>
      </c>
      <c r="Y64">
        <f>ROUND(IF(VLOOKUP($A64,EnrollData2324,'2324 Jun 24 Enroll'!I$1,FALSE)+VLOOKUP($A64,EnrollData2324,'2324 Jun 24 Enroll'!M$1,FALSE)-VLOOKUP($A64,EnrollData2324,'2324 Jun 24 Enroll'!J$1,FALSE)='District Calculations'!$F$16+'District Calculations'!$F$25-'District Calculations'!$F$17,VLOOKUP($A64,EnrollData2324,'2324 Jun 24 Enroll'!I$1,FALSE)+VLOOKUP($A64,EnrollData2324,'2324 Jun 24 Enroll'!M$1,FALSE)-VLOOKUP($A64,EnrollData2324,'2324 Jun 24 Enroll'!J$1,FALSE),'District Calculations'!$F$16+'District Calculations'!$F$25-'District Calculations'!$F$17)*Apport_218A2425,3)</f>
        <v>20.257999999999999</v>
      </c>
      <c r="Z64">
        <f>ROUND(SUM(T64:Y64)/IF(VLOOKUP($A64,EnrollData2324,'2324 Jun 24 Enroll'!M$1,FALSE)+VLOOKUP($A64,EnrollData2324,'2324 Jun 24 Enroll'!D$1,FALSE)='District Calculations'!$F$25+'District Calculations'!$F$11,VLOOKUP($A64,EnrollData2324,'2324 Jun 24 Enroll'!M$1,FALSE)+VLOOKUP($A64,EnrollData2324,'2324 Jun 24 Enroll'!D$1,FALSE),'District Calculations'!$F$25+'District Calculations'!$F$11),5)</f>
        <v>1.7780000000000001E-2</v>
      </c>
      <c r="AA64" s="6">
        <f>ROUND($J64*CIS_Base_Salary2425*VLOOKUP($A64,EnrollData2324,'2324 Jun 24 Enroll'!AH$1,FALSE),2)</f>
        <v>4518.4399999999996</v>
      </c>
      <c r="AB64" s="6">
        <f>ROUND($J64*CIS_Inc_Salary2425*(VLOOKUP($A64,EnrollData2324,'2324 Jun 24 Enroll'!AI$1,FALSE)+VLOOKUP($A64,EnrollData2324,'2324 Jun 24 Enroll'!AJ$1,FALSE)),2)-AA64</f>
        <v>343.97000000000025</v>
      </c>
      <c r="AC64" s="6" cm="1">
        <f t="array" ref="AC64">ROUND($R64*CAS_Base_Salary2425*VLOOKUP($A64,EnrollData2324,'2324 Jun 24 Enroll'!AH$1,FALSE),2)</f>
        <v>488.91</v>
      </c>
      <c r="AD64" s="6">
        <f>ROUND($R64*CAS_Inc_Salary2425*VLOOKUP($A64,EnrollData2324,'2324 Jun 24 Enroll'!AI$1,FALSE),2)-AC64</f>
        <v>18.089999999999975</v>
      </c>
      <c r="AE64" s="6">
        <f>ROUND($Z64*CLS_Base_Salary2425*VLOOKUP($A64,EnrollData2324,'2324 Jun 24 Enroll'!AH$1,FALSE),2)</f>
        <v>1019.67</v>
      </c>
      <c r="AF64" s="6">
        <f>ROUND($Z64*CLS_Inc_Salary2425*VLOOKUP($A64,EnrollData2324,'2324 Jun 24 Enroll'!AI$1,FALSE),2)-AE64</f>
        <v>37.730000000000132</v>
      </c>
      <c r="AG64" cm="1">
        <f t="array" ref="AG64">ROUND(($J64+$R64)*Apport_124X2425,2)</f>
        <v>800.45</v>
      </c>
      <c r="AH64" s="69" cm="1">
        <f t="array" ref="AH64">ROUND(($J64+$R64)*Apport_621X2425*Apport_125XC2425,2)-AG64</f>
        <v>73.899999999999977</v>
      </c>
      <c r="AI64" cm="1">
        <f t="array" ref="AI64">ROUND($Z64*Apport_124X2425,2)</f>
        <v>234.7</v>
      </c>
      <c r="AJ64">
        <f t="shared" si="15"/>
        <v>124.71000000000004</v>
      </c>
      <c r="AK64">
        <f t="shared" si="16"/>
        <v>908.83</v>
      </c>
      <c r="AL64">
        <f t="shared" si="17"/>
        <v>63.4</v>
      </c>
      <c r="AM64">
        <f t="shared" si="18"/>
        <v>220.86</v>
      </c>
      <c r="AN64">
        <f t="shared" si="19"/>
        <v>6.85</v>
      </c>
      <c r="AO64">
        <f>ROUND(($J64*CIS_Inc_Salary2425*(VLOOKUP($A64,EnrollData2324,'2324 Jun 24 Enroll'!AI$1,FALSE)+VLOOKUP($A64,EnrollData2324,'2324 Jun 24 Enroll'!AJ$1,FALSE))/Apport_613Xpd)*Apport_614Xpd,2)</f>
        <v>81.040000000000006</v>
      </c>
      <c r="AP64">
        <f t="shared" si="20"/>
        <v>14.19</v>
      </c>
      <c r="AQ64">
        <f t="shared" si="28"/>
        <v>31.48</v>
      </c>
      <c r="AR64" s="6">
        <f>ROUND((VLOOKUP($A64,EnrollData2324,'2324 Jun 24 Enroll'!D$1,FALSE)*Apport_M802425+VLOOKUP($A64,EnrollData2324,'2324 Jun 24 Enroll'!M$1,FALSE)*Apport_M802425+(VLOOKUP($A64,EnrollData2324,'2324 Jun 24 Enroll'!P$1,FALSE)+VLOOKUP($A64,EnrollData2324,'2324 Jun 24 Enroll'!Q$1,FALSE)+VLOOKUP($A64,EnrollData2324,'2324 Jun 24 Enroll'!R$1,FALSE)+VLOOKUP($A64,EnrollData2324,'2324 Jun 24 Enroll'!I$1,FALSE)+VLOOKUP($A64,EnrollData2324,'2324 Jun 24 Enroll'!N$1,FALSE)+VLOOKUP($A64,EnrollData2324,'2324 Jun 24 Enroll'!O$1,FALSE)+VLOOKUP($A64,EnrollData2324,'2324 Jun 24 Enroll'!K$1,FALSE)+VLOOKUP($A64,EnrollData2324,'2324 Jun 24 Enroll'!L$1,FALSE))*Apport_M812425)/(VLOOKUP($A64,EnrollData2324,'2324 Jun 24 Enroll'!M$1,FALSE)+VLOOKUP($A64,EnrollData2324,'2324 Jun 24 Enroll'!D$1,FALSE)),2)</f>
        <v>1596.44</v>
      </c>
      <c r="AS64" s="7">
        <f t="shared" si="29"/>
        <v>10583.660000000002</v>
      </c>
    </row>
    <row r="65" spans="1:48">
      <c r="A65" s="40" t="s">
        <v>857</v>
      </c>
      <c r="B65" s="40" t="s">
        <v>858</v>
      </c>
      <c r="C65" s="11">
        <f>ROUND((IFERROR((1/IF(VLOOKUP($A65,EnrollData2324,28,FALSE)='District Calculations'!$F$10,VLOOKUP($A65,EnrollData2324,28,FALSE),'District Calculations'!$F$10))*(1+Apport_Z315),0))+Apport_201A2425,6)</f>
        <v>7.4580999999999995E-2</v>
      </c>
      <c r="D65">
        <f>ROUND(IF(VLOOKUP($A65,EnrollData2324,'2324 Jun 24 Enroll'!D$1,FALSE)='District Calculations'!$F$11,VLOOKUP($A65,EnrollData2324,'2324 Jun 24 Enroll'!D$1,FALSE),'District Calculations'!$F$11)*C65,3)</f>
        <v>0</v>
      </c>
      <c r="E65">
        <f>ROUND(IF(VLOOKUP($A65,EnrollData2324,'2324 Jun 24 Enroll'!E$1,FALSE)='District Calculations'!$F$12,VLOOKUP($A65,EnrollData2324,'2324 Jun 24 Enroll'!E$1,FALSE),'District Calculations'!$F$12)*C65,3)</f>
        <v>60.447000000000003</v>
      </c>
      <c r="F65">
        <f>ROUND(IF(VLOOKUP($A65,EnrollData2324,'2324 Jun 24 Enroll'!F$1,FALSE)='District Calculations'!$F$13,VLOOKUP($A65,EnrollData2324,'2324 Jun 24 Enroll'!F$1,FALSE),'District Calculations'!$F$13)*Apport_222A2425,3)</f>
        <v>10.337999999999999</v>
      </c>
      <c r="G65">
        <f>ROUND(IF(VLOOKUP($A65,EnrollData2324,'2324 Jun 24 Enroll'!G$1,FALSE)='District Calculations'!$F$14,VLOOKUP($A65,EnrollData2324,'2324 Jun 24 Enroll'!G$1,FALSE),'District Calculations'!$F$14)*Apport_210A2425,3)</f>
        <v>22.92</v>
      </c>
      <c r="H65">
        <f>ROUND(IF(VLOOKUP($A65,EnrollData2324,'2324 Jun 24 Enroll'!H$1,FALSE)='District Calculations'!$F$15,VLOOKUP($A65,EnrollData2324,'2324 Jun 24 Enroll'!H$1,FALSE),'District Calculations'!$F$15)*Apport_213A2425,3)</f>
        <v>23.619</v>
      </c>
      <c r="I65">
        <f>ROUND(IF(VLOOKUP($A65,EnrollData2324,'2324 Jun 24 Enroll'!I$1,FALSE)+VLOOKUP($A65,EnrollData2324,'2324 Jun 24 Enroll'!M$1,FALSE)-VLOOKUP($A65,EnrollData2324,'2324 Jun 24 Enroll'!J$1,FALSE)='District Calculations'!$F$16+'District Calculations'!$F$25-'District Calculations'!$F$17,VLOOKUP($A65,EnrollData2324,'2324 Jun 24 Enroll'!I$1,FALSE)+VLOOKUP($A65,EnrollData2324,'2324 Jun 24 Enroll'!M$1,FALSE)-VLOOKUP($A65,EnrollData2324,'2324 Jun 24 Enroll'!J$1,FALSE),'District Calculations'!$F$16+'District Calculations'!$F$25-'District Calculations'!$F$17)*Apport_216A2425,3)</f>
        <v>59.057000000000002</v>
      </c>
      <c r="J65">
        <f>ROUND(SUM(D65:I65)/(IF(VLOOKUP($A65,EnrollData2324,'2324 Jun 24 Enroll'!M$1,FALSE)='District Calculations'!$F$25,VLOOKUP($A65,EnrollData2324,'2324 Jun 24 Enroll'!M$1,FALSE),'District Calculations'!$F$25)+IF(VLOOKUP($A65,EnrollData2324,'2324 Jun 24 Enroll'!D$1,FALSE)='District Calculations'!$F$11,VLOOKUP($A65,EnrollData2324,'2324 Jun 24 Enroll'!D$1,FALSE),'District Calculations'!$F$11)),5)</f>
        <v>5.6520000000000001E-2</v>
      </c>
      <c r="K65" s="11">
        <f t="shared" si="13"/>
        <v>4.385E-3</v>
      </c>
      <c r="L65">
        <f>ROUND(IF(VLOOKUP($A65,EnrollData2324,'2324 Jun 24 Enroll'!D$1,FALSE)='District Calculations'!$F$11,VLOOKUP($A65,EnrollData2324,'2324 Jun 24 Enroll'!D$1,FALSE),'District Calculations'!$F$11)*K65,3)</f>
        <v>0</v>
      </c>
      <c r="M65">
        <f>ROUND(IF(VLOOKUP($A65,EnrollData2324,'2324 Jun 24 Enroll'!E$1,FALSE)='District Calculations'!$F$12,VLOOKUP($A65,EnrollData2324,'2324 Jun 24 Enroll'!E$1,FALSE),'District Calculations'!$F$12)*K65,3)</f>
        <v>3.5539999999999998</v>
      </c>
      <c r="N65">
        <f>ROUND(IF(VLOOKUP($A65,EnrollData2324,'2324 Jun 24 Enroll'!F$1,FALSE)='District Calculations'!$F$13,VLOOKUP($A65,EnrollData2324,'2324 Jun 24 Enroll'!F$1,FALSE),'District Calculations'!$F$13)*Apport_223A2425,3)</f>
        <v>0.84599999999999997</v>
      </c>
      <c r="O65">
        <f>ROUND(IF(VLOOKUP($A65,EnrollData2324,'2324 Jun 24 Enroll'!G$1,FALSE)='District Calculations'!$F$14,VLOOKUP($A65,EnrollData2324,'2324 Jun 24 Enroll'!G$1,FALSE),'District Calculations'!$F$14)*Apport_211A2425,3)</f>
        <v>1.877</v>
      </c>
      <c r="P65">
        <f>ROUND(IF(VLOOKUP($A65,EnrollData2324,'2324 Jun 24 Enroll'!H$1,FALSE)='District Calculations'!$F$14,VLOOKUP($A65,EnrollData2324,'2324 Jun 24 Enroll'!H$1,FALSE),'District Calculations'!$F$14)*Apport_214A2425,3)</f>
        <v>1.875</v>
      </c>
      <c r="Q65">
        <f>ROUND(IF(VLOOKUP($A65,EnrollData2324,'2324 Jun 24 Enroll'!I$1,FALSE)+VLOOKUP($A65,EnrollData2324,'2324 Jun 24 Enroll'!M$1,FALSE)-VLOOKUP($A65,EnrollData2324,'2324 Jun 24 Enroll'!J$1,FALSE)='District Calculations'!$F$16+'District Calculations'!$F$25-'District Calculations'!$F$17,VLOOKUP($A65,EnrollData2324,'2324 Jun 24 Enroll'!I$1,FALSE)+VLOOKUP($A65,EnrollData2324,'2324 Jun 24 Enroll'!M$1,FALSE)-VLOOKUP($A65,EnrollData2324,'2324 Jun 24 Enroll'!J$1,FALSE),'District Calculations'!$F$16+'District Calculations'!$F$25-'District Calculations'!$F$17)*Apport_217A2425,3)</f>
        <v>4.7130000000000001</v>
      </c>
      <c r="R65">
        <f>ROUND(SUM(L65:Q65)/IF(VLOOKUP($A65,EnrollData2324,'2324 Jun 24 Enroll'!M$1,FALSE)+VLOOKUP($A65,EnrollData2324,'2324 Jun 24 Enroll'!D$1,FALSE)='District Calculations'!$F$25+'District Calculations'!$F$11,VLOOKUP($A65,EnrollData2324,'2324 Jun 24 Enroll'!M$1,FALSE)+VLOOKUP($A65,EnrollData2324,'2324 Jun 24 Enroll'!D$1,FALSE),'District Calculations'!$F$25+'District Calculations'!$F$11),5)</f>
        <v>4.1200000000000004E-3</v>
      </c>
      <c r="S65" s="11">
        <f t="shared" si="14"/>
        <v>1.8734299999999999E-2</v>
      </c>
      <c r="T65">
        <f>ROUND(IF(VLOOKUP($A65,EnrollData2324,'2324 Jun 24 Enroll'!D$1,FALSE)='District Calculations'!$F$11,VLOOKUP($A65,EnrollData2324,'2324 Jun 24 Enroll'!D$1,FALSE),'District Calculations'!$F$11)*S65,3)</f>
        <v>0</v>
      </c>
      <c r="U65">
        <f>ROUND(IF(VLOOKUP($A65,EnrollData2324,'2324 Jun 24 Enroll'!E$1,FALSE)='District Calculations'!$F$12,VLOOKUP($A65,EnrollData2324,'2324 Jun 24 Enroll'!E$1,FALSE),'District Calculations'!$F$12)*S65,3)</f>
        <v>15.183999999999999</v>
      </c>
      <c r="V65">
        <f>ROUND(IF(VLOOKUP($A65,EnrollData2324,'2324 Jun 24 Enroll'!F$1,FALSE)='District Calculations'!$F$13,VLOOKUP($A65,EnrollData2324,'2324 Jun 24 Enroll'!F$1,FALSE),'District Calculations'!$F$13)*Apport_224A2425,3)</f>
        <v>3.7109999999999999</v>
      </c>
      <c r="W65">
        <f>ROUND(IF(VLOOKUP($A65,EnrollData2324,'2324 Jun 24 Enroll'!G$1,FALSE)='District Calculations'!$F$14,VLOOKUP($A65,EnrollData2324,'2324 Jun 24 Enroll'!G$1,FALSE),'District Calculations'!$F$14)*Apport_212A2425,3)</f>
        <v>8.2279999999999998</v>
      </c>
      <c r="X65">
        <f>ROUND(IF(VLOOKUP($A65,EnrollData2324,'2324 Jun 24 Enroll'!H$1,FALSE)='District Calculations'!$F$14,VLOOKUP($A65,EnrollData2324,'2324 Jun 24 Enroll'!H$1,FALSE),'District Calculations'!$F$14)*Apport_215A2425,3)</f>
        <v>8.1180000000000003</v>
      </c>
      <c r="Y65">
        <f>ROUND(IF(VLOOKUP($A65,EnrollData2324,'2324 Jun 24 Enroll'!I$1,FALSE)+VLOOKUP($A65,EnrollData2324,'2324 Jun 24 Enroll'!M$1,FALSE)-VLOOKUP($A65,EnrollData2324,'2324 Jun 24 Enroll'!J$1,FALSE)='District Calculations'!$F$16+'District Calculations'!$F$25-'District Calculations'!$F$17,VLOOKUP($A65,EnrollData2324,'2324 Jun 24 Enroll'!I$1,FALSE)+VLOOKUP($A65,EnrollData2324,'2324 Jun 24 Enroll'!M$1,FALSE)-VLOOKUP($A65,EnrollData2324,'2324 Jun 24 Enroll'!J$1,FALSE),'District Calculations'!$F$16+'District Calculations'!$F$25-'District Calculations'!$F$17)*Apport_218A2425,3)</f>
        <v>20.257999999999999</v>
      </c>
      <c r="Z65">
        <f>ROUND(SUM(T65:Y65)/IF(VLOOKUP($A65,EnrollData2324,'2324 Jun 24 Enroll'!M$1,FALSE)+VLOOKUP($A65,EnrollData2324,'2324 Jun 24 Enroll'!D$1,FALSE)='District Calculations'!$F$25+'District Calculations'!$F$11,VLOOKUP($A65,EnrollData2324,'2324 Jun 24 Enroll'!M$1,FALSE)+VLOOKUP($A65,EnrollData2324,'2324 Jun 24 Enroll'!D$1,FALSE),'District Calculations'!$F$25+'District Calculations'!$F$11),5)</f>
        <v>1.7780000000000001E-2</v>
      </c>
      <c r="AA65" s="6">
        <f>ROUND($J65*CIS_Base_Salary2425*VLOOKUP($A65,EnrollData2324,'2324 Jun 24 Enroll'!AH$1,FALSE),2)</f>
        <v>4518.4399999999996</v>
      </c>
      <c r="AB65" s="6">
        <f>ROUND($J65*CIS_Inc_Salary2425*(VLOOKUP($A65,EnrollData2324,'2324 Jun 24 Enroll'!AI$1,FALSE)+VLOOKUP($A65,EnrollData2324,'2324 Jun 24 Enroll'!AJ$1,FALSE)),2)-AA65</f>
        <v>167.16000000000076</v>
      </c>
      <c r="AC65" s="6" cm="1">
        <f t="array" ref="AC65">ROUND($R65*CAS_Base_Salary2425*VLOOKUP($A65,EnrollData2324,'2324 Jun 24 Enroll'!AH$1,FALSE),2)</f>
        <v>488.91</v>
      </c>
      <c r="AD65" s="6">
        <f>ROUND($R65*CAS_Inc_Salary2425*VLOOKUP($A65,EnrollData2324,'2324 Jun 24 Enroll'!AI$1,FALSE),2)-AC65</f>
        <v>18.089999999999975</v>
      </c>
      <c r="AE65" s="6">
        <f>ROUND($Z65*CLS_Base_Salary2425*VLOOKUP($A65,EnrollData2324,'2324 Jun 24 Enroll'!AH$1,FALSE),2)</f>
        <v>1019.67</v>
      </c>
      <c r="AF65" s="6">
        <f>ROUND($Z65*CLS_Inc_Salary2425*VLOOKUP($A65,EnrollData2324,'2324 Jun 24 Enroll'!AI$1,FALSE),2)-AE65</f>
        <v>37.730000000000132</v>
      </c>
      <c r="AG65" cm="1">
        <f t="array" ref="AG65">ROUND(($J65+$R65)*Apport_124X2425,2)</f>
        <v>800.45</v>
      </c>
      <c r="AH65" s="69" cm="1">
        <f t="array" ref="AH65">ROUND(($J65+$R65)*Apport_621X2425*Apport_125XC2425,2)-AG65</f>
        <v>73.899999999999977</v>
      </c>
      <c r="AI65" cm="1">
        <f t="array" ref="AI65">ROUND($Z65*Apport_124X2425,2)</f>
        <v>234.7</v>
      </c>
      <c r="AJ65">
        <f t="shared" si="15"/>
        <v>124.71000000000004</v>
      </c>
      <c r="AK65">
        <f t="shared" si="16"/>
        <v>908.83</v>
      </c>
      <c r="AL65">
        <f t="shared" si="17"/>
        <v>32.44</v>
      </c>
      <c r="AM65">
        <f t="shared" si="18"/>
        <v>220.86</v>
      </c>
      <c r="AN65">
        <f t="shared" si="19"/>
        <v>6.85</v>
      </c>
      <c r="AO65">
        <f>ROUND(($J65*CIS_Inc_Salary2425*(VLOOKUP($A65,EnrollData2324,'2324 Jun 24 Enroll'!AI$1,FALSE)+VLOOKUP($A65,EnrollData2324,'2324 Jun 24 Enroll'!AJ$1,FALSE))/Apport_613Xpd)*Apport_614Xpd,2)</f>
        <v>78.09</v>
      </c>
      <c r="AP65">
        <f t="shared" si="20"/>
        <v>13.67</v>
      </c>
      <c r="AQ65">
        <f t="shared" si="28"/>
        <v>31.48</v>
      </c>
      <c r="AR65" s="6">
        <f>ROUND((VLOOKUP($A65,EnrollData2324,'2324 Jun 24 Enroll'!D$1,FALSE)*Apport_M802425+VLOOKUP($A65,EnrollData2324,'2324 Jun 24 Enroll'!M$1,FALSE)*Apport_M802425+(VLOOKUP($A65,EnrollData2324,'2324 Jun 24 Enroll'!P$1,FALSE)+VLOOKUP($A65,EnrollData2324,'2324 Jun 24 Enroll'!Q$1,FALSE)+VLOOKUP($A65,EnrollData2324,'2324 Jun 24 Enroll'!R$1,FALSE)+VLOOKUP($A65,EnrollData2324,'2324 Jun 24 Enroll'!I$1,FALSE)+VLOOKUP($A65,EnrollData2324,'2324 Jun 24 Enroll'!N$1,FALSE)+VLOOKUP($A65,EnrollData2324,'2324 Jun 24 Enroll'!O$1,FALSE)+VLOOKUP($A65,EnrollData2324,'2324 Jun 24 Enroll'!K$1,FALSE)+VLOOKUP($A65,EnrollData2324,'2324 Jun 24 Enroll'!L$1,FALSE))*Apport_M812425)/(VLOOKUP($A65,EnrollData2324,'2324 Jun 24 Enroll'!M$1,FALSE)+VLOOKUP($A65,EnrollData2324,'2324 Jun 24 Enroll'!D$1,FALSE)),2)</f>
        <v>1606.42</v>
      </c>
      <c r="AS65" s="7">
        <f t="shared" si="29"/>
        <v>10382.400000000001</v>
      </c>
    </row>
    <row r="66" spans="1:48">
      <c r="A66" s="40" t="s">
        <v>460</v>
      </c>
      <c r="B66" s="40" t="s">
        <v>461</v>
      </c>
      <c r="C66" s="11">
        <f>ROUND((IFERROR((1/IF(VLOOKUP($A66,EnrollData2324,28,FALSE)='District Calculations'!$F$10,VLOOKUP($A66,EnrollData2324,28,FALSE),'District Calculations'!$F$10))*(1+Apport_Z315),0))+Apport_201A2425,6)</f>
        <v>7.4580999999999995E-2</v>
      </c>
      <c r="D66">
        <f>ROUND(IF(VLOOKUP($A66,EnrollData2324,'2324 Jun 24 Enroll'!D$1,FALSE)='District Calculations'!$F$11,VLOOKUP($A66,EnrollData2324,'2324 Jun 24 Enroll'!D$1,FALSE),'District Calculations'!$F$11)*C66,3)</f>
        <v>0</v>
      </c>
      <c r="E66">
        <f>ROUND(IF(VLOOKUP($A66,EnrollData2324,'2324 Jun 24 Enroll'!E$1,FALSE)='District Calculations'!$F$12,VLOOKUP($A66,EnrollData2324,'2324 Jun 24 Enroll'!E$1,FALSE),'District Calculations'!$F$12)*C66,3)</f>
        <v>60.447000000000003</v>
      </c>
      <c r="F66">
        <f>ROUND(IF(VLOOKUP($A66,EnrollData2324,'2324 Jun 24 Enroll'!F$1,FALSE)='District Calculations'!$F$13,VLOOKUP($A66,EnrollData2324,'2324 Jun 24 Enroll'!F$1,FALSE),'District Calculations'!$F$13)*Apport_222A2425,3)</f>
        <v>10.337999999999999</v>
      </c>
      <c r="G66">
        <f>ROUND(IF(VLOOKUP($A66,EnrollData2324,'2324 Jun 24 Enroll'!G$1,FALSE)='District Calculations'!$F$14,VLOOKUP($A66,EnrollData2324,'2324 Jun 24 Enroll'!G$1,FALSE),'District Calculations'!$F$14)*Apport_210A2425,3)</f>
        <v>22.92</v>
      </c>
      <c r="H66">
        <f>ROUND(IF(VLOOKUP($A66,EnrollData2324,'2324 Jun 24 Enroll'!H$1,FALSE)='District Calculations'!$F$15,VLOOKUP($A66,EnrollData2324,'2324 Jun 24 Enroll'!H$1,FALSE),'District Calculations'!$F$15)*Apport_213A2425,3)</f>
        <v>23.619</v>
      </c>
      <c r="I66">
        <f>ROUND(IF(VLOOKUP($A66,EnrollData2324,'2324 Jun 24 Enroll'!I$1,FALSE)+VLOOKUP($A66,EnrollData2324,'2324 Jun 24 Enroll'!M$1,FALSE)-VLOOKUP($A66,EnrollData2324,'2324 Jun 24 Enroll'!J$1,FALSE)='District Calculations'!$F$16+'District Calculations'!$F$25-'District Calculations'!$F$17,VLOOKUP($A66,EnrollData2324,'2324 Jun 24 Enroll'!I$1,FALSE)+VLOOKUP($A66,EnrollData2324,'2324 Jun 24 Enroll'!M$1,FALSE)-VLOOKUP($A66,EnrollData2324,'2324 Jun 24 Enroll'!J$1,FALSE),'District Calculations'!$F$16+'District Calculations'!$F$25-'District Calculations'!$F$17)*Apport_216A2425,3)</f>
        <v>59.057000000000002</v>
      </c>
      <c r="J66">
        <f>ROUND(SUM(D66:I66)/(IF(VLOOKUP($A66,EnrollData2324,'2324 Jun 24 Enroll'!M$1,FALSE)='District Calculations'!$F$25,VLOOKUP($A66,EnrollData2324,'2324 Jun 24 Enroll'!M$1,FALSE),'District Calculations'!$F$25)+IF(VLOOKUP($A66,EnrollData2324,'2324 Jun 24 Enroll'!D$1,FALSE)='District Calculations'!$F$11,VLOOKUP($A66,EnrollData2324,'2324 Jun 24 Enroll'!D$1,FALSE),'District Calculations'!$F$11)),5)</f>
        <v>5.6520000000000001E-2</v>
      </c>
      <c r="K66" s="11">
        <f t="shared" si="13"/>
        <v>4.385E-3</v>
      </c>
      <c r="L66">
        <f>ROUND(IF(VLOOKUP($A66,EnrollData2324,'2324 Jun 24 Enroll'!D$1,FALSE)='District Calculations'!$F$11,VLOOKUP($A66,EnrollData2324,'2324 Jun 24 Enroll'!D$1,FALSE),'District Calculations'!$F$11)*K66,3)</f>
        <v>0</v>
      </c>
      <c r="M66">
        <f>ROUND(IF(VLOOKUP($A66,EnrollData2324,'2324 Jun 24 Enroll'!E$1,FALSE)='District Calculations'!$F$12,VLOOKUP($A66,EnrollData2324,'2324 Jun 24 Enroll'!E$1,FALSE),'District Calculations'!$F$12)*K66,3)</f>
        <v>3.5539999999999998</v>
      </c>
      <c r="N66">
        <f>ROUND(IF(VLOOKUP($A66,EnrollData2324,'2324 Jun 24 Enroll'!F$1,FALSE)='District Calculations'!$F$13,VLOOKUP($A66,EnrollData2324,'2324 Jun 24 Enroll'!F$1,FALSE),'District Calculations'!$F$13)*Apport_223A2425,3)</f>
        <v>0.84599999999999997</v>
      </c>
      <c r="O66">
        <f>ROUND(IF(VLOOKUP($A66,EnrollData2324,'2324 Jun 24 Enroll'!G$1,FALSE)='District Calculations'!$F$14,VLOOKUP($A66,EnrollData2324,'2324 Jun 24 Enroll'!G$1,FALSE),'District Calculations'!$F$14)*Apport_211A2425,3)</f>
        <v>1.877</v>
      </c>
      <c r="P66">
        <f>ROUND(IF(VLOOKUP($A66,EnrollData2324,'2324 Jun 24 Enroll'!H$1,FALSE)='District Calculations'!$F$14,VLOOKUP($A66,EnrollData2324,'2324 Jun 24 Enroll'!H$1,FALSE),'District Calculations'!$F$14)*Apport_214A2425,3)</f>
        <v>1.875</v>
      </c>
      <c r="Q66">
        <f>ROUND(IF(VLOOKUP($A66,EnrollData2324,'2324 Jun 24 Enroll'!I$1,FALSE)+VLOOKUP($A66,EnrollData2324,'2324 Jun 24 Enroll'!M$1,FALSE)-VLOOKUP($A66,EnrollData2324,'2324 Jun 24 Enroll'!J$1,FALSE)='District Calculations'!$F$16+'District Calculations'!$F$25-'District Calculations'!$F$17,VLOOKUP($A66,EnrollData2324,'2324 Jun 24 Enroll'!I$1,FALSE)+VLOOKUP($A66,EnrollData2324,'2324 Jun 24 Enroll'!M$1,FALSE)-VLOOKUP($A66,EnrollData2324,'2324 Jun 24 Enroll'!J$1,FALSE),'District Calculations'!$F$16+'District Calculations'!$F$25-'District Calculations'!$F$17)*Apport_217A2425,3)</f>
        <v>4.7130000000000001</v>
      </c>
      <c r="R66">
        <f>ROUND(SUM(L66:Q66)/IF(VLOOKUP($A66,EnrollData2324,'2324 Jun 24 Enroll'!M$1,FALSE)+VLOOKUP($A66,EnrollData2324,'2324 Jun 24 Enroll'!D$1,FALSE)='District Calculations'!$F$25+'District Calculations'!$F$11,VLOOKUP($A66,EnrollData2324,'2324 Jun 24 Enroll'!M$1,FALSE)+VLOOKUP($A66,EnrollData2324,'2324 Jun 24 Enroll'!D$1,FALSE),'District Calculations'!$F$25+'District Calculations'!$F$11),5)</f>
        <v>4.1200000000000004E-3</v>
      </c>
      <c r="S66" s="11">
        <f t="shared" si="14"/>
        <v>1.8734299999999999E-2</v>
      </c>
      <c r="T66">
        <f>ROUND(IF(VLOOKUP($A66,EnrollData2324,'2324 Jun 24 Enroll'!D$1,FALSE)='District Calculations'!$F$11,VLOOKUP($A66,EnrollData2324,'2324 Jun 24 Enroll'!D$1,FALSE),'District Calculations'!$F$11)*S66,3)</f>
        <v>0</v>
      </c>
      <c r="U66">
        <f>ROUND(IF(VLOOKUP($A66,EnrollData2324,'2324 Jun 24 Enroll'!E$1,FALSE)='District Calculations'!$F$12,VLOOKUP($A66,EnrollData2324,'2324 Jun 24 Enroll'!E$1,FALSE),'District Calculations'!$F$12)*S66,3)</f>
        <v>15.183999999999999</v>
      </c>
      <c r="V66">
        <f>ROUND(IF(VLOOKUP($A66,EnrollData2324,'2324 Jun 24 Enroll'!F$1,FALSE)='District Calculations'!$F$13,VLOOKUP($A66,EnrollData2324,'2324 Jun 24 Enroll'!F$1,FALSE),'District Calculations'!$F$13)*Apport_224A2425,3)</f>
        <v>3.7109999999999999</v>
      </c>
      <c r="W66">
        <f>ROUND(IF(VLOOKUP($A66,EnrollData2324,'2324 Jun 24 Enroll'!G$1,FALSE)='District Calculations'!$F$14,VLOOKUP($A66,EnrollData2324,'2324 Jun 24 Enroll'!G$1,FALSE),'District Calculations'!$F$14)*Apport_212A2425,3)</f>
        <v>8.2279999999999998</v>
      </c>
      <c r="X66">
        <f>ROUND(IF(VLOOKUP($A66,EnrollData2324,'2324 Jun 24 Enroll'!H$1,FALSE)='District Calculations'!$F$14,VLOOKUP($A66,EnrollData2324,'2324 Jun 24 Enroll'!H$1,FALSE),'District Calculations'!$F$14)*Apport_215A2425,3)</f>
        <v>8.1180000000000003</v>
      </c>
      <c r="Y66">
        <f>ROUND(IF(VLOOKUP($A66,EnrollData2324,'2324 Jun 24 Enroll'!I$1,FALSE)+VLOOKUP($A66,EnrollData2324,'2324 Jun 24 Enroll'!M$1,FALSE)-VLOOKUP($A66,EnrollData2324,'2324 Jun 24 Enroll'!J$1,FALSE)='District Calculations'!$F$16+'District Calculations'!$F$25-'District Calculations'!$F$17,VLOOKUP($A66,EnrollData2324,'2324 Jun 24 Enroll'!I$1,FALSE)+VLOOKUP($A66,EnrollData2324,'2324 Jun 24 Enroll'!M$1,FALSE)-VLOOKUP($A66,EnrollData2324,'2324 Jun 24 Enroll'!J$1,FALSE),'District Calculations'!$F$16+'District Calculations'!$F$25-'District Calculations'!$F$17)*Apport_218A2425,3)</f>
        <v>20.257999999999999</v>
      </c>
      <c r="Z66">
        <f>ROUND(SUM(T66:Y66)/IF(VLOOKUP($A66,EnrollData2324,'2324 Jun 24 Enroll'!M$1,FALSE)+VLOOKUP($A66,EnrollData2324,'2324 Jun 24 Enroll'!D$1,FALSE)='District Calculations'!$F$25+'District Calculations'!$F$11,VLOOKUP($A66,EnrollData2324,'2324 Jun 24 Enroll'!M$1,FALSE)+VLOOKUP($A66,EnrollData2324,'2324 Jun 24 Enroll'!D$1,FALSE),'District Calculations'!$F$25+'District Calculations'!$F$11),5)</f>
        <v>1.7780000000000001E-2</v>
      </c>
      <c r="AA66" s="6">
        <f>ROUND($J66*CIS_Base_Salary2425*VLOOKUP($A66,EnrollData2324,'2324 Jun 24 Enroll'!AH$1,FALSE),2)</f>
        <v>4518.4399999999996</v>
      </c>
      <c r="AB66" s="6">
        <f>ROUND($J66*CIS_Inc_Salary2425*(VLOOKUP($A66,EnrollData2324,'2324 Jun 24 Enroll'!AI$1,FALSE)+VLOOKUP($A66,EnrollData2324,'2324 Jun 24 Enroll'!AJ$1,FALSE)),2)-AA66</f>
        <v>343.97000000000025</v>
      </c>
      <c r="AC66" s="6" cm="1">
        <f t="array" ref="AC66">ROUND($R66*CAS_Base_Salary2425*VLOOKUP($A66,EnrollData2324,'2324 Jun 24 Enroll'!AH$1,FALSE),2)</f>
        <v>488.91</v>
      </c>
      <c r="AD66" s="6">
        <f>ROUND($R66*CAS_Inc_Salary2425*VLOOKUP($A66,EnrollData2324,'2324 Jun 24 Enroll'!AI$1,FALSE),2)-AC66</f>
        <v>18.089999999999975</v>
      </c>
      <c r="AE66" s="6">
        <f>ROUND($Z66*CLS_Base_Salary2425*VLOOKUP($A66,EnrollData2324,'2324 Jun 24 Enroll'!AH$1,FALSE),2)</f>
        <v>1019.67</v>
      </c>
      <c r="AF66" s="6">
        <f>ROUND($Z66*CLS_Inc_Salary2425*VLOOKUP($A66,EnrollData2324,'2324 Jun 24 Enroll'!AI$1,FALSE),2)-AE66</f>
        <v>37.730000000000132</v>
      </c>
      <c r="AG66" cm="1">
        <f t="array" ref="AG66">ROUND(($J66+$R66)*Apport_124X2425,2)</f>
        <v>800.45</v>
      </c>
      <c r="AH66" s="69" cm="1">
        <f t="array" ref="AH66">ROUND(($J66+$R66)*Apport_621X2425*Apport_125XC2425,2)-AG66</f>
        <v>73.899999999999977</v>
      </c>
      <c r="AI66" cm="1">
        <f t="array" ref="AI66">ROUND($Z66*Apport_124X2425,2)</f>
        <v>234.7</v>
      </c>
      <c r="AJ66">
        <f t="shared" si="15"/>
        <v>124.71000000000004</v>
      </c>
      <c r="AK66">
        <f t="shared" si="16"/>
        <v>908.83</v>
      </c>
      <c r="AL66">
        <f t="shared" si="17"/>
        <v>63.4</v>
      </c>
      <c r="AM66">
        <f t="shared" si="18"/>
        <v>220.86</v>
      </c>
      <c r="AN66">
        <f t="shared" si="19"/>
        <v>6.85</v>
      </c>
      <c r="AO66">
        <f>ROUND(($J66*CIS_Inc_Salary2425*(VLOOKUP($A66,EnrollData2324,'2324 Jun 24 Enroll'!AI$1,FALSE)+VLOOKUP($A66,EnrollData2324,'2324 Jun 24 Enroll'!AJ$1,FALSE))/Apport_613Xpd)*Apport_614Xpd,2)</f>
        <v>81.040000000000006</v>
      </c>
      <c r="AP66">
        <f t="shared" si="20"/>
        <v>14.19</v>
      </c>
      <c r="AQ66">
        <f t="shared" si="28"/>
        <v>31.48</v>
      </c>
      <c r="AR66" s="6">
        <f>ROUND((VLOOKUP($A66,EnrollData2324,'2324 Jun 24 Enroll'!D$1,FALSE)*Apport_M802425+VLOOKUP($A66,EnrollData2324,'2324 Jun 24 Enroll'!M$1,FALSE)*Apport_M802425+(VLOOKUP($A66,EnrollData2324,'2324 Jun 24 Enroll'!P$1,FALSE)+VLOOKUP($A66,EnrollData2324,'2324 Jun 24 Enroll'!Q$1,FALSE)+VLOOKUP($A66,EnrollData2324,'2324 Jun 24 Enroll'!R$1,FALSE)+VLOOKUP($A66,EnrollData2324,'2324 Jun 24 Enroll'!I$1,FALSE)+VLOOKUP($A66,EnrollData2324,'2324 Jun 24 Enroll'!N$1,FALSE)+VLOOKUP($A66,EnrollData2324,'2324 Jun 24 Enroll'!O$1,FALSE)+VLOOKUP($A66,EnrollData2324,'2324 Jun 24 Enroll'!K$1,FALSE)+VLOOKUP($A66,EnrollData2324,'2324 Jun 24 Enroll'!L$1,FALSE))*Apport_M812425)/(VLOOKUP($A66,EnrollData2324,'2324 Jun 24 Enroll'!M$1,FALSE)+VLOOKUP($A66,EnrollData2324,'2324 Jun 24 Enroll'!D$1,FALSE)),2)</f>
        <v>1609.36</v>
      </c>
      <c r="AS66" s="7">
        <f t="shared" si="29"/>
        <v>10596.580000000002</v>
      </c>
    </row>
    <row r="67" spans="1:48">
      <c r="A67" s="40" t="s">
        <v>357</v>
      </c>
      <c r="B67" s="40" t="s">
        <v>358</v>
      </c>
      <c r="C67" s="11">
        <f>ROUND((IFERROR((1/IF(VLOOKUP($A67,EnrollData2324,28,FALSE)='District Calculations'!$F$10,VLOOKUP($A67,EnrollData2324,28,FALSE),'District Calculations'!$F$10))*(1+Apport_Z315),0))+Apport_201A2425,6)</f>
        <v>7.4580999999999995E-2</v>
      </c>
      <c r="D67">
        <f>ROUND(IF(VLOOKUP($A67,EnrollData2324,'2324 Jun 24 Enroll'!D$1,FALSE)='District Calculations'!$F$11,VLOOKUP($A67,EnrollData2324,'2324 Jun 24 Enroll'!D$1,FALSE),'District Calculations'!$F$11)*C67,3)</f>
        <v>0</v>
      </c>
      <c r="E67">
        <f>ROUND(IF(VLOOKUP($A67,EnrollData2324,'2324 Jun 24 Enroll'!E$1,FALSE)='District Calculations'!$F$12,VLOOKUP($A67,EnrollData2324,'2324 Jun 24 Enroll'!E$1,FALSE),'District Calculations'!$F$12)*C67,3)</f>
        <v>60.447000000000003</v>
      </c>
      <c r="F67">
        <f>ROUND(IF(VLOOKUP($A67,EnrollData2324,'2324 Jun 24 Enroll'!F$1,FALSE)='District Calculations'!$F$13,VLOOKUP($A67,EnrollData2324,'2324 Jun 24 Enroll'!F$1,FALSE),'District Calculations'!$F$13)*Apport_222A2425,3)</f>
        <v>10.337999999999999</v>
      </c>
      <c r="G67">
        <f>ROUND(IF(VLOOKUP($A67,EnrollData2324,'2324 Jun 24 Enroll'!G$1,FALSE)='District Calculations'!$F$14,VLOOKUP($A67,EnrollData2324,'2324 Jun 24 Enroll'!G$1,FALSE),'District Calculations'!$F$14)*Apport_210A2425,3)</f>
        <v>22.92</v>
      </c>
      <c r="H67">
        <f>ROUND(IF(VLOOKUP($A67,EnrollData2324,'2324 Jun 24 Enroll'!H$1,FALSE)='District Calculations'!$F$15,VLOOKUP($A67,EnrollData2324,'2324 Jun 24 Enroll'!H$1,FALSE),'District Calculations'!$F$15)*Apport_213A2425,3)</f>
        <v>23.619</v>
      </c>
      <c r="I67">
        <f>ROUND(IF(VLOOKUP($A67,EnrollData2324,'2324 Jun 24 Enroll'!I$1,FALSE)+VLOOKUP($A67,EnrollData2324,'2324 Jun 24 Enroll'!M$1,FALSE)-VLOOKUP($A67,EnrollData2324,'2324 Jun 24 Enroll'!J$1,FALSE)='District Calculations'!$F$16+'District Calculations'!$F$25-'District Calculations'!$F$17,VLOOKUP($A67,EnrollData2324,'2324 Jun 24 Enroll'!I$1,FALSE)+VLOOKUP($A67,EnrollData2324,'2324 Jun 24 Enroll'!M$1,FALSE)-VLOOKUP($A67,EnrollData2324,'2324 Jun 24 Enroll'!J$1,FALSE),'District Calculations'!$F$16+'District Calculations'!$F$25-'District Calculations'!$F$17)*Apport_216A2425,3)</f>
        <v>59.057000000000002</v>
      </c>
      <c r="J67">
        <f>ROUND(SUM(D67:I67)/(IF(VLOOKUP($A67,EnrollData2324,'2324 Jun 24 Enroll'!M$1,FALSE)='District Calculations'!$F$25,VLOOKUP($A67,EnrollData2324,'2324 Jun 24 Enroll'!M$1,FALSE),'District Calculations'!$F$25)+IF(VLOOKUP($A67,EnrollData2324,'2324 Jun 24 Enroll'!D$1,FALSE)='District Calculations'!$F$11,VLOOKUP($A67,EnrollData2324,'2324 Jun 24 Enroll'!D$1,FALSE),'District Calculations'!$F$11)),5)</f>
        <v>5.6520000000000001E-2</v>
      </c>
      <c r="K67" s="11">
        <f t="shared" si="13"/>
        <v>4.385E-3</v>
      </c>
      <c r="L67">
        <f>ROUND(IF(VLOOKUP($A67,EnrollData2324,'2324 Jun 24 Enroll'!D$1,FALSE)='District Calculations'!$F$11,VLOOKUP($A67,EnrollData2324,'2324 Jun 24 Enroll'!D$1,FALSE),'District Calculations'!$F$11)*K67,3)</f>
        <v>0</v>
      </c>
      <c r="M67">
        <f>ROUND(IF(VLOOKUP($A67,EnrollData2324,'2324 Jun 24 Enroll'!E$1,FALSE)='District Calculations'!$F$12,VLOOKUP($A67,EnrollData2324,'2324 Jun 24 Enroll'!E$1,FALSE),'District Calculations'!$F$12)*K67,3)</f>
        <v>3.5539999999999998</v>
      </c>
      <c r="N67">
        <f>ROUND(IF(VLOOKUP($A67,EnrollData2324,'2324 Jun 24 Enroll'!F$1,FALSE)='District Calculations'!$F$13,VLOOKUP($A67,EnrollData2324,'2324 Jun 24 Enroll'!F$1,FALSE),'District Calculations'!$F$13)*Apport_223A2425,3)</f>
        <v>0.84599999999999997</v>
      </c>
      <c r="O67">
        <f>ROUND(IF(VLOOKUP($A67,EnrollData2324,'2324 Jun 24 Enroll'!G$1,FALSE)='District Calculations'!$F$14,VLOOKUP($A67,EnrollData2324,'2324 Jun 24 Enroll'!G$1,FALSE),'District Calculations'!$F$14)*Apport_211A2425,3)</f>
        <v>1.877</v>
      </c>
      <c r="P67">
        <f>ROUND(IF(VLOOKUP($A67,EnrollData2324,'2324 Jun 24 Enroll'!H$1,FALSE)='District Calculations'!$F$14,VLOOKUP($A67,EnrollData2324,'2324 Jun 24 Enroll'!H$1,FALSE),'District Calculations'!$F$14)*Apport_214A2425,3)</f>
        <v>1.875</v>
      </c>
      <c r="Q67">
        <f>ROUND(IF(VLOOKUP($A67,EnrollData2324,'2324 Jun 24 Enroll'!I$1,FALSE)+VLOOKUP($A67,EnrollData2324,'2324 Jun 24 Enroll'!M$1,FALSE)-VLOOKUP($A67,EnrollData2324,'2324 Jun 24 Enroll'!J$1,FALSE)='District Calculations'!$F$16+'District Calculations'!$F$25-'District Calculations'!$F$17,VLOOKUP($A67,EnrollData2324,'2324 Jun 24 Enroll'!I$1,FALSE)+VLOOKUP($A67,EnrollData2324,'2324 Jun 24 Enroll'!M$1,FALSE)-VLOOKUP($A67,EnrollData2324,'2324 Jun 24 Enroll'!J$1,FALSE),'District Calculations'!$F$16+'District Calculations'!$F$25-'District Calculations'!$F$17)*Apport_217A2425,3)</f>
        <v>4.7130000000000001</v>
      </c>
      <c r="R67">
        <f>ROUND(SUM(L67:Q67)/IF(VLOOKUP($A67,EnrollData2324,'2324 Jun 24 Enroll'!M$1,FALSE)+VLOOKUP($A67,EnrollData2324,'2324 Jun 24 Enroll'!D$1,FALSE)='District Calculations'!$F$25+'District Calculations'!$F$11,VLOOKUP($A67,EnrollData2324,'2324 Jun 24 Enroll'!M$1,FALSE)+VLOOKUP($A67,EnrollData2324,'2324 Jun 24 Enroll'!D$1,FALSE),'District Calculations'!$F$25+'District Calculations'!$F$11),5)</f>
        <v>4.1200000000000004E-3</v>
      </c>
      <c r="S67" s="11">
        <f t="shared" si="14"/>
        <v>1.8734299999999999E-2</v>
      </c>
      <c r="T67">
        <f>ROUND(IF(VLOOKUP($A67,EnrollData2324,'2324 Jun 24 Enroll'!D$1,FALSE)='District Calculations'!$F$11,VLOOKUP($A67,EnrollData2324,'2324 Jun 24 Enroll'!D$1,FALSE),'District Calculations'!$F$11)*S67,3)</f>
        <v>0</v>
      </c>
      <c r="U67">
        <f>ROUND(IF(VLOOKUP($A67,EnrollData2324,'2324 Jun 24 Enroll'!E$1,FALSE)='District Calculations'!$F$12,VLOOKUP($A67,EnrollData2324,'2324 Jun 24 Enroll'!E$1,FALSE),'District Calculations'!$F$12)*S67,3)</f>
        <v>15.183999999999999</v>
      </c>
      <c r="V67">
        <f>ROUND(IF(VLOOKUP($A67,EnrollData2324,'2324 Jun 24 Enroll'!F$1,FALSE)='District Calculations'!$F$13,VLOOKUP($A67,EnrollData2324,'2324 Jun 24 Enroll'!F$1,FALSE),'District Calculations'!$F$13)*Apport_224A2425,3)</f>
        <v>3.7109999999999999</v>
      </c>
      <c r="W67">
        <f>ROUND(IF(VLOOKUP($A67,EnrollData2324,'2324 Jun 24 Enroll'!G$1,FALSE)='District Calculations'!$F$14,VLOOKUP($A67,EnrollData2324,'2324 Jun 24 Enroll'!G$1,FALSE),'District Calculations'!$F$14)*Apport_212A2425,3)</f>
        <v>8.2279999999999998</v>
      </c>
      <c r="X67">
        <f>ROUND(IF(VLOOKUP($A67,EnrollData2324,'2324 Jun 24 Enroll'!H$1,FALSE)='District Calculations'!$F$14,VLOOKUP($A67,EnrollData2324,'2324 Jun 24 Enroll'!H$1,FALSE),'District Calculations'!$F$14)*Apport_215A2425,3)</f>
        <v>8.1180000000000003</v>
      </c>
      <c r="Y67">
        <f>ROUND(IF(VLOOKUP($A67,EnrollData2324,'2324 Jun 24 Enroll'!I$1,FALSE)+VLOOKUP($A67,EnrollData2324,'2324 Jun 24 Enroll'!M$1,FALSE)-VLOOKUP($A67,EnrollData2324,'2324 Jun 24 Enroll'!J$1,FALSE)='District Calculations'!$F$16+'District Calculations'!$F$25-'District Calculations'!$F$17,VLOOKUP($A67,EnrollData2324,'2324 Jun 24 Enroll'!I$1,FALSE)+VLOOKUP($A67,EnrollData2324,'2324 Jun 24 Enroll'!M$1,FALSE)-VLOOKUP($A67,EnrollData2324,'2324 Jun 24 Enroll'!J$1,FALSE),'District Calculations'!$F$16+'District Calculations'!$F$25-'District Calculations'!$F$17)*Apport_218A2425,3)</f>
        <v>20.257999999999999</v>
      </c>
      <c r="Z67">
        <f>ROUND(SUM(T67:Y67)/IF(VLOOKUP($A67,EnrollData2324,'2324 Jun 24 Enroll'!M$1,FALSE)+VLOOKUP($A67,EnrollData2324,'2324 Jun 24 Enroll'!D$1,FALSE)='District Calculations'!$F$25+'District Calculations'!$F$11,VLOOKUP($A67,EnrollData2324,'2324 Jun 24 Enroll'!M$1,FALSE)+VLOOKUP($A67,EnrollData2324,'2324 Jun 24 Enroll'!D$1,FALSE),'District Calculations'!$F$25+'District Calculations'!$F$11),5)</f>
        <v>1.7780000000000001E-2</v>
      </c>
      <c r="AA67" s="6">
        <f>ROUND($J67*CIS_Base_Salary2425*VLOOKUP($A67,EnrollData2324,'2324 Jun 24 Enroll'!AH$1,FALSE),2)</f>
        <v>4518.4399999999996</v>
      </c>
      <c r="AB67" s="6">
        <f>ROUND($J67*CIS_Inc_Salary2425*(VLOOKUP($A67,EnrollData2324,'2324 Jun 24 Enroll'!AI$1,FALSE)+VLOOKUP($A67,EnrollData2324,'2324 Jun 24 Enroll'!AJ$1,FALSE)),2)-AA67</f>
        <v>343.97000000000025</v>
      </c>
      <c r="AC67" s="6" cm="1">
        <f t="array" ref="AC67">ROUND($R67*CAS_Base_Salary2425*VLOOKUP($A67,EnrollData2324,'2324 Jun 24 Enroll'!AH$1,FALSE),2)</f>
        <v>488.91</v>
      </c>
      <c r="AD67" s="6">
        <f>ROUND($R67*CAS_Inc_Salary2425*VLOOKUP($A67,EnrollData2324,'2324 Jun 24 Enroll'!AI$1,FALSE),2)-AC67</f>
        <v>18.089999999999975</v>
      </c>
      <c r="AE67" s="6">
        <f>ROUND($Z67*CLS_Base_Salary2425*VLOOKUP($A67,EnrollData2324,'2324 Jun 24 Enroll'!AH$1,FALSE),2)</f>
        <v>1019.67</v>
      </c>
      <c r="AF67" s="6">
        <f>ROUND($Z67*CLS_Inc_Salary2425*VLOOKUP($A67,EnrollData2324,'2324 Jun 24 Enroll'!AI$1,FALSE),2)-AE67</f>
        <v>37.730000000000132</v>
      </c>
      <c r="AG67" cm="1">
        <f t="array" ref="AG67">ROUND(($J67+$R67)*Apport_124X2425,2)</f>
        <v>800.45</v>
      </c>
      <c r="AH67" s="69" cm="1">
        <f t="array" ref="AH67">ROUND(($J67+$R67)*Apport_621X2425*Apport_125XC2425,2)-AG67</f>
        <v>73.899999999999977</v>
      </c>
      <c r="AI67" cm="1">
        <f t="array" ref="AI67">ROUND($Z67*Apport_124X2425,2)</f>
        <v>234.7</v>
      </c>
      <c r="AJ67">
        <f t="shared" si="15"/>
        <v>124.71000000000004</v>
      </c>
      <c r="AK67">
        <f t="shared" si="16"/>
        <v>908.83</v>
      </c>
      <c r="AL67">
        <f t="shared" si="17"/>
        <v>63.4</v>
      </c>
      <c r="AM67">
        <f t="shared" si="18"/>
        <v>220.86</v>
      </c>
      <c r="AN67">
        <f t="shared" si="19"/>
        <v>6.85</v>
      </c>
      <c r="AO67">
        <f>ROUND(($J67*CIS_Inc_Salary2425*(VLOOKUP($A67,EnrollData2324,'2324 Jun 24 Enroll'!AI$1,FALSE)+VLOOKUP($A67,EnrollData2324,'2324 Jun 24 Enroll'!AJ$1,FALSE))/Apport_613Xpd)*Apport_614Xpd,2)</f>
        <v>81.040000000000006</v>
      </c>
      <c r="AP67">
        <f t="shared" si="20"/>
        <v>14.19</v>
      </c>
      <c r="AQ67">
        <f t="shared" si="28"/>
        <v>31.48</v>
      </c>
      <c r="AR67" s="6">
        <f>ROUND((VLOOKUP($A67,EnrollData2324,'2324 Jun 24 Enroll'!D$1,FALSE)*Apport_M802425+VLOOKUP($A67,EnrollData2324,'2324 Jun 24 Enroll'!M$1,FALSE)*Apport_M802425+(VLOOKUP($A67,EnrollData2324,'2324 Jun 24 Enroll'!P$1,FALSE)+VLOOKUP($A67,EnrollData2324,'2324 Jun 24 Enroll'!Q$1,FALSE)+VLOOKUP($A67,EnrollData2324,'2324 Jun 24 Enroll'!R$1,FALSE)+VLOOKUP($A67,EnrollData2324,'2324 Jun 24 Enroll'!I$1,FALSE)+VLOOKUP($A67,EnrollData2324,'2324 Jun 24 Enroll'!N$1,FALSE)+VLOOKUP($A67,EnrollData2324,'2324 Jun 24 Enroll'!O$1,FALSE)+VLOOKUP($A67,EnrollData2324,'2324 Jun 24 Enroll'!K$1,FALSE)+VLOOKUP($A67,EnrollData2324,'2324 Jun 24 Enroll'!L$1,FALSE))*Apport_M812425)/(VLOOKUP($A67,EnrollData2324,'2324 Jun 24 Enroll'!M$1,FALSE)+VLOOKUP($A67,EnrollData2324,'2324 Jun 24 Enroll'!D$1,FALSE)),2)</f>
        <v>1606.42</v>
      </c>
      <c r="AS67" s="7">
        <f t="shared" si="29"/>
        <v>10593.640000000001</v>
      </c>
    </row>
    <row r="68" spans="1:48">
      <c r="A68" s="40" t="s">
        <v>331</v>
      </c>
      <c r="B68" s="40" t="s">
        <v>332</v>
      </c>
      <c r="C68" s="11">
        <f>ROUND((IFERROR((1/IF(VLOOKUP($A68,EnrollData2324,28,FALSE)='District Calculations'!$F$10,VLOOKUP($A68,EnrollData2324,28,FALSE),'District Calculations'!$F$10))*(1+Apport_Z315),0))+Apport_201A2425,6)</f>
        <v>7.4580999999999995E-2</v>
      </c>
      <c r="D68">
        <f>ROUND(IF(VLOOKUP($A68,EnrollData2324,'2324 Jun 24 Enroll'!D$1,FALSE)='District Calculations'!$F$11,VLOOKUP($A68,EnrollData2324,'2324 Jun 24 Enroll'!D$1,FALSE),'District Calculations'!$F$11)*C68,3)</f>
        <v>0</v>
      </c>
      <c r="E68">
        <f>ROUND(IF(VLOOKUP($A68,EnrollData2324,'2324 Jun 24 Enroll'!E$1,FALSE)='District Calculations'!$F$12,VLOOKUP($A68,EnrollData2324,'2324 Jun 24 Enroll'!E$1,FALSE),'District Calculations'!$F$12)*C68,3)</f>
        <v>60.447000000000003</v>
      </c>
      <c r="F68">
        <f>ROUND(IF(VLOOKUP($A68,EnrollData2324,'2324 Jun 24 Enroll'!F$1,FALSE)='District Calculations'!$F$13,VLOOKUP($A68,EnrollData2324,'2324 Jun 24 Enroll'!F$1,FALSE),'District Calculations'!$F$13)*Apport_222A2425,3)</f>
        <v>10.337999999999999</v>
      </c>
      <c r="G68">
        <f>ROUND(IF(VLOOKUP($A68,EnrollData2324,'2324 Jun 24 Enroll'!G$1,FALSE)='District Calculations'!$F$14,VLOOKUP($A68,EnrollData2324,'2324 Jun 24 Enroll'!G$1,FALSE),'District Calculations'!$F$14)*Apport_210A2425,3)</f>
        <v>22.92</v>
      </c>
      <c r="H68">
        <f>ROUND(IF(VLOOKUP($A68,EnrollData2324,'2324 Jun 24 Enroll'!H$1,FALSE)='District Calculations'!$F$15,VLOOKUP($A68,EnrollData2324,'2324 Jun 24 Enroll'!H$1,FALSE),'District Calculations'!$F$15)*Apport_213A2425,3)</f>
        <v>23.619</v>
      </c>
      <c r="I68">
        <f>ROUND(IF(VLOOKUP($A68,EnrollData2324,'2324 Jun 24 Enroll'!I$1,FALSE)+VLOOKUP($A68,EnrollData2324,'2324 Jun 24 Enroll'!M$1,FALSE)-VLOOKUP($A68,EnrollData2324,'2324 Jun 24 Enroll'!J$1,FALSE)='District Calculations'!$F$16+'District Calculations'!$F$25-'District Calculations'!$F$17,VLOOKUP($A68,EnrollData2324,'2324 Jun 24 Enroll'!I$1,FALSE)+VLOOKUP($A68,EnrollData2324,'2324 Jun 24 Enroll'!M$1,FALSE)-VLOOKUP($A68,EnrollData2324,'2324 Jun 24 Enroll'!J$1,FALSE),'District Calculations'!$F$16+'District Calculations'!$F$25-'District Calculations'!$F$17)*Apport_216A2425,3)</f>
        <v>59.057000000000002</v>
      </c>
      <c r="J68">
        <f>ROUND(SUM(D68:I68)/(IF(VLOOKUP($A68,EnrollData2324,'2324 Jun 24 Enroll'!M$1,FALSE)='District Calculations'!$F$25,VLOOKUP($A68,EnrollData2324,'2324 Jun 24 Enroll'!M$1,FALSE),'District Calculations'!$F$25)+IF(VLOOKUP($A68,EnrollData2324,'2324 Jun 24 Enroll'!D$1,FALSE)='District Calculations'!$F$11,VLOOKUP($A68,EnrollData2324,'2324 Jun 24 Enroll'!D$1,FALSE),'District Calculations'!$F$11)),5)</f>
        <v>5.6520000000000001E-2</v>
      </c>
      <c r="K68" s="11">
        <f t="shared" si="13"/>
        <v>4.385E-3</v>
      </c>
      <c r="L68">
        <f>ROUND(IF(VLOOKUP($A68,EnrollData2324,'2324 Jun 24 Enroll'!D$1,FALSE)='District Calculations'!$F$11,VLOOKUP($A68,EnrollData2324,'2324 Jun 24 Enroll'!D$1,FALSE),'District Calculations'!$F$11)*K68,3)</f>
        <v>0</v>
      </c>
      <c r="M68">
        <f>ROUND(IF(VLOOKUP($A68,EnrollData2324,'2324 Jun 24 Enroll'!E$1,FALSE)='District Calculations'!$F$12,VLOOKUP($A68,EnrollData2324,'2324 Jun 24 Enroll'!E$1,FALSE),'District Calculations'!$F$12)*K68,3)</f>
        <v>3.5539999999999998</v>
      </c>
      <c r="N68">
        <f>ROUND(IF(VLOOKUP($A68,EnrollData2324,'2324 Jun 24 Enroll'!F$1,FALSE)='District Calculations'!$F$13,VLOOKUP($A68,EnrollData2324,'2324 Jun 24 Enroll'!F$1,FALSE),'District Calculations'!$F$13)*Apport_223A2425,3)</f>
        <v>0.84599999999999997</v>
      </c>
      <c r="O68">
        <f>ROUND(IF(VLOOKUP($A68,EnrollData2324,'2324 Jun 24 Enroll'!G$1,FALSE)='District Calculations'!$F$14,VLOOKUP($A68,EnrollData2324,'2324 Jun 24 Enroll'!G$1,FALSE),'District Calculations'!$F$14)*Apport_211A2425,3)</f>
        <v>1.877</v>
      </c>
      <c r="P68">
        <f>ROUND(IF(VLOOKUP($A68,EnrollData2324,'2324 Jun 24 Enroll'!H$1,FALSE)='District Calculations'!$F$14,VLOOKUP($A68,EnrollData2324,'2324 Jun 24 Enroll'!H$1,FALSE),'District Calculations'!$F$14)*Apport_214A2425,3)</f>
        <v>1.875</v>
      </c>
      <c r="Q68">
        <f>ROUND(IF(VLOOKUP($A68,EnrollData2324,'2324 Jun 24 Enroll'!I$1,FALSE)+VLOOKUP($A68,EnrollData2324,'2324 Jun 24 Enroll'!M$1,FALSE)-VLOOKUP($A68,EnrollData2324,'2324 Jun 24 Enroll'!J$1,FALSE)='District Calculations'!$F$16+'District Calculations'!$F$25-'District Calculations'!$F$17,VLOOKUP($A68,EnrollData2324,'2324 Jun 24 Enroll'!I$1,FALSE)+VLOOKUP($A68,EnrollData2324,'2324 Jun 24 Enroll'!M$1,FALSE)-VLOOKUP($A68,EnrollData2324,'2324 Jun 24 Enroll'!J$1,FALSE),'District Calculations'!$F$16+'District Calculations'!$F$25-'District Calculations'!$F$17)*Apport_217A2425,3)</f>
        <v>4.7130000000000001</v>
      </c>
      <c r="R68">
        <f>ROUND(SUM(L68:Q68)/IF(VLOOKUP($A68,EnrollData2324,'2324 Jun 24 Enroll'!M$1,FALSE)+VLOOKUP($A68,EnrollData2324,'2324 Jun 24 Enroll'!D$1,FALSE)='District Calculations'!$F$25+'District Calculations'!$F$11,VLOOKUP($A68,EnrollData2324,'2324 Jun 24 Enroll'!M$1,FALSE)+VLOOKUP($A68,EnrollData2324,'2324 Jun 24 Enroll'!D$1,FALSE),'District Calculations'!$F$25+'District Calculations'!$F$11),5)</f>
        <v>4.1200000000000004E-3</v>
      </c>
      <c r="S68" s="11">
        <f t="shared" si="14"/>
        <v>1.8734299999999999E-2</v>
      </c>
      <c r="T68">
        <f>ROUND(IF(VLOOKUP($A68,EnrollData2324,'2324 Jun 24 Enroll'!D$1,FALSE)='District Calculations'!$F$11,VLOOKUP($A68,EnrollData2324,'2324 Jun 24 Enroll'!D$1,FALSE),'District Calculations'!$F$11)*S68,3)</f>
        <v>0</v>
      </c>
      <c r="U68">
        <f>ROUND(IF(VLOOKUP($A68,EnrollData2324,'2324 Jun 24 Enroll'!E$1,FALSE)='District Calculations'!$F$12,VLOOKUP($A68,EnrollData2324,'2324 Jun 24 Enroll'!E$1,FALSE),'District Calculations'!$F$12)*S68,3)</f>
        <v>15.183999999999999</v>
      </c>
      <c r="V68">
        <f>ROUND(IF(VLOOKUP($A68,EnrollData2324,'2324 Jun 24 Enroll'!F$1,FALSE)='District Calculations'!$F$13,VLOOKUP($A68,EnrollData2324,'2324 Jun 24 Enroll'!F$1,FALSE),'District Calculations'!$F$13)*Apport_224A2425,3)</f>
        <v>3.7109999999999999</v>
      </c>
      <c r="W68">
        <f>ROUND(IF(VLOOKUP($A68,EnrollData2324,'2324 Jun 24 Enroll'!G$1,FALSE)='District Calculations'!$F$14,VLOOKUP($A68,EnrollData2324,'2324 Jun 24 Enroll'!G$1,FALSE),'District Calculations'!$F$14)*Apport_212A2425,3)</f>
        <v>8.2279999999999998</v>
      </c>
      <c r="X68">
        <f>ROUND(IF(VLOOKUP($A68,EnrollData2324,'2324 Jun 24 Enroll'!H$1,FALSE)='District Calculations'!$F$14,VLOOKUP($A68,EnrollData2324,'2324 Jun 24 Enroll'!H$1,FALSE),'District Calculations'!$F$14)*Apport_215A2425,3)</f>
        <v>8.1180000000000003</v>
      </c>
      <c r="Y68">
        <f>ROUND(IF(VLOOKUP($A68,EnrollData2324,'2324 Jun 24 Enroll'!I$1,FALSE)+VLOOKUP($A68,EnrollData2324,'2324 Jun 24 Enroll'!M$1,FALSE)-VLOOKUP($A68,EnrollData2324,'2324 Jun 24 Enroll'!J$1,FALSE)='District Calculations'!$F$16+'District Calculations'!$F$25-'District Calculations'!$F$17,VLOOKUP($A68,EnrollData2324,'2324 Jun 24 Enroll'!I$1,FALSE)+VLOOKUP($A68,EnrollData2324,'2324 Jun 24 Enroll'!M$1,FALSE)-VLOOKUP($A68,EnrollData2324,'2324 Jun 24 Enroll'!J$1,FALSE),'District Calculations'!$F$16+'District Calculations'!$F$25-'District Calculations'!$F$17)*Apport_218A2425,3)</f>
        <v>20.257999999999999</v>
      </c>
      <c r="Z68">
        <f>ROUND(SUM(T68:Y68)/IF(VLOOKUP($A68,EnrollData2324,'2324 Jun 24 Enroll'!M$1,FALSE)+VLOOKUP($A68,EnrollData2324,'2324 Jun 24 Enroll'!D$1,FALSE)='District Calculations'!$F$25+'District Calculations'!$F$11,VLOOKUP($A68,EnrollData2324,'2324 Jun 24 Enroll'!M$1,FALSE)+VLOOKUP($A68,EnrollData2324,'2324 Jun 24 Enroll'!D$1,FALSE),'District Calculations'!$F$25+'District Calculations'!$F$11),5)</f>
        <v>1.7780000000000001E-2</v>
      </c>
      <c r="AA68" s="6">
        <f>ROUND($J68*CIS_Base_Salary2425*VLOOKUP($A68,EnrollData2324,'2324 Jun 24 Enroll'!AH$1,FALSE),2)</f>
        <v>4518.4399999999996</v>
      </c>
      <c r="AB68" s="6">
        <f>ROUND($J68*CIS_Inc_Salary2425*(VLOOKUP($A68,EnrollData2324,'2324 Jun 24 Enroll'!AI$1,FALSE)+VLOOKUP($A68,EnrollData2324,'2324 Jun 24 Enroll'!AJ$1,FALSE)),2)-AA68</f>
        <v>343.97000000000025</v>
      </c>
      <c r="AC68" s="6" cm="1">
        <f t="array" ref="AC68">ROUND($R68*CAS_Base_Salary2425*VLOOKUP($A68,EnrollData2324,'2324 Jun 24 Enroll'!AH$1,FALSE),2)</f>
        <v>488.91</v>
      </c>
      <c r="AD68" s="6">
        <f>ROUND($R68*CAS_Inc_Salary2425*VLOOKUP($A68,EnrollData2324,'2324 Jun 24 Enroll'!AI$1,FALSE),2)-AC68</f>
        <v>18.089999999999975</v>
      </c>
      <c r="AE68" s="6">
        <f>ROUND($Z68*CLS_Base_Salary2425*VLOOKUP($A68,EnrollData2324,'2324 Jun 24 Enroll'!AH$1,FALSE),2)</f>
        <v>1019.67</v>
      </c>
      <c r="AF68" s="6">
        <f>ROUND($Z68*CLS_Inc_Salary2425*VLOOKUP($A68,EnrollData2324,'2324 Jun 24 Enroll'!AI$1,FALSE),2)-AE68</f>
        <v>37.730000000000132</v>
      </c>
      <c r="AG68" cm="1">
        <f t="array" ref="AG68">ROUND(($J68+$R68)*Apport_124X2425,2)</f>
        <v>800.45</v>
      </c>
      <c r="AH68" s="69" cm="1">
        <f t="array" ref="AH68">ROUND(($J68+$R68)*Apport_621X2425*Apport_125XC2425,2)-AG68</f>
        <v>73.899999999999977</v>
      </c>
      <c r="AI68" cm="1">
        <f t="array" ref="AI68">ROUND($Z68*Apport_124X2425,2)</f>
        <v>234.7</v>
      </c>
      <c r="AJ68">
        <f t="shared" si="15"/>
        <v>124.71000000000004</v>
      </c>
      <c r="AK68">
        <f t="shared" si="16"/>
        <v>908.83</v>
      </c>
      <c r="AL68">
        <f t="shared" si="17"/>
        <v>63.4</v>
      </c>
      <c r="AM68">
        <f t="shared" si="18"/>
        <v>220.86</v>
      </c>
      <c r="AN68">
        <f t="shared" si="19"/>
        <v>6.85</v>
      </c>
      <c r="AO68">
        <f>ROUND(($J68*CIS_Inc_Salary2425*(VLOOKUP($A68,EnrollData2324,'2324 Jun 24 Enroll'!AI$1,FALSE)+VLOOKUP($A68,EnrollData2324,'2324 Jun 24 Enroll'!AJ$1,FALSE))/Apport_613Xpd)*Apport_614Xpd,2)</f>
        <v>81.040000000000006</v>
      </c>
      <c r="AP68">
        <f t="shared" si="20"/>
        <v>14.19</v>
      </c>
      <c r="AQ68">
        <f t="shared" si="28"/>
        <v>31.48</v>
      </c>
      <c r="AR68" s="6">
        <f>ROUND((VLOOKUP($A68,EnrollData2324,'2324 Jun 24 Enroll'!D$1,FALSE)*Apport_M802425+VLOOKUP($A68,EnrollData2324,'2324 Jun 24 Enroll'!M$1,FALSE)*Apport_M802425+(VLOOKUP($A68,EnrollData2324,'2324 Jun 24 Enroll'!P$1,FALSE)+VLOOKUP($A68,EnrollData2324,'2324 Jun 24 Enroll'!Q$1,FALSE)+VLOOKUP($A68,EnrollData2324,'2324 Jun 24 Enroll'!R$1,FALSE)+VLOOKUP($A68,EnrollData2324,'2324 Jun 24 Enroll'!I$1,FALSE)+VLOOKUP($A68,EnrollData2324,'2324 Jun 24 Enroll'!N$1,FALSE)+VLOOKUP($A68,EnrollData2324,'2324 Jun 24 Enroll'!O$1,FALSE)+VLOOKUP($A68,EnrollData2324,'2324 Jun 24 Enroll'!K$1,FALSE)+VLOOKUP($A68,EnrollData2324,'2324 Jun 24 Enroll'!L$1,FALSE))*Apport_M812425)/(VLOOKUP($A68,EnrollData2324,'2324 Jun 24 Enroll'!M$1,FALSE)+VLOOKUP($A68,EnrollData2324,'2324 Jun 24 Enroll'!D$1,FALSE)),2)</f>
        <v>1618.92</v>
      </c>
      <c r="AS68" s="7">
        <f t="shared" si="29"/>
        <v>10606.140000000001</v>
      </c>
    </row>
    <row r="69" spans="1:48">
      <c r="A69" s="40" t="s">
        <v>727</v>
      </c>
      <c r="B69" s="40" t="s">
        <v>728</v>
      </c>
      <c r="C69" s="11">
        <f>ROUND((IFERROR((1/IF(VLOOKUP($A69,EnrollData2324,28,FALSE)='District Calculations'!$F$10,VLOOKUP($A69,EnrollData2324,28,FALSE),'District Calculations'!$F$10))*(1+Apport_Z315),0))+Apport_201A2425,6)</f>
        <v>7.4580999999999995E-2</v>
      </c>
      <c r="D69">
        <f>ROUND(IF(VLOOKUP($A69,EnrollData2324,'2324 Jun 24 Enroll'!D$1,FALSE)='District Calculations'!$F$11,VLOOKUP($A69,EnrollData2324,'2324 Jun 24 Enroll'!D$1,FALSE),'District Calculations'!$F$11)*C69,3)</f>
        <v>0</v>
      </c>
      <c r="E69">
        <f>ROUND(IF(VLOOKUP($A69,EnrollData2324,'2324 Jun 24 Enroll'!E$1,FALSE)='District Calculations'!$F$12,VLOOKUP($A69,EnrollData2324,'2324 Jun 24 Enroll'!E$1,FALSE),'District Calculations'!$F$12)*C69,3)</f>
        <v>60.447000000000003</v>
      </c>
      <c r="F69">
        <f>ROUND(IF(VLOOKUP($A69,EnrollData2324,'2324 Jun 24 Enroll'!F$1,FALSE)='District Calculations'!$F$13,VLOOKUP($A69,EnrollData2324,'2324 Jun 24 Enroll'!F$1,FALSE),'District Calculations'!$F$13)*Apport_222A2425,3)</f>
        <v>10.337999999999999</v>
      </c>
      <c r="G69">
        <f>ROUND(IF(VLOOKUP($A69,EnrollData2324,'2324 Jun 24 Enroll'!G$1,FALSE)='District Calculations'!$F$14,VLOOKUP($A69,EnrollData2324,'2324 Jun 24 Enroll'!G$1,FALSE),'District Calculations'!$F$14)*Apport_210A2425,3)</f>
        <v>22.92</v>
      </c>
      <c r="H69">
        <f>ROUND(IF(VLOOKUP($A69,EnrollData2324,'2324 Jun 24 Enroll'!H$1,FALSE)='District Calculations'!$F$15,VLOOKUP($A69,EnrollData2324,'2324 Jun 24 Enroll'!H$1,FALSE),'District Calculations'!$F$15)*Apport_213A2425,3)</f>
        <v>23.619</v>
      </c>
      <c r="I69">
        <f>ROUND(IF(VLOOKUP($A69,EnrollData2324,'2324 Jun 24 Enroll'!I$1,FALSE)+VLOOKUP($A69,EnrollData2324,'2324 Jun 24 Enroll'!M$1,FALSE)-VLOOKUP($A69,EnrollData2324,'2324 Jun 24 Enroll'!J$1,FALSE)='District Calculations'!$F$16+'District Calculations'!$F$25-'District Calculations'!$F$17,VLOOKUP($A69,EnrollData2324,'2324 Jun 24 Enroll'!I$1,FALSE)+VLOOKUP($A69,EnrollData2324,'2324 Jun 24 Enroll'!M$1,FALSE)-VLOOKUP($A69,EnrollData2324,'2324 Jun 24 Enroll'!J$1,FALSE),'District Calculations'!$F$16+'District Calculations'!$F$25-'District Calculations'!$F$17)*Apport_216A2425,3)</f>
        <v>59.057000000000002</v>
      </c>
      <c r="J69">
        <f>ROUND(SUM(D69:I69)/(IF(VLOOKUP($A69,EnrollData2324,'2324 Jun 24 Enroll'!M$1,FALSE)='District Calculations'!$F$25,VLOOKUP($A69,EnrollData2324,'2324 Jun 24 Enroll'!M$1,FALSE),'District Calculations'!$F$25)+IF(VLOOKUP($A69,EnrollData2324,'2324 Jun 24 Enroll'!D$1,FALSE)='District Calculations'!$F$11,VLOOKUP($A69,EnrollData2324,'2324 Jun 24 Enroll'!D$1,FALSE),'District Calculations'!$F$11)),5)</f>
        <v>5.6520000000000001E-2</v>
      </c>
      <c r="K69" s="11">
        <f t="shared" si="13"/>
        <v>4.385E-3</v>
      </c>
      <c r="L69">
        <f>ROUND(IF(VLOOKUP($A69,EnrollData2324,'2324 Jun 24 Enroll'!D$1,FALSE)='District Calculations'!$F$11,VLOOKUP($A69,EnrollData2324,'2324 Jun 24 Enroll'!D$1,FALSE),'District Calculations'!$F$11)*K69,3)</f>
        <v>0</v>
      </c>
      <c r="M69">
        <f>ROUND(IF(VLOOKUP($A69,EnrollData2324,'2324 Jun 24 Enroll'!E$1,FALSE)='District Calculations'!$F$12,VLOOKUP($A69,EnrollData2324,'2324 Jun 24 Enroll'!E$1,FALSE),'District Calculations'!$F$12)*K69,3)</f>
        <v>3.5539999999999998</v>
      </c>
      <c r="N69">
        <f>ROUND(IF(VLOOKUP($A69,EnrollData2324,'2324 Jun 24 Enroll'!F$1,FALSE)='District Calculations'!$F$13,VLOOKUP($A69,EnrollData2324,'2324 Jun 24 Enroll'!F$1,FALSE),'District Calculations'!$F$13)*Apport_223A2425,3)</f>
        <v>0.84599999999999997</v>
      </c>
      <c r="O69">
        <f>ROUND(IF(VLOOKUP($A69,EnrollData2324,'2324 Jun 24 Enroll'!G$1,FALSE)='District Calculations'!$F$14,VLOOKUP($A69,EnrollData2324,'2324 Jun 24 Enroll'!G$1,FALSE),'District Calculations'!$F$14)*Apport_211A2425,3)</f>
        <v>1.877</v>
      </c>
      <c r="P69">
        <f>ROUND(IF(VLOOKUP($A69,EnrollData2324,'2324 Jun 24 Enroll'!H$1,FALSE)='District Calculations'!$F$14,VLOOKUP($A69,EnrollData2324,'2324 Jun 24 Enroll'!H$1,FALSE),'District Calculations'!$F$14)*Apport_214A2425,3)</f>
        <v>1.875</v>
      </c>
      <c r="Q69">
        <f>ROUND(IF(VLOOKUP($A69,EnrollData2324,'2324 Jun 24 Enroll'!I$1,FALSE)+VLOOKUP($A69,EnrollData2324,'2324 Jun 24 Enroll'!M$1,FALSE)-VLOOKUP($A69,EnrollData2324,'2324 Jun 24 Enroll'!J$1,FALSE)='District Calculations'!$F$16+'District Calculations'!$F$25-'District Calculations'!$F$17,VLOOKUP($A69,EnrollData2324,'2324 Jun 24 Enroll'!I$1,FALSE)+VLOOKUP($A69,EnrollData2324,'2324 Jun 24 Enroll'!M$1,FALSE)-VLOOKUP($A69,EnrollData2324,'2324 Jun 24 Enroll'!J$1,FALSE),'District Calculations'!$F$16+'District Calculations'!$F$25-'District Calculations'!$F$17)*Apport_217A2425,3)</f>
        <v>4.7130000000000001</v>
      </c>
      <c r="R69">
        <f>ROUND(SUM(L69:Q69)/IF(VLOOKUP($A69,EnrollData2324,'2324 Jun 24 Enroll'!M$1,FALSE)+VLOOKUP($A69,EnrollData2324,'2324 Jun 24 Enroll'!D$1,FALSE)='District Calculations'!$F$25+'District Calculations'!$F$11,VLOOKUP($A69,EnrollData2324,'2324 Jun 24 Enroll'!M$1,FALSE)+VLOOKUP($A69,EnrollData2324,'2324 Jun 24 Enroll'!D$1,FALSE),'District Calculations'!$F$25+'District Calculations'!$F$11),5)</f>
        <v>4.1200000000000004E-3</v>
      </c>
      <c r="S69" s="11">
        <f t="shared" si="14"/>
        <v>1.8734299999999999E-2</v>
      </c>
      <c r="T69">
        <f>ROUND(IF(VLOOKUP($A69,EnrollData2324,'2324 Jun 24 Enroll'!D$1,FALSE)='District Calculations'!$F$11,VLOOKUP($A69,EnrollData2324,'2324 Jun 24 Enroll'!D$1,FALSE),'District Calculations'!$F$11)*S69,3)</f>
        <v>0</v>
      </c>
      <c r="U69">
        <f>ROUND(IF(VLOOKUP($A69,EnrollData2324,'2324 Jun 24 Enroll'!E$1,FALSE)='District Calculations'!$F$12,VLOOKUP($A69,EnrollData2324,'2324 Jun 24 Enroll'!E$1,FALSE),'District Calculations'!$F$12)*S69,3)</f>
        <v>15.183999999999999</v>
      </c>
      <c r="V69">
        <f>ROUND(IF(VLOOKUP($A69,EnrollData2324,'2324 Jun 24 Enroll'!F$1,FALSE)='District Calculations'!$F$13,VLOOKUP($A69,EnrollData2324,'2324 Jun 24 Enroll'!F$1,FALSE),'District Calculations'!$F$13)*Apport_224A2425,3)</f>
        <v>3.7109999999999999</v>
      </c>
      <c r="W69">
        <f>ROUND(IF(VLOOKUP($A69,EnrollData2324,'2324 Jun 24 Enroll'!G$1,FALSE)='District Calculations'!$F$14,VLOOKUP($A69,EnrollData2324,'2324 Jun 24 Enroll'!G$1,FALSE),'District Calculations'!$F$14)*Apport_212A2425,3)</f>
        <v>8.2279999999999998</v>
      </c>
      <c r="X69">
        <f>ROUND(IF(VLOOKUP($A69,EnrollData2324,'2324 Jun 24 Enroll'!H$1,FALSE)='District Calculations'!$F$14,VLOOKUP($A69,EnrollData2324,'2324 Jun 24 Enroll'!H$1,FALSE),'District Calculations'!$F$14)*Apport_215A2425,3)</f>
        <v>8.1180000000000003</v>
      </c>
      <c r="Y69">
        <f>ROUND(IF(VLOOKUP($A69,EnrollData2324,'2324 Jun 24 Enroll'!I$1,FALSE)+VLOOKUP($A69,EnrollData2324,'2324 Jun 24 Enroll'!M$1,FALSE)-VLOOKUP($A69,EnrollData2324,'2324 Jun 24 Enroll'!J$1,FALSE)='District Calculations'!$F$16+'District Calculations'!$F$25-'District Calculations'!$F$17,VLOOKUP($A69,EnrollData2324,'2324 Jun 24 Enroll'!I$1,FALSE)+VLOOKUP($A69,EnrollData2324,'2324 Jun 24 Enroll'!M$1,FALSE)-VLOOKUP($A69,EnrollData2324,'2324 Jun 24 Enroll'!J$1,FALSE),'District Calculations'!$F$16+'District Calculations'!$F$25-'District Calculations'!$F$17)*Apport_218A2425,3)</f>
        <v>20.257999999999999</v>
      </c>
      <c r="Z69">
        <f>ROUND(SUM(T69:Y69)/IF(VLOOKUP($A69,EnrollData2324,'2324 Jun 24 Enroll'!M$1,FALSE)+VLOOKUP($A69,EnrollData2324,'2324 Jun 24 Enroll'!D$1,FALSE)='District Calculations'!$F$25+'District Calculations'!$F$11,VLOOKUP($A69,EnrollData2324,'2324 Jun 24 Enroll'!M$1,FALSE)+VLOOKUP($A69,EnrollData2324,'2324 Jun 24 Enroll'!D$1,FALSE),'District Calculations'!$F$25+'District Calculations'!$F$11),5)</f>
        <v>1.7780000000000001E-2</v>
      </c>
      <c r="AA69" s="6">
        <f>ROUND($J69*CIS_Base_Salary2425*VLOOKUP($A69,EnrollData2324,'2324 Jun 24 Enroll'!AH$1,FALSE),2)</f>
        <v>4518.4399999999996</v>
      </c>
      <c r="AB69" s="6">
        <f>ROUND($J69*CIS_Inc_Salary2425*(VLOOKUP($A69,EnrollData2324,'2324 Jun 24 Enroll'!AI$1,FALSE)+VLOOKUP($A69,EnrollData2324,'2324 Jun 24 Enroll'!AJ$1,FALSE)),2)-AA69</f>
        <v>167.16000000000076</v>
      </c>
      <c r="AC69" s="6" cm="1">
        <f t="array" ref="AC69">ROUND($R69*CAS_Base_Salary2425*VLOOKUP($A69,EnrollData2324,'2324 Jun 24 Enroll'!AH$1,FALSE),2)</f>
        <v>488.91</v>
      </c>
      <c r="AD69" s="6">
        <f>ROUND($R69*CAS_Inc_Salary2425*VLOOKUP($A69,EnrollData2324,'2324 Jun 24 Enroll'!AI$1,FALSE),2)-AC69</f>
        <v>18.089999999999975</v>
      </c>
      <c r="AE69" s="6">
        <f>ROUND($Z69*CLS_Base_Salary2425*VLOOKUP($A69,EnrollData2324,'2324 Jun 24 Enroll'!AH$1,FALSE),2)</f>
        <v>1019.67</v>
      </c>
      <c r="AF69" s="6">
        <f>ROUND($Z69*CLS_Inc_Salary2425*VLOOKUP($A69,EnrollData2324,'2324 Jun 24 Enroll'!AI$1,FALSE),2)-AE69</f>
        <v>37.730000000000132</v>
      </c>
      <c r="AG69" cm="1">
        <f t="array" ref="AG69">ROUND(($J69+$R69)*Apport_124X2425,2)</f>
        <v>800.45</v>
      </c>
      <c r="AH69" s="69" cm="1">
        <f t="array" ref="AH69">ROUND(($J69+$R69)*Apport_621X2425*Apport_125XC2425,2)-AG69</f>
        <v>73.899999999999977</v>
      </c>
      <c r="AI69" cm="1">
        <f t="array" ref="AI69">ROUND($Z69*Apport_124X2425,2)</f>
        <v>234.7</v>
      </c>
      <c r="AJ69">
        <f t="shared" si="15"/>
        <v>124.71000000000004</v>
      </c>
      <c r="AK69">
        <f t="shared" si="16"/>
        <v>908.83</v>
      </c>
      <c r="AL69">
        <f t="shared" si="17"/>
        <v>32.44</v>
      </c>
      <c r="AM69">
        <f t="shared" si="18"/>
        <v>220.86</v>
      </c>
      <c r="AN69">
        <f t="shared" si="19"/>
        <v>6.85</v>
      </c>
      <c r="AO69">
        <f>ROUND(($J69*CIS_Inc_Salary2425*(VLOOKUP($A69,EnrollData2324,'2324 Jun 24 Enroll'!AI$1,FALSE)+VLOOKUP($A69,EnrollData2324,'2324 Jun 24 Enroll'!AJ$1,FALSE))/Apport_613Xpd)*Apport_614Xpd,2)</f>
        <v>78.09</v>
      </c>
      <c r="AP69">
        <f t="shared" si="20"/>
        <v>13.67</v>
      </c>
      <c r="AQ69">
        <f t="shared" si="28"/>
        <v>31.48</v>
      </c>
      <c r="AR69" s="6">
        <f>ROUND((VLOOKUP($A69,EnrollData2324,'2324 Jun 24 Enroll'!D$1,FALSE)*Apport_M802425+VLOOKUP($A69,EnrollData2324,'2324 Jun 24 Enroll'!M$1,FALSE)*Apport_M802425+(VLOOKUP($A69,EnrollData2324,'2324 Jun 24 Enroll'!P$1,FALSE)+VLOOKUP($A69,EnrollData2324,'2324 Jun 24 Enroll'!Q$1,FALSE)+VLOOKUP($A69,EnrollData2324,'2324 Jun 24 Enroll'!R$1,FALSE)+VLOOKUP($A69,EnrollData2324,'2324 Jun 24 Enroll'!I$1,FALSE)+VLOOKUP($A69,EnrollData2324,'2324 Jun 24 Enroll'!N$1,FALSE)+VLOOKUP($A69,EnrollData2324,'2324 Jun 24 Enroll'!O$1,FALSE)+VLOOKUP($A69,EnrollData2324,'2324 Jun 24 Enroll'!K$1,FALSE)+VLOOKUP($A69,EnrollData2324,'2324 Jun 24 Enroll'!L$1,FALSE))*Apport_M812425)/(VLOOKUP($A69,EnrollData2324,'2324 Jun 24 Enroll'!M$1,FALSE)+VLOOKUP($A69,EnrollData2324,'2324 Jun 24 Enroll'!D$1,FALSE)),2)</f>
        <v>1599.6</v>
      </c>
      <c r="AS69" s="7">
        <f t="shared" si="29"/>
        <v>10375.580000000002</v>
      </c>
    </row>
    <row r="70" spans="1:48">
      <c r="A70" t="s">
        <v>1089</v>
      </c>
      <c r="B70" t="s">
        <v>1090</v>
      </c>
      <c r="C70" s="11">
        <f>ROUND((IFERROR((1/IF(VLOOKUP($A70,EnrollData2324,28,FALSE)='District Calculations'!$F$10,VLOOKUP($A70,EnrollData2324,28,FALSE),'District Calculations'!$F$10))*(1+Apport_Z315),0))+Apport_201A2425,6)</f>
        <v>7.4580999999999995E-2</v>
      </c>
      <c r="D70">
        <f>ROUND(IF(VLOOKUP($A70,EnrollData2324,'2324 Jun 24 Enroll'!D$1,FALSE)='District Calculations'!$F$11,VLOOKUP($A70,EnrollData2324,'2324 Jun 24 Enroll'!D$1,FALSE),'District Calculations'!$F$11)*C70,3)</f>
        <v>0</v>
      </c>
      <c r="E70">
        <f>ROUND(IF(VLOOKUP($A70,EnrollData2324,'2324 Jun 24 Enroll'!E$1,FALSE)='District Calculations'!$F$12,VLOOKUP($A70,EnrollData2324,'2324 Jun 24 Enroll'!E$1,FALSE),'District Calculations'!$F$12)*C70,3)</f>
        <v>60.447000000000003</v>
      </c>
      <c r="F70">
        <f>ROUND(IF(VLOOKUP($A70,EnrollData2324,'2324 Jun 24 Enroll'!F$1,FALSE)='District Calculations'!$F$13,VLOOKUP($A70,EnrollData2324,'2324 Jun 24 Enroll'!F$1,FALSE),'District Calculations'!$F$13)*Apport_222A2425,3)</f>
        <v>10.337999999999999</v>
      </c>
      <c r="G70">
        <f>ROUND(IF(VLOOKUP($A70,EnrollData2324,'2324 Jun 24 Enroll'!G$1,FALSE)='District Calculations'!$F$14,VLOOKUP($A70,EnrollData2324,'2324 Jun 24 Enroll'!G$1,FALSE),'District Calculations'!$F$14)*Apport_210A2425,3)</f>
        <v>22.92</v>
      </c>
      <c r="H70">
        <f>ROUND(IF(VLOOKUP($A70,EnrollData2324,'2324 Jun 24 Enroll'!H$1,FALSE)='District Calculations'!$F$15,VLOOKUP($A70,EnrollData2324,'2324 Jun 24 Enroll'!H$1,FALSE),'District Calculations'!$F$15)*Apport_213A2425,3)</f>
        <v>23.619</v>
      </c>
      <c r="I70">
        <f>ROUND(IF(VLOOKUP($A70,EnrollData2324,'2324 Jun 24 Enroll'!I$1,FALSE)+VLOOKUP($A70,EnrollData2324,'2324 Jun 24 Enroll'!M$1,FALSE)-VLOOKUP($A70,EnrollData2324,'2324 Jun 24 Enroll'!J$1,FALSE)='District Calculations'!$F$16+'District Calculations'!$F$25-'District Calculations'!$F$17,VLOOKUP($A70,EnrollData2324,'2324 Jun 24 Enroll'!I$1,FALSE)+VLOOKUP($A70,EnrollData2324,'2324 Jun 24 Enroll'!M$1,FALSE)-VLOOKUP($A70,EnrollData2324,'2324 Jun 24 Enroll'!J$1,FALSE),'District Calculations'!$F$16+'District Calculations'!$F$25-'District Calculations'!$F$17)*Apport_216A2425,3)</f>
        <v>59.057000000000002</v>
      </c>
      <c r="J70">
        <f>ROUND(SUM(D70:I70)/(IF(VLOOKUP($A70,EnrollData2324,'2324 Jun 24 Enroll'!M$1,FALSE)='District Calculations'!$F$25,VLOOKUP($A70,EnrollData2324,'2324 Jun 24 Enroll'!M$1,FALSE),'District Calculations'!$F$25)+IF(VLOOKUP($A70,EnrollData2324,'2324 Jun 24 Enroll'!D$1,FALSE)='District Calculations'!$F$11,VLOOKUP($A70,EnrollData2324,'2324 Jun 24 Enroll'!D$1,FALSE),'District Calculations'!$F$11)),5)</f>
        <v>5.6520000000000001E-2</v>
      </c>
      <c r="K70" s="11">
        <f t="shared" si="13"/>
        <v>4.385E-3</v>
      </c>
      <c r="L70">
        <f>ROUND(IF(VLOOKUP($A70,EnrollData2324,'2324 Jun 24 Enroll'!D$1,FALSE)='District Calculations'!$F$11,VLOOKUP($A70,EnrollData2324,'2324 Jun 24 Enroll'!D$1,FALSE),'District Calculations'!$F$11)*K70,3)</f>
        <v>0</v>
      </c>
      <c r="M70">
        <f>ROUND(IF(VLOOKUP($A70,EnrollData2324,'2324 Jun 24 Enroll'!E$1,FALSE)='District Calculations'!$F$12,VLOOKUP($A70,EnrollData2324,'2324 Jun 24 Enroll'!E$1,FALSE),'District Calculations'!$F$12)*K70,3)</f>
        <v>3.5539999999999998</v>
      </c>
      <c r="N70">
        <f>ROUND(IF(VLOOKUP($A70,EnrollData2324,'2324 Jun 24 Enroll'!F$1,FALSE)='District Calculations'!$F$13,VLOOKUP($A70,EnrollData2324,'2324 Jun 24 Enroll'!F$1,FALSE),'District Calculations'!$F$13)*Apport_223A2425,3)</f>
        <v>0.84599999999999997</v>
      </c>
      <c r="O70">
        <f>ROUND(IF(VLOOKUP($A70,EnrollData2324,'2324 Jun 24 Enroll'!G$1,FALSE)='District Calculations'!$F$14,VLOOKUP($A70,EnrollData2324,'2324 Jun 24 Enroll'!G$1,FALSE),'District Calculations'!$F$14)*Apport_211A2425,3)</f>
        <v>1.877</v>
      </c>
      <c r="P70">
        <f>ROUND(IF(VLOOKUP($A70,EnrollData2324,'2324 Jun 24 Enroll'!H$1,FALSE)='District Calculations'!$F$14,VLOOKUP($A70,EnrollData2324,'2324 Jun 24 Enroll'!H$1,FALSE),'District Calculations'!$F$14)*Apport_214A2425,3)</f>
        <v>1.875</v>
      </c>
      <c r="Q70">
        <f>ROUND(IF(VLOOKUP($A70,EnrollData2324,'2324 Jun 24 Enroll'!I$1,FALSE)+VLOOKUP($A70,EnrollData2324,'2324 Jun 24 Enroll'!M$1,FALSE)-VLOOKUP($A70,EnrollData2324,'2324 Jun 24 Enroll'!J$1,FALSE)='District Calculations'!$F$16+'District Calculations'!$F$25-'District Calculations'!$F$17,VLOOKUP($A70,EnrollData2324,'2324 Jun 24 Enroll'!I$1,FALSE)+VLOOKUP($A70,EnrollData2324,'2324 Jun 24 Enroll'!M$1,FALSE)-VLOOKUP($A70,EnrollData2324,'2324 Jun 24 Enroll'!J$1,FALSE),'District Calculations'!$F$16+'District Calculations'!$F$25-'District Calculations'!$F$17)*Apport_217A2425,3)</f>
        <v>4.7130000000000001</v>
      </c>
      <c r="R70">
        <f>ROUND(SUM(L70:Q70)/IF(VLOOKUP($A70,EnrollData2324,'2324 Jun 24 Enroll'!M$1,FALSE)+VLOOKUP($A70,EnrollData2324,'2324 Jun 24 Enroll'!D$1,FALSE)='District Calculations'!$F$25+'District Calculations'!$F$11,VLOOKUP($A70,EnrollData2324,'2324 Jun 24 Enroll'!M$1,FALSE)+VLOOKUP($A70,EnrollData2324,'2324 Jun 24 Enroll'!D$1,FALSE),'District Calculations'!$F$25+'District Calculations'!$F$11),5)</f>
        <v>4.1200000000000004E-3</v>
      </c>
      <c r="S70" s="11">
        <f t="shared" si="14"/>
        <v>1.8734299999999999E-2</v>
      </c>
      <c r="T70">
        <f>ROUND(IF(VLOOKUP($A70,EnrollData2324,'2324 Jun 24 Enroll'!D$1,FALSE)='District Calculations'!$F$11,VLOOKUP($A70,EnrollData2324,'2324 Jun 24 Enroll'!D$1,FALSE),'District Calculations'!$F$11)*S70,3)</f>
        <v>0</v>
      </c>
      <c r="U70">
        <f>ROUND(IF(VLOOKUP($A70,EnrollData2324,'2324 Jun 24 Enroll'!E$1,FALSE)='District Calculations'!$F$12,VLOOKUP($A70,EnrollData2324,'2324 Jun 24 Enroll'!E$1,FALSE),'District Calculations'!$F$12)*S70,3)</f>
        <v>15.183999999999999</v>
      </c>
      <c r="V70">
        <f>ROUND(IF(VLOOKUP($A70,EnrollData2324,'2324 Jun 24 Enroll'!F$1,FALSE)='District Calculations'!$F$13,VLOOKUP($A70,EnrollData2324,'2324 Jun 24 Enroll'!F$1,FALSE),'District Calculations'!$F$13)*Apport_224A2425,3)</f>
        <v>3.7109999999999999</v>
      </c>
      <c r="W70">
        <f>ROUND(IF(VLOOKUP($A70,EnrollData2324,'2324 Jun 24 Enroll'!G$1,FALSE)='District Calculations'!$F$14,VLOOKUP($A70,EnrollData2324,'2324 Jun 24 Enroll'!G$1,FALSE),'District Calculations'!$F$14)*Apport_212A2425,3)</f>
        <v>8.2279999999999998</v>
      </c>
      <c r="X70">
        <f>ROUND(IF(VLOOKUP($A70,EnrollData2324,'2324 Jun 24 Enroll'!H$1,FALSE)='District Calculations'!$F$14,VLOOKUP($A70,EnrollData2324,'2324 Jun 24 Enroll'!H$1,FALSE),'District Calculations'!$F$14)*Apport_215A2425,3)</f>
        <v>8.1180000000000003</v>
      </c>
      <c r="Y70">
        <f>ROUND(IF(VLOOKUP($A70,EnrollData2324,'2324 Jun 24 Enroll'!I$1,FALSE)+VLOOKUP($A70,EnrollData2324,'2324 Jun 24 Enroll'!M$1,FALSE)-VLOOKUP($A70,EnrollData2324,'2324 Jun 24 Enroll'!J$1,FALSE)='District Calculations'!$F$16+'District Calculations'!$F$25-'District Calculations'!$F$17,VLOOKUP($A70,EnrollData2324,'2324 Jun 24 Enroll'!I$1,FALSE)+VLOOKUP($A70,EnrollData2324,'2324 Jun 24 Enroll'!M$1,FALSE)-VLOOKUP($A70,EnrollData2324,'2324 Jun 24 Enroll'!J$1,FALSE),'District Calculations'!$F$16+'District Calculations'!$F$25-'District Calculations'!$F$17)*Apport_218A2425,3)</f>
        <v>20.257999999999999</v>
      </c>
      <c r="Z70">
        <f>ROUND(SUM(T70:Y70)/IF(VLOOKUP($A70,EnrollData2324,'2324 Jun 24 Enroll'!M$1,FALSE)+VLOOKUP($A70,EnrollData2324,'2324 Jun 24 Enroll'!D$1,FALSE)='District Calculations'!$F$25+'District Calculations'!$F$11,VLOOKUP($A70,EnrollData2324,'2324 Jun 24 Enroll'!M$1,FALSE)+VLOOKUP($A70,EnrollData2324,'2324 Jun 24 Enroll'!D$1,FALSE),'District Calculations'!$F$25+'District Calculations'!$F$11),5)</f>
        <v>1.7780000000000001E-2</v>
      </c>
      <c r="AA70" s="6">
        <f>ROUND($J70*CIS_Base_Salary2425*VLOOKUP($A70,EnrollData2324,'2324 Jun 24 Enroll'!AH$1,FALSE),2)</f>
        <v>4518.4399999999996</v>
      </c>
      <c r="AB70" s="6">
        <f>ROUND($J70*CIS_Inc_Salary2425*(VLOOKUP($A70,EnrollData2324,'2324 Jun 24 Enroll'!AI$1,FALSE)+VLOOKUP($A70,EnrollData2324,'2324 Jun 24 Enroll'!AJ$1,FALSE)),2)-AA70</f>
        <v>167.16000000000076</v>
      </c>
      <c r="AC70" s="6" cm="1">
        <f t="array" ref="AC70">ROUND($R70*CAS_Base_Salary2425*VLOOKUP($A70,EnrollData2324,'2324 Jun 24 Enroll'!AH$1,FALSE),2)</f>
        <v>488.91</v>
      </c>
      <c r="AD70" s="6">
        <f>ROUND($R70*CAS_Inc_Salary2425*VLOOKUP($A70,EnrollData2324,'2324 Jun 24 Enroll'!AI$1,FALSE),2)-AC70</f>
        <v>18.089999999999975</v>
      </c>
      <c r="AE70" s="6">
        <f>ROUND($Z70*CLS_Base_Salary2425*VLOOKUP($A70,EnrollData2324,'2324 Jun 24 Enroll'!AH$1,FALSE),2)</f>
        <v>1019.67</v>
      </c>
      <c r="AF70" s="6">
        <f>ROUND($Z70*CLS_Inc_Salary2425*VLOOKUP($A70,EnrollData2324,'2324 Jun 24 Enroll'!AI$1,FALSE),2)-AE70</f>
        <v>37.730000000000132</v>
      </c>
      <c r="AG70" cm="1">
        <f t="array" ref="AG70">ROUND(($J70+$R70)*Apport_124X2425,2)</f>
        <v>800.45</v>
      </c>
      <c r="AH70" s="69" cm="1">
        <f t="array" ref="AH70">ROUND(($J70+$R70)*Apport_621X2425*Apport_125XC2425,2)-AG70</f>
        <v>73.899999999999977</v>
      </c>
      <c r="AI70" cm="1">
        <f t="array" ref="AI70">ROUND($Z70*Apport_124X2425,2)</f>
        <v>234.7</v>
      </c>
      <c r="AJ70">
        <f t="shared" si="15"/>
        <v>124.71000000000004</v>
      </c>
      <c r="AK70">
        <f t="shared" si="16"/>
        <v>908.83</v>
      </c>
      <c r="AL70">
        <f t="shared" si="17"/>
        <v>32.44</v>
      </c>
      <c r="AM70">
        <f t="shared" si="18"/>
        <v>220.86</v>
      </c>
      <c r="AN70">
        <f t="shared" si="19"/>
        <v>6.85</v>
      </c>
      <c r="AO70">
        <f>ROUND(($J70*CIS_Inc_Salary2425*(VLOOKUP($A70,EnrollData2324,'2324 Jun 24 Enroll'!AI$1,FALSE)+VLOOKUP($A70,EnrollData2324,'2324 Jun 24 Enroll'!AJ$1,FALSE))/Apport_613Xpd)*Apport_614Xpd,2)</f>
        <v>78.09</v>
      </c>
      <c r="AP70">
        <f t="shared" si="20"/>
        <v>13.67</v>
      </c>
      <c r="AQ70">
        <f t="shared" si="28"/>
        <v>31.48</v>
      </c>
      <c r="AR70" s="6">
        <f>ROUND((VLOOKUP($A70,EnrollData2324,'2324 Jun 24 Enroll'!D$1,FALSE)*Apport_M802425+VLOOKUP($A70,EnrollData2324,'2324 Jun 24 Enroll'!M$1,FALSE)*Apport_M802425+(VLOOKUP($A70,EnrollData2324,'2324 Jun 24 Enroll'!P$1,FALSE)+VLOOKUP($A70,EnrollData2324,'2324 Jun 24 Enroll'!Q$1,FALSE)+VLOOKUP($A70,EnrollData2324,'2324 Jun 24 Enroll'!R$1,FALSE)+VLOOKUP($A70,EnrollData2324,'2324 Jun 24 Enroll'!I$1,FALSE)+VLOOKUP($A70,EnrollData2324,'2324 Jun 24 Enroll'!N$1,FALSE)+VLOOKUP($A70,EnrollData2324,'2324 Jun 24 Enroll'!O$1,FALSE)+VLOOKUP($A70,EnrollData2324,'2324 Jun 24 Enroll'!K$1,FALSE)+VLOOKUP($A70,EnrollData2324,'2324 Jun 24 Enroll'!L$1,FALSE))*Apport_M812425)/(VLOOKUP($A70,EnrollData2324,'2324 Jun 24 Enroll'!M$1,FALSE)+VLOOKUP($A70,EnrollData2324,'2324 Jun 24 Enroll'!D$1,FALSE)),2)</f>
        <v>1737.05</v>
      </c>
      <c r="AS70" s="7">
        <f t="shared" si="29"/>
        <v>10513.03</v>
      </c>
      <c r="AU70"/>
      <c r="AV70"/>
    </row>
    <row r="71" spans="1:48">
      <c r="A71" s="40" t="s">
        <v>791</v>
      </c>
      <c r="B71" s="40" t="s">
        <v>792</v>
      </c>
      <c r="C71" s="11">
        <f>ROUND((IFERROR((1/IF(VLOOKUP($A71,EnrollData2324,28,FALSE)='District Calculations'!$F$10,VLOOKUP($A71,EnrollData2324,28,FALSE),'District Calculations'!$F$10))*(1+Apport_Z315),0))+Apport_201A2425,6)</f>
        <v>7.4580999999999995E-2</v>
      </c>
      <c r="D71">
        <f>ROUND(IF(VLOOKUP($A71,EnrollData2324,'2324 Jun 24 Enroll'!D$1,FALSE)='District Calculations'!$F$11,VLOOKUP($A71,EnrollData2324,'2324 Jun 24 Enroll'!D$1,FALSE),'District Calculations'!$F$11)*C71,3)</f>
        <v>0</v>
      </c>
      <c r="E71">
        <f>ROUND(IF(VLOOKUP($A71,EnrollData2324,'2324 Jun 24 Enroll'!E$1,FALSE)='District Calculations'!$F$12,VLOOKUP($A71,EnrollData2324,'2324 Jun 24 Enroll'!E$1,FALSE),'District Calculations'!$F$12)*C71,3)</f>
        <v>60.447000000000003</v>
      </c>
      <c r="F71">
        <f>ROUND(IF(VLOOKUP($A71,EnrollData2324,'2324 Jun 24 Enroll'!F$1,FALSE)='District Calculations'!$F$13,VLOOKUP($A71,EnrollData2324,'2324 Jun 24 Enroll'!F$1,FALSE),'District Calculations'!$F$13)*Apport_222A2425,3)</f>
        <v>10.337999999999999</v>
      </c>
      <c r="G71">
        <f>ROUND(IF(VLOOKUP($A71,EnrollData2324,'2324 Jun 24 Enroll'!G$1,FALSE)='District Calculations'!$F$14,VLOOKUP($A71,EnrollData2324,'2324 Jun 24 Enroll'!G$1,FALSE),'District Calculations'!$F$14)*Apport_210A2425,3)</f>
        <v>22.92</v>
      </c>
      <c r="H71">
        <f>ROUND(IF(VLOOKUP($A71,EnrollData2324,'2324 Jun 24 Enroll'!H$1,FALSE)='District Calculations'!$F$15,VLOOKUP($A71,EnrollData2324,'2324 Jun 24 Enroll'!H$1,FALSE),'District Calculations'!$F$15)*Apport_213A2425,3)</f>
        <v>23.619</v>
      </c>
      <c r="I71">
        <f>ROUND(IF(VLOOKUP($A71,EnrollData2324,'2324 Jun 24 Enroll'!I$1,FALSE)+VLOOKUP($A71,EnrollData2324,'2324 Jun 24 Enroll'!M$1,FALSE)-VLOOKUP($A71,EnrollData2324,'2324 Jun 24 Enroll'!J$1,FALSE)='District Calculations'!$F$16+'District Calculations'!$F$25-'District Calculations'!$F$17,VLOOKUP($A71,EnrollData2324,'2324 Jun 24 Enroll'!I$1,FALSE)+VLOOKUP($A71,EnrollData2324,'2324 Jun 24 Enroll'!M$1,FALSE)-VLOOKUP($A71,EnrollData2324,'2324 Jun 24 Enroll'!J$1,FALSE),'District Calculations'!$F$16+'District Calculations'!$F$25-'District Calculations'!$F$17)*Apport_216A2425,3)</f>
        <v>59.057000000000002</v>
      </c>
      <c r="J71">
        <f>ROUND(SUM(D71:I71)/(IF(VLOOKUP($A71,EnrollData2324,'2324 Jun 24 Enroll'!M$1,FALSE)='District Calculations'!$F$25,VLOOKUP($A71,EnrollData2324,'2324 Jun 24 Enroll'!M$1,FALSE),'District Calculations'!$F$25)+IF(VLOOKUP($A71,EnrollData2324,'2324 Jun 24 Enroll'!D$1,FALSE)='District Calculations'!$F$11,VLOOKUP($A71,EnrollData2324,'2324 Jun 24 Enroll'!D$1,FALSE),'District Calculations'!$F$11)),5)</f>
        <v>5.6520000000000001E-2</v>
      </c>
      <c r="K71" s="11">
        <f t="shared" si="13"/>
        <v>4.385E-3</v>
      </c>
      <c r="L71">
        <f>ROUND(IF(VLOOKUP($A71,EnrollData2324,'2324 Jun 24 Enroll'!D$1,FALSE)='District Calculations'!$F$11,VLOOKUP($A71,EnrollData2324,'2324 Jun 24 Enroll'!D$1,FALSE),'District Calculations'!$F$11)*K71,3)</f>
        <v>0</v>
      </c>
      <c r="M71">
        <f>ROUND(IF(VLOOKUP($A71,EnrollData2324,'2324 Jun 24 Enroll'!E$1,FALSE)='District Calculations'!$F$12,VLOOKUP($A71,EnrollData2324,'2324 Jun 24 Enroll'!E$1,FALSE),'District Calculations'!$F$12)*K71,3)</f>
        <v>3.5539999999999998</v>
      </c>
      <c r="N71">
        <f>ROUND(IF(VLOOKUP($A71,EnrollData2324,'2324 Jun 24 Enroll'!F$1,FALSE)='District Calculations'!$F$13,VLOOKUP($A71,EnrollData2324,'2324 Jun 24 Enroll'!F$1,FALSE),'District Calculations'!$F$13)*Apport_223A2425,3)</f>
        <v>0.84599999999999997</v>
      </c>
      <c r="O71">
        <f>ROUND(IF(VLOOKUP($A71,EnrollData2324,'2324 Jun 24 Enroll'!G$1,FALSE)='District Calculations'!$F$14,VLOOKUP($A71,EnrollData2324,'2324 Jun 24 Enroll'!G$1,FALSE),'District Calculations'!$F$14)*Apport_211A2425,3)</f>
        <v>1.877</v>
      </c>
      <c r="P71">
        <f>ROUND(IF(VLOOKUP($A71,EnrollData2324,'2324 Jun 24 Enroll'!H$1,FALSE)='District Calculations'!$F$14,VLOOKUP($A71,EnrollData2324,'2324 Jun 24 Enroll'!H$1,FALSE),'District Calculations'!$F$14)*Apport_214A2425,3)</f>
        <v>1.875</v>
      </c>
      <c r="Q71">
        <f>ROUND(IF(VLOOKUP($A71,EnrollData2324,'2324 Jun 24 Enroll'!I$1,FALSE)+VLOOKUP($A71,EnrollData2324,'2324 Jun 24 Enroll'!M$1,FALSE)-VLOOKUP($A71,EnrollData2324,'2324 Jun 24 Enroll'!J$1,FALSE)='District Calculations'!$F$16+'District Calculations'!$F$25-'District Calculations'!$F$17,VLOOKUP($A71,EnrollData2324,'2324 Jun 24 Enroll'!I$1,FALSE)+VLOOKUP($A71,EnrollData2324,'2324 Jun 24 Enroll'!M$1,FALSE)-VLOOKUP($A71,EnrollData2324,'2324 Jun 24 Enroll'!J$1,FALSE),'District Calculations'!$F$16+'District Calculations'!$F$25-'District Calculations'!$F$17)*Apport_217A2425,3)</f>
        <v>4.7130000000000001</v>
      </c>
      <c r="R71">
        <f>ROUND(SUM(L71:Q71)/IF(VLOOKUP($A71,EnrollData2324,'2324 Jun 24 Enroll'!M$1,FALSE)+VLOOKUP($A71,EnrollData2324,'2324 Jun 24 Enroll'!D$1,FALSE)='District Calculations'!$F$25+'District Calculations'!$F$11,VLOOKUP($A71,EnrollData2324,'2324 Jun 24 Enroll'!M$1,FALSE)+VLOOKUP($A71,EnrollData2324,'2324 Jun 24 Enroll'!D$1,FALSE),'District Calculations'!$F$25+'District Calculations'!$F$11),5)</f>
        <v>4.1200000000000004E-3</v>
      </c>
      <c r="S71" s="11">
        <f t="shared" si="14"/>
        <v>1.8734299999999999E-2</v>
      </c>
      <c r="T71">
        <f>ROUND(IF(VLOOKUP($A71,EnrollData2324,'2324 Jun 24 Enroll'!D$1,FALSE)='District Calculations'!$F$11,VLOOKUP($A71,EnrollData2324,'2324 Jun 24 Enroll'!D$1,FALSE),'District Calculations'!$F$11)*S71,3)</f>
        <v>0</v>
      </c>
      <c r="U71">
        <f>ROUND(IF(VLOOKUP($A71,EnrollData2324,'2324 Jun 24 Enroll'!E$1,FALSE)='District Calculations'!$F$12,VLOOKUP($A71,EnrollData2324,'2324 Jun 24 Enroll'!E$1,FALSE),'District Calculations'!$F$12)*S71,3)</f>
        <v>15.183999999999999</v>
      </c>
      <c r="V71">
        <f>ROUND(IF(VLOOKUP($A71,EnrollData2324,'2324 Jun 24 Enroll'!F$1,FALSE)='District Calculations'!$F$13,VLOOKUP($A71,EnrollData2324,'2324 Jun 24 Enroll'!F$1,FALSE),'District Calculations'!$F$13)*Apport_224A2425,3)</f>
        <v>3.7109999999999999</v>
      </c>
      <c r="W71">
        <f>ROUND(IF(VLOOKUP($A71,EnrollData2324,'2324 Jun 24 Enroll'!G$1,FALSE)='District Calculations'!$F$14,VLOOKUP($A71,EnrollData2324,'2324 Jun 24 Enroll'!G$1,FALSE),'District Calculations'!$F$14)*Apport_212A2425,3)</f>
        <v>8.2279999999999998</v>
      </c>
      <c r="X71">
        <f>ROUND(IF(VLOOKUP($A71,EnrollData2324,'2324 Jun 24 Enroll'!H$1,FALSE)='District Calculations'!$F$14,VLOOKUP($A71,EnrollData2324,'2324 Jun 24 Enroll'!H$1,FALSE),'District Calculations'!$F$14)*Apport_215A2425,3)</f>
        <v>8.1180000000000003</v>
      </c>
      <c r="Y71">
        <f>ROUND(IF(VLOOKUP($A71,EnrollData2324,'2324 Jun 24 Enroll'!I$1,FALSE)+VLOOKUP($A71,EnrollData2324,'2324 Jun 24 Enroll'!M$1,FALSE)-VLOOKUP($A71,EnrollData2324,'2324 Jun 24 Enroll'!J$1,FALSE)='District Calculations'!$F$16+'District Calculations'!$F$25-'District Calculations'!$F$17,VLOOKUP($A71,EnrollData2324,'2324 Jun 24 Enroll'!I$1,FALSE)+VLOOKUP($A71,EnrollData2324,'2324 Jun 24 Enroll'!M$1,FALSE)-VLOOKUP($A71,EnrollData2324,'2324 Jun 24 Enroll'!J$1,FALSE),'District Calculations'!$F$16+'District Calculations'!$F$25-'District Calculations'!$F$17)*Apport_218A2425,3)</f>
        <v>20.257999999999999</v>
      </c>
      <c r="Z71">
        <f>ROUND(SUM(T71:Y71)/IF(VLOOKUP($A71,EnrollData2324,'2324 Jun 24 Enroll'!M$1,FALSE)+VLOOKUP($A71,EnrollData2324,'2324 Jun 24 Enroll'!D$1,FALSE)='District Calculations'!$F$25+'District Calculations'!$F$11,VLOOKUP($A71,EnrollData2324,'2324 Jun 24 Enroll'!M$1,FALSE)+VLOOKUP($A71,EnrollData2324,'2324 Jun 24 Enroll'!D$1,FALSE),'District Calculations'!$F$25+'District Calculations'!$F$11),5)</f>
        <v>1.7780000000000001E-2</v>
      </c>
      <c r="AA71" s="6">
        <f>ROUND($J71*CIS_Base_Salary2425*VLOOKUP($A71,EnrollData2324,'2324 Jun 24 Enroll'!AH$1,FALSE),2)</f>
        <v>4262.68</v>
      </c>
      <c r="AB71" s="6">
        <f>ROUND($J71*CIS_Inc_Salary2425*(VLOOKUP($A71,EnrollData2324,'2324 Jun 24 Enroll'!AI$1,FALSE)+VLOOKUP($A71,EnrollData2324,'2324 Jun 24 Enroll'!AJ$1,FALSE)),2)-AA71</f>
        <v>157.6899999999996</v>
      </c>
      <c r="AC71" s="6" cm="1">
        <f t="array" ref="AC71">ROUND($R71*CAS_Base_Salary2425*VLOOKUP($A71,EnrollData2324,'2324 Jun 24 Enroll'!AH$1,FALSE),2)</f>
        <v>461.23</v>
      </c>
      <c r="AD71" s="6">
        <f>ROUND($R71*CAS_Inc_Salary2425*VLOOKUP($A71,EnrollData2324,'2324 Jun 24 Enroll'!AI$1,FALSE),2)-AC71</f>
        <v>17.069999999999993</v>
      </c>
      <c r="AE71" s="6">
        <f>ROUND($Z71*CLS_Base_Salary2425*VLOOKUP($A71,EnrollData2324,'2324 Jun 24 Enroll'!AH$1,FALSE),2)</f>
        <v>961.95</v>
      </c>
      <c r="AF71" s="6">
        <f>ROUND($Z71*CLS_Inc_Salary2425*VLOOKUP($A71,EnrollData2324,'2324 Jun 24 Enroll'!AI$1,FALSE),2)-AE71</f>
        <v>35.599999999999909</v>
      </c>
      <c r="AG71" cm="1">
        <f t="array" ref="AG71">ROUND(($J71+$R71)*Apport_124X2425,2)</f>
        <v>800.45</v>
      </c>
      <c r="AH71" s="69" cm="1">
        <f t="array" ref="AH71">ROUND(($J71+$R71)*Apport_621X2425*Apport_125XC2425,2)-AG71</f>
        <v>73.899999999999977</v>
      </c>
      <c r="AI71" cm="1">
        <f t="array" ref="AI71">ROUND($Z71*Apport_124X2425,2)</f>
        <v>234.7</v>
      </c>
      <c r="AJ71">
        <f t="shared" si="15"/>
        <v>124.71000000000004</v>
      </c>
      <c r="AK71">
        <f t="shared" si="16"/>
        <v>857.39</v>
      </c>
      <c r="AL71">
        <f t="shared" si="17"/>
        <v>30.6</v>
      </c>
      <c r="AM71">
        <f t="shared" si="18"/>
        <v>208.36</v>
      </c>
      <c r="AN71">
        <f t="shared" si="19"/>
        <v>6.46</v>
      </c>
      <c r="AO71">
        <f>ROUND(($J71*CIS_Inc_Salary2425*(VLOOKUP($A71,EnrollData2324,'2324 Jun 24 Enroll'!AI$1,FALSE)+VLOOKUP($A71,EnrollData2324,'2324 Jun 24 Enroll'!AJ$1,FALSE))/Apport_613Xpd)*Apport_614Xpd,2)</f>
        <v>73.67</v>
      </c>
      <c r="AP71">
        <f t="shared" si="20"/>
        <v>12.9</v>
      </c>
      <c r="AQ71">
        <f t="shared" si="28"/>
        <v>31.48</v>
      </c>
      <c r="AR71" s="6">
        <f>ROUND((VLOOKUP($A71,EnrollData2324,'2324 Jun 24 Enroll'!D$1,FALSE)*Apport_M802425+VLOOKUP($A71,EnrollData2324,'2324 Jun 24 Enroll'!M$1,FALSE)*Apport_M802425+(VLOOKUP($A71,EnrollData2324,'2324 Jun 24 Enroll'!P$1,FALSE)+VLOOKUP($A71,EnrollData2324,'2324 Jun 24 Enroll'!Q$1,FALSE)+VLOOKUP($A71,EnrollData2324,'2324 Jun 24 Enroll'!R$1,FALSE)+VLOOKUP($A71,EnrollData2324,'2324 Jun 24 Enroll'!I$1,FALSE)+VLOOKUP($A71,EnrollData2324,'2324 Jun 24 Enroll'!N$1,FALSE)+VLOOKUP($A71,EnrollData2324,'2324 Jun 24 Enroll'!O$1,FALSE)+VLOOKUP($A71,EnrollData2324,'2324 Jun 24 Enroll'!K$1,FALSE)+VLOOKUP($A71,EnrollData2324,'2324 Jun 24 Enroll'!L$1,FALSE))*Apport_M812425)/(VLOOKUP($A71,EnrollData2324,'2324 Jun 24 Enroll'!M$1,FALSE)+VLOOKUP($A71,EnrollData2324,'2324 Jun 24 Enroll'!D$1,FALSE)),2)</f>
        <v>1730.4</v>
      </c>
      <c r="AS71" s="7">
        <f t="shared" si="29"/>
        <v>10081.239999999998</v>
      </c>
    </row>
    <row r="72" spans="1:48">
      <c r="A72" s="40" t="s">
        <v>558</v>
      </c>
      <c r="B72" s="40" t="s">
        <v>559</v>
      </c>
      <c r="C72" s="11">
        <f>ROUND((IFERROR((1/IF(VLOOKUP($A72,EnrollData2324,28,FALSE)='District Calculations'!$F$10,VLOOKUP($A72,EnrollData2324,28,FALSE),'District Calculations'!$F$10))*(1+Apport_Z315),0))+Apport_201A2425,6)</f>
        <v>7.4580999999999995E-2</v>
      </c>
      <c r="D72">
        <f>ROUND(IF(VLOOKUP($A72,EnrollData2324,'2324 Jun 24 Enroll'!D$1,FALSE)='District Calculations'!$F$11,VLOOKUP($A72,EnrollData2324,'2324 Jun 24 Enroll'!D$1,FALSE),'District Calculations'!$F$11)*C72,3)</f>
        <v>0</v>
      </c>
      <c r="E72">
        <f>ROUND(IF(VLOOKUP($A72,EnrollData2324,'2324 Jun 24 Enroll'!E$1,FALSE)='District Calculations'!$F$12,VLOOKUP($A72,EnrollData2324,'2324 Jun 24 Enroll'!E$1,FALSE),'District Calculations'!$F$12)*C72,3)</f>
        <v>60.447000000000003</v>
      </c>
      <c r="F72">
        <f>ROUND(IF(VLOOKUP($A72,EnrollData2324,'2324 Jun 24 Enroll'!F$1,FALSE)='District Calculations'!$F$13,VLOOKUP($A72,EnrollData2324,'2324 Jun 24 Enroll'!F$1,FALSE),'District Calculations'!$F$13)*Apport_222A2425,3)</f>
        <v>10.337999999999999</v>
      </c>
      <c r="G72">
        <f>ROUND(IF(VLOOKUP($A72,EnrollData2324,'2324 Jun 24 Enroll'!G$1,FALSE)='District Calculations'!$F$14,VLOOKUP($A72,EnrollData2324,'2324 Jun 24 Enroll'!G$1,FALSE),'District Calculations'!$F$14)*Apport_210A2425,3)</f>
        <v>22.92</v>
      </c>
      <c r="H72">
        <f>ROUND(IF(VLOOKUP($A72,EnrollData2324,'2324 Jun 24 Enroll'!H$1,FALSE)='District Calculations'!$F$15,VLOOKUP($A72,EnrollData2324,'2324 Jun 24 Enroll'!H$1,FALSE),'District Calculations'!$F$15)*Apport_213A2425,3)</f>
        <v>23.619</v>
      </c>
      <c r="I72">
        <f>ROUND(IF(VLOOKUP($A72,EnrollData2324,'2324 Jun 24 Enroll'!I$1,FALSE)+VLOOKUP($A72,EnrollData2324,'2324 Jun 24 Enroll'!M$1,FALSE)-VLOOKUP($A72,EnrollData2324,'2324 Jun 24 Enroll'!J$1,FALSE)='District Calculations'!$F$16+'District Calculations'!$F$25-'District Calculations'!$F$17,VLOOKUP($A72,EnrollData2324,'2324 Jun 24 Enroll'!I$1,FALSE)+VLOOKUP($A72,EnrollData2324,'2324 Jun 24 Enroll'!M$1,FALSE)-VLOOKUP($A72,EnrollData2324,'2324 Jun 24 Enroll'!J$1,FALSE),'District Calculations'!$F$16+'District Calculations'!$F$25-'District Calculations'!$F$17)*Apport_216A2425,3)</f>
        <v>59.057000000000002</v>
      </c>
      <c r="J72">
        <f>ROUND(SUM(D72:I72)/(IF(VLOOKUP($A72,EnrollData2324,'2324 Jun 24 Enroll'!M$1,FALSE)='District Calculations'!$F$25,VLOOKUP($A72,EnrollData2324,'2324 Jun 24 Enroll'!M$1,FALSE),'District Calculations'!$F$25)+IF(VLOOKUP($A72,EnrollData2324,'2324 Jun 24 Enroll'!D$1,FALSE)='District Calculations'!$F$11,VLOOKUP($A72,EnrollData2324,'2324 Jun 24 Enroll'!D$1,FALSE),'District Calculations'!$F$11)),5)</f>
        <v>5.6520000000000001E-2</v>
      </c>
      <c r="K72" s="11">
        <f t="shared" si="13"/>
        <v>4.385E-3</v>
      </c>
      <c r="L72">
        <f>ROUND(IF(VLOOKUP($A72,EnrollData2324,'2324 Jun 24 Enroll'!D$1,FALSE)='District Calculations'!$F$11,VLOOKUP($A72,EnrollData2324,'2324 Jun 24 Enroll'!D$1,FALSE),'District Calculations'!$F$11)*K72,3)</f>
        <v>0</v>
      </c>
      <c r="M72">
        <f>ROUND(IF(VLOOKUP($A72,EnrollData2324,'2324 Jun 24 Enroll'!E$1,FALSE)='District Calculations'!$F$12,VLOOKUP($A72,EnrollData2324,'2324 Jun 24 Enroll'!E$1,FALSE),'District Calculations'!$F$12)*K72,3)</f>
        <v>3.5539999999999998</v>
      </c>
      <c r="N72">
        <f>ROUND(IF(VLOOKUP($A72,EnrollData2324,'2324 Jun 24 Enroll'!F$1,FALSE)='District Calculations'!$F$13,VLOOKUP($A72,EnrollData2324,'2324 Jun 24 Enroll'!F$1,FALSE),'District Calculations'!$F$13)*Apport_223A2425,3)</f>
        <v>0.84599999999999997</v>
      </c>
      <c r="O72">
        <f>ROUND(IF(VLOOKUP($A72,EnrollData2324,'2324 Jun 24 Enroll'!G$1,FALSE)='District Calculations'!$F$14,VLOOKUP($A72,EnrollData2324,'2324 Jun 24 Enroll'!G$1,FALSE),'District Calculations'!$F$14)*Apport_211A2425,3)</f>
        <v>1.877</v>
      </c>
      <c r="P72">
        <f>ROUND(IF(VLOOKUP($A72,EnrollData2324,'2324 Jun 24 Enroll'!H$1,FALSE)='District Calculations'!$F$14,VLOOKUP($A72,EnrollData2324,'2324 Jun 24 Enroll'!H$1,FALSE),'District Calculations'!$F$14)*Apport_214A2425,3)</f>
        <v>1.875</v>
      </c>
      <c r="Q72">
        <f>ROUND(IF(VLOOKUP($A72,EnrollData2324,'2324 Jun 24 Enroll'!I$1,FALSE)+VLOOKUP($A72,EnrollData2324,'2324 Jun 24 Enroll'!M$1,FALSE)-VLOOKUP($A72,EnrollData2324,'2324 Jun 24 Enroll'!J$1,FALSE)='District Calculations'!$F$16+'District Calculations'!$F$25-'District Calculations'!$F$17,VLOOKUP($A72,EnrollData2324,'2324 Jun 24 Enroll'!I$1,FALSE)+VLOOKUP($A72,EnrollData2324,'2324 Jun 24 Enroll'!M$1,FALSE)-VLOOKUP($A72,EnrollData2324,'2324 Jun 24 Enroll'!J$1,FALSE),'District Calculations'!$F$16+'District Calculations'!$F$25-'District Calculations'!$F$17)*Apport_217A2425,3)</f>
        <v>4.7130000000000001</v>
      </c>
      <c r="R72">
        <f>ROUND(SUM(L72:Q72)/IF(VLOOKUP($A72,EnrollData2324,'2324 Jun 24 Enroll'!M$1,FALSE)+VLOOKUP($A72,EnrollData2324,'2324 Jun 24 Enroll'!D$1,FALSE)='District Calculations'!$F$25+'District Calculations'!$F$11,VLOOKUP($A72,EnrollData2324,'2324 Jun 24 Enroll'!M$1,FALSE)+VLOOKUP($A72,EnrollData2324,'2324 Jun 24 Enroll'!D$1,FALSE),'District Calculations'!$F$25+'District Calculations'!$F$11),5)</f>
        <v>4.1200000000000004E-3</v>
      </c>
      <c r="S72" s="11">
        <f t="shared" si="14"/>
        <v>1.8734299999999999E-2</v>
      </c>
      <c r="T72">
        <f>ROUND(IF(VLOOKUP($A72,EnrollData2324,'2324 Jun 24 Enroll'!D$1,FALSE)='District Calculations'!$F$11,VLOOKUP($A72,EnrollData2324,'2324 Jun 24 Enroll'!D$1,FALSE),'District Calculations'!$F$11)*S72,3)</f>
        <v>0</v>
      </c>
      <c r="U72">
        <f>ROUND(IF(VLOOKUP($A72,EnrollData2324,'2324 Jun 24 Enroll'!E$1,FALSE)='District Calculations'!$F$12,VLOOKUP($A72,EnrollData2324,'2324 Jun 24 Enroll'!E$1,FALSE),'District Calculations'!$F$12)*S72,3)</f>
        <v>15.183999999999999</v>
      </c>
      <c r="V72">
        <f>ROUND(IF(VLOOKUP($A72,EnrollData2324,'2324 Jun 24 Enroll'!F$1,FALSE)='District Calculations'!$F$13,VLOOKUP($A72,EnrollData2324,'2324 Jun 24 Enroll'!F$1,FALSE),'District Calculations'!$F$13)*Apport_224A2425,3)</f>
        <v>3.7109999999999999</v>
      </c>
      <c r="W72">
        <f>ROUND(IF(VLOOKUP($A72,EnrollData2324,'2324 Jun 24 Enroll'!G$1,FALSE)='District Calculations'!$F$14,VLOOKUP($A72,EnrollData2324,'2324 Jun 24 Enroll'!G$1,FALSE),'District Calculations'!$F$14)*Apport_212A2425,3)</f>
        <v>8.2279999999999998</v>
      </c>
      <c r="X72">
        <f>ROUND(IF(VLOOKUP($A72,EnrollData2324,'2324 Jun 24 Enroll'!H$1,FALSE)='District Calculations'!$F$14,VLOOKUP($A72,EnrollData2324,'2324 Jun 24 Enroll'!H$1,FALSE),'District Calculations'!$F$14)*Apport_215A2425,3)</f>
        <v>8.1180000000000003</v>
      </c>
      <c r="Y72">
        <f>ROUND(IF(VLOOKUP($A72,EnrollData2324,'2324 Jun 24 Enroll'!I$1,FALSE)+VLOOKUP($A72,EnrollData2324,'2324 Jun 24 Enroll'!M$1,FALSE)-VLOOKUP($A72,EnrollData2324,'2324 Jun 24 Enroll'!J$1,FALSE)='District Calculations'!$F$16+'District Calculations'!$F$25-'District Calculations'!$F$17,VLOOKUP($A72,EnrollData2324,'2324 Jun 24 Enroll'!I$1,FALSE)+VLOOKUP($A72,EnrollData2324,'2324 Jun 24 Enroll'!M$1,FALSE)-VLOOKUP($A72,EnrollData2324,'2324 Jun 24 Enroll'!J$1,FALSE),'District Calculations'!$F$16+'District Calculations'!$F$25-'District Calculations'!$F$17)*Apport_218A2425,3)</f>
        <v>20.257999999999999</v>
      </c>
      <c r="Z72">
        <f>ROUND(SUM(T72:Y72)/IF(VLOOKUP($A72,EnrollData2324,'2324 Jun 24 Enroll'!M$1,FALSE)+VLOOKUP($A72,EnrollData2324,'2324 Jun 24 Enroll'!D$1,FALSE)='District Calculations'!$F$25+'District Calculations'!$F$11,VLOOKUP($A72,EnrollData2324,'2324 Jun 24 Enroll'!M$1,FALSE)+VLOOKUP($A72,EnrollData2324,'2324 Jun 24 Enroll'!D$1,FALSE),'District Calculations'!$F$25+'District Calculations'!$F$11),5)</f>
        <v>1.7780000000000001E-2</v>
      </c>
      <c r="AA72" s="6">
        <f>ROUND($J72*CIS_Base_Salary2425*VLOOKUP($A72,EnrollData2324,'2324 Jun 24 Enroll'!AH$1,FALSE),2)</f>
        <v>4262.68</v>
      </c>
      <c r="AB72" s="6">
        <f>ROUND($J72*CIS_Inc_Salary2425*(VLOOKUP($A72,EnrollData2324,'2324 Jun 24 Enroll'!AI$1,FALSE)+VLOOKUP($A72,EnrollData2324,'2324 Jun 24 Enroll'!AJ$1,FALSE)),2)-AA72</f>
        <v>157.6899999999996</v>
      </c>
      <c r="AC72" s="6" cm="1">
        <f t="array" ref="AC72">ROUND($R72*CAS_Base_Salary2425*VLOOKUP($A72,EnrollData2324,'2324 Jun 24 Enroll'!AH$1,FALSE),2)</f>
        <v>461.23</v>
      </c>
      <c r="AD72" s="6">
        <f>ROUND($R72*CAS_Inc_Salary2425*VLOOKUP($A72,EnrollData2324,'2324 Jun 24 Enroll'!AI$1,FALSE),2)-AC72</f>
        <v>17.069999999999993</v>
      </c>
      <c r="AE72" s="6">
        <f>ROUND($Z72*CLS_Base_Salary2425*VLOOKUP($A72,EnrollData2324,'2324 Jun 24 Enroll'!AH$1,FALSE),2)</f>
        <v>961.95</v>
      </c>
      <c r="AF72" s="6">
        <f>ROUND($Z72*CLS_Inc_Salary2425*VLOOKUP($A72,EnrollData2324,'2324 Jun 24 Enroll'!AI$1,FALSE),2)-AE72</f>
        <v>35.599999999999909</v>
      </c>
      <c r="AG72" cm="1">
        <f t="array" ref="AG72">ROUND(($J72+$R72)*Apport_124X2425,2)</f>
        <v>800.45</v>
      </c>
      <c r="AH72" s="69" cm="1">
        <f t="array" ref="AH72">ROUND(($J72+$R72)*Apport_621X2425*Apport_125XC2425,2)-AG72</f>
        <v>73.899999999999977</v>
      </c>
      <c r="AI72" cm="1">
        <f t="array" ref="AI72">ROUND($Z72*Apport_124X2425,2)</f>
        <v>234.7</v>
      </c>
      <c r="AJ72">
        <f t="shared" si="15"/>
        <v>124.71000000000004</v>
      </c>
      <c r="AK72">
        <f t="shared" si="16"/>
        <v>857.39</v>
      </c>
      <c r="AL72">
        <f t="shared" si="17"/>
        <v>30.6</v>
      </c>
      <c r="AM72">
        <f t="shared" si="18"/>
        <v>208.36</v>
      </c>
      <c r="AN72">
        <f t="shared" si="19"/>
        <v>6.46</v>
      </c>
      <c r="AO72">
        <f>ROUND(($J72*CIS_Inc_Salary2425*(VLOOKUP($A72,EnrollData2324,'2324 Jun 24 Enroll'!AI$1,FALSE)+VLOOKUP($A72,EnrollData2324,'2324 Jun 24 Enroll'!AJ$1,FALSE))/Apport_613Xpd)*Apport_614Xpd,2)</f>
        <v>73.67</v>
      </c>
      <c r="AP72">
        <f t="shared" si="20"/>
        <v>12.9</v>
      </c>
      <c r="AQ72">
        <f t="shared" si="28"/>
        <v>31.48</v>
      </c>
      <c r="AR72" s="6">
        <f>ROUND((VLOOKUP($A72,EnrollData2324,'2324 Jun 24 Enroll'!D$1,FALSE)*Apport_M802425+VLOOKUP($A72,EnrollData2324,'2324 Jun 24 Enroll'!M$1,FALSE)*Apport_M802425+(VLOOKUP($A72,EnrollData2324,'2324 Jun 24 Enroll'!P$1,FALSE)+VLOOKUP($A72,EnrollData2324,'2324 Jun 24 Enroll'!Q$1,FALSE)+VLOOKUP($A72,EnrollData2324,'2324 Jun 24 Enroll'!R$1,FALSE)+VLOOKUP($A72,EnrollData2324,'2324 Jun 24 Enroll'!I$1,FALSE)+VLOOKUP($A72,EnrollData2324,'2324 Jun 24 Enroll'!N$1,FALSE)+VLOOKUP($A72,EnrollData2324,'2324 Jun 24 Enroll'!O$1,FALSE)+VLOOKUP($A72,EnrollData2324,'2324 Jun 24 Enroll'!K$1,FALSE)+VLOOKUP($A72,EnrollData2324,'2324 Jun 24 Enroll'!L$1,FALSE))*Apport_M812425)/(VLOOKUP($A72,EnrollData2324,'2324 Jun 24 Enroll'!M$1,FALSE)+VLOOKUP($A72,EnrollData2324,'2324 Jun 24 Enroll'!D$1,FALSE)),2)</f>
        <v>1598.94</v>
      </c>
      <c r="AS72" s="7">
        <f t="shared" si="29"/>
        <v>9949.7799999999988</v>
      </c>
    </row>
    <row r="73" spans="1:48">
      <c r="A73" s="40" t="s">
        <v>366</v>
      </c>
      <c r="B73" s="40" t="s">
        <v>367</v>
      </c>
      <c r="C73" s="11">
        <f>ROUND((IFERROR((1/IF(VLOOKUP($A73,EnrollData2324,28,FALSE)='District Calculations'!$F$10,VLOOKUP($A73,EnrollData2324,28,FALSE),'District Calculations'!$F$10))*(1+Apport_Z315),0))+Apport_201A2425,6)</f>
        <v>7.4580999999999995E-2</v>
      </c>
      <c r="D73">
        <f>ROUND(IF(VLOOKUP($A73,EnrollData2324,'2324 Jun 24 Enroll'!D$1,FALSE)='District Calculations'!$F$11,VLOOKUP($A73,EnrollData2324,'2324 Jun 24 Enroll'!D$1,FALSE),'District Calculations'!$F$11)*C73,3)</f>
        <v>0</v>
      </c>
      <c r="E73">
        <f>ROUND(IF(VLOOKUP($A73,EnrollData2324,'2324 Jun 24 Enroll'!E$1,FALSE)='District Calculations'!$F$12,VLOOKUP($A73,EnrollData2324,'2324 Jun 24 Enroll'!E$1,FALSE),'District Calculations'!$F$12)*C73,3)</f>
        <v>60.447000000000003</v>
      </c>
      <c r="F73">
        <f>ROUND(IF(VLOOKUP($A73,EnrollData2324,'2324 Jun 24 Enroll'!F$1,FALSE)='District Calculations'!$F$13,VLOOKUP($A73,EnrollData2324,'2324 Jun 24 Enroll'!F$1,FALSE),'District Calculations'!$F$13)*Apport_222A2425,3)</f>
        <v>10.337999999999999</v>
      </c>
      <c r="G73">
        <f>ROUND(IF(VLOOKUP($A73,EnrollData2324,'2324 Jun 24 Enroll'!G$1,FALSE)='District Calculations'!$F$14,VLOOKUP($A73,EnrollData2324,'2324 Jun 24 Enroll'!G$1,FALSE),'District Calculations'!$F$14)*Apport_210A2425,3)</f>
        <v>22.92</v>
      </c>
      <c r="H73">
        <f>ROUND(IF(VLOOKUP($A73,EnrollData2324,'2324 Jun 24 Enroll'!H$1,FALSE)='District Calculations'!$F$15,VLOOKUP($A73,EnrollData2324,'2324 Jun 24 Enroll'!H$1,FALSE),'District Calculations'!$F$15)*Apport_213A2425,3)</f>
        <v>23.619</v>
      </c>
      <c r="I73">
        <f>ROUND(IF(VLOOKUP($A73,EnrollData2324,'2324 Jun 24 Enroll'!I$1,FALSE)+VLOOKUP($A73,EnrollData2324,'2324 Jun 24 Enroll'!M$1,FALSE)-VLOOKUP($A73,EnrollData2324,'2324 Jun 24 Enroll'!J$1,FALSE)='District Calculations'!$F$16+'District Calculations'!$F$25-'District Calculations'!$F$17,VLOOKUP($A73,EnrollData2324,'2324 Jun 24 Enroll'!I$1,FALSE)+VLOOKUP($A73,EnrollData2324,'2324 Jun 24 Enroll'!M$1,FALSE)-VLOOKUP($A73,EnrollData2324,'2324 Jun 24 Enroll'!J$1,FALSE),'District Calculations'!$F$16+'District Calculations'!$F$25-'District Calculations'!$F$17)*Apport_216A2425,3)</f>
        <v>59.057000000000002</v>
      </c>
      <c r="J73">
        <f>ROUND(SUM(D73:I73)/(IF(VLOOKUP($A73,EnrollData2324,'2324 Jun 24 Enroll'!M$1,FALSE)='District Calculations'!$F$25,VLOOKUP($A73,EnrollData2324,'2324 Jun 24 Enroll'!M$1,FALSE),'District Calculations'!$F$25)+IF(VLOOKUP($A73,EnrollData2324,'2324 Jun 24 Enroll'!D$1,FALSE)='District Calculations'!$F$11,VLOOKUP($A73,EnrollData2324,'2324 Jun 24 Enroll'!D$1,FALSE),'District Calculations'!$F$11)),5)</f>
        <v>5.6520000000000001E-2</v>
      </c>
      <c r="K73" s="11">
        <f t="shared" si="13"/>
        <v>4.385E-3</v>
      </c>
      <c r="L73">
        <f>ROUND(IF(VLOOKUP($A73,EnrollData2324,'2324 Jun 24 Enroll'!D$1,FALSE)='District Calculations'!$F$11,VLOOKUP($A73,EnrollData2324,'2324 Jun 24 Enroll'!D$1,FALSE),'District Calculations'!$F$11)*K73,3)</f>
        <v>0</v>
      </c>
      <c r="M73">
        <f>ROUND(IF(VLOOKUP($A73,EnrollData2324,'2324 Jun 24 Enroll'!E$1,FALSE)='District Calculations'!$F$12,VLOOKUP($A73,EnrollData2324,'2324 Jun 24 Enroll'!E$1,FALSE),'District Calculations'!$F$12)*K73,3)</f>
        <v>3.5539999999999998</v>
      </c>
      <c r="N73">
        <f>ROUND(IF(VLOOKUP($A73,EnrollData2324,'2324 Jun 24 Enroll'!F$1,FALSE)='District Calculations'!$F$13,VLOOKUP($A73,EnrollData2324,'2324 Jun 24 Enroll'!F$1,FALSE),'District Calculations'!$F$13)*Apport_223A2425,3)</f>
        <v>0.84599999999999997</v>
      </c>
      <c r="O73">
        <f>ROUND(IF(VLOOKUP($A73,EnrollData2324,'2324 Jun 24 Enroll'!G$1,FALSE)='District Calculations'!$F$14,VLOOKUP($A73,EnrollData2324,'2324 Jun 24 Enroll'!G$1,FALSE),'District Calculations'!$F$14)*Apport_211A2425,3)</f>
        <v>1.877</v>
      </c>
      <c r="P73">
        <f>ROUND(IF(VLOOKUP($A73,EnrollData2324,'2324 Jun 24 Enroll'!H$1,FALSE)='District Calculations'!$F$14,VLOOKUP($A73,EnrollData2324,'2324 Jun 24 Enroll'!H$1,FALSE),'District Calculations'!$F$14)*Apport_214A2425,3)</f>
        <v>1.875</v>
      </c>
      <c r="Q73">
        <f>ROUND(IF(VLOOKUP($A73,EnrollData2324,'2324 Jun 24 Enroll'!I$1,FALSE)+VLOOKUP($A73,EnrollData2324,'2324 Jun 24 Enroll'!M$1,FALSE)-VLOOKUP($A73,EnrollData2324,'2324 Jun 24 Enroll'!J$1,FALSE)='District Calculations'!$F$16+'District Calculations'!$F$25-'District Calculations'!$F$17,VLOOKUP($A73,EnrollData2324,'2324 Jun 24 Enroll'!I$1,FALSE)+VLOOKUP($A73,EnrollData2324,'2324 Jun 24 Enroll'!M$1,FALSE)-VLOOKUP($A73,EnrollData2324,'2324 Jun 24 Enroll'!J$1,FALSE),'District Calculations'!$F$16+'District Calculations'!$F$25-'District Calculations'!$F$17)*Apport_217A2425,3)</f>
        <v>4.7130000000000001</v>
      </c>
      <c r="R73">
        <f>ROUND(SUM(L73:Q73)/IF(VLOOKUP($A73,EnrollData2324,'2324 Jun 24 Enroll'!M$1,FALSE)+VLOOKUP($A73,EnrollData2324,'2324 Jun 24 Enroll'!D$1,FALSE)='District Calculations'!$F$25+'District Calculations'!$F$11,VLOOKUP($A73,EnrollData2324,'2324 Jun 24 Enroll'!M$1,FALSE)+VLOOKUP($A73,EnrollData2324,'2324 Jun 24 Enroll'!D$1,FALSE),'District Calculations'!$F$25+'District Calculations'!$F$11),5)</f>
        <v>4.1200000000000004E-3</v>
      </c>
      <c r="S73" s="11">
        <f t="shared" si="14"/>
        <v>1.8734299999999999E-2</v>
      </c>
      <c r="T73">
        <f>ROUND(IF(VLOOKUP($A73,EnrollData2324,'2324 Jun 24 Enroll'!D$1,FALSE)='District Calculations'!$F$11,VLOOKUP($A73,EnrollData2324,'2324 Jun 24 Enroll'!D$1,FALSE),'District Calculations'!$F$11)*S73,3)</f>
        <v>0</v>
      </c>
      <c r="U73">
        <f>ROUND(IF(VLOOKUP($A73,EnrollData2324,'2324 Jun 24 Enroll'!E$1,FALSE)='District Calculations'!$F$12,VLOOKUP($A73,EnrollData2324,'2324 Jun 24 Enroll'!E$1,FALSE),'District Calculations'!$F$12)*S73,3)</f>
        <v>15.183999999999999</v>
      </c>
      <c r="V73">
        <f>ROUND(IF(VLOOKUP($A73,EnrollData2324,'2324 Jun 24 Enroll'!F$1,FALSE)='District Calculations'!$F$13,VLOOKUP($A73,EnrollData2324,'2324 Jun 24 Enroll'!F$1,FALSE),'District Calculations'!$F$13)*Apport_224A2425,3)</f>
        <v>3.7109999999999999</v>
      </c>
      <c r="W73">
        <f>ROUND(IF(VLOOKUP($A73,EnrollData2324,'2324 Jun 24 Enroll'!G$1,FALSE)='District Calculations'!$F$14,VLOOKUP($A73,EnrollData2324,'2324 Jun 24 Enroll'!G$1,FALSE),'District Calculations'!$F$14)*Apport_212A2425,3)</f>
        <v>8.2279999999999998</v>
      </c>
      <c r="X73">
        <f>ROUND(IF(VLOOKUP($A73,EnrollData2324,'2324 Jun 24 Enroll'!H$1,FALSE)='District Calculations'!$F$14,VLOOKUP($A73,EnrollData2324,'2324 Jun 24 Enroll'!H$1,FALSE),'District Calculations'!$F$14)*Apport_215A2425,3)</f>
        <v>8.1180000000000003</v>
      </c>
      <c r="Y73">
        <f>ROUND(IF(VLOOKUP($A73,EnrollData2324,'2324 Jun 24 Enroll'!I$1,FALSE)+VLOOKUP($A73,EnrollData2324,'2324 Jun 24 Enroll'!M$1,FALSE)-VLOOKUP($A73,EnrollData2324,'2324 Jun 24 Enroll'!J$1,FALSE)='District Calculations'!$F$16+'District Calculations'!$F$25-'District Calculations'!$F$17,VLOOKUP($A73,EnrollData2324,'2324 Jun 24 Enroll'!I$1,FALSE)+VLOOKUP($A73,EnrollData2324,'2324 Jun 24 Enroll'!M$1,FALSE)-VLOOKUP($A73,EnrollData2324,'2324 Jun 24 Enroll'!J$1,FALSE),'District Calculations'!$F$16+'District Calculations'!$F$25-'District Calculations'!$F$17)*Apport_218A2425,3)</f>
        <v>20.257999999999999</v>
      </c>
      <c r="Z73">
        <f>ROUND(SUM(T73:Y73)/IF(VLOOKUP($A73,EnrollData2324,'2324 Jun 24 Enroll'!M$1,FALSE)+VLOOKUP($A73,EnrollData2324,'2324 Jun 24 Enroll'!D$1,FALSE)='District Calculations'!$F$25+'District Calculations'!$F$11,VLOOKUP($A73,EnrollData2324,'2324 Jun 24 Enroll'!M$1,FALSE)+VLOOKUP($A73,EnrollData2324,'2324 Jun 24 Enroll'!D$1,FALSE),'District Calculations'!$F$25+'District Calculations'!$F$11),5)</f>
        <v>1.7780000000000001E-2</v>
      </c>
      <c r="AA73" s="6">
        <f>ROUND($J73*CIS_Base_Salary2425*VLOOKUP($A73,EnrollData2324,'2324 Jun 24 Enroll'!AH$1,FALSE),2)</f>
        <v>4262.68</v>
      </c>
      <c r="AB73" s="6">
        <f>ROUND($J73*CIS_Inc_Salary2425*(VLOOKUP($A73,EnrollData2324,'2324 Jun 24 Enroll'!AI$1,FALSE)+VLOOKUP($A73,EnrollData2324,'2324 Jun 24 Enroll'!AJ$1,FALSE)),2)-AA73</f>
        <v>157.6899999999996</v>
      </c>
      <c r="AC73" s="6" cm="1">
        <f t="array" ref="AC73">ROUND($R73*CAS_Base_Salary2425*VLOOKUP($A73,EnrollData2324,'2324 Jun 24 Enroll'!AH$1,FALSE),2)</f>
        <v>461.23</v>
      </c>
      <c r="AD73" s="6">
        <f>ROUND($R73*CAS_Inc_Salary2425*VLOOKUP($A73,EnrollData2324,'2324 Jun 24 Enroll'!AI$1,FALSE),2)-AC73</f>
        <v>17.069999999999993</v>
      </c>
      <c r="AE73" s="6">
        <f>ROUND($Z73*CLS_Base_Salary2425*VLOOKUP($A73,EnrollData2324,'2324 Jun 24 Enroll'!AH$1,FALSE),2)</f>
        <v>961.95</v>
      </c>
      <c r="AF73" s="6">
        <f>ROUND($Z73*CLS_Inc_Salary2425*VLOOKUP($A73,EnrollData2324,'2324 Jun 24 Enroll'!AI$1,FALSE),2)-AE73</f>
        <v>35.599999999999909</v>
      </c>
      <c r="AG73" cm="1">
        <f t="array" ref="AG73">ROUND(($J73+$R73)*Apport_124X2425,2)</f>
        <v>800.45</v>
      </c>
      <c r="AH73" s="69" cm="1">
        <f t="array" ref="AH73">ROUND(($J73+$R73)*Apport_621X2425*Apport_125XC2425,2)-AG73</f>
        <v>73.899999999999977</v>
      </c>
      <c r="AI73" cm="1">
        <f t="array" ref="AI73">ROUND($Z73*Apport_124X2425,2)</f>
        <v>234.7</v>
      </c>
      <c r="AJ73">
        <f t="shared" si="15"/>
        <v>124.71000000000004</v>
      </c>
      <c r="AK73">
        <f t="shared" si="16"/>
        <v>857.39</v>
      </c>
      <c r="AL73">
        <f t="shared" si="17"/>
        <v>30.6</v>
      </c>
      <c r="AM73">
        <f t="shared" si="18"/>
        <v>208.36</v>
      </c>
      <c r="AN73">
        <f t="shared" si="19"/>
        <v>6.46</v>
      </c>
      <c r="AO73">
        <f>ROUND(($J73*CIS_Inc_Salary2425*(VLOOKUP($A73,EnrollData2324,'2324 Jun 24 Enroll'!AI$1,FALSE)+VLOOKUP($A73,EnrollData2324,'2324 Jun 24 Enroll'!AJ$1,FALSE))/Apport_613Xpd)*Apport_614Xpd,2)</f>
        <v>73.67</v>
      </c>
      <c r="AP73">
        <f t="shared" si="20"/>
        <v>12.9</v>
      </c>
      <c r="AQ73">
        <f t="shared" si="28"/>
        <v>31.48</v>
      </c>
      <c r="AR73" s="6">
        <f>ROUND((VLOOKUP($A73,EnrollData2324,'2324 Jun 24 Enroll'!D$1,FALSE)*Apport_M802425+VLOOKUP($A73,EnrollData2324,'2324 Jun 24 Enroll'!M$1,FALSE)*Apport_M802425+(VLOOKUP($A73,EnrollData2324,'2324 Jun 24 Enroll'!P$1,FALSE)+VLOOKUP($A73,EnrollData2324,'2324 Jun 24 Enroll'!Q$1,FALSE)+VLOOKUP($A73,EnrollData2324,'2324 Jun 24 Enroll'!R$1,FALSE)+VLOOKUP($A73,EnrollData2324,'2324 Jun 24 Enroll'!I$1,FALSE)+VLOOKUP($A73,EnrollData2324,'2324 Jun 24 Enroll'!N$1,FALSE)+VLOOKUP($A73,EnrollData2324,'2324 Jun 24 Enroll'!O$1,FALSE)+VLOOKUP($A73,EnrollData2324,'2324 Jun 24 Enroll'!K$1,FALSE)+VLOOKUP($A73,EnrollData2324,'2324 Jun 24 Enroll'!L$1,FALSE))*Apport_M812425)/(VLOOKUP($A73,EnrollData2324,'2324 Jun 24 Enroll'!M$1,FALSE)+VLOOKUP($A73,EnrollData2324,'2324 Jun 24 Enroll'!D$1,FALSE)),2)</f>
        <v>1595.89</v>
      </c>
      <c r="AS73" s="7">
        <f t="shared" si="29"/>
        <v>9946.7299999999977</v>
      </c>
    </row>
    <row r="74" spans="1:48">
      <c r="A74" s="40" t="s">
        <v>889</v>
      </c>
      <c r="B74" s="40" t="s">
        <v>890</v>
      </c>
      <c r="C74" s="11">
        <f>ROUND((IFERROR((1/IF(VLOOKUP($A74,EnrollData2324,28,FALSE)='District Calculations'!$F$10,VLOOKUP($A74,EnrollData2324,28,FALSE),'District Calculations'!$F$10))*(1+Apport_Z315),0))+Apport_201A2425,6)</f>
        <v>7.4580999999999995E-2</v>
      </c>
      <c r="D74">
        <f>ROUND(IF(VLOOKUP($A74,EnrollData2324,'2324 Jun 24 Enroll'!D$1,FALSE)='District Calculations'!$F$11,VLOOKUP($A74,EnrollData2324,'2324 Jun 24 Enroll'!D$1,FALSE),'District Calculations'!$F$11)*C74,3)</f>
        <v>0</v>
      </c>
      <c r="E74">
        <f>ROUND(IF(VLOOKUP($A74,EnrollData2324,'2324 Jun 24 Enroll'!E$1,FALSE)='District Calculations'!$F$12,VLOOKUP($A74,EnrollData2324,'2324 Jun 24 Enroll'!E$1,FALSE),'District Calculations'!$F$12)*C74,3)</f>
        <v>60.447000000000003</v>
      </c>
      <c r="F74">
        <f>ROUND(IF(VLOOKUP($A74,EnrollData2324,'2324 Jun 24 Enroll'!F$1,FALSE)='District Calculations'!$F$13,VLOOKUP($A74,EnrollData2324,'2324 Jun 24 Enroll'!F$1,FALSE),'District Calculations'!$F$13)*Apport_222A2425,3)</f>
        <v>10.337999999999999</v>
      </c>
      <c r="G74">
        <f>ROUND(IF(VLOOKUP($A74,EnrollData2324,'2324 Jun 24 Enroll'!G$1,FALSE)='District Calculations'!$F$14,VLOOKUP($A74,EnrollData2324,'2324 Jun 24 Enroll'!G$1,FALSE),'District Calculations'!$F$14)*Apport_210A2425,3)</f>
        <v>22.92</v>
      </c>
      <c r="H74">
        <f>ROUND(IF(VLOOKUP($A74,EnrollData2324,'2324 Jun 24 Enroll'!H$1,FALSE)='District Calculations'!$F$15,VLOOKUP($A74,EnrollData2324,'2324 Jun 24 Enroll'!H$1,FALSE),'District Calculations'!$F$15)*Apport_213A2425,3)</f>
        <v>23.619</v>
      </c>
      <c r="I74">
        <f>ROUND(IF(VLOOKUP($A74,EnrollData2324,'2324 Jun 24 Enroll'!I$1,FALSE)+VLOOKUP($A74,EnrollData2324,'2324 Jun 24 Enroll'!M$1,FALSE)-VLOOKUP($A74,EnrollData2324,'2324 Jun 24 Enroll'!J$1,FALSE)='District Calculations'!$F$16+'District Calculations'!$F$25-'District Calculations'!$F$17,VLOOKUP($A74,EnrollData2324,'2324 Jun 24 Enroll'!I$1,FALSE)+VLOOKUP($A74,EnrollData2324,'2324 Jun 24 Enroll'!M$1,FALSE)-VLOOKUP($A74,EnrollData2324,'2324 Jun 24 Enroll'!J$1,FALSE),'District Calculations'!$F$16+'District Calculations'!$F$25-'District Calculations'!$F$17)*Apport_216A2425,3)</f>
        <v>59.057000000000002</v>
      </c>
      <c r="J74">
        <f>ROUND(SUM(D74:I74)/(IF(VLOOKUP($A74,EnrollData2324,'2324 Jun 24 Enroll'!M$1,FALSE)='District Calculations'!$F$25,VLOOKUP($A74,EnrollData2324,'2324 Jun 24 Enroll'!M$1,FALSE),'District Calculations'!$F$25)+IF(VLOOKUP($A74,EnrollData2324,'2324 Jun 24 Enroll'!D$1,FALSE)='District Calculations'!$F$11,VLOOKUP($A74,EnrollData2324,'2324 Jun 24 Enroll'!D$1,FALSE),'District Calculations'!$F$11)),5)</f>
        <v>5.6520000000000001E-2</v>
      </c>
      <c r="K74" s="11">
        <f t="shared" si="13"/>
        <v>4.385E-3</v>
      </c>
      <c r="L74">
        <f>ROUND(IF(VLOOKUP($A74,EnrollData2324,'2324 Jun 24 Enroll'!D$1,FALSE)='District Calculations'!$F$11,VLOOKUP($A74,EnrollData2324,'2324 Jun 24 Enroll'!D$1,FALSE),'District Calculations'!$F$11)*K74,3)</f>
        <v>0</v>
      </c>
      <c r="M74">
        <f>ROUND(IF(VLOOKUP($A74,EnrollData2324,'2324 Jun 24 Enroll'!E$1,FALSE)='District Calculations'!$F$12,VLOOKUP($A74,EnrollData2324,'2324 Jun 24 Enroll'!E$1,FALSE),'District Calculations'!$F$12)*K74,3)</f>
        <v>3.5539999999999998</v>
      </c>
      <c r="N74">
        <f>ROUND(IF(VLOOKUP($A74,EnrollData2324,'2324 Jun 24 Enroll'!F$1,FALSE)='District Calculations'!$F$13,VLOOKUP($A74,EnrollData2324,'2324 Jun 24 Enroll'!F$1,FALSE),'District Calculations'!$F$13)*Apport_223A2425,3)</f>
        <v>0.84599999999999997</v>
      </c>
      <c r="O74">
        <f>ROUND(IF(VLOOKUP($A74,EnrollData2324,'2324 Jun 24 Enroll'!G$1,FALSE)='District Calculations'!$F$14,VLOOKUP($A74,EnrollData2324,'2324 Jun 24 Enroll'!G$1,FALSE),'District Calculations'!$F$14)*Apport_211A2425,3)</f>
        <v>1.877</v>
      </c>
      <c r="P74">
        <f>ROUND(IF(VLOOKUP($A74,EnrollData2324,'2324 Jun 24 Enroll'!H$1,FALSE)='District Calculations'!$F$14,VLOOKUP($A74,EnrollData2324,'2324 Jun 24 Enroll'!H$1,FALSE),'District Calculations'!$F$14)*Apport_214A2425,3)</f>
        <v>1.875</v>
      </c>
      <c r="Q74">
        <f>ROUND(IF(VLOOKUP($A74,EnrollData2324,'2324 Jun 24 Enroll'!I$1,FALSE)+VLOOKUP($A74,EnrollData2324,'2324 Jun 24 Enroll'!M$1,FALSE)-VLOOKUP($A74,EnrollData2324,'2324 Jun 24 Enroll'!J$1,FALSE)='District Calculations'!$F$16+'District Calculations'!$F$25-'District Calculations'!$F$17,VLOOKUP($A74,EnrollData2324,'2324 Jun 24 Enroll'!I$1,FALSE)+VLOOKUP($A74,EnrollData2324,'2324 Jun 24 Enroll'!M$1,FALSE)-VLOOKUP($A74,EnrollData2324,'2324 Jun 24 Enroll'!J$1,FALSE),'District Calculations'!$F$16+'District Calculations'!$F$25-'District Calculations'!$F$17)*Apport_217A2425,3)</f>
        <v>4.7130000000000001</v>
      </c>
      <c r="R74">
        <f>ROUND(SUM(L74:Q74)/IF(VLOOKUP($A74,EnrollData2324,'2324 Jun 24 Enroll'!M$1,FALSE)+VLOOKUP($A74,EnrollData2324,'2324 Jun 24 Enroll'!D$1,FALSE)='District Calculations'!$F$25+'District Calculations'!$F$11,VLOOKUP($A74,EnrollData2324,'2324 Jun 24 Enroll'!M$1,FALSE)+VLOOKUP($A74,EnrollData2324,'2324 Jun 24 Enroll'!D$1,FALSE),'District Calculations'!$F$25+'District Calculations'!$F$11),5)</f>
        <v>4.1200000000000004E-3</v>
      </c>
      <c r="S74" s="11">
        <f t="shared" si="14"/>
        <v>1.8734299999999999E-2</v>
      </c>
      <c r="T74">
        <f>ROUND(IF(VLOOKUP($A74,EnrollData2324,'2324 Jun 24 Enroll'!D$1,FALSE)='District Calculations'!$F$11,VLOOKUP($A74,EnrollData2324,'2324 Jun 24 Enroll'!D$1,FALSE),'District Calculations'!$F$11)*S74,3)</f>
        <v>0</v>
      </c>
      <c r="U74">
        <f>ROUND(IF(VLOOKUP($A74,EnrollData2324,'2324 Jun 24 Enroll'!E$1,FALSE)='District Calculations'!$F$12,VLOOKUP($A74,EnrollData2324,'2324 Jun 24 Enroll'!E$1,FALSE),'District Calculations'!$F$12)*S74,3)</f>
        <v>15.183999999999999</v>
      </c>
      <c r="V74">
        <f>ROUND(IF(VLOOKUP($A74,EnrollData2324,'2324 Jun 24 Enroll'!F$1,FALSE)='District Calculations'!$F$13,VLOOKUP($A74,EnrollData2324,'2324 Jun 24 Enroll'!F$1,FALSE),'District Calculations'!$F$13)*Apport_224A2425,3)</f>
        <v>3.7109999999999999</v>
      </c>
      <c r="W74">
        <f>ROUND(IF(VLOOKUP($A74,EnrollData2324,'2324 Jun 24 Enroll'!G$1,FALSE)='District Calculations'!$F$14,VLOOKUP($A74,EnrollData2324,'2324 Jun 24 Enroll'!G$1,FALSE),'District Calculations'!$F$14)*Apport_212A2425,3)</f>
        <v>8.2279999999999998</v>
      </c>
      <c r="X74">
        <f>ROUND(IF(VLOOKUP($A74,EnrollData2324,'2324 Jun 24 Enroll'!H$1,FALSE)='District Calculations'!$F$14,VLOOKUP($A74,EnrollData2324,'2324 Jun 24 Enroll'!H$1,FALSE),'District Calculations'!$F$14)*Apport_215A2425,3)</f>
        <v>8.1180000000000003</v>
      </c>
      <c r="Y74">
        <f>ROUND(IF(VLOOKUP($A74,EnrollData2324,'2324 Jun 24 Enroll'!I$1,FALSE)+VLOOKUP($A74,EnrollData2324,'2324 Jun 24 Enroll'!M$1,FALSE)-VLOOKUP($A74,EnrollData2324,'2324 Jun 24 Enroll'!J$1,FALSE)='District Calculations'!$F$16+'District Calculations'!$F$25-'District Calculations'!$F$17,VLOOKUP($A74,EnrollData2324,'2324 Jun 24 Enroll'!I$1,FALSE)+VLOOKUP($A74,EnrollData2324,'2324 Jun 24 Enroll'!M$1,FALSE)-VLOOKUP($A74,EnrollData2324,'2324 Jun 24 Enroll'!J$1,FALSE),'District Calculations'!$F$16+'District Calculations'!$F$25-'District Calculations'!$F$17)*Apport_218A2425,3)</f>
        <v>20.257999999999999</v>
      </c>
      <c r="Z74">
        <f>ROUND(SUM(T74:Y74)/IF(VLOOKUP($A74,EnrollData2324,'2324 Jun 24 Enroll'!M$1,FALSE)+VLOOKUP($A74,EnrollData2324,'2324 Jun 24 Enroll'!D$1,FALSE)='District Calculations'!$F$25+'District Calculations'!$F$11,VLOOKUP($A74,EnrollData2324,'2324 Jun 24 Enroll'!M$1,FALSE)+VLOOKUP($A74,EnrollData2324,'2324 Jun 24 Enroll'!D$1,FALSE),'District Calculations'!$F$25+'District Calculations'!$F$11),5)</f>
        <v>1.7780000000000001E-2</v>
      </c>
      <c r="AA74" s="6">
        <f>ROUND($J74*CIS_Base_Salary2425*VLOOKUP($A74,EnrollData2324,'2324 Jun 24 Enroll'!AH$1,FALSE),2)</f>
        <v>4262.68</v>
      </c>
      <c r="AB74" s="6">
        <f>ROUND($J74*CIS_Inc_Salary2425*(VLOOKUP($A74,EnrollData2324,'2324 Jun 24 Enroll'!AI$1,FALSE)+VLOOKUP($A74,EnrollData2324,'2324 Jun 24 Enroll'!AJ$1,FALSE)),2)-AA74</f>
        <v>157.6899999999996</v>
      </c>
      <c r="AC74" s="6" cm="1">
        <f t="array" ref="AC74">ROUND($R74*CAS_Base_Salary2425*VLOOKUP($A74,EnrollData2324,'2324 Jun 24 Enroll'!AH$1,FALSE),2)</f>
        <v>461.23</v>
      </c>
      <c r="AD74" s="6">
        <f>ROUND($R74*CAS_Inc_Salary2425*VLOOKUP($A74,EnrollData2324,'2324 Jun 24 Enroll'!AI$1,FALSE),2)-AC74</f>
        <v>17.069999999999993</v>
      </c>
      <c r="AE74" s="6">
        <f>ROUND($Z74*CLS_Base_Salary2425*VLOOKUP($A74,EnrollData2324,'2324 Jun 24 Enroll'!AH$1,FALSE),2)</f>
        <v>961.95</v>
      </c>
      <c r="AF74" s="6">
        <f>ROUND($Z74*CLS_Inc_Salary2425*VLOOKUP($A74,EnrollData2324,'2324 Jun 24 Enroll'!AI$1,FALSE),2)-AE74</f>
        <v>35.599999999999909</v>
      </c>
      <c r="AG74" cm="1">
        <f t="array" ref="AG74">ROUND(($J74+$R74)*Apport_124X2425,2)</f>
        <v>800.45</v>
      </c>
      <c r="AH74" s="69" cm="1">
        <f t="array" ref="AH74">ROUND(($J74+$R74)*Apport_621X2425*Apport_125XC2425,2)-AG74</f>
        <v>73.899999999999977</v>
      </c>
      <c r="AI74" cm="1">
        <f t="array" ref="AI74">ROUND($Z74*Apport_124X2425,2)</f>
        <v>234.7</v>
      </c>
      <c r="AJ74">
        <f t="shared" si="15"/>
        <v>124.71000000000004</v>
      </c>
      <c r="AK74">
        <f t="shared" si="16"/>
        <v>857.39</v>
      </c>
      <c r="AL74">
        <f t="shared" si="17"/>
        <v>30.6</v>
      </c>
      <c r="AM74">
        <f t="shared" si="18"/>
        <v>208.36</v>
      </c>
      <c r="AN74">
        <f t="shared" si="19"/>
        <v>6.46</v>
      </c>
      <c r="AO74">
        <f>ROUND(($J74*CIS_Inc_Salary2425*(VLOOKUP($A74,EnrollData2324,'2324 Jun 24 Enroll'!AI$1,FALSE)+VLOOKUP($A74,EnrollData2324,'2324 Jun 24 Enroll'!AJ$1,FALSE))/Apport_613Xpd)*Apport_614Xpd,2)</f>
        <v>73.67</v>
      </c>
      <c r="AP74">
        <f t="shared" si="20"/>
        <v>12.9</v>
      </c>
      <c r="AQ74">
        <f t="shared" si="28"/>
        <v>31.48</v>
      </c>
      <c r="AR74" s="6">
        <f>ROUND((VLOOKUP($A74,EnrollData2324,'2324 Jun 24 Enroll'!D$1,FALSE)*Apport_M802425+VLOOKUP($A74,EnrollData2324,'2324 Jun 24 Enroll'!M$1,FALSE)*Apport_M802425+(VLOOKUP($A74,EnrollData2324,'2324 Jun 24 Enroll'!P$1,FALSE)+VLOOKUP($A74,EnrollData2324,'2324 Jun 24 Enroll'!Q$1,FALSE)+VLOOKUP($A74,EnrollData2324,'2324 Jun 24 Enroll'!R$1,FALSE)+VLOOKUP($A74,EnrollData2324,'2324 Jun 24 Enroll'!I$1,FALSE)+VLOOKUP($A74,EnrollData2324,'2324 Jun 24 Enroll'!N$1,FALSE)+VLOOKUP($A74,EnrollData2324,'2324 Jun 24 Enroll'!O$1,FALSE)+VLOOKUP($A74,EnrollData2324,'2324 Jun 24 Enroll'!K$1,FALSE)+VLOOKUP($A74,EnrollData2324,'2324 Jun 24 Enroll'!L$1,FALSE))*Apport_M812425)/(VLOOKUP($A74,EnrollData2324,'2324 Jun 24 Enroll'!M$1,FALSE)+VLOOKUP($A74,EnrollData2324,'2324 Jun 24 Enroll'!D$1,FALSE)),2)</f>
        <v>1600.5</v>
      </c>
      <c r="AS74" s="7">
        <f t="shared" si="29"/>
        <v>9951.3399999999983</v>
      </c>
    </row>
    <row r="75" spans="1:48">
      <c r="A75" s="40" t="s">
        <v>522</v>
      </c>
      <c r="B75" s="40" t="s">
        <v>523</v>
      </c>
      <c r="C75" s="11">
        <f>ROUND((IFERROR((1/IF(VLOOKUP($A75,EnrollData2324,28,FALSE)='District Calculations'!$F$10,VLOOKUP($A75,EnrollData2324,28,FALSE),'District Calculations'!$F$10))*(1+Apport_Z315),0))+Apport_201A2425,6)</f>
        <v>7.4580999999999995E-2</v>
      </c>
      <c r="D75">
        <f>ROUND(IF(VLOOKUP($A75,EnrollData2324,'2324 Jun 24 Enroll'!D$1,FALSE)='District Calculations'!$F$11,VLOOKUP($A75,EnrollData2324,'2324 Jun 24 Enroll'!D$1,FALSE),'District Calculations'!$F$11)*C75,3)</f>
        <v>0</v>
      </c>
      <c r="E75">
        <f>ROUND(IF(VLOOKUP($A75,EnrollData2324,'2324 Jun 24 Enroll'!E$1,FALSE)='District Calculations'!$F$12,VLOOKUP($A75,EnrollData2324,'2324 Jun 24 Enroll'!E$1,FALSE),'District Calculations'!$F$12)*C75,3)</f>
        <v>60.447000000000003</v>
      </c>
      <c r="F75">
        <f>ROUND(IF(VLOOKUP($A75,EnrollData2324,'2324 Jun 24 Enroll'!F$1,FALSE)='District Calculations'!$F$13,VLOOKUP($A75,EnrollData2324,'2324 Jun 24 Enroll'!F$1,FALSE),'District Calculations'!$F$13)*Apport_222A2425,3)</f>
        <v>10.337999999999999</v>
      </c>
      <c r="G75">
        <f>ROUND(IF(VLOOKUP($A75,EnrollData2324,'2324 Jun 24 Enroll'!G$1,FALSE)='District Calculations'!$F$14,VLOOKUP($A75,EnrollData2324,'2324 Jun 24 Enroll'!G$1,FALSE),'District Calculations'!$F$14)*Apport_210A2425,3)</f>
        <v>22.92</v>
      </c>
      <c r="H75">
        <f>ROUND(IF(VLOOKUP($A75,EnrollData2324,'2324 Jun 24 Enroll'!H$1,FALSE)='District Calculations'!$F$15,VLOOKUP($A75,EnrollData2324,'2324 Jun 24 Enroll'!H$1,FALSE),'District Calculations'!$F$15)*Apport_213A2425,3)</f>
        <v>23.619</v>
      </c>
      <c r="I75">
        <f>ROUND(IF(VLOOKUP($A75,EnrollData2324,'2324 Jun 24 Enroll'!I$1,FALSE)+VLOOKUP($A75,EnrollData2324,'2324 Jun 24 Enroll'!M$1,FALSE)-VLOOKUP($A75,EnrollData2324,'2324 Jun 24 Enroll'!J$1,FALSE)='District Calculations'!$F$16+'District Calculations'!$F$25-'District Calculations'!$F$17,VLOOKUP($A75,EnrollData2324,'2324 Jun 24 Enroll'!I$1,FALSE)+VLOOKUP($A75,EnrollData2324,'2324 Jun 24 Enroll'!M$1,FALSE)-VLOOKUP($A75,EnrollData2324,'2324 Jun 24 Enroll'!J$1,FALSE),'District Calculations'!$F$16+'District Calculations'!$F$25-'District Calculations'!$F$17)*Apport_216A2425,3)</f>
        <v>59.057000000000002</v>
      </c>
      <c r="J75">
        <f>ROUND(SUM(D75:I75)/(IF(VLOOKUP($A75,EnrollData2324,'2324 Jun 24 Enroll'!M$1,FALSE)='District Calculations'!$F$25,VLOOKUP($A75,EnrollData2324,'2324 Jun 24 Enroll'!M$1,FALSE),'District Calculations'!$F$25)+IF(VLOOKUP($A75,EnrollData2324,'2324 Jun 24 Enroll'!D$1,FALSE)='District Calculations'!$F$11,VLOOKUP($A75,EnrollData2324,'2324 Jun 24 Enroll'!D$1,FALSE),'District Calculations'!$F$11)),5)</f>
        <v>5.6520000000000001E-2</v>
      </c>
      <c r="K75" s="11">
        <f t="shared" si="13"/>
        <v>4.385E-3</v>
      </c>
      <c r="L75">
        <f>ROUND(IF(VLOOKUP($A75,EnrollData2324,'2324 Jun 24 Enroll'!D$1,FALSE)='District Calculations'!$F$11,VLOOKUP($A75,EnrollData2324,'2324 Jun 24 Enroll'!D$1,FALSE),'District Calculations'!$F$11)*K75,3)</f>
        <v>0</v>
      </c>
      <c r="M75">
        <f>ROUND(IF(VLOOKUP($A75,EnrollData2324,'2324 Jun 24 Enroll'!E$1,FALSE)='District Calculations'!$F$12,VLOOKUP($A75,EnrollData2324,'2324 Jun 24 Enroll'!E$1,FALSE),'District Calculations'!$F$12)*K75,3)</f>
        <v>3.5539999999999998</v>
      </c>
      <c r="N75">
        <f>ROUND(IF(VLOOKUP($A75,EnrollData2324,'2324 Jun 24 Enroll'!F$1,FALSE)='District Calculations'!$F$13,VLOOKUP($A75,EnrollData2324,'2324 Jun 24 Enroll'!F$1,FALSE),'District Calculations'!$F$13)*Apport_223A2425,3)</f>
        <v>0.84599999999999997</v>
      </c>
      <c r="O75">
        <f>ROUND(IF(VLOOKUP($A75,EnrollData2324,'2324 Jun 24 Enroll'!G$1,FALSE)='District Calculations'!$F$14,VLOOKUP($A75,EnrollData2324,'2324 Jun 24 Enroll'!G$1,FALSE),'District Calculations'!$F$14)*Apport_211A2425,3)</f>
        <v>1.877</v>
      </c>
      <c r="P75">
        <f>ROUND(IF(VLOOKUP($A75,EnrollData2324,'2324 Jun 24 Enroll'!H$1,FALSE)='District Calculations'!$F$14,VLOOKUP($A75,EnrollData2324,'2324 Jun 24 Enroll'!H$1,FALSE),'District Calculations'!$F$14)*Apport_214A2425,3)</f>
        <v>1.875</v>
      </c>
      <c r="Q75">
        <f>ROUND(IF(VLOOKUP($A75,EnrollData2324,'2324 Jun 24 Enroll'!I$1,FALSE)+VLOOKUP($A75,EnrollData2324,'2324 Jun 24 Enroll'!M$1,FALSE)-VLOOKUP($A75,EnrollData2324,'2324 Jun 24 Enroll'!J$1,FALSE)='District Calculations'!$F$16+'District Calculations'!$F$25-'District Calculations'!$F$17,VLOOKUP($A75,EnrollData2324,'2324 Jun 24 Enroll'!I$1,FALSE)+VLOOKUP($A75,EnrollData2324,'2324 Jun 24 Enroll'!M$1,FALSE)-VLOOKUP($A75,EnrollData2324,'2324 Jun 24 Enroll'!J$1,FALSE),'District Calculations'!$F$16+'District Calculations'!$F$25-'District Calculations'!$F$17)*Apport_217A2425,3)</f>
        <v>4.7130000000000001</v>
      </c>
      <c r="R75">
        <f>ROUND(SUM(L75:Q75)/IF(VLOOKUP($A75,EnrollData2324,'2324 Jun 24 Enroll'!M$1,FALSE)+VLOOKUP($A75,EnrollData2324,'2324 Jun 24 Enroll'!D$1,FALSE)='District Calculations'!$F$25+'District Calculations'!$F$11,VLOOKUP($A75,EnrollData2324,'2324 Jun 24 Enroll'!M$1,FALSE)+VLOOKUP($A75,EnrollData2324,'2324 Jun 24 Enroll'!D$1,FALSE),'District Calculations'!$F$25+'District Calculations'!$F$11),5)</f>
        <v>4.1200000000000004E-3</v>
      </c>
      <c r="S75" s="11">
        <f t="shared" si="14"/>
        <v>1.8734299999999999E-2</v>
      </c>
      <c r="T75">
        <f>ROUND(IF(VLOOKUP($A75,EnrollData2324,'2324 Jun 24 Enroll'!D$1,FALSE)='District Calculations'!$F$11,VLOOKUP($A75,EnrollData2324,'2324 Jun 24 Enroll'!D$1,FALSE),'District Calculations'!$F$11)*S75,3)</f>
        <v>0</v>
      </c>
      <c r="U75">
        <f>ROUND(IF(VLOOKUP($A75,EnrollData2324,'2324 Jun 24 Enroll'!E$1,FALSE)='District Calculations'!$F$12,VLOOKUP($A75,EnrollData2324,'2324 Jun 24 Enroll'!E$1,FALSE),'District Calculations'!$F$12)*S75,3)</f>
        <v>15.183999999999999</v>
      </c>
      <c r="V75">
        <f>ROUND(IF(VLOOKUP($A75,EnrollData2324,'2324 Jun 24 Enroll'!F$1,FALSE)='District Calculations'!$F$13,VLOOKUP($A75,EnrollData2324,'2324 Jun 24 Enroll'!F$1,FALSE),'District Calculations'!$F$13)*Apport_224A2425,3)</f>
        <v>3.7109999999999999</v>
      </c>
      <c r="W75">
        <f>ROUND(IF(VLOOKUP($A75,EnrollData2324,'2324 Jun 24 Enroll'!G$1,FALSE)='District Calculations'!$F$14,VLOOKUP($A75,EnrollData2324,'2324 Jun 24 Enroll'!G$1,FALSE),'District Calculations'!$F$14)*Apport_212A2425,3)</f>
        <v>8.2279999999999998</v>
      </c>
      <c r="X75">
        <f>ROUND(IF(VLOOKUP($A75,EnrollData2324,'2324 Jun 24 Enroll'!H$1,FALSE)='District Calculations'!$F$14,VLOOKUP($A75,EnrollData2324,'2324 Jun 24 Enroll'!H$1,FALSE),'District Calculations'!$F$14)*Apport_215A2425,3)</f>
        <v>8.1180000000000003</v>
      </c>
      <c r="Y75">
        <f>ROUND(IF(VLOOKUP($A75,EnrollData2324,'2324 Jun 24 Enroll'!I$1,FALSE)+VLOOKUP($A75,EnrollData2324,'2324 Jun 24 Enroll'!M$1,FALSE)-VLOOKUP($A75,EnrollData2324,'2324 Jun 24 Enroll'!J$1,FALSE)='District Calculations'!$F$16+'District Calculations'!$F$25-'District Calculations'!$F$17,VLOOKUP($A75,EnrollData2324,'2324 Jun 24 Enroll'!I$1,FALSE)+VLOOKUP($A75,EnrollData2324,'2324 Jun 24 Enroll'!M$1,FALSE)-VLOOKUP($A75,EnrollData2324,'2324 Jun 24 Enroll'!J$1,FALSE),'District Calculations'!$F$16+'District Calculations'!$F$25-'District Calculations'!$F$17)*Apport_218A2425,3)</f>
        <v>20.257999999999999</v>
      </c>
      <c r="Z75">
        <f>ROUND(SUM(T75:Y75)/IF(VLOOKUP($A75,EnrollData2324,'2324 Jun 24 Enroll'!M$1,FALSE)+VLOOKUP($A75,EnrollData2324,'2324 Jun 24 Enroll'!D$1,FALSE)='District Calculations'!$F$25+'District Calculations'!$F$11,VLOOKUP($A75,EnrollData2324,'2324 Jun 24 Enroll'!M$1,FALSE)+VLOOKUP($A75,EnrollData2324,'2324 Jun 24 Enroll'!D$1,FALSE),'District Calculations'!$F$25+'District Calculations'!$F$11),5)</f>
        <v>1.7780000000000001E-2</v>
      </c>
      <c r="AA75" s="6">
        <f>ROUND($J75*CIS_Base_Salary2425*VLOOKUP($A75,EnrollData2324,'2324 Jun 24 Enroll'!AH$1,FALSE),2)</f>
        <v>4262.68</v>
      </c>
      <c r="AB75" s="6">
        <f>ROUND($J75*CIS_Inc_Salary2425*(VLOOKUP($A75,EnrollData2324,'2324 Jun 24 Enroll'!AI$1,FALSE)+VLOOKUP($A75,EnrollData2324,'2324 Jun 24 Enroll'!AJ$1,FALSE)),2)-AA75</f>
        <v>157.6899999999996</v>
      </c>
      <c r="AC75" s="6" cm="1">
        <f t="array" ref="AC75">ROUND($R75*CAS_Base_Salary2425*VLOOKUP($A75,EnrollData2324,'2324 Jun 24 Enroll'!AH$1,FALSE),2)</f>
        <v>461.23</v>
      </c>
      <c r="AD75" s="6">
        <f>ROUND($R75*CAS_Inc_Salary2425*VLOOKUP($A75,EnrollData2324,'2324 Jun 24 Enroll'!AI$1,FALSE),2)-AC75</f>
        <v>17.069999999999993</v>
      </c>
      <c r="AE75" s="6">
        <f>ROUND($Z75*CLS_Base_Salary2425*VLOOKUP($A75,EnrollData2324,'2324 Jun 24 Enroll'!AH$1,FALSE),2)</f>
        <v>961.95</v>
      </c>
      <c r="AF75" s="6">
        <f>ROUND($Z75*CLS_Inc_Salary2425*VLOOKUP($A75,EnrollData2324,'2324 Jun 24 Enroll'!AI$1,FALSE),2)-AE75</f>
        <v>35.599999999999909</v>
      </c>
      <c r="AG75" cm="1">
        <f t="array" ref="AG75">ROUND(($J75+$R75)*Apport_124X2425,2)</f>
        <v>800.45</v>
      </c>
      <c r="AH75" s="69" cm="1">
        <f t="array" ref="AH75">ROUND(($J75+$R75)*Apport_621X2425*Apport_125XC2425,2)-AG75</f>
        <v>73.899999999999977</v>
      </c>
      <c r="AI75" cm="1">
        <f t="array" ref="AI75">ROUND($Z75*Apport_124X2425,2)</f>
        <v>234.7</v>
      </c>
      <c r="AJ75">
        <f t="shared" si="15"/>
        <v>124.71000000000004</v>
      </c>
      <c r="AK75">
        <f t="shared" si="16"/>
        <v>857.39</v>
      </c>
      <c r="AL75">
        <f t="shared" si="17"/>
        <v>30.6</v>
      </c>
      <c r="AM75">
        <f t="shared" si="18"/>
        <v>208.36</v>
      </c>
      <c r="AN75">
        <f t="shared" si="19"/>
        <v>6.46</v>
      </c>
      <c r="AO75">
        <f>ROUND(($J75*CIS_Inc_Salary2425*(VLOOKUP($A75,EnrollData2324,'2324 Jun 24 Enroll'!AI$1,FALSE)+VLOOKUP($A75,EnrollData2324,'2324 Jun 24 Enroll'!AJ$1,FALSE))/Apport_613Xpd)*Apport_614Xpd,2)</f>
        <v>73.67</v>
      </c>
      <c r="AP75">
        <f t="shared" si="20"/>
        <v>12.9</v>
      </c>
      <c r="AQ75">
        <f t="shared" si="28"/>
        <v>31.48</v>
      </c>
      <c r="AR75" s="6">
        <f>ROUND((VLOOKUP($A75,EnrollData2324,'2324 Jun 24 Enroll'!D$1,FALSE)*Apport_M802425+VLOOKUP($A75,EnrollData2324,'2324 Jun 24 Enroll'!M$1,FALSE)*Apport_M802425+(VLOOKUP($A75,EnrollData2324,'2324 Jun 24 Enroll'!P$1,FALSE)+VLOOKUP($A75,EnrollData2324,'2324 Jun 24 Enroll'!Q$1,FALSE)+VLOOKUP($A75,EnrollData2324,'2324 Jun 24 Enroll'!R$1,FALSE)+VLOOKUP($A75,EnrollData2324,'2324 Jun 24 Enroll'!I$1,FALSE)+VLOOKUP($A75,EnrollData2324,'2324 Jun 24 Enroll'!N$1,FALSE)+VLOOKUP($A75,EnrollData2324,'2324 Jun 24 Enroll'!O$1,FALSE)+VLOOKUP($A75,EnrollData2324,'2324 Jun 24 Enroll'!K$1,FALSE)+VLOOKUP($A75,EnrollData2324,'2324 Jun 24 Enroll'!L$1,FALSE))*Apport_M812425)/(VLOOKUP($A75,EnrollData2324,'2324 Jun 24 Enroll'!M$1,FALSE)+VLOOKUP($A75,EnrollData2324,'2324 Jun 24 Enroll'!D$1,FALSE)),2)</f>
        <v>1602.29</v>
      </c>
      <c r="AS75" s="7">
        <f t="shared" si="29"/>
        <v>9953.1299999999974</v>
      </c>
    </row>
    <row r="76" spans="1:48">
      <c r="A76" s="40" t="s">
        <v>351</v>
      </c>
      <c r="B76" s="40" t="s">
        <v>352</v>
      </c>
      <c r="C76" s="11">
        <f>ROUND((IFERROR((1/IF(VLOOKUP($A76,EnrollData2324,28,FALSE)='District Calculations'!$F$10,VLOOKUP($A76,EnrollData2324,28,FALSE),'District Calculations'!$F$10))*(1+Apport_Z315),0))+Apport_201A2425,6)</f>
        <v>7.4580999999999995E-2</v>
      </c>
      <c r="D76">
        <f>ROUND(IF(VLOOKUP($A76,EnrollData2324,'2324 Jun 24 Enroll'!D$1,FALSE)='District Calculations'!$F$11,VLOOKUP($A76,EnrollData2324,'2324 Jun 24 Enroll'!D$1,FALSE),'District Calculations'!$F$11)*C76,3)</f>
        <v>0</v>
      </c>
      <c r="E76">
        <f>ROUND(IF(VLOOKUP($A76,EnrollData2324,'2324 Jun 24 Enroll'!E$1,FALSE)='District Calculations'!$F$12,VLOOKUP($A76,EnrollData2324,'2324 Jun 24 Enroll'!E$1,FALSE),'District Calculations'!$F$12)*C76,3)</f>
        <v>60.447000000000003</v>
      </c>
      <c r="F76">
        <f>ROUND(IF(VLOOKUP($A76,EnrollData2324,'2324 Jun 24 Enroll'!F$1,FALSE)='District Calculations'!$F$13,VLOOKUP($A76,EnrollData2324,'2324 Jun 24 Enroll'!F$1,FALSE),'District Calculations'!$F$13)*Apport_222A2425,3)</f>
        <v>10.337999999999999</v>
      </c>
      <c r="G76">
        <f>ROUND(IF(VLOOKUP($A76,EnrollData2324,'2324 Jun 24 Enroll'!G$1,FALSE)='District Calculations'!$F$14,VLOOKUP($A76,EnrollData2324,'2324 Jun 24 Enroll'!G$1,FALSE),'District Calculations'!$F$14)*Apport_210A2425,3)</f>
        <v>22.92</v>
      </c>
      <c r="H76">
        <f>ROUND(IF(VLOOKUP($A76,EnrollData2324,'2324 Jun 24 Enroll'!H$1,FALSE)='District Calculations'!$F$15,VLOOKUP($A76,EnrollData2324,'2324 Jun 24 Enroll'!H$1,FALSE),'District Calculations'!$F$15)*Apport_213A2425,3)</f>
        <v>23.619</v>
      </c>
      <c r="I76">
        <f>ROUND(IF(VLOOKUP($A76,EnrollData2324,'2324 Jun 24 Enroll'!I$1,FALSE)+VLOOKUP($A76,EnrollData2324,'2324 Jun 24 Enroll'!M$1,FALSE)-VLOOKUP($A76,EnrollData2324,'2324 Jun 24 Enroll'!J$1,FALSE)='District Calculations'!$F$16+'District Calculations'!$F$25-'District Calculations'!$F$17,VLOOKUP($A76,EnrollData2324,'2324 Jun 24 Enroll'!I$1,FALSE)+VLOOKUP($A76,EnrollData2324,'2324 Jun 24 Enroll'!M$1,FALSE)-VLOOKUP($A76,EnrollData2324,'2324 Jun 24 Enroll'!J$1,FALSE),'District Calculations'!$F$16+'District Calculations'!$F$25-'District Calculations'!$F$17)*Apport_216A2425,3)</f>
        <v>59.057000000000002</v>
      </c>
      <c r="J76">
        <f>ROUND(SUM(D76:I76)/(IF(VLOOKUP($A76,EnrollData2324,'2324 Jun 24 Enroll'!M$1,FALSE)='District Calculations'!$F$25,VLOOKUP($A76,EnrollData2324,'2324 Jun 24 Enroll'!M$1,FALSE),'District Calculations'!$F$25)+IF(VLOOKUP($A76,EnrollData2324,'2324 Jun 24 Enroll'!D$1,FALSE)='District Calculations'!$F$11,VLOOKUP($A76,EnrollData2324,'2324 Jun 24 Enroll'!D$1,FALSE),'District Calculations'!$F$11)),5)</f>
        <v>5.6520000000000001E-2</v>
      </c>
      <c r="K76" s="11">
        <f t="shared" si="13"/>
        <v>4.385E-3</v>
      </c>
      <c r="L76">
        <f>ROUND(IF(VLOOKUP($A76,EnrollData2324,'2324 Jun 24 Enroll'!D$1,FALSE)='District Calculations'!$F$11,VLOOKUP($A76,EnrollData2324,'2324 Jun 24 Enroll'!D$1,FALSE),'District Calculations'!$F$11)*K76,3)</f>
        <v>0</v>
      </c>
      <c r="M76">
        <f>ROUND(IF(VLOOKUP($A76,EnrollData2324,'2324 Jun 24 Enroll'!E$1,FALSE)='District Calculations'!$F$12,VLOOKUP($A76,EnrollData2324,'2324 Jun 24 Enroll'!E$1,FALSE),'District Calculations'!$F$12)*K76,3)</f>
        <v>3.5539999999999998</v>
      </c>
      <c r="N76">
        <f>ROUND(IF(VLOOKUP($A76,EnrollData2324,'2324 Jun 24 Enroll'!F$1,FALSE)='District Calculations'!$F$13,VLOOKUP($A76,EnrollData2324,'2324 Jun 24 Enroll'!F$1,FALSE),'District Calculations'!$F$13)*Apport_223A2425,3)</f>
        <v>0.84599999999999997</v>
      </c>
      <c r="O76">
        <f>ROUND(IF(VLOOKUP($A76,EnrollData2324,'2324 Jun 24 Enroll'!G$1,FALSE)='District Calculations'!$F$14,VLOOKUP($A76,EnrollData2324,'2324 Jun 24 Enroll'!G$1,FALSE),'District Calculations'!$F$14)*Apport_211A2425,3)</f>
        <v>1.877</v>
      </c>
      <c r="P76">
        <f>ROUND(IF(VLOOKUP($A76,EnrollData2324,'2324 Jun 24 Enroll'!H$1,FALSE)='District Calculations'!$F$14,VLOOKUP($A76,EnrollData2324,'2324 Jun 24 Enroll'!H$1,FALSE),'District Calculations'!$F$14)*Apport_214A2425,3)</f>
        <v>1.875</v>
      </c>
      <c r="Q76">
        <f>ROUND(IF(VLOOKUP($A76,EnrollData2324,'2324 Jun 24 Enroll'!I$1,FALSE)+VLOOKUP($A76,EnrollData2324,'2324 Jun 24 Enroll'!M$1,FALSE)-VLOOKUP($A76,EnrollData2324,'2324 Jun 24 Enroll'!J$1,FALSE)='District Calculations'!$F$16+'District Calculations'!$F$25-'District Calculations'!$F$17,VLOOKUP($A76,EnrollData2324,'2324 Jun 24 Enroll'!I$1,FALSE)+VLOOKUP($A76,EnrollData2324,'2324 Jun 24 Enroll'!M$1,FALSE)-VLOOKUP($A76,EnrollData2324,'2324 Jun 24 Enroll'!J$1,FALSE),'District Calculations'!$F$16+'District Calculations'!$F$25-'District Calculations'!$F$17)*Apport_217A2425,3)</f>
        <v>4.7130000000000001</v>
      </c>
      <c r="R76">
        <f>ROUND(SUM(L76:Q76)/IF(VLOOKUP($A76,EnrollData2324,'2324 Jun 24 Enroll'!M$1,FALSE)+VLOOKUP($A76,EnrollData2324,'2324 Jun 24 Enroll'!D$1,FALSE)='District Calculations'!$F$25+'District Calculations'!$F$11,VLOOKUP($A76,EnrollData2324,'2324 Jun 24 Enroll'!M$1,FALSE)+VLOOKUP($A76,EnrollData2324,'2324 Jun 24 Enroll'!D$1,FALSE),'District Calculations'!$F$25+'District Calculations'!$F$11),5)</f>
        <v>4.1200000000000004E-3</v>
      </c>
      <c r="S76" s="11">
        <f t="shared" si="14"/>
        <v>1.8734299999999999E-2</v>
      </c>
      <c r="T76">
        <f>ROUND(IF(VLOOKUP($A76,EnrollData2324,'2324 Jun 24 Enroll'!D$1,FALSE)='District Calculations'!$F$11,VLOOKUP($A76,EnrollData2324,'2324 Jun 24 Enroll'!D$1,FALSE),'District Calculations'!$F$11)*S76,3)</f>
        <v>0</v>
      </c>
      <c r="U76">
        <f>ROUND(IF(VLOOKUP($A76,EnrollData2324,'2324 Jun 24 Enroll'!E$1,FALSE)='District Calculations'!$F$12,VLOOKUP($A76,EnrollData2324,'2324 Jun 24 Enroll'!E$1,FALSE),'District Calculations'!$F$12)*S76,3)</f>
        <v>15.183999999999999</v>
      </c>
      <c r="V76">
        <f>ROUND(IF(VLOOKUP($A76,EnrollData2324,'2324 Jun 24 Enroll'!F$1,FALSE)='District Calculations'!$F$13,VLOOKUP($A76,EnrollData2324,'2324 Jun 24 Enroll'!F$1,FALSE),'District Calculations'!$F$13)*Apport_224A2425,3)</f>
        <v>3.7109999999999999</v>
      </c>
      <c r="W76">
        <f>ROUND(IF(VLOOKUP($A76,EnrollData2324,'2324 Jun 24 Enroll'!G$1,FALSE)='District Calculations'!$F$14,VLOOKUP($A76,EnrollData2324,'2324 Jun 24 Enroll'!G$1,FALSE),'District Calculations'!$F$14)*Apport_212A2425,3)</f>
        <v>8.2279999999999998</v>
      </c>
      <c r="X76">
        <f>ROUND(IF(VLOOKUP($A76,EnrollData2324,'2324 Jun 24 Enroll'!H$1,FALSE)='District Calculations'!$F$14,VLOOKUP($A76,EnrollData2324,'2324 Jun 24 Enroll'!H$1,FALSE),'District Calculations'!$F$14)*Apport_215A2425,3)</f>
        <v>8.1180000000000003</v>
      </c>
      <c r="Y76">
        <f>ROUND(IF(VLOOKUP($A76,EnrollData2324,'2324 Jun 24 Enroll'!I$1,FALSE)+VLOOKUP($A76,EnrollData2324,'2324 Jun 24 Enroll'!M$1,FALSE)-VLOOKUP($A76,EnrollData2324,'2324 Jun 24 Enroll'!J$1,FALSE)='District Calculations'!$F$16+'District Calculations'!$F$25-'District Calculations'!$F$17,VLOOKUP($A76,EnrollData2324,'2324 Jun 24 Enroll'!I$1,FALSE)+VLOOKUP($A76,EnrollData2324,'2324 Jun 24 Enroll'!M$1,FALSE)-VLOOKUP($A76,EnrollData2324,'2324 Jun 24 Enroll'!J$1,FALSE),'District Calculations'!$F$16+'District Calculations'!$F$25-'District Calculations'!$F$17)*Apport_218A2425,3)</f>
        <v>20.257999999999999</v>
      </c>
      <c r="Z76">
        <f>ROUND(SUM(T76:Y76)/IF(VLOOKUP($A76,EnrollData2324,'2324 Jun 24 Enroll'!M$1,FALSE)+VLOOKUP($A76,EnrollData2324,'2324 Jun 24 Enroll'!D$1,FALSE)='District Calculations'!$F$25+'District Calculations'!$F$11,VLOOKUP($A76,EnrollData2324,'2324 Jun 24 Enroll'!M$1,FALSE)+VLOOKUP($A76,EnrollData2324,'2324 Jun 24 Enroll'!D$1,FALSE),'District Calculations'!$F$25+'District Calculations'!$F$11),5)</f>
        <v>1.7780000000000001E-2</v>
      </c>
      <c r="AA76" s="6">
        <f>ROUND($J76*CIS_Base_Salary2425*VLOOKUP($A76,EnrollData2324,'2324 Jun 24 Enroll'!AH$1,FALSE),2)</f>
        <v>4262.68</v>
      </c>
      <c r="AB76" s="6">
        <f>ROUND($J76*CIS_Inc_Salary2425*(VLOOKUP($A76,EnrollData2324,'2324 Jun 24 Enroll'!AI$1,FALSE)+VLOOKUP($A76,EnrollData2324,'2324 Jun 24 Enroll'!AJ$1,FALSE)),2)-AA76</f>
        <v>157.6899999999996</v>
      </c>
      <c r="AC76" s="6" cm="1">
        <f t="array" ref="AC76">ROUND($R76*CAS_Base_Salary2425*VLOOKUP($A76,EnrollData2324,'2324 Jun 24 Enroll'!AH$1,FALSE),2)</f>
        <v>461.23</v>
      </c>
      <c r="AD76" s="6">
        <f>ROUND($R76*CAS_Inc_Salary2425*VLOOKUP($A76,EnrollData2324,'2324 Jun 24 Enroll'!AI$1,FALSE),2)-AC76</f>
        <v>17.069999999999993</v>
      </c>
      <c r="AE76" s="6">
        <f>ROUND($Z76*CLS_Base_Salary2425*VLOOKUP($A76,EnrollData2324,'2324 Jun 24 Enroll'!AH$1,FALSE),2)</f>
        <v>961.95</v>
      </c>
      <c r="AF76" s="6">
        <f>ROUND($Z76*CLS_Inc_Salary2425*VLOOKUP($A76,EnrollData2324,'2324 Jun 24 Enroll'!AI$1,FALSE),2)-AE76</f>
        <v>35.599999999999909</v>
      </c>
      <c r="AG76" cm="1">
        <f t="array" ref="AG76">ROUND(($J76+$R76)*Apport_124X2425,2)</f>
        <v>800.45</v>
      </c>
      <c r="AH76" s="69" cm="1">
        <f t="array" ref="AH76">ROUND(($J76+$R76)*Apport_621X2425*Apport_125XC2425,2)-AG76</f>
        <v>73.899999999999977</v>
      </c>
      <c r="AI76" cm="1">
        <f t="array" ref="AI76">ROUND($Z76*Apport_124X2425,2)</f>
        <v>234.7</v>
      </c>
      <c r="AJ76">
        <f t="shared" si="15"/>
        <v>124.71000000000004</v>
      </c>
      <c r="AK76">
        <f t="shared" si="16"/>
        <v>857.39</v>
      </c>
      <c r="AL76">
        <f t="shared" si="17"/>
        <v>30.6</v>
      </c>
      <c r="AM76">
        <f t="shared" si="18"/>
        <v>208.36</v>
      </c>
      <c r="AN76">
        <f t="shared" si="19"/>
        <v>6.46</v>
      </c>
      <c r="AO76">
        <f>ROUND(($J76*CIS_Inc_Salary2425*(VLOOKUP($A76,EnrollData2324,'2324 Jun 24 Enroll'!AI$1,FALSE)+VLOOKUP($A76,EnrollData2324,'2324 Jun 24 Enroll'!AJ$1,FALSE))/Apport_613Xpd)*Apport_614Xpd,2)</f>
        <v>73.67</v>
      </c>
      <c r="AP76">
        <f t="shared" si="20"/>
        <v>12.9</v>
      </c>
      <c r="AQ76">
        <f t="shared" si="28"/>
        <v>31.48</v>
      </c>
      <c r="AR76" s="6">
        <f>ROUND((VLOOKUP($A76,EnrollData2324,'2324 Jun 24 Enroll'!D$1,FALSE)*Apport_M802425+VLOOKUP($A76,EnrollData2324,'2324 Jun 24 Enroll'!M$1,FALSE)*Apport_M802425+(VLOOKUP($A76,EnrollData2324,'2324 Jun 24 Enroll'!P$1,FALSE)+VLOOKUP($A76,EnrollData2324,'2324 Jun 24 Enroll'!Q$1,FALSE)+VLOOKUP($A76,EnrollData2324,'2324 Jun 24 Enroll'!R$1,FALSE)+VLOOKUP($A76,EnrollData2324,'2324 Jun 24 Enroll'!I$1,FALSE)+VLOOKUP($A76,EnrollData2324,'2324 Jun 24 Enroll'!N$1,FALSE)+VLOOKUP($A76,EnrollData2324,'2324 Jun 24 Enroll'!O$1,FALSE)+VLOOKUP($A76,EnrollData2324,'2324 Jun 24 Enroll'!K$1,FALSE)+VLOOKUP($A76,EnrollData2324,'2324 Jun 24 Enroll'!L$1,FALSE))*Apport_M812425)/(VLOOKUP($A76,EnrollData2324,'2324 Jun 24 Enroll'!M$1,FALSE)+VLOOKUP($A76,EnrollData2324,'2324 Jun 24 Enroll'!D$1,FALSE)),2)</f>
        <v>1602.15</v>
      </c>
      <c r="AS76" s="7">
        <f t="shared" si="29"/>
        <v>9952.989999999998</v>
      </c>
    </row>
    <row r="77" spans="1:48">
      <c r="A77" s="40" t="s">
        <v>438</v>
      </c>
      <c r="B77" s="40" t="s">
        <v>439</v>
      </c>
      <c r="C77" s="11">
        <f>ROUND((IFERROR((1/IF(VLOOKUP($A77,EnrollData2324,28,FALSE)='District Calculations'!$F$10,VLOOKUP($A77,EnrollData2324,28,FALSE),'District Calculations'!$F$10))*(1+Apport_Z315),0))+Apport_201A2425,6)</f>
        <v>7.4580999999999995E-2</v>
      </c>
      <c r="D77">
        <f>ROUND(IF(VLOOKUP($A77,EnrollData2324,'2324 Jun 24 Enroll'!D$1,FALSE)='District Calculations'!$F$11,VLOOKUP($A77,EnrollData2324,'2324 Jun 24 Enroll'!D$1,FALSE),'District Calculations'!$F$11)*C77,3)</f>
        <v>0</v>
      </c>
      <c r="E77">
        <f>ROUND(IF(VLOOKUP($A77,EnrollData2324,'2324 Jun 24 Enroll'!E$1,FALSE)='District Calculations'!$F$12,VLOOKUP($A77,EnrollData2324,'2324 Jun 24 Enroll'!E$1,FALSE),'District Calculations'!$F$12)*C77,3)</f>
        <v>60.447000000000003</v>
      </c>
      <c r="F77">
        <f>ROUND(IF(VLOOKUP($A77,EnrollData2324,'2324 Jun 24 Enroll'!F$1,FALSE)='District Calculations'!$F$13,VLOOKUP($A77,EnrollData2324,'2324 Jun 24 Enroll'!F$1,FALSE),'District Calculations'!$F$13)*Apport_222A2425,3)</f>
        <v>10.337999999999999</v>
      </c>
      <c r="G77">
        <f>ROUND(IF(VLOOKUP($A77,EnrollData2324,'2324 Jun 24 Enroll'!G$1,FALSE)='District Calculations'!$F$14,VLOOKUP($A77,EnrollData2324,'2324 Jun 24 Enroll'!G$1,FALSE),'District Calculations'!$F$14)*Apport_210A2425,3)</f>
        <v>22.92</v>
      </c>
      <c r="H77">
        <f>ROUND(IF(VLOOKUP($A77,EnrollData2324,'2324 Jun 24 Enroll'!H$1,FALSE)='District Calculations'!$F$15,VLOOKUP($A77,EnrollData2324,'2324 Jun 24 Enroll'!H$1,FALSE),'District Calculations'!$F$15)*Apport_213A2425,3)</f>
        <v>23.619</v>
      </c>
      <c r="I77">
        <f>ROUND(IF(VLOOKUP($A77,EnrollData2324,'2324 Jun 24 Enroll'!I$1,FALSE)+VLOOKUP($A77,EnrollData2324,'2324 Jun 24 Enroll'!M$1,FALSE)-VLOOKUP($A77,EnrollData2324,'2324 Jun 24 Enroll'!J$1,FALSE)='District Calculations'!$F$16+'District Calculations'!$F$25-'District Calculations'!$F$17,VLOOKUP($A77,EnrollData2324,'2324 Jun 24 Enroll'!I$1,FALSE)+VLOOKUP($A77,EnrollData2324,'2324 Jun 24 Enroll'!M$1,FALSE)-VLOOKUP($A77,EnrollData2324,'2324 Jun 24 Enroll'!J$1,FALSE),'District Calculations'!$F$16+'District Calculations'!$F$25-'District Calculations'!$F$17)*Apport_216A2425,3)</f>
        <v>59.057000000000002</v>
      </c>
      <c r="J77">
        <f>ROUND(SUM(D77:I77)/(IF(VLOOKUP($A77,EnrollData2324,'2324 Jun 24 Enroll'!M$1,FALSE)='District Calculations'!$F$25,VLOOKUP($A77,EnrollData2324,'2324 Jun 24 Enroll'!M$1,FALSE),'District Calculations'!$F$25)+IF(VLOOKUP($A77,EnrollData2324,'2324 Jun 24 Enroll'!D$1,FALSE)='District Calculations'!$F$11,VLOOKUP($A77,EnrollData2324,'2324 Jun 24 Enroll'!D$1,FALSE),'District Calculations'!$F$11)),5)</f>
        <v>5.6520000000000001E-2</v>
      </c>
      <c r="K77" s="11">
        <f t="shared" si="13"/>
        <v>4.385E-3</v>
      </c>
      <c r="L77">
        <f>ROUND(IF(VLOOKUP($A77,EnrollData2324,'2324 Jun 24 Enroll'!D$1,FALSE)='District Calculations'!$F$11,VLOOKUP($A77,EnrollData2324,'2324 Jun 24 Enroll'!D$1,FALSE),'District Calculations'!$F$11)*K77,3)</f>
        <v>0</v>
      </c>
      <c r="M77">
        <f>ROUND(IF(VLOOKUP($A77,EnrollData2324,'2324 Jun 24 Enroll'!E$1,FALSE)='District Calculations'!$F$12,VLOOKUP($A77,EnrollData2324,'2324 Jun 24 Enroll'!E$1,FALSE),'District Calculations'!$F$12)*K77,3)</f>
        <v>3.5539999999999998</v>
      </c>
      <c r="N77">
        <f>ROUND(IF(VLOOKUP($A77,EnrollData2324,'2324 Jun 24 Enroll'!F$1,FALSE)='District Calculations'!$F$13,VLOOKUP($A77,EnrollData2324,'2324 Jun 24 Enroll'!F$1,FALSE),'District Calculations'!$F$13)*Apport_223A2425,3)</f>
        <v>0.84599999999999997</v>
      </c>
      <c r="O77">
        <f>ROUND(IF(VLOOKUP($A77,EnrollData2324,'2324 Jun 24 Enroll'!G$1,FALSE)='District Calculations'!$F$14,VLOOKUP($A77,EnrollData2324,'2324 Jun 24 Enroll'!G$1,FALSE),'District Calculations'!$F$14)*Apport_211A2425,3)</f>
        <v>1.877</v>
      </c>
      <c r="P77">
        <f>ROUND(IF(VLOOKUP($A77,EnrollData2324,'2324 Jun 24 Enroll'!H$1,FALSE)='District Calculations'!$F$14,VLOOKUP($A77,EnrollData2324,'2324 Jun 24 Enroll'!H$1,FALSE),'District Calculations'!$F$14)*Apport_214A2425,3)</f>
        <v>1.875</v>
      </c>
      <c r="Q77">
        <f>ROUND(IF(VLOOKUP($A77,EnrollData2324,'2324 Jun 24 Enroll'!I$1,FALSE)+VLOOKUP($A77,EnrollData2324,'2324 Jun 24 Enroll'!M$1,FALSE)-VLOOKUP($A77,EnrollData2324,'2324 Jun 24 Enroll'!J$1,FALSE)='District Calculations'!$F$16+'District Calculations'!$F$25-'District Calculations'!$F$17,VLOOKUP($A77,EnrollData2324,'2324 Jun 24 Enroll'!I$1,FALSE)+VLOOKUP($A77,EnrollData2324,'2324 Jun 24 Enroll'!M$1,FALSE)-VLOOKUP($A77,EnrollData2324,'2324 Jun 24 Enroll'!J$1,FALSE),'District Calculations'!$F$16+'District Calculations'!$F$25-'District Calculations'!$F$17)*Apport_217A2425,3)</f>
        <v>4.7130000000000001</v>
      </c>
      <c r="R77">
        <f>ROUND(SUM(L77:Q77)/IF(VLOOKUP($A77,EnrollData2324,'2324 Jun 24 Enroll'!M$1,FALSE)+VLOOKUP($A77,EnrollData2324,'2324 Jun 24 Enroll'!D$1,FALSE)='District Calculations'!$F$25+'District Calculations'!$F$11,VLOOKUP($A77,EnrollData2324,'2324 Jun 24 Enroll'!M$1,FALSE)+VLOOKUP($A77,EnrollData2324,'2324 Jun 24 Enroll'!D$1,FALSE),'District Calculations'!$F$25+'District Calculations'!$F$11),5)</f>
        <v>4.1200000000000004E-3</v>
      </c>
      <c r="S77" s="11">
        <f t="shared" si="14"/>
        <v>1.8734299999999999E-2</v>
      </c>
      <c r="T77">
        <f>ROUND(IF(VLOOKUP($A77,EnrollData2324,'2324 Jun 24 Enroll'!D$1,FALSE)='District Calculations'!$F$11,VLOOKUP($A77,EnrollData2324,'2324 Jun 24 Enroll'!D$1,FALSE),'District Calculations'!$F$11)*S77,3)</f>
        <v>0</v>
      </c>
      <c r="U77">
        <f>ROUND(IF(VLOOKUP($A77,EnrollData2324,'2324 Jun 24 Enroll'!E$1,FALSE)='District Calculations'!$F$12,VLOOKUP($A77,EnrollData2324,'2324 Jun 24 Enroll'!E$1,FALSE),'District Calculations'!$F$12)*S77,3)</f>
        <v>15.183999999999999</v>
      </c>
      <c r="V77">
        <f>ROUND(IF(VLOOKUP($A77,EnrollData2324,'2324 Jun 24 Enroll'!F$1,FALSE)='District Calculations'!$F$13,VLOOKUP($A77,EnrollData2324,'2324 Jun 24 Enroll'!F$1,FALSE),'District Calculations'!$F$13)*Apport_224A2425,3)</f>
        <v>3.7109999999999999</v>
      </c>
      <c r="W77">
        <f>ROUND(IF(VLOOKUP($A77,EnrollData2324,'2324 Jun 24 Enroll'!G$1,FALSE)='District Calculations'!$F$14,VLOOKUP($A77,EnrollData2324,'2324 Jun 24 Enroll'!G$1,FALSE),'District Calculations'!$F$14)*Apport_212A2425,3)</f>
        <v>8.2279999999999998</v>
      </c>
      <c r="X77">
        <f>ROUND(IF(VLOOKUP($A77,EnrollData2324,'2324 Jun 24 Enroll'!H$1,FALSE)='District Calculations'!$F$14,VLOOKUP($A77,EnrollData2324,'2324 Jun 24 Enroll'!H$1,FALSE),'District Calculations'!$F$14)*Apport_215A2425,3)</f>
        <v>8.1180000000000003</v>
      </c>
      <c r="Y77">
        <f>ROUND(IF(VLOOKUP($A77,EnrollData2324,'2324 Jun 24 Enroll'!I$1,FALSE)+VLOOKUP($A77,EnrollData2324,'2324 Jun 24 Enroll'!M$1,FALSE)-VLOOKUP($A77,EnrollData2324,'2324 Jun 24 Enroll'!J$1,FALSE)='District Calculations'!$F$16+'District Calculations'!$F$25-'District Calculations'!$F$17,VLOOKUP($A77,EnrollData2324,'2324 Jun 24 Enroll'!I$1,FALSE)+VLOOKUP($A77,EnrollData2324,'2324 Jun 24 Enroll'!M$1,FALSE)-VLOOKUP($A77,EnrollData2324,'2324 Jun 24 Enroll'!J$1,FALSE),'District Calculations'!$F$16+'District Calculations'!$F$25-'District Calculations'!$F$17)*Apport_218A2425,3)</f>
        <v>20.257999999999999</v>
      </c>
      <c r="Z77">
        <f>ROUND(SUM(T77:Y77)/IF(VLOOKUP($A77,EnrollData2324,'2324 Jun 24 Enroll'!M$1,FALSE)+VLOOKUP($A77,EnrollData2324,'2324 Jun 24 Enroll'!D$1,FALSE)='District Calculations'!$F$25+'District Calculations'!$F$11,VLOOKUP($A77,EnrollData2324,'2324 Jun 24 Enroll'!M$1,FALSE)+VLOOKUP($A77,EnrollData2324,'2324 Jun 24 Enroll'!D$1,FALSE),'District Calculations'!$F$25+'District Calculations'!$F$11),5)</f>
        <v>1.7780000000000001E-2</v>
      </c>
      <c r="AA77" s="6">
        <f>ROUND($J77*CIS_Base_Salary2425*VLOOKUP($A77,EnrollData2324,'2324 Jun 24 Enroll'!AH$1,FALSE),2)</f>
        <v>4262.68</v>
      </c>
      <c r="AB77" s="6">
        <f>ROUND($J77*CIS_Inc_Salary2425*(VLOOKUP($A77,EnrollData2324,'2324 Jun 24 Enroll'!AI$1,FALSE)+VLOOKUP($A77,EnrollData2324,'2324 Jun 24 Enroll'!AJ$1,FALSE)),2)-AA77</f>
        <v>157.6899999999996</v>
      </c>
      <c r="AC77" s="6" cm="1">
        <f t="array" ref="AC77">ROUND($R77*CAS_Base_Salary2425*VLOOKUP($A77,EnrollData2324,'2324 Jun 24 Enroll'!AH$1,FALSE),2)</f>
        <v>461.23</v>
      </c>
      <c r="AD77" s="6">
        <f>ROUND($R77*CAS_Inc_Salary2425*VLOOKUP($A77,EnrollData2324,'2324 Jun 24 Enroll'!AI$1,FALSE),2)-AC77</f>
        <v>17.069999999999993</v>
      </c>
      <c r="AE77" s="6">
        <f>ROUND($Z77*CLS_Base_Salary2425*VLOOKUP($A77,EnrollData2324,'2324 Jun 24 Enroll'!AH$1,FALSE),2)</f>
        <v>961.95</v>
      </c>
      <c r="AF77" s="6">
        <f>ROUND($Z77*CLS_Inc_Salary2425*VLOOKUP($A77,EnrollData2324,'2324 Jun 24 Enroll'!AI$1,FALSE),2)-AE77</f>
        <v>35.599999999999909</v>
      </c>
      <c r="AG77" cm="1">
        <f t="array" ref="AG77">ROUND(($J77+$R77)*Apport_124X2425,2)</f>
        <v>800.45</v>
      </c>
      <c r="AH77" s="69" cm="1">
        <f t="array" ref="AH77">ROUND(($J77+$R77)*Apport_621X2425*Apport_125XC2425,2)-AG77</f>
        <v>73.899999999999977</v>
      </c>
      <c r="AI77" cm="1">
        <f t="array" ref="AI77">ROUND($Z77*Apport_124X2425,2)</f>
        <v>234.7</v>
      </c>
      <c r="AJ77">
        <f t="shared" si="15"/>
        <v>124.71000000000004</v>
      </c>
      <c r="AK77">
        <f t="shared" si="16"/>
        <v>857.39</v>
      </c>
      <c r="AL77">
        <f t="shared" si="17"/>
        <v>30.6</v>
      </c>
      <c r="AM77">
        <f t="shared" si="18"/>
        <v>208.36</v>
      </c>
      <c r="AN77">
        <f t="shared" si="19"/>
        <v>6.46</v>
      </c>
      <c r="AO77">
        <f>ROUND(($J77*CIS_Inc_Salary2425*(VLOOKUP($A77,EnrollData2324,'2324 Jun 24 Enroll'!AI$1,FALSE)+VLOOKUP($A77,EnrollData2324,'2324 Jun 24 Enroll'!AJ$1,FALSE))/Apport_613Xpd)*Apport_614Xpd,2)</f>
        <v>73.67</v>
      </c>
      <c r="AP77">
        <f t="shared" si="20"/>
        <v>12.9</v>
      </c>
      <c r="AQ77">
        <f t="shared" si="28"/>
        <v>31.48</v>
      </c>
      <c r="AR77" s="6">
        <f>ROUND((VLOOKUP($A77,EnrollData2324,'2324 Jun 24 Enroll'!D$1,FALSE)*Apport_M802425+VLOOKUP($A77,EnrollData2324,'2324 Jun 24 Enroll'!M$1,FALSE)*Apport_M802425+(VLOOKUP($A77,EnrollData2324,'2324 Jun 24 Enroll'!P$1,FALSE)+VLOOKUP($A77,EnrollData2324,'2324 Jun 24 Enroll'!Q$1,FALSE)+VLOOKUP($A77,EnrollData2324,'2324 Jun 24 Enroll'!R$1,FALSE)+VLOOKUP($A77,EnrollData2324,'2324 Jun 24 Enroll'!I$1,FALSE)+VLOOKUP($A77,EnrollData2324,'2324 Jun 24 Enroll'!N$1,FALSE)+VLOOKUP($A77,EnrollData2324,'2324 Jun 24 Enroll'!O$1,FALSE)+VLOOKUP($A77,EnrollData2324,'2324 Jun 24 Enroll'!K$1,FALSE)+VLOOKUP($A77,EnrollData2324,'2324 Jun 24 Enroll'!L$1,FALSE))*Apport_M812425)/(VLOOKUP($A77,EnrollData2324,'2324 Jun 24 Enroll'!M$1,FALSE)+VLOOKUP($A77,EnrollData2324,'2324 Jun 24 Enroll'!D$1,FALSE)),2)</f>
        <v>1601.43</v>
      </c>
      <c r="AS77" s="7">
        <f t="shared" si="29"/>
        <v>9952.2699999999986</v>
      </c>
    </row>
    <row r="78" spans="1:48">
      <c r="A78" s="40" t="s">
        <v>520</v>
      </c>
      <c r="B78" s="40" t="s">
        <v>521</v>
      </c>
      <c r="C78" s="11">
        <f>ROUND((IFERROR((1/IF(VLOOKUP($A78,EnrollData2324,28,FALSE)='District Calculations'!$F$10,VLOOKUP($A78,EnrollData2324,28,FALSE),'District Calculations'!$F$10))*(1+Apport_Z315),0))+Apport_201A2425,6)</f>
        <v>7.4580999999999995E-2</v>
      </c>
      <c r="D78">
        <f>ROUND(IF(VLOOKUP($A78,EnrollData2324,'2324 Jun 24 Enroll'!D$1,FALSE)='District Calculations'!$F$11,VLOOKUP($A78,EnrollData2324,'2324 Jun 24 Enroll'!D$1,FALSE),'District Calculations'!$F$11)*C78,3)</f>
        <v>0</v>
      </c>
      <c r="E78">
        <f>ROUND(IF(VLOOKUP($A78,EnrollData2324,'2324 Jun 24 Enroll'!E$1,FALSE)='District Calculations'!$F$12,VLOOKUP($A78,EnrollData2324,'2324 Jun 24 Enroll'!E$1,FALSE),'District Calculations'!$F$12)*C78,3)</f>
        <v>60.447000000000003</v>
      </c>
      <c r="F78">
        <f>ROUND(IF(VLOOKUP($A78,EnrollData2324,'2324 Jun 24 Enroll'!F$1,FALSE)='District Calculations'!$F$13,VLOOKUP($A78,EnrollData2324,'2324 Jun 24 Enroll'!F$1,FALSE),'District Calculations'!$F$13)*Apport_222A2425,3)</f>
        <v>10.337999999999999</v>
      </c>
      <c r="G78">
        <f>ROUND(IF(VLOOKUP($A78,EnrollData2324,'2324 Jun 24 Enroll'!G$1,FALSE)='District Calculations'!$F$14,VLOOKUP($A78,EnrollData2324,'2324 Jun 24 Enroll'!G$1,FALSE),'District Calculations'!$F$14)*Apport_210A2425,3)</f>
        <v>22.92</v>
      </c>
      <c r="H78">
        <f>ROUND(IF(VLOOKUP($A78,EnrollData2324,'2324 Jun 24 Enroll'!H$1,FALSE)='District Calculations'!$F$15,VLOOKUP($A78,EnrollData2324,'2324 Jun 24 Enroll'!H$1,FALSE),'District Calculations'!$F$15)*Apport_213A2425,3)</f>
        <v>23.619</v>
      </c>
      <c r="I78">
        <f>ROUND(IF(VLOOKUP($A78,EnrollData2324,'2324 Jun 24 Enroll'!I$1,FALSE)+VLOOKUP($A78,EnrollData2324,'2324 Jun 24 Enroll'!M$1,FALSE)-VLOOKUP($A78,EnrollData2324,'2324 Jun 24 Enroll'!J$1,FALSE)='District Calculations'!$F$16+'District Calculations'!$F$25-'District Calculations'!$F$17,VLOOKUP($A78,EnrollData2324,'2324 Jun 24 Enroll'!I$1,FALSE)+VLOOKUP($A78,EnrollData2324,'2324 Jun 24 Enroll'!M$1,FALSE)-VLOOKUP($A78,EnrollData2324,'2324 Jun 24 Enroll'!J$1,FALSE),'District Calculations'!$F$16+'District Calculations'!$F$25-'District Calculations'!$F$17)*Apport_216A2425,3)</f>
        <v>59.057000000000002</v>
      </c>
      <c r="J78">
        <f>ROUND(SUM(D78:I78)/(IF(VLOOKUP($A78,EnrollData2324,'2324 Jun 24 Enroll'!M$1,FALSE)='District Calculations'!$F$25,VLOOKUP($A78,EnrollData2324,'2324 Jun 24 Enroll'!M$1,FALSE),'District Calculations'!$F$25)+IF(VLOOKUP($A78,EnrollData2324,'2324 Jun 24 Enroll'!D$1,FALSE)='District Calculations'!$F$11,VLOOKUP($A78,EnrollData2324,'2324 Jun 24 Enroll'!D$1,FALSE),'District Calculations'!$F$11)),5)</f>
        <v>5.6520000000000001E-2</v>
      </c>
      <c r="K78" s="11">
        <f t="shared" si="13"/>
        <v>4.385E-3</v>
      </c>
      <c r="L78">
        <f>ROUND(IF(VLOOKUP($A78,EnrollData2324,'2324 Jun 24 Enroll'!D$1,FALSE)='District Calculations'!$F$11,VLOOKUP($A78,EnrollData2324,'2324 Jun 24 Enroll'!D$1,FALSE),'District Calculations'!$F$11)*K78,3)</f>
        <v>0</v>
      </c>
      <c r="M78">
        <f>ROUND(IF(VLOOKUP($A78,EnrollData2324,'2324 Jun 24 Enroll'!E$1,FALSE)='District Calculations'!$F$12,VLOOKUP($A78,EnrollData2324,'2324 Jun 24 Enroll'!E$1,FALSE),'District Calculations'!$F$12)*K78,3)</f>
        <v>3.5539999999999998</v>
      </c>
      <c r="N78">
        <f>ROUND(IF(VLOOKUP($A78,EnrollData2324,'2324 Jun 24 Enroll'!F$1,FALSE)='District Calculations'!$F$13,VLOOKUP($A78,EnrollData2324,'2324 Jun 24 Enroll'!F$1,FALSE),'District Calculations'!$F$13)*Apport_223A2425,3)</f>
        <v>0.84599999999999997</v>
      </c>
      <c r="O78">
        <f>ROUND(IF(VLOOKUP($A78,EnrollData2324,'2324 Jun 24 Enroll'!G$1,FALSE)='District Calculations'!$F$14,VLOOKUP($A78,EnrollData2324,'2324 Jun 24 Enroll'!G$1,FALSE),'District Calculations'!$F$14)*Apport_211A2425,3)</f>
        <v>1.877</v>
      </c>
      <c r="P78">
        <f>ROUND(IF(VLOOKUP($A78,EnrollData2324,'2324 Jun 24 Enroll'!H$1,FALSE)='District Calculations'!$F$14,VLOOKUP($A78,EnrollData2324,'2324 Jun 24 Enroll'!H$1,FALSE),'District Calculations'!$F$14)*Apport_214A2425,3)</f>
        <v>1.875</v>
      </c>
      <c r="Q78">
        <f>ROUND(IF(VLOOKUP($A78,EnrollData2324,'2324 Jun 24 Enroll'!I$1,FALSE)+VLOOKUP($A78,EnrollData2324,'2324 Jun 24 Enroll'!M$1,FALSE)-VLOOKUP($A78,EnrollData2324,'2324 Jun 24 Enroll'!J$1,FALSE)='District Calculations'!$F$16+'District Calculations'!$F$25-'District Calculations'!$F$17,VLOOKUP($A78,EnrollData2324,'2324 Jun 24 Enroll'!I$1,FALSE)+VLOOKUP($A78,EnrollData2324,'2324 Jun 24 Enroll'!M$1,FALSE)-VLOOKUP($A78,EnrollData2324,'2324 Jun 24 Enroll'!J$1,FALSE),'District Calculations'!$F$16+'District Calculations'!$F$25-'District Calculations'!$F$17)*Apport_217A2425,3)</f>
        <v>4.7130000000000001</v>
      </c>
      <c r="R78">
        <f>ROUND(SUM(L78:Q78)/IF(VLOOKUP($A78,EnrollData2324,'2324 Jun 24 Enroll'!M$1,FALSE)+VLOOKUP($A78,EnrollData2324,'2324 Jun 24 Enroll'!D$1,FALSE)='District Calculations'!$F$25+'District Calculations'!$F$11,VLOOKUP($A78,EnrollData2324,'2324 Jun 24 Enroll'!M$1,FALSE)+VLOOKUP($A78,EnrollData2324,'2324 Jun 24 Enroll'!D$1,FALSE),'District Calculations'!$F$25+'District Calculations'!$F$11),5)</f>
        <v>4.1200000000000004E-3</v>
      </c>
      <c r="S78" s="11">
        <f t="shared" si="14"/>
        <v>1.8734299999999999E-2</v>
      </c>
      <c r="T78">
        <f>ROUND(IF(VLOOKUP($A78,EnrollData2324,'2324 Jun 24 Enroll'!D$1,FALSE)='District Calculations'!$F$11,VLOOKUP($A78,EnrollData2324,'2324 Jun 24 Enroll'!D$1,FALSE),'District Calculations'!$F$11)*S78,3)</f>
        <v>0</v>
      </c>
      <c r="U78">
        <f>ROUND(IF(VLOOKUP($A78,EnrollData2324,'2324 Jun 24 Enroll'!E$1,FALSE)='District Calculations'!$F$12,VLOOKUP($A78,EnrollData2324,'2324 Jun 24 Enroll'!E$1,FALSE),'District Calculations'!$F$12)*S78,3)</f>
        <v>15.183999999999999</v>
      </c>
      <c r="V78">
        <f>ROUND(IF(VLOOKUP($A78,EnrollData2324,'2324 Jun 24 Enroll'!F$1,FALSE)='District Calculations'!$F$13,VLOOKUP($A78,EnrollData2324,'2324 Jun 24 Enroll'!F$1,FALSE),'District Calculations'!$F$13)*Apport_224A2425,3)</f>
        <v>3.7109999999999999</v>
      </c>
      <c r="W78">
        <f>ROUND(IF(VLOOKUP($A78,EnrollData2324,'2324 Jun 24 Enroll'!G$1,FALSE)='District Calculations'!$F$14,VLOOKUP($A78,EnrollData2324,'2324 Jun 24 Enroll'!G$1,FALSE),'District Calculations'!$F$14)*Apport_212A2425,3)</f>
        <v>8.2279999999999998</v>
      </c>
      <c r="X78">
        <f>ROUND(IF(VLOOKUP($A78,EnrollData2324,'2324 Jun 24 Enroll'!H$1,FALSE)='District Calculations'!$F$14,VLOOKUP($A78,EnrollData2324,'2324 Jun 24 Enroll'!H$1,FALSE),'District Calculations'!$F$14)*Apport_215A2425,3)</f>
        <v>8.1180000000000003</v>
      </c>
      <c r="Y78">
        <f>ROUND(IF(VLOOKUP($A78,EnrollData2324,'2324 Jun 24 Enroll'!I$1,FALSE)+VLOOKUP($A78,EnrollData2324,'2324 Jun 24 Enroll'!M$1,FALSE)-VLOOKUP($A78,EnrollData2324,'2324 Jun 24 Enroll'!J$1,FALSE)='District Calculations'!$F$16+'District Calculations'!$F$25-'District Calculations'!$F$17,VLOOKUP($A78,EnrollData2324,'2324 Jun 24 Enroll'!I$1,FALSE)+VLOOKUP($A78,EnrollData2324,'2324 Jun 24 Enroll'!M$1,FALSE)-VLOOKUP($A78,EnrollData2324,'2324 Jun 24 Enroll'!J$1,FALSE),'District Calculations'!$F$16+'District Calculations'!$F$25-'District Calculations'!$F$17)*Apport_218A2425,3)</f>
        <v>20.257999999999999</v>
      </c>
      <c r="Z78">
        <f>ROUND(SUM(T78:Y78)/IF(VLOOKUP($A78,EnrollData2324,'2324 Jun 24 Enroll'!M$1,FALSE)+VLOOKUP($A78,EnrollData2324,'2324 Jun 24 Enroll'!D$1,FALSE)='District Calculations'!$F$25+'District Calculations'!$F$11,VLOOKUP($A78,EnrollData2324,'2324 Jun 24 Enroll'!M$1,FALSE)+VLOOKUP($A78,EnrollData2324,'2324 Jun 24 Enroll'!D$1,FALSE),'District Calculations'!$F$25+'District Calculations'!$F$11),5)</f>
        <v>1.7780000000000001E-2</v>
      </c>
      <c r="AA78" s="6">
        <f>ROUND($J78*CIS_Base_Salary2425*VLOOKUP($A78,EnrollData2324,'2324 Jun 24 Enroll'!AH$1,FALSE),2)</f>
        <v>4262.68</v>
      </c>
      <c r="AB78" s="6">
        <f>ROUND($J78*CIS_Inc_Salary2425*(VLOOKUP($A78,EnrollData2324,'2324 Jun 24 Enroll'!AI$1,FALSE)+VLOOKUP($A78,EnrollData2324,'2324 Jun 24 Enroll'!AJ$1,FALSE)),2)-AA78</f>
        <v>157.6899999999996</v>
      </c>
      <c r="AC78" s="6" cm="1">
        <f t="array" ref="AC78">ROUND($R78*CAS_Base_Salary2425*VLOOKUP($A78,EnrollData2324,'2324 Jun 24 Enroll'!AH$1,FALSE),2)</f>
        <v>461.23</v>
      </c>
      <c r="AD78" s="6">
        <f>ROUND($R78*CAS_Inc_Salary2425*VLOOKUP($A78,EnrollData2324,'2324 Jun 24 Enroll'!AI$1,FALSE),2)-AC78</f>
        <v>17.069999999999993</v>
      </c>
      <c r="AE78" s="6">
        <f>ROUND($Z78*CLS_Base_Salary2425*VLOOKUP($A78,EnrollData2324,'2324 Jun 24 Enroll'!AH$1,FALSE),2)</f>
        <v>961.95</v>
      </c>
      <c r="AF78" s="6">
        <f>ROUND($Z78*CLS_Inc_Salary2425*VLOOKUP($A78,EnrollData2324,'2324 Jun 24 Enroll'!AI$1,FALSE),2)-AE78</f>
        <v>35.599999999999909</v>
      </c>
      <c r="AG78" cm="1">
        <f t="array" ref="AG78">ROUND(($J78+$R78)*Apport_124X2425,2)</f>
        <v>800.45</v>
      </c>
      <c r="AH78" s="69" cm="1">
        <f t="array" ref="AH78">ROUND(($J78+$R78)*Apport_621X2425*Apport_125XC2425,2)-AG78</f>
        <v>73.899999999999977</v>
      </c>
      <c r="AI78" cm="1">
        <f t="array" ref="AI78">ROUND($Z78*Apport_124X2425,2)</f>
        <v>234.7</v>
      </c>
      <c r="AJ78">
        <f t="shared" si="15"/>
        <v>124.71000000000004</v>
      </c>
      <c r="AK78">
        <f t="shared" si="16"/>
        <v>857.39</v>
      </c>
      <c r="AL78">
        <f t="shared" si="17"/>
        <v>30.6</v>
      </c>
      <c r="AM78">
        <f t="shared" si="18"/>
        <v>208.36</v>
      </c>
      <c r="AN78">
        <f t="shared" si="19"/>
        <v>6.46</v>
      </c>
      <c r="AO78">
        <f>ROUND(($J78*CIS_Inc_Salary2425*(VLOOKUP($A78,EnrollData2324,'2324 Jun 24 Enroll'!AI$1,FALSE)+VLOOKUP($A78,EnrollData2324,'2324 Jun 24 Enroll'!AJ$1,FALSE))/Apport_613Xpd)*Apport_614Xpd,2)</f>
        <v>73.67</v>
      </c>
      <c r="AP78">
        <f t="shared" si="20"/>
        <v>12.9</v>
      </c>
      <c r="AQ78">
        <f t="shared" si="28"/>
        <v>31.48</v>
      </c>
      <c r="AR78" s="6">
        <f>ROUND((VLOOKUP($A78,EnrollData2324,'2324 Jun 24 Enroll'!D$1,FALSE)*Apport_M802425+VLOOKUP($A78,EnrollData2324,'2324 Jun 24 Enroll'!M$1,FALSE)*Apport_M802425+(VLOOKUP($A78,EnrollData2324,'2324 Jun 24 Enroll'!P$1,FALSE)+VLOOKUP($A78,EnrollData2324,'2324 Jun 24 Enroll'!Q$1,FALSE)+VLOOKUP($A78,EnrollData2324,'2324 Jun 24 Enroll'!R$1,FALSE)+VLOOKUP($A78,EnrollData2324,'2324 Jun 24 Enroll'!I$1,FALSE)+VLOOKUP($A78,EnrollData2324,'2324 Jun 24 Enroll'!N$1,FALSE)+VLOOKUP($A78,EnrollData2324,'2324 Jun 24 Enroll'!O$1,FALSE)+VLOOKUP($A78,EnrollData2324,'2324 Jun 24 Enroll'!K$1,FALSE)+VLOOKUP($A78,EnrollData2324,'2324 Jun 24 Enroll'!L$1,FALSE))*Apport_M812425)/(VLOOKUP($A78,EnrollData2324,'2324 Jun 24 Enroll'!M$1,FALSE)+VLOOKUP($A78,EnrollData2324,'2324 Jun 24 Enroll'!D$1,FALSE)),2)</f>
        <v>1533.02</v>
      </c>
      <c r="AS78" s="7">
        <f t="shared" si="29"/>
        <v>9883.8599999999988</v>
      </c>
    </row>
    <row r="79" spans="1:48">
      <c r="A79" s="40" t="s">
        <v>416</v>
      </c>
      <c r="B79" s="40" t="s">
        <v>417</v>
      </c>
      <c r="C79" s="11">
        <f>ROUND((IFERROR((1/IF(VLOOKUP($A79,EnrollData2324,28,FALSE)='District Calculations'!$F$10,VLOOKUP($A79,EnrollData2324,28,FALSE),'District Calculations'!$F$10))*(1+Apport_Z315),0))+Apport_201A2425,6)</f>
        <v>7.4580999999999995E-2</v>
      </c>
      <c r="D79">
        <f>ROUND(IF(VLOOKUP($A79,EnrollData2324,'2324 Jun 24 Enroll'!D$1,FALSE)='District Calculations'!$F$11,VLOOKUP($A79,EnrollData2324,'2324 Jun 24 Enroll'!D$1,FALSE),'District Calculations'!$F$11)*C79,3)</f>
        <v>0</v>
      </c>
      <c r="E79">
        <f>ROUND(IF(VLOOKUP($A79,EnrollData2324,'2324 Jun 24 Enroll'!E$1,FALSE)='District Calculations'!$F$12,VLOOKUP($A79,EnrollData2324,'2324 Jun 24 Enroll'!E$1,FALSE),'District Calculations'!$F$12)*C79,3)</f>
        <v>60.447000000000003</v>
      </c>
      <c r="F79">
        <f>ROUND(IF(VLOOKUP($A79,EnrollData2324,'2324 Jun 24 Enroll'!F$1,FALSE)='District Calculations'!$F$13,VLOOKUP($A79,EnrollData2324,'2324 Jun 24 Enroll'!F$1,FALSE),'District Calculations'!$F$13)*Apport_222A2425,3)</f>
        <v>10.337999999999999</v>
      </c>
      <c r="G79">
        <f>ROUND(IF(VLOOKUP($A79,EnrollData2324,'2324 Jun 24 Enroll'!G$1,FALSE)='District Calculations'!$F$14,VLOOKUP($A79,EnrollData2324,'2324 Jun 24 Enroll'!G$1,FALSE),'District Calculations'!$F$14)*Apport_210A2425,3)</f>
        <v>22.92</v>
      </c>
      <c r="H79">
        <f>ROUND(IF(VLOOKUP($A79,EnrollData2324,'2324 Jun 24 Enroll'!H$1,FALSE)='District Calculations'!$F$15,VLOOKUP($A79,EnrollData2324,'2324 Jun 24 Enroll'!H$1,FALSE),'District Calculations'!$F$15)*Apport_213A2425,3)</f>
        <v>23.619</v>
      </c>
      <c r="I79">
        <f>ROUND(IF(VLOOKUP($A79,EnrollData2324,'2324 Jun 24 Enroll'!I$1,FALSE)+VLOOKUP($A79,EnrollData2324,'2324 Jun 24 Enroll'!M$1,FALSE)-VLOOKUP($A79,EnrollData2324,'2324 Jun 24 Enroll'!J$1,FALSE)='District Calculations'!$F$16+'District Calculations'!$F$25-'District Calculations'!$F$17,VLOOKUP($A79,EnrollData2324,'2324 Jun 24 Enroll'!I$1,FALSE)+VLOOKUP($A79,EnrollData2324,'2324 Jun 24 Enroll'!M$1,FALSE)-VLOOKUP($A79,EnrollData2324,'2324 Jun 24 Enroll'!J$1,FALSE),'District Calculations'!$F$16+'District Calculations'!$F$25-'District Calculations'!$F$17)*Apport_216A2425,3)</f>
        <v>59.057000000000002</v>
      </c>
      <c r="J79">
        <f>ROUND(SUM(D79:I79)/(IF(VLOOKUP($A79,EnrollData2324,'2324 Jun 24 Enroll'!M$1,FALSE)='District Calculations'!$F$25,VLOOKUP($A79,EnrollData2324,'2324 Jun 24 Enroll'!M$1,FALSE),'District Calculations'!$F$25)+IF(VLOOKUP($A79,EnrollData2324,'2324 Jun 24 Enroll'!D$1,FALSE)='District Calculations'!$F$11,VLOOKUP($A79,EnrollData2324,'2324 Jun 24 Enroll'!D$1,FALSE),'District Calculations'!$F$11)),5)</f>
        <v>5.6520000000000001E-2</v>
      </c>
      <c r="K79" s="11">
        <f t="shared" si="13"/>
        <v>4.385E-3</v>
      </c>
      <c r="L79">
        <f>ROUND(IF(VLOOKUP($A79,EnrollData2324,'2324 Jun 24 Enroll'!D$1,FALSE)='District Calculations'!$F$11,VLOOKUP($A79,EnrollData2324,'2324 Jun 24 Enroll'!D$1,FALSE),'District Calculations'!$F$11)*K79,3)</f>
        <v>0</v>
      </c>
      <c r="M79">
        <f>ROUND(IF(VLOOKUP($A79,EnrollData2324,'2324 Jun 24 Enroll'!E$1,FALSE)='District Calculations'!$F$12,VLOOKUP($A79,EnrollData2324,'2324 Jun 24 Enroll'!E$1,FALSE),'District Calculations'!$F$12)*K79,3)</f>
        <v>3.5539999999999998</v>
      </c>
      <c r="N79">
        <f>ROUND(IF(VLOOKUP($A79,EnrollData2324,'2324 Jun 24 Enroll'!F$1,FALSE)='District Calculations'!$F$13,VLOOKUP($A79,EnrollData2324,'2324 Jun 24 Enroll'!F$1,FALSE),'District Calculations'!$F$13)*Apport_223A2425,3)</f>
        <v>0.84599999999999997</v>
      </c>
      <c r="O79">
        <f>ROUND(IF(VLOOKUP($A79,EnrollData2324,'2324 Jun 24 Enroll'!G$1,FALSE)='District Calculations'!$F$14,VLOOKUP($A79,EnrollData2324,'2324 Jun 24 Enroll'!G$1,FALSE),'District Calculations'!$F$14)*Apport_211A2425,3)</f>
        <v>1.877</v>
      </c>
      <c r="P79">
        <f>ROUND(IF(VLOOKUP($A79,EnrollData2324,'2324 Jun 24 Enroll'!H$1,FALSE)='District Calculations'!$F$14,VLOOKUP($A79,EnrollData2324,'2324 Jun 24 Enroll'!H$1,FALSE),'District Calculations'!$F$14)*Apport_214A2425,3)</f>
        <v>1.875</v>
      </c>
      <c r="Q79">
        <f>ROUND(IF(VLOOKUP($A79,EnrollData2324,'2324 Jun 24 Enroll'!I$1,FALSE)+VLOOKUP($A79,EnrollData2324,'2324 Jun 24 Enroll'!M$1,FALSE)-VLOOKUP($A79,EnrollData2324,'2324 Jun 24 Enroll'!J$1,FALSE)='District Calculations'!$F$16+'District Calculations'!$F$25-'District Calculations'!$F$17,VLOOKUP($A79,EnrollData2324,'2324 Jun 24 Enroll'!I$1,FALSE)+VLOOKUP($A79,EnrollData2324,'2324 Jun 24 Enroll'!M$1,FALSE)-VLOOKUP($A79,EnrollData2324,'2324 Jun 24 Enroll'!J$1,FALSE),'District Calculations'!$F$16+'District Calculations'!$F$25-'District Calculations'!$F$17)*Apport_217A2425,3)</f>
        <v>4.7130000000000001</v>
      </c>
      <c r="R79">
        <f>ROUND(SUM(L79:Q79)/IF(VLOOKUP($A79,EnrollData2324,'2324 Jun 24 Enroll'!M$1,FALSE)+VLOOKUP($A79,EnrollData2324,'2324 Jun 24 Enroll'!D$1,FALSE)='District Calculations'!$F$25+'District Calculations'!$F$11,VLOOKUP($A79,EnrollData2324,'2324 Jun 24 Enroll'!M$1,FALSE)+VLOOKUP($A79,EnrollData2324,'2324 Jun 24 Enroll'!D$1,FALSE),'District Calculations'!$F$25+'District Calculations'!$F$11),5)</f>
        <v>4.1200000000000004E-3</v>
      </c>
      <c r="S79" s="11">
        <f t="shared" si="14"/>
        <v>1.8734299999999999E-2</v>
      </c>
      <c r="T79">
        <f>ROUND(IF(VLOOKUP($A79,EnrollData2324,'2324 Jun 24 Enroll'!D$1,FALSE)='District Calculations'!$F$11,VLOOKUP($A79,EnrollData2324,'2324 Jun 24 Enroll'!D$1,FALSE),'District Calculations'!$F$11)*S79,3)</f>
        <v>0</v>
      </c>
      <c r="U79">
        <f>ROUND(IF(VLOOKUP($A79,EnrollData2324,'2324 Jun 24 Enroll'!E$1,FALSE)='District Calculations'!$F$12,VLOOKUP($A79,EnrollData2324,'2324 Jun 24 Enroll'!E$1,FALSE),'District Calculations'!$F$12)*S79,3)</f>
        <v>15.183999999999999</v>
      </c>
      <c r="V79">
        <f>ROUND(IF(VLOOKUP($A79,EnrollData2324,'2324 Jun 24 Enroll'!F$1,FALSE)='District Calculations'!$F$13,VLOOKUP($A79,EnrollData2324,'2324 Jun 24 Enroll'!F$1,FALSE),'District Calculations'!$F$13)*Apport_224A2425,3)</f>
        <v>3.7109999999999999</v>
      </c>
      <c r="W79">
        <f>ROUND(IF(VLOOKUP($A79,EnrollData2324,'2324 Jun 24 Enroll'!G$1,FALSE)='District Calculations'!$F$14,VLOOKUP($A79,EnrollData2324,'2324 Jun 24 Enroll'!G$1,FALSE),'District Calculations'!$F$14)*Apport_212A2425,3)</f>
        <v>8.2279999999999998</v>
      </c>
      <c r="X79">
        <f>ROUND(IF(VLOOKUP($A79,EnrollData2324,'2324 Jun 24 Enroll'!H$1,FALSE)='District Calculations'!$F$14,VLOOKUP($A79,EnrollData2324,'2324 Jun 24 Enroll'!H$1,FALSE),'District Calculations'!$F$14)*Apport_215A2425,3)</f>
        <v>8.1180000000000003</v>
      </c>
      <c r="Y79">
        <f>ROUND(IF(VLOOKUP($A79,EnrollData2324,'2324 Jun 24 Enroll'!I$1,FALSE)+VLOOKUP($A79,EnrollData2324,'2324 Jun 24 Enroll'!M$1,FALSE)-VLOOKUP($A79,EnrollData2324,'2324 Jun 24 Enroll'!J$1,FALSE)='District Calculations'!$F$16+'District Calculations'!$F$25-'District Calculations'!$F$17,VLOOKUP($A79,EnrollData2324,'2324 Jun 24 Enroll'!I$1,FALSE)+VLOOKUP($A79,EnrollData2324,'2324 Jun 24 Enroll'!M$1,FALSE)-VLOOKUP($A79,EnrollData2324,'2324 Jun 24 Enroll'!J$1,FALSE),'District Calculations'!$F$16+'District Calculations'!$F$25-'District Calculations'!$F$17)*Apport_218A2425,3)</f>
        <v>20.257999999999999</v>
      </c>
      <c r="Z79">
        <f>ROUND(SUM(T79:Y79)/IF(VLOOKUP($A79,EnrollData2324,'2324 Jun 24 Enroll'!M$1,FALSE)+VLOOKUP($A79,EnrollData2324,'2324 Jun 24 Enroll'!D$1,FALSE)='District Calculations'!$F$25+'District Calculations'!$F$11,VLOOKUP($A79,EnrollData2324,'2324 Jun 24 Enroll'!M$1,FALSE)+VLOOKUP($A79,EnrollData2324,'2324 Jun 24 Enroll'!D$1,FALSE),'District Calculations'!$F$25+'District Calculations'!$F$11),5)</f>
        <v>1.7780000000000001E-2</v>
      </c>
      <c r="AA79" s="6">
        <f>ROUND($J79*CIS_Base_Salary2425*VLOOKUP($A79,EnrollData2324,'2324 Jun 24 Enroll'!AH$1,FALSE),2)</f>
        <v>4262.68</v>
      </c>
      <c r="AB79" s="6">
        <f>ROUND($J79*CIS_Inc_Salary2425*(VLOOKUP($A79,EnrollData2324,'2324 Jun 24 Enroll'!AI$1,FALSE)+VLOOKUP($A79,EnrollData2324,'2324 Jun 24 Enroll'!AJ$1,FALSE)),2)-AA79</f>
        <v>201.89999999999964</v>
      </c>
      <c r="AC79" s="6" cm="1">
        <f t="array" ref="AC79">ROUND($R79*CAS_Base_Salary2425*VLOOKUP($A79,EnrollData2324,'2324 Jun 24 Enroll'!AH$1,FALSE),2)</f>
        <v>461.23</v>
      </c>
      <c r="AD79" s="6">
        <f>ROUND($R79*CAS_Inc_Salary2425*VLOOKUP($A79,EnrollData2324,'2324 Jun 24 Enroll'!AI$1,FALSE),2)-AC79</f>
        <v>17.069999999999993</v>
      </c>
      <c r="AE79" s="6">
        <f>ROUND($Z79*CLS_Base_Salary2425*VLOOKUP($A79,EnrollData2324,'2324 Jun 24 Enroll'!AH$1,FALSE),2)</f>
        <v>961.95</v>
      </c>
      <c r="AF79" s="6">
        <f>ROUND($Z79*CLS_Inc_Salary2425*VLOOKUP($A79,EnrollData2324,'2324 Jun 24 Enroll'!AI$1,FALSE),2)-AE79</f>
        <v>35.599999999999909</v>
      </c>
      <c r="AG79" cm="1">
        <f t="array" ref="AG79">ROUND(($J79+$R79)*Apport_124X2425,2)</f>
        <v>800.45</v>
      </c>
      <c r="AH79" s="69" cm="1">
        <f t="array" ref="AH79">ROUND(($J79+$R79)*Apport_621X2425*Apport_125XC2425,2)-AG79</f>
        <v>73.899999999999977</v>
      </c>
      <c r="AI79" cm="1">
        <f t="array" ref="AI79">ROUND($Z79*Apport_124X2425,2)</f>
        <v>234.7</v>
      </c>
      <c r="AJ79">
        <f t="shared" si="15"/>
        <v>124.71000000000004</v>
      </c>
      <c r="AK79">
        <f t="shared" si="16"/>
        <v>857.39</v>
      </c>
      <c r="AL79">
        <f t="shared" si="17"/>
        <v>38.340000000000003</v>
      </c>
      <c r="AM79">
        <f t="shared" si="18"/>
        <v>208.36</v>
      </c>
      <c r="AN79">
        <f t="shared" si="19"/>
        <v>6.46</v>
      </c>
      <c r="AO79">
        <f>ROUND(($J79*CIS_Inc_Salary2425*(VLOOKUP($A79,EnrollData2324,'2324 Jun 24 Enroll'!AI$1,FALSE)+VLOOKUP($A79,EnrollData2324,'2324 Jun 24 Enroll'!AJ$1,FALSE))/Apport_613Xpd)*Apport_614Xpd,2)</f>
        <v>74.41</v>
      </c>
      <c r="AP79">
        <f t="shared" si="20"/>
        <v>13.03</v>
      </c>
      <c r="AQ79">
        <f t="shared" si="28"/>
        <v>31.48</v>
      </c>
      <c r="AR79" s="6">
        <f>ROUND((VLOOKUP($A79,EnrollData2324,'2324 Jun 24 Enroll'!D$1,FALSE)*Apport_M802425+VLOOKUP($A79,EnrollData2324,'2324 Jun 24 Enroll'!M$1,FALSE)*Apport_M802425+(VLOOKUP($A79,EnrollData2324,'2324 Jun 24 Enroll'!P$1,FALSE)+VLOOKUP($A79,EnrollData2324,'2324 Jun 24 Enroll'!Q$1,FALSE)+VLOOKUP($A79,EnrollData2324,'2324 Jun 24 Enroll'!R$1,FALSE)+VLOOKUP($A79,EnrollData2324,'2324 Jun 24 Enroll'!I$1,FALSE)+VLOOKUP($A79,EnrollData2324,'2324 Jun 24 Enroll'!N$1,FALSE)+VLOOKUP($A79,EnrollData2324,'2324 Jun 24 Enroll'!O$1,FALSE)+VLOOKUP($A79,EnrollData2324,'2324 Jun 24 Enroll'!K$1,FALSE)+VLOOKUP($A79,EnrollData2324,'2324 Jun 24 Enroll'!L$1,FALSE))*Apport_M812425)/(VLOOKUP($A79,EnrollData2324,'2324 Jun 24 Enroll'!M$1,FALSE)+VLOOKUP($A79,EnrollData2324,'2324 Jun 24 Enroll'!D$1,FALSE)),2)</f>
        <v>1649.47</v>
      </c>
      <c r="AS79" s="7">
        <f t="shared" si="29"/>
        <v>10053.129999999997</v>
      </c>
    </row>
    <row r="80" spans="1:48">
      <c r="A80" s="40" t="s">
        <v>667</v>
      </c>
      <c r="B80" s="40" t="s">
        <v>668</v>
      </c>
      <c r="C80" s="11">
        <f>ROUND((IFERROR((1/IF(VLOOKUP($A80,EnrollData2324,28,FALSE)='District Calculations'!$F$10,VLOOKUP($A80,EnrollData2324,28,FALSE),'District Calculations'!$F$10))*(1+Apport_Z315),0))+Apport_201A2425,6)</f>
        <v>7.4580999999999995E-2</v>
      </c>
      <c r="D80">
        <f>ROUND(IF(VLOOKUP($A80,EnrollData2324,'2324 Jun 24 Enroll'!D$1,FALSE)='District Calculations'!$F$11,VLOOKUP($A80,EnrollData2324,'2324 Jun 24 Enroll'!D$1,FALSE),'District Calculations'!$F$11)*C80,3)</f>
        <v>0</v>
      </c>
      <c r="E80">
        <f>ROUND(IF(VLOOKUP($A80,EnrollData2324,'2324 Jun 24 Enroll'!E$1,FALSE)='District Calculations'!$F$12,VLOOKUP($A80,EnrollData2324,'2324 Jun 24 Enroll'!E$1,FALSE),'District Calculations'!$F$12)*C80,3)</f>
        <v>60.447000000000003</v>
      </c>
      <c r="F80">
        <f>ROUND(IF(VLOOKUP($A80,EnrollData2324,'2324 Jun 24 Enroll'!F$1,FALSE)='District Calculations'!$F$13,VLOOKUP($A80,EnrollData2324,'2324 Jun 24 Enroll'!F$1,FALSE),'District Calculations'!$F$13)*Apport_222A2425,3)</f>
        <v>10.337999999999999</v>
      </c>
      <c r="G80">
        <f>ROUND(IF(VLOOKUP($A80,EnrollData2324,'2324 Jun 24 Enroll'!G$1,FALSE)='District Calculations'!$F$14,VLOOKUP($A80,EnrollData2324,'2324 Jun 24 Enroll'!G$1,FALSE),'District Calculations'!$F$14)*Apport_210A2425,3)</f>
        <v>22.92</v>
      </c>
      <c r="H80">
        <f>ROUND(IF(VLOOKUP($A80,EnrollData2324,'2324 Jun 24 Enroll'!H$1,FALSE)='District Calculations'!$F$15,VLOOKUP($A80,EnrollData2324,'2324 Jun 24 Enroll'!H$1,FALSE),'District Calculations'!$F$15)*Apport_213A2425,3)</f>
        <v>23.619</v>
      </c>
      <c r="I80">
        <f>ROUND(IF(VLOOKUP($A80,EnrollData2324,'2324 Jun 24 Enroll'!I$1,FALSE)+VLOOKUP($A80,EnrollData2324,'2324 Jun 24 Enroll'!M$1,FALSE)-VLOOKUP($A80,EnrollData2324,'2324 Jun 24 Enroll'!J$1,FALSE)='District Calculations'!$F$16+'District Calculations'!$F$25-'District Calculations'!$F$17,VLOOKUP($A80,EnrollData2324,'2324 Jun 24 Enroll'!I$1,FALSE)+VLOOKUP($A80,EnrollData2324,'2324 Jun 24 Enroll'!M$1,FALSE)-VLOOKUP($A80,EnrollData2324,'2324 Jun 24 Enroll'!J$1,FALSE),'District Calculations'!$F$16+'District Calculations'!$F$25-'District Calculations'!$F$17)*Apport_216A2425,3)</f>
        <v>59.057000000000002</v>
      </c>
      <c r="J80">
        <f>ROUND(SUM(D80:I80)/(IF(VLOOKUP($A80,EnrollData2324,'2324 Jun 24 Enroll'!M$1,FALSE)='District Calculations'!$F$25,VLOOKUP($A80,EnrollData2324,'2324 Jun 24 Enroll'!M$1,FALSE),'District Calculations'!$F$25)+IF(VLOOKUP($A80,EnrollData2324,'2324 Jun 24 Enroll'!D$1,FALSE)='District Calculations'!$F$11,VLOOKUP($A80,EnrollData2324,'2324 Jun 24 Enroll'!D$1,FALSE),'District Calculations'!$F$11)),5)</f>
        <v>5.6520000000000001E-2</v>
      </c>
      <c r="K80" s="11">
        <f t="shared" si="13"/>
        <v>4.385E-3</v>
      </c>
      <c r="L80">
        <f>ROUND(IF(VLOOKUP($A80,EnrollData2324,'2324 Jun 24 Enroll'!D$1,FALSE)='District Calculations'!$F$11,VLOOKUP($A80,EnrollData2324,'2324 Jun 24 Enroll'!D$1,FALSE),'District Calculations'!$F$11)*K80,3)</f>
        <v>0</v>
      </c>
      <c r="M80">
        <f>ROUND(IF(VLOOKUP($A80,EnrollData2324,'2324 Jun 24 Enroll'!E$1,FALSE)='District Calculations'!$F$12,VLOOKUP($A80,EnrollData2324,'2324 Jun 24 Enroll'!E$1,FALSE),'District Calculations'!$F$12)*K80,3)</f>
        <v>3.5539999999999998</v>
      </c>
      <c r="N80">
        <f>ROUND(IF(VLOOKUP($A80,EnrollData2324,'2324 Jun 24 Enroll'!F$1,FALSE)='District Calculations'!$F$13,VLOOKUP($A80,EnrollData2324,'2324 Jun 24 Enroll'!F$1,FALSE),'District Calculations'!$F$13)*Apport_223A2425,3)</f>
        <v>0.84599999999999997</v>
      </c>
      <c r="O80">
        <f>ROUND(IF(VLOOKUP($A80,EnrollData2324,'2324 Jun 24 Enroll'!G$1,FALSE)='District Calculations'!$F$14,VLOOKUP($A80,EnrollData2324,'2324 Jun 24 Enroll'!G$1,FALSE),'District Calculations'!$F$14)*Apport_211A2425,3)</f>
        <v>1.877</v>
      </c>
      <c r="P80">
        <f>ROUND(IF(VLOOKUP($A80,EnrollData2324,'2324 Jun 24 Enroll'!H$1,FALSE)='District Calculations'!$F$14,VLOOKUP($A80,EnrollData2324,'2324 Jun 24 Enroll'!H$1,FALSE),'District Calculations'!$F$14)*Apport_214A2425,3)</f>
        <v>1.875</v>
      </c>
      <c r="Q80">
        <f>ROUND(IF(VLOOKUP($A80,EnrollData2324,'2324 Jun 24 Enroll'!I$1,FALSE)+VLOOKUP($A80,EnrollData2324,'2324 Jun 24 Enroll'!M$1,FALSE)-VLOOKUP($A80,EnrollData2324,'2324 Jun 24 Enroll'!J$1,FALSE)='District Calculations'!$F$16+'District Calculations'!$F$25-'District Calculations'!$F$17,VLOOKUP($A80,EnrollData2324,'2324 Jun 24 Enroll'!I$1,FALSE)+VLOOKUP($A80,EnrollData2324,'2324 Jun 24 Enroll'!M$1,FALSE)-VLOOKUP($A80,EnrollData2324,'2324 Jun 24 Enroll'!J$1,FALSE),'District Calculations'!$F$16+'District Calculations'!$F$25-'District Calculations'!$F$17)*Apport_217A2425,3)</f>
        <v>4.7130000000000001</v>
      </c>
      <c r="R80">
        <f>ROUND(SUM(L80:Q80)/IF(VLOOKUP($A80,EnrollData2324,'2324 Jun 24 Enroll'!M$1,FALSE)+VLOOKUP($A80,EnrollData2324,'2324 Jun 24 Enroll'!D$1,FALSE)='District Calculations'!$F$25+'District Calculations'!$F$11,VLOOKUP($A80,EnrollData2324,'2324 Jun 24 Enroll'!M$1,FALSE)+VLOOKUP($A80,EnrollData2324,'2324 Jun 24 Enroll'!D$1,FALSE),'District Calculations'!$F$25+'District Calculations'!$F$11),5)</f>
        <v>4.1200000000000004E-3</v>
      </c>
      <c r="S80" s="11">
        <f t="shared" si="14"/>
        <v>1.8734299999999999E-2</v>
      </c>
      <c r="T80">
        <f>ROUND(IF(VLOOKUP($A80,EnrollData2324,'2324 Jun 24 Enroll'!D$1,FALSE)='District Calculations'!$F$11,VLOOKUP($A80,EnrollData2324,'2324 Jun 24 Enroll'!D$1,FALSE),'District Calculations'!$F$11)*S80,3)</f>
        <v>0</v>
      </c>
      <c r="U80">
        <f>ROUND(IF(VLOOKUP($A80,EnrollData2324,'2324 Jun 24 Enroll'!E$1,FALSE)='District Calculations'!$F$12,VLOOKUP($A80,EnrollData2324,'2324 Jun 24 Enroll'!E$1,FALSE),'District Calculations'!$F$12)*S80,3)</f>
        <v>15.183999999999999</v>
      </c>
      <c r="V80">
        <f>ROUND(IF(VLOOKUP($A80,EnrollData2324,'2324 Jun 24 Enroll'!F$1,FALSE)='District Calculations'!$F$13,VLOOKUP($A80,EnrollData2324,'2324 Jun 24 Enroll'!F$1,FALSE),'District Calculations'!$F$13)*Apport_224A2425,3)</f>
        <v>3.7109999999999999</v>
      </c>
      <c r="W80">
        <f>ROUND(IF(VLOOKUP($A80,EnrollData2324,'2324 Jun 24 Enroll'!G$1,FALSE)='District Calculations'!$F$14,VLOOKUP($A80,EnrollData2324,'2324 Jun 24 Enroll'!G$1,FALSE),'District Calculations'!$F$14)*Apport_212A2425,3)</f>
        <v>8.2279999999999998</v>
      </c>
      <c r="X80">
        <f>ROUND(IF(VLOOKUP($A80,EnrollData2324,'2324 Jun 24 Enroll'!H$1,FALSE)='District Calculations'!$F$14,VLOOKUP($A80,EnrollData2324,'2324 Jun 24 Enroll'!H$1,FALSE),'District Calculations'!$F$14)*Apport_215A2425,3)</f>
        <v>8.1180000000000003</v>
      </c>
      <c r="Y80">
        <f>ROUND(IF(VLOOKUP($A80,EnrollData2324,'2324 Jun 24 Enroll'!I$1,FALSE)+VLOOKUP($A80,EnrollData2324,'2324 Jun 24 Enroll'!M$1,FALSE)-VLOOKUP($A80,EnrollData2324,'2324 Jun 24 Enroll'!J$1,FALSE)='District Calculations'!$F$16+'District Calculations'!$F$25-'District Calculations'!$F$17,VLOOKUP($A80,EnrollData2324,'2324 Jun 24 Enroll'!I$1,FALSE)+VLOOKUP($A80,EnrollData2324,'2324 Jun 24 Enroll'!M$1,FALSE)-VLOOKUP($A80,EnrollData2324,'2324 Jun 24 Enroll'!J$1,FALSE),'District Calculations'!$F$16+'District Calculations'!$F$25-'District Calculations'!$F$17)*Apport_218A2425,3)</f>
        <v>20.257999999999999</v>
      </c>
      <c r="Z80">
        <f>ROUND(SUM(T80:Y80)/IF(VLOOKUP($A80,EnrollData2324,'2324 Jun 24 Enroll'!M$1,FALSE)+VLOOKUP($A80,EnrollData2324,'2324 Jun 24 Enroll'!D$1,FALSE)='District Calculations'!$F$25+'District Calculations'!$F$11,VLOOKUP($A80,EnrollData2324,'2324 Jun 24 Enroll'!M$1,FALSE)+VLOOKUP($A80,EnrollData2324,'2324 Jun 24 Enroll'!D$1,FALSE),'District Calculations'!$F$25+'District Calculations'!$F$11),5)</f>
        <v>1.7780000000000001E-2</v>
      </c>
      <c r="AA80" s="6">
        <f>ROUND($J80*CIS_Base_Salary2425*VLOOKUP($A80,EnrollData2324,'2324 Jun 24 Enroll'!AH$1,FALSE),2)</f>
        <v>4262.68</v>
      </c>
      <c r="AB80" s="6">
        <f>ROUND($J80*CIS_Inc_Salary2425*(VLOOKUP($A80,EnrollData2324,'2324 Jun 24 Enroll'!AI$1,FALSE)+VLOOKUP($A80,EnrollData2324,'2324 Jun 24 Enroll'!AJ$1,FALSE)),2)-AA80</f>
        <v>201.89999999999964</v>
      </c>
      <c r="AC80" s="6" cm="1">
        <f t="array" ref="AC80">ROUND($R80*CAS_Base_Salary2425*VLOOKUP($A80,EnrollData2324,'2324 Jun 24 Enroll'!AH$1,FALSE),2)</f>
        <v>461.23</v>
      </c>
      <c r="AD80" s="6">
        <f>ROUND($R80*CAS_Inc_Salary2425*VLOOKUP($A80,EnrollData2324,'2324 Jun 24 Enroll'!AI$1,FALSE),2)-AC80</f>
        <v>17.069999999999993</v>
      </c>
      <c r="AE80" s="6">
        <f>ROUND($Z80*CLS_Base_Salary2425*VLOOKUP($A80,EnrollData2324,'2324 Jun 24 Enroll'!AH$1,FALSE),2)</f>
        <v>961.95</v>
      </c>
      <c r="AF80" s="6">
        <f>ROUND($Z80*CLS_Inc_Salary2425*VLOOKUP($A80,EnrollData2324,'2324 Jun 24 Enroll'!AI$1,FALSE),2)-AE80</f>
        <v>35.599999999999909</v>
      </c>
      <c r="AG80" cm="1">
        <f t="array" ref="AG80">ROUND(($J80+$R80)*Apport_124X2425,2)</f>
        <v>800.45</v>
      </c>
      <c r="AH80" s="69" cm="1">
        <f t="array" ref="AH80">ROUND(($J80+$R80)*Apport_621X2425*Apport_125XC2425,2)-AG80</f>
        <v>73.899999999999977</v>
      </c>
      <c r="AI80" cm="1">
        <f t="array" ref="AI80">ROUND($Z80*Apport_124X2425,2)</f>
        <v>234.7</v>
      </c>
      <c r="AJ80">
        <f t="shared" si="15"/>
        <v>124.71000000000004</v>
      </c>
      <c r="AK80">
        <f t="shared" si="16"/>
        <v>857.39</v>
      </c>
      <c r="AL80">
        <f t="shared" si="17"/>
        <v>38.340000000000003</v>
      </c>
      <c r="AM80">
        <f t="shared" si="18"/>
        <v>208.36</v>
      </c>
      <c r="AN80">
        <f t="shared" si="19"/>
        <v>6.46</v>
      </c>
      <c r="AO80">
        <f>ROUND(($J80*CIS_Inc_Salary2425*(VLOOKUP($A80,EnrollData2324,'2324 Jun 24 Enroll'!AI$1,FALSE)+VLOOKUP($A80,EnrollData2324,'2324 Jun 24 Enroll'!AJ$1,FALSE))/Apport_613Xpd)*Apport_614Xpd,2)</f>
        <v>74.41</v>
      </c>
      <c r="AP80">
        <f t="shared" si="20"/>
        <v>13.03</v>
      </c>
      <c r="AQ80">
        <f t="shared" si="28"/>
        <v>31.48</v>
      </c>
      <c r="AR80" s="6">
        <f>ROUND((VLOOKUP($A80,EnrollData2324,'2324 Jun 24 Enroll'!D$1,FALSE)*Apport_M802425+VLOOKUP($A80,EnrollData2324,'2324 Jun 24 Enroll'!M$1,FALSE)*Apport_M802425+(VLOOKUP($A80,EnrollData2324,'2324 Jun 24 Enroll'!P$1,FALSE)+VLOOKUP($A80,EnrollData2324,'2324 Jun 24 Enroll'!Q$1,FALSE)+VLOOKUP($A80,EnrollData2324,'2324 Jun 24 Enroll'!R$1,FALSE)+VLOOKUP($A80,EnrollData2324,'2324 Jun 24 Enroll'!I$1,FALSE)+VLOOKUP($A80,EnrollData2324,'2324 Jun 24 Enroll'!N$1,FALSE)+VLOOKUP($A80,EnrollData2324,'2324 Jun 24 Enroll'!O$1,FALSE)+VLOOKUP($A80,EnrollData2324,'2324 Jun 24 Enroll'!K$1,FALSE)+VLOOKUP($A80,EnrollData2324,'2324 Jun 24 Enroll'!L$1,FALSE))*Apport_M812425)/(VLOOKUP($A80,EnrollData2324,'2324 Jun 24 Enroll'!M$1,FALSE)+VLOOKUP($A80,EnrollData2324,'2324 Jun 24 Enroll'!D$1,FALSE)),2)</f>
        <v>1533.02</v>
      </c>
      <c r="AS80" s="7">
        <f t="shared" si="29"/>
        <v>9936.6799999999985</v>
      </c>
    </row>
    <row r="81" spans="1:45">
      <c r="A81" s="40" t="s">
        <v>510</v>
      </c>
      <c r="B81" s="40" t="s">
        <v>511</v>
      </c>
      <c r="C81" s="11">
        <f>ROUND((IFERROR((1/IF(VLOOKUP($A81,EnrollData2324,28,FALSE)='District Calculations'!$F$10,VLOOKUP($A81,EnrollData2324,28,FALSE),'District Calculations'!$F$10))*(1+Apport_Z315),0))+Apport_201A2425,6)</f>
        <v>7.4580999999999995E-2</v>
      </c>
      <c r="D81">
        <f>ROUND(IF(VLOOKUP($A81,EnrollData2324,'2324 Jun 24 Enroll'!D$1,FALSE)='District Calculations'!$F$11,VLOOKUP($A81,EnrollData2324,'2324 Jun 24 Enroll'!D$1,FALSE),'District Calculations'!$F$11)*C81,3)</f>
        <v>0</v>
      </c>
      <c r="E81">
        <f>ROUND(IF(VLOOKUP($A81,EnrollData2324,'2324 Jun 24 Enroll'!E$1,FALSE)='District Calculations'!$F$12,VLOOKUP($A81,EnrollData2324,'2324 Jun 24 Enroll'!E$1,FALSE),'District Calculations'!$F$12)*C81,3)</f>
        <v>60.447000000000003</v>
      </c>
      <c r="F81">
        <f>ROUND(IF(VLOOKUP($A81,EnrollData2324,'2324 Jun 24 Enroll'!F$1,FALSE)='District Calculations'!$F$13,VLOOKUP($A81,EnrollData2324,'2324 Jun 24 Enroll'!F$1,FALSE),'District Calculations'!$F$13)*Apport_222A2425,3)</f>
        <v>10.337999999999999</v>
      </c>
      <c r="G81">
        <f>ROUND(IF(VLOOKUP($A81,EnrollData2324,'2324 Jun 24 Enroll'!G$1,FALSE)='District Calculations'!$F$14,VLOOKUP($A81,EnrollData2324,'2324 Jun 24 Enroll'!G$1,FALSE),'District Calculations'!$F$14)*Apport_210A2425,3)</f>
        <v>22.92</v>
      </c>
      <c r="H81">
        <f>ROUND(IF(VLOOKUP($A81,EnrollData2324,'2324 Jun 24 Enroll'!H$1,FALSE)='District Calculations'!$F$15,VLOOKUP($A81,EnrollData2324,'2324 Jun 24 Enroll'!H$1,FALSE),'District Calculations'!$F$15)*Apport_213A2425,3)</f>
        <v>23.619</v>
      </c>
      <c r="I81">
        <f>ROUND(IF(VLOOKUP($A81,EnrollData2324,'2324 Jun 24 Enroll'!I$1,FALSE)+VLOOKUP($A81,EnrollData2324,'2324 Jun 24 Enroll'!M$1,FALSE)-VLOOKUP($A81,EnrollData2324,'2324 Jun 24 Enroll'!J$1,FALSE)='District Calculations'!$F$16+'District Calculations'!$F$25-'District Calculations'!$F$17,VLOOKUP($A81,EnrollData2324,'2324 Jun 24 Enroll'!I$1,FALSE)+VLOOKUP($A81,EnrollData2324,'2324 Jun 24 Enroll'!M$1,FALSE)-VLOOKUP($A81,EnrollData2324,'2324 Jun 24 Enroll'!J$1,FALSE),'District Calculations'!$F$16+'District Calculations'!$F$25-'District Calculations'!$F$17)*Apport_216A2425,3)</f>
        <v>59.057000000000002</v>
      </c>
      <c r="J81">
        <f>ROUND(SUM(D81:I81)/(IF(VLOOKUP($A81,EnrollData2324,'2324 Jun 24 Enroll'!M$1,FALSE)='District Calculations'!$F$25,VLOOKUP($A81,EnrollData2324,'2324 Jun 24 Enroll'!M$1,FALSE),'District Calculations'!$F$25)+IF(VLOOKUP($A81,EnrollData2324,'2324 Jun 24 Enroll'!D$1,FALSE)='District Calculations'!$F$11,VLOOKUP($A81,EnrollData2324,'2324 Jun 24 Enroll'!D$1,FALSE),'District Calculations'!$F$11)),5)</f>
        <v>5.6520000000000001E-2</v>
      </c>
      <c r="K81" s="11">
        <f t="shared" si="13"/>
        <v>4.385E-3</v>
      </c>
      <c r="L81">
        <f>ROUND(IF(VLOOKUP($A81,EnrollData2324,'2324 Jun 24 Enroll'!D$1,FALSE)='District Calculations'!$F$11,VLOOKUP($A81,EnrollData2324,'2324 Jun 24 Enroll'!D$1,FALSE),'District Calculations'!$F$11)*K81,3)</f>
        <v>0</v>
      </c>
      <c r="M81">
        <f>ROUND(IF(VLOOKUP($A81,EnrollData2324,'2324 Jun 24 Enroll'!E$1,FALSE)='District Calculations'!$F$12,VLOOKUP($A81,EnrollData2324,'2324 Jun 24 Enroll'!E$1,FALSE),'District Calculations'!$F$12)*K81,3)</f>
        <v>3.5539999999999998</v>
      </c>
      <c r="N81">
        <f>ROUND(IF(VLOOKUP($A81,EnrollData2324,'2324 Jun 24 Enroll'!F$1,FALSE)='District Calculations'!$F$13,VLOOKUP($A81,EnrollData2324,'2324 Jun 24 Enroll'!F$1,FALSE),'District Calculations'!$F$13)*Apport_223A2425,3)</f>
        <v>0.84599999999999997</v>
      </c>
      <c r="O81">
        <f>ROUND(IF(VLOOKUP($A81,EnrollData2324,'2324 Jun 24 Enroll'!G$1,FALSE)='District Calculations'!$F$14,VLOOKUP($A81,EnrollData2324,'2324 Jun 24 Enroll'!G$1,FALSE),'District Calculations'!$F$14)*Apport_211A2425,3)</f>
        <v>1.877</v>
      </c>
      <c r="P81">
        <f>ROUND(IF(VLOOKUP($A81,EnrollData2324,'2324 Jun 24 Enroll'!H$1,FALSE)='District Calculations'!$F$14,VLOOKUP($A81,EnrollData2324,'2324 Jun 24 Enroll'!H$1,FALSE),'District Calculations'!$F$14)*Apport_214A2425,3)</f>
        <v>1.875</v>
      </c>
      <c r="Q81">
        <f>ROUND(IF(VLOOKUP($A81,EnrollData2324,'2324 Jun 24 Enroll'!I$1,FALSE)+VLOOKUP($A81,EnrollData2324,'2324 Jun 24 Enroll'!M$1,FALSE)-VLOOKUP($A81,EnrollData2324,'2324 Jun 24 Enroll'!J$1,FALSE)='District Calculations'!$F$16+'District Calculations'!$F$25-'District Calculations'!$F$17,VLOOKUP($A81,EnrollData2324,'2324 Jun 24 Enroll'!I$1,FALSE)+VLOOKUP($A81,EnrollData2324,'2324 Jun 24 Enroll'!M$1,FALSE)-VLOOKUP($A81,EnrollData2324,'2324 Jun 24 Enroll'!J$1,FALSE),'District Calculations'!$F$16+'District Calculations'!$F$25-'District Calculations'!$F$17)*Apport_217A2425,3)</f>
        <v>4.7130000000000001</v>
      </c>
      <c r="R81">
        <f>ROUND(SUM(L81:Q81)/IF(VLOOKUP($A81,EnrollData2324,'2324 Jun 24 Enroll'!M$1,FALSE)+VLOOKUP($A81,EnrollData2324,'2324 Jun 24 Enroll'!D$1,FALSE)='District Calculations'!$F$25+'District Calculations'!$F$11,VLOOKUP($A81,EnrollData2324,'2324 Jun 24 Enroll'!M$1,FALSE)+VLOOKUP($A81,EnrollData2324,'2324 Jun 24 Enroll'!D$1,FALSE),'District Calculations'!$F$25+'District Calculations'!$F$11),5)</f>
        <v>4.1200000000000004E-3</v>
      </c>
      <c r="S81" s="11">
        <f t="shared" si="14"/>
        <v>1.8734299999999999E-2</v>
      </c>
      <c r="T81">
        <f>ROUND(IF(VLOOKUP($A81,EnrollData2324,'2324 Jun 24 Enroll'!D$1,FALSE)='District Calculations'!$F$11,VLOOKUP($A81,EnrollData2324,'2324 Jun 24 Enroll'!D$1,FALSE),'District Calculations'!$F$11)*S81,3)</f>
        <v>0</v>
      </c>
      <c r="U81">
        <f>ROUND(IF(VLOOKUP($A81,EnrollData2324,'2324 Jun 24 Enroll'!E$1,FALSE)='District Calculations'!$F$12,VLOOKUP($A81,EnrollData2324,'2324 Jun 24 Enroll'!E$1,FALSE),'District Calculations'!$F$12)*S81,3)</f>
        <v>15.183999999999999</v>
      </c>
      <c r="V81">
        <f>ROUND(IF(VLOOKUP($A81,EnrollData2324,'2324 Jun 24 Enroll'!F$1,FALSE)='District Calculations'!$F$13,VLOOKUP($A81,EnrollData2324,'2324 Jun 24 Enroll'!F$1,FALSE),'District Calculations'!$F$13)*Apport_224A2425,3)</f>
        <v>3.7109999999999999</v>
      </c>
      <c r="W81">
        <f>ROUND(IF(VLOOKUP($A81,EnrollData2324,'2324 Jun 24 Enroll'!G$1,FALSE)='District Calculations'!$F$14,VLOOKUP($A81,EnrollData2324,'2324 Jun 24 Enroll'!G$1,FALSE),'District Calculations'!$F$14)*Apport_212A2425,3)</f>
        <v>8.2279999999999998</v>
      </c>
      <c r="X81">
        <f>ROUND(IF(VLOOKUP($A81,EnrollData2324,'2324 Jun 24 Enroll'!H$1,FALSE)='District Calculations'!$F$14,VLOOKUP($A81,EnrollData2324,'2324 Jun 24 Enroll'!H$1,FALSE),'District Calculations'!$F$14)*Apport_215A2425,3)</f>
        <v>8.1180000000000003</v>
      </c>
      <c r="Y81">
        <f>ROUND(IF(VLOOKUP($A81,EnrollData2324,'2324 Jun 24 Enroll'!I$1,FALSE)+VLOOKUP($A81,EnrollData2324,'2324 Jun 24 Enroll'!M$1,FALSE)-VLOOKUP($A81,EnrollData2324,'2324 Jun 24 Enroll'!J$1,FALSE)='District Calculations'!$F$16+'District Calculations'!$F$25-'District Calculations'!$F$17,VLOOKUP($A81,EnrollData2324,'2324 Jun 24 Enroll'!I$1,FALSE)+VLOOKUP($A81,EnrollData2324,'2324 Jun 24 Enroll'!M$1,FALSE)-VLOOKUP($A81,EnrollData2324,'2324 Jun 24 Enroll'!J$1,FALSE),'District Calculations'!$F$16+'District Calculations'!$F$25-'District Calculations'!$F$17)*Apport_218A2425,3)</f>
        <v>20.257999999999999</v>
      </c>
      <c r="Z81">
        <f>ROUND(SUM(T81:Y81)/IF(VLOOKUP($A81,EnrollData2324,'2324 Jun 24 Enroll'!M$1,FALSE)+VLOOKUP($A81,EnrollData2324,'2324 Jun 24 Enroll'!D$1,FALSE)='District Calculations'!$F$25+'District Calculations'!$F$11,VLOOKUP($A81,EnrollData2324,'2324 Jun 24 Enroll'!M$1,FALSE)+VLOOKUP($A81,EnrollData2324,'2324 Jun 24 Enroll'!D$1,FALSE),'District Calculations'!$F$25+'District Calculations'!$F$11),5)</f>
        <v>1.7780000000000001E-2</v>
      </c>
      <c r="AA81" s="6">
        <f>ROUND($J81*CIS_Base_Salary2425*VLOOKUP($A81,EnrollData2324,'2324 Jun 24 Enroll'!AH$1,FALSE),2)</f>
        <v>4262.68</v>
      </c>
      <c r="AB81" s="6">
        <f>ROUND($J81*CIS_Inc_Salary2425*(VLOOKUP($A81,EnrollData2324,'2324 Jun 24 Enroll'!AI$1,FALSE)+VLOOKUP($A81,EnrollData2324,'2324 Jun 24 Enroll'!AJ$1,FALSE)),2)-AA81</f>
        <v>157.6899999999996</v>
      </c>
      <c r="AC81" s="6" cm="1">
        <f t="array" ref="AC81">ROUND($R81*CAS_Base_Salary2425*VLOOKUP($A81,EnrollData2324,'2324 Jun 24 Enroll'!AH$1,FALSE),2)</f>
        <v>461.23</v>
      </c>
      <c r="AD81" s="6">
        <f>ROUND($R81*CAS_Inc_Salary2425*VLOOKUP($A81,EnrollData2324,'2324 Jun 24 Enroll'!AI$1,FALSE),2)-AC81</f>
        <v>17.069999999999993</v>
      </c>
      <c r="AE81" s="6">
        <f>ROUND($Z81*CLS_Base_Salary2425*VLOOKUP($A81,EnrollData2324,'2324 Jun 24 Enroll'!AH$1,FALSE),2)</f>
        <v>961.95</v>
      </c>
      <c r="AF81" s="6">
        <f>ROUND($Z81*CLS_Inc_Salary2425*VLOOKUP($A81,EnrollData2324,'2324 Jun 24 Enroll'!AI$1,FALSE),2)-AE81</f>
        <v>35.599999999999909</v>
      </c>
      <c r="AG81" cm="1">
        <f t="array" ref="AG81">ROUND(($J81+$R81)*Apport_124X2425,2)</f>
        <v>800.45</v>
      </c>
      <c r="AH81" s="69" cm="1">
        <f t="array" ref="AH81">ROUND(($J81+$R81)*Apport_621X2425*Apport_125XC2425,2)-AG81</f>
        <v>73.899999999999977</v>
      </c>
      <c r="AI81" cm="1">
        <f t="array" ref="AI81">ROUND($Z81*Apport_124X2425,2)</f>
        <v>234.7</v>
      </c>
      <c r="AJ81">
        <f t="shared" si="15"/>
        <v>124.71000000000004</v>
      </c>
      <c r="AK81">
        <f t="shared" si="16"/>
        <v>857.39</v>
      </c>
      <c r="AL81">
        <f t="shared" si="17"/>
        <v>30.6</v>
      </c>
      <c r="AM81">
        <f t="shared" si="18"/>
        <v>208.36</v>
      </c>
      <c r="AN81">
        <f t="shared" si="19"/>
        <v>6.46</v>
      </c>
      <c r="AO81">
        <f>ROUND(($J81*CIS_Inc_Salary2425*(VLOOKUP($A81,EnrollData2324,'2324 Jun 24 Enroll'!AI$1,FALSE)+VLOOKUP($A81,EnrollData2324,'2324 Jun 24 Enroll'!AJ$1,FALSE))/Apport_613Xpd)*Apport_614Xpd,2)</f>
        <v>73.67</v>
      </c>
      <c r="AP81">
        <f t="shared" si="20"/>
        <v>12.9</v>
      </c>
      <c r="AQ81">
        <f t="shared" si="28"/>
        <v>31.48</v>
      </c>
      <c r="AR81" s="6">
        <f>ROUND((VLOOKUP($A81,EnrollData2324,'2324 Jun 24 Enroll'!D$1,FALSE)*Apport_M802425+VLOOKUP($A81,EnrollData2324,'2324 Jun 24 Enroll'!M$1,FALSE)*Apport_M802425+(VLOOKUP($A81,EnrollData2324,'2324 Jun 24 Enroll'!P$1,FALSE)+VLOOKUP($A81,EnrollData2324,'2324 Jun 24 Enroll'!Q$1,FALSE)+VLOOKUP($A81,EnrollData2324,'2324 Jun 24 Enroll'!R$1,FALSE)+VLOOKUP($A81,EnrollData2324,'2324 Jun 24 Enroll'!I$1,FALSE)+VLOOKUP($A81,EnrollData2324,'2324 Jun 24 Enroll'!N$1,FALSE)+VLOOKUP($A81,EnrollData2324,'2324 Jun 24 Enroll'!O$1,FALSE)+VLOOKUP($A81,EnrollData2324,'2324 Jun 24 Enroll'!K$1,FALSE)+VLOOKUP($A81,EnrollData2324,'2324 Jun 24 Enroll'!L$1,FALSE))*Apport_M812425)/(VLOOKUP($A81,EnrollData2324,'2324 Jun 24 Enroll'!M$1,FALSE)+VLOOKUP($A81,EnrollData2324,'2324 Jun 24 Enroll'!D$1,FALSE)),2)</f>
        <v>1595.74</v>
      </c>
      <c r="AS81" s="7">
        <f t="shared" si="29"/>
        <v>9946.5799999999981</v>
      </c>
    </row>
    <row r="82" spans="1:45">
      <c r="A82" s="40" t="s">
        <v>723</v>
      </c>
      <c r="B82" s="40" t="s">
        <v>724</v>
      </c>
      <c r="C82" s="11">
        <f>ROUND((IFERROR((1/IF(VLOOKUP($A82,EnrollData2324,28,FALSE)='District Calculations'!$F$10,VLOOKUP($A82,EnrollData2324,28,FALSE),'District Calculations'!$F$10))*(1+Apport_Z315),0))+Apport_201A2425,6)</f>
        <v>7.4580999999999995E-2</v>
      </c>
      <c r="D82">
        <f>ROUND(IF(VLOOKUP($A82,EnrollData2324,'2324 Jun 24 Enroll'!D$1,FALSE)='District Calculations'!$F$11,VLOOKUP($A82,EnrollData2324,'2324 Jun 24 Enroll'!D$1,FALSE),'District Calculations'!$F$11)*C82,3)</f>
        <v>0</v>
      </c>
      <c r="E82">
        <f>ROUND(IF(VLOOKUP($A82,EnrollData2324,'2324 Jun 24 Enroll'!E$1,FALSE)='District Calculations'!$F$12,VLOOKUP($A82,EnrollData2324,'2324 Jun 24 Enroll'!E$1,FALSE),'District Calculations'!$F$12)*C82,3)</f>
        <v>60.447000000000003</v>
      </c>
      <c r="F82">
        <f>ROUND(IF(VLOOKUP($A82,EnrollData2324,'2324 Jun 24 Enroll'!F$1,FALSE)='District Calculations'!$F$13,VLOOKUP($A82,EnrollData2324,'2324 Jun 24 Enroll'!F$1,FALSE),'District Calculations'!$F$13)*Apport_222A2425,3)</f>
        <v>10.337999999999999</v>
      </c>
      <c r="G82">
        <f>ROUND(IF(VLOOKUP($A82,EnrollData2324,'2324 Jun 24 Enroll'!G$1,FALSE)='District Calculations'!$F$14,VLOOKUP($A82,EnrollData2324,'2324 Jun 24 Enroll'!G$1,FALSE),'District Calculations'!$F$14)*Apport_210A2425,3)</f>
        <v>22.92</v>
      </c>
      <c r="H82">
        <f>ROUND(IF(VLOOKUP($A82,EnrollData2324,'2324 Jun 24 Enroll'!H$1,FALSE)='District Calculations'!$F$15,VLOOKUP($A82,EnrollData2324,'2324 Jun 24 Enroll'!H$1,FALSE),'District Calculations'!$F$15)*Apport_213A2425,3)</f>
        <v>23.619</v>
      </c>
      <c r="I82">
        <f>ROUND(IF(VLOOKUP($A82,EnrollData2324,'2324 Jun 24 Enroll'!I$1,FALSE)+VLOOKUP($A82,EnrollData2324,'2324 Jun 24 Enroll'!M$1,FALSE)-VLOOKUP($A82,EnrollData2324,'2324 Jun 24 Enroll'!J$1,FALSE)='District Calculations'!$F$16+'District Calculations'!$F$25-'District Calculations'!$F$17,VLOOKUP($A82,EnrollData2324,'2324 Jun 24 Enroll'!I$1,FALSE)+VLOOKUP($A82,EnrollData2324,'2324 Jun 24 Enroll'!M$1,FALSE)-VLOOKUP($A82,EnrollData2324,'2324 Jun 24 Enroll'!J$1,FALSE),'District Calculations'!$F$16+'District Calculations'!$F$25-'District Calculations'!$F$17)*Apport_216A2425,3)</f>
        <v>59.057000000000002</v>
      </c>
      <c r="J82">
        <f>ROUND(SUM(D82:I82)/(IF(VLOOKUP($A82,EnrollData2324,'2324 Jun 24 Enroll'!M$1,FALSE)='District Calculations'!$F$25,VLOOKUP($A82,EnrollData2324,'2324 Jun 24 Enroll'!M$1,FALSE),'District Calculations'!$F$25)+IF(VLOOKUP($A82,EnrollData2324,'2324 Jun 24 Enroll'!D$1,FALSE)='District Calculations'!$F$11,VLOOKUP($A82,EnrollData2324,'2324 Jun 24 Enroll'!D$1,FALSE),'District Calculations'!$F$11)),5)</f>
        <v>5.6520000000000001E-2</v>
      </c>
      <c r="K82" s="11">
        <f t="shared" si="13"/>
        <v>4.385E-3</v>
      </c>
      <c r="L82">
        <f>ROUND(IF(VLOOKUP($A82,EnrollData2324,'2324 Jun 24 Enroll'!D$1,FALSE)='District Calculations'!$F$11,VLOOKUP($A82,EnrollData2324,'2324 Jun 24 Enroll'!D$1,FALSE),'District Calculations'!$F$11)*K82,3)</f>
        <v>0</v>
      </c>
      <c r="M82">
        <f>ROUND(IF(VLOOKUP($A82,EnrollData2324,'2324 Jun 24 Enroll'!E$1,FALSE)='District Calculations'!$F$12,VLOOKUP($A82,EnrollData2324,'2324 Jun 24 Enroll'!E$1,FALSE),'District Calculations'!$F$12)*K82,3)</f>
        <v>3.5539999999999998</v>
      </c>
      <c r="N82">
        <f>ROUND(IF(VLOOKUP($A82,EnrollData2324,'2324 Jun 24 Enroll'!F$1,FALSE)='District Calculations'!$F$13,VLOOKUP($A82,EnrollData2324,'2324 Jun 24 Enroll'!F$1,FALSE),'District Calculations'!$F$13)*Apport_223A2425,3)</f>
        <v>0.84599999999999997</v>
      </c>
      <c r="O82">
        <f>ROUND(IF(VLOOKUP($A82,EnrollData2324,'2324 Jun 24 Enroll'!G$1,FALSE)='District Calculations'!$F$14,VLOOKUP($A82,EnrollData2324,'2324 Jun 24 Enroll'!G$1,FALSE),'District Calculations'!$F$14)*Apport_211A2425,3)</f>
        <v>1.877</v>
      </c>
      <c r="P82">
        <f>ROUND(IF(VLOOKUP($A82,EnrollData2324,'2324 Jun 24 Enroll'!H$1,FALSE)='District Calculations'!$F$14,VLOOKUP($A82,EnrollData2324,'2324 Jun 24 Enroll'!H$1,FALSE),'District Calculations'!$F$14)*Apport_214A2425,3)</f>
        <v>1.875</v>
      </c>
      <c r="Q82">
        <f>ROUND(IF(VLOOKUP($A82,EnrollData2324,'2324 Jun 24 Enroll'!I$1,FALSE)+VLOOKUP($A82,EnrollData2324,'2324 Jun 24 Enroll'!M$1,FALSE)-VLOOKUP($A82,EnrollData2324,'2324 Jun 24 Enroll'!J$1,FALSE)='District Calculations'!$F$16+'District Calculations'!$F$25-'District Calculations'!$F$17,VLOOKUP($A82,EnrollData2324,'2324 Jun 24 Enroll'!I$1,FALSE)+VLOOKUP($A82,EnrollData2324,'2324 Jun 24 Enroll'!M$1,FALSE)-VLOOKUP($A82,EnrollData2324,'2324 Jun 24 Enroll'!J$1,FALSE),'District Calculations'!$F$16+'District Calculations'!$F$25-'District Calculations'!$F$17)*Apport_217A2425,3)</f>
        <v>4.7130000000000001</v>
      </c>
      <c r="R82">
        <f>ROUND(SUM(L82:Q82)/IF(VLOOKUP($A82,EnrollData2324,'2324 Jun 24 Enroll'!M$1,FALSE)+VLOOKUP($A82,EnrollData2324,'2324 Jun 24 Enroll'!D$1,FALSE)='District Calculations'!$F$25+'District Calculations'!$F$11,VLOOKUP($A82,EnrollData2324,'2324 Jun 24 Enroll'!M$1,FALSE)+VLOOKUP($A82,EnrollData2324,'2324 Jun 24 Enroll'!D$1,FALSE),'District Calculations'!$F$25+'District Calculations'!$F$11),5)</f>
        <v>4.1200000000000004E-3</v>
      </c>
      <c r="S82" s="11">
        <f t="shared" si="14"/>
        <v>1.8734299999999999E-2</v>
      </c>
      <c r="T82">
        <f>ROUND(IF(VLOOKUP($A82,EnrollData2324,'2324 Jun 24 Enroll'!D$1,FALSE)='District Calculations'!$F$11,VLOOKUP($A82,EnrollData2324,'2324 Jun 24 Enroll'!D$1,FALSE),'District Calculations'!$F$11)*S82,3)</f>
        <v>0</v>
      </c>
      <c r="U82">
        <f>ROUND(IF(VLOOKUP($A82,EnrollData2324,'2324 Jun 24 Enroll'!E$1,FALSE)='District Calculations'!$F$12,VLOOKUP($A82,EnrollData2324,'2324 Jun 24 Enroll'!E$1,FALSE),'District Calculations'!$F$12)*S82,3)</f>
        <v>15.183999999999999</v>
      </c>
      <c r="V82">
        <f>ROUND(IF(VLOOKUP($A82,EnrollData2324,'2324 Jun 24 Enroll'!F$1,FALSE)='District Calculations'!$F$13,VLOOKUP($A82,EnrollData2324,'2324 Jun 24 Enroll'!F$1,FALSE),'District Calculations'!$F$13)*Apport_224A2425,3)</f>
        <v>3.7109999999999999</v>
      </c>
      <c r="W82">
        <f>ROUND(IF(VLOOKUP($A82,EnrollData2324,'2324 Jun 24 Enroll'!G$1,FALSE)='District Calculations'!$F$14,VLOOKUP($A82,EnrollData2324,'2324 Jun 24 Enroll'!G$1,FALSE),'District Calculations'!$F$14)*Apport_212A2425,3)</f>
        <v>8.2279999999999998</v>
      </c>
      <c r="X82">
        <f>ROUND(IF(VLOOKUP($A82,EnrollData2324,'2324 Jun 24 Enroll'!H$1,FALSE)='District Calculations'!$F$14,VLOOKUP($A82,EnrollData2324,'2324 Jun 24 Enroll'!H$1,FALSE),'District Calculations'!$F$14)*Apport_215A2425,3)</f>
        <v>8.1180000000000003</v>
      </c>
      <c r="Y82">
        <f>ROUND(IF(VLOOKUP($A82,EnrollData2324,'2324 Jun 24 Enroll'!I$1,FALSE)+VLOOKUP($A82,EnrollData2324,'2324 Jun 24 Enroll'!M$1,FALSE)-VLOOKUP($A82,EnrollData2324,'2324 Jun 24 Enroll'!J$1,FALSE)='District Calculations'!$F$16+'District Calculations'!$F$25-'District Calculations'!$F$17,VLOOKUP($A82,EnrollData2324,'2324 Jun 24 Enroll'!I$1,FALSE)+VLOOKUP($A82,EnrollData2324,'2324 Jun 24 Enroll'!M$1,FALSE)-VLOOKUP($A82,EnrollData2324,'2324 Jun 24 Enroll'!J$1,FALSE),'District Calculations'!$F$16+'District Calculations'!$F$25-'District Calculations'!$F$17)*Apport_218A2425,3)</f>
        <v>20.257999999999999</v>
      </c>
      <c r="Z82">
        <f>ROUND(SUM(T82:Y82)/IF(VLOOKUP($A82,EnrollData2324,'2324 Jun 24 Enroll'!M$1,FALSE)+VLOOKUP($A82,EnrollData2324,'2324 Jun 24 Enroll'!D$1,FALSE)='District Calculations'!$F$25+'District Calculations'!$F$11,VLOOKUP($A82,EnrollData2324,'2324 Jun 24 Enroll'!M$1,FALSE)+VLOOKUP($A82,EnrollData2324,'2324 Jun 24 Enroll'!D$1,FALSE),'District Calculations'!$F$25+'District Calculations'!$F$11),5)</f>
        <v>1.7780000000000001E-2</v>
      </c>
      <c r="AA82" s="6">
        <f>ROUND($J82*CIS_Base_Salary2425*VLOOKUP($A82,EnrollData2324,'2324 Jun 24 Enroll'!AH$1,FALSE),2)</f>
        <v>4262.68</v>
      </c>
      <c r="AB82" s="6">
        <f>ROUND($J82*CIS_Inc_Salary2425*(VLOOKUP($A82,EnrollData2324,'2324 Jun 24 Enroll'!AI$1,FALSE)+VLOOKUP($A82,EnrollData2324,'2324 Jun 24 Enroll'!AJ$1,FALSE)),2)-AA82</f>
        <v>201.89999999999964</v>
      </c>
      <c r="AC82" s="6" cm="1">
        <f t="array" ref="AC82">ROUND($R82*CAS_Base_Salary2425*VLOOKUP($A82,EnrollData2324,'2324 Jun 24 Enroll'!AH$1,FALSE),2)</f>
        <v>461.23</v>
      </c>
      <c r="AD82" s="6">
        <f>ROUND($R82*CAS_Inc_Salary2425*VLOOKUP($A82,EnrollData2324,'2324 Jun 24 Enroll'!AI$1,FALSE),2)-AC82</f>
        <v>17.069999999999993</v>
      </c>
      <c r="AE82" s="6">
        <f>ROUND($Z82*CLS_Base_Salary2425*VLOOKUP($A82,EnrollData2324,'2324 Jun 24 Enroll'!AH$1,FALSE),2)</f>
        <v>961.95</v>
      </c>
      <c r="AF82" s="6">
        <f>ROUND($Z82*CLS_Inc_Salary2425*VLOOKUP($A82,EnrollData2324,'2324 Jun 24 Enroll'!AI$1,FALSE),2)-AE82</f>
        <v>35.599999999999909</v>
      </c>
      <c r="AG82" cm="1">
        <f t="array" ref="AG82">ROUND(($J82+$R82)*Apport_124X2425,2)</f>
        <v>800.45</v>
      </c>
      <c r="AH82" s="69" cm="1">
        <f t="array" ref="AH82">ROUND(($J82+$R82)*Apport_621X2425*Apport_125XC2425,2)-AG82</f>
        <v>73.899999999999977</v>
      </c>
      <c r="AI82" cm="1">
        <f t="array" ref="AI82">ROUND($Z82*Apport_124X2425,2)</f>
        <v>234.7</v>
      </c>
      <c r="AJ82">
        <f t="shared" si="15"/>
        <v>124.71000000000004</v>
      </c>
      <c r="AK82">
        <f t="shared" si="16"/>
        <v>857.39</v>
      </c>
      <c r="AL82">
        <f t="shared" si="17"/>
        <v>38.340000000000003</v>
      </c>
      <c r="AM82">
        <f t="shared" si="18"/>
        <v>208.36</v>
      </c>
      <c r="AN82">
        <f t="shared" si="19"/>
        <v>6.46</v>
      </c>
      <c r="AO82">
        <f>ROUND(($J82*CIS_Inc_Salary2425*(VLOOKUP($A82,EnrollData2324,'2324 Jun 24 Enroll'!AI$1,FALSE)+VLOOKUP($A82,EnrollData2324,'2324 Jun 24 Enroll'!AJ$1,FALSE))/Apport_613Xpd)*Apport_614Xpd,2)</f>
        <v>74.41</v>
      </c>
      <c r="AP82">
        <f t="shared" si="20"/>
        <v>13.03</v>
      </c>
      <c r="AQ82">
        <f t="shared" si="28"/>
        <v>31.48</v>
      </c>
      <c r="AR82" s="6">
        <f>ROUND((VLOOKUP($A82,EnrollData2324,'2324 Jun 24 Enroll'!D$1,FALSE)*Apport_M802425+VLOOKUP($A82,EnrollData2324,'2324 Jun 24 Enroll'!M$1,FALSE)*Apport_M802425+(VLOOKUP($A82,EnrollData2324,'2324 Jun 24 Enroll'!P$1,FALSE)+VLOOKUP($A82,EnrollData2324,'2324 Jun 24 Enroll'!Q$1,FALSE)+VLOOKUP($A82,EnrollData2324,'2324 Jun 24 Enroll'!R$1,FALSE)+VLOOKUP($A82,EnrollData2324,'2324 Jun 24 Enroll'!I$1,FALSE)+VLOOKUP($A82,EnrollData2324,'2324 Jun 24 Enroll'!N$1,FALSE)+VLOOKUP($A82,EnrollData2324,'2324 Jun 24 Enroll'!O$1,FALSE)+VLOOKUP($A82,EnrollData2324,'2324 Jun 24 Enroll'!K$1,FALSE)+VLOOKUP($A82,EnrollData2324,'2324 Jun 24 Enroll'!L$1,FALSE))*Apport_M812425)/(VLOOKUP($A82,EnrollData2324,'2324 Jun 24 Enroll'!M$1,FALSE)+VLOOKUP($A82,EnrollData2324,'2324 Jun 24 Enroll'!D$1,FALSE)),2)</f>
        <v>1622.68</v>
      </c>
      <c r="AS82" s="7">
        <f t="shared" si="29"/>
        <v>10026.339999999998</v>
      </c>
    </row>
    <row r="83" spans="1:45">
      <c r="A83" s="40" t="s">
        <v>681</v>
      </c>
      <c r="B83" s="40" t="s">
        <v>682</v>
      </c>
      <c r="C83" s="11">
        <f>ROUND((IFERROR((1/IF(VLOOKUP($A83,EnrollData2324,28,FALSE)='District Calculations'!$F$10,VLOOKUP($A83,EnrollData2324,28,FALSE),'District Calculations'!$F$10))*(1+Apport_Z315),0))+Apport_201A2425,6)</f>
        <v>7.4580999999999995E-2</v>
      </c>
      <c r="D83">
        <f>ROUND(IF(VLOOKUP($A83,EnrollData2324,'2324 Jun 24 Enroll'!D$1,FALSE)='District Calculations'!$F$11,VLOOKUP($A83,EnrollData2324,'2324 Jun 24 Enroll'!D$1,FALSE),'District Calculations'!$F$11)*C83,3)</f>
        <v>0</v>
      </c>
      <c r="E83">
        <f>ROUND(IF(VLOOKUP($A83,EnrollData2324,'2324 Jun 24 Enroll'!E$1,FALSE)='District Calculations'!$F$12,VLOOKUP($A83,EnrollData2324,'2324 Jun 24 Enroll'!E$1,FALSE),'District Calculations'!$F$12)*C83,3)</f>
        <v>60.447000000000003</v>
      </c>
      <c r="F83">
        <f>ROUND(IF(VLOOKUP($A83,EnrollData2324,'2324 Jun 24 Enroll'!F$1,FALSE)='District Calculations'!$F$13,VLOOKUP($A83,EnrollData2324,'2324 Jun 24 Enroll'!F$1,FALSE),'District Calculations'!$F$13)*Apport_222A2425,3)</f>
        <v>10.337999999999999</v>
      </c>
      <c r="G83">
        <f>ROUND(IF(VLOOKUP($A83,EnrollData2324,'2324 Jun 24 Enroll'!G$1,FALSE)='District Calculations'!$F$14,VLOOKUP($A83,EnrollData2324,'2324 Jun 24 Enroll'!G$1,FALSE),'District Calculations'!$F$14)*Apport_210A2425,3)</f>
        <v>22.92</v>
      </c>
      <c r="H83">
        <f>ROUND(IF(VLOOKUP($A83,EnrollData2324,'2324 Jun 24 Enroll'!H$1,FALSE)='District Calculations'!$F$15,VLOOKUP($A83,EnrollData2324,'2324 Jun 24 Enroll'!H$1,FALSE),'District Calculations'!$F$15)*Apport_213A2425,3)</f>
        <v>23.619</v>
      </c>
      <c r="I83">
        <f>ROUND(IF(VLOOKUP($A83,EnrollData2324,'2324 Jun 24 Enroll'!I$1,FALSE)+VLOOKUP($A83,EnrollData2324,'2324 Jun 24 Enroll'!M$1,FALSE)-VLOOKUP($A83,EnrollData2324,'2324 Jun 24 Enroll'!J$1,FALSE)='District Calculations'!$F$16+'District Calculations'!$F$25-'District Calculations'!$F$17,VLOOKUP($A83,EnrollData2324,'2324 Jun 24 Enroll'!I$1,FALSE)+VLOOKUP($A83,EnrollData2324,'2324 Jun 24 Enroll'!M$1,FALSE)-VLOOKUP($A83,EnrollData2324,'2324 Jun 24 Enroll'!J$1,FALSE),'District Calculations'!$F$16+'District Calculations'!$F$25-'District Calculations'!$F$17)*Apport_216A2425,3)</f>
        <v>59.057000000000002</v>
      </c>
      <c r="J83">
        <f>ROUND(SUM(D83:I83)/(IF(VLOOKUP($A83,EnrollData2324,'2324 Jun 24 Enroll'!M$1,FALSE)='District Calculations'!$F$25,VLOOKUP($A83,EnrollData2324,'2324 Jun 24 Enroll'!M$1,FALSE),'District Calculations'!$F$25)+IF(VLOOKUP($A83,EnrollData2324,'2324 Jun 24 Enroll'!D$1,FALSE)='District Calculations'!$F$11,VLOOKUP($A83,EnrollData2324,'2324 Jun 24 Enroll'!D$1,FALSE),'District Calculations'!$F$11)),5)</f>
        <v>5.6520000000000001E-2</v>
      </c>
      <c r="K83" s="11">
        <f t="shared" si="13"/>
        <v>4.385E-3</v>
      </c>
      <c r="L83">
        <f>ROUND(IF(VLOOKUP($A83,EnrollData2324,'2324 Jun 24 Enroll'!D$1,FALSE)='District Calculations'!$F$11,VLOOKUP($A83,EnrollData2324,'2324 Jun 24 Enroll'!D$1,FALSE),'District Calculations'!$F$11)*K83,3)</f>
        <v>0</v>
      </c>
      <c r="M83">
        <f>ROUND(IF(VLOOKUP($A83,EnrollData2324,'2324 Jun 24 Enroll'!E$1,FALSE)='District Calculations'!$F$12,VLOOKUP($A83,EnrollData2324,'2324 Jun 24 Enroll'!E$1,FALSE),'District Calculations'!$F$12)*K83,3)</f>
        <v>3.5539999999999998</v>
      </c>
      <c r="N83">
        <f>ROUND(IF(VLOOKUP($A83,EnrollData2324,'2324 Jun 24 Enroll'!F$1,FALSE)='District Calculations'!$F$13,VLOOKUP($A83,EnrollData2324,'2324 Jun 24 Enroll'!F$1,FALSE),'District Calculations'!$F$13)*Apport_223A2425,3)</f>
        <v>0.84599999999999997</v>
      </c>
      <c r="O83">
        <f>ROUND(IF(VLOOKUP($A83,EnrollData2324,'2324 Jun 24 Enroll'!G$1,FALSE)='District Calculations'!$F$14,VLOOKUP($A83,EnrollData2324,'2324 Jun 24 Enroll'!G$1,FALSE),'District Calculations'!$F$14)*Apport_211A2425,3)</f>
        <v>1.877</v>
      </c>
      <c r="P83">
        <f>ROUND(IF(VLOOKUP($A83,EnrollData2324,'2324 Jun 24 Enroll'!H$1,FALSE)='District Calculations'!$F$14,VLOOKUP($A83,EnrollData2324,'2324 Jun 24 Enroll'!H$1,FALSE),'District Calculations'!$F$14)*Apport_214A2425,3)</f>
        <v>1.875</v>
      </c>
      <c r="Q83">
        <f>ROUND(IF(VLOOKUP($A83,EnrollData2324,'2324 Jun 24 Enroll'!I$1,FALSE)+VLOOKUP($A83,EnrollData2324,'2324 Jun 24 Enroll'!M$1,FALSE)-VLOOKUP($A83,EnrollData2324,'2324 Jun 24 Enroll'!J$1,FALSE)='District Calculations'!$F$16+'District Calculations'!$F$25-'District Calculations'!$F$17,VLOOKUP($A83,EnrollData2324,'2324 Jun 24 Enroll'!I$1,FALSE)+VLOOKUP($A83,EnrollData2324,'2324 Jun 24 Enroll'!M$1,FALSE)-VLOOKUP($A83,EnrollData2324,'2324 Jun 24 Enroll'!J$1,FALSE),'District Calculations'!$F$16+'District Calculations'!$F$25-'District Calculations'!$F$17)*Apport_217A2425,3)</f>
        <v>4.7130000000000001</v>
      </c>
      <c r="R83">
        <f>ROUND(SUM(L83:Q83)/IF(VLOOKUP($A83,EnrollData2324,'2324 Jun 24 Enroll'!M$1,FALSE)+VLOOKUP($A83,EnrollData2324,'2324 Jun 24 Enroll'!D$1,FALSE)='District Calculations'!$F$25+'District Calculations'!$F$11,VLOOKUP($A83,EnrollData2324,'2324 Jun 24 Enroll'!M$1,FALSE)+VLOOKUP($A83,EnrollData2324,'2324 Jun 24 Enroll'!D$1,FALSE),'District Calculations'!$F$25+'District Calculations'!$F$11),5)</f>
        <v>4.1200000000000004E-3</v>
      </c>
      <c r="S83" s="11">
        <f t="shared" si="14"/>
        <v>1.8734299999999999E-2</v>
      </c>
      <c r="T83">
        <f>ROUND(IF(VLOOKUP($A83,EnrollData2324,'2324 Jun 24 Enroll'!D$1,FALSE)='District Calculations'!$F$11,VLOOKUP($A83,EnrollData2324,'2324 Jun 24 Enroll'!D$1,FALSE),'District Calculations'!$F$11)*S83,3)</f>
        <v>0</v>
      </c>
      <c r="U83">
        <f>ROUND(IF(VLOOKUP($A83,EnrollData2324,'2324 Jun 24 Enroll'!E$1,FALSE)='District Calculations'!$F$12,VLOOKUP($A83,EnrollData2324,'2324 Jun 24 Enroll'!E$1,FALSE),'District Calculations'!$F$12)*S83,3)</f>
        <v>15.183999999999999</v>
      </c>
      <c r="V83">
        <f>ROUND(IF(VLOOKUP($A83,EnrollData2324,'2324 Jun 24 Enroll'!F$1,FALSE)='District Calculations'!$F$13,VLOOKUP($A83,EnrollData2324,'2324 Jun 24 Enroll'!F$1,FALSE),'District Calculations'!$F$13)*Apport_224A2425,3)</f>
        <v>3.7109999999999999</v>
      </c>
      <c r="W83">
        <f>ROUND(IF(VLOOKUP($A83,EnrollData2324,'2324 Jun 24 Enroll'!G$1,FALSE)='District Calculations'!$F$14,VLOOKUP($A83,EnrollData2324,'2324 Jun 24 Enroll'!G$1,FALSE),'District Calculations'!$F$14)*Apport_212A2425,3)</f>
        <v>8.2279999999999998</v>
      </c>
      <c r="X83">
        <f>ROUND(IF(VLOOKUP($A83,EnrollData2324,'2324 Jun 24 Enroll'!H$1,FALSE)='District Calculations'!$F$14,VLOOKUP($A83,EnrollData2324,'2324 Jun 24 Enroll'!H$1,FALSE),'District Calculations'!$F$14)*Apport_215A2425,3)</f>
        <v>8.1180000000000003</v>
      </c>
      <c r="Y83">
        <f>ROUND(IF(VLOOKUP($A83,EnrollData2324,'2324 Jun 24 Enroll'!I$1,FALSE)+VLOOKUP($A83,EnrollData2324,'2324 Jun 24 Enroll'!M$1,FALSE)-VLOOKUP($A83,EnrollData2324,'2324 Jun 24 Enroll'!J$1,FALSE)='District Calculations'!$F$16+'District Calculations'!$F$25-'District Calculations'!$F$17,VLOOKUP($A83,EnrollData2324,'2324 Jun 24 Enroll'!I$1,FALSE)+VLOOKUP($A83,EnrollData2324,'2324 Jun 24 Enroll'!M$1,FALSE)-VLOOKUP($A83,EnrollData2324,'2324 Jun 24 Enroll'!J$1,FALSE),'District Calculations'!$F$16+'District Calculations'!$F$25-'District Calculations'!$F$17)*Apport_218A2425,3)</f>
        <v>20.257999999999999</v>
      </c>
      <c r="Z83">
        <f>ROUND(SUM(T83:Y83)/IF(VLOOKUP($A83,EnrollData2324,'2324 Jun 24 Enroll'!M$1,FALSE)+VLOOKUP($A83,EnrollData2324,'2324 Jun 24 Enroll'!D$1,FALSE)='District Calculations'!$F$25+'District Calculations'!$F$11,VLOOKUP($A83,EnrollData2324,'2324 Jun 24 Enroll'!M$1,FALSE)+VLOOKUP($A83,EnrollData2324,'2324 Jun 24 Enroll'!D$1,FALSE),'District Calculations'!$F$25+'District Calculations'!$F$11),5)</f>
        <v>1.7780000000000001E-2</v>
      </c>
      <c r="AA83" s="6">
        <f>ROUND($J83*CIS_Base_Salary2425*VLOOKUP($A83,EnrollData2324,'2324 Jun 24 Enroll'!AH$1,FALSE),2)</f>
        <v>4262.68</v>
      </c>
      <c r="AB83" s="6">
        <f>ROUND($J83*CIS_Inc_Salary2425*(VLOOKUP($A83,EnrollData2324,'2324 Jun 24 Enroll'!AI$1,FALSE)+VLOOKUP($A83,EnrollData2324,'2324 Jun 24 Enroll'!AJ$1,FALSE)),2)-AA83</f>
        <v>157.6899999999996</v>
      </c>
      <c r="AC83" s="6" cm="1">
        <f t="array" ref="AC83">ROUND($R83*CAS_Base_Salary2425*VLOOKUP($A83,EnrollData2324,'2324 Jun 24 Enroll'!AH$1,FALSE),2)</f>
        <v>461.23</v>
      </c>
      <c r="AD83" s="6">
        <f>ROUND($R83*CAS_Inc_Salary2425*VLOOKUP($A83,EnrollData2324,'2324 Jun 24 Enroll'!AI$1,FALSE),2)-AC83</f>
        <v>17.069999999999993</v>
      </c>
      <c r="AE83" s="6">
        <f>ROUND($Z83*CLS_Base_Salary2425*VLOOKUP($A83,EnrollData2324,'2324 Jun 24 Enroll'!AH$1,FALSE),2)</f>
        <v>961.95</v>
      </c>
      <c r="AF83" s="6">
        <f>ROUND($Z83*CLS_Inc_Salary2425*VLOOKUP($A83,EnrollData2324,'2324 Jun 24 Enroll'!AI$1,FALSE),2)-AE83</f>
        <v>35.599999999999909</v>
      </c>
      <c r="AG83" cm="1">
        <f t="array" ref="AG83">ROUND(($J83+$R83)*Apport_124X2425,2)</f>
        <v>800.45</v>
      </c>
      <c r="AH83" s="69" cm="1">
        <f t="array" ref="AH83">ROUND(($J83+$R83)*Apport_621X2425*Apport_125XC2425,2)-AG83</f>
        <v>73.899999999999977</v>
      </c>
      <c r="AI83" cm="1">
        <f t="array" ref="AI83">ROUND($Z83*Apport_124X2425,2)</f>
        <v>234.7</v>
      </c>
      <c r="AJ83">
        <f t="shared" si="15"/>
        <v>124.71000000000004</v>
      </c>
      <c r="AK83">
        <f t="shared" si="16"/>
        <v>857.39</v>
      </c>
      <c r="AL83">
        <f t="shared" si="17"/>
        <v>30.6</v>
      </c>
      <c r="AM83">
        <f t="shared" si="18"/>
        <v>208.36</v>
      </c>
      <c r="AN83">
        <f t="shared" si="19"/>
        <v>6.46</v>
      </c>
      <c r="AO83">
        <f>ROUND(($J83*CIS_Inc_Salary2425*(VLOOKUP($A83,EnrollData2324,'2324 Jun 24 Enroll'!AI$1,FALSE)+VLOOKUP($A83,EnrollData2324,'2324 Jun 24 Enroll'!AJ$1,FALSE))/Apport_613Xpd)*Apport_614Xpd,2)</f>
        <v>73.67</v>
      </c>
      <c r="AP83">
        <f t="shared" si="20"/>
        <v>12.9</v>
      </c>
      <c r="AQ83">
        <f t="shared" si="28"/>
        <v>31.48</v>
      </c>
      <c r="AR83" s="6">
        <f>ROUND((VLOOKUP($A83,EnrollData2324,'2324 Jun 24 Enroll'!D$1,FALSE)*Apport_M802425+VLOOKUP($A83,EnrollData2324,'2324 Jun 24 Enroll'!M$1,FALSE)*Apport_M802425+(VLOOKUP($A83,EnrollData2324,'2324 Jun 24 Enroll'!P$1,FALSE)+VLOOKUP($A83,EnrollData2324,'2324 Jun 24 Enroll'!Q$1,FALSE)+VLOOKUP($A83,EnrollData2324,'2324 Jun 24 Enroll'!R$1,FALSE)+VLOOKUP($A83,EnrollData2324,'2324 Jun 24 Enroll'!I$1,FALSE)+VLOOKUP($A83,EnrollData2324,'2324 Jun 24 Enroll'!N$1,FALSE)+VLOOKUP($A83,EnrollData2324,'2324 Jun 24 Enroll'!O$1,FALSE)+VLOOKUP($A83,EnrollData2324,'2324 Jun 24 Enroll'!K$1,FALSE)+VLOOKUP($A83,EnrollData2324,'2324 Jun 24 Enroll'!L$1,FALSE))*Apport_M812425)/(VLOOKUP($A83,EnrollData2324,'2324 Jun 24 Enroll'!M$1,FALSE)+VLOOKUP($A83,EnrollData2324,'2324 Jun 24 Enroll'!D$1,FALSE)),2)</f>
        <v>1597.93</v>
      </c>
      <c r="AS83" s="7">
        <f t="shared" si="29"/>
        <v>9948.7699999999986</v>
      </c>
    </row>
    <row r="84" spans="1:45">
      <c r="A84" s="40" t="s">
        <v>629</v>
      </c>
      <c r="B84" s="40" t="s">
        <v>630</v>
      </c>
      <c r="C84" s="11">
        <f>ROUND((IFERROR((1/IF(VLOOKUP($A84,EnrollData2324,28,FALSE)='District Calculations'!$F$10,VLOOKUP($A84,EnrollData2324,28,FALSE),'District Calculations'!$F$10))*(1+Apport_Z315),0))+Apport_201A2425,6)</f>
        <v>7.4580999999999995E-2</v>
      </c>
      <c r="D84">
        <f>ROUND(IF(VLOOKUP($A84,EnrollData2324,'2324 Jun 24 Enroll'!D$1,FALSE)='District Calculations'!$F$11,VLOOKUP($A84,EnrollData2324,'2324 Jun 24 Enroll'!D$1,FALSE),'District Calculations'!$F$11)*C84,3)</f>
        <v>0</v>
      </c>
      <c r="E84">
        <f>ROUND(IF(VLOOKUP($A84,EnrollData2324,'2324 Jun 24 Enroll'!E$1,FALSE)='District Calculations'!$F$12,VLOOKUP($A84,EnrollData2324,'2324 Jun 24 Enroll'!E$1,FALSE),'District Calculations'!$F$12)*C84,3)</f>
        <v>60.447000000000003</v>
      </c>
      <c r="F84">
        <f>ROUND(IF(VLOOKUP($A84,EnrollData2324,'2324 Jun 24 Enroll'!F$1,FALSE)='District Calculations'!$F$13,VLOOKUP($A84,EnrollData2324,'2324 Jun 24 Enroll'!F$1,FALSE),'District Calculations'!$F$13)*Apport_222A2425,3)</f>
        <v>10.337999999999999</v>
      </c>
      <c r="G84">
        <f>ROUND(IF(VLOOKUP($A84,EnrollData2324,'2324 Jun 24 Enroll'!G$1,FALSE)='District Calculations'!$F$14,VLOOKUP($A84,EnrollData2324,'2324 Jun 24 Enroll'!G$1,FALSE),'District Calculations'!$F$14)*Apport_210A2425,3)</f>
        <v>22.92</v>
      </c>
      <c r="H84">
        <f>ROUND(IF(VLOOKUP($A84,EnrollData2324,'2324 Jun 24 Enroll'!H$1,FALSE)='District Calculations'!$F$15,VLOOKUP($A84,EnrollData2324,'2324 Jun 24 Enroll'!H$1,FALSE),'District Calculations'!$F$15)*Apport_213A2425,3)</f>
        <v>23.619</v>
      </c>
      <c r="I84">
        <f>ROUND(IF(VLOOKUP($A84,EnrollData2324,'2324 Jun 24 Enroll'!I$1,FALSE)+VLOOKUP($A84,EnrollData2324,'2324 Jun 24 Enroll'!M$1,FALSE)-VLOOKUP($A84,EnrollData2324,'2324 Jun 24 Enroll'!J$1,FALSE)='District Calculations'!$F$16+'District Calculations'!$F$25-'District Calculations'!$F$17,VLOOKUP($A84,EnrollData2324,'2324 Jun 24 Enroll'!I$1,FALSE)+VLOOKUP($A84,EnrollData2324,'2324 Jun 24 Enroll'!M$1,FALSE)-VLOOKUP($A84,EnrollData2324,'2324 Jun 24 Enroll'!J$1,FALSE),'District Calculations'!$F$16+'District Calculations'!$F$25-'District Calculations'!$F$17)*Apport_216A2425,3)</f>
        <v>59.057000000000002</v>
      </c>
      <c r="J84">
        <f>ROUND(SUM(D84:I84)/(IF(VLOOKUP($A84,EnrollData2324,'2324 Jun 24 Enroll'!M$1,FALSE)='District Calculations'!$F$25,VLOOKUP($A84,EnrollData2324,'2324 Jun 24 Enroll'!M$1,FALSE),'District Calculations'!$F$25)+IF(VLOOKUP($A84,EnrollData2324,'2324 Jun 24 Enroll'!D$1,FALSE)='District Calculations'!$F$11,VLOOKUP($A84,EnrollData2324,'2324 Jun 24 Enroll'!D$1,FALSE),'District Calculations'!$F$11)),5)</f>
        <v>5.6520000000000001E-2</v>
      </c>
      <c r="K84" s="11">
        <f t="shared" si="13"/>
        <v>4.385E-3</v>
      </c>
      <c r="L84">
        <f>ROUND(IF(VLOOKUP($A84,EnrollData2324,'2324 Jun 24 Enroll'!D$1,FALSE)='District Calculations'!$F$11,VLOOKUP($A84,EnrollData2324,'2324 Jun 24 Enroll'!D$1,FALSE),'District Calculations'!$F$11)*K84,3)</f>
        <v>0</v>
      </c>
      <c r="M84">
        <f>ROUND(IF(VLOOKUP($A84,EnrollData2324,'2324 Jun 24 Enroll'!E$1,FALSE)='District Calculations'!$F$12,VLOOKUP($A84,EnrollData2324,'2324 Jun 24 Enroll'!E$1,FALSE),'District Calculations'!$F$12)*K84,3)</f>
        <v>3.5539999999999998</v>
      </c>
      <c r="N84">
        <f>ROUND(IF(VLOOKUP($A84,EnrollData2324,'2324 Jun 24 Enroll'!F$1,FALSE)='District Calculations'!$F$13,VLOOKUP($A84,EnrollData2324,'2324 Jun 24 Enroll'!F$1,FALSE),'District Calculations'!$F$13)*Apport_223A2425,3)</f>
        <v>0.84599999999999997</v>
      </c>
      <c r="O84">
        <f>ROUND(IF(VLOOKUP($A84,EnrollData2324,'2324 Jun 24 Enroll'!G$1,FALSE)='District Calculations'!$F$14,VLOOKUP($A84,EnrollData2324,'2324 Jun 24 Enroll'!G$1,FALSE),'District Calculations'!$F$14)*Apport_211A2425,3)</f>
        <v>1.877</v>
      </c>
      <c r="P84">
        <f>ROUND(IF(VLOOKUP($A84,EnrollData2324,'2324 Jun 24 Enroll'!H$1,FALSE)='District Calculations'!$F$14,VLOOKUP($A84,EnrollData2324,'2324 Jun 24 Enroll'!H$1,FALSE),'District Calculations'!$F$14)*Apport_214A2425,3)</f>
        <v>1.875</v>
      </c>
      <c r="Q84">
        <f>ROUND(IF(VLOOKUP($A84,EnrollData2324,'2324 Jun 24 Enroll'!I$1,FALSE)+VLOOKUP($A84,EnrollData2324,'2324 Jun 24 Enroll'!M$1,FALSE)-VLOOKUP($A84,EnrollData2324,'2324 Jun 24 Enroll'!J$1,FALSE)='District Calculations'!$F$16+'District Calculations'!$F$25-'District Calculations'!$F$17,VLOOKUP($A84,EnrollData2324,'2324 Jun 24 Enroll'!I$1,FALSE)+VLOOKUP($A84,EnrollData2324,'2324 Jun 24 Enroll'!M$1,FALSE)-VLOOKUP($A84,EnrollData2324,'2324 Jun 24 Enroll'!J$1,FALSE),'District Calculations'!$F$16+'District Calculations'!$F$25-'District Calculations'!$F$17)*Apport_217A2425,3)</f>
        <v>4.7130000000000001</v>
      </c>
      <c r="R84">
        <f>ROUND(SUM(L84:Q84)/IF(VLOOKUP($A84,EnrollData2324,'2324 Jun 24 Enroll'!M$1,FALSE)+VLOOKUP($A84,EnrollData2324,'2324 Jun 24 Enroll'!D$1,FALSE)='District Calculations'!$F$25+'District Calculations'!$F$11,VLOOKUP($A84,EnrollData2324,'2324 Jun 24 Enroll'!M$1,FALSE)+VLOOKUP($A84,EnrollData2324,'2324 Jun 24 Enroll'!D$1,FALSE),'District Calculations'!$F$25+'District Calculations'!$F$11),5)</f>
        <v>4.1200000000000004E-3</v>
      </c>
      <c r="S84" s="11">
        <f t="shared" si="14"/>
        <v>1.8734299999999999E-2</v>
      </c>
      <c r="T84">
        <f>ROUND(IF(VLOOKUP($A84,EnrollData2324,'2324 Jun 24 Enroll'!D$1,FALSE)='District Calculations'!$F$11,VLOOKUP($A84,EnrollData2324,'2324 Jun 24 Enroll'!D$1,FALSE),'District Calculations'!$F$11)*S84,3)</f>
        <v>0</v>
      </c>
      <c r="U84">
        <f>ROUND(IF(VLOOKUP($A84,EnrollData2324,'2324 Jun 24 Enroll'!E$1,FALSE)='District Calculations'!$F$12,VLOOKUP($A84,EnrollData2324,'2324 Jun 24 Enroll'!E$1,FALSE),'District Calculations'!$F$12)*S84,3)</f>
        <v>15.183999999999999</v>
      </c>
      <c r="V84">
        <f>ROUND(IF(VLOOKUP($A84,EnrollData2324,'2324 Jun 24 Enroll'!F$1,FALSE)='District Calculations'!$F$13,VLOOKUP($A84,EnrollData2324,'2324 Jun 24 Enroll'!F$1,FALSE),'District Calculations'!$F$13)*Apport_224A2425,3)</f>
        <v>3.7109999999999999</v>
      </c>
      <c r="W84">
        <f>ROUND(IF(VLOOKUP($A84,EnrollData2324,'2324 Jun 24 Enroll'!G$1,FALSE)='District Calculations'!$F$14,VLOOKUP($A84,EnrollData2324,'2324 Jun 24 Enroll'!G$1,FALSE),'District Calculations'!$F$14)*Apport_212A2425,3)</f>
        <v>8.2279999999999998</v>
      </c>
      <c r="X84">
        <f>ROUND(IF(VLOOKUP($A84,EnrollData2324,'2324 Jun 24 Enroll'!H$1,FALSE)='District Calculations'!$F$14,VLOOKUP($A84,EnrollData2324,'2324 Jun 24 Enroll'!H$1,FALSE),'District Calculations'!$F$14)*Apport_215A2425,3)</f>
        <v>8.1180000000000003</v>
      </c>
      <c r="Y84">
        <f>ROUND(IF(VLOOKUP($A84,EnrollData2324,'2324 Jun 24 Enroll'!I$1,FALSE)+VLOOKUP($A84,EnrollData2324,'2324 Jun 24 Enroll'!M$1,FALSE)-VLOOKUP($A84,EnrollData2324,'2324 Jun 24 Enroll'!J$1,FALSE)='District Calculations'!$F$16+'District Calculations'!$F$25-'District Calculations'!$F$17,VLOOKUP($A84,EnrollData2324,'2324 Jun 24 Enroll'!I$1,FALSE)+VLOOKUP($A84,EnrollData2324,'2324 Jun 24 Enroll'!M$1,FALSE)-VLOOKUP($A84,EnrollData2324,'2324 Jun 24 Enroll'!J$1,FALSE),'District Calculations'!$F$16+'District Calculations'!$F$25-'District Calculations'!$F$17)*Apport_218A2425,3)</f>
        <v>20.257999999999999</v>
      </c>
      <c r="Z84">
        <f>ROUND(SUM(T84:Y84)/IF(VLOOKUP($A84,EnrollData2324,'2324 Jun 24 Enroll'!M$1,FALSE)+VLOOKUP($A84,EnrollData2324,'2324 Jun 24 Enroll'!D$1,FALSE)='District Calculations'!$F$25+'District Calculations'!$F$11,VLOOKUP($A84,EnrollData2324,'2324 Jun 24 Enroll'!M$1,FALSE)+VLOOKUP($A84,EnrollData2324,'2324 Jun 24 Enroll'!D$1,FALSE),'District Calculations'!$F$25+'District Calculations'!$F$11),5)</f>
        <v>1.7780000000000001E-2</v>
      </c>
      <c r="AA84" s="6">
        <f>ROUND($J84*CIS_Base_Salary2425*VLOOKUP($A84,EnrollData2324,'2324 Jun 24 Enroll'!AH$1,FALSE),2)</f>
        <v>4262.68</v>
      </c>
      <c r="AB84" s="6">
        <f>ROUND($J84*CIS_Inc_Salary2425*(VLOOKUP($A84,EnrollData2324,'2324 Jun 24 Enroll'!AI$1,FALSE)+VLOOKUP($A84,EnrollData2324,'2324 Jun 24 Enroll'!AJ$1,FALSE)),2)-AA84</f>
        <v>157.6899999999996</v>
      </c>
      <c r="AC84" s="6" cm="1">
        <f t="array" ref="AC84">ROUND($R84*CAS_Base_Salary2425*VLOOKUP($A84,EnrollData2324,'2324 Jun 24 Enroll'!AH$1,FALSE),2)</f>
        <v>461.23</v>
      </c>
      <c r="AD84" s="6">
        <f>ROUND($R84*CAS_Inc_Salary2425*VLOOKUP($A84,EnrollData2324,'2324 Jun 24 Enroll'!AI$1,FALSE),2)-AC84</f>
        <v>17.069999999999993</v>
      </c>
      <c r="AE84" s="6">
        <f>ROUND($Z84*CLS_Base_Salary2425*VLOOKUP($A84,EnrollData2324,'2324 Jun 24 Enroll'!AH$1,FALSE),2)</f>
        <v>961.95</v>
      </c>
      <c r="AF84" s="6">
        <f>ROUND($Z84*CLS_Inc_Salary2425*VLOOKUP($A84,EnrollData2324,'2324 Jun 24 Enroll'!AI$1,FALSE),2)-AE84</f>
        <v>35.599999999999909</v>
      </c>
      <c r="AG84" cm="1">
        <f t="array" ref="AG84">ROUND(($J84+$R84)*Apport_124X2425,2)</f>
        <v>800.45</v>
      </c>
      <c r="AH84" s="69" cm="1">
        <f t="array" ref="AH84">ROUND(($J84+$R84)*Apport_621X2425*Apport_125XC2425,2)-AG84</f>
        <v>73.899999999999977</v>
      </c>
      <c r="AI84" cm="1">
        <f t="array" ref="AI84">ROUND($Z84*Apport_124X2425,2)</f>
        <v>234.7</v>
      </c>
      <c r="AJ84">
        <f t="shared" si="15"/>
        <v>124.71000000000004</v>
      </c>
      <c r="AK84">
        <f t="shared" si="16"/>
        <v>857.39</v>
      </c>
      <c r="AL84">
        <f t="shared" si="17"/>
        <v>30.6</v>
      </c>
      <c r="AM84">
        <f t="shared" si="18"/>
        <v>208.36</v>
      </c>
      <c r="AN84">
        <f t="shared" si="19"/>
        <v>6.46</v>
      </c>
      <c r="AO84">
        <f>ROUND(($J84*CIS_Inc_Salary2425*(VLOOKUP($A84,EnrollData2324,'2324 Jun 24 Enroll'!AI$1,FALSE)+VLOOKUP($A84,EnrollData2324,'2324 Jun 24 Enroll'!AJ$1,FALSE))/Apport_613Xpd)*Apport_614Xpd,2)</f>
        <v>73.67</v>
      </c>
      <c r="AP84">
        <f t="shared" si="20"/>
        <v>12.9</v>
      </c>
      <c r="AQ84">
        <f t="shared" si="28"/>
        <v>31.48</v>
      </c>
      <c r="AR84" s="6">
        <f>ROUND((VLOOKUP($A84,EnrollData2324,'2324 Jun 24 Enroll'!D$1,FALSE)*Apport_M802425+VLOOKUP($A84,EnrollData2324,'2324 Jun 24 Enroll'!M$1,FALSE)*Apport_M802425+(VLOOKUP($A84,EnrollData2324,'2324 Jun 24 Enroll'!P$1,FALSE)+VLOOKUP($A84,EnrollData2324,'2324 Jun 24 Enroll'!Q$1,FALSE)+VLOOKUP($A84,EnrollData2324,'2324 Jun 24 Enroll'!R$1,FALSE)+VLOOKUP($A84,EnrollData2324,'2324 Jun 24 Enroll'!I$1,FALSE)+VLOOKUP($A84,EnrollData2324,'2324 Jun 24 Enroll'!N$1,FALSE)+VLOOKUP($A84,EnrollData2324,'2324 Jun 24 Enroll'!O$1,FALSE)+VLOOKUP($A84,EnrollData2324,'2324 Jun 24 Enroll'!K$1,FALSE)+VLOOKUP($A84,EnrollData2324,'2324 Jun 24 Enroll'!L$1,FALSE))*Apport_M812425)/(VLOOKUP($A84,EnrollData2324,'2324 Jun 24 Enroll'!M$1,FALSE)+VLOOKUP($A84,EnrollData2324,'2324 Jun 24 Enroll'!D$1,FALSE)),2)</f>
        <v>1600.21</v>
      </c>
      <c r="AS84" s="7">
        <f t="shared" si="29"/>
        <v>9951.0499999999993</v>
      </c>
    </row>
    <row r="85" spans="1:45">
      <c r="A85" s="40" t="s">
        <v>789</v>
      </c>
      <c r="B85" s="40" t="s">
        <v>790</v>
      </c>
      <c r="C85" s="11">
        <f>ROUND((IFERROR((1/IF(VLOOKUP($A85,EnrollData2324,28,FALSE)='District Calculations'!$F$10,VLOOKUP($A85,EnrollData2324,28,FALSE),'District Calculations'!$F$10))*(1+Apport_Z315),0))+Apport_201A2425,6)</f>
        <v>7.4580999999999995E-2</v>
      </c>
      <c r="D85">
        <f>ROUND(IF(VLOOKUP($A85,EnrollData2324,'2324 Jun 24 Enroll'!D$1,FALSE)='District Calculations'!$F$11,VLOOKUP($A85,EnrollData2324,'2324 Jun 24 Enroll'!D$1,FALSE),'District Calculations'!$F$11)*C85,3)</f>
        <v>0</v>
      </c>
      <c r="E85">
        <f>ROUND(IF(VLOOKUP($A85,EnrollData2324,'2324 Jun 24 Enroll'!E$1,FALSE)='District Calculations'!$F$12,VLOOKUP($A85,EnrollData2324,'2324 Jun 24 Enroll'!E$1,FALSE),'District Calculations'!$F$12)*C85,3)</f>
        <v>60.447000000000003</v>
      </c>
      <c r="F85">
        <f>ROUND(IF(VLOOKUP($A85,EnrollData2324,'2324 Jun 24 Enroll'!F$1,FALSE)='District Calculations'!$F$13,VLOOKUP($A85,EnrollData2324,'2324 Jun 24 Enroll'!F$1,FALSE),'District Calculations'!$F$13)*Apport_222A2425,3)</f>
        <v>10.337999999999999</v>
      </c>
      <c r="G85">
        <f>ROUND(IF(VLOOKUP($A85,EnrollData2324,'2324 Jun 24 Enroll'!G$1,FALSE)='District Calculations'!$F$14,VLOOKUP($A85,EnrollData2324,'2324 Jun 24 Enroll'!G$1,FALSE),'District Calculations'!$F$14)*Apport_210A2425,3)</f>
        <v>22.92</v>
      </c>
      <c r="H85">
        <f>ROUND(IF(VLOOKUP($A85,EnrollData2324,'2324 Jun 24 Enroll'!H$1,FALSE)='District Calculations'!$F$15,VLOOKUP($A85,EnrollData2324,'2324 Jun 24 Enroll'!H$1,FALSE),'District Calculations'!$F$15)*Apport_213A2425,3)</f>
        <v>23.619</v>
      </c>
      <c r="I85">
        <f>ROUND(IF(VLOOKUP($A85,EnrollData2324,'2324 Jun 24 Enroll'!I$1,FALSE)+VLOOKUP($A85,EnrollData2324,'2324 Jun 24 Enroll'!M$1,FALSE)-VLOOKUP($A85,EnrollData2324,'2324 Jun 24 Enroll'!J$1,FALSE)='District Calculations'!$F$16+'District Calculations'!$F$25-'District Calculations'!$F$17,VLOOKUP($A85,EnrollData2324,'2324 Jun 24 Enroll'!I$1,FALSE)+VLOOKUP($A85,EnrollData2324,'2324 Jun 24 Enroll'!M$1,FALSE)-VLOOKUP($A85,EnrollData2324,'2324 Jun 24 Enroll'!J$1,FALSE),'District Calculations'!$F$16+'District Calculations'!$F$25-'District Calculations'!$F$17)*Apport_216A2425,3)</f>
        <v>59.057000000000002</v>
      </c>
      <c r="J85">
        <f>ROUND(SUM(D85:I85)/(IF(VLOOKUP($A85,EnrollData2324,'2324 Jun 24 Enroll'!M$1,FALSE)='District Calculations'!$F$25,VLOOKUP($A85,EnrollData2324,'2324 Jun 24 Enroll'!M$1,FALSE),'District Calculations'!$F$25)+IF(VLOOKUP($A85,EnrollData2324,'2324 Jun 24 Enroll'!D$1,FALSE)='District Calculations'!$F$11,VLOOKUP($A85,EnrollData2324,'2324 Jun 24 Enroll'!D$1,FALSE),'District Calculations'!$F$11)),5)</f>
        <v>5.6520000000000001E-2</v>
      </c>
      <c r="K85" s="11">
        <f t="shared" si="13"/>
        <v>4.385E-3</v>
      </c>
      <c r="L85">
        <f>ROUND(IF(VLOOKUP($A85,EnrollData2324,'2324 Jun 24 Enroll'!D$1,FALSE)='District Calculations'!$F$11,VLOOKUP($A85,EnrollData2324,'2324 Jun 24 Enroll'!D$1,FALSE),'District Calculations'!$F$11)*K85,3)</f>
        <v>0</v>
      </c>
      <c r="M85">
        <f>ROUND(IF(VLOOKUP($A85,EnrollData2324,'2324 Jun 24 Enroll'!E$1,FALSE)='District Calculations'!$F$12,VLOOKUP($A85,EnrollData2324,'2324 Jun 24 Enroll'!E$1,FALSE),'District Calculations'!$F$12)*K85,3)</f>
        <v>3.5539999999999998</v>
      </c>
      <c r="N85">
        <f>ROUND(IF(VLOOKUP($A85,EnrollData2324,'2324 Jun 24 Enroll'!F$1,FALSE)='District Calculations'!$F$13,VLOOKUP($A85,EnrollData2324,'2324 Jun 24 Enroll'!F$1,FALSE),'District Calculations'!$F$13)*Apport_223A2425,3)</f>
        <v>0.84599999999999997</v>
      </c>
      <c r="O85">
        <f>ROUND(IF(VLOOKUP($A85,EnrollData2324,'2324 Jun 24 Enroll'!G$1,FALSE)='District Calculations'!$F$14,VLOOKUP($A85,EnrollData2324,'2324 Jun 24 Enroll'!G$1,FALSE),'District Calculations'!$F$14)*Apport_211A2425,3)</f>
        <v>1.877</v>
      </c>
      <c r="P85">
        <f>ROUND(IF(VLOOKUP($A85,EnrollData2324,'2324 Jun 24 Enroll'!H$1,FALSE)='District Calculations'!$F$14,VLOOKUP($A85,EnrollData2324,'2324 Jun 24 Enroll'!H$1,FALSE),'District Calculations'!$F$14)*Apport_214A2425,3)</f>
        <v>1.875</v>
      </c>
      <c r="Q85">
        <f>ROUND(IF(VLOOKUP($A85,EnrollData2324,'2324 Jun 24 Enroll'!I$1,FALSE)+VLOOKUP($A85,EnrollData2324,'2324 Jun 24 Enroll'!M$1,FALSE)-VLOOKUP($A85,EnrollData2324,'2324 Jun 24 Enroll'!J$1,FALSE)='District Calculations'!$F$16+'District Calculations'!$F$25-'District Calculations'!$F$17,VLOOKUP($A85,EnrollData2324,'2324 Jun 24 Enroll'!I$1,FALSE)+VLOOKUP($A85,EnrollData2324,'2324 Jun 24 Enroll'!M$1,FALSE)-VLOOKUP($A85,EnrollData2324,'2324 Jun 24 Enroll'!J$1,FALSE),'District Calculations'!$F$16+'District Calculations'!$F$25-'District Calculations'!$F$17)*Apport_217A2425,3)</f>
        <v>4.7130000000000001</v>
      </c>
      <c r="R85">
        <f>ROUND(SUM(L85:Q85)/IF(VLOOKUP($A85,EnrollData2324,'2324 Jun 24 Enroll'!M$1,FALSE)+VLOOKUP($A85,EnrollData2324,'2324 Jun 24 Enroll'!D$1,FALSE)='District Calculations'!$F$25+'District Calculations'!$F$11,VLOOKUP($A85,EnrollData2324,'2324 Jun 24 Enroll'!M$1,FALSE)+VLOOKUP($A85,EnrollData2324,'2324 Jun 24 Enroll'!D$1,FALSE),'District Calculations'!$F$25+'District Calculations'!$F$11),5)</f>
        <v>4.1200000000000004E-3</v>
      </c>
      <c r="S85" s="11">
        <f t="shared" si="14"/>
        <v>1.8734299999999999E-2</v>
      </c>
      <c r="T85">
        <f>ROUND(IF(VLOOKUP($A85,EnrollData2324,'2324 Jun 24 Enroll'!D$1,FALSE)='District Calculations'!$F$11,VLOOKUP($A85,EnrollData2324,'2324 Jun 24 Enroll'!D$1,FALSE),'District Calculations'!$F$11)*S85,3)</f>
        <v>0</v>
      </c>
      <c r="U85">
        <f>ROUND(IF(VLOOKUP($A85,EnrollData2324,'2324 Jun 24 Enroll'!E$1,FALSE)='District Calculations'!$F$12,VLOOKUP($A85,EnrollData2324,'2324 Jun 24 Enroll'!E$1,FALSE),'District Calculations'!$F$12)*S85,3)</f>
        <v>15.183999999999999</v>
      </c>
      <c r="V85">
        <f>ROUND(IF(VLOOKUP($A85,EnrollData2324,'2324 Jun 24 Enroll'!F$1,FALSE)='District Calculations'!$F$13,VLOOKUP($A85,EnrollData2324,'2324 Jun 24 Enroll'!F$1,FALSE),'District Calculations'!$F$13)*Apport_224A2425,3)</f>
        <v>3.7109999999999999</v>
      </c>
      <c r="W85">
        <f>ROUND(IF(VLOOKUP($A85,EnrollData2324,'2324 Jun 24 Enroll'!G$1,FALSE)='District Calculations'!$F$14,VLOOKUP($A85,EnrollData2324,'2324 Jun 24 Enroll'!G$1,FALSE),'District Calculations'!$F$14)*Apport_212A2425,3)</f>
        <v>8.2279999999999998</v>
      </c>
      <c r="X85">
        <f>ROUND(IF(VLOOKUP($A85,EnrollData2324,'2324 Jun 24 Enroll'!H$1,FALSE)='District Calculations'!$F$14,VLOOKUP($A85,EnrollData2324,'2324 Jun 24 Enroll'!H$1,FALSE),'District Calculations'!$F$14)*Apport_215A2425,3)</f>
        <v>8.1180000000000003</v>
      </c>
      <c r="Y85">
        <f>ROUND(IF(VLOOKUP($A85,EnrollData2324,'2324 Jun 24 Enroll'!I$1,FALSE)+VLOOKUP($A85,EnrollData2324,'2324 Jun 24 Enroll'!M$1,FALSE)-VLOOKUP($A85,EnrollData2324,'2324 Jun 24 Enroll'!J$1,FALSE)='District Calculations'!$F$16+'District Calculations'!$F$25-'District Calculations'!$F$17,VLOOKUP($A85,EnrollData2324,'2324 Jun 24 Enroll'!I$1,FALSE)+VLOOKUP($A85,EnrollData2324,'2324 Jun 24 Enroll'!M$1,FALSE)-VLOOKUP($A85,EnrollData2324,'2324 Jun 24 Enroll'!J$1,FALSE),'District Calculations'!$F$16+'District Calculations'!$F$25-'District Calculations'!$F$17)*Apport_218A2425,3)</f>
        <v>20.257999999999999</v>
      </c>
      <c r="Z85">
        <f>ROUND(SUM(T85:Y85)/IF(VLOOKUP($A85,EnrollData2324,'2324 Jun 24 Enroll'!M$1,FALSE)+VLOOKUP($A85,EnrollData2324,'2324 Jun 24 Enroll'!D$1,FALSE)='District Calculations'!$F$25+'District Calculations'!$F$11,VLOOKUP($A85,EnrollData2324,'2324 Jun 24 Enroll'!M$1,FALSE)+VLOOKUP($A85,EnrollData2324,'2324 Jun 24 Enroll'!D$1,FALSE),'District Calculations'!$F$25+'District Calculations'!$F$11),5)</f>
        <v>1.7780000000000001E-2</v>
      </c>
      <c r="AA85" s="6">
        <f>ROUND($J85*CIS_Base_Salary2425*VLOOKUP($A85,EnrollData2324,'2324 Jun 24 Enroll'!AH$1,FALSE),2)</f>
        <v>4262.68</v>
      </c>
      <c r="AB85" s="6">
        <f>ROUND($J85*CIS_Inc_Salary2425*(VLOOKUP($A85,EnrollData2324,'2324 Jun 24 Enroll'!AI$1,FALSE)+VLOOKUP($A85,EnrollData2324,'2324 Jun 24 Enroll'!AJ$1,FALSE)),2)-AA85</f>
        <v>157.6899999999996</v>
      </c>
      <c r="AC85" s="6" cm="1">
        <f t="array" ref="AC85">ROUND($R85*CAS_Base_Salary2425*VLOOKUP($A85,EnrollData2324,'2324 Jun 24 Enroll'!AH$1,FALSE),2)</f>
        <v>461.23</v>
      </c>
      <c r="AD85" s="6">
        <f>ROUND($R85*CAS_Inc_Salary2425*VLOOKUP($A85,EnrollData2324,'2324 Jun 24 Enroll'!AI$1,FALSE),2)-AC85</f>
        <v>17.069999999999993</v>
      </c>
      <c r="AE85" s="6">
        <f>ROUND($Z85*CLS_Base_Salary2425*VLOOKUP($A85,EnrollData2324,'2324 Jun 24 Enroll'!AH$1,FALSE),2)</f>
        <v>961.95</v>
      </c>
      <c r="AF85" s="6">
        <f>ROUND($Z85*CLS_Inc_Salary2425*VLOOKUP($A85,EnrollData2324,'2324 Jun 24 Enroll'!AI$1,FALSE),2)-AE85</f>
        <v>35.599999999999909</v>
      </c>
      <c r="AG85" cm="1">
        <f t="array" ref="AG85">ROUND(($J85+$R85)*Apport_124X2425,2)</f>
        <v>800.45</v>
      </c>
      <c r="AH85" s="69" cm="1">
        <f t="array" ref="AH85">ROUND(($J85+$R85)*Apport_621X2425*Apport_125XC2425,2)-AG85</f>
        <v>73.899999999999977</v>
      </c>
      <c r="AI85" cm="1">
        <f t="array" ref="AI85">ROUND($Z85*Apport_124X2425,2)</f>
        <v>234.7</v>
      </c>
      <c r="AJ85">
        <f t="shared" si="15"/>
        <v>124.71000000000004</v>
      </c>
      <c r="AK85">
        <f t="shared" si="16"/>
        <v>857.39</v>
      </c>
      <c r="AL85">
        <f t="shared" si="17"/>
        <v>30.6</v>
      </c>
      <c r="AM85">
        <f t="shared" si="18"/>
        <v>208.36</v>
      </c>
      <c r="AN85">
        <f t="shared" si="19"/>
        <v>6.46</v>
      </c>
      <c r="AO85">
        <f>ROUND(($J85*CIS_Inc_Salary2425*(VLOOKUP($A85,EnrollData2324,'2324 Jun 24 Enroll'!AI$1,FALSE)+VLOOKUP($A85,EnrollData2324,'2324 Jun 24 Enroll'!AJ$1,FALSE))/Apport_613Xpd)*Apport_614Xpd,2)</f>
        <v>73.67</v>
      </c>
      <c r="AP85">
        <f t="shared" si="20"/>
        <v>12.9</v>
      </c>
      <c r="AQ85">
        <f t="shared" si="28"/>
        <v>31.48</v>
      </c>
      <c r="AR85" s="6">
        <f>ROUND((VLOOKUP($A85,EnrollData2324,'2324 Jun 24 Enroll'!D$1,FALSE)*Apport_M802425+VLOOKUP($A85,EnrollData2324,'2324 Jun 24 Enroll'!M$1,FALSE)*Apport_M802425+(VLOOKUP($A85,EnrollData2324,'2324 Jun 24 Enroll'!P$1,FALSE)+VLOOKUP($A85,EnrollData2324,'2324 Jun 24 Enroll'!Q$1,FALSE)+VLOOKUP($A85,EnrollData2324,'2324 Jun 24 Enroll'!R$1,FALSE)+VLOOKUP($A85,EnrollData2324,'2324 Jun 24 Enroll'!I$1,FALSE)+VLOOKUP($A85,EnrollData2324,'2324 Jun 24 Enroll'!N$1,FALSE)+VLOOKUP($A85,EnrollData2324,'2324 Jun 24 Enroll'!O$1,FALSE)+VLOOKUP($A85,EnrollData2324,'2324 Jun 24 Enroll'!K$1,FALSE)+VLOOKUP($A85,EnrollData2324,'2324 Jun 24 Enroll'!L$1,FALSE))*Apport_M812425)/(VLOOKUP($A85,EnrollData2324,'2324 Jun 24 Enroll'!M$1,FALSE)+VLOOKUP($A85,EnrollData2324,'2324 Jun 24 Enroll'!D$1,FALSE)),2)</f>
        <v>1533.02</v>
      </c>
      <c r="AS85" s="7">
        <f t="shared" si="29"/>
        <v>9883.8599999999988</v>
      </c>
    </row>
    <row r="86" spans="1:45">
      <c r="A86" s="40" t="s">
        <v>693</v>
      </c>
      <c r="B86" s="40" t="s">
        <v>694</v>
      </c>
      <c r="C86" s="11">
        <f>ROUND((IFERROR((1/IF(VLOOKUP($A86,EnrollData2324,28,FALSE)='District Calculations'!$F$10,VLOOKUP($A86,EnrollData2324,28,FALSE),'District Calculations'!$F$10))*(1+Apport_Z315),0))+Apport_201A2425,6)</f>
        <v>7.4580999999999995E-2</v>
      </c>
      <c r="D86">
        <f>ROUND(IF(VLOOKUP($A86,EnrollData2324,'2324 Jun 24 Enroll'!D$1,FALSE)='District Calculations'!$F$11,VLOOKUP($A86,EnrollData2324,'2324 Jun 24 Enroll'!D$1,FALSE),'District Calculations'!$F$11)*C86,3)</f>
        <v>0</v>
      </c>
      <c r="E86">
        <f>ROUND(IF(VLOOKUP($A86,EnrollData2324,'2324 Jun 24 Enroll'!E$1,FALSE)='District Calculations'!$F$12,VLOOKUP($A86,EnrollData2324,'2324 Jun 24 Enroll'!E$1,FALSE),'District Calculations'!$F$12)*C86,3)</f>
        <v>60.447000000000003</v>
      </c>
      <c r="F86">
        <f>ROUND(IF(VLOOKUP($A86,EnrollData2324,'2324 Jun 24 Enroll'!F$1,FALSE)='District Calculations'!$F$13,VLOOKUP($A86,EnrollData2324,'2324 Jun 24 Enroll'!F$1,FALSE),'District Calculations'!$F$13)*Apport_222A2425,3)</f>
        <v>10.337999999999999</v>
      </c>
      <c r="G86">
        <f>ROUND(IF(VLOOKUP($A86,EnrollData2324,'2324 Jun 24 Enroll'!G$1,FALSE)='District Calculations'!$F$14,VLOOKUP($A86,EnrollData2324,'2324 Jun 24 Enroll'!G$1,FALSE),'District Calculations'!$F$14)*Apport_210A2425,3)</f>
        <v>22.92</v>
      </c>
      <c r="H86">
        <f>ROUND(IF(VLOOKUP($A86,EnrollData2324,'2324 Jun 24 Enroll'!H$1,FALSE)='District Calculations'!$F$15,VLOOKUP($A86,EnrollData2324,'2324 Jun 24 Enroll'!H$1,FALSE),'District Calculations'!$F$15)*Apport_213A2425,3)</f>
        <v>23.619</v>
      </c>
      <c r="I86">
        <f>ROUND(IF(VLOOKUP($A86,EnrollData2324,'2324 Jun 24 Enroll'!I$1,FALSE)+VLOOKUP($A86,EnrollData2324,'2324 Jun 24 Enroll'!M$1,FALSE)-VLOOKUP($A86,EnrollData2324,'2324 Jun 24 Enroll'!J$1,FALSE)='District Calculations'!$F$16+'District Calculations'!$F$25-'District Calculations'!$F$17,VLOOKUP($A86,EnrollData2324,'2324 Jun 24 Enroll'!I$1,FALSE)+VLOOKUP($A86,EnrollData2324,'2324 Jun 24 Enroll'!M$1,FALSE)-VLOOKUP($A86,EnrollData2324,'2324 Jun 24 Enroll'!J$1,FALSE),'District Calculations'!$F$16+'District Calculations'!$F$25-'District Calculations'!$F$17)*Apport_216A2425,3)</f>
        <v>59.057000000000002</v>
      </c>
      <c r="J86">
        <f>ROUND(SUM(D86:I86)/(IF(VLOOKUP($A86,EnrollData2324,'2324 Jun 24 Enroll'!M$1,FALSE)='District Calculations'!$F$25,VLOOKUP($A86,EnrollData2324,'2324 Jun 24 Enroll'!M$1,FALSE),'District Calculations'!$F$25)+IF(VLOOKUP($A86,EnrollData2324,'2324 Jun 24 Enroll'!D$1,FALSE)='District Calculations'!$F$11,VLOOKUP($A86,EnrollData2324,'2324 Jun 24 Enroll'!D$1,FALSE),'District Calculations'!$F$11)),5)</f>
        <v>5.6520000000000001E-2</v>
      </c>
      <c r="K86" s="11">
        <f t="shared" si="13"/>
        <v>4.385E-3</v>
      </c>
      <c r="L86">
        <f>ROUND(IF(VLOOKUP($A86,EnrollData2324,'2324 Jun 24 Enroll'!D$1,FALSE)='District Calculations'!$F$11,VLOOKUP($A86,EnrollData2324,'2324 Jun 24 Enroll'!D$1,FALSE),'District Calculations'!$F$11)*K86,3)</f>
        <v>0</v>
      </c>
      <c r="M86">
        <f>ROUND(IF(VLOOKUP($A86,EnrollData2324,'2324 Jun 24 Enroll'!E$1,FALSE)='District Calculations'!$F$12,VLOOKUP($A86,EnrollData2324,'2324 Jun 24 Enroll'!E$1,FALSE),'District Calculations'!$F$12)*K86,3)</f>
        <v>3.5539999999999998</v>
      </c>
      <c r="N86">
        <f>ROUND(IF(VLOOKUP($A86,EnrollData2324,'2324 Jun 24 Enroll'!F$1,FALSE)='District Calculations'!$F$13,VLOOKUP($A86,EnrollData2324,'2324 Jun 24 Enroll'!F$1,FALSE),'District Calculations'!$F$13)*Apport_223A2425,3)</f>
        <v>0.84599999999999997</v>
      </c>
      <c r="O86">
        <f>ROUND(IF(VLOOKUP($A86,EnrollData2324,'2324 Jun 24 Enroll'!G$1,FALSE)='District Calculations'!$F$14,VLOOKUP($A86,EnrollData2324,'2324 Jun 24 Enroll'!G$1,FALSE),'District Calculations'!$F$14)*Apport_211A2425,3)</f>
        <v>1.877</v>
      </c>
      <c r="P86">
        <f>ROUND(IF(VLOOKUP($A86,EnrollData2324,'2324 Jun 24 Enroll'!H$1,FALSE)='District Calculations'!$F$14,VLOOKUP($A86,EnrollData2324,'2324 Jun 24 Enroll'!H$1,FALSE),'District Calculations'!$F$14)*Apport_214A2425,3)</f>
        <v>1.875</v>
      </c>
      <c r="Q86">
        <f>ROUND(IF(VLOOKUP($A86,EnrollData2324,'2324 Jun 24 Enroll'!I$1,FALSE)+VLOOKUP($A86,EnrollData2324,'2324 Jun 24 Enroll'!M$1,FALSE)-VLOOKUP($A86,EnrollData2324,'2324 Jun 24 Enroll'!J$1,FALSE)='District Calculations'!$F$16+'District Calculations'!$F$25-'District Calculations'!$F$17,VLOOKUP($A86,EnrollData2324,'2324 Jun 24 Enroll'!I$1,FALSE)+VLOOKUP($A86,EnrollData2324,'2324 Jun 24 Enroll'!M$1,FALSE)-VLOOKUP($A86,EnrollData2324,'2324 Jun 24 Enroll'!J$1,FALSE),'District Calculations'!$F$16+'District Calculations'!$F$25-'District Calculations'!$F$17)*Apport_217A2425,3)</f>
        <v>4.7130000000000001</v>
      </c>
      <c r="R86">
        <f>ROUND(SUM(L86:Q86)/IF(VLOOKUP($A86,EnrollData2324,'2324 Jun 24 Enroll'!M$1,FALSE)+VLOOKUP($A86,EnrollData2324,'2324 Jun 24 Enroll'!D$1,FALSE)='District Calculations'!$F$25+'District Calculations'!$F$11,VLOOKUP($A86,EnrollData2324,'2324 Jun 24 Enroll'!M$1,FALSE)+VLOOKUP($A86,EnrollData2324,'2324 Jun 24 Enroll'!D$1,FALSE),'District Calculations'!$F$25+'District Calculations'!$F$11),5)</f>
        <v>4.1200000000000004E-3</v>
      </c>
      <c r="S86" s="11">
        <f t="shared" si="14"/>
        <v>1.8734299999999999E-2</v>
      </c>
      <c r="T86">
        <f>ROUND(IF(VLOOKUP($A86,EnrollData2324,'2324 Jun 24 Enroll'!D$1,FALSE)='District Calculations'!$F$11,VLOOKUP($A86,EnrollData2324,'2324 Jun 24 Enroll'!D$1,FALSE),'District Calculations'!$F$11)*S86,3)</f>
        <v>0</v>
      </c>
      <c r="U86">
        <f>ROUND(IF(VLOOKUP($A86,EnrollData2324,'2324 Jun 24 Enroll'!E$1,FALSE)='District Calculations'!$F$12,VLOOKUP($A86,EnrollData2324,'2324 Jun 24 Enroll'!E$1,FALSE),'District Calculations'!$F$12)*S86,3)</f>
        <v>15.183999999999999</v>
      </c>
      <c r="V86">
        <f>ROUND(IF(VLOOKUP($A86,EnrollData2324,'2324 Jun 24 Enroll'!F$1,FALSE)='District Calculations'!$F$13,VLOOKUP($A86,EnrollData2324,'2324 Jun 24 Enroll'!F$1,FALSE),'District Calculations'!$F$13)*Apport_224A2425,3)</f>
        <v>3.7109999999999999</v>
      </c>
      <c r="W86">
        <f>ROUND(IF(VLOOKUP($A86,EnrollData2324,'2324 Jun 24 Enroll'!G$1,FALSE)='District Calculations'!$F$14,VLOOKUP($A86,EnrollData2324,'2324 Jun 24 Enroll'!G$1,FALSE),'District Calculations'!$F$14)*Apport_212A2425,3)</f>
        <v>8.2279999999999998</v>
      </c>
      <c r="X86">
        <f>ROUND(IF(VLOOKUP($A86,EnrollData2324,'2324 Jun 24 Enroll'!H$1,FALSE)='District Calculations'!$F$14,VLOOKUP($A86,EnrollData2324,'2324 Jun 24 Enroll'!H$1,FALSE),'District Calculations'!$F$14)*Apport_215A2425,3)</f>
        <v>8.1180000000000003</v>
      </c>
      <c r="Y86">
        <f>ROUND(IF(VLOOKUP($A86,EnrollData2324,'2324 Jun 24 Enroll'!I$1,FALSE)+VLOOKUP($A86,EnrollData2324,'2324 Jun 24 Enroll'!M$1,FALSE)-VLOOKUP($A86,EnrollData2324,'2324 Jun 24 Enroll'!J$1,FALSE)='District Calculations'!$F$16+'District Calculations'!$F$25-'District Calculations'!$F$17,VLOOKUP($A86,EnrollData2324,'2324 Jun 24 Enroll'!I$1,FALSE)+VLOOKUP($A86,EnrollData2324,'2324 Jun 24 Enroll'!M$1,FALSE)-VLOOKUP($A86,EnrollData2324,'2324 Jun 24 Enroll'!J$1,FALSE),'District Calculations'!$F$16+'District Calculations'!$F$25-'District Calculations'!$F$17)*Apport_218A2425,3)</f>
        <v>20.257999999999999</v>
      </c>
      <c r="Z86">
        <f>ROUND(SUM(T86:Y86)/IF(VLOOKUP($A86,EnrollData2324,'2324 Jun 24 Enroll'!M$1,FALSE)+VLOOKUP($A86,EnrollData2324,'2324 Jun 24 Enroll'!D$1,FALSE)='District Calculations'!$F$25+'District Calculations'!$F$11,VLOOKUP($A86,EnrollData2324,'2324 Jun 24 Enroll'!M$1,FALSE)+VLOOKUP($A86,EnrollData2324,'2324 Jun 24 Enroll'!D$1,FALSE),'District Calculations'!$F$25+'District Calculations'!$F$11),5)</f>
        <v>1.7780000000000001E-2</v>
      </c>
      <c r="AA86" s="6">
        <f>ROUND($J86*CIS_Base_Salary2425*VLOOKUP($A86,EnrollData2324,'2324 Jun 24 Enroll'!AH$1,FALSE),2)</f>
        <v>4262.68</v>
      </c>
      <c r="AB86" s="6">
        <f>ROUND($J86*CIS_Inc_Salary2425*(VLOOKUP($A86,EnrollData2324,'2324 Jun 24 Enroll'!AI$1,FALSE)+VLOOKUP($A86,EnrollData2324,'2324 Jun 24 Enroll'!AJ$1,FALSE)),2)-AA86</f>
        <v>201.89999999999964</v>
      </c>
      <c r="AC86" s="6" cm="1">
        <f t="array" ref="AC86">ROUND($R86*CAS_Base_Salary2425*VLOOKUP($A86,EnrollData2324,'2324 Jun 24 Enroll'!AH$1,FALSE),2)</f>
        <v>461.23</v>
      </c>
      <c r="AD86" s="6">
        <f>ROUND($R86*CAS_Inc_Salary2425*VLOOKUP($A86,EnrollData2324,'2324 Jun 24 Enroll'!AI$1,FALSE),2)-AC86</f>
        <v>17.069999999999993</v>
      </c>
      <c r="AE86" s="6">
        <f>ROUND($Z86*CLS_Base_Salary2425*VLOOKUP($A86,EnrollData2324,'2324 Jun 24 Enroll'!AH$1,FALSE),2)</f>
        <v>961.95</v>
      </c>
      <c r="AF86" s="6">
        <f>ROUND($Z86*CLS_Inc_Salary2425*VLOOKUP($A86,EnrollData2324,'2324 Jun 24 Enroll'!AI$1,FALSE),2)-AE86</f>
        <v>35.599999999999909</v>
      </c>
      <c r="AG86" cm="1">
        <f t="array" ref="AG86">ROUND(($J86+$R86)*Apport_124X2425,2)</f>
        <v>800.45</v>
      </c>
      <c r="AH86" s="69" cm="1">
        <f t="array" ref="AH86">ROUND(($J86+$R86)*Apport_621X2425*Apport_125XC2425,2)-AG86</f>
        <v>73.899999999999977</v>
      </c>
      <c r="AI86" cm="1">
        <f t="array" ref="AI86">ROUND($Z86*Apport_124X2425,2)</f>
        <v>234.7</v>
      </c>
      <c r="AJ86">
        <f t="shared" si="15"/>
        <v>124.71000000000004</v>
      </c>
      <c r="AK86">
        <f t="shared" si="16"/>
        <v>857.39</v>
      </c>
      <c r="AL86">
        <f t="shared" si="17"/>
        <v>38.340000000000003</v>
      </c>
      <c r="AM86">
        <f t="shared" si="18"/>
        <v>208.36</v>
      </c>
      <c r="AN86">
        <f t="shared" si="19"/>
        <v>6.46</v>
      </c>
      <c r="AO86">
        <f>ROUND(($J86*CIS_Inc_Salary2425*(VLOOKUP($A86,EnrollData2324,'2324 Jun 24 Enroll'!AI$1,FALSE)+VLOOKUP($A86,EnrollData2324,'2324 Jun 24 Enroll'!AJ$1,FALSE))/Apport_613Xpd)*Apport_614Xpd,2)</f>
        <v>74.41</v>
      </c>
      <c r="AP86">
        <f t="shared" si="20"/>
        <v>13.03</v>
      </c>
      <c r="AQ86">
        <f t="shared" si="28"/>
        <v>31.48</v>
      </c>
      <c r="AR86" s="6">
        <f>ROUND((VLOOKUP($A86,EnrollData2324,'2324 Jun 24 Enroll'!D$1,FALSE)*Apport_M802425+VLOOKUP($A86,EnrollData2324,'2324 Jun 24 Enroll'!M$1,FALSE)*Apport_M802425+(VLOOKUP($A86,EnrollData2324,'2324 Jun 24 Enroll'!P$1,FALSE)+VLOOKUP($A86,EnrollData2324,'2324 Jun 24 Enroll'!Q$1,FALSE)+VLOOKUP($A86,EnrollData2324,'2324 Jun 24 Enroll'!R$1,FALSE)+VLOOKUP($A86,EnrollData2324,'2324 Jun 24 Enroll'!I$1,FALSE)+VLOOKUP($A86,EnrollData2324,'2324 Jun 24 Enroll'!N$1,FALSE)+VLOOKUP($A86,EnrollData2324,'2324 Jun 24 Enroll'!O$1,FALSE)+VLOOKUP($A86,EnrollData2324,'2324 Jun 24 Enroll'!K$1,FALSE)+VLOOKUP($A86,EnrollData2324,'2324 Jun 24 Enroll'!L$1,FALSE))*Apport_M812425)/(VLOOKUP($A86,EnrollData2324,'2324 Jun 24 Enroll'!M$1,FALSE)+VLOOKUP($A86,EnrollData2324,'2324 Jun 24 Enroll'!D$1,FALSE)),2)</f>
        <v>1586.86</v>
      </c>
      <c r="AS86" s="7">
        <f t="shared" si="29"/>
        <v>9990.5199999999986</v>
      </c>
    </row>
    <row r="87" spans="1:45">
      <c r="A87" s="40" t="s">
        <v>847</v>
      </c>
      <c r="B87" s="40" t="s">
        <v>848</v>
      </c>
      <c r="C87" s="11">
        <f>ROUND((IFERROR((1/IF(VLOOKUP($A87,EnrollData2324,28,FALSE)='District Calculations'!$F$10,VLOOKUP($A87,EnrollData2324,28,FALSE),'District Calculations'!$F$10))*(1+Apport_Z315),0))+Apport_201A2425,6)</f>
        <v>7.4580999999999995E-2</v>
      </c>
      <c r="D87">
        <f>ROUND(IF(VLOOKUP($A87,EnrollData2324,'2324 Jun 24 Enroll'!D$1,FALSE)='District Calculations'!$F$11,VLOOKUP($A87,EnrollData2324,'2324 Jun 24 Enroll'!D$1,FALSE),'District Calculations'!$F$11)*C87,3)</f>
        <v>0</v>
      </c>
      <c r="E87">
        <f>ROUND(IF(VLOOKUP($A87,EnrollData2324,'2324 Jun 24 Enroll'!E$1,FALSE)='District Calculations'!$F$12,VLOOKUP($A87,EnrollData2324,'2324 Jun 24 Enroll'!E$1,FALSE),'District Calculations'!$F$12)*C87,3)</f>
        <v>60.447000000000003</v>
      </c>
      <c r="F87">
        <f>ROUND(IF(VLOOKUP($A87,EnrollData2324,'2324 Jun 24 Enroll'!F$1,FALSE)='District Calculations'!$F$13,VLOOKUP($A87,EnrollData2324,'2324 Jun 24 Enroll'!F$1,FALSE),'District Calculations'!$F$13)*Apport_222A2425,3)</f>
        <v>10.337999999999999</v>
      </c>
      <c r="G87">
        <f>ROUND(IF(VLOOKUP($A87,EnrollData2324,'2324 Jun 24 Enroll'!G$1,FALSE)='District Calculations'!$F$14,VLOOKUP($A87,EnrollData2324,'2324 Jun 24 Enroll'!G$1,FALSE),'District Calculations'!$F$14)*Apport_210A2425,3)</f>
        <v>22.92</v>
      </c>
      <c r="H87">
        <f>ROUND(IF(VLOOKUP($A87,EnrollData2324,'2324 Jun 24 Enroll'!H$1,FALSE)='District Calculations'!$F$15,VLOOKUP($A87,EnrollData2324,'2324 Jun 24 Enroll'!H$1,FALSE),'District Calculations'!$F$15)*Apport_213A2425,3)</f>
        <v>23.619</v>
      </c>
      <c r="I87">
        <f>ROUND(IF(VLOOKUP($A87,EnrollData2324,'2324 Jun 24 Enroll'!I$1,FALSE)+VLOOKUP($A87,EnrollData2324,'2324 Jun 24 Enroll'!M$1,FALSE)-VLOOKUP($A87,EnrollData2324,'2324 Jun 24 Enroll'!J$1,FALSE)='District Calculations'!$F$16+'District Calculations'!$F$25-'District Calculations'!$F$17,VLOOKUP($A87,EnrollData2324,'2324 Jun 24 Enroll'!I$1,FALSE)+VLOOKUP($A87,EnrollData2324,'2324 Jun 24 Enroll'!M$1,FALSE)-VLOOKUP($A87,EnrollData2324,'2324 Jun 24 Enroll'!J$1,FALSE),'District Calculations'!$F$16+'District Calculations'!$F$25-'District Calculations'!$F$17)*Apport_216A2425,3)</f>
        <v>59.057000000000002</v>
      </c>
      <c r="J87">
        <f>ROUND(SUM(D87:I87)/(IF(VLOOKUP($A87,EnrollData2324,'2324 Jun 24 Enroll'!M$1,FALSE)='District Calculations'!$F$25,VLOOKUP($A87,EnrollData2324,'2324 Jun 24 Enroll'!M$1,FALSE),'District Calculations'!$F$25)+IF(VLOOKUP($A87,EnrollData2324,'2324 Jun 24 Enroll'!D$1,FALSE)='District Calculations'!$F$11,VLOOKUP($A87,EnrollData2324,'2324 Jun 24 Enroll'!D$1,FALSE),'District Calculations'!$F$11)),5)</f>
        <v>5.6520000000000001E-2</v>
      </c>
      <c r="K87" s="11">
        <f t="shared" si="13"/>
        <v>4.385E-3</v>
      </c>
      <c r="L87">
        <f>ROUND(IF(VLOOKUP($A87,EnrollData2324,'2324 Jun 24 Enroll'!D$1,FALSE)='District Calculations'!$F$11,VLOOKUP($A87,EnrollData2324,'2324 Jun 24 Enroll'!D$1,FALSE),'District Calculations'!$F$11)*K87,3)</f>
        <v>0</v>
      </c>
      <c r="M87">
        <f>ROUND(IF(VLOOKUP($A87,EnrollData2324,'2324 Jun 24 Enroll'!E$1,FALSE)='District Calculations'!$F$12,VLOOKUP($A87,EnrollData2324,'2324 Jun 24 Enroll'!E$1,FALSE),'District Calculations'!$F$12)*K87,3)</f>
        <v>3.5539999999999998</v>
      </c>
      <c r="N87">
        <f>ROUND(IF(VLOOKUP($A87,EnrollData2324,'2324 Jun 24 Enroll'!F$1,FALSE)='District Calculations'!$F$13,VLOOKUP($A87,EnrollData2324,'2324 Jun 24 Enroll'!F$1,FALSE),'District Calculations'!$F$13)*Apport_223A2425,3)</f>
        <v>0.84599999999999997</v>
      </c>
      <c r="O87">
        <f>ROUND(IF(VLOOKUP($A87,EnrollData2324,'2324 Jun 24 Enroll'!G$1,FALSE)='District Calculations'!$F$14,VLOOKUP($A87,EnrollData2324,'2324 Jun 24 Enroll'!G$1,FALSE),'District Calculations'!$F$14)*Apport_211A2425,3)</f>
        <v>1.877</v>
      </c>
      <c r="P87">
        <f>ROUND(IF(VLOOKUP($A87,EnrollData2324,'2324 Jun 24 Enroll'!H$1,FALSE)='District Calculations'!$F$14,VLOOKUP($A87,EnrollData2324,'2324 Jun 24 Enroll'!H$1,FALSE),'District Calculations'!$F$14)*Apport_214A2425,3)</f>
        <v>1.875</v>
      </c>
      <c r="Q87">
        <f>ROUND(IF(VLOOKUP($A87,EnrollData2324,'2324 Jun 24 Enroll'!I$1,FALSE)+VLOOKUP($A87,EnrollData2324,'2324 Jun 24 Enroll'!M$1,FALSE)-VLOOKUP($A87,EnrollData2324,'2324 Jun 24 Enroll'!J$1,FALSE)='District Calculations'!$F$16+'District Calculations'!$F$25-'District Calculations'!$F$17,VLOOKUP($A87,EnrollData2324,'2324 Jun 24 Enroll'!I$1,FALSE)+VLOOKUP($A87,EnrollData2324,'2324 Jun 24 Enroll'!M$1,FALSE)-VLOOKUP($A87,EnrollData2324,'2324 Jun 24 Enroll'!J$1,FALSE),'District Calculations'!$F$16+'District Calculations'!$F$25-'District Calculations'!$F$17)*Apport_217A2425,3)</f>
        <v>4.7130000000000001</v>
      </c>
      <c r="R87">
        <f>ROUND(SUM(L87:Q87)/IF(VLOOKUP($A87,EnrollData2324,'2324 Jun 24 Enroll'!M$1,FALSE)+VLOOKUP($A87,EnrollData2324,'2324 Jun 24 Enroll'!D$1,FALSE)='District Calculations'!$F$25+'District Calculations'!$F$11,VLOOKUP($A87,EnrollData2324,'2324 Jun 24 Enroll'!M$1,FALSE)+VLOOKUP($A87,EnrollData2324,'2324 Jun 24 Enroll'!D$1,FALSE),'District Calculations'!$F$25+'District Calculations'!$F$11),5)</f>
        <v>4.1200000000000004E-3</v>
      </c>
      <c r="S87" s="11">
        <f t="shared" si="14"/>
        <v>1.8734299999999999E-2</v>
      </c>
      <c r="T87">
        <f>ROUND(IF(VLOOKUP($A87,EnrollData2324,'2324 Jun 24 Enroll'!D$1,FALSE)='District Calculations'!$F$11,VLOOKUP($A87,EnrollData2324,'2324 Jun 24 Enroll'!D$1,FALSE),'District Calculations'!$F$11)*S87,3)</f>
        <v>0</v>
      </c>
      <c r="U87">
        <f>ROUND(IF(VLOOKUP($A87,EnrollData2324,'2324 Jun 24 Enroll'!E$1,FALSE)='District Calculations'!$F$12,VLOOKUP($A87,EnrollData2324,'2324 Jun 24 Enroll'!E$1,FALSE),'District Calculations'!$F$12)*S87,3)</f>
        <v>15.183999999999999</v>
      </c>
      <c r="V87">
        <f>ROUND(IF(VLOOKUP($A87,EnrollData2324,'2324 Jun 24 Enroll'!F$1,FALSE)='District Calculations'!$F$13,VLOOKUP($A87,EnrollData2324,'2324 Jun 24 Enroll'!F$1,FALSE),'District Calculations'!$F$13)*Apport_224A2425,3)</f>
        <v>3.7109999999999999</v>
      </c>
      <c r="W87">
        <f>ROUND(IF(VLOOKUP($A87,EnrollData2324,'2324 Jun 24 Enroll'!G$1,FALSE)='District Calculations'!$F$14,VLOOKUP($A87,EnrollData2324,'2324 Jun 24 Enroll'!G$1,FALSE),'District Calculations'!$F$14)*Apport_212A2425,3)</f>
        <v>8.2279999999999998</v>
      </c>
      <c r="X87">
        <f>ROUND(IF(VLOOKUP($A87,EnrollData2324,'2324 Jun 24 Enroll'!H$1,FALSE)='District Calculations'!$F$14,VLOOKUP($A87,EnrollData2324,'2324 Jun 24 Enroll'!H$1,FALSE),'District Calculations'!$F$14)*Apport_215A2425,3)</f>
        <v>8.1180000000000003</v>
      </c>
      <c r="Y87">
        <f>ROUND(IF(VLOOKUP($A87,EnrollData2324,'2324 Jun 24 Enroll'!I$1,FALSE)+VLOOKUP($A87,EnrollData2324,'2324 Jun 24 Enroll'!M$1,FALSE)-VLOOKUP($A87,EnrollData2324,'2324 Jun 24 Enroll'!J$1,FALSE)='District Calculations'!$F$16+'District Calculations'!$F$25-'District Calculations'!$F$17,VLOOKUP($A87,EnrollData2324,'2324 Jun 24 Enroll'!I$1,FALSE)+VLOOKUP($A87,EnrollData2324,'2324 Jun 24 Enroll'!M$1,FALSE)-VLOOKUP($A87,EnrollData2324,'2324 Jun 24 Enroll'!J$1,FALSE),'District Calculations'!$F$16+'District Calculations'!$F$25-'District Calculations'!$F$17)*Apport_218A2425,3)</f>
        <v>20.257999999999999</v>
      </c>
      <c r="Z87">
        <f>ROUND(SUM(T87:Y87)/IF(VLOOKUP($A87,EnrollData2324,'2324 Jun 24 Enroll'!M$1,FALSE)+VLOOKUP($A87,EnrollData2324,'2324 Jun 24 Enroll'!D$1,FALSE)='District Calculations'!$F$25+'District Calculations'!$F$11,VLOOKUP($A87,EnrollData2324,'2324 Jun 24 Enroll'!M$1,FALSE)+VLOOKUP($A87,EnrollData2324,'2324 Jun 24 Enroll'!D$1,FALSE),'District Calculations'!$F$25+'District Calculations'!$F$11),5)</f>
        <v>1.7780000000000001E-2</v>
      </c>
      <c r="AA87" s="6">
        <f>ROUND($J87*CIS_Base_Salary2425*VLOOKUP($A87,EnrollData2324,'2324 Jun 24 Enroll'!AH$1,FALSE),2)</f>
        <v>4262.68</v>
      </c>
      <c r="AB87" s="6">
        <f>ROUND($J87*CIS_Inc_Salary2425*(VLOOKUP($A87,EnrollData2324,'2324 Jun 24 Enroll'!AI$1,FALSE)+VLOOKUP($A87,EnrollData2324,'2324 Jun 24 Enroll'!AJ$1,FALSE)),2)-AA87</f>
        <v>157.6899999999996</v>
      </c>
      <c r="AC87" s="6" cm="1">
        <f t="array" ref="AC87">ROUND($R87*CAS_Base_Salary2425*VLOOKUP($A87,EnrollData2324,'2324 Jun 24 Enroll'!AH$1,FALSE),2)</f>
        <v>461.23</v>
      </c>
      <c r="AD87" s="6">
        <f>ROUND($R87*CAS_Inc_Salary2425*VLOOKUP($A87,EnrollData2324,'2324 Jun 24 Enroll'!AI$1,FALSE),2)-AC87</f>
        <v>17.069999999999993</v>
      </c>
      <c r="AE87" s="6">
        <f>ROUND($Z87*CLS_Base_Salary2425*VLOOKUP($A87,EnrollData2324,'2324 Jun 24 Enroll'!AH$1,FALSE),2)</f>
        <v>961.95</v>
      </c>
      <c r="AF87" s="6">
        <f>ROUND($Z87*CLS_Inc_Salary2425*VLOOKUP($A87,EnrollData2324,'2324 Jun 24 Enroll'!AI$1,FALSE),2)-AE87</f>
        <v>35.599999999999909</v>
      </c>
      <c r="AG87" cm="1">
        <f t="array" ref="AG87">ROUND(($J87+$R87)*Apport_124X2425,2)</f>
        <v>800.45</v>
      </c>
      <c r="AH87" s="69" cm="1">
        <f t="array" ref="AH87">ROUND(($J87+$R87)*Apport_621X2425*Apport_125XC2425,2)-AG87</f>
        <v>73.899999999999977</v>
      </c>
      <c r="AI87" cm="1">
        <f t="array" ref="AI87">ROUND($Z87*Apport_124X2425,2)</f>
        <v>234.7</v>
      </c>
      <c r="AJ87">
        <f t="shared" si="15"/>
        <v>124.71000000000004</v>
      </c>
      <c r="AK87">
        <f t="shared" si="16"/>
        <v>857.39</v>
      </c>
      <c r="AL87">
        <f t="shared" si="17"/>
        <v>30.6</v>
      </c>
      <c r="AM87">
        <f t="shared" si="18"/>
        <v>208.36</v>
      </c>
      <c r="AN87">
        <f t="shared" si="19"/>
        <v>6.46</v>
      </c>
      <c r="AO87">
        <f>ROUND(($J87*CIS_Inc_Salary2425*(VLOOKUP($A87,EnrollData2324,'2324 Jun 24 Enroll'!AI$1,FALSE)+VLOOKUP($A87,EnrollData2324,'2324 Jun 24 Enroll'!AJ$1,FALSE))/Apport_613Xpd)*Apport_614Xpd,2)</f>
        <v>73.67</v>
      </c>
      <c r="AP87">
        <f t="shared" si="20"/>
        <v>12.9</v>
      </c>
      <c r="AQ87">
        <f t="shared" si="28"/>
        <v>31.48</v>
      </c>
      <c r="AR87" s="6">
        <f>ROUND((VLOOKUP($A87,EnrollData2324,'2324 Jun 24 Enroll'!D$1,FALSE)*Apport_M802425+VLOOKUP($A87,EnrollData2324,'2324 Jun 24 Enroll'!M$1,FALSE)*Apport_M802425+(VLOOKUP($A87,EnrollData2324,'2324 Jun 24 Enroll'!P$1,FALSE)+VLOOKUP($A87,EnrollData2324,'2324 Jun 24 Enroll'!Q$1,FALSE)+VLOOKUP($A87,EnrollData2324,'2324 Jun 24 Enroll'!R$1,FALSE)+VLOOKUP($A87,EnrollData2324,'2324 Jun 24 Enroll'!I$1,FALSE)+VLOOKUP($A87,EnrollData2324,'2324 Jun 24 Enroll'!N$1,FALSE)+VLOOKUP($A87,EnrollData2324,'2324 Jun 24 Enroll'!O$1,FALSE)+VLOOKUP($A87,EnrollData2324,'2324 Jun 24 Enroll'!K$1,FALSE)+VLOOKUP($A87,EnrollData2324,'2324 Jun 24 Enroll'!L$1,FALSE))*Apport_M812425)/(VLOOKUP($A87,EnrollData2324,'2324 Jun 24 Enroll'!M$1,FALSE)+VLOOKUP($A87,EnrollData2324,'2324 Jun 24 Enroll'!D$1,FALSE)),2)</f>
        <v>1601.99</v>
      </c>
      <c r="AS87" s="7">
        <f t="shared" si="29"/>
        <v>9952.8299999999981</v>
      </c>
    </row>
    <row r="88" spans="1:45">
      <c r="A88" s="40" t="s">
        <v>713</v>
      </c>
      <c r="B88" s="40" t="s">
        <v>714</v>
      </c>
      <c r="C88" s="11">
        <f>ROUND((IFERROR((1/IF(VLOOKUP($A88,EnrollData2324,28,FALSE)='District Calculations'!$F$10,VLOOKUP($A88,EnrollData2324,28,FALSE),'District Calculations'!$F$10))*(1+Apport_Z315),0))+Apport_201A2425,6)</f>
        <v>7.4580999999999995E-2</v>
      </c>
      <c r="D88">
        <f>ROUND(IF(VLOOKUP($A88,EnrollData2324,'2324 Jun 24 Enroll'!D$1,FALSE)='District Calculations'!$F$11,VLOOKUP($A88,EnrollData2324,'2324 Jun 24 Enroll'!D$1,FALSE),'District Calculations'!$F$11)*C88,3)</f>
        <v>0</v>
      </c>
      <c r="E88">
        <f>ROUND(IF(VLOOKUP($A88,EnrollData2324,'2324 Jun 24 Enroll'!E$1,FALSE)='District Calculations'!$F$12,VLOOKUP($A88,EnrollData2324,'2324 Jun 24 Enroll'!E$1,FALSE),'District Calculations'!$F$12)*C88,3)</f>
        <v>60.447000000000003</v>
      </c>
      <c r="F88">
        <f>ROUND(IF(VLOOKUP($A88,EnrollData2324,'2324 Jun 24 Enroll'!F$1,FALSE)='District Calculations'!$F$13,VLOOKUP($A88,EnrollData2324,'2324 Jun 24 Enroll'!F$1,FALSE),'District Calculations'!$F$13)*Apport_222A2425,3)</f>
        <v>10.337999999999999</v>
      </c>
      <c r="G88">
        <f>ROUND(IF(VLOOKUP($A88,EnrollData2324,'2324 Jun 24 Enroll'!G$1,FALSE)='District Calculations'!$F$14,VLOOKUP($A88,EnrollData2324,'2324 Jun 24 Enroll'!G$1,FALSE),'District Calculations'!$F$14)*Apport_210A2425,3)</f>
        <v>22.92</v>
      </c>
      <c r="H88">
        <f>ROUND(IF(VLOOKUP($A88,EnrollData2324,'2324 Jun 24 Enroll'!H$1,FALSE)='District Calculations'!$F$15,VLOOKUP($A88,EnrollData2324,'2324 Jun 24 Enroll'!H$1,FALSE),'District Calculations'!$F$15)*Apport_213A2425,3)</f>
        <v>23.619</v>
      </c>
      <c r="I88">
        <f>ROUND(IF(VLOOKUP($A88,EnrollData2324,'2324 Jun 24 Enroll'!I$1,FALSE)+VLOOKUP($A88,EnrollData2324,'2324 Jun 24 Enroll'!M$1,FALSE)-VLOOKUP($A88,EnrollData2324,'2324 Jun 24 Enroll'!J$1,FALSE)='District Calculations'!$F$16+'District Calculations'!$F$25-'District Calculations'!$F$17,VLOOKUP($A88,EnrollData2324,'2324 Jun 24 Enroll'!I$1,FALSE)+VLOOKUP($A88,EnrollData2324,'2324 Jun 24 Enroll'!M$1,FALSE)-VLOOKUP($A88,EnrollData2324,'2324 Jun 24 Enroll'!J$1,FALSE),'District Calculations'!$F$16+'District Calculations'!$F$25-'District Calculations'!$F$17)*Apport_216A2425,3)</f>
        <v>59.057000000000002</v>
      </c>
      <c r="J88">
        <f>ROUND(SUM(D88:I88)/(IF(VLOOKUP($A88,EnrollData2324,'2324 Jun 24 Enroll'!M$1,FALSE)='District Calculations'!$F$25,VLOOKUP($A88,EnrollData2324,'2324 Jun 24 Enroll'!M$1,FALSE),'District Calculations'!$F$25)+IF(VLOOKUP($A88,EnrollData2324,'2324 Jun 24 Enroll'!D$1,FALSE)='District Calculations'!$F$11,VLOOKUP($A88,EnrollData2324,'2324 Jun 24 Enroll'!D$1,FALSE),'District Calculations'!$F$11)),5)</f>
        <v>5.6520000000000001E-2</v>
      </c>
      <c r="K88" s="11">
        <f t="shared" si="13"/>
        <v>4.385E-3</v>
      </c>
      <c r="L88">
        <f>ROUND(IF(VLOOKUP($A88,EnrollData2324,'2324 Jun 24 Enroll'!D$1,FALSE)='District Calculations'!$F$11,VLOOKUP($A88,EnrollData2324,'2324 Jun 24 Enroll'!D$1,FALSE),'District Calculations'!$F$11)*K88,3)</f>
        <v>0</v>
      </c>
      <c r="M88">
        <f>ROUND(IF(VLOOKUP($A88,EnrollData2324,'2324 Jun 24 Enroll'!E$1,FALSE)='District Calculations'!$F$12,VLOOKUP($A88,EnrollData2324,'2324 Jun 24 Enroll'!E$1,FALSE),'District Calculations'!$F$12)*K88,3)</f>
        <v>3.5539999999999998</v>
      </c>
      <c r="N88">
        <f>ROUND(IF(VLOOKUP($A88,EnrollData2324,'2324 Jun 24 Enroll'!F$1,FALSE)='District Calculations'!$F$13,VLOOKUP($A88,EnrollData2324,'2324 Jun 24 Enroll'!F$1,FALSE),'District Calculations'!$F$13)*Apport_223A2425,3)</f>
        <v>0.84599999999999997</v>
      </c>
      <c r="O88">
        <f>ROUND(IF(VLOOKUP($A88,EnrollData2324,'2324 Jun 24 Enroll'!G$1,FALSE)='District Calculations'!$F$14,VLOOKUP($A88,EnrollData2324,'2324 Jun 24 Enroll'!G$1,FALSE),'District Calculations'!$F$14)*Apport_211A2425,3)</f>
        <v>1.877</v>
      </c>
      <c r="P88">
        <f>ROUND(IF(VLOOKUP($A88,EnrollData2324,'2324 Jun 24 Enroll'!H$1,FALSE)='District Calculations'!$F$14,VLOOKUP($A88,EnrollData2324,'2324 Jun 24 Enroll'!H$1,FALSE),'District Calculations'!$F$14)*Apport_214A2425,3)</f>
        <v>1.875</v>
      </c>
      <c r="Q88">
        <f>ROUND(IF(VLOOKUP($A88,EnrollData2324,'2324 Jun 24 Enroll'!I$1,FALSE)+VLOOKUP($A88,EnrollData2324,'2324 Jun 24 Enroll'!M$1,FALSE)-VLOOKUP($A88,EnrollData2324,'2324 Jun 24 Enroll'!J$1,FALSE)='District Calculations'!$F$16+'District Calculations'!$F$25-'District Calculations'!$F$17,VLOOKUP($A88,EnrollData2324,'2324 Jun 24 Enroll'!I$1,FALSE)+VLOOKUP($A88,EnrollData2324,'2324 Jun 24 Enroll'!M$1,FALSE)-VLOOKUP($A88,EnrollData2324,'2324 Jun 24 Enroll'!J$1,FALSE),'District Calculations'!$F$16+'District Calculations'!$F$25-'District Calculations'!$F$17)*Apport_217A2425,3)</f>
        <v>4.7130000000000001</v>
      </c>
      <c r="R88">
        <f>ROUND(SUM(L88:Q88)/IF(VLOOKUP($A88,EnrollData2324,'2324 Jun 24 Enroll'!M$1,FALSE)+VLOOKUP($A88,EnrollData2324,'2324 Jun 24 Enroll'!D$1,FALSE)='District Calculations'!$F$25+'District Calculations'!$F$11,VLOOKUP($A88,EnrollData2324,'2324 Jun 24 Enroll'!M$1,FALSE)+VLOOKUP($A88,EnrollData2324,'2324 Jun 24 Enroll'!D$1,FALSE),'District Calculations'!$F$25+'District Calculations'!$F$11),5)</f>
        <v>4.1200000000000004E-3</v>
      </c>
      <c r="S88" s="11">
        <f t="shared" si="14"/>
        <v>1.8734299999999999E-2</v>
      </c>
      <c r="T88">
        <f>ROUND(IF(VLOOKUP($A88,EnrollData2324,'2324 Jun 24 Enroll'!D$1,FALSE)='District Calculations'!$F$11,VLOOKUP($A88,EnrollData2324,'2324 Jun 24 Enroll'!D$1,FALSE),'District Calculations'!$F$11)*S88,3)</f>
        <v>0</v>
      </c>
      <c r="U88">
        <f>ROUND(IF(VLOOKUP($A88,EnrollData2324,'2324 Jun 24 Enroll'!E$1,FALSE)='District Calculations'!$F$12,VLOOKUP($A88,EnrollData2324,'2324 Jun 24 Enroll'!E$1,FALSE),'District Calculations'!$F$12)*S88,3)</f>
        <v>15.183999999999999</v>
      </c>
      <c r="V88">
        <f>ROUND(IF(VLOOKUP($A88,EnrollData2324,'2324 Jun 24 Enroll'!F$1,FALSE)='District Calculations'!$F$13,VLOOKUP($A88,EnrollData2324,'2324 Jun 24 Enroll'!F$1,FALSE),'District Calculations'!$F$13)*Apport_224A2425,3)</f>
        <v>3.7109999999999999</v>
      </c>
      <c r="W88">
        <f>ROUND(IF(VLOOKUP($A88,EnrollData2324,'2324 Jun 24 Enroll'!G$1,FALSE)='District Calculations'!$F$14,VLOOKUP($A88,EnrollData2324,'2324 Jun 24 Enroll'!G$1,FALSE),'District Calculations'!$F$14)*Apport_212A2425,3)</f>
        <v>8.2279999999999998</v>
      </c>
      <c r="X88">
        <f>ROUND(IF(VLOOKUP($A88,EnrollData2324,'2324 Jun 24 Enroll'!H$1,FALSE)='District Calculations'!$F$14,VLOOKUP($A88,EnrollData2324,'2324 Jun 24 Enroll'!H$1,FALSE),'District Calculations'!$F$14)*Apport_215A2425,3)</f>
        <v>8.1180000000000003</v>
      </c>
      <c r="Y88">
        <f>ROUND(IF(VLOOKUP($A88,EnrollData2324,'2324 Jun 24 Enroll'!I$1,FALSE)+VLOOKUP($A88,EnrollData2324,'2324 Jun 24 Enroll'!M$1,FALSE)-VLOOKUP($A88,EnrollData2324,'2324 Jun 24 Enroll'!J$1,FALSE)='District Calculations'!$F$16+'District Calculations'!$F$25-'District Calculations'!$F$17,VLOOKUP($A88,EnrollData2324,'2324 Jun 24 Enroll'!I$1,FALSE)+VLOOKUP($A88,EnrollData2324,'2324 Jun 24 Enroll'!M$1,FALSE)-VLOOKUP($A88,EnrollData2324,'2324 Jun 24 Enroll'!J$1,FALSE),'District Calculations'!$F$16+'District Calculations'!$F$25-'District Calculations'!$F$17)*Apport_218A2425,3)</f>
        <v>20.257999999999999</v>
      </c>
      <c r="Z88">
        <f>ROUND(SUM(T88:Y88)/IF(VLOOKUP($A88,EnrollData2324,'2324 Jun 24 Enroll'!M$1,FALSE)+VLOOKUP($A88,EnrollData2324,'2324 Jun 24 Enroll'!D$1,FALSE)='District Calculations'!$F$25+'District Calculations'!$F$11,VLOOKUP($A88,EnrollData2324,'2324 Jun 24 Enroll'!M$1,FALSE)+VLOOKUP($A88,EnrollData2324,'2324 Jun 24 Enroll'!D$1,FALSE),'District Calculations'!$F$25+'District Calculations'!$F$11),5)</f>
        <v>1.7780000000000001E-2</v>
      </c>
      <c r="AA88" s="6">
        <f>ROUND($J88*CIS_Base_Salary2425*VLOOKUP($A88,EnrollData2324,'2324 Jun 24 Enroll'!AH$1,FALSE),2)</f>
        <v>4262.68</v>
      </c>
      <c r="AB88" s="6">
        <f>ROUND($J88*CIS_Inc_Salary2425*(VLOOKUP($A88,EnrollData2324,'2324 Jun 24 Enroll'!AI$1,FALSE)+VLOOKUP($A88,EnrollData2324,'2324 Jun 24 Enroll'!AJ$1,FALSE)),2)-AA88</f>
        <v>157.6899999999996</v>
      </c>
      <c r="AC88" s="6" cm="1">
        <f t="array" ref="AC88">ROUND($R88*CAS_Base_Salary2425*VLOOKUP($A88,EnrollData2324,'2324 Jun 24 Enroll'!AH$1,FALSE),2)</f>
        <v>461.23</v>
      </c>
      <c r="AD88" s="6">
        <f>ROUND($R88*CAS_Inc_Salary2425*VLOOKUP($A88,EnrollData2324,'2324 Jun 24 Enroll'!AI$1,FALSE),2)-AC88</f>
        <v>17.069999999999993</v>
      </c>
      <c r="AE88" s="6">
        <f>ROUND($Z88*CLS_Base_Salary2425*VLOOKUP($A88,EnrollData2324,'2324 Jun 24 Enroll'!AH$1,FALSE),2)</f>
        <v>961.95</v>
      </c>
      <c r="AF88" s="6">
        <f>ROUND($Z88*CLS_Inc_Salary2425*VLOOKUP($A88,EnrollData2324,'2324 Jun 24 Enroll'!AI$1,FALSE),2)-AE88</f>
        <v>35.599999999999909</v>
      </c>
      <c r="AG88" cm="1">
        <f t="array" ref="AG88">ROUND(($J88+$R88)*Apport_124X2425,2)</f>
        <v>800.45</v>
      </c>
      <c r="AH88" s="69" cm="1">
        <f t="array" ref="AH88">ROUND(($J88+$R88)*Apport_621X2425*Apport_125XC2425,2)-AG88</f>
        <v>73.899999999999977</v>
      </c>
      <c r="AI88" cm="1">
        <f t="array" ref="AI88">ROUND($Z88*Apport_124X2425,2)</f>
        <v>234.7</v>
      </c>
      <c r="AJ88">
        <f t="shared" si="15"/>
        <v>124.71000000000004</v>
      </c>
      <c r="AK88">
        <f t="shared" si="16"/>
        <v>857.39</v>
      </c>
      <c r="AL88">
        <f t="shared" si="17"/>
        <v>30.6</v>
      </c>
      <c r="AM88">
        <f t="shared" si="18"/>
        <v>208.36</v>
      </c>
      <c r="AN88">
        <f t="shared" si="19"/>
        <v>6.46</v>
      </c>
      <c r="AO88">
        <f>ROUND(($J88*CIS_Inc_Salary2425*(VLOOKUP($A88,EnrollData2324,'2324 Jun 24 Enroll'!AI$1,FALSE)+VLOOKUP($A88,EnrollData2324,'2324 Jun 24 Enroll'!AJ$1,FALSE))/Apport_613Xpd)*Apport_614Xpd,2)</f>
        <v>73.67</v>
      </c>
      <c r="AP88">
        <f t="shared" si="20"/>
        <v>12.9</v>
      </c>
      <c r="AQ88">
        <f t="shared" si="28"/>
        <v>31.48</v>
      </c>
      <c r="AR88" s="6">
        <f>ROUND((VLOOKUP($A88,EnrollData2324,'2324 Jun 24 Enroll'!D$1,FALSE)*Apport_M802425+VLOOKUP($A88,EnrollData2324,'2324 Jun 24 Enroll'!M$1,FALSE)*Apport_M802425+(VLOOKUP($A88,EnrollData2324,'2324 Jun 24 Enroll'!P$1,FALSE)+VLOOKUP($A88,EnrollData2324,'2324 Jun 24 Enroll'!Q$1,FALSE)+VLOOKUP($A88,EnrollData2324,'2324 Jun 24 Enroll'!R$1,FALSE)+VLOOKUP($A88,EnrollData2324,'2324 Jun 24 Enroll'!I$1,FALSE)+VLOOKUP($A88,EnrollData2324,'2324 Jun 24 Enroll'!N$1,FALSE)+VLOOKUP($A88,EnrollData2324,'2324 Jun 24 Enroll'!O$1,FALSE)+VLOOKUP($A88,EnrollData2324,'2324 Jun 24 Enroll'!K$1,FALSE)+VLOOKUP($A88,EnrollData2324,'2324 Jun 24 Enroll'!L$1,FALSE))*Apport_M812425)/(VLOOKUP($A88,EnrollData2324,'2324 Jun 24 Enroll'!M$1,FALSE)+VLOOKUP($A88,EnrollData2324,'2324 Jun 24 Enroll'!D$1,FALSE)),2)</f>
        <v>1599.88</v>
      </c>
      <c r="AS88" s="7">
        <f t="shared" si="29"/>
        <v>9950.7199999999975</v>
      </c>
    </row>
    <row r="89" spans="1:45">
      <c r="A89" s="40" t="s">
        <v>855</v>
      </c>
      <c r="B89" s="40" t="s">
        <v>856</v>
      </c>
      <c r="C89" s="11">
        <f>ROUND((IFERROR((1/IF(VLOOKUP($A89,EnrollData2324,28,FALSE)='District Calculations'!$F$10,VLOOKUP($A89,EnrollData2324,28,FALSE),'District Calculations'!$F$10))*(1+Apport_Z315),0))+Apport_201A2425,6)</f>
        <v>7.4580999999999995E-2</v>
      </c>
      <c r="D89">
        <f>ROUND(IF(VLOOKUP($A89,EnrollData2324,'2324 Jun 24 Enroll'!D$1,FALSE)='District Calculations'!$F$11,VLOOKUP($A89,EnrollData2324,'2324 Jun 24 Enroll'!D$1,FALSE),'District Calculations'!$F$11)*C89,3)</f>
        <v>0</v>
      </c>
      <c r="E89">
        <f>ROUND(IF(VLOOKUP($A89,EnrollData2324,'2324 Jun 24 Enroll'!E$1,FALSE)='District Calculations'!$F$12,VLOOKUP($A89,EnrollData2324,'2324 Jun 24 Enroll'!E$1,FALSE),'District Calculations'!$F$12)*C89,3)</f>
        <v>60.447000000000003</v>
      </c>
      <c r="F89">
        <f>ROUND(IF(VLOOKUP($A89,EnrollData2324,'2324 Jun 24 Enroll'!F$1,FALSE)='District Calculations'!$F$13,VLOOKUP($A89,EnrollData2324,'2324 Jun 24 Enroll'!F$1,FALSE),'District Calculations'!$F$13)*Apport_222A2425,3)</f>
        <v>10.337999999999999</v>
      </c>
      <c r="G89">
        <f>ROUND(IF(VLOOKUP($A89,EnrollData2324,'2324 Jun 24 Enroll'!G$1,FALSE)='District Calculations'!$F$14,VLOOKUP($A89,EnrollData2324,'2324 Jun 24 Enroll'!G$1,FALSE),'District Calculations'!$F$14)*Apport_210A2425,3)</f>
        <v>22.92</v>
      </c>
      <c r="H89">
        <f>ROUND(IF(VLOOKUP($A89,EnrollData2324,'2324 Jun 24 Enroll'!H$1,FALSE)='District Calculations'!$F$15,VLOOKUP($A89,EnrollData2324,'2324 Jun 24 Enroll'!H$1,FALSE),'District Calculations'!$F$15)*Apport_213A2425,3)</f>
        <v>23.619</v>
      </c>
      <c r="I89">
        <f>ROUND(IF(VLOOKUP($A89,EnrollData2324,'2324 Jun 24 Enroll'!I$1,FALSE)+VLOOKUP($A89,EnrollData2324,'2324 Jun 24 Enroll'!M$1,FALSE)-VLOOKUP($A89,EnrollData2324,'2324 Jun 24 Enroll'!J$1,FALSE)='District Calculations'!$F$16+'District Calculations'!$F$25-'District Calculations'!$F$17,VLOOKUP($A89,EnrollData2324,'2324 Jun 24 Enroll'!I$1,FALSE)+VLOOKUP($A89,EnrollData2324,'2324 Jun 24 Enroll'!M$1,FALSE)-VLOOKUP($A89,EnrollData2324,'2324 Jun 24 Enroll'!J$1,FALSE),'District Calculations'!$F$16+'District Calculations'!$F$25-'District Calculations'!$F$17)*Apport_216A2425,3)</f>
        <v>59.057000000000002</v>
      </c>
      <c r="J89">
        <f>ROUND(SUM(D89:I89)/(IF(VLOOKUP($A89,EnrollData2324,'2324 Jun 24 Enroll'!M$1,FALSE)='District Calculations'!$F$25,VLOOKUP($A89,EnrollData2324,'2324 Jun 24 Enroll'!M$1,FALSE),'District Calculations'!$F$25)+IF(VLOOKUP($A89,EnrollData2324,'2324 Jun 24 Enroll'!D$1,FALSE)='District Calculations'!$F$11,VLOOKUP($A89,EnrollData2324,'2324 Jun 24 Enroll'!D$1,FALSE),'District Calculations'!$F$11)),5)</f>
        <v>5.6520000000000001E-2</v>
      </c>
      <c r="K89" s="11">
        <f t="shared" si="13"/>
        <v>4.385E-3</v>
      </c>
      <c r="L89">
        <f>ROUND(IF(VLOOKUP($A89,EnrollData2324,'2324 Jun 24 Enroll'!D$1,FALSE)='District Calculations'!$F$11,VLOOKUP($A89,EnrollData2324,'2324 Jun 24 Enroll'!D$1,FALSE),'District Calculations'!$F$11)*K89,3)</f>
        <v>0</v>
      </c>
      <c r="M89">
        <f>ROUND(IF(VLOOKUP($A89,EnrollData2324,'2324 Jun 24 Enroll'!E$1,FALSE)='District Calculations'!$F$12,VLOOKUP($A89,EnrollData2324,'2324 Jun 24 Enroll'!E$1,FALSE),'District Calculations'!$F$12)*K89,3)</f>
        <v>3.5539999999999998</v>
      </c>
      <c r="N89">
        <f>ROUND(IF(VLOOKUP($A89,EnrollData2324,'2324 Jun 24 Enroll'!F$1,FALSE)='District Calculations'!$F$13,VLOOKUP($A89,EnrollData2324,'2324 Jun 24 Enroll'!F$1,FALSE),'District Calculations'!$F$13)*Apport_223A2425,3)</f>
        <v>0.84599999999999997</v>
      </c>
      <c r="O89">
        <f>ROUND(IF(VLOOKUP($A89,EnrollData2324,'2324 Jun 24 Enroll'!G$1,FALSE)='District Calculations'!$F$14,VLOOKUP($A89,EnrollData2324,'2324 Jun 24 Enroll'!G$1,FALSE),'District Calculations'!$F$14)*Apport_211A2425,3)</f>
        <v>1.877</v>
      </c>
      <c r="P89">
        <f>ROUND(IF(VLOOKUP($A89,EnrollData2324,'2324 Jun 24 Enroll'!H$1,FALSE)='District Calculations'!$F$14,VLOOKUP($A89,EnrollData2324,'2324 Jun 24 Enroll'!H$1,FALSE),'District Calculations'!$F$14)*Apport_214A2425,3)</f>
        <v>1.875</v>
      </c>
      <c r="Q89">
        <f>ROUND(IF(VLOOKUP($A89,EnrollData2324,'2324 Jun 24 Enroll'!I$1,FALSE)+VLOOKUP($A89,EnrollData2324,'2324 Jun 24 Enroll'!M$1,FALSE)-VLOOKUP($A89,EnrollData2324,'2324 Jun 24 Enroll'!J$1,FALSE)='District Calculations'!$F$16+'District Calculations'!$F$25-'District Calculations'!$F$17,VLOOKUP($A89,EnrollData2324,'2324 Jun 24 Enroll'!I$1,FALSE)+VLOOKUP($A89,EnrollData2324,'2324 Jun 24 Enroll'!M$1,FALSE)-VLOOKUP($A89,EnrollData2324,'2324 Jun 24 Enroll'!J$1,FALSE),'District Calculations'!$F$16+'District Calculations'!$F$25-'District Calculations'!$F$17)*Apport_217A2425,3)</f>
        <v>4.7130000000000001</v>
      </c>
      <c r="R89">
        <f>ROUND(SUM(L89:Q89)/IF(VLOOKUP($A89,EnrollData2324,'2324 Jun 24 Enroll'!M$1,FALSE)+VLOOKUP($A89,EnrollData2324,'2324 Jun 24 Enroll'!D$1,FALSE)='District Calculations'!$F$25+'District Calculations'!$F$11,VLOOKUP($A89,EnrollData2324,'2324 Jun 24 Enroll'!M$1,FALSE)+VLOOKUP($A89,EnrollData2324,'2324 Jun 24 Enroll'!D$1,FALSE),'District Calculations'!$F$25+'District Calculations'!$F$11),5)</f>
        <v>4.1200000000000004E-3</v>
      </c>
      <c r="S89" s="11">
        <f t="shared" si="14"/>
        <v>1.8734299999999999E-2</v>
      </c>
      <c r="T89">
        <f>ROUND(IF(VLOOKUP($A89,EnrollData2324,'2324 Jun 24 Enroll'!D$1,FALSE)='District Calculations'!$F$11,VLOOKUP($A89,EnrollData2324,'2324 Jun 24 Enroll'!D$1,FALSE),'District Calculations'!$F$11)*S89,3)</f>
        <v>0</v>
      </c>
      <c r="U89">
        <f>ROUND(IF(VLOOKUP($A89,EnrollData2324,'2324 Jun 24 Enroll'!E$1,FALSE)='District Calculations'!$F$12,VLOOKUP($A89,EnrollData2324,'2324 Jun 24 Enroll'!E$1,FALSE),'District Calculations'!$F$12)*S89,3)</f>
        <v>15.183999999999999</v>
      </c>
      <c r="V89">
        <f>ROUND(IF(VLOOKUP($A89,EnrollData2324,'2324 Jun 24 Enroll'!F$1,FALSE)='District Calculations'!$F$13,VLOOKUP($A89,EnrollData2324,'2324 Jun 24 Enroll'!F$1,FALSE),'District Calculations'!$F$13)*Apport_224A2425,3)</f>
        <v>3.7109999999999999</v>
      </c>
      <c r="W89">
        <f>ROUND(IF(VLOOKUP($A89,EnrollData2324,'2324 Jun 24 Enroll'!G$1,FALSE)='District Calculations'!$F$14,VLOOKUP($A89,EnrollData2324,'2324 Jun 24 Enroll'!G$1,FALSE),'District Calculations'!$F$14)*Apport_212A2425,3)</f>
        <v>8.2279999999999998</v>
      </c>
      <c r="X89">
        <f>ROUND(IF(VLOOKUP($A89,EnrollData2324,'2324 Jun 24 Enroll'!H$1,FALSE)='District Calculations'!$F$14,VLOOKUP($A89,EnrollData2324,'2324 Jun 24 Enroll'!H$1,FALSE),'District Calculations'!$F$14)*Apport_215A2425,3)</f>
        <v>8.1180000000000003</v>
      </c>
      <c r="Y89">
        <f>ROUND(IF(VLOOKUP($A89,EnrollData2324,'2324 Jun 24 Enroll'!I$1,FALSE)+VLOOKUP($A89,EnrollData2324,'2324 Jun 24 Enroll'!M$1,FALSE)-VLOOKUP($A89,EnrollData2324,'2324 Jun 24 Enroll'!J$1,FALSE)='District Calculations'!$F$16+'District Calculations'!$F$25-'District Calculations'!$F$17,VLOOKUP($A89,EnrollData2324,'2324 Jun 24 Enroll'!I$1,FALSE)+VLOOKUP($A89,EnrollData2324,'2324 Jun 24 Enroll'!M$1,FALSE)-VLOOKUP($A89,EnrollData2324,'2324 Jun 24 Enroll'!J$1,FALSE),'District Calculations'!$F$16+'District Calculations'!$F$25-'District Calculations'!$F$17)*Apport_218A2425,3)</f>
        <v>20.257999999999999</v>
      </c>
      <c r="Z89">
        <f>ROUND(SUM(T89:Y89)/IF(VLOOKUP($A89,EnrollData2324,'2324 Jun 24 Enroll'!M$1,FALSE)+VLOOKUP($A89,EnrollData2324,'2324 Jun 24 Enroll'!D$1,FALSE)='District Calculations'!$F$25+'District Calculations'!$F$11,VLOOKUP($A89,EnrollData2324,'2324 Jun 24 Enroll'!M$1,FALSE)+VLOOKUP($A89,EnrollData2324,'2324 Jun 24 Enroll'!D$1,FALSE),'District Calculations'!$F$25+'District Calculations'!$F$11),5)</f>
        <v>1.7780000000000001E-2</v>
      </c>
      <c r="AA89" s="6">
        <f>ROUND($J89*CIS_Base_Salary2425*VLOOKUP($A89,EnrollData2324,'2324 Jun 24 Enroll'!AH$1,FALSE),2)</f>
        <v>4262.68</v>
      </c>
      <c r="AB89" s="6">
        <f>ROUND($J89*CIS_Inc_Salary2425*(VLOOKUP($A89,EnrollData2324,'2324 Jun 24 Enroll'!AI$1,FALSE)+VLOOKUP($A89,EnrollData2324,'2324 Jun 24 Enroll'!AJ$1,FALSE)),2)-AA89</f>
        <v>157.6899999999996</v>
      </c>
      <c r="AC89" s="6" cm="1">
        <f t="array" ref="AC89">ROUND($R89*CAS_Base_Salary2425*VLOOKUP($A89,EnrollData2324,'2324 Jun 24 Enroll'!AH$1,FALSE),2)</f>
        <v>461.23</v>
      </c>
      <c r="AD89" s="6">
        <f>ROUND($R89*CAS_Inc_Salary2425*VLOOKUP($A89,EnrollData2324,'2324 Jun 24 Enroll'!AI$1,FALSE),2)-AC89</f>
        <v>17.069999999999993</v>
      </c>
      <c r="AE89" s="6">
        <f>ROUND($Z89*CLS_Base_Salary2425*VLOOKUP($A89,EnrollData2324,'2324 Jun 24 Enroll'!AH$1,FALSE),2)</f>
        <v>961.95</v>
      </c>
      <c r="AF89" s="6">
        <f>ROUND($Z89*CLS_Inc_Salary2425*VLOOKUP($A89,EnrollData2324,'2324 Jun 24 Enroll'!AI$1,FALSE),2)-AE89</f>
        <v>35.599999999999909</v>
      </c>
      <c r="AG89" cm="1">
        <f t="array" ref="AG89">ROUND(($J89+$R89)*Apport_124X2425,2)</f>
        <v>800.45</v>
      </c>
      <c r="AH89" s="69" cm="1">
        <f t="array" ref="AH89">ROUND(($J89+$R89)*Apport_621X2425*Apport_125XC2425,2)-AG89</f>
        <v>73.899999999999977</v>
      </c>
      <c r="AI89" cm="1">
        <f t="array" ref="AI89">ROUND($Z89*Apport_124X2425,2)</f>
        <v>234.7</v>
      </c>
      <c r="AJ89">
        <f t="shared" si="15"/>
        <v>124.71000000000004</v>
      </c>
      <c r="AK89">
        <f t="shared" si="16"/>
        <v>857.39</v>
      </c>
      <c r="AL89">
        <f t="shared" si="17"/>
        <v>30.6</v>
      </c>
      <c r="AM89">
        <f t="shared" si="18"/>
        <v>208.36</v>
      </c>
      <c r="AN89">
        <f t="shared" si="19"/>
        <v>6.46</v>
      </c>
      <c r="AO89">
        <f>ROUND(($J89*CIS_Inc_Salary2425*(VLOOKUP($A89,EnrollData2324,'2324 Jun 24 Enroll'!AI$1,FALSE)+VLOOKUP($A89,EnrollData2324,'2324 Jun 24 Enroll'!AJ$1,FALSE))/Apport_613Xpd)*Apport_614Xpd,2)</f>
        <v>73.67</v>
      </c>
      <c r="AP89">
        <f t="shared" si="20"/>
        <v>12.9</v>
      </c>
      <c r="AQ89">
        <f t="shared" si="28"/>
        <v>31.48</v>
      </c>
      <c r="AR89" s="6">
        <f>ROUND((VLOOKUP($A89,EnrollData2324,'2324 Jun 24 Enroll'!D$1,FALSE)*Apport_M802425+VLOOKUP($A89,EnrollData2324,'2324 Jun 24 Enroll'!M$1,FALSE)*Apport_M802425+(VLOOKUP($A89,EnrollData2324,'2324 Jun 24 Enroll'!P$1,FALSE)+VLOOKUP($A89,EnrollData2324,'2324 Jun 24 Enroll'!Q$1,FALSE)+VLOOKUP($A89,EnrollData2324,'2324 Jun 24 Enroll'!R$1,FALSE)+VLOOKUP($A89,EnrollData2324,'2324 Jun 24 Enroll'!I$1,FALSE)+VLOOKUP($A89,EnrollData2324,'2324 Jun 24 Enroll'!N$1,FALSE)+VLOOKUP($A89,EnrollData2324,'2324 Jun 24 Enroll'!O$1,FALSE)+VLOOKUP($A89,EnrollData2324,'2324 Jun 24 Enroll'!K$1,FALSE)+VLOOKUP($A89,EnrollData2324,'2324 Jun 24 Enroll'!L$1,FALSE))*Apport_M812425)/(VLOOKUP($A89,EnrollData2324,'2324 Jun 24 Enroll'!M$1,FALSE)+VLOOKUP($A89,EnrollData2324,'2324 Jun 24 Enroll'!D$1,FALSE)),2)</f>
        <v>1599.99</v>
      </c>
      <c r="AS89" s="7">
        <f t="shared" si="29"/>
        <v>9950.8299999999981</v>
      </c>
    </row>
    <row r="90" spans="1:45">
      <c r="A90" s="40" t="s">
        <v>408</v>
      </c>
      <c r="B90" s="40" t="s">
        <v>409</v>
      </c>
      <c r="C90" s="11">
        <f>ROUND((IFERROR((1/IF(VLOOKUP($A90,EnrollData2324,28,FALSE)='District Calculations'!$F$10,VLOOKUP($A90,EnrollData2324,28,FALSE),'District Calculations'!$F$10))*(1+Apport_Z315),0))+Apport_201A2425,6)</f>
        <v>7.4580999999999995E-2</v>
      </c>
      <c r="D90">
        <f>ROUND(IF(VLOOKUP($A90,EnrollData2324,'2324 Jun 24 Enroll'!D$1,FALSE)='District Calculations'!$F$11,VLOOKUP($A90,EnrollData2324,'2324 Jun 24 Enroll'!D$1,FALSE),'District Calculations'!$F$11)*C90,3)</f>
        <v>0</v>
      </c>
      <c r="E90">
        <f>ROUND(IF(VLOOKUP($A90,EnrollData2324,'2324 Jun 24 Enroll'!E$1,FALSE)='District Calculations'!$F$12,VLOOKUP($A90,EnrollData2324,'2324 Jun 24 Enroll'!E$1,FALSE),'District Calculations'!$F$12)*C90,3)</f>
        <v>60.447000000000003</v>
      </c>
      <c r="F90">
        <f>ROUND(IF(VLOOKUP($A90,EnrollData2324,'2324 Jun 24 Enroll'!F$1,FALSE)='District Calculations'!$F$13,VLOOKUP($A90,EnrollData2324,'2324 Jun 24 Enroll'!F$1,FALSE),'District Calculations'!$F$13)*Apport_222A2425,3)</f>
        <v>10.337999999999999</v>
      </c>
      <c r="G90">
        <f>ROUND(IF(VLOOKUP($A90,EnrollData2324,'2324 Jun 24 Enroll'!G$1,FALSE)='District Calculations'!$F$14,VLOOKUP($A90,EnrollData2324,'2324 Jun 24 Enroll'!G$1,FALSE),'District Calculations'!$F$14)*Apport_210A2425,3)</f>
        <v>22.92</v>
      </c>
      <c r="H90">
        <f>ROUND(IF(VLOOKUP($A90,EnrollData2324,'2324 Jun 24 Enroll'!H$1,FALSE)='District Calculations'!$F$15,VLOOKUP($A90,EnrollData2324,'2324 Jun 24 Enroll'!H$1,FALSE),'District Calculations'!$F$15)*Apport_213A2425,3)</f>
        <v>23.619</v>
      </c>
      <c r="I90">
        <f>ROUND(IF(VLOOKUP($A90,EnrollData2324,'2324 Jun 24 Enroll'!I$1,FALSE)+VLOOKUP($A90,EnrollData2324,'2324 Jun 24 Enroll'!M$1,FALSE)-VLOOKUP($A90,EnrollData2324,'2324 Jun 24 Enroll'!J$1,FALSE)='District Calculations'!$F$16+'District Calculations'!$F$25-'District Calculations'!$F$17,VLOOKUP($A90,EnrollData2324,'2324 Jun 24 Enroll'!I$1,FALSE)+VLOOKUP($A90,EnrollData2324,'2324 Jun 24 Enroll'!M$1,FALSE)-VLOOKUP($A90,EnrollData2324,'2324 Jun 24 Enroll'!J$1,FALSE),'District Calculations'!$F$16+'District Calculations'!$F$25-'District Calculations'!$F$17)*Apport_216A2425,3)</f>
        <v>59.057000000000002</v>
      </c>
      <c r="J90">
        <f>ROUND(SUM(D90:I90)/(IF(VLOOKUP($A90,EnrollData2324,'2324 Jun 24 Enroll'!M$1,FALSE)='District Calculations'!$F$25,VLOOKUP($A90,EnrollData2324,'2324 Jun 24 Enroll'!M$1,FALSE),'District Calculations'!$F$25)+IF(VLOOKUP($A90,EnrollData2324,'2324 Jun 24 Enroll'!D$1,FALSE)='District Calculations'!$F$11,VLOOKUP($A90,EnrollData2324,'2324 Jun 24 Enroll'!D$1,FALSE),'District Calculations'!$F$11)),5)</f>
        <v>5.6520000000000001E-2</v>
      </c>
      <c r="K90" s="11">
        <f t="shared" si="13"/>
        <v>4.385E-3</v>
      </c>
      <c r="L90">
        <f>ROUND(IF(VLOOKUP($A90,EnrollData2324,'2324 Jun 24 Enroll'!D$1,FALSE)='District Calculations'!$F$11,VLOOKUP($A90,EnrollData2324,'2324 Jun 24 Enroll'!D$1,FALSE),'District Calculations'!$F$11)*K90,3)</f>
        <v>0</v>
      </c>
      <c r="M90">
        <f>ROUND(IF(VLOOKUP($A90,EnrollData2324,'2324 Jun 24 Enroll'!E$1,FALSE)='District Calculations'!$F$12,VLOOKUP($A90,EnrollData2324,'2324 Jun 24 Enroll'!E$1,FALSE),'District Calculations'!$F$12)*K90,3)</f>
        <v>3.5539999999999998</v>
      </c>
      <c r="N90">
        <f>ROUND(IF(VLOOKUP($A90,EnrollData2324,'2324 Jun 24 Enroll'!F$1,FALSE)='District Calculations'!$F$13,VLOOKUP($A90,EnrollData2324,'2324 Jun 24 Enroll'!F$1,FALSE),'District Calculations'!$F$13)*Apport_223A2425,3)</f>
        <v>0.84599999999999997</v>
      </c>
      <c r="O90">
        <f>ROUND(IF(VLOOKUP($A90,EnrollData2324,'2324 Jun 24 Enroll'!G$1,FALSE)='District Calculations'!$F$14,VLOOKUP($A90,EnrollData2324,'2324 Jun 24 Enroll'!G$1,FALSE),'District Calculations'!$F$14)*Apport_211A2425,3)</f>
        <v>1.877</v>
      </c>
      <c r="P90">
        <f>ROUND(IF(VLOOKUP($A90,EnrollData2324,'2324 Jun 24 Enroll'!H$1,FALSE)='District Calculations'!$F$14,VLOOKUP($A90,EnrollData2324,'2324 Jun 24 Enroll'!H$1,FALSE),'District Calculations'!$F$14)*Apport_214A2425,3)</f>
        <v>1.875</v>
      </c>
      <c r="Q90">
        <f>ROUND(IF(VLOOKUP($A90,EnrollData2324,'2324 Jun 24 Enroll'!I$1,FALSE)+VLOOKUP($A90,EnrollData2324,'2324 Jun 24 Enroll'!M$1,FALSE)-VLOOKUP($A90,EnrollData2324,'2324 Jun 24 Enroll'!J$1,FALSE)='District Calculations'!$F$16+'District Calculations'!$F$25-'District Calculations'!$F$17,VLOOKUP($A90,EnrollData2324,'2324 Jun 24 Enroll'!I$1,FALSE)+VLOOKUP($A90,EnrollData2324,'2324 Jun 24 Enroll'!M$1,FALSE)-VLOOKUP($A90,EnrollData2324,'2324 Jun 24 Enroll'!J$1,FALSE),'District Calculations'!$F$16+'District Calculations'!$F$25-'District Calculations'!$F$17)*Apport_217A2425,3)</f>
        <v>4.7130000000000001</v>
      </c>
      <c r="R90">
        <f>ROUND(SUM(L90:Q90)/IF(VLOOKUP($A90,EnrollData2324,'2324 Jun 24 Enroll'!M$1,FALSE)+VLOOKUP($A90,EnrollData2324,'2324 Jun 24 Enroll'!D$1,FALSE)='District Calculations'!$F$25+'District Calculations'!$F$11,VLOOKUP($A90,EnrollData2324,'2324 Jun 24 Enroll'!M$1,FALSE)+VLOOKUP($A90,EnrollData2324,'2324 Jun 24 Enroll'!D$1,FALSE),'District Calculations'!$F$25+'District Calculations'!$F$11),5)</f>
        <v>4.1200000000000004E-3</v>
      </c>
      <c r="S90" s="11">
        <f t="shared" si="14"/>
        <v>1.8734299999999999E-2</v>
      </c>
      <c r="T90">
        <f>ROUND(IF(VLOOKUP($A90,EnrollData2324,'2324 Jun 24 Enroll'!D$1,FALSE)='District Calculations'!$F$11,VLOOKUP($A90,EnrollData2324,'2324 Jun 24 Enroll'!D$1,FALSE),'District Calculations'!$F$11)*S90,3)</f>
        <v>0</v>
      </c>
      <c r="U90">
        <f>ROUND(IF(VLOOKUP($A90,EnrollData2324,'2324 Jun 24 Enroll'!E$1,FALSE)='District Calculations'!$F$12,VLOOKUP($A90,EnrollData2324,'2324 Jun 24 Enroll'!E$1,FALSE),'District Calculations'!$F$12)*S90,3)</f>
        <v>15.183999999999999</v>
      </c>
      <c r="V90">
        <f>ROUND(IF(VLOOKUP($A90,EnrollData2324,'2324 Jun 24 Enroll'!F$1,FALSE)='District Calculations'!$F$13,VLOOKUP($A90,EnrollData2324,'2324 Jun 24 Enroll'!F$1,FALSE),'District Calculations'!$F$13)*Apport_224A2425,3)</f>
        <v>3.7109999999999999</v>
      </c>
      <c r="W90">
        <f>ROUND(IF(VLOOKUP($A90,EnrollData2324,'2324 Jun 24 Enroll'!G$1,FALSE)='District Calculations'!$F$14,VLOOKUP($A90,EnrollData2324,'2324 Jun 24 Enroll'!G$1,FALSE),'District Calculations'!$F$14)*Apport_212A2425,3)</f>
        <v>8.2279999999999998</v>
      </c>
      <c r="X90">
        <f>ROUND(IF(VLOOKUP($A90,EnrollData2324,'2324 Jun 24 Enroll'!H$1,FALSE)='District Calculations'!$F$14,VLOOKUP($A90,EnrollData2324,'2324 Jun 24 Enroll'!H$1,FALSE),'District Calculations'!$F$14)*Apport_215A2425,3)</f>
        <v>8.1180000000000003</v>
      </c>
      <c r="Y90">
        <f>ROUND(IF(VLOOKUP($A90,EnrollData2324,'2324 Jun 24 Enroll'!I$1,FALSE)+VLOOKUP($A90,EnrollData2324,'2324 Jun 24 Enroll'!M$1,FALSE)-VLOOKUP($A90,EnrollData2324,'2324 Jun 24 Enroll'!J$1,FALSE)='District Calculations'!$F$16+'District Calculations'!$F$25-'District Calculations'!$F$17,VLOOKUP($A90,EnrollData2324,'2324 Jun 24 Enroll'!I$1,FALSE)+VLOOKUP($A90,EnrollData2324,'2324 Jun 24 Enroll'!M$1,FALSE)-VLOOKUP($A90,EnrollData2324,'2324 Jun 24 Enroll'!J$1,FALSE),'District Calculations'!$F$16+'District Calculations'!$F$25-'District Calculations'!$F$17)*Apport_218A2425,3)</f>
        <v>20.257999999999999</v>
      </c>
      <c r="Z90">
        <f>ROUND(SUM(T90:Y90)/IF(VLOOKUP($A90,EnrollData2324,'2324 Jun 24 Enroll'!M$1,FALSE)+VLOOKUP($A90,EnrollData2324,'2324 Jun 24 Enroll'!D$1,FALSE)='District Calculations'!$F$25+'District Calculations'!$F$11,VLOOKUP($A90,EnrollData2324,'2324 Jun 24 Enroll'!M$1,FALSE)+VLOOKUP($A90,EnrollData2324,'2324 Jun 24 Enroll'!D$1,FALSE),'District Calculations'!$F$25+'District Calculations'!$F$11),5)</f>
        <v>1.7780000000000001E-2</v>
      </c>
      <c r="AA90" s="6">
        <f>ROUND($J90*CIS_Base_Salary2425*VLOOKUP($A90,EnrollData2324,'2324 Jun 24 Enroll'!AH$1,FALSE),2)</f>
        <v>4262.68</v>
      </c>
      <c r="AB90" s="6">
        <f>ROUND($J90*CIS_Inc_Salary2425*(VLOOKUP($A90,EnrollData2324,'2324 Jun 24 Enroll'!AI$1,FALSE)+VLOOKUP($A90,EnrollData2324,'2324 Jun 24 Enroll'!AJ$1,FALSE)),2)-AA90</f>
        <v>157.6899999999996</v>
      </c>
      <c r="AC90" s="6" cm="1">
        <f t="array" ref="AC90">ROUND($R90*CAS_Base_Salary2425*VLOOKUP($A90,EnrollData2324,'2324 Jun 24 Enroll'!AH$1,FALSE),2)</f>
        <v>461.23</v>
      </c>
      <c r="AD90" s="6">
        <f>ROUND($R90*CAS_Inc_Salary2425*VLOOKUP($A90,EnrollData2324,'2324 Jun 24 Enroll'!AI$1,FALSE),2)-AC90</f>
        <v>17.069999999999993</v>
      </c>
      <c r="AE90" s="6">
        <f>ROUND($Z90*CLS_Base_Salary2425*VLOOKUP($A90,EnrollData2324,'2324 Jun 24 Enroll'!AH$1,FALSE),2)</f>
        <v>961.95</v>
      </c>
      <c r="AF90" s="6">
        <f>ROUND($Z90*CLS_Inc_Salary2425*VLOOKUP($A90,EnrollData2324,'2324 Jun 24 Enroll'!AI$1,FALSE),2)-AE90</f>
        <v>35.599999999999909</v>
      </c>
      <c r="AG90" cm="1">
        <f t="array" ref="AG90">ROUND(($J90+$R90)*Apport_124X2425,2)</f>
        <v>800.45</v>
      </c>
      <c r="AH90" s="69" cm="1">
        <f t="array" ref="AH90">ROUND(($J90+$R90)*Apport_621X2425*Apport_125XC2425,2)-AG90</f>
        <v>73.899999999999977</v>
      </c>
      <c r="AI90" cm="1">
        <f t="array" ref="AI90">ROUND($Z90*Apport_124X2425,2)</f>
        <v>234.7</v>
      </c>
      <c r="AJ90">
        <f t="shared" si="15"/>
        <v>124.71000000000004</v>
      </c>
      <c r="AK90">
        <f t="shared" si="16"/>
        <v>857.39</v>
      </c>
      <c r="AL90">
        <f t="shared" si="17"/>
        <v>30.6</v>
      </c>
      <c r="AM90">
        <f t="shared" si="18"/>
        <v>208.36</v>
      </c>
      <c r="AN90">
        <f t="shared" si="19"/>
        <v>6.46</v>
      </c>
      <c r="AO90">
        <f>ROUND(($J90*CIS_Inc_Salary2425*(VLOOKUP($A90,EnrollData2324,'2324 Jun 24 Enroll'!AI$1,FALSE)+VLOOKUP($A90,EnrollData2324,'2324 Jun 24 Enroll'!AJ$1,FALSE))/Apport_613Xpd)*Apport_614Xpd,2)</f>
        <v>73.67</v>
      </c>
      <c r="AP90">
        <f t="shared" si="20"/>
        <v>12.9</v>
      </c>
      <c r="AQ90">
        <f t="shared" si="28"/>
        <v>31.48</v>
      </c>
      <c r="AR90" s="6">
        <f>ROUND((VLOOKUP($A90,EnrollData2324,'2324 Jun 24 Enroll'!D$1,FALSE)*Apport_M802425+VLOOKUP($A90,EnrollData2324,'2324 Jun 24 Enroll'!M$1,FALSE)*Apport_M802425+(VLOOKUP($A90,EnrollData2324,'2324 Jun 24 Enroll'!P$1,FALSE)+VLOOKUP($A90,EnrollData2324,'2324 Jun 24 Enroll'!Q$1,FALSE)+VLOOKUP($A90,EnrollData2324,'2324 Jun 24 Enroll'!R$1,FALSE)+VLOOKUP($A90,EnrollData2324,'2324 Jun 24 Enroll'!I$1,FALSE)+VLOOKUP($A90,EnrollData2324,'2324 Jun 24 Enroll'!N$1,FALSE)+VLOOKUP($A90,EnrollData2324,'2324 Jun 24 Enroll'!O$1,FALSE)+VLOOKUP($A90,EnrollData2324,'2324 Jun 24 Enroll'!K$1,FALSE)+VLOOKUP($A90,EnrollData2324,'2324 Jun 24 Enroll'!L$1,FALSE))*Apport_M812425)/(VLOOKUP($A90,EnrollData2324,'2324 Jun 24 Enroll'!M$1,FALSE)+VLOOKUP($A90,EnrollData2324,'2324 Jun 24 Enroll'!D$1,FALSE)),2)</f>
        <v>1612.15</v>
      </c>
      <c r="AS90" s="7">
        <f t="shared" si="29"/>
        <v>9962.989999999998</v>
      </c>
    </row>
    <row r="91" spans="1:45">
      <c r="A91" s="40" t="s">
        <v>771</v>
      </c>
      <c r="B91" s="40" t="s">
        <v>772</v>
      </c>
      <c r="C91" s="11">
        <f>ROUND((IFERROR((1/IF(VLOOKUP($A91,EnrollData2324,28,FALSE)='District Calculations'!$F$10,VLOOKUP($A91,EnrollData2324,28,FALSE),'District Calculations'!$F$10))*(1+Apport_Z315),0))+Apport_201A2425,6)</f>
        <v>7.4580999999999995E-2</v>
      </c>
      <c r="D91">
        <f>ROUND(IF(VLOOKUP($A91,EnrollData2324,'2324 Jun 24 Enroll'!D$1,FALSE)='District Calculations'!$F$11,VLOOKUP($A91,EnrollData2324,'2324 Jun 24 Enroll'!D$1,FALSE),'District Calculations'!$F$11)*C91,3)</f>
        <v>0</v>
      </c>
      <c r="E91">
        <f>ROUND(IF(VLOOKUP($A91,EnrollData2324,'2324 Jun 24 Enroll'!E$1,FALSE)='District Calculations'!$F$12,VLOOKUP($A91,EnrollData2324,'2324 Jun 24 Enroll'!E$1,FALSE),'District Calculations'!$F$12)*C91,3)</f>
        <v>60.447000000000003</v>
      </c>
      <c r="F91">
        <f>ROUND(IF(VLOOKUP($A91,EnrollData2324,'2324 Jun 24 Enroll'!F$1,FALSE)='District Calculations'!$F$13,VLOOKUP($A91,EnrollData2324,'2324 Jun 24 Enroll'!F$1,FALSE),'District Calculations'!$F$13)*Apport_222A2425,3)</f>
        <v>10.337999999999999</v>
      </c>
      <c r="G91">
        <f>ROUND(IF(VLOOKUP($A91,EnrollData2324,'2324 Jun 24 Enroll'!G$1,FALSE)='District Calculations'!$F$14,VLOOKUP($A91,EnrollData2324,'2324 Jun 24 Enroll'!G$1,FALSE),'District Calculations'!$F$14)*Apport_210A2425,3)</f>
        <v>22.92</v>
      </c>
      <c r="H91">
        <f>ROUND(IF(VLOOKUP($A91,EnrollData2324,'2324 Jun 24 Enroll'!H$1,FALSE)='District Calculations'!$F$15,VLOOKUP($A91,EnrollData2324,'2324 Jun 24 Enroll'!H$1,FALSE),'District Calculations'!$F$15)*Apport_213A2425,3)</f>
        <v>23.619</v>
      </c>
      <c r="I91">
        <f>ROUND(IF(VLOOKUP($A91,EnrollData2324,'2324 Jun 24 Enroll'!I$1,FALSE)+VLOOKUP($A91,EnrollData2324,'2324 Jun 24 Enroll'!M$1,FALSE)-VLOOKUP($A91,EnrollData2324,'2324 Jun 24 Enroll'!J$1,FALSE)='District Calculations'!$F$16+'District Calculations'!$F$25-'District Calculations'!$F$17,VLOOKUP($A91,EnrollData2324,'2324 Jun 24 Enroll'!I$1,FALSE)+VLOOKUP($A91,EnrollData2324,'2324 Jun 24 Enroll'!M$1,FALSE)-VLOOKUP($A91,EnrollData2324,'2324 Jun 24 Enroll'!J$1,FALSE),'District Calculations'!$F$16+'District Calculations'!$F$25-'District Calculations'!$F$17)*Apport_216A2425,3)</f>
        <v>59.057000000000002</v>
      </c>
      <c r="J91">
        <f>ROUND(SUM(D91:I91)/(IF(VLOOKUP($A91,EnrollData2324,'2324 Jun 24 Enroll'!M$1,FALSE)='District Calculations'!$F$25,VLOOKUP($A91,EnrollData2324,'2324 Jun 24 Enroll'!M$1,FALSE),'District Calculations'!$F$25)+IF(VLOOKUP($A91,EnrollData2324,'2324 Jun 24 Enroll'!D$1,FALSE)='District Calculations'!$F$11,VLOOKUP($A91,EnrollData2324,'2324 Jun 24 Enroll'!D$1,FALSE),'District Calculations'!$F$11)),5)</f>
        <v>5.6520000000000001E-2</v>
      </c>
      <c r="K91" s="11">
        <f t="shared" si="13"/>
        <v>4.385E-3</v>
      </c>
      <c r="L91">
        <f>ROUND(IF(VLOOKUP($A91,EnrollData2324,'2324 Jun 24 Enroll'!D$1,FALSE)='District Calculations'!$F$11,VLOOKUP($A91,EnrollData2324,'2324 Jun 24 Enroll'!D$1,FALSE),'District Calculations'!$F$11)*K91,3)</f>
        <v>0</v>
      </c>
      <c r="M91">
        <f>ROUND(IF(VLOOKUP($A91,EnrollData2324,'2324 Jun 24 Enroll'!E$1,FALSE)='District Calculations'!$F$12,VLOOKUP($A91,EnrollData2324,'2324 Jun 24 Enroll'!E$1,FALSE),'District Calculations'!$F$12)*K91,3)</f>
        <v>3.5539999999999998</v>
      </c>
      <c r="N91">
        <f>ROUND(IF(VLOOKUP($A91,EnrollData2324,'2324 Jun 24 Enroll'!F$1,FALSE)='District Calculations'!$F$13,VLOOKUP($A91,EnrollData2324,'2324 Jun 24 Enroll'!F$1,FALSE),'District Calculations'!$F$13)*Apport_223A2425,3)</f>
        <v>0.84599999999999997</v>
      </c>
      <c r="O91">
        <f>ROUND(IF(VLOOKUP($A91,EnrollData2324,'2324 Jun 24 Enroll'!G$1,FALSE)='District Calculations'!$F$14,VLOOKUP($A91,EnrollData2324,'2324 Jun 24 Enroll'!G$1,FALSE),'District Calculations'!$F$14)*Apport_211A2425,3)</f>
        <v>1.877</v>
      </c>
      <c r="P91">
        <f>ROUND(IF(VLOOKUP($A91,EnrollData2324,'2324 Jun 24 Enroll'!H$1,FALSE)='District Calculations'!$F$14,VLOOKUP($A91,EnrollData2324,'2324 Jun 24 Enroll'!H$1,FALSE),'District Calculations'!$F$14)*Apport_214A2425,3)</f>
        <v>1.875</v>
      </c>
      <c r="Q91">
        <f>ROUND(IF(VLOOKUP($A91,EnrollData2324,'2324 Jun 24 Enroll'!I$1,FALSE)+VLOOKUP($A91,EnrollData2324,'2324 Jun 24 Enroll'!M$1,FALSE)-VLOOKUP($A91,EnrollData2324,'2324 Jun 24 Enroll'!J$1,FALSE)='District Calculations'!$F$16+'District Calculations'!$F$25-'District Calculations'!$F$17,VLOOKUP($A91,EnrollData2324,'2324 Jun 24 Enroll'!I$1,FALSE)+VLOOKUP($A91,EnrollData2324,'2324 Jun 24 Enroll'!M$1,FALSE)-VLOOKUP($A91,EnrollData2324,'2324 Jun 24 Enroll'!J$1,FALSE),'District Calculations'!$F$16+'District Calculations'!$F$25-'District Calculations'!$F$17)*Apport_217A2425,3)</f>
        <v>4.7130000000000001</v>
      </c>
      <c r="R91">
        <f>ROUND(SUM(L91:Q91)/IF(VLOOKUP($A91,EnrollData2324,'2324 Jun 24 Enroll'!M$1,FALSE)+VLOOKUP($A91,EnrollData2324,'2324 Jun 24 Enroll'!D$1,FALSE)='District Calculations'!$F$25+'District Calculations'!$F$11,VLOOKUP($A91,EnrollData2324,'2324 Jun 24 Enroll'!M$1,FALSE)+VLOOKUP($A91,EnrollData2324,'2324 Jun 24 Enroll'!D$1,FALSE),'District Calculations'!$F$25+'District Calculations'!$F$11),5)</f>
        <v>4.1200000000000004E-3</v>
      </c>
      <c r="S91" s="11">
        <f t="shared" si="14"/>
        <v>1.8734299999999999E-2</v>
      </c>
      <c r="T91">
        <f>ROUND(IF(VLOOKUP($A91,EnrollData2324,'2324 Jun 24 Enroll'!D$1,FALSE)='District Calculations'!$F$11,VLOOKUP($A91,EnrollData2324,'2324 Jun 24 Enroll'!D$1,FALSE),'District Calculations'!$F$11)*S91,3)</f>
        <v>0</v>
      </c>
      <c r="U91">
        <f>ROUND(IF(VLOOKUP($A91,EnrollData2324,'2324 Jun 24 Enroll'!E$1,FALSE)='District Calculations'!$F$12,VLOOKUP($A91,EnrollData2324,'2324 Jun 24 Enroll'!E$1,FALSE),'District Calculations'!$F$12)*S91,3)</f>
        <v>15.183999999999999</v>
      </c>
      <c r="V91">
        <f>ROUND(IF(VLOOKUP($A91,EnrollData2324,'2324 Jun 24 Enroll'!F$1,FALSE)='District Calculations'!$F$13,VLOOKUP($A91,EnrollData2324,'2324 Jun 24 Enroll'!F$1,FALSE),'District Calculations'!$F$13)*Apport_224A2425,3)</f>
        <v>3.7109999999999999</v>
      </c>
      <c r="W91">
        <f>ROUND(IF(VLOOKUP($A91,EnrollData2324,'2324 Jun 24 Enroll'!G$1,FALSE)='District Calculations'!$F$14,VLOOKUP($A91,EnrollData2324,'2324 Jun 24 Enroll'!G$1,FALSE),'District Calculations'!$F$14)*Apport_212A2425,3)</f>
        <v>8.2279999999999998</v>
      </c>
      <c r="X91">
        <f>ROUND(IF(VLOOKUP($A91,EnrollData2324,'2324 Jun 24 Enroll'!H$1,FALSE)='District Calculations'!$F$14,VLOOKUP($A91,EnrollData2324,'2324 Jun 24 Enroll'!H$1,FALSE),'District Calculations'!$F$14)*Apport_215A2425,3)</f>
        <v>8.1180000000000003</v>
      </c>
      <c r="Y91">
        <f>ROUND(IF(VLOOKUP($A91,EnrollData2324,'2324 Jun 24 Enroll'!I$1,FALSE)+VLOOKUP($A91,EnrollData2324,'2324 Jun 24 Enroll'!M$1,FALSE)-VLOOKUP($A91,EnrollData2324,'2324 Jun 24 Enroll'!J$1,FALSE)='District Calculations'!$F$16+'District Calculations'!$F$25-'District Calculations'!$F$17,VLOOKUP($A91,EnrollData2324,'2324 Jun 24 Enroll'!I$1,FALSE)+VLOOKUP($A91,EnrollData2324,'2324 Jun 24 Enroll'!M$1,FALSE)-VLOOKUP($A91,EnrollData2324,'2324 Jun 24 Enroll'!J$1,FALSE),'District Calculations'!$F$16+'District Calculations'!$F$25-'District Calculations'!$F$17)*Apport_218A2425,3)</f>
        <v>20.257999999999999</v>
      </c>
      <c r="Z91">
        <f>ROUND(SUM(T91:Y91)/IF(VLOOKUP($A91,EnrollData2324,'2324 Jun 24 Enroll'!M$1,FALSE)+VLOOKUP($A91,EnrollData2324,'2324 Jun 24 Enroll'!D$1,FALSE)='District Calculations'!$F$25+'District Calculations'!$F$11,VLOOKUP($A91,EnrollData2324,'2324 Jun 24 Enroll'!M$1,FALSE)+VLOOKUP($A91,EnrollData2324,'2324 Jun 24 Enroll'!D$1,FALSE),'District Calculations'!$F$25+'District Calculations'!$F$11),5)</f>
        <v>1.7780000000000001E-2</v>
      </c>
      <c r="AA91" s="6">
        <f>ROUND($J91*CIS_Base_Salary2425*VLOOKUP($A91,EnrollData2324,'2324 Jun 24 Enroll'!AH$1,FALSE),2)</f>
        <v>4262.68</v>
      </c>
      <c r="AB91" s="6">
        <f>ROUND($J91*CIS_Inc_Salary2425*(VLOOKUP($A91,EnrollData2324,'2324 Jun 24 Enroll'!AI$1,FALSE)+VLOOKUP($A91,EnrollData2324,'2324 Jun 24 Enroll'!AJ$1,FALSE)),2)-AA91</f>
        <v>157.6899999999996</v>
      </c>
      <c r="AC91" s="6" cm="1">
        <f t="array" ref="AC91">ROUND($R91*CAS_Base_Salary2425*VLOOKUP($A91,EnrollData2324,'2324 Jun 24 Enroll'!AH$1,FALSE),2)</f>
        <v>461.23</v>
      </c>
      <c r="AD91" s="6">
        <f>ROUND($R91*CAS_Inc_Salary2425*VLOOKUP($A91,EnrollData2324,'2324 Jun 24 Enroll'!AI$1,FALSE),2)-AC91</f>
        <v>17.069999999999993</v>
      </c>
      <c r="AE91" s="6">
        <f>ROUND($Z91*CLS_Base_Salary2425*VLOOKUP($A91,EnrollData2324,'2324 Jun 24 Enroll'!AH$1,FALSE),2)</f>
        <v>961.95</v>
      </c>
      <c r="AF91" s="6">
        <f>ROUND($Z91*CLS_Inc_Salary2425*VLOOKUP($A91,EnrollData2324,'2324 Jun 24 Enroll'!AI$1,FALSE),2)-AE91</f>
        <v>35.599999999999909</v>
      </c>
      <c r="AG91" cm="1">
        <f t="array" ref="AG91">ROUND(($J91+$R91)*Apport_124X2425,2)</f>
        <v>800.45</v>
      </c>
      <c r="AH91" s="69" cm="1">
        <f t="array" ref="AH91">ROUND(($J91+$R91)*Apport_621X2425*Apport_125XC2425,2)-AG91</f>
        <v>73.899999999999977</v>
      </c>
      <c r="AI91" cm="1">
        <f t="array" ref="AI91">ROUND($Z91*Apport_124X2425,2)</f>
        <v>234.7</v>
      </c>
      <c r="AJ91">
        <f t="shared" si="15"/>
        <v>124.71000000000004</v>
      </c>
      <c r="AK91">
        <f t="shared" si="16"/>
        <v>857.39</v>
      </c>
      <c r="AL91">
        <f t="shared" si="17"/>
        <v>30.6</v>
      </c>
      <c r="AM91">
        <f t="shared" si="18"/>
        <v>208.36</v>
      </c>
      <c r="AN91">
        <f t="shared" si="19"/>
        <v>6.46</v>
      </c>
      <c r="AO91">
        <f>ROUND(($J91*CIS_Inc_Salary2425*(VLOOKUP($A91,EnrollData2324,'2324 Jun 24 Enroll'!AI$1,FALSE)+VLOOKUP($A91,EnrollData2324,'2324 Jun 24 Enroll'!AJ$1,FALSE))/Apport_613Xpd)*Apport_614Xpd,2)</f>
        <v>73.67</v>
      </c>
      <c r="AP91">
        <f t="shared" si="20"/>
        <v>12.9</v>
      </c>
      <c r="AQ91">
        <f t="shared" si="28"/>
        <v>31.48</v>
      </c>
      <c r="AR91" s="6">
        <f>ROUND((VLOOKUP($A91,EnrollData2324,'2324 Jun 24 Enroll'!D$1,FALSE)*Apport_M802425+VLOOKUP($A91,EnrollData2324,'2324 Jun 24 Enroll'!M$1,FALSE)*Apport_M802425+(VLOOKUP($A91,EnrollData2324,'2324 Jun 24 Enroll'!P$1,FALSE)+VLOOKUP($A91,EnrollData2324,'2324 Jun 24 Enroll'!Q$1,FALSE)+VLOOKUP($A91,EnrollData2324,'2324 Jun 24 Enroll'!R$1,FALSE)+VLOOKUP($A91,EnrollData2324,'2324 Jun 24 Enroll'!I$1,FALSE)+VLOOKUP($A91,EnrollData2324,'2324 Jun 24 Enroll'!N$1,FALSE)+VLOOKUP($A91,EnrollData2324,'2324 Jun 24 Enroll'!O$1,FALSE)+VLOOKUP($A91,EnrollData2324,'2324 Jun 24 Enroll'!K$1,FALSE)+VLOOKUP($A91,EnrollData2324,'2324 Jun 24 Enroll'!L$1,FALSE))*Apport_M812425)/(VLOOKUP($A91,EnrollData2324,'2324 Jun 24 Enroll'!M$1,FALSE)+VLOOKUP($A91,EnrollData2324,'2324 Jun 24 Enroll'!D$1,FALSE)),2)</f>
        <v>1586.79</v>
      </c>
      <c r="AS91" s="7">
        <f t="shared" si="29"/>
        <v>9937.6299999999974</v>
      </c>
    </row>
    <row r="92" spans="1:45">
      <c r="A92" s="40" t="s">
        <v>741</v>
      </c>
      <c r="B92" s="40" t="s">
        <v>742</v>
      </c>
      <c r="C92" s="11">
        <f>ROUND((IFERROR((1/IF(VLOOKUP($A92,EnrollData2324,28,FALSE)='District Calculations'!$F$10,VLOOKUP($A92,EnrollData2324,28,FALSE),'District Calculations'!$F$10))*(1+Apport_Z315),0))+Apport_201A2425,6)</f>
        <v>7.4580999999999995E-2</v>
      </c>
      <c r="D92">
        <f>ROUND(IF(VLOOKUP($A92,EnrollData2324,'2324 Jun 24 Enroll'!D$1,FALSE)='District Calculations'!$F$11,VLOOKUP($A92,EnrollData2324,'2324 Jun 24 Enroll'!D$1,FALSE),'District Calculations'!$F$11)*C92,3)</f>
        <v>0</v>
      </c>
      <c r="E92">
        <f>ROUND(IF(VLOOKUP($A92,EnrollData2324,'2324 Jun 24 Enroll'!E$1,FALSE)='District Calculations'!$F$12,VLOOKUP($A92,EnrollData2324,'2324 Jun 24 Enroll'!E$1,FALSE),'District Calculations'!$F$12)*C92,3)</f>
        <v>60.447000000000003</v>
      </c>
      <c r="F92">
        <f>ROUND(IF(VLOOKUP($A92,EnrollData2324,'2324 Jun 24 Enroll'!F$1,FALSE)='District Calculations'!$F$13,VLOOKUP($A92,EnrollData2324,'2324 Jun 24 Enroll'!F$1,FALSE),'District Calculations'!$F$13)*Apport_222A2425,3)</f>
        <v>10.337999999999999</v>
      </c>
      <c r="G92">
        <f>ROUND(IF(VLOOKUP($A92,EnrollData2324,'2324 Jun 24 Enroll'!G$1,FALSE)='District Calculations'!$F$14,VLOOKUP($A92,EnrollData2324,'2324 Jun 24 Enroll'!G$1,FALSE),'District Calculations'!$F$14)*Apport_210A2425,3)</f>
        <v>22.92</v>
      </c>
      <c r="H92">
        <f>ROUND(IF(VLOOKUP($A92,EnrollData2324,'2324 Jun 24 Enroll'!H$1,FALSE)='District Calculations'!$F$15,VLOOKUP($A92,EnrollData2324,'2324 Jun 24 Enroll'!H$1,FALSE),'District Calculations'!$F$15)*Apport_213A2425,3)</f>
        <v>23.619</v>
      </c>
      <c r="I92">
        <f>ROUND(IF(VLOOKUP($A92,EnrollData2324,'2324 Jun 24 Enroll'!I$1,FALSE)+VLOOKUP($A92,EnrollData2324,'2324 Jun 24 Enroll'!M$1,FALSE)-VLOOKUP($A92,EnrollData2324,'2324 Jun 24 Enroll'!J$1,FALSE)='District Calculations'!$F$16+'District Calculations'!$F$25-'District Calculations'!$F$17,VLOOKUP($A92,EnrollData2324,'2324 Jun 24 Enroll'!I$1,FALSE)+VLOOKUP($A92,EnrollData2324,'2324 Jun 24 Enroll'!M$1,FALSE)-VLOOKUP($A92,EnrollData2324,'2324 Jun 24 Enroll'!J$1,FALSE),'District Calculations'!$F$16+'District Calculations'!$F$25-'District Calculations'!$F$17)*Apport_216A2425,3)</f>
        <v>59.057000000000002</v>
      </c>
      <c r="J92">
        <f>ROUND(SUM(D92:I92)/(IF(VLOOKUP($A92,EnrollData2324,'2324 Jun 24 Enroll'!M$1,FALSE)='District Calculations'!$F$25,VLOOKUP($A92,EnrollData2324,'2324 Jun 24 Enroll'!M$1,FALSE),'District Calculations'!$F$25)+IF(VLOOKUP($A92,EnrollData2324,'2324 Jun 24 Enroll'!D$1,FALSE)='District Calculations'!$F$11,VLOOKUP($A92,EnrollData2324,'2324 Jun 24 Enroll'!D$1,FALSE),'District Calculations'!$F$11)),5)</f>
        <v>5.6520000000000001E-2</v>
      </c>
      <c r="K92" s="11">
        <f t="shared" si="13"/>
        <v>4.385E-3</v>
      </c>
      <c r="L92">
        <f>ROUND(IF(VLOOKUP($A92,EnrollData2324,'2324 Jun 24 Enroll'!D$1,FALSE)='District Calculations'!$F$11,VLOOKUP($A92,EnrollData2324,'2324 Jun 24 Enroll'!D$1,FALSE),'District Calculations'!$F$11)*K92,3)</f>
        <v>0</v>
      </c>
      <c r="M92">
        <f>ROUND(IF(VLOOKUP($A92,EnrollData2324,'2324 Jun 24 Enroll'!E$1,FALSE)='District Calculations'!$F$12,VLOOKUP($A92,EnrollData2324,'2324 Jun 24 Enroll'!E$1,FALSE),'District Calculations'!$F$12)*K92,3)</f>
        <v>3.5539999999999998</v>
      </c>
      <c r="N92">
        <f>ROUND(IF(VLOOKUP($A92,EnrollData2324,'2324 Jun 24 Enroll'!F$1,FALSE)='District Calculations'!$F$13,VLOOKUP($A92,EnrollData2324,'2324 Jun 24 Enroll'!F$1,FALSE),'District Calculations'!$F$13)*Apport_223A2425,3)</f>
        <v>0.84599999999999997</v>
      </c>
      <c r="O92">
        <f>ROUND(IF(VLOOKUP($A92,EnrollData2324,'2324 Jun 24 Enroll'!G$1,FALSE)='District Calculations'!$F$14,VLOOKUP($A92,EnrollData2324,'2324 Jun 24 Enroll'!G$1,FALSE),'District Calculations'!$F$14)*Apport_211A2425,3)</f>
        <v>1.877</v>
      </c>
      <c r="P92">
        <f>ROUND(IF(VLOOKUP($A92,EnrollData2324,'2324 Jun 24 Enroll'!H$1,FALSE)='District Calculations'!$F$14,VLOOKUP($A92,EnrollData2324,'2324 Jun 24 Enroll'!H$1,FALSE),'District Calculations'!$F$14)*Apport_214A2425,3)</f>
        <v>1.875</v>
      </c>
      <c r="Q92">
        <f>ROUND(IF(VLOOKUP($A92,EnrollData2324,'2324 Jun 24 Enroll'!I$1,FALSE)+VLOOKUP($A92,EnrollData2324,'2324 Jun 24 Enroll'!M$1,FALSE)-VLOOKUP($A92,EnrollData2324,'2324 Jun 24 Enroll'!J$1,FALSE)='District Calculations'!$F$16+'District Calculations'!$F$25-'District Calculations'!$F$17,VLOOKUP($A92,EnrollData2324,'2324 Jun 24 Enroll'!I$1,FALSE)+VLOOKUP($A92,EnrollData2324,'2324 Jun 24 Enroll'!M$1,FALSE)-VLOOKUP($A92,EnrollData2324,'2324 Jun 24 Enroll'!J$1,FALSE),'District Calculations'!$F$16+'District Calculations'!$F$25-'District Calculations'!$F$17)*Apport_217A2425,3)</f>
        <v>4.7130000000000001</v>
      </c>
      <c r="R92">
        <f>ROUND(SUM(L92:Q92)/IF(VLOOKUP($A92,EnrollData2324,'2324 Jun 24 Enroll'!M$1,FALSE)+VLOOKUP($A92,EnrollData2324,'2324 Jun 24 Enroll'!D$1,FALSE)='District Calculations'!$F$25+'District Calculations'!$F$11,VLOOKUP($A92,EnrollData2324,'2324 Jun 24 Enroll'!M$1,FALSE)+VLOOKUP($A92,EnrollData2324,'2324 Jun 24 Enroll'!D$1,FALSE),'District Calculations'!$F$25+'District Calculations'!$F$11),5)</f>
        <v>4.1200000000000004E-3</v>
      </c>
      <c r="S92" s="11">
        <f t="shared" si="14"/>
        <v>1.8734299999999999E-2</v>
      </c>
      <c r="T92">
        <f>ROUND(IF(VLOOKUP($A92,EnrollData2324,'2324 Jun 24 Enroll'!D$1,FALSE)='District Calculations'!$F$11,VLOOKUP($A92,EnrollData2324,'2324 Jun 24 Enroll'!D$1,FALSE),'District Calculations'!$F$11)*S92,3)</f>
        <v>0</v>
      </c>
      <c r="U92">
        <f>ROUND(IF(VLOOKUP($A92,EnrollData2324,'2324 Jun 24 Enroll'!E$1,FALSE)='District Calculations'!$F$12,VLOOKUP($A92,EnrollData2324,'2324 Jun 24 Enroll'!E$1,FALSE),'District Calculations'!$F$12)*S92,3)</f>
        <v>15.183999999999999</v>
      </c>
      <c r="V92">
        <f>ROUND(IF(VLOOKUP($A92,EnrollData2324,'2324 Jun 24 Enroll'!F$1,FALSE)='District Calculations'!$F$13,VLOOKUP($A92,EnrollData2324,'2324 Jun 24 Enroll'!F$1,FALSE),'District Calculations'!$F$13)*Apport_224A2425,3)</f>
        <v>3.7109999999999999</v>
      </c>
      <c r="W92">
        <f>ROUND(IF(VLOOKUP($A92,EnrollData2324,'2324 Jun 24 Enroll'!G$1,FALSE)='District Calculations'!$F$14,VLOOKUP($A92,EnrollData2324,'2324 Jun 24 Enroll'!G$1,FALSE),'District Calculations'!$F$14)*Apport_212A2425,3)</f>
        <v>8.2279999999999998</v>
      </c>
      <c r="X92">
        <f>ROUND(IF(VLOOKUP($A92,EnrollData2324,'2324 Jun 24 Enroll'!H$1,FALSE)='District Calculations'!$F$14,VLOOKUP($A92,EnrollData2324,'2324 Jun 24 Enroll'!H$1,FALSE),'District Calculations'!$F$14)*Apport_215A2425,3)</f>
        <v>8.1180000000000003</v>
      </c>
      <c r="Y92">
        <f>ROUND(IF(VLOOKUP($A92,EnrollData2324,'2324 Jun 24 Enroll'!I$1,FALSE)+VLOOKUP($A92,EnrollData2324,'2324 Jun 24 Enroll'!M$1,FALSE)-VLOOKUP($A92,EnrollData2324,'2324 Jun 24 Enroll'!J$1,FALSE)='District Calculations'!$F$16+'District Calculations'!$F$25-'District Calculations'!$F$17,VLOOKUP($A92,EnrollData2324,'2324 Jun 24 Enroll'!I$1,FALSE)+VLOOKUP($A92,EnrollData2324,'2324 Jun 24 Enroll'!M$1,FALSE)-VLOOKUP($A92,EnrollData2324,'2324 Jun 24 Enroll'!J$1,FALSE),'District Calculations'!$F$16+'District Calculations'!$F$25-'District Calculations'!$F$17)*Apport_218A2425,3)</f>
        <v>20.257999999999999</v>
      </c>
      <c r="Z92">
        <f>ROUND(SUM(T92:Y92)/IF(VLOOKUP($A92,EnrollData2324,'2324 Jun 24 Enroll'!M$1,FALSE)+VLOOKUP($A92,EnrollData2324,'2324 Jun 24 Enroll'!D$1,FALSE)='District Calculations'!$F$25+'District Calculations'!$F$11,VLOOKUP($A92,EnrollData2324,'2324 Jun 24 Enroll'!M$1,FALSE)+VLOOKUP($A92,EnrollData2324,'2324 Jun 24 Enroll'!D$1,FALSE),'District Calculations'!$F$25+'District Calculations'!$F$11),5)</f>
        <v>1.7780000000000001E-2</v>
      </c>
      <c r="AA92" s="6">
        <f>ROUND($J92*CIS_Base_Salary2425*VLOOKUP($A92,EnrollData2324,'2324 Jun 24 Enroll'!AH$1,FALSE),2)</f>
        <v>4262.68</v>
      </c>
      <c r="AB92" s="6">
        <f>ROUND($J92*CIS_Inc_Salary2425*(VLOOKUP($A92,EnrollData2324,'2324 Jun 24 Enroll'!AI$1,FALSE)+VLOOKUP($A92,EnrollData2324,'2324 Jun 24 Enroll'!AJ$1,FALSE)),2)-AA92</f>
        <v>157.6899999999996</v>
      </c>
      <c r="AC92" s="6" cm="1">
        <f t="array" ref="AC92">ROUND($R92*CAS_Base_Salary2425*VLOOKUP($A92,EnrollData2324,'2324 Jun 24 Enroll'!AH$1,FALSE),2)</f>
        <v>461.23</v>
      </c>
      <c r="AD92" s="6">
        <f>ROUND($R92*CAS_Inc_Salary2425*VLOOKUP($A92,EnrollData2324,'2324 Jun 24 Enroll'!AI$1,FALSE),2)-AC92</f>
        <v>17.069999999999993</v>
      </c>
      <c r="AE92" s="6">
        <f>ROUND($Z92*CLS_Base_Salary2425*VLOOKUP($A92,EnrollData2324,'2324 Jun 24 Enroll'!AH$1,FALSE),2)</f>
        <v>961.95</v>
      </c>
      <c r="AF92" s="6">
        <f>ROUND($Z92*CLS_Inc_Salary2425*VLOOKUP($A92,EnrollData2324,'2324 Jun 24 Enroll'!AI$1,FALSE),2)-AE92</f>
        <v>35.599999999999909</v>
      </c>
      <c r="AG92" cm="1">
        <f t="array" ref="AG92">ROUND(($J92+$R92)*Apport_124X2425,2)</f>
        <v>800.45</v>
      </c>
      <c r="AH92" s="69" cm="1">
        <f t="array" ref="AH92">ROUND(($J92+$R92)*Apport_621X2425*Apport_125XC2425,2)-AG92</f>
        <v>73.899999999999977</v>
      </c>
      <c r="AI92" cm="1">
        <f t="array" ref="AI92">ROUND($Z92*Apport_124X2425,2)</f>
        <v>234.7</v>
      </c>
      <c r="AJ92">
        <f t="shared" si="15"/>
        <v>124.71000000000004</v>
      </c>
      <c r="AK92">
        <f t="shared" si="16"/>
        <v>857.39</v>
      </c>
      <c r="AL92">
        <f t="shared" si="17"/>
        <v>30.6</v>
      </c>
      <c r="AM92">
        <f t="shared" si="18"/>
        <v>208.36</v>
      </c>
      <c r="AN92">
        <f t="shared" si="19"/>
        <v>6.46</v>
      </c>
      <c r="AO92">
        <f>ROUND(($J92*CIS_Inc_Salary2425*(VLOOKUP($A92,EnrollData2324,'2324 Jun 24 Enroll'!AI$1,FALSE)+VLOOKUP($A92,EnrollData2324,'2324 Jun 24 Enroll'!AJ$1,FALSE))/Apport_613Xpd)*Apport_614Xpd,2)</f>
        <v>73.67</v>
      </c>
      <c r="AP92">
        <f t="shared" si="20"/>
        <v>12.9</v>
      </c>
      <c r="AQ92">
        <f t="shared" si="28"/>
        <v>31.48</v>
      </c>
      <c r="AR92" s="6">
        <f>ROUND((VLOOKUP($A92,EnrollData2324,'2324 Jun 24 Enroll'!D$1,FALSE)*Apport_M802425+VLOOKUP($A92,EnrollData2324,'2324 Jun 24 Enroll'!M$1,FALSE)*Apport_M802425+(VLOOKUP($A92,EnrollData2324,'2324 Jun 24 Enroll'!P$1,FALSE)+VLOOKUP($A92,EnrollData2324,'2324 Jun 24 Enroll'!Q$1,FALSE)+VLOOKUP($A92,EnrollData2324,'2324 Jun 24 Enroll'!R$1,FALSE)+VLOOKUP($A92,EnrollData2324,'2324 Jun 24 Enroll'!I$1,FALSE)+VLOOKUP($A92,EnrollData2324,'2324 Jun 24 Enroll'!N$1,FALSE)+VLOOKUP($A92,EnrollData2324,'2324 Jun 24 Enroll'!O$1,FALSE)+VLOOKUP($A92,EnrollData2324,'2324 Jun 24 Enroll'!K$1,FALSE)+VLOOKUP($A92,EnrollData2324,'2324 Jun 24 Enroll'!L$1,FALSE))*Apport_M812425)/(VLOOKUP($A92,EnrollData2324,'2324 Jun 24 Enroll'!M$1,FALSE)+VLOOKUP($A92,EnrollData2324,'2324 Jun 24 Enroll'!D$1,FALSE)),2)</f>
        <v>1599.46</v>
      </c>
      <c r="AS92" s="7">
        <f t="shared" si="29"/>
        <v>9950.2999999999993</v>
      </c>
    </row>
    <row r="93" spans="1:45">
      <c r="A93" s="40" t="s">
        <v>600</v>
      </c>
      <c r="B93" s="40" t="s">
        <v>601</v>
      </c>
      <c r="C93" s="11">
        <f>ROUND((IFERROR((1/IF(VLOOKUP($A93,EnrollData2324,28,FALSE)='District Calculations'!$F$10,VLOOKUP($A93,EnrollData2324,28,FALSE),'District Calculations'!$F$10))*(1+Apport_Z315),0))+Apport_201A2425,6)</f>
        <v>7.4580999999999995E-2</v>
      </c>
      <c r="D93">
        <f>ROUND(IF(VLOOKUP($A93,EnrollData2324,'2324 Jun 24 Enroll'!D$1,FALSE)='District Calculations'!$F$11,VLOOKUP($A93,EnrollData2324,'2324 Jun 24 Enroll'!D$1,FALSE),'District Calculations'!$F$11)*C93,3)</f>
        <v>0</v>
      </c>
      <c r="E93">
        <f>ROUND(IF(VLOOKUP($A93,EnrollData2324,'2324 Jun 24 Enroll'!E$1,FALSE)='District Calculations'!$F$12,VLOOKUP($A93,EnrollData2324,'2324 Jun 24 Enroll'!E$1,FALSE),'District Calculations'!$F$12)*C93,3)</f>
        <v>60.447000000000003</v>
      </c>
      <c r="F93">
        <f>ROUND(IF(VLOOKUP($A93,EnrollData2324,'2324 Jun 24 Enroll'!F$1,FALSE)='District Calculations'!$F$13,VLOOKUP($A93,EnrollData2324,'2324 Jun 24 Enroll'!F$1,FALSE),'District Calculations'!$F$13)*Apport_222A2425,3)</f>
        <v>10.337999999999999</v>
      </c>
      <c r="G93">
        <f>ROUND(IF(VLOOKUP($A93,EnrollData2324,'2324 Jun 24 Enroll'!G$1,FALSE)='District Calculations'!$F$14,VLOOKUP($A93,EnrollData2324,'2324 Jun 24 Enroll'!G$1,FALSE),'District Calculations'!$F$14)*Apport_210A2425,3)</f>
        <v>22.92</v>
      </c>
      <c r="H93">
        <f>ROUND(IF(VLOOKUP($A93,EnrollData2324,'2324 Jun 24 Enroll'!H$1,FALSE)='District Calculations'!$F$15,VLOOKUP($A93,EnrollData2324,'2324 Jun 24 Enroll'!H$1,FALSE),'District Calculations'!$F$15)*Apport_213A2425,3)</f>
        <v>23.619</v>
      </c>
      <c r="I93">
        <f>ROUND(IF(VLOOKUP($A93,EnrollData2324,'2324 Jun 24 Enroll'!I$1,FALSE)+VLOOKUP($A93,EnrollData2324,'2324 Jun 24 Enroll'!M$1,FALSE)-VLOOKUP($A93,EnrollData2324,'2324 Jun 24 Enroll'!J$1,FALSE)='District Calculations'!$F$16+'District Calculations'!$F$25-'District Calculations'!$F$17,VLOOKUP($A93,EnrollData2324,'2324 Jun 24 Enroll'!I$1,FALSE)+VLOOKUP($A93,EnrollData2324,'2324 Jun 24 Enroll'!M$1,FALSE)-VLOOKUP($A93,EnrollData2324,'2324 Jun 24 Enroll'!J$1,FALSE),'District Calculations'!$F$16+'District Calculations'!$F$25-'District Calculations'!$F$17)*Apport_216A2425,3)</f>
        <v>59.057000000000002</v>
      </c>
      <c r="J93">
        <f>ROUND(SUM(D93:I93)/(IF(VLOOKUP($A93,EnrollData2324,'2324 Jun 24 Enroll'!M$1,FALSE)='District Calculations'!$F$25,VLOOKUP($A93,EnrollData2324,'2324 Jun 24 Enroll'!M$1,FALSE),'District Calculations'!$F$25)+IF(VLOOKUP($A93,EnrollData2324,'2324 Jun 24 Enroll'!D$1,FALSE)='District Calculations'!$F$11,VLOOKUP($A93,EnrollData2324,'2324 Jun 24 Enroll'!D$1,FALSE),'District Calculations'!$F$11)),5)</f>
        <v>5.6520000000000001E-2</v>
      </c>
      <c r="K93" s="11">
        <f t="shared" si="13"/>
        <v>4.385E-3</v>
      </c>
      <c r="L93">
        <f>ROUND(IF(VLOOKUP($A93,EnrollData2324,'2324 Jun 24 Enroll'!D$1,FALSE)='District Calculations'!$F$11,VLOOKUP($A93,EnrollData2324,'2324 Jun 24 Enroll'!D$1,FALSE),'District Calculations'!$F$11)*K93,3)</f>
        <v>0</v>
      </c>
      <c r="M93">
        <f>ROUND(IF(VLOOKUP($A93,EnrollData2324,'2324 Jun 24 Enroll'!E$1,FALSE)='District Calculations'!$F$12,VLOOKUP($A93,EnrollData2324,'2324 Jun 24 Enroll'!E$1,FALSE),'District Calculations'!$F$12)*K93,3)</f>
        <v>3.5539999999999998</v>
      </c>
      <c r="N93">
        <f>ROUND(IF(VLOOKUP($A93,EnrollData2324,'2324 Jun 24 Enroll'!F$1,FALSE)='District Calculations'!$F$13,VLOOKUP($A93,EnrollData2324,'2324 Jun 24 Enroll'!F$1,FALSE),'District Calculations'!$F$13)*Apport_223A2425,3)</f>
        <v>0.84599999999999997</v>
      </c>
      <c r="O93">
        <f>ROUND(IF(VLOOKUP($A93,EnrollData2324,'2324 Jun 24 Enroll'!G$1,FALSE)='District Calculations'!$F$14,VLOOKUP($A93,EnrollData2324,'2324 Jun 24 Enroll'!G$1,FALSE),'District Calculations'!$F$14)*Apport_211A2425,3)</f>
        <v>1.877</v>
      </c>
      <c r="P93">
        <f>ROUND(IF(VLOOKUP($A93,EnrollData2324,'2324 Jun 24 Enroll'!H$1,FALSE)='District Calculations'!$F$14,VLOOKUP($A93,EnrollData2324,'2324 Jun 24 Enroll'!H$1,FALSE),'District Calculations'!$F$14)*Apport_214A2425,3)</f>
        <v>1.875</v>
      </c>
      <c r="Q93">
        <f>ROUND(IF(VLOOKUP($A93,EnrollData2324,'2324 Jun 24 Enroll'!I$1,FALSE)+VLOOKUP($A93,EnrollData2324,'2324 Jun 24 Enroll'!M$1,FALSE)-VLOOKUP($A93,EnrollData2324,'2324 Jun 24 Enroll'!J$1,FALSE)='District Calculations'!$F$16+'District Calculations'!$F$25-'District Calculations'!$F$17,VLOOKUP($A93,EnrollData2324,'2324 Jun 24 Enroll'!I$1,FALSE)+VLOOKUP($A93,EnrollData2324,'2324 Jun 24 Enroll'!M$1,FALSE)-VLOOKUP($A93,EnrollData2324,'2324 Jun 24 Enroll'!J$1,FALSE),'District Calculations'!$F$16+'District Calculations'!$F$25-'District Calculations'!$F$17)*Apport_217A2425,3)</f>
        <v>4.7130000000000001</v>
      </c>
      <c r="R93">
        <f>ROUND(SUM(L93:Q93)/IF(VLOOKUP($A93,EnrollData2324,'2324 Jun 24 Enroll'!M$1,FALSE)+VLOOKUP($A93,EnrollData2324,'2324 Jun 24 Enroll'!D$1,FALSE)='District Calculations'!$F$25+'District Calculations'!$F$11,VLOOKUP($A93,EnrollData2324,'2324 Jun 24 Enroll'!M$1,FALSE)+VLOOKUP($A93,EnrollData2324,'2324 Jun 24 Enroll'!D$1,FALSE),'District Calculations'!$F$25+'District Calculations'!$F$11),5)</f>
        <v>4.1200000000000004E-3</v>
      </c>
      <c r="S93" s="11">
        <f t="shared" si="14"/>
        <v>1.8734299999999999E-2</v>
      </c>
      <c r="T93">
        <f>ROUND(IF(VLOOKUP($A93,EnrollData2324,'2324 Jun 24 Enroll'!D$1,FALSE)='District Calculations'!$F$11,VLOOKUP($A93,EnrollData2324,'2324 Jun 24 Enroll'!D$1,FALSE),'District Calculations'!$F$11)*S93,3)</f>
        <v>0</v>
      </c>
      <c r="U93">
        <f>ROUND(IF(VLOOKUP($A93,EnrollData2324,'2324 Jun 24 Enroll'!E$1,FALSE)='District Calculations'!$F$12,VLOOKUP($A93,EnrollData2324,'2324 Jun 24 Enroll'!E$1,FALSE),'District Calculations'!$F$12)*S93,3)</f>
        <v>15.183999999999999</v>
      </c>
      <c r="V93">
        <f>ROUND(IF(VLOOKUP($A93,EnrollData2324,'2324 Jun 24 Enroll'!F$1,FALSE)='District Calculations'!$F$13,VLOOKUP($A93,EnrollData2324,'2324 Jun 24 Enroll'!F$1,FALSE),'District Calculations'!$F$13)*Apport_224A2425,3)</f>
        <v>3.7109999999999999</v>
      </c>
      <c r="W93">
        <f>ROUND(IF(VLOOKUP($A93,EnrollData2324,'2324 Jun 24 Enroll'!G$1,FALSE)='District Calculations'!$F$14,VLOOKUP($A93,EnrollData2324,'2324 Jun 24 Enroll'!G$1,FALSE),'District Calculations'!$F$14)*Apport_212A2425,3)</f>
        <v>8.2279999999999998</v>
      </c>
      <c r="X93">
        <f>ROUND(IF(VLOOKUP($A93,EnrollData2324,'2324 Jun 24 Enroll'!H$1,FALSE)='District Calculations'!$F$14,VLOOKUP($A93,EnrollData2324,'2324 Jun 24 Enroll'!H$1,FALSE),'District Calculations'!$F$14)*Apport_215A2425,3)</f>
        <v>8.1180000000000003</v>
      </c>
      <c r="Y93">
        <f>ROUND(IF(VLOOKUP($A93,EnrollData2324,'2324 Jun 24 Enroll'!I$1,FALSE)+VLOOKUP($A93,EnrollData2324,'2324 Jun 24 Enroll'!M$1,FALSE)-VLOOKUP($A93,EnrollData2324,'2324 Jun 24 Enroll'!J$1,FALSE)='District Calculations'!$F$16+'District Calculations'!$F$25-'District Calculations'!$F$17,VLOOKUP($A93,EnrollData2324,'2324 Jun 24 Enroll'!I$1,FALSE)+VLOOKUP($A93,EnrollData2324,'2324 Jun 24 Enroll'!M$1,FALSE)-VLOOKUP($A93,EnrollData2324,'2324 Jun 24 Enroll'!J$1,FALSE),'District Calculations'!$F$16+'District Calculations'!$F$25-'District Calculations'!$F$17)*Apport_218A2425,3)</f>
        <v>20.257999999999999</v>
      </c>
      <c r="Z93">
        <f>ROUND(SUM(T93:Y93)/IF(VLOOKUP($A93,EnrollData2324,'2324 Jun 24 Enroll'!M$1,FALSE)+VLOOKUP($A93,EnrollData2324,'2324 Jun 24 Enroll'!D$1,FALSE)='District Calculations'!$F$25+'District Calculations'!$F$11,VLOOKUP($A93,EnrollData2324,'2324 Jun 24 Enroll'!M$1,FALSE)+VLOOKUP($A93,EnrollData2324,'2324 Jun 24 Enroll'!D$1,FALSE),'District Calculations'!$F$25+'District Calculations'!$F$11),5)</f>
        <v>1.7780000000000001E-2</v>
      </c>
      <c r="AA93" s="6">
        <f>ROUND($J93*CIS_Base_Salary2425*VLOOKUP($A93,EnrollData2324,'2324 Jun 24 Enroll'!AH$1,FALSE),2)</f>
        <v>4262.68</v>
      </c>
      <c r="AB93" s="6">
        <f>ROUND($J93*CIS_Inc_Salary2425*(VLOOKUP($A93,EnrollData2324,'2324 Jun 24 Enroll'!AI$1,FALSE)+VLOOKUP($A93,EnrollData2324,'2324 Jun 24 Enroll'!AJ$1,FALSE)),2)-AA93</f>
        <v>157.6899999999996</v>
      </c>
      <c r="AC93" s="6" cm="1">
        <f t="array" ref="AC93">ROUND($R93*CAS_Base_Salary2425*VLOOKUP($A93,EnrollData2324,'2324 Jun 24 Enroll'!AH$1,FALSE),2)</f>
        <v>461.23</v>
      </c>
      <c r="AD93" s="6">
        <f>ROUND($R93*CAS_Inc_Salary2425*VLOOKUP($A93,EnrollData2324,'2324 Jun 24 Enroll'!AI$1,FALSE),2)-AC93</f>
        <v>17.069999999999993</v>
      </c>
      <c r="AE93" s="6">
        <f>ROUND($Z93*CLS_Base_Salary2425*VLOOKUP($A93,EnrollData2324,'2324 Jun 24 Enroll'!AH$1,FALSE),2)</f>
        <v>961.95</v>
      </c>
      <c r="AF93" s="6">
        <f>ROUND($Z93*CLS_Inc_Salary2425*VLOOKUP($A93,EnrollData2324,'2324 Jun 24 Enroll'!AI$1,FALSE),2)-AE93</f>
        <v>35.599999999999909</v>
      </c>
      <c r="AG93" cm="1">
        <f t="array" ref="AG93">ROUND(($J93+$R93)*Apport_124X2425,2)</f>
        <v>800.45</v>
      </c>
      <c r="AH93" s="69" cm="1">
        <f t="array" ref="AH93">ROUND(($J93+$R93)*Apport_621X2425*Apport_125XC2425,2)-AG93</f>
        <v>73.899999999999977</v>
      </c>
      <c r="AI93" cm="1">
        <f t="array" ref="AI93">ROUND($Z93*Apport_124X2425,2)</f>
        <v>234.7</v>
      </c>
      <c r="AJ93">
        <f t="shared" si="15"/>
        <v>124.71000000000004</v>
      </c>
      <c r="AK93">
        <f t="shared" si="16"/>
        <v>857.39</v>
      </c>
      <c r="AL93">
        <f t="shared" si="17"/>
        <v>30.6</v>
      </c>
      <c r="AM93">
        <f t="shared" si="18"/>
        <v>208.36</v>
      </c>
      <c r="AN93">
        <f t="shared" si="19"/>
        <v>6.46</v>
      </c>
      <c r="AO93">
        <f>ROUND(($J93*CIS_Inc_Salary2425*(VLOOKUP($A93,EnrollData2324,'2324 Jun 24 Enroll'!AI$1,FALSE)+VLOOKUP($A93,EnrollData2324,'2324 Jun 24 Enroll'!AJ$1,FALSE))/Apport_613Xpd)*Apport_614Xpd,2)</f>
        <v>73.67</v>
      </c>
      <c r="AP93">
        <f t="shared" si="20"/>
        <v>12.9</v>
      </c>
      <c r="AQ93">
        <f t="shared" si="28"/>
        <v>31.48</v>
      </c>
      <c r="AR93" s="6">
        <f>ROUND((VLOOKUP($A93,EnrollData2324,'2324 Jun 24 Enroll'!D$1,FALSE)*Apport_M802425+VLOOKUP($A93,EnrollData2324,'2324 Jun 24 Enroll'!M$1,FALSE)*Apport_M802425+(VLOOKUP($A93,EnrollData2324,'2324 Jun 24 Enroll'!P$1,FALSE)+VLOOKUP($A93,EnrollData2324,'2324 Jun 24 Enroll'!Q$1,FALSE)+VLOOKUP($A93,EnrollData2324,'2324 Jun 24 Enroll'!R$1,FALSE)+VLOOKUP($A93,EnrollData2324,'2324 Jun 24 Enroll'!I$1,FALSE)+VLOOKUP($A93,EnrollData2324,'2324 Jun 24 Enroll'!N$1,FALSE)+VLOOKUP($A93,EnrollData2324,'2324 Jun 24 Enroll'!O$1,FALSE)+VLOOKUP($A93,EnrollData2324,'2324 Jun 24 Enroll'!K$1,FALSE)+VLOOKUP($A93,EnrollData2324,'2324 Jun 24 Enroll'!L$1,FALSE))*Apport_M812425)/(VLOOKUP($A93,EnrollData2324,'2324 Jun 24 Enroll'!M$1,FALSE)+VLOOKUP($A93,EnrollData2324,'2324 Jun 24 Enroll'!D$1,FALSE)),2)</f>
        <v>1601.22</v>
      </c>
      <c r="AS93" s="7">
        <f t="shared" si="29"/>
        <v>9952.0599999999977</v>
      </c>
    </row>
    <row r="94" spans="1:45">
      <c r="A94" s="40" t="s">
        <v>454</v>
      </c>
      <c r="B94" s="40" t="s">
        <v>455</v>
      </c>
      <c r="C94" s="11">
        <f>ROUND((IFERROR((1/IF(VLOOKUP($A94,EnrollData2324,28,FALSE)='District Calculations'!$F$10,VLOOKUP($A94,EnrollData2324,28,FALSE),'District Calculations'!$F$10))*(1+Apport_Z315),0))+Apport_201A2425,6)</f>
        <v>7.4580999999999995E-2</v>
      </c>
      <c r="D94">
        <f>ROUND(IF(VLOOKUP($A94,EnrollData2324,'2324 Jun 24 Enroll'!D$1,FALSE)='District Calculations'!$F$11,VLOOKUP($A94,EnrollData2324,'2324 Jun 24 Enroll'!D$1,FALSE),'District Calculations'!$F$11)*C94,3)</f>
        <v>0</v>
      </c>
      <c r="E94">
        <f>ROUND(IF(VLOOKUP($A94,EnrollData2324,'2324 Jun 24 Enroll'!E$1,FALSE)='District Calculations'!$F$12,VLOOKUP($A94,EnrollData2324,'2324 Jun 24 Enroll'!E$1,FALSE),'District Calculations'!$F$12)*C94,3)</f>
        <v>60.447000000000003</v>
      </c>
      <c r="F94">
        <f>ROUND(IF(VLOOKUP($A94,EnrollData2324,'2324 Jun 24 Enroll'!F$1,FALSE)='District Calculations'!$F$13,VLOOKUP($A94,EnrollData2324,'2324 Jun 24 Enroll'!F$1,FALSE),'District Calculations'!$F$13)*Apport_222A2425,3)</f>
        <v>10.337999999999999</v>
      </c>
      <c r="G94">
        <f>ROUND(IF(VLOOKUP($A94,EnrollData2324,'2324 Jun 24 Enroll'!G$1,FALSE)='District Calculations'!$F$14,VLOOKUP($A94,EnrollData2324,'2324 Jun 24 Enroll'!G$1,FALSE),'District Calculations'!$F$14)*Apport_210A2425,3)</f>
        <v>22.92</v>
      </c>
      <c r="H94">
        <f>ROUND(IF(VLOOKUP($A94,EnrollData2324,'2324 Jun 24 Enroll'!H$1,FALSE)='District Calculations'!$F$15,VLOOKUP($A94,EnrollData2324,'2324 Jun 24 Enroll'!H$1,FALSE),'District Calculations'!$F$15)*Apport_213A2425,3)</f>
        <v>23.619</v>
      </c>
      <c r="I94">
        <f>ROUND(IF(VLOOKUP($A94,EnrollData2324,'2324 Jun 24 Enroll'!I$1,FALSE)+VLOOKUP($A94,EnrollData2324,'2324 Jun 24 Enroll'!M$1,FALSE)-VLOOKUP($A94,EnrollData2324,'2324 Jun 24 Enroll'!J$1,FALSE)='District Calculations'!$F$16+'District Calculations'!$F$25-'District Calculations'!$F$17,VLOOKUP($A94,EnrollData2324,'2324 Jun 24 Enroll'!I$1,FALSE)+VLOOKUP($A94,EnrollData2324,'2324 Jun 24 Enroll'!M$1,FALSE)-VLOOKUP($A94,EnrollData2324,'2324 Jun 24 Enroll'!J$1,FALSE),'District Calculations'!$F$16+'District Calculations'!$F$25-'District Calculations'!$F$17)*Apport_216A2425,3)</f>
        <v>59.057000000000002</v>
      </c>
      <c r="J94">
        <f>ROUND(SUM(D94:I94)/(IF(VLOOKUP($A94,EnrollData2324,'2324 Jun 24 Enroll'!M$1,FALSE)='District Calculations'!$F$25,VLOOKUP($A94,EnrollData2324,'2324 Jun 24 Enroll'!M$1,FALSE),'District Calculations'!$F$25)+IF(VLOOKUP($A94,EnrollData2324,'2324 Jun 24 Enroll'!D$1,FALSE)='District Calculations'!$F$11,VLOOKUP($A94,EnrollData2324,'2324 Jun 24 Enroll'!D$1,FALSE),'District Calculations'!$F$11)),5)</f>
        <v>5.6520000000000001E-2</v>
      </c>
      <c r="K94" s="11">
        <f t="shared" si="13"/>
        <v>4.385E-3</v>
      </c>
      <c r="L94">
        <f>ROUND(IF(VLOOKUP($A94,EnrollData2324,'2324 Jun 24 Enroll'!D$1,FALSE)='District Calculations'!$F$11,VLOOKUP($A94,EnrollData2324,'2324 Jun 24 Enroll'!D$1,FALSE),'District Calculations'!$F$11)*K94,3)</f>
        <v>0</v>
      </c>
      <c r="M94">
        <f>ROUND(IF(VLOOKUP($A94,EnrollData2324,'2324 Jun 24 Enroll'!E$1,FALSE)='District Calculations'!$F$12,VLOOKUP($A94,EnrollData2324,'2324 Jun 24 Enroll'!E$1,FALSE),'District Calculations'!$F$12)*K94,3)</f>
        <v>3.5539999999999998</v>
      </c>
      <c r="N94">
        <f>ROUND(IF(VLOOKUP($A94,EnrollData2324,'2324 Jun 24 Enroll'!F$1,FALSE)='District Calculations'!$F$13,VLOOKUP($A94,EnrollData2324,'2324 Jun 24 Enroll'!F$1,FALSE),'District Calculations'!$F$13)*Apport_223A2425,3)</f>
        <v>0.84599999999999997</v>
      </c>
      <c r="O94">
        <f>ROUND(IF(VLOOKUP($A94,EnrollData2324,'2324 Jun 24 Enroll'!G$1,FALSE)='District Calculations'!$F$14,VLOOKUP($A94,EnrollData2324,'2324 Jun 24 Enroll'!G$1,FALSE),'District Calculations'!$F$14)*Apport_211A2425,3)</f>
        <v>1.877</v>
      </c>
      <c r="P94">
        <f>ROUND(IF(VLOOKUP($A94,EnrollData2324,'2324 Jun 24 Enroll'!H$1,FALSE)='District Calculations'!$F$14,VLOOKUP($A94,EnrollData2324,'2324 Jun 24 Enroll'!H$1,FALSE),'District Calculations'!$F$14)*Apport_214A2425,3)</f>
        <v>1.875</v>
      </c>
      <c r="Q94">
        <f>ROUND(IF(VLOOKUP($A94,EnrollData2324,'2324 Jun 24 Enroll'!I$1,FALSE)+VLOOKUP($A94,EnrollData2324,'2324 Jun 24 Enroll'!M$1,FALSE)-VLOOKUP($A94,EnrollData2324,'2324 Jun 24 Enroll'!J$1,FALSE)='District Calculations'!$F$16+'District Calculations'!$F$25-'District Calculations'!$F$17,VLOOKUP($A94,EnrollData2324,'2324 Jun 24 Enroll'!I$1,FALSE)+VLOOKUP($A94,EnrollData2324,'2324 Jun 24 Enroll'!M$1,FALSE)-VLOOKUP($A94,EnrollData2324,'2324 Jun 24 Enroll'!J$1,FALSE),'District Calculations'!$F$16+'District Calculations'!$F$25-'District Calculations'!$F$17)*Apport_217A2425,3)</f>
        <v>4.7130000000000001</v>
      </c>
      <c r="R94">
        <f>ROUND(SUM(L94:Q94)/IF(VLOOKUP($A94,EnrollData2324,'2324 Jun 24 Enroll'!M$1,FALSE)+VLOOKUP($A94,EnrollData2324,'2324 Jun 24 Enroll'!D$1,FALSE)='District Calculations'!$F$25+'District Calculations'!$F$11,VLOOKUP($A94,EnrollData2324,'2324 Jun 24 Enroll'!M$1,FALSE)+VLOOKUP($A94,EnrollData2324,'2324 Jun 24 Enroll'!D$1,FALSE),'District Calculations'!$F$25+'District Calculations'!$F$11),5)</f>
        <v>4.1200000000000004E-3</v>
      </c>
      <c r="S94" s="11">
        <f t="shared" si="14"/>
        <v>1.8734299999999999E-2</v>
      </c>
      <c r="T94">
        <f>ROUND(IF(VLOOKUP($A94,EnrollData2324,'2324 Jun 24 Enroll'!D$1,FALSE)='District Calculations'!$F$11,VLOOKUP($A94,EnrollData2324,'2324 Jun 24 Enroll'!D$1,FALSE),'District Calculations'!$F$11)*S94,3)</f>
        <v>0</v>
      </c>
      <c r="U94">
        <f>ROUND(IF(VLOOKUP($A94,EnrollData2324,'2324 Jun 24 Enroll'!E$1,FALSE)='District Calculations'!$F$12,VLOOKUP($A94,EnrollData2324,'2324 Jun 24 Enroll'!E$1,FALSE),'District Calculations'!$F$12)*S94,3)</f>
        <v>15.183999999999999</v>
      </c>
      <c r="V94">
        <f>ROUND(IF(VLOOKUP($A94,EnrollData2324,'2324 Jun 24 Enroll'!F$1,FALSE)='District Calculations'!$F$13,VLOOKUP($A94,EnrollData2324,'2324 Jun 24 Enroll'!F$1,FALSE),'District Calculations'!$F$13)*Apport_224A2425,3)</f>
        <v>3.7109999999999999</v>
      </c>
      <c r="W94">
        <f>ROUND(IF(VLOOKUP($A94,EnrollData2324,'2324 Jun 24 Enroll'!G$1,FALSE)='District Calculations'!$F$14,VLOOKUP($A94,EnrollData2324,'2324 Jun 24 Enroll'!G$1,FALSE),'District Calculations'!$F$14)*Apport_212A2425,3)</f>
        <v>8.2279999999999998</v>
      </c>
      <c r="X94">
        <f>ROUND(IF(VLOOKUP($A94,EnrollData2324,'2324 Jun 24 Enroll'!H$1,FALSE)='District Calculations'!$F$14,VLOOKUP($A94,EnrollData2324,'2324 Jun 24 Enroll'!H$1,FALSE),'District Calculations'!$F$14)*Apport_215A2425,3)</f>
        <v>8.1180000000000003</v>
      </c>
      <c r="Y94">
        <f>ROUND(IF(VLOOKUP($A94,EnrollData2324,'2324 Jun 24 Enroll'!I$1,FALSE)+VLOOKUP($A94,EnrollData2324,'2324 Jun 24 Enroll'!M$1,FALSE)-VLOOKUP($A94,EnrollData2324,'2324 Jun 24 Enroll'!J$1,FALSE)='District Calculations'!$F$16+'District Calculations'!$F$25-'District Calculations'!$F$17,VLOOKUP($A94,EnrollData2324,'2324 Jun 24 Enroll'!I$1,FALSE)+VLOOKUP($A94,EnrollData2324,'2324 Jun 24 Enroll'!M$1,FALSE)-VLOOKUP($A94,EnrollData2324,'2324 Jun 24 Enroll'!J$1,FALSE),'District Calculations'!$F$16+'District Calculations'!$F$25-'District Calculations'!$F$17)*Apport_218A2425,3)</f>
        <v>20.257999999999999</v>
      </c>
      <c r="Z94">
        <f>ROUND(SUM(T94:Y94)/IF(VLOOKUP($A94,EnrollData2324,'2324 Jun 24 Enroll'!M$1,FALSE)+VLOOKUP($A94,EnrollData2324,'2324 Jun 24 Enroll'!D$1,FALSE)='District Calculations'!$F$25+'District Calculations'!$F$11,VLOOKUP($A94,EnrollData2324,'2324 Jun 24 Enroll'!M$1,FALSE)+VLOOKUP($A94,EnrollData2324,'2324 Jun 24 Enroll'!D$1,FALSE),'District Calculations'!$F$25+'District Calculations'!$F$11),5)</f>
        <v>1.7780000000000001E-2</v>
      </c>
      <c r="AA94" s="6">
        <f>ROUND($J94*CIS_Base_Salary2425*VLOOKUP($A94,EnrollData2324,'2324 Jun 24 Enroll'!AH$1,FALSE),2)</f>
        <v>4262.68</v>
      </c>
      <c r="AB94" s="6">
        <f>ROUND($J94*CIS_Inc_Salary2425*(VLOOKUP($A94,EnrollData2324,'2324 Jun 24 Enroll'!AI$1,FALSE)+VLOOKUP($A94,EnrollData2324,'2324 Jun 24 Enroll'!AJ$1,FALSE)),2)-AA94</f>
        <v>334.50999999999931</v>
      </c>
      <c r="AC94" s="6" cm="1">
        <f t="array" ref="AC94">ROUND($R94*CAS_Base_Salary2425*VLOOKUP($A94,EnrollData2324,'2324 Jun 24 Enroll'!AH$1,FALSE),2)</f>
        <v>461.23</v>
      </c>
      <c r="AD94" s="6">
        <f>ROUND($R94*CAS_Inc_Salary2425*VLOOKUP($A94,EnrollData2324,'2324 Jun 24 Enroll'!AI$1,FALSE),2)-AC94</f>
        <v>17.069999999999993</v>
      </c>
      <c r="AE94" s="6">
        <f>ROUND($Z94*CLS_Base_Salary2425*VLOOKUP($A94,EnrollData2324,'2324 Jun 24 Enroll'!AH$1,FALSE),2)</f>
        <v>961.95</v>
      </c>
      <c r="AF94" s="6">
        <f>ROUND($Z94*CLS_Inc_Salary2425*VLOOKUP($A94,EnrollData2324,'2324 Jun 24 Enroll'!AI$1,FALSE),2)-AE94</f>
        <v>35.599999999999909</v>
      </c>
      <c r="AG94" cm="1">
        <f t="array" ref="AG94">ROUND(($J94+$R94)*Apport_124X2425,2)</f>
        <v>800.45</v>
      </c>
      <c r="AH94" s="69" cm="1">
        <f t="array" ref="AH94">ROUND(($J94+$R94)*Apport_621X2425*Apport_125XC2425,2)-AG94</f>
        <v>73.899999999999977</v>
      </c>
      <c r="AI94" cm="1">
        <f t="array" ref="AI94">ROUND($Z94*Apport_124X2425,2)</f>
        <v>234.7</v>
      </c>
      <c r="AJ94">
        <f t="shared" si="15"/>
        <v>124.71000000000004</v>
      </c>
      <c r="AK94">
        <f t="shared" si="16"/>
        <v>857.39</v>
      </c>
      <c r="AL94">
        <f t="shared" si="17"/>
        <v>61.56</v>
      </c>
      <c r="AM94">
        <f t="shared" si="18"/>
        <v>208.36</v>
      </c>
      <c r="AN94">
        <f t="shared" si="19"/>
        <v>6.46</v>
      </c>
      <c r="AO94">
        <f>ROUND(($J94*CIS_Inc_Salary2425*(VLOOKUP($A94,EnrollData2324,'2324 Jun 24 Enroll'!AI$1,FALSE)+VLOOKUP($A94,EnrollData2324,'2324 Jun 24 Enroll'!AJ$1,FALSE))/Apport_613Xpd)*Apport_614Xpd,2)</f>
        <v>76.62</v>
      </c>
      <c r="AP94">
        <f t="shared" si="20"/>
        <v>13.42</v>
      </c>
      <c r="AQ94">
        <f t="shared" si="28"/>
        <v>31.48</v>
      </c>
      <c r="AR94" s="6">
        <f>ROUND((VLOOKUP($A94,EnrollData2324,'2324 Jun 24 Enroll'!D$1,FALSE)*Apport_M802425+VLOOKUP($A94,EnrollData2324,'2324 Jun 24 Enroll'!M$1,FALSE)*Apport_M802425+(VLOOKUP($A94,EnrollData2324,'2324 Jun 24 Enroll'!P$1,FALSE)+VLOOKUP($A94,EnrollData2324,'2324 Jun 24 Enroll'!Q$1,FALSE)+VLOOKUP($A94,EnrollData2324,'2324 Jun 24 Enroll'!R$1,FALSE)+VLOOKUP($A94,EnrollData2324,'2324 Jun 24 Enroll'!I$1,FALSE)+VLOOKUP($A94,EnrollData2324,'2324 Jun 24 Enroll'!N$1,FALSE)+VLOOKUP($A94,EnrollData2324,'2324 Jun 24 Enroll'!O$1,FALSE)+VLOOKUP($A94,EnrollData2324,'2324 Jun 24 Enroll'!K$1,FALSE)+VLOOKUP($A94,EnrollData2324,'2324 Jun 24 Enroll'!L$1,FALSE))*Apport_M812425)/(VLOOKUP($A94,EnrollData2324,'2324 Jun 24 Enroll'!M$1,FALSE)+VLOOKUP($A94,EnrollData2324,'2324 Jun 24 Enroll'!D$1,FALSE)),2)</f>
        <v>1601.8</v>
      </c>
      <c r="AS94" s="7">
        <f t="shared" si="29"/>
        <v>10163.889999999998</v>
      </c>
    </row>
    <row r="95" spans="1:45">
      <c r="A95" s="40" t="s">
        <v>881</v>
      </c>
      <c r="B95" s="40" t="s">
        <v>882</v>
      </c>
      <c r="C95" s="11">
        <f>ROUND((IFERROR((1/IF(VLOOKUP($A95,EnrollData2324,28,FALSE)='District Calculations'!$F$10,VLOOKUP($A95,EnrollData2324,28,FALSE),'District Calculations'!$F$10))*(1+Apport_Z315),0))+Apport_201A2425,6)</f>
        <v>7.4580999999999995E-2</v>
      </c>
      <c r="D95">
        <f>ROUND(IF(VLOOKUP($A95,EnrollData2324,'2324 Jun 24 Enroll'!D$1,FALSE)='District Calculations'!$F$11,VLOOKUP($A95,EnrollData2324,'2324 Jun 24 Enroll'!D$1,FALSE),'District Calculations'!$F$11)*C95,3)</f>
        <v>0</v>
      </c>
      <c r="E95">
        <f>ROUND(IF(VLOOKUP($A95,EnrollData2324,'2324 Jun 24 Enroll'!E$1,FALSE)='District Calculations'!$F$12,VLOOKUP($A95,EnrollData2324,'2324 Jun 24 Enroll'!E$1,FALSE),'District Calculations'!$F$12)*C95,3)</f>
        <v>60.447000000000003</v>
      </c>
      <c r="F95">
        <f>ROUND(IF(VLOOKUP($A95,EnrollData2324,'2324 Jun 24 Enroll'!F$1,FALSE)='District Calculations'!$F$13,VLOOKUP($A95,EnrollData2324,'2324 Jun 24 Enroll'!F$1,FALSE),'District Calculations'!$F$13)*Apport_222A2425,3)</f>
        <v>10.337999999999999</v>
      </c>
      <c r="G95">
        <f>ROUND(IF(VLOOKUP($A95,EnrollData2324,'2324 Jun 24 Enroll'!G$1,FALSE)='District Calculations'!$F$14,VLOOKUP($A95,EnrollData2324,'2324 Jun 24 Enroll'!G$1,FALSE),'District Calculations'!$F$14)*Apport_210A2425,3)</f>
        <v>22.92</v>
      </c>
      <c r="H95">
        <f>ROUND(IF(VLOOKUP($A95,EnrollData2324,'2324 Jun 24 Enroll'!H$1,FALSE)='District Calculations'!$F$15,VLOOKUP($A95,EnrollData2324,'2324 Jun 24 Enroll'!H$1,FALSE),'District Calculations'!$F$15)*Apport_213A2425,3)</f>
        <v>23.619</v>
      </c>
      <c r="I95">
        <f>ROUND(IF(VLOOKUP($A95,EnrollData2324,'2324 Jun 24 Enroll'!I$1,FALSE)+VLOOKUP($A95,EnrollData2324,'2324 Jun 24 Enroll'!M$1,FALSE)-VLOOKUP($A95,EnrollData2324,'2324 Jun 24 Enroll'!J$1,FALSE)='District Calculations'!$F$16+'District Calculations'!$F$25-'District Calculations'!$F$17,VLOOKUP($A95,EnrollData2324,'2324 Jun 24 Enroll'!I$1,FALSE)+VLOOKUP($A95,EnrollData2324,'2324 Jun 24 Enroll'!M$1,FALSE)-VLOOKUP($A95,EnrollData2324,'2324 Jun 24 Enroll'!J$1,FALSE),'District Calculations'!$F$16+'District Calculations'!$F$25-'District Calculations'!$F$17)*Apport_216A2425,3)</f>
        <v>59.057000000000002</v>
      </c>
      <c r="J95">
        <f>ROUND(SUM(D95:I95)/(IF(VLOOKUP($A95,EnrollData2324,'2324 Jun 24 Enroll'!M$1,FALSE)='District Calculations'!$F$25,VLOOKUP($A95,EnrollData2324,'2324 Jun 24 Enroll'!M$1,FALSE),'District Calculations'!$F$25)+IF(VLOOKUP($A95,EnrollData2324,'2324 Jun 24 Enroll'!D$1,FALSE)='District Calculations'!$F$11,VLOOKUP($A95,EnrollData2324,'2324 Jun 24 Enroll'!D$1,FALSE),'District Calculations'!$F$11)),5)</f>
        <v>5.6520000000000001E-2</v>
      </c>
      <c r="K95" s="11">
        <f t="shared" si="13"/>
        <v>4.385E-3</v>
      </c>
      <c r="L95">
        <f>ROUND(IF(VLOOKUP($A95,EnrollData2324,'2324 Jun 24 Enroll'!D$1,FALSE)='District Calculations'!$F$11,VLOOKUP($A95,EnrollData2324,'2324 Jun 24 Enroll'!D$1,FALSE),'District Calculations'!$F$11)*K95,3)</f>
        <v>0</v>
      </c>
      <c r="M95">
        <f>ROUND(IF(VLOOKUP($A95,EnrollData2324,'2324 Jun 24 Enroll'!E$1,FALSE)='District Calculations'!$F$12,VLOOKUP($A95,EnrollData2324,'2324 Jun 24 Enroll'!E$1,FALSE),'District Calculations'!$F$12)*K95,3)</f>
        <v>3.5539999999999998</v>
      </c>
      <c r="N95">
        <f>ROUND(IF(VLOOKUP($A95,EnrollData2324,'2324 Jun 24 Enroll'!F$1,FALSE)='District Calculations'!$F$13,VLOOKUP($A95,EnrollData2324,'2324 Jun 24 Enroll'!F$1,FALSE),'District Calculations'!$F$13)*Apport_223A2425,3)</f>
        <v>0.84599999999999997</v>
      </c>
      <c r="O95">
        <f>ROUND(IF(VLOOKUP($A95,EnrollData2324,'2324 Jun 24 Enroll'!G$1,FALSE)='District Calculations'!$F$14,VLOOKUP($A95,EnrollData2324,'2324 Jun 24 Enroll'!G$1,FALSE),'District Calculations'!$F$14)*Apport_211A2425,3)</f>
        <v>1.877</v>
      </c>
      <c r="P95">
        <f>ROUND(IF(VLOOKUP($A95,EnrollData2324,'2324 Jun 24 Enroll'!H$1,FALSE)='District Calculations'!$F$14,VLOOKUP($A95,EnrollData2324,'2324 Jun 24 Enroll'!H$1,FALSE),'District Calculations'!$F$14)*Apport_214A2425,3)</f>
        <v>1.875</v>
      </c>
      <c r="Q95">
        <f>ROUND(IF(VLOOKUP($A95,EnrollData2324,'2324 Jun 24 Enroll'!I$1,FALSE)+VLOOKUP($A95,EnrollData2324,'2324 Jun 24 Enroll'!M$1,FALSE)-VLOOKUP($A95,EnrollData2324,'2324 Jun 24 Enroll'!J$1,FALSE)='District Calculations'!$F$16+'District Calculations'!$F$25-'District Calculations'!$F$17,VLOOKUP($A95,EnrollData2324,'2324 Jun 24 Enroll'!I$1,FALSE)+VLOOKUP($A95,EnrollData2324,'2324 Jun 24 Enroll'!M$1,FALSE)-VLOOKUP($A95,EnrollData2324,'2324 Jun 24 Enroll'!J$1,FALSE),'District Calculations'!$F$16+'District Calculations'!$F$25-'District Calculations'!$F$17)*Apport_217A2425,3)</f>
        <v>4.7130000000000001</v>
      </c>
      <c r="R95">
        <f>ROUND(SUM(L95:Q95)/IF(VLOOKUP($A95,EnrollData2324,'2324 Jun 24 Enroll'!M$1,FALSE)+VLOOKUP($A95,EnrollData2324,'2324 Jun 24 Enroll'!D$1,FALSE)='District Calculations'!$F$25+'District Calculations'!$F$11,VLOOKUP($A95,EnrollData2324,'2324 Jun 24 Enroll'!M$1,FALSE)+VLOOKUP($A95,EnrollData2324,'2324 Jun 24 Enroll'!D$1,FALSE),'District Calculations'!$F$25+'District Calculations'!$F$11),5)</f>
        <v>4.1200000000000004E-3</v>
      </c>
      <c r="S95" s="11">
        <f t="shared" si="14"/>
        <v>1.8734299999999999E-2</v>
      </c>
      <c r="T95">
        <f>ROUND(IF(VLOOKUP($A95,EnrollData2324,'2324 Jun 24 Enroll'!D$1,FALSE)='District Calculations'!$F$11,VLOOKUP($A95,EnrollData2324,'2324 Jun 24 Enroll'!D$1,FALSE),'District Calculations'!$F$11)*S95,3)</f>
        <v>0</v>
      </c>
      <c r="U95">
        <f>ROUND(IF(VLOOKUP($A95,EnrollData2324,'2324 Jun 24 Enroll'!E$1,FALSE)='District Calculations'!$F$12,VLOOKUP($A95,EnrollData2324,'2324 Jun 24 Enroll'!E$1,FALSE),'District Calculations'!$F$12)*S95,3)</f>
        <v>15.183999999999999</v>
      </c>
      <c r="V95">
        <f>ROUND(IF(VLOOKUP($A95,EnrollData2324,'2324 Jun 24 Enroll'!F$1,FALSE)='District Calculations'!$F$13,VLOOKUP($A95,EnrollData2324,'2324 Jun 24 Enroll'!F$1,FALSE),'District Calculations'!$F$13)*Apport_224A2425,3)</f>
        <v>3.7109999999999999</v>
      </c>
      <c r="W95">
        <f>ROUND(IF(VLOOKUP($A95,EnrollData2324,'2324 Jun 24 Enroll'!G$1,FALSE)='District Calculations'!$F$14,VLOOKUP($A95,EnrollData2324,'2324 Jun 24 Enroll'!G$1,FALSE),'District Calculations'!$F$14)*Apport_212A2425,3)</f>
        <v>8.2279999999999998</v>
      </c>
      <c r="X95">
        <f>ROUND(IF(VLOOKUP($A95,EnrollData2324,'2324 Jun 24 Enroll'!H$1,FALSE)='District Calculations'!$F$14,VLOOKUP($A95,EnrollData2324,'2324 Jun 24 Enroll'!H$1,FALSE),'District Calculations'!$F$14)*Apport_215A2425,3)</f>
        <v>8.1180000000000003</v>
      </c>
      <c r="Y95">
        <f>ROUND(IF(VLOOKUP($A95,EnrollData2324,'2324 Jun 24 Enroll'!I$1,FALSE)+VLOOKUP($A95,EnrollData2324,'2324 Jun 24 Enroll'!M$1,FALSE)-VLOOKUP($A95,EnrollData2324,'2324 Jun 24 Enroll'!J$1,FALSE)='District Calculations'!$F$16+'District Calculations'!$F$25-'District Calculations'!$F$17,VLOOKUP($A95,EnrollData2324,'2324 Jun 24 Enroll'!I$1,FALSE)+VLOOKUP($A95,EnrollData2324,'2324 Jun 24 Enroll'!M$1,FALSE)-VLOOKUP($A95,EnrollData2324,'2324 Jun 24 Enroll'!J$1,FALSE),'District Calculations'!$F$16+'District Calculations'!$F$25-'District Calculations'!$F$17)*Apport_218A2425,3)</f>
        <v>20.257999999999999</v>
      </c>
      <c r="Z95">
        <f>ROUND(SUM(T95:Y95)/IF(VLOOKUP($A95,EnrollData2324,'2324 Jun 24 Enroll'!M$1,FALSE)+VLOOKUP($A95,EnrollData2324,'2324 Jun 24 Enroll'!D$1,FALSE)='District Calculations'!$F$25+'District Calculations'!$F$11,VLOOKUP($A95,EnrollData2324,'2324 Jun 24 Enroll'!M$1,FALSE)+VLOOKUP($A95,EnrollData2324,'2324 Jun 24 Enroll'!D$1,FALSE),'District Calculations'!$F$25+'District Calculations'!$F$11),5)</f>
        <v>1.7780000000000001E-2</v>
      </c>
      <c r="AA95" s="6">
        <f>ROUND($J95*CIS_Base_Salary2425*VLOOKUP($A95,EnrollData2324,'2324 Jun 24 Enroll'!AH$1,FALSE),2)</f>
        <v>4262.68</v>
      </c>
      <c r="AB95" s="6">
        <f>ROUND($J95*CIS_Inc_Salary2425*(VLOOKUP($A95,EnrollData2324,'2324 Jun 24 Enroll'!AI$1,FALSE)+VLOOKUP($A95,EnrollData2324,'2324 Jun 24 Enroll'!AJ$1,FALSE)),2)-AA95</f>
        <v>201.89999999999964</v>
      </c>
      <c r="AC95" s="6" cm="1">
        <f t="array" ref="AC95">ROUND($R95*CAS_Base_Salary2425*VLOOKUP($A95,EnrollData2324,'2324 Jun 24 Enroll'!AH$1,FALSE),2)</f>
        <v>461.23</v>
      </c>
      <c r="AD95" s="6">
        <f>ROUND($R95*CAS_Inc_Salary2425*VLOOKUP($A95,EnrollData2324,'2324 Jun 24 Enroll'!AI$1,FALSE),2)-AC95</f>
        <v>17.069999999999993</v>
      </c>
      <c r="AE95" s="6">
        <f>ROUND($Z95*CLS_Base_Salary2425*VLOOKUP($A95,EnrollData2324,'2324 Jun 24 Enroll'!AH$1,FALSE),2)</f>
        <v>961.95</v>
      </c>
      <c r="AF95" s="6">
        <f>ROUND($Z95*CLS_Inc_Salary2425*VLOOKUP($A95,EnrollData2324,'2324 Jun 24 Enroll'!AI$1,FALSE),2)-AE95</f>
        <v>35.599999999999909</v>
      </c>
      <c r="AG95" cm="1">
        <f t="array" ref="AG95">ROUND(($J95+$R95)*Apport_124X2425,2)</f>
        <v>800.45</v>
      </c>
      <c r="AH95" s="69" cm="1">
        <f t="array" ref="AH95">ROUND(($J95+$R95)*Apport_621X2425*Apport_125XC2425,2)-AG95</f>
        <v>73.899999999999977</v>
      </c>
      <c r="AI95" cm="1">
        <f t="array" ref="AI95">ROUND($Z95*Apport_124X2425,2)</f>
        <v>234.7</v>
      </c>
      <c r="AJ95">
        <f t="shared" si="15"/>
        <v>124.71000000000004</v>
      </c>
      <c r="AK95">
        <f t="shared" si="16"/>
        <v>857.39</v>
      </c>
      <c r="AL95">
        <f t="shared" si="17"/>
        <v>38.340000000000003</v>
      </c>
      <c r="AM95">
        <f t="shared" si="18"/>
        <v>208.36</v>
      </c>
      <c r="AN95">
        <f t="shared" si="19"/>
        <v>6.46</v>
      </c>
      <c r="AO95">
        <f>ROUND(($J95*CIS_Inc_Salary2425*(VLOOKUP($A95,EnrollData2324,'2324 Jun 24 Enroll'!AI$1,FALSE)+VLOOKUP($A95,EnrollData2324,'2324 Jun 24 Enroll'!AJ$1,FALSE))/Apport_613Xpd)*Apport_614Xpd,2)</f>
        <v>74.41</v>
      </c>
      <c r="AP95">
        <f t="shared" si="20"/>
        <v>13.03</v>
      </c>
      <c r="AQ95">
        <f t="shared" si="28"/>
        <v>31.48</v>
      </c>
      <c r="AR95" s="6">
        <f>ROUND((VLOOKUP($A95,EnrollData2324,'2324 Jun 24 Enroll'!D$1,FALSE)*Apport_M802425+VLOOKUP($A95,EnrollData2324,'2324 Jun 24 Enroll'!M$1,FALSE)*Apport_M802425+(VLOOKUP($A95,EnrollData2324,'2324 Jun 24 Enroll'!P$1,FALSE)+VLOOKUP($A95,EnrollData2324,'2324 Jun 24 Enroll'!Q$1,FALSE)+VLOOKUP($A95,EnrollData2324,'2324 Jun 24 Enroll'!R$1,FALSE)+VLOOKUP($A95,EnrollData2324,'2324 Jun 24 Enroll'!I$1,FALSE)+VLOOKUP($A95,EnrollData2324,'2324 Jun 24 Enroll'!N$1,FALSE)+VLOOKUP($A95,EnrollData2324,'2324 Jun 24 Enroll'!O$1,FALSE)+VLOOKUP($A95,EnrollData2324,'2324 Jun 24 Enroll'!K$1,FALSE)+VLOOKUP($A95,EnrollData2324,'2324 Jun 24 Enroll'!L$1,FALSE))*Apport_M812425)/(VLOOKUP($A95,EnrollData2324,'2324 Jun 24 Enroll'!M$1,FALSE)+VLOOKUP($A95,EnrollData2324,'2324 Jun 24 Enroll'!D$1,FALSE)),2)</f>
        <v>1606.39</v>
      </c>
      <c r="AS95" s="7">
        <f t="shared" si="29"/>
        <v>10010.049999999997</v>
      </c>
    </row>
    <row r="96" spans="1:45">
      <c r="A96" s="40" t="s">
        <v>482</v>
      </c>
      <c r="B96" s="40" t="s">
        <v>483</v>
      </c>
      <c r="C96" s="11">
        <f>ROUND((IFERROR((1/IF(VLOOKUP($A96,EnrollData2324,28,FALSE)='District Calculations'!$F$10,VLOOKUP($A96,EnrollData2324,28,FALSE),'District Calculations'!$F$10))*(1+Apport_Z315),0))+Apport_201A2425,6)</f>
        <v>7.4580999999999995E-2</v>
      </c>
      <c r="D96">
        <f>ROUND(IF(VLOOKUP($A96,EnrollData2324,'2324 Jun 24 Enroll'!D$1,FALSE)='District Calculations'!$F$11,VLOOKUP($A96,EnrollData2324,'2324 Jun 24 Enroll'!D$1,FALSE),'District Calculations'!$F$11)*C96,3)</f>
        <v>0</v>
      </c>
      <c r="E96">
        <f>ROUND(IF(VLOOKUP($A96,EnrollData2324,'2324 Jun 24 Enroll'!E$1,FALSE)='District Calculations'!$F$12,VLOOKUP($A96,EnrollData2324,'2324 Jun 24 Enroll'!E$1,FALSE),'District Calculations'!$F$12)*C96,3)</f>
        <v>60.447000000000003</v>
      </c>
      <c r="F96">
        <f>ROUND(IF(VLOOKUP($A96,EnrollData2324,'2324 Jun 24 Enroll'!F$1,FALSE)='District Calculations'!$F$13,VLOOKUP($A96,EnrollData2324,'2324 Jun 24 Enroll'!F$1,FALSE),'District Calculations'!$F$13)*Apport_222A2425,3)</f>
        <v>10.337999999999999</v>
      </c>
      <c r="G96">
        <f>ROUND(IF(VLOOKUP($A96,EnrollData2324,'2324 Jun 24 Enroll'!G$1,FALSE)='District Calculations'!$F$14,VLOOKUP($A96,EnrollData2324,'2324 Jun 24 Enroll'!G$1,FALSE),'District Calculations'!$F$14)*Apport_210A2425,3)</f>
        <v>22.92</v>
      </c>
      <c r="H96">
        <f>ROUND(IF(VLOOKUP($A96,EnrollData2324,'2324 Jun 24 Enroll'!H$1,FALSE)='District Calculations'!$F$15,VLOOKUP($A96,EnrollData2324,'2324 Jun 24 Enroll'!H$1,FALSE),'District Calculations'!$F$15)*Apport_213A2425,3)</f>
        <v>23.619</v>
      </c>
      <c r="I96">
        <f>ROUND(IF(VLOOKUP($A96,EnrollData2324,'2324 Jun 24 Enroll'!I$1,FALSE)+VLOOKUP($A96,EnrollData2324,'2324 Jun 24 Enroll'!M$1,FALSE)-VLOOKUP($A96,EnrollData2324,'2324 Jun 24 Enroll'!J$1,FALSE)='District Calculations'!$F$16+'District Calculations'!$F$25-'District Calculations'!$F$17,VLOOKUP($A96,EnrollData2324,'2324 Jun 24 Enroll'!I$1,FALSE)+VLOOKUP($A96,EnrollData2324,'2324 Jun 24 Enroll'!M$1,FALSE)-VLOOKUP($A96,EnrollData2324,'2324 Jun 24 Enroll'!J$1,FALSE),'District Calculations'!$F$16+'District Calculations'!$F$25-'District Calculations'!$F$17)*Apport_216A2425,3)</f>
        <v>59.057000000000002</v>
      </c>
      <c r="J96">
        <f>ROUND(SUM(D96:I96)/(IF(VLOOKUP($A96,EnrollData2324,'2324 Jun 24 Enroll'!M$1,FALSE)='District Calculations'!$F$25,VLOOKUP($A96,EnrollData2324,'2324 Jun 24 Enroll'!M$1,FALSE),'District Calculations'!$F$25)+IF(VLOOKUP($A96,EnrollData2324,'2324 Jun 24 Enroll'!D$1,FALSE)='District Calculations'!$F$11,VLOOKUP($A96,EnrollData2324,'2324 Jun 24 Enroll'!D$1,FALSE),'District Calculations'!$F$11)),5)</f>
        <v>5.6520000000000001E-2</v>
      </c>
      <c r="K96" s="11">
        <f t="shared" si="13"/>
        <v>4.385E-3</v>
      </c>
      <c r="L96">
        <f>ROUND(IF(VLOOKUP($A96,EnrollData2324,'2324 Jun 24 Enroll'!D$1,FALSE)='District Calculations'!$F$11,VLOOKUP($A96,EnrollData2324,'2324 Jun 24 Enroll'!D$1,FALSE),'District Calculations'!$F$11)*K96,3)</f>
        <v>0</v>
      </c>
      <c r="M96">
        <f>ROUND(IF(VLOOKUP($A96,EnrollData2324,'2324 Jun 24 Enroll'!E$1,FALSE)='District Calculations'!$F$12,VLOOKUP($A96,EnrollData2324,'2324 Jun 24 Enroll'!E$1,FALSE),'District Calculations'!$F$12)*K96,3)</f>
        <v>3.5539999999999998</v>
      </c>
      <c r="N96">
        <f>ROUND(IF(VLOOKUP($A96,EnrollData2324,'2324 Jun 24 Enroll'!F$1,FALSE)='District Calculations'!$F$13,VLOOKUP($A96,EnrollData2324,'2324 Jun 24 Enroll'!F$1,FALSE),'District Calculations'!$F$13)*Apport_223A2425,3)</f>
        <v>0.84599999999999997</v>
      </c>
      <c r="O96">
        <f>ROUND(IF(VLOOKUP($A96,EnrollData2324,'2324 Jun 24 Enroll'!G$1,FALSE)='District Calculations'!$F$14,VLOOKUP($A96,EnrollData2324,'2324 Jun 24 Enroll'!G$1,FALSE),'District Calculations'!$F$14)*Apport_211A2425,3)</f>
        <v>1.877</v>
      </c>
      <c r="P96">
        <f>ROUND(IF(VLOOKUP($A96,EnrollData2324,'2324 Jun 24 Enroll'!H$1,FALSE)='District Calculations'!$F$14,VLOOKUP($A96,EnrollData2324,'2324 Jun 24 Enroll'!H$1,FALSE),'District Calculations'!$F$14)*Apport_214A2425,3)</f>
        <v>1.875</v>
      </c>
      <c r="Q96">
        <f>ROUND(IF(VLOOKUP($A96,EnrollData2324,'2324 Jun 24 Enroll'!I$1,FALSE)+VLOOKUP($A96,EnrollData2324,'2324 Jun 24 Enroll'!M$1,FALSE)-VLOOKUP($A96,EnrollData2324,'2324 Jun 24 Enroll'!J$1,FALSE)='District Calculations'!$F$16+'District Calculations'!$F$25-'District Calculations'!$F$17,VLOOKUP($A96,EnrollData2324,'2324 Jun 24 Enroll'!I$1,FALSE)+VLOOKUP($A96,EnrollData2324,'2324 Jun 24 Enroll'!M$1,FALSE)-VLOOKUP($A96,EnrollData2324,'2324 Jun 24 Enroll'!J$1,FALSE),'District Calculations'!$F$16+'District Calculations'!$F$25-'District Calculations'!$F$17)*Apport_217A2425,3)</f>
        <v>4.7130000000000001</v>
      </c>
      <c r="R96">
        <f>ROUND(SUM(L96:Q96)/IF(VLOOKUP($A96,EnrollData2324,'2324 Jun 24 Enroll'!M$1,FALSE)+VLOOKUP($A96,EnrollData2324,'2324 Jun 24 Enroll'!D$1,FALSE)='District Calculations'!$F$25+'District Calculations'!$F$11,VLOOKUP($A96,EnrollData2324,'2324 Jun 24 Enroll'!M$1,FALSE)+VLOOKUP($A96,EnrollData2324,'2324 Jun 24 Enroll'!D$1,FALSE),'District Calculations'!$F$25+'District Calculations'!$F$11),5)</f>
        <v>4.1200000000000004E-3</v>
      </c>
      <c r="S96" s="11">
        <f t="shared" si="14"/>
        <v>1.8734299999999999E-2</v>
      </c>
      <c r="T96">
        <f>ROUND(IF(VLOOKUP($A96,EnrollData2324,'2324 Jun 24 Enroll'!D$1,FALSE)='District Calculations'!$F$11,VLOOKUP($A96,EnrollData2324,'2324 Jun 24 Enroll'!D$1,FALSE),'District Calculations'!$F$11)*S96,3)</f>
        <v>0</v>
      </c>
      <c r="U96">
        <f>ROUND(IF(VLOOKUP($A96,EnrollData2324,'2324 Jun 24 Enroll'!E$1,FALSE)='District Calculations'!$F$12,VLOOKUP($A96,EnrollData2324,'2324 Jun 24 Enroll'!E$1,FALSE),'District Calculations'!$F$12)*S96,3)</f>
        <v>15.183999999999999</v>
      </c>
      <c r="V96">
        <f>ROUND(IF(VLOOKUP($A96,EnrollData2324,'2324 Jun 24 Enroll'!F$1,FALSE)='District Calculations'!$F$13,VLOOKUP($A96,EnrollData2324,'2324 Jun 24 Enroll'!F$1,FALSE),'District Calculations'!$F$13)*Apport_224A2425,3)</f>
        <v>3.7109999999999999</v>
      </c>
      <c r="W96">
        <f>ROUND(IF(VLOOKUP($A96,EnrollData2324,'2324 Jun 24 Enroll'!G$1,FALSE)='District Calculations'!$F$14,VLOOKUP($A96,EnrollData2324,'2324 Jun 24 Enroll'!G$1,FALSE),'District Calculations'!$F$14)*Apport_212A2425,3)</f>
        <v>8.2279999999999998</v>
      </c>
      <c r="X96">
        <f>ROUND(IF(VLOOKUP($A96,EnrollData2324,'2324 Jun 24 Enroll'!H$1,FALSE)='District Calculations'!$F$14,VLOOKUP($A96,EnrollData2324,'2324 Jun 24 Enroll'!H$1,FALSE),'District Calculations'!$F$14)*Apport_215A2425,3)</f>
        <v>8.1180000000000003</v>
      </c>
      <c r="Y96">
        <f>ROUND(IF(VLOOKUP($A96,EnrollData2324,'2324 Jun 24 Enroll'!I$1,FALSE)+VLOOKUP($A96,EnrollData2324,'2324 Jun 24 Enroll'!M$1,FALSE)-VLOOKUP($A96,EnrollData2324,'2324 Jun 24 Enroll'!J$1,FALSE)='District Calculations'!$F$16+'District Calculations'!$F$25-'District Calculations'!$F$17,VLOOKUP($A96,EnrollData2324,'2324 Jun 24 Enroll'!I$1,FALSE)+VLOOKUP($A96,EnrollData2324,'2324 Jun 24 Enroll'!M$1,FALSE)-VLOOKUP($A96,EnrollData2324,'2324 Jun 24 Enroll'!J$1,FALSE),'District Calculations'!$F$16+'District Calculations'!$F$25-'District Calculations'!$F$17)*Apport_218A2425,3)</f>
        <v>20.257999999999999</v>
      </c>
      <c r="Z96">
        <f>ROUND(SUM(T96:Y96)/IF(VLOOKUP($A96,EnrollData2324,'2324 Jun 24 Enroll'!M$1,FALSE)+VLOOKUP($A96,EnrollData2324,'2324 Jun 24 Enroll'!D$1,FALSE)='District Calculations'!$F$25+'District Calculations'!$F$11,VLOOKUP($A96,EnrollData2324,'2324 Jun 24 Enroll'!M$1,FALSE)+VLOOKUP($A96,EnrollData2324,'2324 Jun 24 Enroll'!D$1,FALSE),'District Calculations'!$F$25+'District Calculations'!$F$11),5)</f>
        <v>1.7780000000000001E-2</v>
      </c>
      <c r="AA96" s="6">
        <f>ROUND($J96*CIS_Base_Salary2425*VLOOKUP($A96,EnrollData2324,'2324 Jun 24 Enroll'!AH$1,FALSE),2)</f>
        <v>4262.68</v>
      </c>
      <c r="AB96" s="6">
        <f>ROUND($J96*CIS_Inc_Salary2425*(VLOOKUP($A96,EnrollData2324,'2324 Jun 24 Enroll'!AI$1,FALSE)+VLOOKUP($A96,EnrollData2324,'2324 Jun 24 Enroll'!AJ$1,FALSE)),2)-AA96</f>
        <v>157.6899999999996</v>
      </c>
      <c r="AC96" s="6" cm="1">
        <f t="array" ref="AC96">ROUND($R96*CAS_Base_Salary2425*VLOOKUP($A96,EnrollData2324,'2324 Jun 24 Enroll'!AH$1,FALSE),2)</f>
        <v>461.23</v>
      </c>
      <c r="AD96" s="6">
        <f>ROUND($R96*CAS_Inc_Salary2425*VLOOKUP($A96,EnrollData2324,'2324 Jun 24 Enroll'!AI$1,FALSE),2)-AC96</f>
        <v>17.069999999999993</v>
      </c>
      <c r="AE96" s="6">
        <f>ROUND($Z96*CLS_Base_Salary2425*VLOOKUP($A96,EnrollData2324,'2324 Jun 24 Enroll'!AH$1,FALSE),2)</f>
        <v>961.95</v>
      </c>
      <c r="AF96" s="6">
        <f>ROUND($Z96*CLS_Inc_Salary2425*VLOOKUP($A96,EnrollData2324,'2324 Jun 24 Enroll'!AI$1,FALSE),2)-AE96</f>
        <v>35.599999999999909</v>
      </c>
      <c r="AG96" cm="1">
        <f t="array" ref="AG96">ROUND(($J96+$R96)*Apport_124X2425,2)</f>
        <v>800.45</v>
      </c>
      <c r="AH96" s="69" cm="1">
        <f t="array" ref="AH96">ROUND(($J96+$R96)*Apport_621X2425*Apport_125XC2425,2)-AG96</f>
        <v>73.899999999999977</v>
      </c>
      <c r="AI96" cm="1">
        <f t="array" ref="AI96">ROUND($Z96*Apport_124X2425,2)</f>
        <v>234.7</v>
      </c>
      <c r="AJ96">
        <f t="shared" si="15"/>
        <v>124.71000000000004</v>
      </c>
      <c r="AK96">
        <f t="shared" si="16"/>
        <v>857.39</v>
      </c>
      <c r="AL96">
        <f t="shared" si="17"/>
        <v>30.6</v>
      </c>
      <c r="AM96">
        <f t="shared" si="18"/>
        <v>208.36</v>
      </c>
      <c r="AN96">
        <f t="shared" si="19"/>
        <v>6.46</v>
      </c>
      <c r="AO96">
        <f>ROUND(($J96*CIS_Inc_Salary2425*(VLOOKUP($A96,EnrollData2324,'2324 Jun 24 Enroll'!AI$1,FALSE)+VLOOKUP($A96,EnrollData2324,'2324 Jun 24 Enroll'!AJ$1,FALSE))/Apport_613Xpd)*Apport_614Xpd,2)</f>
        <v>73.67</v>
      </c>
      <c r="AP96">
        <f t="shared" si="20"/>
        <v>12.9</v>
      </c>
      <c r="AQ96">
        <f t="shared" si="28"/>
        <v>31.48</v>
      </c>
      <c r="AR96" s="6">
        <f>ROUND((VLOOKUP($A96,EnrollData2324,'2324 Jun 24 Enroll'!D$1,FALSE)*Apport_M802425+VLOOKUP($A96,EnrollData2324,'2324 Jun 24 Enroll'!M$1,FALSE)*Apport_M802425+(VLOOKUP($A96,EnrollData2324,'2324 Jun 24 Enroll'!P$1,FALSE)+VLOOKUP($A96,EnrollData2324,'2324 Jun 24 Enroll'!Q$1,FALSE)+VLOOKUP($A96,EnrollData2324,'2324 Jun 24 Enroll'!R$1,FALSE)+VLOOKUP($A96,EnrollData2324,'2324 Jun 24 Enroll'!I$1,FALSE)+VLOOKUP($A96,EnrollData2324,'2324 Jun 24 Enroll'!N$1,FALSE)+VLOOKUP($A96,EnrollData2324,'2324 Jun 24 Enroll'!O$1,FALSE)+VLOOKUP($A96,EnrollData2324,'2324 Jun 24 Enroll'!K$1,FALSE)+VLOOKUP($A96,EnrollData2324,'2324 Jun 24 Enroll'!L$1,FALSE))*Apport_M812425)/(VLOOKUP($A96,EnrollData2324,'2324 Jun 24 Enroll'!M$1,FALSE)+VLOOKUP($A96,EnrollData2324,'2324 Jun 24 Enroll'!D$1,FALSE)),2)</f>
        <v>1611.83</v>
      </c>
      <c r="AS96" s="7">
        <f t="shared" si="29"/>
        <v>9962.6699999999983</v>
      </c>
    </row>
    <row r="97" spans="1:45">
      <c r="A97" s="40" t="s">
        <v>315</v>
      </c>
      <c r="B97" s="40" t="s">
        <v>316</v>
      </c>
      <c r="C97" s="11">
        <f>ROUND((IFERROR((1/IF(VLOOKUP($A97,EnrollData2324,28,FALSE)='District Calculations'!$F$10,VLOOKUP($A97,EnrollData2324,28,FALSE),'District Calculations'!$F$10))*(1+Apport_Z315),0))+Apport_201A2425,6)</f>
        <v>7.4580999999999995E-2</v>
      </c>
      <c r="D97">
        <f>ROUND(IF(VLOOKUP($A97,EnrollData2324,'2324 Jun 24 Enroll'!D$1,FALSE)='District Calculations'!$F$11,VLOOKUP($A97,EnrollData2324,'2324 Jun 24 Enroll'!D$1,FALSE),'District Calculations'!$F$11)*C97,3)</f>
        <v>0</v>
      </c>
      <c r="E97">
        <f>ROUND(IF(VLOOKUP($A97,EnrollData2324,'2324 Jun 24 Enroll'!E$1,FALSE)='District Calculations'!$F$12,VLOOKUP($A97,EnrollData2324,'2324 Jun 24 Enroll'!E$1,FALSE),'District Calculations'!$F$12)*C97,3)</f>
        <v>60.447000000000003</v>
      </c>
      <c r="F97">
        <f>ROUND(IF(VLOOKUP($A97,EnrollData2324,'2324 Jun 24 Enroll'!F$1,FALSE)='District Calculations'!$F$13,VLOOKUP($A97,EnrollData2324,'2324 Jun 24 Enroll'!F$1,FALSE),'District Calculations'!$F$13)*Apport_222A2425,3)</f>
        <v>10.337999999999999</v>
      </c>
      <c r="G97">
        <f>ROUND(IF(VLOOKUP($A97,EnrollData2324,'2324 Jun 24 Enroll'!G$1,FALSE)='District Calculations'!$F$14,VLOOKUP($A97,EnrollData2324,'2324 Jun 24 Enroll'!G$1,FALSE),'District Calculations'!$F$14)*Apport_210A2425,3)</f>
        <v>22.92</v>
      </c>
      <c r="H97">
        <f>ROUND(IF(VLOOKUP($A97,EnrollData2324,'2324 Jun 24 Enroll'!H$1,FALSE)='District Calculations'!$F$15,VLOOKUP($A97,EnrollData2324,'2324 Jun 24 Enroll'!H$1,FALSE),'District Calculations'!$F$15)*Apport_213A2425,3)</f>
        <v>23.619</v>
      </c>
      <c r="I97">
        <f>ROUND(IF(VLOOKUP($A97,EnrollData2324,'2324 Jun 24 Enroll'!I$1,FALSE)+VLOOKUP($A97,EnrollData2324,'2324 Jun 24 Enroll'!M$1,FALSE)-VLOOKUP($A97,EnrollData2324,'2324 Jun 24 Enroll'!J$1,FALSE)='District Calculations'!$F$16+'District Calculations'!$F$25-'District Calculations'!$F$17,VLOOKUP($A97,EnrollData2324,'2324 Jun 24 Enroll'!I$1,FALSE)+VLOOKUP($A97,EnrollData2324,'2324 Jun 24 Enroll'!M$1,FALSE)-VLOOKUP($A97,EnrollData2324,'2324 Jun 24 Enroll'!J$1,FALSE),'District Calculations'!$F$16+'District Calculations'!$F$25-'District Calculations'!$F$17)*Apport_216A2425,3)</f>
        <v>59.057000000000002</v>
      </c>
      <c r="J97">
        <f>ROUND(SUM(D97:I97)/(IF(VLOOKUP($A97,EnrollData2324,'2324 Jun 24 Enroll'!M$1,FALSE)='District Calculations'!$F$25,VLOOKUP($A97,EnrollData2324,'2324 Jun 24 Enroll'!M$1,FALSE),'District Calculations'!$F$25)+IF(VLOOKUP($A97,EnrollData2324,'2324 Jun 24 Enroll'!D$1,FALSE)='District Calculations'!$F$11,VLOOKUP($A97,EnrollData2324,'2324 Jun 24 Enroll'!D$1,FALSE),'District Calculations'!$F$11)),5)</f>
        <v>5.6520000000000001E-2</v>
      </c>
      <c r="K97" s="11">
        <f t="shared" si="13"/>
        <v>4.385E-3</v>
      </c>
      <c r="L97">
        <f>ROUND(IF(VLOOKUP($A97,EnrollData2324,'2324 Jun 24 Enroll'!D$1,FALSE)='District Calculations'!$F$11,VLOOKUP($A97,EnrollData2324,'2324 Jun 24 Enroll'!D$1,FALSE),'District Calculations'!$F$11)*K97,3)</f>
        <v>0</v>
      </c>
      <c r="M97">
        <f>ROUND(IF(VLOOKUP($A97,EnrollData2324,'2324 Jun 24 Enroll'!E$1,FALSE)='District Calculations'!$F$12,VLOOKUP($A97,EnrollData2324,'2324 Jun 24 Enroll'!E$1,FALSE),'District Calculations'!$F$12)*K97,3)</f>
        <v>3.5539999999999998</v>
      </c>
      <c r="N97">
        <f>ROUND(IF(VLOOKUP($A97,EnrollData2324,'2324 Jun 24 Enroll'!F$1,FALSE)='District Calculations'!$F$13,VLOOKUP($A97,EnrollData2324,'2324 Jun 24 Enroll'!F$1,FALSE),'District Calculations'!$F$13)*Apport_223A2425,3)</f>
        <v>0.84599999999999997</v>
      </c>
      <c r="O97">
        <f>ROUND(IF(VLOOKUP($A97,EnrollData2324,'2324 Jun 24 Enroll'!G$1,FALSE)='District Calculations'!$F$14,VLOOKUP($A97,EnrollData2324,'2324 Jun 24 Enroll'!G$1,FALSE),'District Calculations'!$F$14)*Apport_211A2425,3)</f>
        <v>1.877</v>
      </c>
      <c r="P97">
        <f>ROUND(IF(VLOOKUP($A97,EnrollData2324,'2324 Jun 24 Enroll'!H$1,FALSE)='District Calculations'!$F$14,VLOOKUP($A97,EnrollData2324,'2324 Jun 24 Enroll'!H$1,FALSE),'District Calculations'!$F$14)*Apport_214A2425,3)</f>
        <v>1.875</v>
      </c>
      <c r="Q97">
        <f>ROUND(IF(VLOOKUP($A97,EnrollData2324,'2324 Jun 24 Enroll'!I$1,FALSE)+VLOOKUP($A97,EnrollData2324,'2324 Jun 24 Enroll'!M$1,FALSE)-VLOOKUP($A97,EnrollData2324,'2324 Jun 24 Enroll'!J$1,FALSE)='District Calculations'!$F$16+'District Calculations'!$F$25-'District Calculations'!$F$17,VLOOKUP($A97,EnrollData2324,'2324 Jun 24 Enroll'!I$1,FALSE)+VLOOKUP($A97,EnrollData2324,'2324 Jun 24 Enroll'!M$1,FALSE)-VLOOKUP($A97,EnrollData2324,'2324 Jun 24 Enroll'!J$1,FALSE),'District Calculations'!$F$16+'District Calculations'!$F$25-'District Calculations'!$F$17)*Apport_217A2425,3)</f>
        <v>4.7130000000000001</v>
      </c>
      <c r="R97">
        <f>ROUND(SUM(L97:Q97)/IF(VLOOKUP($A97,EnrollData2324,'2324 Jun 24 Enroll'!M$1,FALSE)+VLOOKUP($A97,EnrollData2324,'2324 Jun 24 Enroll'!D$1,FALSE)='District Calculations'!$F$25+'District Calculations'!$F$11,VLOOKUP($A97,EnrollData2324,'2324 Jun 24 Enroll'!M$1,FALSE)+VLOOKUP($A97,EnrollData2324,'2324 Jun 24 Enroll'!D$1,FALSE),'District Calculations'!$F$25+'District Calculations'!$F$11),5)</f>
        <v>4.1200000000000004E-3</v>
      </c>
      <c r="S97" s="11">
        <f t="shared" si="14"/>
        <v>1.8734299999999999E-2</v>
      </c>
      <c r="T97">
        <f>ROUND(IF(VLOOKUP($A97,EnrollData2324,'2324 Jun 24 Enroll'!D$1,FALSE)='District Calculations'!$F$11,VLOOKUP($A97,EnrollData2324,'2324 Jun 24 Enroll'!D$1,FALSE),'District Calculations'!$F$11)*S97,3)</f>
        <v>0</v>
      </c>
      <c r="U97">
        <f>ROUND(IF(VLOOKUP($A97,EnrollData2324,'2324 Jun 24 Enroll'!E$1,FALSE)='District Calculations'!$F$12,VLOOKUP($A97,EnrollData2324,'2324 Jun 24 Enroll'!E$1,FALSE),'District Calculations'!$F$12)*S97,3)</f>
        <v>15.183999999999999</v>
      </c>
      <c r="V97">
        <f>ROUND(IF(VLOOKUP($A97,EnrollData2324,'2324 Jun 24 Enroll'!F$1,FALSE)='District Calculations'!$F$13,VLOOKUP($A97,EnrollData2324,'2324 Jun 24 Enroll'!F$1,FALSE),'District Calculations'!$F$13)*Apport_224A2425,3)</f>
        <v>3.7109999999999999</v>
      </c>
      <c r="W97">
        <f>ROUND(IF(VLOOKUP($A97,EnrollData2324,'2324 Jun 24 Enroll'!G$1,FALSE)='District Calculations'!$F$14,VLOOKUP($A97,EnrollData2324,'2324 Jun 24 Enroll'!G$1,FALSE),'District Calculations'!$F$14)*Apport_212A2425,3)</f>
        <v>8.2279999999999998</v>
      </c>
      <c r="X97">
        <f>ROUND(IF(VLOOKUP($A97,EnrollData2324,'2324 Jun 24 Enroll'!H$1,FALSE)='District Calculations'!$F$14,VLOOKUP($A97,EnrollData2324,'2324 Jun 24 Enroll'!H$1,FALSE),'District Calculations'!$F$14)*Apport_215A2425,3)</f>
        <v>8.1180000000000003</v>
      </c>
      <c r="Y97">
        <f>ROUND(IF(VLOOKUP($A97,EnrollData2324,'2324 Jun 24 Enroll'!I$1,FALSE)+VLOOKUP($A97,EnrollData2324,'2324 Jun 24 Enroll'!M$1,FALSE)-VLOOKUP($A97,EnrollData2324,'2324 Jun 24 Enroll'!J$1,FALSE)='District Calculations'!$F$16+'District Calculations'!$F$25-'District Calculations'!$F$17,VLOOKUP($A97,EnrollData2324,'2324 Jun 24 Enroll'!I$1,FALSE)+VLOOKUP($A97,EnrollData2324,'2324 Jun 24 Enroll'!M$1,FALSE)-VLOOKUP($A97,EnrollData2324,'2324 Jun 24 Enroll'!J$1,FALSE),'District Calculations'!$F$16+'District Calculations'!$F$25-'District Calculations'!$F$17)*Apport_218A2425,3)</f>
        <v>20.257999999999999</v>
      </c>
      <c r="Z97">
        <f>ROUND(SUM(T97:Y97)/IF(VLOOKUP($A97,EnrollData2324,'2324 Jun 24 Enroll'!M$1,FALSE)+VLOOKUP($A97,EnrollData2324,'2324 Jun 24 Enroll'!D$1,FALSE)='District Calculations'!$F$25+'District Calculations'!$F$11,VLOOKUP($A97,EnrollData2324,'2324 Jun 24 Enroll'!M$1,FALSE)+VLOOKUP($A97,EnrollData2324,'2324 Jun 24 Enroll'!D$1,FALSE),'District Calculations'!$F$25+'District Calculations'!$F$11),5)</f>
        <v>1.7780000000000001E-2</v>
      </c>
      <c r="AA97" s="6">
        <f>ROUND($J97*CIS_Base_Salary2425*VLOOKUP($A97,EnrollData2324,'2324 Jun 24 Enroll'!AH$1,FALSE),2)</f>
        <v>4262.68</v>
      </c>
      <c r="AB97" s="6">
        <f>ROUND($J97*CIS_Inc_Salary2425*(VLOOKUP($A97,EnrollData2324,'2324 Jun 24 Enroll'!AI$1,FALSE)+VLOOKUP($A97,EnrollData2324,'2324 Jun 24 Enroll'!AJ$1,FALSE)),2)-AA97</f>
        <v>157.6899999999996</v>
      </c>
      <c r="AC97" s="6" cm="1">
        <f t="array" ref="AC97">ROUND($R97*CAS_Base_Salary2425*VLOOKUP($A97,EnrollData2324,'2324 Jun 24 Enroll'!AH$1,FALSE),2)</f>
        <v>461.23</v>
      </c>
      <c r="AD97" s="6">
        <f>ROUND($R97*CAS_Inc_Salary2425*VLOOKUP($A97,EnrollData2324,'2324 Jun 24 Enroll'!AI$1,FALSE),2)-AC97</f>
        <v>17.069999999999993</v>
      </c>
      <c r="AE97" s="6">
        <f>ROUND($Z97*CLS_Base_Salary2425*VLOOKUP($A97,EnrollData2324,'2324 Jun 24 Enroll'!AH$1,FALSE),2)</f>
        <v>961.95</v>
      </c>
      <c r="AF97" s="6">
        <f>ROUND($Z97*CLS_Inc_Salary2425*VLOOKUP($A97,EnrollData2324,'2324 Jun 24 Enroll'!AI$1,FALSE),2)-AE97</f>
        <v>35.599999999999909</v>
      </c>
      <c r="AG97" cm="1">
        <f t="array" ref="AG97">ROUND(($J97+$R97)*Apport_124X2425,2)</f>
        <v>800.45</v>
      </c>
      <c r="AH97" s="69" cm="1">
        <f t="array" ref="AH97">ROUND(($J97+$R97)*Apport_621X2425*Apport_125XC2425,2)-AG97</f>
        <v>73.899999999999977</v>
      </c>
      <c r="AI97" cm="1">
        <f t="array" ref="AI97">ROUND($Z97*Apport_124X2425,2)</f>
        <v>234.7</v>
      </c>
      <c r="AJ97">
        <f t="shared" si="15"/>
        <v>124.71000000000004</v>
      </c>
      <c r="AK97">
        <f t="shared" si="16"/>
        <v>857.39</v>
      </c>
      <c r="AL97">
        <f t="shared" si="17"/>
        <v>30.6</v>
      </c>
      <c r="AM97">
        <f t="shared" si="18"/>
        <v>208.36</v>
      </c>
      <c r="AN97">
        <f t="shared" si="19"/>
        <v>6.46</v>
      </c>
      <c r="AO97">
        <f>ROUND(($J97*CIS_Inc_Salary2425*(VLOOKUP($A97,EnrollData2324,'2324 Jun 24 Enroll'!AI$1,FALSE)+VLOOKUP($A97,EnrollData2324,'2324 Jun 24 Enroll'!AJ$1,FALSE))/Apport_613Xpd)*Apport_614Xpd,2)</f>
        <v>73.67</v>
      </c>
      <c r="AP97">
        <f t="shared" si="20"/>
        <v>12.9</v>
      </c>
      <c r="AQ97">
        <f t="shared" si="28"/>
        <v>31.48</v>
      </c>
      <c r="AR97" s="6">
        <f>ROUND((VLOOKUP($A97,EnrollData2324,'2324 Jun 24 Enroll'!D$1,FALSE)*Apport_M802425+VLOOKUP($A97,EnrollData2324,'2324 Jun 24 Enroll'!M$1,FALSE)*Apport_M802425+(VLOOKUP($A97,EnrollData2324,'2324 Jun 24 Enroll'!P$1,FALSE)+VLOOKUP($A97,EnrollData2324,'2324 Jun 24 Enroll'!Q$1,FALSE)+VLOOKUP($A97,EnrollData2324,'2324 Jun 24 Enroll'!R$1,FALSE)+VLOOKUP($A97,EnrollData2324,'2324 Jun 24 Enroll'!I$1,FALSE)+VLOOKUP($A97,EnrollData2324,'2324 Jun 24 Enroll'!N$1,FALSE)+VLOOKUP($A97,EnrollData2324,'2324 Jun 24 Enroll'!O$1,FALSE)+VLOOKUP($A97,EnrollData2324,'2324 Jun 24 Enroll'!K$1,FALSE)+VLOOKUP($A97,EnrollData2324,'2324 Jun 24 Enroll'!L$1,FALSE))*Apport_M812425)/(VLOOKUP($A97,EnrollData2324,'2324 Jun 24 Enroll'!M$1,FALSE)+VLOOKUP($A97,EnrollData2324,'2324 Jun 24 Enroll'!D$1,FALSE)),2)</f>
        <v>1608.9</v>
      </c>
      <c r="AS97" s="7">
        <f t="shared" si="29"/>
        <v>9959.739999999998</v>
      </c>
    </row>
    <row r="98" spans="1:45">
      <c r="A98" s="40" t="s">
        <v>508</v>
      </c>
      <c r="B98" s="40" t="s">
        <v>509</v>
      </c>
      <c r="C98" s="11">
        <f>ROUND((IFERROR((1/IF(VLOOKUP($A98,EnrollData2324,28,FALSE)='District Calculations'!$F$10,VLOOKUP($A98,EnrollData2324,28,FALSE),'District Calculations'!$F$10))*(1+Apport_Z315),0))+Apport_201A2425,6)</f>
        <v>7.4580999999999995E-2</v>
      </c>
      <c r="D98">
        <f>ROUND(IF(VLOOKUP($A98,EnrollData2324,'2324 Jun 24 Enroll'!D$1,FALSE)='District Calculations'!$F$11,VLOOKUP($A98,EnrollData2324,'2324 Jun 24 Enroll'!D$1,FALSE),'District Calculations'!$F$11)*C98,3)</f>
        <v>0</v>
      </c>
      <c r="E98">
        <f>ROUND(IF(VLOOKUP($A98,EnrollData2324,'2324 Jun 24 Enroll'!E$1,FALSE)='District Calculations'!$F$12,VLOOKUP($A98,EnrollData2324,'2324 Jun 24 Enroll'!E$1,FALSE),'District Calculations'!$F$12)*C98,3)</f>
        <v>60.447000000000003</v>
      </c>
      <c r="F98">
        <f>ROUND(IF(VLOOKUP($A98,EnrollData2324,'2324 Jun 24 Enroll'!F$1,FALSE)='District Calculations'!$F$13,VLOOKUP($A98,EnrollData2324,'2324 Jun 24 Enroll'!F$1,FALSE),'District Calculations'!$F$13)*Apport_222A2425,3)</f>
        <v>10.337999999999999</v>
      </c>
      <c r="G98">
        <f>ROUND(IF(VLOOKUP($A98,EnrollData2324,'2324 Jun 24 Enroll'!G$1,FALSE)='District Calculations'!$F$14,VLOOKUP($A98,EnrollData2324,'2324 Jun 24 Enroll'!G$1,FALSE),'District Calculations'!$F$14)*Apport_210A2425,3)</f>
        <v>22.92</v>
      </c>
      <c r="H98">
        <f>ROUND(IF(VLOOKUP($A98,EnrollData2324,'2324 Jun 24 Enroll'!H$1,FALSE)='District Calculations'!$F$15,VLOOKUP($A98,EnrollData2324,'2324 Jun 24 Enroll'!H$1,FALSE),'District Calculations'!$F$15)*Apport_213A2425,3)</f>
        <v>23.619</v>
      </c>
      <c r="I98">
        <f>ROUND(IF(VLOOKUP($A98,EnrollData2324,'2324 Jun 24 Enroll'!I$1,FALSE)+VLOOKUP($A98,EnrollData2324,'2324 Jun 24 Enroll'!M$1,FALSE)-VLOOKUP($A98,EnrollData2324,'2324 Jun 24 Enroll'!J$1,FALSE)='District Calculations'!$F$16+'District Calculations'!$F$25-'District Calculations'!$F$17,VLOOKUP($A98,EnrollData2324,'2324 Jun 24 Enroll'!I$1,FALSE)+VLOOKUP($A98,EnrollData2324,'2324 Jun 24 Enroll'!M$1,FALSE)-VLOOKUP($A98,EnrollData2324,'2324 Jun 24 Enroll'!J$1,FALSE),'District Calculations'!$F$16+'District Calculations'!$F$25-'District Calculations'!$F$17)*Apport_216A2425,3)</f>
        <v>59.057000000000002</v>
      </c>
      <c r="J98">
        <f>ROUND(SUM(D98:I98)/(IF(VLOOKUP($A98,EnrollData2324,'2324 Jun 24 Enroll'!M$1,FALSE)='District Calculations'!$F$25,VLOOKUP($A98,EnrollData2324,'2324 Jun 24 Enroll'!M$1,FALSE),'District Calculations'!$F$25)+IF(VLOOKUP($A98,EnrollData2324,'2324 Jun 24 Enroll'!D$1,FALSE)='District Calculations'!$F$11,VLOOKUP($A98,EnrollData2324,'2324 Jun 24 Enroll'!D$1,FALSE),'District Calculations'!$F$11)),5)</f>
        <v>5.6520000000000001E-2</v>
      </c>
      <c r="K98" s="11">
        <f t="shared" si="13"/>
        <v>4.385E-3</v>
      </c>
      <c r="L98">
        <f>ROUND(IF(VLOOKUP($A98,EnrollData2324,'2324 Jun 24 Enroll'!D$1,FALSE)='District Calculations'!$F$11,VLOOKUP($A98,EnrollData2324,'2324 Jun 24 Enroll'!D$1,FALSE),'District Calculations'!$F$11)*K98,3)</f>
        <v>0</v>
      </c>
      <c r="M98">
        <f>ROUND(IF(VLOOKUP($A98,EnrollData2324,'2324 Jun 24 Enroll'!E$1,FALSE)='District Calculations'!$F$12,VLOOKUP($A98,EnrollData2324,'2324 Jun 24 Enroll'!E$1,FALSE),'District Calculations'!$F$12)*K98,3)</f>
        <v>3.5539999999999998</v>
      </c>
      <c r="N98">
        <f>ROUND(IF(VLOOKUP($A98,EnrollData2324,'2324 Jun 24 Enroll'!F$1,FALSE)='District Calculations'!$F$13,VLOOKUP($A98,EnrollData2324,'2324 Jun 24 Enroll'!F$1,FALSE),'District Calculations'!$F$13)*Apport_223A2425,3)</f>
        <v>0.84599999999999997</v>
      </c>
      <c r="O98">
        <f>ROUND(IF(VLOOKUP($A98,EnrollData2324,'2324 Jun 24 Enroll'!G$1,FALSE)='District Calculations'!$F$14,VLOOKUP($A98,EnrollData2324,'2324 Jun 24 Enroll'!G$1,FALSE),'District Calculations'!$F$14)*Apport_211A2425,3)</f>
        <v>1.877</v>
      </c>
      <c r="P98">
        <f>ROUND(IF(VLOOKUP($A98,EnrollData2324,'2324 Jun 24 Enroll'!H$1,FALSE)='District Calculations'!$F$14,VLOOKUP($A98,EnrollData2324,'2324 Jun 24 Enroll'!H$1,FALSE),'District Calculations'!$F$14)*Apport_214A2425,3)</f>
        <v>1.875</v>
      </c>
      <c r="Q98">
        <f>ROUND(IF(VLOOKUP($A98,EnrollData2324,'2324 Jun 24 Enroll'!I$1,FALSE)+VLOOKUP($A98,EnrollData2324,'2324 Jun 24 Enroll'!M$1,FALSE)-VLOOKUP($A98,EnrollData2324,'2324 Jun 24 Enroll'!J$1,FALSE)='District Calculations'!$F$16+'District Calculations'!$F$25-'District Calculations'!$F$17,VLOOKUP($A98,EnrollData2324,'2324 Jun 24 Enroll'!I$1,FALSE)+VLOOKUP($A98,EnrollData2324,'2324 Jun 24 Enroll'!M$1,FALSE)-VLOOKUP($A98,EnrollData2324,'2324 Jun 24 Enroll'!J$1,FALSE),'District Calculations'!$F$16+'District Calculations'!$F$25-'District Calculations'!$F$17)*Apport_217A2425,3)</f>
        <v>4.7130000000000001</v>
      </c>
      <c r="R98">
        <f>ROUND(SUM(L98:Q98)/IF(VLOOKUP($A98,EnrollData2324,'2324 Jun 24 Enroll'!M$1,FALSE)+VLOOKUP($A98,EnrollData2324,'2324 Jun 24 Enroll'!D$1,FALSE)='District Calculations'!$F$25+'District Calculations'!$F$11,VLOOKUP($A98,EnrollData2324,'2324 Jun 24 Enroll'!M$1,FALSE)+VLOOKUP($A98,EnrollData2324,'2324 Jun 24 Enroll'!D$1,FALSE),'District Calculations'!$F$25+'District Calculations'!$F$11),5)</f>
        <v>4.1200000000000004E-3</v>
      </c>
      <c r="S98" s="11">
        <f t="shared" si="14"/>
        <v>1.8734299999999999E-2</v>
      </c>
      <c r="T98">
        <f>ROUND(IF(VLOOKUP($A98,EnrollData2324,'2324 Jun 24 Enroll'!D$1,FALSE)='District Calculations'!$F$11,VLOOKUP($A98,EnrollData2324,'2324 Jun 24 Enroll'!D$1,FALSE),'District Calculations'!$F$11)*S98,3)</f>
        <v>0</v>
      </c>
      <c r="U98">
        <f>ROUND(IF(VLOOKUP($A98,EnrollData2324,'2324 Jun 24 Enroll'!E$1,FALSE)='District Calculations'!$F$12,VLOOKUP($A98,EnrollData2324,'2324 Jun 24 Enroll'!E$1,FALSE),'District Calculations'!$F$12)*S98,3)</f>
        <v>15.183999999999999</v>
      </c>
      <c r="V98">
        <f>ROUND(IF(VLOOKUP($A98,EnrollData2324,'2324 Jun 24 Enroll'!F$1,FALSE)='District Calculations'!$F$13,VLOOKUP($A98,EnrollData2324,'2324 Jun 24 Enroll'!F$1,FALSE),'District Calculations'!$F$13)*Apport_224A2425,3)</f>
        <v>3.7109999999999999</v>
      </c>
      <c r="W98">
        <f>ROUND(IF(VLOOKUP($A98,EnrollData2324,'2324 Jun 24 Enroll'!G$1,FALSE)='District Calculations'!$F$14,VLOOKUP($A98,EnrollData2324,'2324 Jun 24 Enroll'!G$1,FALSE),'District Calculations'!$F$14)*Apport_212A2425,3)</f>
        <v>8.2279999999999998</v>
      </c>
      <c r="X98">
        <f>ROUND(IF(VLOOKUP($A98,EnrollData2324,'2324 Jun 24 Enroll'!H$1,FALSE)='District Calculations'!$F$14,VLOOKUP($A98,EnrollData2324,'2324 Jun 24 Enroll'!H$1,FALSE),'District Calculations'!$F$14)*Apport_215A2425,3)</f>
        <v>8.1180000000000003</v>
      </c>
      <c r="Y98">
        <f>ROUND(IF(VLOOKUP($A98,EnrollData2324,'2324 Jun 24 Enroll'!I$1,FALSE)+VLOOKUP($A98,EnrollData2324,'2324 Jun 24 Enroll'!M$1,FALSE)-VLOOKUP($A98,EnrollData2324,'2324 Jun 24 Enroll'!J$1,FALSE)='District Calculations'!$F$16+'District Calculations'!$F$25-'District Calculations'!$F$17,VLOOKUP($A98,EnrollData2324,'2324 Jun 24 Enroll'!I$1,FALSE)+VLOOKUP($A98,EnrollData2324,'2324 Jun 24 Enroll'!M$1,FALSE)-VLOOKUP($A98,EnrollData2324,'2324 Jun 24 Enroll'!J$1,FALSE),'District Calculations'!$F$16+'District Calculations'!$F$25-'District Calculations'!$F$17)*Apport_218A2425,3)</f>
        <v>20.257999999999999</v>
      </c>
      <c r="Z98">
        <f>ROUND(SUM(T98:Y98)/IF(VLOOKUP($A98,EnrollData2324,'2324 Jun 24 Enroll'!M$1,FALSE)+VLOOKUP($A98,EnrollData2324,'2324 Jun 24 Enroll'!D$1,FALSE)='District Calculations'!$F$25+'District Calculations'!$F$11,VLOOKUP($A98,EnrollData2324,'2324 Jun 24 Enroll'!M$1,FALSE)+VLOOKUP($A98,EnrollData2324,'2324 Jun 24 Enroll'!D$1,FALSE),'District Calculations'!$F$25+'District Calculations'!$F$11),5)</f>
        <v>1.7780000000000001E-2</v>
      </c>
      <c r="AA98" s="6">
        <f>ROUND($J98*CIS_Base_Salary2425*VLOOKUP($A98,EnrollData2324,'2324 Jun 24 Enroll'!AH$1,FALSE),2)</f>
        <v>4262.68</v>
      </c>
      <c r="AB98" s="6">
        <f>ROUND($J98*CIS_Inc_Salary2425*(VLOOKUP($A98,EnrollData2324,'2324 Jun 24 Enroll'!AI$1,FALSE)+VLOOKUP($A98,EnrollData2324,'2324 Jun 24 Enroll'!AJ$1,FALSE)),2)-AA98</f>
        <v>157.6899999999996</v>
      </c>
      <c r="AC98" s="6" cm="1">
        <f t="array" ref="AC98">ROUND($R98*CAS_Base_Salary2425*VLOOKUP($A98,EnrollData2324,'2324 Jun 24 Enroll'!AH$1,FALSE),2)</f>
        <v>461.23</v>
      </c>
      <c r="AD98" s="6">
        <f>ROUND($R98*CAS_Inc_Salary2425*VLOOKUP($A98,EnrollData2324,'2324 Jun 24 Enroll'!AI$1,FALSE),2)-AC98</f>
        <v>17.069999999999993</v>
      </c>
      <c r="AE98" s="6">
        <f>ROUND($Z98*CLS_Base_Salary2425*VLOOKUP($A98,EnrollData2324,'2324 Jun 24 Enroll'!AH$1,FALSE),2)</f>
        <v>961.95</v>
      </c>
      <c r="AF98" s="6">
        <f>ROUND($Z98*CLS_Inc_Salary2425*VLOOKUP($A98,EnrollData2324,'2324 Jun 24 Enroll'!AI$1,FALSE),2)-AE98</f>
        <v>35.599999999999909</v>
      </c>
      <c r="AG98" cm="1">
        <f t="array" ref="AG98">ROUND(($J98+$R98)*Apport_124X2425,2)</f>
        <v>800.45</v>
      </c>
      <c r="AH98" s="69" cm="1">
        <f t="array" ref="AH98">ROUND(($J98+$R98)*Apport_621X2425*Apport_125XC2425,2)-AG98</f>
        <v>73.899999999999977</v>
      </c>
      <c r="AI98" cm="1">
        <f t="array" ref="AI98">ROUND($Z98*Apport_124X2425,2)</f>
        <v>234.7</v>
      </c>
      <c r="AJ98">
        <f t="shared" si="15"/>
        <v>124.71000000000004</v>
      </c>
      <c r="AK98">
        <f t="shared" si="16"/>
        <v>857.39</v>
      </c>
      <c r="AL98">
        <f t="shared" si="17"/>
        <v>30.6</v>
      </c>
      <c r="AM98">
        <f t="shared" si="18"/>
        <v>208.36</v>
      </c>
      <c r="AN98">
        <f t="shared" si="19"/>
        <v>6.46</v>
      </c>
      <c r="AO98">
        <f>ROUND(($J98*CIS_Inc_Salary2425*(VLOOKUP($A98,EnrollData2324,'2324 Jun 24 Enroll'!AI$1,FALSE)+VLOOKUP($A98,EnrollData2324,'2324 Jun 24 Enroll'!AJ$1,FALSE))/Apport_613Xpd)*Apport_614Xpd,2)</f>
        <v>73.67</v>
      </c>
      <c r="AP98">
        <f t="shared" si="20"/>
        <v>12.9</v>
      </c>
      <c r="AQ98">
        <f t="shared" si="28"/>
        <v>31.48</v>
      </c>
      <c r="AR98" s="6">
        <f>ROUND((VLOOKUP($A98,EnrollData2324,'2324 Jun 24 Enroll'!D$1,FALSE)*Apport_M802425+VLOOKUP($A98,EnrollData2324,'2324 Jun 24 Enroll'!M$1,FALSE)*Apport_M802425+(VLOOKUP($A98,EnrollData2324,'2324 Jun 24 Enroll'!P$1,FALSE)+VLOOKUP($A98,EnrollData2324,'2324 Jun 24 Enroll'!Q$1,FALSE)+VLOOKUP($A98,EnrollData2324,'2324 Jun 24 Enroll'!R$1,FALSE)+VLOOKUP($A98,EnrollData2324,'2324 Jun 24 Enroll'!I$1,FALSE)+VLOOKUP($A98,EnrollData2324,'2324 Jun 24 Enroll'!N$1,FALSE)+VLOOKUP($A98,EnrollData2324,'2324 Jun 24 Enroll'!O$1,FALSE)+VLOOKUP($A98,EnrollData2324,'2324 Jun 24 Enroll'!K$1,FALSE)+VLOOKUP($A98,EnrollData2324,'2324 Jun 24 Enroll'!L$1,FALSE))*Apport_M812425)/(VLOOKUP($A98,EnrollData2324,'2324 Jun 24 Enroll'!M$1,FALSE)+VLOOKUP($A98,EnrollData2324,'2324 Jun 24 Enroll'!D$1,FALSE)),2)</f>
        <v>1604.41</v>
      </c>
      <c r="AS98" s="7">
        <f t="shared" si="29"/>
        <v>9955.2499999999982</v>
      </c>
    </row>
    <row r="99" spans="1:45">
      <c r="A99" s="40" t="s">
        <v>627</v>
      </c>
      <c r="B99" s="40" t="s">
        <v>628</v>
      </c>
      <c r="C99" s="11">
        <f>ROUND((IFERROR((1/IF(VLOOKUP($A99,EnrollData2324,28,FALSE)='District Calculations'!$F$10,VLOOKUP($A99,EnrollData2324,28,FALSE),'District Calculations'!$F$10))*(1+Apport_Z315),0))+Apport_201A2425,6)</f>
        <v>7.4580999999999995E-2</v>
      </c>
      <c r="D99">
        <f>ROUND(IF(VLOOKUP($A99,EnrollData2324,'2324 Jun 24 Enroll'!D$1,FALSE)='District Calculations'!$F$11,VLOOKUP($A99,EnrollData2324,'2324 Jun 24 Enroll'!D$1,FALSE),'District Calculations'!$F$11)*C99,3)</f>
        <v>0</v>
      </c>
      <c r="E99">
        <f>ROUND(IF(VLOOKUP($A99,EnrollData2324,'2324 Jun 24 Enroll'!E$1,FALSE)='District Calculations'!$F$12,VLOOKUP($A99,EnrollData2324,'2324 Jun 24 Enroll'!E$1,FALSE),'District Calculations'!$F$12)*C99,3)</f>
        <v>60.447000000000003</v>
      </c>
      <c r="F99">
        <f>ROUND(IF(VLOOKUP($A99,EnrollData2324,'2324 Jun 24 Enroll'!F$1,FALSE)='District Calculations'!$F$13,VLOOKUP($A99,EnrollData2324,'2324 Jun 24 Enroll'!F$1,FALSE),'District Calculations'!$F$13)*Apport_222A2425,3)</f>
        <v>10.337999999999999</v>
      </c>
      <c r="G99">
        <f>ROUND(IF(VLOOKUP($A99,EnrollData2324,'2324 Jun 24 Enroll'!G$1,FALSE)='District Calculations'!$F$14,VLOOKUP($A99,EnrollData2324,'2324 Jun 24 Enroll'!G$1,FALSE),'District Calculations'!$F$14)*Apport_210A2425,3)</f>
        <v>22.92</v>
      </c>
      <c r="H99">
        <f>ROUND(IF(VLOOKUP($A99,EnrollData2324,'2324 Jun 24 Enroll'!H$1,FALSE)='District Calculations'!$F$15,VLOOKUP($A99,EnrollData2324,'2324 Jun 24 Enroll'!H$1,FALSE),'District Calculations'!$F$15)*Apport_213A2425,3)</f>
        <v>23.619</v>
      </c>
      <c r="I99">
        <f>ROUND(IF(VLOOKUP($A99,EnrollData2324,'2324 Jun 24 Enroll'!I$1,FALSE)+VLOOKUP($A99,EnrollData2324,'2324 Jun 24 Enroll'!M$1,FALSE)-VLOOKUP($A99,EnrollData2324,'2324 Jun 24 Enroll'!J$1,FALSE)='District Calculations'!$F$16+'District Calculations'!$F$25-'District Calculations'!$F$17,VLOOKUP($A99,EnrollData2324,'2324 Jun 24 Enroll'!I$1,FALSE)+VLOOKUP($A99,EnrollData2324,'2324 Jun 24 Enroll'!M$1,FALSE)-VLOOKUP($A99,EnrollData2324,'2324 Jun 24 Enroll'!J$1,FALSE),'District Calculations'!$F$16+'District Calculations'!$F$25-'District Calculations'!$F$17)*Apport_216A2425,3)</f>
        <v>59.057000000000002</v>
      </c>
      <c r="J99">
        <f>ROUND(SUM(D99:I99)/(IF(VLOOKUP($A99,EnrollData2324,'2324 Jun 24 Enroll'!M$1,FALSE)='District Calculations'!$F$25,VLOOKUP($A99,EnrollData2324,'2324 Jun 24 Enroll'!M$1,FALSE),'District Calculations'!$F$25)+IF(VLOOKUP($A99,EnrollData2324,'2324 Jun 24 Enroll'!D$1,FALSE)='District Calculations'!$F$11,VLOOKUP($A99,EnrollData2324,'2324 Jun 24 Enroll'!D$1,FALSE),'District Calculations'!$F$11)),5)</f>
        <v>5.6520000000000001E-2</v>
      </c>
      <c r="K99" s="11">
        <f t="shared" ref="K99:K162" si="30">ROUND(((($C99+Apport_203A2425+Apport_202A2425)*Apport_557X)*Apport_558X)+Apport_202A2425,6)</f>
        <v>4.385E-3</v>
      </c>
      <c r="L99">
        <f>ROUND(IF(VLOOKUP($A99,EnrollData2324,'2324 Jun 24 Enroll'!D$1,FALSE)='District Calculations'!$F$11,VLOOKUP($A99,EnrollData2324,'2324 Jun 24 Enroll'!D$1,FALSE),'District Calculations'!$F$11)*K99,3)</f>
        <v>0</v>
      </c>
      <c r="M99">
        <f>ROUND(IF(VLOOKUP($A99,EnrollData2324,'2324 Jun 24 Enroll'!E$1,FALSE)='District Calculations'!$F$12,VLOOKUP($A99,EnrollData2324,'2324 Jun 24 Enroll'!E$1,FALSE),'District Calculations'!$F$12)*K99,3)</f>
        <v>3.5539999999999998</v>
      </c>
      <c r="N99">
        <f>ROUND(IF(VLOOKUP($A99,EnrollData2324,'2324 Jun 24 Enroll'!F$1,FALSE)='District Calculations'!$F$13,VLOOKUP($A99,EnrollData2324,'2324 Jun 24 Enroll'!F$1,FALSE),'District Calculations'!$F$13)*Apport_223A2425,3)</f>
        <v>0.84599999999999997</v>
      </c>
      <c r="O99">
        <f>ROUND(IF(VLOOKUP($A99,EnrollData2324,'2324 Jun 24 Enroll'!G$1,FALSE)='District Calculations'!$F$14,VLOOKUP($A99,EnrollData2324,'2324 Jun 24 Enroll'!G$1,FALSE),'District Calculations'!$F$14)*Apport_211A2425,3)</f>
        <v>1.877</v>
      </c>
      <c r="P99">
        <f>ROUND(IF(VLOOKUP($A99,EnrollData2324,'2324 Jun 24 Enroll'!H$1,FALSE)='District Calculations'!$F$14,VLOOKUP($A99,EnrollData2324,'2324 Jun 24 Enroll'!H$1,FALSE),'District Calculations'!$F$14)*Apport_214A2425,3)</f>
        <v>1.875</v>
      </c>
      <c r="Q99">
        <f>ROUND(IF(VLOOKUP($A99,EnrollData2324,'2324 Jun 24 Enroll'!I$1,FALSE)+VLOOKUP($A99,EnrollData2324,'2324 Jun 24 Enroll'!M$1,FALSE)-VLOOKUP($A99,EnrollData2324,'2324 Jun 24 Enroll'!J$1,FALSE)='District Calculations'!$F$16+'District Calculations'!$F$25-'District Calculations'!$F$17,VLOOKUP($A99,EnrollData2324,'2324 Jun 24 Enroll'!I$1,FALSE)+VLOOKUP($A99,EnrollData2324,'2324 Jun 24 Enroll'!M$1,FALSE)-VLOOKUP($A99,EnrollData2324,'2324 Jun 24 Enroll'!J$1,FALSE),'District Calculations'!$F$16+'District Calculations'!$F$25-'District Calculations'!$F$17)*Apport_217A2425,3)</f>
        <v>4.7130000000000001</v>
      </c>
      <c r="R99">
        <f>ROUND(SUM(L99:Q99)/IF(VLOOKUP($A99,EnrollData2324,'2324 Jun 24 Enroll'!M$1,FALSE)+VLOOKUP($A99,EnrollData2324,'2324 Jun 24 Enroll'!D$1,FALSE)='District Calculations'!$F$25+'District Calculations'!$F$11,VLOOKUP($A99,EnrollData2324,'2324 Jun 24 Enroll'!M$1,FALSE)+VLOOKUP($A99,EnrollData2324,'2324 Jun 24 Enroll'!D$1,FALSE),'District Calculations'!$F$25+'District Calculations'!$F$11),5)</f>
        <v>4.1200000000000004E-3</v>
      </c>
      <c r="S99" s="11">
        <f t="shared" ref="S99:S162" si="31">ROUND(((($C99+Apport_203A2425+Apport_202A2425)*Apport_557X)*Apport_559X)+Apport_203A2425,7)</f>
        <v>1.8734299999999999E-2</v>
      </c>
      <c r="T99">
        <f>ROUND(IF(VLOOKUP($A99,EnrollData2324,'2324 Jun 24 Enroll'!D$1,FALSE)='District Calculations'!$F$11,VLOOKUP($A99,EnrollData2324,'2324 Jun 24 Enroll'!D$1,FALSE),'District Calculations'!$F$11)*S99,3)</f>
        <v>0</v>
      </c>
      <c r="U99">
        <f>ROUND(IF(VLOOKUP($A99,EnrollData2324,'2324 Jun 24 Enroll'!E$1,FALSE)='District Calculations'!$F$12,VLOOKUP($A99,EnrollData2324,'2324 Jun 24 Enroll'!E$1,FALSE),'District Calculations'!$F$12)*S99,3)</f>
        <v>15.183999999999999</v>
      </c>
      <c r="V99">
        <f>ROUND(IF(VLOOKUP($A99,EnrollData2324,'2324 Jun 24 Enroll'!F$1,FALSE)='District Calculations'!$F$13,VLOOKUP($A99,EnrollData2324,'2324 Jun 24 Enroll'!F$1,FALSE),'District Calculations'!$F$13)*Apport_224A2425,3)</f>
        <v>3.7109999999999999</v>
      </c>
      <c r="W99">
        <f>ROUND(IF(VLOOKUP($A99,EnrollData2324,'2324 Jun 24 Enroll'!G$1,FALSE)='District Calculations'!$F$14,VLOOKUP($A99,EnrollData2324,'2324 Jun 24 Enroll'!G$1,FALSE),'District Calculations'!$F$14)*Apport_212A2425,3)</f>
        <v>8.2279999999999998</v>
      </c>
      <c r="X99">
        <f>ROUND(IF(VLOOKUP($A99,EnrollData2324,'2324 Jun 24 Enroll'!H$1,FALSE)='District Calculations'!$F$14,VLOOKUP($A99,EnrollData2324,'2324 Jun 24 Enroll'!H$1,FALSE),'District Calculations'!$F$14)*Apport_215A2425,3)</f>
        <v>8.1180000000000003</v>
      </c>
      <c r="Y99">
        <f>ROUND(IF(VLOOKUP($A99,EnrollData2324,'2324 Jun 24 Enroll'!I$1,FALSE)+VLOOKUP($A99,EnrollData2324,'2324 Jun 24 Enroll'!M$1,FALSE)-VLOOKUP($A99,EnrollData2324,'2324 Jun 24 Enroll'!J$1,FALSE)='District Calculations'!$F$16+'District Calculations'!$F$25-'District Calculations'!$F$17,VLOOKUP($A99,EnrollData2324,'2324 Jun 24 Enroll'!I$1,FALSE)+VLOOKUP($A99,EnrollData2324,'2324 Jun 24 Enroll'!M$1,FALSE)-VLOOKUP($A99,EnrollData2324,'2324 Jun 24 Enroll'!J$1,FALSE),'District Calculations'!$F$16+'District Calculations'!$F$25-'District Calculations'!$F$17)*Apport_218A2425,3)</f>
        <v>20.257999999999999</v>
      </c>
      <c r="Z99">
        <f>ROUND(SUM(T99:Y99)/IF(VLOOKUP($A99,EnrollData2324,'2324 Jun 24 Enroll'!M$1,FALSE)+VLOOKUP($A99,EnrollData2324,'2324 Jun 24 Enroll'!D$1,FALSE)='District Calculations'!$F$25+'District Calculations'!$F$11,VLOOKUP($A99,EnrollData2324,'2324 Jun 24 Enroll'!M$1,FALSE)+VLOOKUP($A99,EnrollData2324,'2324 Jun 24 Enroll'!D$1,FALSE),'District Calculations'!$F$25+'District Calculations'!$F$11),5)</f>
        <v>1.7780000000000001E-2</v>
      </c>
      <c r="AA99" s="6">
        <f>ROUND($J99*CIS_Base_Salary2425*VLOOKUP($A99,EnrollData2324,'2324 Jun 24 Enroll'!AH$1,FALSE),2)</f>
        <v>4262.68</v>
      </c>
      <c r="AB99" s="6">
        <f>ROUND($J99*CIS_Inc_Salary2425*(VLOOKUP($A99,EnrollData2324,'2324 Jun 24 Enroll'!AI$1,FALSE)+VLOOKUP($A99,EnrollData2324,'2324 Jun 24 Enroll'!AJ$1,FALSE)),2)-AA99</f>
        <v>157.6899999999996</v>
      </c>
      <c r="AC99" s="6" cm="1">
        <f t="array" ref="AC99">ROUND($R99*CAS_Base_Salary2425*VLOOKUP($A99,EnrollData2324,'2324 Jun 24 Enroll'!AH$1,FALSE),2)</f>
        <v>461.23</v>
      </c>
      <c r="AD99" s="6">
        <f>ROUND($R99*CAS_Inc_Salary2425*VLOOKUP($A99,EnrollData2324,'2324 Jun 24 Enroll'!AI$1,FALSE),2)-AC99</f>
        <v>17.069999999999993</v>
      </c>
      <c r="AE99" s="6">
        <f>ROUND($Z99*CLS_Base_Salary2425*VLOOKUP($A99,EnrollData2324,'2324 Jun 24 Enroll'!AH$1,FALSE),2)</f>
        <v>961.95</v>
      </c>
      <c r="AF99" s="6">
        <f>ROUND($Z99*CLS_Inc_Salary2425*VLOOKUP($A99,EnrollData2324,'2324 Jun 24 Enroll'!AI$1,FALSE),2)-AE99</f>
        <v>35.599999999999909</v>
      </c>
      <c r="AG99" cm="1">
        <f t="array" ref="AG99">ROUND(($J99+$R99)*Apport_124X2425,2)</f>
        <v>800.45</v>
      </c>
      <c r="AH99" s="69" cm="1">
        <f t="array" ref="AH99">ROUND(($J99+$R99)*Apport_621X2425*Apport_125XC2425,2)-AG99</f>
        <v>73.899999999999977</v>
      </c>
      <c r="AI99" cm="1">
        <f t="array" ref="AI99">ROUND($Z99*Apport_124X2425,2)</f>
        <v>234.7</v>
      </c>
      <c r="AJ99">
        <f t="shared" ref="AJ99:AJ162" si="32">ROUND($Z99*Apport_621X2425*Apport_125X2425,2)-AI99</f>
        <v>124.71000000000004</v>
      </c>
      <c r="AK99">
        <f t="shared" ref="AK99:AK162" si="33">ROUND((AA99+AC99)*Apport_126X2425,2)</f>
        <v>857.39</v>
      </c>
      <c r="AL99">
        <f t="shared" ref="AL99:AL162" si="34">ROUND((AB99+AD99)*Apport_127X2425,2)</f>
        <v>30.6</v>
      </c>
      <c r="AM99">
        <f t="shared" ref="AM99:AM162" si="35">ROUND(AE99*Apport_128X2425,2)</f>
        <v>208.36</v>
      </c>
      <c r="AN99">
        <f t="shared" ref="AN99:AN162" si="36">ROUND(AF99*Apport_129X2425,2)</f>
        <v>6.46</v>
      </c>
      <c r="AO99">
        <f>ROUND(($J99*CIS_Inc_Salary2425*(VLOOKUP($A99,EnrollData2324,'2324 Jun 24 Enroll'!AI$1,FALSE)+VLOOKUP($A99,EnrollData2324,'2324 Jun 24 Enroll'!AJ$1,FALSE))/Apport_613Xpd)*Apport_614Xpd,2)</f>
        <v>73.67</v>
      </c>
      <c r="AP99">
        <f t="shared" ref="AP99:AP162" si="37">ROUND(AO99*Apport_127X2425,2)</f>
        <v>12.9</v>
      </c>
      <c r="AQ99">
        <f t="shared" si="28"/>
        <v>31.48</v>
      </c>
      <c r="AR99" s="6">
        <f>ROUND((VLOOKUP($A99,EnrollData2324,'2324 Jun 24 Enroll'!D$1,FALSE)*Apport_M802425+VLOOKUP($A99,EnrollData2324,'2324 Jun 24 Enroll'!M$1,FALSE)*Apport_M802425+(VLOOKUP($A99,EnrollData2324,'2324 Jun 24 Enroll'!P$1,FALSE)+VLOOKUP($A99,EnrollData2324,'2324 Jun 24 Enroll'!Q$1,FALSE)+VLOOKUP($A99,EnrollData2324,'2324 Jun 24 Enroll'!R$1,FALSE)+VLOOKUP($A99,EnrollData2324,'2324 Jun 24 Enroll'!I$1,FALSE)+VLOOKUP($A99,EnrollData2324,'2324 Jun 24 Enroll'!N$1,FALSE)+VLOOKUP($A99,EnrollData2324,'2324 Jun 24 Enroll'!O$1,FALSE)+VLOOKUP($A99,EnrollData2324,'2324 Jun 24 Enroll'!K$1,FALSE)+VLOOKUP($A99,EnrollData2324,'2324 Jun 24 Enroll'!L$1,FALSE))*Apport_M812425)/(VLOOKUP($A99,EnrollData2324,'2324 Jun 24 Enroll'!M$1,FALSE)+VLOOKUP($A99,EnrollData2324,'2324 Jun 24 Enroll'!D$1,FALSE)),2)</f>
        <v>1596.08</v>
      </c>
      <c r="AS99" s="7">
        <f t="shared" si="29"/>
        <v>9946.9199999999983</v>
      </c>
    </row>
    <row r="100" spans="1:45">
      <c r="A100" s="40" t="s">
        <v>580</v>
      </c>
      <c r="B100" s="40" t="s">
        <v>581</v>
      </c>
      <c r="C100" s="11">
        <f>ROUND((IFERROR((1/IF(VLOOKUP($A100,EnrollData2324,28,FALSE)='District Calculations'!$F$10,VLOOKUP($A100,EnrollData2324,28,FALSE),'District Calculations'!$F$10))*(1+Apport_Z315),0))+Apport_201A2425,6)</f>
        <v>7.4580999999999995E-2</v>
      </c>
      <c r="D100">
        <f>ROUND(IF(VLOOKUP($A100,EnrollData2324,'2324 Jun 24 Enroll'!D$1,FALSE)='District Calculations'!$F$11,VLOOKUP($A100,EnrollData2324,'2324 Jun 24 Enroll'!D$1,FALSE),'District Calculations'!$F$11)*C100,3)</f>
        <v>0</v>
      </c>
      <c r="E100">
        <f>ROUND(IF(VLOOKUP($A100,EnrollData2324,'2324 Jun 24 Enroll'!E$1,FALSE)='District Calculations'!$F$12,VLOOKUP($A100,EnrollData2324,'2324 Jun 24 Enroll'!E$1,FALSE),'District Calculations'!$F$12)*C100,3)</f>
        <v>60.447000000000003</v>
      </c>
      <c r="F100">
        <f>ROUND(IF(VLOOKUP($A100,EnrollData2324,'2324 Jun 24 Enroll'!F$1,FALSE)='District Calculations'!$F$13,VLOOKUP($A100,EnrollData2324,'2324 Jun 24 Enroll'!F$1,FALSE),'District Calculations'!$F$13)*Apport_222A2425,3)</f>
        <v>10.337999999999999</v>
      </c>
      <c r="G100">
        <f>ROUND(IF(VLOOKUP($A100,EnrollData2324,'2324 Jun 24 Enroll'!G$1,FALSE)='District Calculations'!$F$14,VLOOKUP($A100,EnrollData2324,'2324 Jun 24 Enroll'!G$1,FALSE),'District Calculations'!$F$14)*Apport_210A2425,3)</f>
        <v>22.92</v>
      </c>
      <c r="H100">
        <f>ROUND(IF(VLOOKUP($A100,EnrollData2324,'2324 Jun 24 Enroll'!H$1,FALSE)='District Calculations'!$F$15,VLOOKUP($A100,EnrollData2324,'2324 Jun 24 Enroll'!H$1,FALSE),'District Calculations'!$F$15)*Apport_213A2425,3)</f>
        <v>23.619</v>
      </c>
      <c r="I100">
        <f>ROUND(IF(VLOOKUP($A100,EnrollData2324,'2324 Jun 24 Enroll'!I$1,FALSE)+VLOOKUP($A100,EnrollData2324,'2324 Jun 24 Enroll'!M$1,FALSE)-VLOOKUP($A100,EnrollData2324,'2324 Jun 24 Enroll'!J$1,FALSE)='District Calculations'!$F$16+'District Calculations'!$F$25-'District Calculations'!$F$17,VLOOKUP($A100,EnrollData2324,'2324 Jun 24 Enroll'!I$1,FALSE)+VLOOKUP($A100,EnrollData2324,'2324 Jun 24 Enroll'!M$1,FALSE)-VLOOKUP($A100,EnrollData2324,'2324 Jun 24 Enroll'!J$1,FALSE),'District Calculations'!$F$16+'District Calculations'!$F$25-'District Calculations'!$F$17)*Apport_216A2425,3)</f>
        <v>59.057000000000002</v>
      </c>
      <c r="J100">
        <f>ROUND(SUM(D100:I100)/(IF(VLOOKUP($A100,EnrollData2324,'2324 Jun 24 Enroll'!M$1,FALSE)='District Calculations'!$F$25,VLOOKUP($A100,EnrollData2324,'2324 Jun 24 Enroll'!M$1,FALSE),'District Calculations'!$F$25)+IF(VLOOKUP($A100,EnrollData2324,'2324 Jun 24 Enroll'!D$1,FALSE)='District Calculations'!$F$11,VLOOKUP($A100,EnrollData2324,'2324 Jun 24 Enroll'!D$1,FALSE),'District Calculations'!$F$11)),5)</f>
        <v>5.6520000000000001E-2</v>
      </c>
      <c r="K100" s="11">
        <f t="shared" si="30"/>
        <v>4.385E-3</v>
      </c>
      <c r="L100">
        <f>ROUND(IF(VLOOKUP($A100,EnrollData2324,'2324 Jun 24 Enroll'!D$1,FALSE)='District Calculations'!$F$11,VLOOKUP($A100,EnrollData2324,'2324 Jun 24 Enroll'!D$1,FALSE),'District Calculations'!$F$11)*K100,3)</f>
        <v>0</v>
      </c>
      <c r="M100">
        <f>ROUND(IF(VLOOKUP($A100,EnrollData2324,'2324 Jun 24 Enroll'!E$1,FALSE)='District Calculations'!$F$12,VLOOKUP($A100,EnrollData2324,'2324 Jun 24 Enroll'!E$1,FALSE),'District Calculations'!$F$12)*K100,3)</f>
        <v>3.5539999999999998</v>
      </c>
      <c r="N100">
        <f>ROUND(IF(VLOOKUP($A100,EnrollData2324,'2324 Jun 24 Enroll'!F$1,FALSE)='District Calculations'!$F$13,VLOOKUP($A100,EnrollData2324,'2324 Jun 24 Enroll'!F$1,FALSE),'District Calculations'!$F$13)*Apport_223A2425,3)</f>
        <v>0.84599999999999997</v>
      </c>
      <c r="O100">
        <f>ROUND(IF(VLOOKUP($A100,EnrollData2324,'2324 Jun 24 Enroll'!G$1,FALSE)='District Calculations'!$F$14,VLOOKUP($A100,EnrollData2324,'2324 Jun 24 Enroll'!G$1,FALSE),'District Calculations'!$F$14)*Apport_211A2425,3)</f>
        <v>1.877</v>
      </c>
      <c r="P100">
        <f>ROUND(IF(VLOOKUP($A100,EnrollData2324,'2324 Jun 24 Enroll'!H$1,FALSE)='District Calculations'!$F$14,VLOOKUP($A100,EnrollData2324,'2324 Jun 24 Enroll'!H$1,FALSE),'District Calculations'!$F$14)*Apport_214A2425,3)</f>
        <v>1.875</v>
      </c>
      <c r="Q100">
        <f>ROUND(IF(VLOOKUP($A100,EnrollData2324,'2324 Jun 24 Enroll'!I$1,FALSE)+VLOOKUP($A100,EnrollData2324,'2324 Jun 24 Enroll'!M$1,FALSE)-VLOOKUP($A100,EnrollData2324,'2324 Jun 24 Enroll'!J$1,FALSE)='District Calculations'!$F$16+'District Calculations'!$F$25-'District Calculations'!$F$17,VLOOKUP($A100,EnrollData2324,'2324 Jun 24 Enroll'!I$1,FALSE)+VLOOKUP($A100,EnrollData2324,'2324 Jun 24 Enroll'!M$1,FALSE)-VLOOKUP($A100,EnrollData2324,'2324 Jun 24 Enroll'!J$1,FALSE),'District Calculations'!$F$16+'District Calculations'!$F$25-'District Calculations'!$F$17)*Apport_217A2425,3)</f>
        <v>4.7130000000000001</v>
      </c>
      <c r="R100">
        <f>ROUND(SUM(L100:Q100)/IF(VLOOKUP($A100,EnrollData2324,'2324 Jun 24 Enroll'!M$1,FALSE)+VLOOKUP($A100,EnrollData2324,'2324 Jun 24 Enroll'!D$1,FALSE)='District Calculations'!$F$25+'District Calculations'!$F$11,VLOOKUP($A100,EnrollData2324,'2324 Jun 24 Enroll'!M$1,FALSE)+VLOOKUP($A100,EnrollData2324,'2324 Jun 24 Enroll'!D$1,FALSE),'District Calculations'!$F$25+'District Calculations'!$F$11),5)</f>
        <v>4.1200000000000004E-3</v>
      </c>
      <c r="S100" s="11">
        <f t="shared" si="31"/>
        <v>1.8734299999999999E-2</v>
      </c>
      <c r="T100">
        <f>ROUND(IF(VLOOKUP($A100,EnrollData2324,'2324 Jun 24 Enroll'!D$1,FALSE)='District Calculations'!$F$11,VLOOKUP($A100,EnrollData2324,'2324 Jun 24 Enroll'!D$1,FALSE),'District Calculations'!$F$11)*S100,3)</f>
        <v>0</v>
      </c>
      <c r="U100">
        <f>ROUND(IF(VLOOKUP($A100,EnrollData2324,'2324 Jun 24 Enroll'!E$1,FALSE)='District Calculations'!$F$12,VLOOKUP($A100,EnrollData2324,'2324 Jun 24 Enroll'!E$1,FALSE),'District Calculations'!$F$12)*S100,3)</f>
        <v>15.183999999999999</v>
      </c>
      <c r="V100">
        <f>ROUND(IF(VLOOKUP($A100,EnrollData2324,'2324 Jun 24 Enroll'!F$1,FALSE)='District Calculations'!$F$13,VLOOKUP($A100,EnrollData2324,'2324 Jun 24 Enroll'!F$1,FALSE),'District Calculations'!$F$13)*Apport_224A2425,3)</f>
        <v>3.7109999999999999</v>
      </c>
      <c r="W100">
        <f>ROUND(IF(VLOOKUP($A100,EnrollData2324,'2324 Jun 24 Enroll'!G$1,FALSE)='District Calculations'!$F$14,VLOOKUP($A100,EnrollData2324,'2324 Jun 24 Enroll'!G$1,FALSE),'District Calculations'!$F$14)*Apport_212A2425,3)</f>
        <v>8.2279999999999998</v>
      </c>
      <c r="X100">
        <f>ROUND(IF(VLOOKUP($A100,EnrollData2324,'2324 Jun 24 Enroll'!H$1,FALSE)='District Calculations'!$F$14,VLOOKUP($A100,EnrollData2324,'2324 Jun 24 Enroll'!H$1,FALSE),'District Calculations'!$F$14)*Apport_215A2425,3)</f>
        <v>8.1180000000000003</v>
      </c>
      <c r="Y100">
        <f>ROUND(IF(VLOOKUP($A100,EnrollData2324,'2324 Jun 24 Enroll'!I$1,FALSE)+VLOOKUP($A100,EnrollData2324,'2324 Jun 24 Enroll'!M$1,FALSE)-VLOOKUP($A100,EnrollData2324,'2324 Jun 24 Enroll'!J$1,FALSE)='District Calculations'!$F$16+'District Calculations'!$F$25-'District Calculations'!$F$17,VLOOKUP($A100,EnrollData2324,'2324 Jun 24 Enroll'!I$1,FALSE)+VLOOKUP($A100,EnrollData2324,'2324 Jun 24 Enroll'!M$1,FALSE)-VLOOKUP($A100,EnrollData2324,'2324 Jun 24 Enroll'!J$1,FALSE),'District Calculations'!$F$16+'District Calculations'!$F$25-'District Calculations'!$F$17)*Apport_218A2425,3)</f>
        <v>20.257999999999999</v>
      </c>
      <c r="Z100">
        <f>ROUND(SUM(T100:Y100)/IF(VLOOKUP($A100,EnrollData2324,'2324 Jun 24 Enroll'!M$1,FALSE)+VLOOKUP($A100,EnrollData2324,'2324 Jun 24 Enroll'!D$1,FALSE)='District Calculations'!$F$25+'District Calculations'!$F$11,VLOOKUP($A100,EnrollData2324,'2324 Jun 24 Enroll'!M$1,FALSE)+VLOOKUP($A100,EnrollData2324,'2324 Jun 24 Enroll'!D$1,FALSE),'District Calculations'!$F$25+'District Calculations'!$F$11),5)</f>
        <v>1.7780000000000001E-2</v>
      </c>
      <c r="AA100" s="6">
        <f>ROUND($J100*CIS_Base_Salary2425*VLOOKUP($A100,EnrollData2324,'2324 Jun 24 Enroll'!AH$1,FALSE),2)</f>
        <v>4262.68</v>
      </c>
      <c r="AB100" s="6">
        <f>ROUND($J100*CIS_Inc_Salary2425*(VLOOKUP($A100,EnrollData2324,'2324 Jun 24 Enroll'!AI$1,FALSE)+VLOOKUP($A100,EnrollData2324,'2324 Jun 24 Enroll'!AJ$1,FALSE)),2)-AA100</f>
        <v>157.6899999999996</v>
      </c>
      <c r="AC100" s="6" cm="1">
        <f t="array" ref="AC100">ROUND($R100*CAS_Base_Salary2425*VLOOKUP($A100,EnrollData2324,'2324 Jun 24 Enroll'!AH$1,FALSE),2)</f>
        <v>461.23</v>
      </c>
      <c r="AD100" s="6">
        <f>ROUND($R100*CAS_Inc_Salary2425*VLOOKUP($A100,EnrollData2324,'2324 Jun 24 Enroll'!AI$1,FALSE),2)-AC100</f>
        <v>17.069999999999993</v>
      </c>
      <c r="AE100" s="6">
        <f>ROUND($Z100*CLS_Base_Salary2425*VLOOKUP($A100,EnrollData2324,'2324 Jun 24 Enroll'!AH$1,FALSE),2)</f>
        <v>961.95</v>
      </c>
      <c r="AF100" s="6">
        <f>ROUND($Z100*CLS_Inc_Salary2425*VLOOKUP($A100,EnrollData2324,'2324 Jun 24 Enroll'!AI$1,FALSE),2)-AE100</f>
        <v>35.599999999999909</v>
      </c>
      <c r="AG100" cm="1">
        <f t="array" ref="AG100">ROUND(($J100+$R100)*Apport_124X2425,2)</f>
        <v>800.45</v>
      </c>
      <c r="AH100" s="69" cm="1">
        <f t="array" ref="AH100">ROUND(($J100+$R100)*Apport_621X2425*Apport_125XC2425,2)-AG100</f>
        <v>73.899999999999977</v>
      </c>
      <c r="AI100" cm="1">
        <f t="array" ref="AI100">ROUND($Z100*Apport_124X2425,2)</f>
        <v>234.7</v>
      </c>
      <c r="AJ100">
        <f t="shared" si="32"/>
        <v>124.71000000000004</v>
      </c>
      <c r="AK100">
        <f t="shared" si="33"/>
        <v>857.39</v>
      </c>
      <c r="AL100">
        <f t="shared" si="34"/>
        <v>30.6</v>
      </c>
      <c r="AM100">
        <f t="shared" si="35"/>
        <v>208.36</v>
      </c>
      <c r="AN100">
        <f t="shared" si="36"/>
        <v>6.46</v>
      </c>
      <c r="AO100">
        <f>ROUND(($J100*CIS_Inc_Salary2425*(VLOOKUP($A100,EnrollData2324,'2324 Jun 24 Enroll'!AI$1,FALSE)+VLOOKUP($A100,EnrollData2324,'2324 Jun 24 Enroll'!AJ$1,FALSE))/Apport_613Xpd)*Apport_614Xpd,2)</f>
        <v>73.67</v>
      </c>
      <c r="AP100">
        <f t="shared" si="37"/>
        <v>12.9</v>
      </c>
      <c r="AQ100">
        <f t="shared" si="28"/>
        <v>31.48</v>
      </c>
      <c r="AR100" s="6">
        <f>ROUND((VLOOKUP($A100,EnrollData2324,'2324 Jun 24 Enroll'!D$1,FALSE)*Apport_M802425+VLOOKUP($A100,EnrollData2324,'2324 Jun 24 Enroll'!M$1,FALSE)*Apport_M802425+(VLOOKUP($A100,EnrollData2324,'2324 Jun 24 Enroll'!P$1,FALSE)+VLOOKUP($A100,EnrollData2324,'2324 Jun 24 Enroll'!Q$1,FALSE)+VLOOKUP($A100,EnrollData2324,'2324 Jun 24 Enroll'!R$1,FALSE)+VLOOKUP($A100,EnrollData2324,'2324 Jun 24 Enroll'!I$1,FALSE)+VLOOKUP($A100,EnrollData2324,'2324 Jun 24 Enroll'!N$1,FALSE)+VLOOKUP($A100,EnrollData2324,'2324 Jun 24 Enroll'!O$1,FALSE)+VLOOKUP($A100,EnrollData2324,'2324 Jun 24 Enroll'!K$1,FALSE)+VLOOKUP($A100,EnrollData2324,'2324 Jun 24 Enroll'!L$1,FALSE))*Apport_M812425)/(VLOOKUP($A100,EnrollData2324,'2324 Jun 24 Enroll'!M$1,FALSE)+VLOOKUP($A100,EnrollData2324,'2324 Jun 24 Enroll'!D$1,FALSE)),2)</f>
        <v>1533.02</v>
      </c>
      <c r="AS100" s="7">
        <f t="shared" si="29"/>
        <v>9883.8599999999988</v>
      </c>
    </row>
    <row r="101" spans="1:45">
      <c r="A101" s="40" t="s">
        <v>596</v>
      </c>
      <c r="B101" s="40" t="s">
        <v>597</v>
      </c>
      <c r="C101" s="11">
        <f>ROUND((IFERROR((1/IF(VLOOKUP($A101,EnrollData2324,28,FALSE)='District Calculations'!$F$10,VLOOKUP($A101,EnrollData2324,28,FALSE),'District Calculations'!$F$10))*(1+Apport_Z315),0))+Apport_201A2425,6)</f>
        <v>7.4580999999999995E-2</v>
      </c>
      <c r="D101">
        <f>ROUND(IF(VLOOKUP($A101,EnrollData2324,'2324 Jun 24 Enroll'!D$1,FALSE)='District Calculations'!$F$11,VLOOKUP($A101,EnrollData2324,'2324 Jun 24 Enroll'!D$1,FALSE),'District Calculations'!$F$11)*C101,3)</f>
        <v>0</v>
      </c>
      <c r="E101">
        <f>ROUND(IF(VLOOKUP($A101,EnrollData2324,'2324 Jun 24 Enroll'!E$1,FALSE)='District Calculations'!$F$12,VLOOKUP($A101,EnrollData2324,'2324 Jun 24 Enroll'!E$1,FALSE),'District Calculations'!$F$12)*C101,3)</f>
        <v>60.447000000000003</v>
      </c>
      <c r="F101">
        <f>ROUND(IF(VLOOKUP($A101,EnrollData2324,'2324 Jun 24 Enroll'!F$1,FALSE)='District Calculations'!$F$13,VLOOKUP($A101,EnrollData2324,'2324 Jun 24 Enroll'!F$1,FALSE),'District Calculations'!$F$13)*Apport_222A2425,3)</f>
        <v>10.337999999999999</v>
      </c>
      <c r="G101">
        <f>ROUND(IF(VLOOKUP($A101,EnrollData2324,'2324 Jun 24 Enroll'!G$1,FALSE)='District Calculations'!$F$14,VLOOKUP($A101,EnrollData2324,'2324 Jun 24 Enroll'!G$1,FALSE),'District Calculations'!$F$14)*Apport_210A2425,3)</f>
        <v>22.92</v>
      </c>
      <c r="H101">
        <f>ROUND(IF(VLOOKUP($A101,EnrollData2324,'2324 Jun 24 Enroll'!H$1,FALSE)='District Calculations'!$F$15,VLOOKUP($A101,EnrollData2324,'2324 Jun 24 Enroll'!H$1,FALSE),'District Calculations'!$F$15)*Apport_213A2425,3)</f>
        <v>23.619</v>
      </c>
      <c r="I101">
        <f>ROUND(IF(VLOOKUP($A101,EnrollData2324,'2324 Jun 24 Enroll'!I$1,FALSE)+VLOOKUP($A101,EnrollData2324,'2324 Jun 24 Enroll'!M$1,FALSE)-VLOOKUP($A101,EnrollData2324,'2324 Jun 24 Enroll'!J$1,FALSE)='District Calculations'!$F$16+'District Calculations'!$F$25-'District Calculations'!$F$17,VLOOKUP($A101,EnrollData2324,'2324 Jun 24 Enroll'!I$1,FALSE)+VLOOKUP($A101,EnrollData2324,'2324 Jun 24 Enroll'!M$1,FALSE)-VLOOKUP($A101,EnrollData2324,'2324 Jun 24 Enroll'!J$1,FALSE),'District Calculations'!$F$16+'District Calculations'!$F$25-'District Calculations'!$F$17)*Apport_216A2425,3)</f>
        <v>59.057000000000002</v>
      </c>
      <c r="J101">
        <f>ROUND(SUM(D101:I101)/(IF(VLOOKUP($A101,EnrollData2324,'2324 Jun 24 Enroll'!M$1,FALSE)='District Calculations'!$F$25,VLOOKUP($A101,EnrollData2324,'2324 Jun 24 Enroll'!M$1,FALSE),'District Calculations'!$F$25)+IF(VLOOKUP($A101,EnrollData2324,'2324 Jun 24 Enroll'!D$1,FALSE)='District Calculations'!$F$11,VLOOKUP($A101,EnrollData2324,'2324 Jun 24 Enroll'!D$1,FALSE),'District Calculations'!$F$11)),5)</f>
        <v>5.6520000000000001E-2</v>
      </c>
      <c r="K101" s="11">
        <f t="shared" si="30"/>
        <v>4.385E-3</v>
      </c>
      <c r="L101">
        <f>ROUND(IF(VLOOKUP($A101,EnrollData2324,'2324 Jun 24 Enroll'!D$1,FALSE)='District Calculations'!$F$11,VLOOKUP($A101,EnrollData2324,'2324 Jun 24 Enroll'!D$1,FALSE),'District Calculations'!$F$11)*K101,3)</f>
        <v>0</v>
      </c>
      <c r="M101">
        <f>ROUND(IF(VLOOKUP($A101,EnrollData2324,'2324 Jun 24 Enroll'!E$1,FALSE)='District Calculations'!$F$12,VLOOKUP($A101,EnrollData2324,'2324 Jun 24 Enroll'!E$1,FALSE),'District Calculations'!$F$12)*K101,3)</f>
        <v>3.5539999999999998</v>
      </c>
      <c r="N101">
        <f>ROUND(IF(VLOOKUP($A101,EnrollData2324,'2324 Jun 24 Enroll'!F$1,FALSE)='District Calculations'!$F$13,VLOOKUP($A101,EnrollData2324,'2324 Jun 24 Enroll'!F$1,FALSE),'District Calculations'!$F$13)*Apport_223A2425,3)</f>
        <v>0.84599999999999997</v>
      </c>
      <c r="O101">
        <f>ROUND(IF(VLOOKUP($A101,EnrollData2324,'2324 Jun 24 Enroll'!G$1,FALSE)='District Calculations'!$F$14,VLOOKUP($A101,EnrollData2324,'2324 Jun 24 Enroll'!G$1,FALSE),'District Calculations'!$F$14)*Apport_211A2425,3)</f>
        <v>1.877</v>
      </c>
      <c r="P101">
        <f>ROUND(IF(VLOOKUP($A101,EnrollData2324,'2324 Jun 24 Enroll'!H$1,FALSE)='District Calculations'!$F$14,VLOOKUP($A101,EnrollData2324,'2324 Jun 24 Enroll'!H$1,FALSE),'District Calculations'!$F$14)*Apport_214A2425,3)</f>
        <v>1.875</v>
      </c>
      <c r="Q101">
        <f>ROUND(IF(VLOOKUP($A101,EnrollData2324,'2324 Jun 24 Enroll'!I$1,FALSE)+VLOOKUP($A101,EnrollData2324,'2324 Jun 24 Enroll'!M$1,FALSE)-VLOOKUP($A101,EnrollData2324,'2324 Jun 24 Enroll'!J$1,FALSE)='District Calculations'!$F$16+'District Calculations'!$F$25-'District Calculations'!$F$17,VLOOKUP($A101,EnrollData2324,'2324 Jun 24 Enroll'!I$1,FALSE)+VLOOKUP($A101,EnrollData2324,'2324 Jun 24 Enroll'!M$1,FALSE)-VLOOKUP($A101,EnrollData2324,'2324 Jun 24 Enroll'!J$1,FALSE),'District Calculations'!$F$16+'District Calculations'!$F$25-'District Calculations'!$F$17)*Apport_217A2425,3)</f>
        <v>4.7130000000000001</v>
      </c>
      <c r="R101">
        <f>ROUND(SUM(L101:Q101)/IF(VLOOKUP($A101,EnrollData2324,'2324 Jun 24 Enroll'!M$1,FALSE)+VLOOKUP($A101,EnrollData2324,'2324 Jun 24 Enroll'!D$1,FALSE)='District Calculations'!$F$25+'District Calculations'!$F$11,VLOOKUP($A101,EnrollData2324,'2324 Jun 24 Enroll'!M$1,FALSE)+VLOOKUP($A101,EnrollData2324,'2324 Jun 24 Enroll'!D$1,FALSE),'District Calculations'!$F$25+'District Calculations'!$F$11),5)</f>
        <v>4.1200000000000004E-3</v>
      </c>
      <c r="S101" s="11">
        <f t="shared" si="31"/>
        <v>1.8734299999999999E-2</v>
      </c>
      <c r="T101">
        <f>ROUND(IF(VLOOKUP($A101,EnrollData2324,'2324 Jun 24 Enroll'!D$1,FALSE)='District Calculations'!$F$11,VLOOKUP($A101,EnrollData2324,'2324 Jun 24 Enroll'!D$1,FALSE),'District Calculations'!$F$11)*S101,3)</f>
        <v>0</v>
      </c>
      <c r="U101">
        <f>ROUND(IF(VLOOKUP($A101,EnrollData2324,'2324 Jun 24 Enroll'!E$1,FALSE)='District Calculations'!$F$12,VLOOKUP($A101,EnrollData2324,'2324 Jun 24 Enroll'!E$1,FALSE),'District Calculations'!$F$12)*S101,3)</f>
        <v>15.183999999999999</v>
      </c>
      <c r="V101">
        <f>ROUND(IF(VLOOKUP($A101,EnrollData2324,'2324 Jun 24 Enroll'!F$1,FALSE)='District Calculations'!$F$13,VLOOKUP($A101,EnrollData2324,'2324 Jun 24 Enroll'!F$1,FALSE),'District Calculations'!$F$13)*Apport_224A2425,3)</f>
        <v>3.7109999999999999</v>
      </c>
      <c r="W101">
        <f>ROUND(IF(VLOOKUP($A101,EnrollData2324,'2324 Jun 24 Enroll'!G$1,FALSE)='District Calculations'!$F$14,VLOOKUP($A101,EnrollData2324,'2324 Jun 24 Enroll'!G$1,FALSE),'District Calculations'!$F$14)*Apport_212A2425,3)</f>
        <v>8.2279999999999998</v>
      </c>
      <c r="X101">
        <f>ROUND(IF(VLOOKUP($A101,EnrollData2324,'2324 Jun 24 Enroll'!H$1,FALSE)='District Calculations'!$F$14,VLOOKUP($A101,EnrollData2324,'2324 Jun 24 Enroll'!H$1,FALSE),'District Calculations'!$F$14)*Apport_215A2425,3)</f>
        <v>8.1180000000000003</v>
      </c>
      <c r="Y101">
        <f>ROUND(IF(VLOOKUP($A101,EnrollData2324,'2324 Jun 24 Enroll'!I$1,FALSE)+VLOOKUP($A101,EnrollData2324,'2324 Jun 24 Enroll'!M$1,FALSE)-VLOOKUP($A101,EnrollData2324,'2324 Jun 24 Enroll'!J$1,FALSE)='District Calculations'!$F$16+'District Calculations'!$F$25-'District Calculations'!$F$17,VLOOKUP($A101,EnrollData2324,'2324 Jun 24 Enroll'!I$1,FALSE)+VLOOKUP($A101,EnrollData2324,'2324 Jun 24 Enroll'!M$1,FALSE)-VLOOKUP($A101,EnrollData2324,'2324 Jun 24 Enroll'!J$1,FALSE),'District Calculations'!$F$16+'District Calculations'!$F$25-'District Calculations'!$F$17)*Apport_218A2425,3)</f>
        <v>20.257999999999999</v>
      </c>
      <c r="Z101">
        <f>ROUND(SUM(T101:Y101)/IF(VLOOKUP($A101,EnrollData2324,'2324 Jun 24 Enroll'!M$1,FALSE)+VLOOKUP($A101,EnrollData2324,'2324 Jun 24 Enroll'!D$1,FALSE)='District Calculations'!$F$25+'District Calculations'!$F$11,VLOOKUP($A101,EnrollData2324,'2324 Jun 24 Enroll'!M$1,FALSE)+VLOOKUP($A101,EnrollData2324,'2324 Jun 24 Enroll'!D$1,FALSE),'District Calculations'!$F$25+'District Calculations'!$F$11),5)</f>
        <v>1.7780000000000001E-2</v>
      </c>
      <c r="AA101" s="6">
        <f>ROUND($J101*CIS_Base_Salary2425*VLOOKUP($A101,EnrollData2324,'2324 Jun 24 Enroll'!AH$1,FALSE),2)</f>
        <v>4262.68</v>
      </c>
      <c r="AB101" s="6">
        <f>ROUND($J101*CIS_Inc_Salary2425*(VLOOKUP($A101,EnrollData2324,'2324 Jun 24 Enroll'!AI$1,FALSE)+VLOOKUP($A101,EnrollData2324,'2324 Jun 24 Enroll'!AJ$1,FALSE)),2)-AA101</f>
        <v>334.50999999999931</v>
      </c>
      <c r="AC101" s="6" cm="1">
        <f t="array" ref="AC101">ROUND($R101*CAS_Base_Salary2425*VLOOKUP($A101,EnrollData2324,'2324 Jun 24 Enroll'!AH$1,FALSE),2)</f>
        <v>461.23</v>
      </c>
      <c r="AD101" s="6">
        <f>ROUND($R101*CAS_Inc_Salary2425*VLOOKUP($A101,EnrollData2324,'2324 Jun 24 Enroll'!AI$1,FALSE),2)-AC101</f>
        <v>17.069999999999993</v>
      </c>
      <c r="AE101" s="6">
        <f>ROUND($Z101*CLS_Base_Salary2425*VLOOKUP($A101,EnrollData2324,'2324 Jun 24 Enroll'!AH$1,FALSE),2)</f>
        <v>961.95</v>
      </c>
      <c r="AF101" s="6">
        <f>ROUND($Z101*CLS_Inc_Salary2425*VLOOKUP($A101,EnrollData2324,'2324 Jun 24 Enroll'!AI$1,FALSE),2)-AE101</f>
        <v>35.599999999999909</v>
      </c>
      <c r="AG101" cm="1">
        <f t="array" ref="AG101">ROUND(($J101+$R101)*Apport_124X2425,2)</f>
        <v>800.45</v>
      </c>
      <c r="AH101" s="69" cm="1">
        <f t="array" ref="AH101">ROUND(($J101+$R101)*Apport_621X2425*Apport_125XC2425,2)-AG101</f>
        <v>73.899999999999977</v>
      </c>
      <c r="AI101" cm="1">
        <f t="array" ref="AI101">ROUND($Z101*Apport_124X2425,2)</f>
        <v>234.7</v>
      </c>
      <c r="AJ101">
        <f t="shared" si="32"/>
        <v>124.71000000000004</v>
      </c>
      <c r="AK101">
        <f t="shared" si="33"/>
        <v>857.39</v>
      </c>
      <c r="AL101">
        <f t="shared" si="34"/>
        <v>61.56</v>
      </c>
      <c r="AM101">
        <f t="shared" si="35"/>
        <v>208.36</v>
      </c>
      <c r="AN101">
        <f t="shared" si="36"/>
        <v>6.46</v>
      </c>
      <c r="AO101">
        <f>ROUND(($J101*CIS_Inc_Salary2425*(VLOOKUP($A101,EnrollData2324,'2324 Jun 24 Enroll'!AI$1,FALSE)+VLOOKUP($A101,EnrollData2324,'2324 Jun 24 Enroll'!AJ$1,FALSE))/Apport_613Xpd)*Apport_614Xpd,2)</f>
        <v>76.62</v>
      </c>
      <c r="AP101">
        <f t="shared" si="37"/>
        <v>13.42</v>
      </c>
      <c r="AQ101">
        <f t="shared" si="28"/>
        <v>31.48</v>
      </c>
      <c r="AR101" s="6">
        <f>ROUND((VLOOKUP($A101,EnrollData2324,'2324 Jun 24 Enroll'!D$1,FALSE)*Apport_M802425+VLOOKUP($A101,EnrollData2324,'2324 Jun 24 Enroll'!M$1,FALSE)*Apport_M802425+(VLOOKUP($A101,EnrollData2324,'2324 Jun 24 Enroll'!P$1,FALSE)+VLOOKUP($A101,EnrollData2324,'2324 Jun 24 Enroll'!Q$1,FALSE)+VLOOKUP($A101,EnrollData2324,'2324 Jun 24 Enroll'!R$1,FALSE)+VLOOKUP($A101,EnrollData2324,'2324 Jun 24 Enroll'!I$1,FALSE)+VLOOKUP($A101,EnrollData2324,'2324 Jun 24 Enroll'!N$1,FALSE)+VLOOKUP($A101,EnrollData2324,'2324 Jun 24 Enroll'!O$1,FALSE)+VLOOKUP($A101,EnrollData2324,'2324 Jun 24 Enroll'!K$1,FALSE)+VLOOKUP($A101,EnrollData2324,'2324 Jun 24 Enroll'!L$1,FALSE))*Apport_M812425)/(VLOOKUP($A101,EnrollData2324,'2324 Jun 24 Enroll'!M$1,FALSE)+VLOOKUP($A101,EnrollData2324,'2324 Jun 24 Enroll'!D$1,FALSE)),2)</f>
        <v>1599.47</v>
      </c>
      <c r="AS101" s="7">
        <f t="shared" si="29"/>
        <v>10161.559999999998</v>
      </c>
    </row>
    <row r="102" spans="1:45">
      <c r="A102" s="40" t="s">
        <v>446</v>
      </c>
      <c r="B102" s="40" t="s">
        <v>447</v>
      </c>
      <c r="C102" s="11">
        <f>ROUND((IFERROR((1/IF(VLOOKUP($A102,EnrollData2324,28,FALSE)='District Calculations'!$F$10,VLOOKUP($A102,EnrollData2324,28,FALSE),'District Calculations'!$F$10))*(1+Apport_Z315),0))+Apport_201A2425,6)</f>
        <v>7.4580999999999995E-2</v>
      </c>
      <c r="D102">
        <f>ROUND(IF(VLOOKUP($A102,EnrollData2324,'2324 Jun 24 Enroll'!D$1,FALSE)='District Calculations'!$F$11,VLOOKUP($A102,EnrollData2324,'2324 Jun 24 Enroll'!D$1,FALSE),'District Calculations'!$F$11)*C102,3)</f>
        <v>0</v>
      </c>
      <c r="E102">
        <f>ROUND(IF(VLOOKUP($A102,EnrollData2324,'2324 Jun 24 Enroll'!E$1,FALSE)='District Calculations'!$F$12,VLOOKUP($A102,EnrollData2324,'2324 Jun 24 Enroll'!E$1,FALSE),'District Calculations'!$F$12)*C102,3)</f>
        <v>60.447000000000003</v>
      </c>
      <c r="F102">
        <f>ROUND(IF(VLOOKUP($A102,EnrollData2324,'2324 Jun 24 Enroll'!F$1,FALSE)='District Calculations'!$F$13,VLOOKUP($A102,EnrollData2324,'2324 Jun 24 Enroll'!F$1,FALSE),'District Calculations'!$F$13)*Apport_222A2425,3)</f>
        <v>10.337999999999999</v>
      </c>
      <c r="G102">
        <f>ROUND(IF(VLOOKUP($A102,EnrollData2324,'2324 Jun 24 Enroll'!G$1,FALSE)='District Calculations'!$F$14,VLOOKUP($A102,EnrollData2324,'2324 Jun 24 Enroll'!G$1,FALSE),'District Calculations'!$F$14)*Apport_210A2425,3)</f>
        <v>22.92</v>
      </c>
      <c r="H102">
        <f>ROUND(IF(VLOOKUP($A102,EnrollData2324,'2324 Jun 24 Enroll'!H$1,FALSE)='District Calculations'!$F$15,VLOOKUP($A102,EnrollData2324,'2324 Jun 24 Enroll'!H$1,FALSE),'District Calculations'!$F$15)*Apport_213A2425,3)</f>
        <v>23.619</v>
      </c>
      <c r="I102">
        <f>ROUND(IF(VLOOKUP($A102,EnrollData2324,'2324 Jun 24 Enroll'!I$1,FALSE)+VLOOKUP($A102,EnrollData2324,'2324 Jun 24 Enroll'!M$1,FALSE)-VLOOKUP($A102,EnrollData2324,'2324 Jun 24 Enroll'!J$1,FALSE)='District Calculations'!$F$16+'District Calculations'!$F$25-'District Calculations'!$F$17,VLOOKUP($A102,EnrollData2324,'2324 Jun 24 Enroll'!I$1,FALSE)+VLOOKUP($A102,EnrollData2324,'2324 Jun 24 Enroll'!M$1,FALSE)-VLOOKUP($A102,EnrollData2324,'2324 Jun 24 Enroll'!J$1,FALSE),'District Calculations'!$F$16+'District Calculations'!$F$25-'District Calculations'!$F$17)*Apport_216A2425,3)</f>
        <v>59.057000000000002</v>
      </c>
      <c r="J102">
        <f>ROUND(SUM(D102:I102)/(IF(VLOOKUP($A102,EnrollData2324,'2324 Jun 24 Enroll'!M$1,FALSE)='District Calculations'!$F$25,VLOOKUP($A102,EnrollData2324,'2324 Jun 24 Enroll'!M$1,FALSE),'District Calculations'!$F$25)+IF(VLOOKUP($A102,EnrollData2324,'2324 Jun 24 Enroll'!D$1,FALSE)='District Calculations'!$F$11,VLOOKUP($A102,EnrollData2324,'2324 Jun 24 Enroll'!D$1,FALSE),'District Calculations'!$F$11)),5)</f>
        <v>5.6520000000000001E-2</v>
      </c>
      <c r="K102" s="11">
        <f t="shared" si="30"/>
        <v>4.385E-3</v>
      </c>
      <c r="L102">
        <f>ROUND(IF(VLOOKUP($A102,EnrollData2324,'2324 Jun 24 Enroll'!D$1,FALSE)='District Calculations'!$F$11,VLOOKUP($A102,EnrollData2324,'2324 Jun 24 Enroll'!D$1,FALSE),'District Calculations'!$F$11)*K102,3)</f>
        <v>0</v>
      </c>
      <c r="M102">
        <f>ROUND(IF(VLOOKUP($A102,EnrollData2324,'2324 Jun 24 Enroll'!E$1,FALSE)='District Calculations'!$F$12,VLOOKUP($A102,EnrollData2324,'2324 Jun 24 Enroll'!E$1,FALSE),'District Calculations'!$F$12)*K102,3)</f>
        <v>3.5539999999999998</v>
      </c>
      <c r="N102">
        <f>ROUND(IF(VLOOKUP($A102,EnrollData2324,'2324 Jun 24 Enroll'!F$1,FALSE)='District Calculations'!$F$13,VLOOKUP($A102,EnrollData2324,'2324 Jun 24 Enroll'!F$1,FALSE),'District Calculations'!$F$13)*Apport_223A2425,3)</f>
        <v>0.84599999999999997</v>
      </c>
      <c r="O102">
        <f>ROUND(IF(VLOOKUP($A102,EnrollData2324,'2324 Jun 24 Enroll'!G$1,FALSE)='District Calculations'!$F$14,VLOOKUP($A102,EnrollData2324,'2324 Jun 24 Enroll'!G$1,FALSE),'District Calculations'!$F$14)*Apport_211A2425,3)</f>
        <v>1.877</v>
      </c>
      <c r="P102">
        <f>ROUND(IF(VLOOKUP($A102,EnrollData2324,'2324 Jun 24 Enroll'!H$1,FALSE)='District Calculations'!$F$14,VLOOKUP($A102,EnrollData2324,'2324 Jun 24 Enroll'!H$1,FALSE),'District Calculations'!$F$14)*Apport_214A2425,3)</f>
        <v>1.875</v>
      </c>
      <c r="Q102">
        <f>ROUND(IF(VLOOKUP($A102,EnrollData2324,'2324 Jun 24 Enroll'!I$1,FALSE)+VLOOKUP($A102,EnrollData2324,'2324 Jun 24 Enroll'!M$1,FALSE)-VLOOKUP($A102,EnrollData2324,'2324 Jun 24 Enroll'!J$1,FALSE)='District Calculations'!$F$16+'District Calculations'!$F$25-'District Calculations'!$F$17,VLOOKUP($A102,EnrollData2324,'2324 Jun 24 Enroll'!I$1,FALSE)+VLOOKUP($A102,EnrollData2324,'2324 Jun 24 Enroll'!M$1,FALSE)-VLOOKUP($A102,EnrollData2324,'2324 Jun 24 Enroll'!J$1,FALSE),'District Calculations'!$F$16+'District Calculations'!$F$25-'District Calculations'!$F$17)*Apport_217A2425,3)</f>
        <v>4.7130000000000001</v>
      </c>
      <c r="R102">
        <f>ROUND(SUM(L102:Q102)/IF(VLOOKUP($A102,EnrollData2324,'2324 Jun 24 Enroll'!M$1,FALSE)+VLOOKUP($A102,EnrollData2324,'2324 Jun 24 Enroll'!D$1,FALSE)='District Calculations'!$F$25+'District Calculations'!$F$11,VLOOKUP($A102,EnrollData2324,'2324 Jun 24 Enroll'!M$1,FALSE)+VLOOKUP($A102,EnrollData2324,'2324 Jun 24 Enroll'!D$1,FALSE),'District Calculations'!$F$25+'District Calculations'!$F$11),5)</f>
        <v>4.1200000000000004E-3</v>
      </c>
      <c r="S102" s="11">
        <f t="shared" si="31"/>
        <v>1.8734299999999999E-2</v>
      </c>
      <c r="T102">
        <f>ROUND(IF(VLOOKUP($A102,EnrollData2324,'2324 Jun 24 Enroll'!D$1,FALSE)='District Calculations'!$F$11,VLOOKUP($A102,EnrollData2324,'2324 Jun 24 Enroll'!D$1,FALSE),'District Calculations'!$F$11)*S102,3)</f>
        <v>0</v>
      </c>
      <c r="U102">
        <f>ROUND(IF(VLOOKUP($A102,EnrollData2324,'2324 Jun 24 Enroll'!E$1,FALSE)='District Calculations'!$F$12,VLOOKUP($A102,EnrollData2324,'2324 Jun 24 Enroll'!E$1,FALSE),'District Calculations'!$F$12)*S102,3)</f>
        <v>15.183999999999999</v>
      </c>
      <c r="V102">
        <f>ROUND(IF(VLOOKUP($A102,EnrollData2324,'2324 Jun 24 Enroll'!F$1,FALSE)='District Calculations'!$F$13,VLOOKUP($A102,EnrollData2324,'2324 Jun 24 Enroll'!F$1,FALSE),'District Calculations'!$F$13)*Apport_224A2425,3)</f>
        <v>3.7109999999999999</v>
      </c>
      <c r="W102">
        <f>ROUND(IF(VLOOKUP($A102,EnrollData2324,'2324 Jun 24 Enroll'!G$1,FALSE)='District Calculations'!$F$14,VLOOKUP($A102,EnrollData2324,'2324 Jun 24 Enroll'!G$1,FALSE),'District Calculations'!$F$14)*Apport_212A2425,3)</f>
        <v>8.2279999999999998</v>
      </c>
      <c r="X102">
        <f>ROUND(IF(VLOOKUP($A102,EnrollData2324,'2324 Jun 24 Enroll'!H$1,FALSE)='District Calculations'!$F$14,VLOOKUP($A102,EnrollData2324,'2324 Jun 24 Enroll'!H$1,FALSE),'District Calculations'!$F$14)*Apport_215A2425,3)</f>
        <v>8.1180000000000003</v>
      </c>
      <c r="Y102">
        <f>ROUND(IF(VLOOKUP($A102,EnrollData2324,'2324 Jun 24 Enroll'!I$1,FALSE)+VLOOKUP($A102,EnrollData2324,'2324 Jun 24 Enroll'!M$1,FALSE)-VLOOKUP($A102,EnrollData2324,'2324 Jun 24 Enroll'!J$1,FALSE)='District Calculations'!$F$16+'District Calculations'!$F$25-'District Calculations'!$F$17,VLOOKUP($A102,EnrollData2324,'2324 Jun 24 Enroll'!I$1,FALSE)+VLOOKUP($A102,EnrollData2324,'2324 Jun 24 Enroll'!M$1,FALSE)-VLOOKUP($A102,EnrollData2324,'2324 Jun 24 Enroll'!J$1,FALSE),'District Calculations'!$F$16+'District Calculations'!$F$25-'District Calculations'!$F$17)*Apport_218A2425,3)</f>
        <v>20.257999999999999</v>
      </c>
      <c r="Z102">
        <f>ROUND(SUM(T102:Y102)/IF(VLOOKUP($A102,EnrollData2324,'2324 Jun 24 Enroll'!M$1,FALSE)+VLOOKUP($A102,EnrollData2324,'2324 Jun 24 Enroll'!D$1,FALSE)='District Calculations'!$F$25+'District Calculations'!$F$11,VLOOKUP($A102,EnrollData2324,'2324 Jun 24 Enroll'!M$1,FALSE)+VLOOKUP($A102,EnrollData2324,'2324 Jun 24 Enroll'!D$1,FALSE),'District Calculations'!$F$25+'District Calculations'!$F$11),5)</f>
        <v>1.7780000000000001E-2</v>
      </c>
      <c r="AA102" s="6">
        <f>ROUND($J102*CIS_Base_Salary2425*VLOOKUP($A102,EnrollData2324,'2324 Jun 24 Enroll'!AH$1,FALSE),2)</f>
        <v>4262.68</v>
      </c>
      <c r="AB102" s="6">
        <f>ROUND($J102*CIS_Inc_Salary2425*(VLOOKUP($A102,EnrollData2324,'2324 Jun 24 Enroll'!AI$1,FALSE)+VLOOKUP($A102,EnrollData2324,'2324 Jun 24 Enroll'!AJ$1,FALSE)),2)-AA102</f>
        <v>201.89999999999964</v>
      </c>
      <c r="AC102" s="6" cm="1">
        <f t="array" ref="AC102">ROUND($R102*CAS_Base_Salary2425*VLOOKUP($A102,EnrollData2324,'2324 Jun 24 Enroll'!AH$1,FALSE),2)</f>
        <v>461.23</v>
      </c>
      <c r="AD102" s="6">
        <f>ROUND($R102*CAS_Inc_Salary2425*VLOOKUP($A102,EnrollData2324,'2324 Jun 24 Enroll'!AI$1,FALSE),2)-AC102</f>
        <v>17.069999999999993</v>
      </c>
      <c r="AE102" s="6">
        <f>ROUND($Z102*CLS_Base_Salary2425*VLOOKUP($A102,EnrollData2324,'2324 Jun 24 Enroll'!AH$1,FALSE),2)</f>
        <v>961.95</v>
      </c>
      <c r="AF102" s="6">
        <f>ROUND($Z102*CLS_Inc_Salary2425*VLOOKUP($A102,EnrollData2324,'2324 Jun 24 Enroll'!AI$1,FALSE),2)-AE102</f>
        <v>35.599999999999909</v>
      </c>
      <c r="AG102" cm="1">
        <f t="array" ref="AG102">ROUND(($J102+$R102)*Apport_124X2425,2)</f>
        <v>800.45</v>
      </c>
      <c r="AH102" s="69" cm="1">
        <f t="array" ref="AH102">ROUND(($J102+$R102)*Apport_621X2425*Apport_125XC2425,2)-AG102</f>
        <v>73.899999999999977</v>
      </c>
      <c r="AI102" cm="1">
        <f t="array" ref="AI102">ROUND($Z102*Apport_124X2425,2)</f>
        <v>234.7</v>
      </c>
      <c r="AJ102">
        <f t="shared" si="32"/>
        <v>124.71000000000004</v>
      </c>
      <c r="AK102">
        <f t="shared" si="33"/>
        <v>857.39</v>
      </c>
      <c r="AL102">
        <f t="shared" si="34"/>
        <v>38.340000000000003</v>
      </c>
      <c r="AM102">
        <f t="shared" si="35"/>
        <v>208.36</v>
      </c>
      <c r="AN102">
        <f t="shared" si="36"/>
        <v>6.46</v>
      </c>
      <c r="AO102">
        <f>ROUND(($J102*CIS_Inc_Salary2425*(VLOOKUP($A102,EnrollData2324,'2324 Jun 24 Enroll'!AI$1,FALSE)+VLOOKUP($A102,EnrollData2324,'2324 Jun 24 Enroll'!AJ$1,FALSE))/Apport_613Xpd)*Apport_614Xpd,2)</f>
        <v>74.41</v>
      </c>
      <c r="AP102">
        <f t="shared" si="37"/>
        <v>13.03</v>
      </c>
      <c r="AQ102">
        <f t="shared" si="28"/>
        <v>31.48</v>
      </c>
      <c r="AR102" s="6">
        <f>ROUND((VLOOKUP($A102,EnrollData2324,'2324 Jun 24 Enroll'!D$1,FALSE)*Apport_M802425+VLOOKUP($A102,EnrollData2324,'2324 Jun 24 Enroll'!M$1,FALSE)*Apport_M802425+(VLOOKUP($A102,EnrollData2324,'2324 Jun 24 Enroll'!P$1,FALSE)+VLOOKUP($A102,EnrollData2324,'2324 Jun 24 Enroll'!Q$1,FALSE)+VLOOKUP($A102,EnrollData2324,'2324 Jun 24 Enroll'!R$1,FALSE)+VLOOKUP($A102,EnrollData2324,'2324 Jun 24 Enroll'!I$1,FALSE)+VLOOKUP($A102,EnrollData2324,'2324 Jun 24 Enroll'!N$1,FALSE)+VLOOKUP($A102,EnrollData2324,'2324 Jun 24 Enroll'!O$1,FALSE)+VLOOKUP($A102,EnrollData2324,'2324 Jun 24 Enroll'!K$1,FALSE)+VLOOKUP($A102,EnrollData2324,'2324 Jun 24 Enroll'!L$1,FALSE))*Apport_M812425)/(VLOOKUP($A102,EnrollData2324,'2324 Jun 24 Enroll'!M$1,FALSE)+VLOOKUP($A102,EnrollData2324,'2324 Jun 24 Enroll'!D$1,FALSE)),2)</f>
        <v>1612.24</v>
      </c>
      <c r="AS102" s="7">
        <f t="shared" si="29"/>
        <v>10015.899999999998</v>
      </c>
    </row>
    <row r="103" spans="1:45">
      <c r="A103" s="40" t="s">
        <v>811</v>
      </c>
      <c r="B103" s="40" t="s">
        <v>812</v>
      </c>
      <c r="C103" s="11">
        <f>ROUND((IFERROR((1/IF(VLOOKUP($A103,EnrollData2324,28,FALSE)='District Calculations'!$F$10,VLOOKUP($A103,EnrollData2324,28,FALSE),'District Calculations'!$F$10))*(1+Apport_Z315),0))+Apport_201A2425,6)</f>
        <v>7.4580999999999995E-2</v>
      </c>
      <c r="D103">
        <f>ROUND(IF(VLOOKUP($A103,EnrollData2324,'2324 Jun 24 Enroll'!D$1,FALSE)='District Calculations'!$F$11,VLOOKUP($A103,EnrollData2324,'2324 Jun 24 Enroll'!D$1,FALSE),'District Calculations'!$F$11)*C103,3)</f>
        <v>0</v>
      </c>
      <c r="E103">
        <f>ROUND(IF(VLOOKUP($A103,EnrollData2324,'2324 Jun 24 Enroll'!E$1,FALSE)='District Calculations'!$F$12,VLOOKUP($A103,EnrollData2324,'2324 Jun 24 Enroll'!E$1,FALSE),'District Calculations'!$F$12)*C103,3)</f>
        <v>60.447000000000003</v>
      </c>
      <c r="F103">
        <f>ROUND(IF(VLOOKUP($A103,EnrollData2324,'2324 Jun 24 Enroll'!F$1,FALSE)='District Calculations'!$F$13,VLOOKUP($A103,EnrollData2324,'2324 Jun 24 Enroll'!F$1,FALSE),'District Calculations'!$F$13)*Apport_222A2425,3)</f>
        <v>10.337999999999999</v>
      </c>
      <c r="G103">
        <f>ROUND(IF(VLOOKUP($A103,EnrollData2324,'2324 Jun 24 Enroll'!G$1,FALSE)='District Calculations'!$F$14,VLOOKUP($A103,EnrollData2324,'2324 Jun 24 Enroll'!G$1,FALSE),'District Calculations'!$F$14)*Apport_210A2425,3)</f>
        <v>22.92</v>
      </c>
      <c r="H103">
        <f>ROUND(IF(VLOOKUP($A103,EnrollData2324,'2324 Jun 24 Enroll'!H$1,FALSE)='District Calculations'!$F$15,VLOOKUP($A103,EnrollData2324,'2324 Jun 24 Enroll'!H$1,FALSE),'District Calculations'!$F$15)*Apport_213A2425,3)</f>
        <v>23.619</v>
      </c>
      <c r="I103">
        <f>ROUND(IF(VLOOKUP($A103,EnrollData2324,'2324 Jun 24 Enroll'!I$1,FALSE)+VLOOKUP($A103,EnrollData2324,'2324 Jun 24 Enroll'!M$1,FALSE)-VLOOKUP($A103,EnrollData2324,'2324 Jun 24 Enroll'!J$1,FALSE)='District Calculations'!$F$16+'District Calculations'!$F$25-'District Calculations'!$F$17,VLOOKUP($A103,EnrollData2324,'2324 Jun 24 Enroll'!I$1,FALSE)+VLOOKUP($A103,EnrollData2324,'2324 Jun 24 Enroll'!M$1,FALSE)-VLOOKUP($A103,EnrollData2324,'2324 Jun 24 Enroll'!J$1,FALSE),'District Calculations'!$F$16+'District Calculations'!$F$25-'District Calculations'!$F$17)*Apport_216A2425,3)</f>
        <v>59.057000000000002</v>
      </c>
      <c r="J103">
        <f>ROUND(SUM(D103:I103)/(IF(VLOOKUP($A103,EnrollData2324,'2324 Jun 24 Enroll'!M$1,FALSE)='District Calculations'!$F$25,VLOOKUP($A103,EnrollData2324,'2324 Jun 24 Enroll'!M$1,FALSE),'District Calculations'!$F$25)+IF(VLOOKUP($A103,EnrollData2324,'2324 Jun 24 Enroll'!D$1,FALSE)='District Calculations'!$F$11,VLOOKUP($A103,EnrollData2324,'2324 Jun 24 Enroll'!D$1,FALSE),'District Calculations'!$F$11)),5)</f>
        <v>5.6520000000000001E-2</v>
      </c>
      <c r="K103" s="11">
        <f t="shared" si="30"/>
        <v>4.385E-3</v>
      </c>
      <c r="L103">
        <f>ROUND(IF(VLOOKUP($A103,EnrollData2324,'2324 Jun 24 Enroll'!D$1,FALSE)='District Calculations'!$F$11,VLOOKUP($A103,EnrollData2324,'2324 Jun 24 Enroll'!D$1,FALSE),'District Calculations'!$F$11)*K103,3)</f>
        <v>0</v>
      </c>
      <c r="M103">
        <f>ROUND(IF(VLOOKUP($A103,EnrollData2324,'2324 Jun 24 Enroll'!E$1,FALSE)='District Calculations'!$F$12,VLOOKUP($A103,EnrollData2324,'2324 Jun 24 Enroll'!E$1,FALSE),'District Calculations'!$F$12)*K103,3)</f>
        <v>3.5539999999999998</v>
      </c>
      <c r="N103">
        <f>ROUND(IF(VLOOKUP($A103,EnrollData2324,'2324 Jun 24 Enroll'!F$1,FALSE)='District Calculations'!$F$13,VLOOKUP($A103,EnrollData2324,'2324 Jun 24 Enroll'!F$1,FALSE),'District Calculations'!$F$13)*Apport_223A2425,3)</f>
        <v>0.84599999999999997</v>
      </c>
      <c r="O103">
        <f>ROUND(IF(VLOOKUP($A103,EnrollData2324,'2324 Jun 24 Enroll'!G$1,FALSE)='District Calculations'!$F$14,VLOOKUP($A103,EnrollData2324,'2324 Jun 24 Enroll'!G$1,FALSE),'District Calculations'!$F$14)*Apport_211A2425,3)</f>
        <v>1.877</v>
      </c>
      <c r="P103">
        <f>ROUND(IF(VLOOKUP($A103,EnrollData2324,'2324 Jun 24 Enroll'!H$1,FALSE)='District Calculations'!$F$14,VLOOKUP($A103,EnrollData2324,'2324 Jun 24 Enroll'!H$1,FALSE),'District Calculations'!$F$14)*Apport_214A2425,3)</f>
        <v>1.875</v>
      </c>
      <c r="Q103">
        <f>ROUND(IF(VLOOKUP($A103,EnrollData2324,'2324 Jun 24 Enroll'!I$1,FALSE)+VLOOKUP($A103,EnrollData2324,'2324 Jun 24 Enroll'!M$1,FALSE)-VLOOKUP($A103,EnrollData2324,'2324 Jun 24 Enroll'!J$1,FALSE)='District Calculations'!$F$16+'District Calculations'!$F$25-'District Calculations'!$F$17,VLOOKUP($A103,EnrollData2324,'2324 Jun 24 Enroll'!I$1,FALSE)+VLOOKUP($A103,EnrollData2324,'2324 Jun 24 Enroll'!M$1,FALSE)-VLOOKUP($A103,EnrollData2324,'2324 Jun 24 Enroll'!J$1,FALSE),'District Calculations'!$F$16+'District Calculations'!$F$25-'District Calculations'!$F$17)*Apport_217A2425,3)</f>
        <v>4.7130000000000001</v>
      </c>
      <c r="R103">
        <f>ROUND(SUM(L103:Q103)/IF(VLOOKUP($A103,EnrollData2324,'2324 Jun 24 Enroll'!M$1,FALSE)+VLOOKUP($A103,EnrollData2324,'2324 Jun 24 Enroll'!D$1,FALSE)='District Calculations'!$F$25+'District Calculations'!$F$11,VLOOKUP($A103,EnrollData2324,'2324 Jun 24 Enroll'!M$1,FALSE)+VLOOKUP($A103,EnrollData2324,'2324 Jun 24 Enroll'!D$1,FALSE),'District Calculations'!$F$25+'District Calculations'!$F$11),5)</f>
        <v>4.1200000000000004E-3</v>
      </c>
      <c r="S103" s="11">
        <f t="shared" si="31"/>
        <v>1.8734299999999999E-2</v>
      </c>
      <c r="T103">
        <f>ROUND(IF(VLOOKUP($A103,EnrollData2324,'2324 Jun 24 Enroll'!D$1,FALSE)='District Calculations'!$F$11,VLOOKUP($A103,EnrollData2324,'2324 Jun 24 Enroll'!D$1,FALSE),'District Calculations'!$F$11)*S103,3)</f>
        <v>0</v>
      </c>
      <c r="U103">
        <f>ROUND(IF(VLOOKUP($A103,EnrollData2324,'2324 Jun 24 Enroll'!E$1,FALSE)='District Calculations'!$F$12,VLOOKUP($A103,EnrollData2324,'2324 Jun 24 Enroll'!E$1,FALSE),'District Calculations'!$F$12)*S103,3)</f>
        <v>15.183999999999999</v>
      </c>
      <c r="V103">
        <f>ROUND(IF(VLOOKUP($A103,EnrollData2324,'2324 Jun 24 Enroll'!F$1,FALSE)='District Calculations'!$F$13,VLOOKUP($A103,EnrollData2324,'2324 Jun 24 Enroll'!F$1,FALSE),'District Calculations'!$F$13)*Apport_224A2425,3)</f>
        <v>3.7109999999999999</v>
      </c>
      <c r="W103">
        <f>ROUND(IF(VLOOKUP($A103,EnrollData2324,'2324 Jun 24 Enroll'!G$1,FALSE)='District Calculations'!$F$14,VLOOKUP($A103,EnrollData2324,'2324 Jun 24 Enroll'!G$1,FALSE),'District Calculations'!$F$14)*Apport_212A2425,3)</f>
        <v>8.2279999999999998</v>
      </c>
      <c r="X103">
        <f>ROUND(IF(VLOOKUP($A103,EnrollData2324,'2324 Jun 24 Enroll'!H$1,FALSE)='District Calculations'!$F$14,VLOOKUP($A103,EnrollData2324,'2324 Jun 24 Enroll'!H$1,FALSE),'District Calculations'!$F$14)*Apport_215A2425,3)</f>
        <v>8.1180000000000003</v>
      </c>
      <c r="Y103">
        <f>ROUND(IF(VLOOKUP($A103,EnrollData2324,'2324 Jun 24 Enroll'!I$1,FALSE)+VLOOKUP($A103,EnrollData2324,'2324 Jun 24 Enroll'!M$1,FALSE)-VLOOKUP($A103,EnrollData2324,'2324 Jun 24 Enroll'!J$1,FALSE)='District Calculations'!$F$16+'District Calculations'!$F$25-'District Calculations'!$F$17,VLOOKUP($A103,EnrollData2324,'2324 Jun 24 Enroll'!I$1,FALSE)+VLOOKUP($A103,EnrollData2324,'2324 Jun 24 Enroll'!M$1,FALSE)-VLOOKUP($A103,EnrollData2324,'2324 Jun 24 Enroll'!J$1,FALSE),'District Calculations'!$F$16+'District Calculations'!$F$25-'District Calculations'!$F$17)*Apport_218A2425,3)</f>
        <v>20.257999999999999</v>
      </c>
      <c r="Z103">
        <f>ROUND(SUM(T103:Y103)/IF(VLOOKUP($A103,EnrollData2324,'2324 Jun 24 Enroll'!M$1,FALSE)+VLOOKUP($A103,EnrollData2324,'2324 Jun 24 Enroll'!D$1,FALSE)='District Calculations'!$F$25+'District Calculations'!$F$11,VLOOKUP($A103,EnrollData2324,'2324 Jun 24 Enroll'!M$1,FALSE)+VLOOKUP($A103,EnrollData2324,'2324 Jun 24 Enroll'!D$1,FALSE),'District Calculations'!$F$25+'District Calculations'!$F$11),5)</f>
        <v>1.7780000000000001E-2</v>
      </c>
      <c r="AA103" s="6">
        <f>ROUND($J103*CIS_Base_Salary2425*VLOOKUP($A103,EnrollData2324,'2324 Jun 24 Enroll'!AH$1,FALSE),2)</f>
        <v>4262.68</v>
      </c>
      <c r="AB103" s="6">
        <f>ROUND($J103*CIS_Inc_Salary2425*(VLOOKUP($A103,EnrollData2324,'2324 Jun 24 Enroll'!AI$1,FALSE)+VLOOKUP($A103,EnrollData2324,'2324 Jun 24 Enroll'!AJ$1,FALSE)),2)-AA103</f>
        <v>157.6899999999996</v>
      </c>
      <c r="AC103" s="6" cm="1">
        <f t="array" ref="AC103">ROUND($R103*CAS_Base_Salary2425*VLOOKUP($A103,EnrollData2324,'2324 Jun 24 Enroll'!AH$1,FALSE),2)</f>
        <v>461.23</v>
      </c>
      <c r="AD103" s="6">
        <f>ROUND($R103*CAS_Inc_Salary2425*VLOOKUP($A103,EnrollData2324,'2324 Jun 24 Enroll'!AI$1,FALSE),2)-AC103</f>
        <v>17.069999999999993</v>
      </c>
      <c r="AE103" s="6">
        <f>ROUND($Z103*CLS_Base_Salary2425*VLOOKUP($A103,EnrollData2324,'2324 Jun 24 Enroll'!AH$1,FALSE),2)</f>
        <v>961.95</v>
      </c>
      <c r="AF103" s="6">
        <f>ROUND($Z103*CLS_Inc_Salary2425*VLOOKUP($A103,EnrollData2324,'2324 Jun 24 Enroll'!AI$1,FALSE),2)-AE103</f>
        <v>35.599999999999909</v>
      </c>
      <c r="AG103" cm="1">
        <f t="array" ref="AG103">ROUND(($J103+$R103)*Apport_124X2425,2)</f>
        <v>800.45</v>
      </c>
      <c r="AH103" s="69" cm="1">
        <f t="array" ref="AH103">ROUND(($J103+$R103)*Apport_621X2425*Apport_125XC2425,2)-AG103</f>
        <v>73.899999999999977</v>
      </c>
      <c r="AI103" cm="1">
        <f t="array" ref="AI103">ROUND($Z103*Apport_124X2425,2)</f>
        <v>234.7</v>
      </c>
      <c r="AJ103">
        <f t="shared" si="32"/>
        <v>124.71000000000004</v>
      </c>
      <c r="AK103">
        <f t="shared" si="33"/>
        <v>857.39</v>
      </c>
      <c r="AL103">
        <f t="shared" si="34"/>
        <v>30.6</v>
      </c>
      <c r="AM103">
        <f t="shared" si="35"/>
        <v>208.36</v>
      </c>
      <c r="AN103">
        <f t="shared" si="36"/>
        <v>6.46</v>
      </c>
      <c r="AO103">
        <f>ROUND(($J103*CIS_Inc_Salary2425*(VLOOKUP($A103,EnrollData2324,'2324 Jun 24 Enroll'!AI$1,FALSE)+VLOOKUP($A103,EnrollData2324,'2324 Jun 24 Enroll'!AJ$1,FALSE))/Apport_613Xpd)*Apport_614Xpd,2)</f>
        <v>73.67</v>
      </c>
      <c r="AP103">
        <f t="shared" si="37"/>
        <v>12.9</v>
      </c>
      <c r="AQ103">
        <f t="shared" si="28"/>
        <v>31.48</v>
      </c>
      <c r="AR103" s="6">
        <f>ROUND((VLOOKUP($A103,EnrollData2324,'2324 Jun 24 Enroll'!D$1,FALSE)*Apport_M802425+VLOOKUP($A103,EnrollData2324,'2324 Jun 24 Enroll'!M$1,FALSE)*Apport_M802425+(VLOOKUP($A103,EnrollData2324,'2324 Jun 24 Enroll'!P$1,FALSE)+VLOOKUP($A103,EnrollData2324,'2324 Jun 24 Enroll'!Q$1,FALSE)+VLOOKUP($A103,EnrollData2324,'2324 Jun 24 Enroll'!R$1,FALSE)+VLOOKUP($A103,EnrollData2324,'2324 Jun 24 Enroll'!I$1,FALSE)+VLOOKUP($A103,EnrollData2324,'2324 Jun 24 Enroll'!N$1,FALSE)+VLOOKUP($A103,EnrollData2324,'2324 Jun 24 Enroll'!O$1,FALSE)+VLOOKUP($A103,EnrollData2324,'2324 Jun 24 Enroll'!K$1,FALSE)+VLOOKUP($A103,EnrollData2324,'2324 Jun 24 Enroll'!L$1,FALSE))*Apport_M812425)/(VLOOKUP($A103,EnrollData2324,'2324 Jun 24 Enroll'!M$1,FALSE)+VLOOKUP($A103,EnrollData2324,'2324 Jun 24 Enroll'!D$1,FALSE)),2)</f>
        <v>1604.89</v>
      </c>
      <c r="AS103" s="7">
        <f t="shared" si="29"/>
        <v>9955.7299999999977</v>
      </c>
    </row>
    <row r="104" spans="1:45">
      <c r="A104" s="40" t="s">
        <v>406</v>
      </c>
      <c r="B104" s="40" t="s">
        <v>407</v>
      </c>
      <c r="C104" s="11">
        <f>ROUND((IFERROR((1/IF(VLOOKUP($A104,EnrollData2324,28,FALSE)='District Calculations'!$F$10,VLOOKUP($A104,EnrollData2324,28,FALSE),'District Calculations'!$F$10))*(1+Apport_Z315),0))+Apport_201A2425,6)</f>
        <v>7.4580999999999995E-2</v>
      </c>
      <c r="D104">
        <f>ROUND(IF(VLOOKUP($A104,EnrollData2324,'2324 Jun 24 Enroll'!D$1,FALSE)='District Calculations'!$F$11,VLOOKUP($A104,EnrollData2324,'2324 Jun 24 Enroll'!D$1,FALSE),'District Calculations'!$F$11)*C104,3)</f>
        <v>0</v>
      </c>
      <c r="E104">
        <f>ROUND(IF(VLOOKUP($A104,EnrollData2324,'2324 Jun 24 Enroll'!E$1,FALSE)='District Calculations'!$F$12,VLOOKUP($A104,EnrollData2324,'2324 Jun 24 Enroll'!E$1,FALSE),'District Calculations'!$F$12)*C104,3)</f>
        <v>60.447000000000003</v>
      </c>
      <c r="F104">
        <f>ROUND(IF(VLOOKUP($A104,EnrollData2324,'2324 Jun 24 Enroll'!F$1,FALSE)='District Calculations'!$F$13,VLOOKUP($A104,EnrollData2324,'2324 Jun 24 Enroll'!F$1,FALSE),'District Calculations'!$F$13)*Apport_222A2425,3)</f>
        <v>10.337999999999999</v>
      </c>
      <c r="G104">
        <f>ROUND(IF(VLOOKUP($A104,EnrollData2324,'2324 Jun 24 Enroll'!G$1,FALSE)='District Calculations'!$F$14,VLOOKUP($A104,EnrollData2324,'2324 Jun 24 Enroll'!G$1,FALSE),'District Calculations'!$F$14)*Apport_210A2425,3)</f>
        <v>22.92</v>
      </c>
      <c r="H104">
        <f>ROUND(IF(VLOOKUP($A104,EnrollData2324,'2324 Jun 24 Enroll'!H$1,FALSE)='District Calculations'!$F$15,VLOOKUP($A104,EnrollData2324,'2324 Jun 24 Enroll'!H$1,FALSE),'District Calculations'!$F$15)*Apport_213A2425,3)</f>
        <v>23.619</v>
      </c>
      <c r="I104">
        <f>ROUND(IF(VLOOKUP($A104,EnrollData2324,'2324 Jun 24 Enroll'!I$1,FALSE)+VLOOKUP($A104,EnrollData2324,'2324 Jun 24 Enroll'!M$1,FALSE)-VLOOKUP($A104,EnrollData2324,'2324 Jun 24 Enroll'!J$1,FALSE)='District Calculations'!$F$16+'District Calculations'!$F$25-'District Calculations'!$F$17,VLOOKUP($A104,EnrollData2324,'2324 Jun 24 Enroll'!I$1,FALSE)+VLOOKUP($A104,EnrollData2324,'2324 Jun 24 Enroll'!M$1,FALSE)-VLOOKUP($A104,EnrollData2324,'2324 Jun 24 Enroll'!J$1,FALSE),'District Calculations'!$F$16+'District Calculations'!$F$25-'District Calculations'!$F$17)*Apport_216A2425,3)</f>
        <v>59.057000000000002</v>
      </c>
      <c r="J104">
        <f>ROUND(SUM(D104:I104)/(IF(VLOOKUP($A104,EnrollData2324,'2324 Jun 24 Enroll'!M$1,FALSE)='District Calculations'!$F$25,VLOOKUP($A104,EnrollData2324,'2324 Jun 24 Enroll'!M$1,FALSE),'District Calculations'!$F$25)+IF(VLOOKUP($A104,EnrollData2324,'2324 Jun 24 Enroll'!D$1,FALSE)='District Calculations'!$F$11,VLOOKUP($A104,EnrollData2324,'2324 Jun 24 Enroll'!D$1,FALSE),'District Calculations'!$F$11)),5)</f>
        <v>5.6520000000000001E-2</v>
      </c>
      <c r="K104" s="11">
        <f t="shared" si="30"/>
        <v>4.385E-3</v>
      </c>
      <c r="L104">
        <f>ROUND(IF(VLOOKUP($A104,EnrollData2324,'2324 Jun 24 Enroll'!D$1,FALSE)='District Calculations'!$F$11,VLOOKUP($A104,EnrollData2324,'2324 Jun 24 Enroll'!D$1,FALSE),'District Calculations'!$F$11)*K104,3)</f>
        <v>0</v>
      </c>
      <c r="M104">
        <f>ROUND(IF(VLOOKUP($A104,EnrollData2324,'2324 Jun 24 Enroll'!E$1,FALSE)='District Calculations'!$F$12,VLOOKUP($A104,EnrollData2324,'2324 Jun 24 Enroll'!E$1,FALSE),'District Calculations'!$F$12)*K104,3)</f>
        <v>3.5539999999999998</v>
      </c>
      <c r="N104">
        <f>ROUND(IF(VLOOKUP($A104,EnrollData2324,'2324 Jun 24 Enroll'!F$1,FALSE)='District Calculations'!$F$13,VLOOKUP($A104,EnrollData2324,'2324 Jun 24 Enroll'!F$1,FALSE),'District Calculations'!$F$13)*Apport_223A2425,3)</f>
        <v>0.84599999999999997</v>
      </c>
      <c r="O104">
        <f>ROUND(IF(VLOOKUP($A104,EnrollData2324,'2324 Jun 24 Enroll'!G$1,FALSE)='District Calculations'!$F$14,VLOOKUP($A104,EnrollData2324,'2324 Jun 24 Enroll'!G$1,FALSE),'District Calculations'!$F$14)*Apport_211A2425,3)</f>
        <v>1.877</v>
      </c>
      <c r="P104">
        <f>ROUND(IF(VLOOKUP($A104,EnrollData2324,'2324 Jun 24 Enroll'!H$1,FALSE)='District Calculations'!$F$14,VLOOKUP($A104,EnrollData2324,'2324 Jun 24 Enroll'!H$1,FALSE),'District Calculations'!$F$14)*Apport_214A2425,3)</f>
        <v>1.875</v>
      </c>
      <c r="Q104">
        <f>ROUND(IF(VLOOKUP($A104,EnrollData2324,'2324 Jun 24 Enroll'!I$1,FALSE)+VLOOKUP($A104,EnrollData2324,'2324 Jun 24 Enroll'!M$1,FALSE)-VLOOKUP($A104,EnrollData2324,'2324 Jun 24 Enroll'!J$1,FALSE)='District Calculations'!$F$16+'District Calculations'!$F$25-'District Calculations'!$F$17,VLOOKUP($A104,EnrollData2324,'2324 Jun 24 Enroll'!I$1,FALSE)+VLOOKUP($A104,EnrollData2324,'2324 Jun 24 Enroll'!M$1,FALSE)-VLOOKUP($A104,EnrollData2324,'2324 Jun 24 Enroll'!J$1,FALSE),'District Calculations'!$F$16+'District Calculations'!$F$25-'District Calculations'!$F$17)*Apport_217A2425,3)</f>
        <v>4.7130000000000001</v>
      </c>
      <c r="R104">
        <f>ROUND(SUM(L104:Q104)/IF(VLOOKUP($A104,EnrollData2324,'2324 Jun 24 Enroll'!M$1,FALSE)+VLOOKUP($A104,EnrollData2324,'2324 Jun 24 Enroll'!D$1,FALSE)='District Calculations'!$F$25+'District Calculations'!$F$11,VLOOKUP($A104,EnrollData2324,'2324 Jun 24 Enroll'!M$1,FALSE)+VLOOKUP($A104,EnrollData2324,'2324 Jun 24 Enroll'!D$1,FALSE),'District Calculations'!$F$25+'District Calculations'!$F$11),5)</f>
        <v>4.1200000000000004E-3</v>
      </c>
      <c r="S104" s="11">
        <f t="shared" si="31"/>
        <v>1.8734299999999999E-2</v>
      </c>
      <c r="T104">
        <f>ROUND(IF(VLOOKUP($A104,EnrollData2324,'2324 Jun 24 Enroll'!D$1,FALSE)='District Calculations'!$F$11,VLOOKUP($A104,EnrollData2324,'2324 Jun 24 Enroll'!D$1,FALSE),'District Calculations'!$F$11)*S104,3)</f>
        <v>0</v>
      </c>
      <c r="U104">
        <f>ROUND(IF(VLOOKUP($A104,EnrollData2324,'2324 Jun 24 Enroll'!E$1,FALSE)='District Calculations'!$F$12,VLOOKUP($A104,EnrollData2324,'2324 Jun 24 Enroll'!E$1,FALSE),'District Calculations'!$F$12)*S104,3)</f>
        <v>15.183999999999999</v>
      </c>
      <c r="V104">
        <f>ROUND(IF(VLOOKUP($A104,EnrollData2324,'2324 Jun 24 Enroll'!F$1,FALSE)='District Calculations'!$F$13,VLOOKUP($A104,EnrollData2324,'2324 Jun 24 Enroll'!F$1,FALSE),'District Calculations'!$F$13)*Apport_224A2425,3)</f>
        <v>3.7109999999999999</v>
      </c>
      <c r="W104">
        <f>ROUND(IF(VLOOKUP($A104,EnrollData2324,'2324 Jun 24 Enroll'!G$1,FALSE)='District Calculations'!$F$14,VLOOKUP($A104,EnrollData2324,'2324 Jun 24 Enroll'!G$1,FALSE),'District Calculations'!$F$14)*Apport_212A2425,3)</f>
        <v>8.2279999999999998</v>
      </c>
      <c r="X104">
        <f>ROUND(IF(VLOOKUP($A104,EnrollData2324,'2324 Jun 24 Enroll'!H$1,FALSE)='District Calculations'!$F$14,VLOOKUP($A104,EnrollData2324,'2324 Jun 24 Enroll'!H$1,FALSE),'District Calculations'!$F$14)*Apport_215A2425,3)</f>
        <v>8.1180000000000003</v>
      </c>
      <c r="Y104">
        <f>ROUND(IF(VLOOKUP($A104,EnrollData2324,'2324 Jun 24 Enroll'!I$1,FALSE)+VLOOKUP($A104,EnrollData2324,'2324 Jun 24 Enroll'!M$1,FALSE)-VLOOKUP($A104,EnrollData2324,'2324 Jun 24 Enroll'!J$1,FALSE)='District Calculations'!$F$16+'District Calculations'!$F$25-'District Calculations'!$F$17,VLOOKUP($A104,EnrollData2324,'2324 Jun 24 Enroll'!I$1,FALSE)+VLOOKUP($A104,EnrollData2324,'2324 Jun 24 Enroll'!M$1,FALSE)-VLOOKUP($A104,EnrollData2324,'2324 Jun 24 Enroll'!J$1,FALSE),'District Calculations'!$F$16+'District Calculations'!$F$25-'District Calculations'!$F$17)*Apport_218A2425,3)</f>
        <v>20.257999999999999</v>
      </c>
      <c r="Z104">
        <f>ROUND(SUM(T104:Y104)/IF(VLOOKUP($A104,EnrollData2324,'2324 Jun 24 Enroll'!M$1,FALSE)+VLOOKUP($A104,EnrollData2324,'2324 Jun 24 Enroll'!D$1,FALSE)='District Calculations'!$F$25+'District Calculations'!$F$11,VLOOKUP($A104,EnrollData2324,'2324 Jun 24 Enroll'!M$1,FALSE)+VLOOKUP($A104,EnrollData2324,'2324 Jun 24 Enroll'!D$1,FALSE),'District Calculations'!$F$25+'District Calculations'!$F$11),5)</f>
        <v>1.7780000000000001E-2</v>
      </c>
      <c r="AA104" s="6">
        <f>ROUND($J104*CIS_Base_Salary2425*VLOOKUP($A104,EnrollData2324,'2324 Jun 24 Enroll'!AH$1,FALSE),2)</f>
        <v>4262.68</v>
      </c>
      <c r="AB104" s="6">
        <f>ROUND($J104*CIS_Inc_Salary2425*(VLOOKUP($A104,EnrollData2324,'2324 Jun 24 Enroll'!AI$1,FALSE)+VLOOKUP($A104,EnrollData2324,'2324 Jun 24 Enroll'!AJ$1,FALSE)),2)-AA104</f>
        <v>157.6899999999996</v>
      </c>
      <c r="AC104" s="6" cm="1">
        <f t="array" ref="AC104">ROUND($R104*CAS_Base_Salary2425*VLOOKUP($A104,EnrollData2324,'2324 Jun 24 Enroll'!AH$1,FALSE),2)</f>
        <v>461.23</v>
      </c>
      <c r="AD104" s="6">
        <f>ROUND($R104*CAS_Inc_Salary2425*VLOOKUP($A104,EnrollData2324,'2324 Jun 24 Enroll'!AI$1,FALSE),2)-AC104</f>
        <v>17.069999999999993</v>
      </c>
      <c r="AE104" s="6">
        <f>ROUND($Z104*CLS_Base_Salary2425*VLOOKUP($A104,EnrollData2324,'2324 Jun 24 Enroll'!AH$1,FALSE),2)</f>
        <v>961.95</v>
      </c>
      <c r="AF104" s="6">
        <f>ROUND($Z104*CLS_Inc_Salary2425*VLOOKUP($A104,EnrollData2324,'2324 Jun 24 Enroll'!AI$1,FALSE),2)-AE104</f>
        <v>35.599999999999909</v>
      </c>
      <c r="AG104" cm="1">
        <f t="array" ref="AG104">ROUND(($J104+$R104)*Apport_124X2425,2)</f>
        <v>800.45</v>
      </c>
      <c r="AH104" s="69" cm="1">
        <f t="array" ref="AH104">ROUND(($J104+$R104)*Apport_621X2425*Apport_125XC2425,2)-AG104</f>
        <v>73.899999999999977</v>
      </c>
      <c r="AI104" cm="1">
        <f t="array" ref="AI104">ROUND($Z104*Apport_124X2425,2)</f>
        <v>234.7</v>
      </c>
      <c r="AJ104">
        <f t="shared" si="32"/>
        <v>124.71000000000004</v>
      </c>
      <c r="AK104">
        <f t="shared" si="33"/>
        <v>857.39</v>
      </c>
      <c r="AL104">
        <f t="shared" si="34"/>
        <v>30.6</v>
      </c>
      <c r="AM104">
        <f t="shared" si="35"/>
        <v>208.36</v>
      </c>
      <c r="AN104">
        <f t="shared" si="36"/>
        <v>6.46</v>
      </c>
      <c r="AO104">
        <f>ROUND(($J104*CIS_Inc_Salary2425*(VLOOKUP($A104,EnrollData2324,'2324 Jun 24 Enroll'!AI$1,FALSE)+VLOOKUP($A104,EnrollData2324,'2324 Jun 24 Enroll'!AJ$1,FALSE))/Apport_613Xpd)*Apport_614Xpd,2)</f>
        <v>73.67</v>
      </c>
      <c r="AP104">
        <f t="shared" si="37"/>
        <v>12.9</v>
      </c>
      <c r="AQ104">
        <f t="shared" si="28"/>
        <v>31.48</v>
      </c>
      <c r="AR104" s="6">
        <f>ROUND((VLOOKUP($A104,EnrollData2324,'2324 Jun 24 Enroll'!D$1,FALSE)*Apport_M802425+VLOOKUP($A104,EnrollData2324,'2324 Jun 24 Enroll'!M$1,FALSE)*Apport_M802425+(VLOOKUP($A104,EnrollData2324,'2324 Jun 24 Enroll'!P$1,FALSE)+VLOOKUP($A104,EnrollData2324,'2324 Jun 24 Enroll'!Q$1,FALSE)+VLOOKUP($A104,EnrollData2324,'2324 Jun 24 Enroll'!R$1,FALSE)+VLOOKUP($A104,EnrollData2324,'2324 Jun 24 Enroll'!I$1,FALSE)+VLOOKUP($A104,EnrollData2324,'2324 Jun 24 Enroll'!N$1,FALSE)+VLOOKUP($A104,EnrollData2324,'2324 Jun 24 Enroll'!O$1,FALSE)+VLOOKUP($A104,EnrollData2324,'2324 Jun 24 Enroll'!K$1,FALSE)+VLOOKUP($A104,EnrollData2324,'2324 Jun 24 Enroll'!L$1,FALSE))*Apport_M812425)/(VLOOKUP($A104,EnrollData2324,'2324 Jun 24 Enroll'!M$1,FALSE)+VLOOKUP($A104,EnrollData2324,'2324 Jun 24 Enroll'!D$1,FALSE)),2)</f>
        <v>1533.02</v>
      </c>
      <c r="AS104" s="7">
        <f t="shared" si="29"/>
        <v>9883.8599999999988</v>
      </c>
    </row>
    <row r="105" spans="1:45">
      <c r="A105" s="40" t="s">
        <v>745</v>
      </c>
      <c r="B105" s="40" t="s">
        <v>746</v>
      </c>
      <c r="C105" s="11">
        <f>ROUND((IFERROR((1/IF(VLOOKUP($A105,EnrollData2324,28,FALSE)='District Calculations'!$F$10,VLOOKUP($A105,EnrollData2324,28,FALSE),'District Calculations'!$F$10))*(1+Apport_Z315),0))+Apport_201A2425,6)</f>
        <v>7.4580999999999995E-2</v>
      </c>
      <c r="D105">
        <f>ROUND(IF(VLOOKUP($A105,EnrollData2324,'2324 Jun 24 Enroll'!D$1,FALSE)='District Calculations'!$F$11,VLOOKUP($A105,EnrollData2324,'2324 Jun 24 Enroll'!D$1,FALSE),'District Calculations'!$F$11)*C105,3)</f>
        <v>0</v>
      </c>
      <c r="E105">
        <f>ROUND(IF(VLOOKUP($A105,EnrollData2324,'2324 Jun 24 Enroll'!E$1,FALSE)='District Calculations'!$F$12,VLOOKUP($A105,EnrollData2324,'2324 Jun 24 Enroll'!E$1,FALSE),'District Calculations'!$F$12)*C105,3)</f>
        <v>60.447000000000003</v>
      </c>
      <c r="F105">
        <f>ROUND(IF(VLOOKUP($A105,EnrollData2324,'2324 Jun 24 Enroll'!F$1,FALSE)='District Calculations'!$F$13,VLOOKUP($A105,EnrollData2324,'2324 Jun 24 Enroll'!F$1,FALSE),'District Calculations'!$F$13)*Apport_222A2425,3)</f>
        <v>10.337999999999999</v>
      </c>
      <c r="G105">
        <f>ROUND(IF(VLOOKUP($A105,EnrollData2324,'2324 Jun 24 Enroll'!G$1,FALSE)='District Calculations'!$F$14,VLOOKUP($A105,EnrollData2324,'2324 Jun 24 Enroll'!G$1,FALSE),'District Calculations'!$F$14)*Apport_210A2425,3)</f>
        <v>22.92</v>
      </c>
      <c r="H105">
        <f>ROUND(IF(VLOOKUP($A105,EnrollData2324,'2324 Jun 24 Enroll'!H$1,FALSE)='District Calculations'!$F$15,VLOOKUP($A105,EnrollData2324,'2324 Jun 24 Enroll'!H$1,FALSE),'District Calculations'!$F$15)*Apport_213A2425,3)</f>
        <v>23.619</v>
      </c>
      <c r="I105">
        <f>ROUND(IF(VLOOKUP($A105,EnrollData2324,'2324 Jun 24 Enroll'!I$1,FALSE)+VLOOKUP($A105,EnrollData2324,'2324 Jun 24 Enroll'!M$1,FALSE)-VLOOKUP($A105,EnrollData2324,'2324 Jun 24 Enroll'!J$1,FALSE)='District Calculations'!$F$16+'District Calculations'!$F$25-'District Calculations'!$F$17,VLOOKUP($A105,EnrollData2324,'2324 Jun 24 Enroll'!I$1,FALSE)+VLOOKUP($A105,EnrollData2324,'2324 Jun 24 Enroll'!M$1,FALSE)-VLOOKUP($A105,EnrollData2324,'2324 Jun 24 Enroll'!J$1,FALSE),'District Calculations'!$F$16+'District Calculations'!$F$25-'District Calculations'!$F$17)*Apport_216A2425,3)</f>
        <v>59.057000000000002</v>
      </c>
      <c r="J105">
        <f>ROUND(SUM(D105:I105)/(IF(VLOOKUP($A105,EnrollData2324,'2324 Jun 24 Enroll'!M$1,FALSE)='District Calculations'!$F$25,VLOOKUP($A105,EnrollData2324,'2324 Jun 24 Enroll'!M$1,FALSE),'District Calculations'!$F$25)+IF(VLOOKUP($A105,EnrollData2324,'2324 Jun 24 Enroll'!D$1,FALSE)='District Calculations'!$F$11,VLOOKUP($A105,EnrollData2324,'2324 Jun 24 Enroll'!D$1,FALSE),'District Calculations'!$F$11)),5)</f>
        <v>5.6520000000000001E-2</v>
      </c>
      <c r="K105" s="11">
        <f t="shared" si="30"/>
        <v>4.385E-3</v>
      </c>
      <c r="L105">
        <f>ROUND(IF(VLOOKUP($A105,EnrollData2324,'2324 Jun 24 Enroll'!D$1,FALSE)='District Calculations'!$F$11,VLOOKUP($A105,EnrollData2324,'2324 Jun 24 Enroll'!D$1,FALSE),'District Calculations'!$F$11)*K105,3)</f>
        <v>0</v>
      </c>
      <c r="M105">
        <f>ROUND(IF(VLOOKUP($A105,EnrollData2324,'2324 Jun 24 Enroll'!E$1,FALSE)='District Calculations'!$F$12,VLOOKUP($A105,EnrollData2324,'2324 Jun 24 Enroll'!E$1,FALSE),'District Calculations'!$F$12)*K105,3)</f>
        <v>3.5539999999999998</v>
      </c>
      <c r="N105">
        <f>ROUND(IF(VLOOKUP($A105,EnrollData2324,'2324 Jun 24 Enroll'!F$1,FALSE)='District Calculations'!$F$13,VLOOKUP($A105,EnrollData2324,'2324 Jun 24 Enroll'!F$1,FALSE),'District Calculations'!$F$13)*Apport_223A2425,3)</f>
        <v>0.84599999999999997</v>
      </c>
      <c r="O105">
        <f>ROUND(IF(VLOOKUP($A105,EnrollData2324,'2324 Jun 24 Enroll'!G$1,FALSE)='District Calculations'!$F$14,VLOOKUP($A105,EnrollData2324,'2324 Jun 24 Enroll'!G$1,FALSE),'District Calculations'!$F$14)*Apport_211A2425,3)</f>
        <v>1.877</v>
      </c>
      <c r="P105">
        <f>ROUND(IF(VLOOKUP($A105,EnrollData2324,'2324 Jun 24 Enroll'!H$1,FALSE)='District Calculations'!$F$14,VLOOKUP($A105,EnrollData2324,'2324 Jun 24 Enroll'!H$1,FALSE),'District Calculations'!$F$14)*Apport_214A2425,3)</f>
        <v>1.875</v>
      </c>
      <c r="Q105">
        <f>ROUND(IF(VLOOKUP($A105,EnrollData2324,'2324 Jun 24 Enroll'!I$1,FALSE)+VLOOKUP($A105,EnrollData2324,'2324 Jun 24 Enroll'!M$1,FALSE)-VLOOKUP($A105,EnrollData2324,'2324 Jun 24 Enroll'!J$1,FALSE)='District Calculations'!$F$16+'District Calculations'!$F$25-'District Calculations'!$F$17,VLOOKUP($A105,EnrollData2324,'2324 Jun 24 Enroll'!I$1,FALSE)+VLOOKUP($A105,EnrollData2324,'2324 Jun 24 Enroll'!M$1,FALSE)-VLOOKUP($A105,EnrollData2324,'2324 Jun 24 Enroll'!J$1,FALSE),'District Calculations'!$F$16+'District Calculations'!$F$25-'District Calculations'!$F$17)*Apport_217A2425,3)</f>
        <v>4.7130000000000001</v>
      </c>
      <c r="R105">
        <f>ROUND(SUM(L105:Q105)/IF(VLOOKUP($A105,EnrollData2324,'2324 Jun 24 Enroll'!M$1,FALSE)+VLOOKUP($A105,EnrollData2324,'2324 Jun 24 Enroll'!D$1,FALSE)='District Calculations'!$F$25+'District Calculations'!$F$11,VLOOKUP($A105,EnrollData2324,'2324 Jun 24 Enroll'!M$1,FALSE)+VLOOKUP($A105,EnrollData2324,'2324 Jun 24 Enroll'!D$1,FALSE),'District Calculations'!$F$25+'District Calculations'!$F$11),5)</f>
        <v>4.1200000000000004E-3</v>
      </c>
      <c r="S105" s="11">
        <f t="shared" si="31"/>
        <v>1.8734299999999999E-2</v>
      </c>
      <c r="T105">
        <f>ROUND(IF(VLOOKUP($A105,EnrollData2324,'2324 Jun 24 Enroll'!D$1,FALSE)='District Calculations'!$F$11,VLOOKUP($A105,EnrollData2324,'2324 Jun 24 Enroll'!D$1,FALSE),'District Calculations'!$F$11)*S105,3)</f>
        <v>0</v>
      </c>
      <c r="U105">
        <f>ROUND(IF(VLOOKUP($A105,EnrollData2324,'2324 Jun 24 Enroll'!E$1,FALSE)='District Calculations'!$F$12,VLOOKUP($A105,EnrollData2324,'2324 Jun 24 Enroll'!E$1,FALSE),'District Calculations'!$F$12)*S105,3)</f>
        <v>15.183999999999999</v>
      </c>
      <c r="V105">
        <f>ROUND(IF(VLOOKUP($A105,EnrollData2324,'2324 Jun 24 Enroll'!F$1,FALSE)='District Calculations'!$F$13,VLOOKUP($A105,EnrollData2324,'2324 Jun 24 Enroll'!F$1,FALSE),'District Calculations'!$F$13)*Apport_224A2425,3)</f>
        <v>3.7109999999999999</v>
      </c>
      <c r="W105">
        <f>ROUND(IF(VLOOKUP($A105,EnrollData2324,'2324 Jun 24 Enroll'!G$1,FALSE)='District Calculations'!$F$14,VLOOKUP($A105,EnrollData2324,'2324 Jun 24 Enroll'!G$1,FALSE),'District Calculations'!$F$14)*Apport_212A2425,3)</f>
        <v>8.2279999999999998</v>
      </c>
      <c r="X105">
        <f>ROUND(IF(VLOOKUP($A105,EnrollData2324,'2324 Jun 24 Enroll'!H$1,FALSE)='District Calculations'!$F$14,VLOOKUP($A105,EnrollData2324,'2324 Jun 24 Enroll'!H$1,FALSE),'District Calculations'!$F$14)*Apport_215A2425,3)</f>
        <v>8.1180000000000003</v>
      </c>
      <c r="Y105">
        <f>ROUND(IF(VLOOKUP($A105,EnrollData2324,'2324 Jun 24 Enroll'!I$1,FALSE)+VLOOKUP($A105,EnrollData2324,'2324 Jun 24 Enroll'!M$1,FALSE)-VLOOKUP($A105,EnrollData2324,'2324 Jun 24 Enroll'!J$1,FALSE)='District Calculations'!$F$16+'District Calculations'!$F$25-'District Calculations'!$F$17,VLOOKUP($A105,EnrollData2324,'2324 Jun 24 Enroll'!I$1,FALSE)+VLOOKUP($A105,EnrollData2324,'2324 Jun 24 Enroll'!M$1,FALSE)-VLOOKUP($A105,EnrollData2324,'2324 Jun 24 Enroll'!J$1,FALSE),'District Calculations'!$F$16+'District Calculations'!$F$25-'District Calculations'!$F$17)*Apport_218A2425,3)</f>
        <v>20.257999999999999</v>
      </c>
      <c r="Z105">
        <f>ROUND(SUM(T105:Y105)/IF(VLOOKUP($A105,EnrollData2324,'2324 Jun 24 Enroll'!M$1,FALSE)+VLOOKUP($A105,EnrollData2324,'2324 Jun 24 Enroll'!D$1,FALSE)='District Calculations'!$F$25+'District Calculations'!$F$11,VLOOKUP($A105,EnrollData2324,'2324 Jun 24 Enroll'!M$1,FALSE)+VLOOKUP($A105,EnrollData2324,'2324 Jun 24 Enroll'!D$1,FALSE),'District Calculations'!$F$25+'District Calculations'!$F$11),5)</f>
        <v>1.7780000000000001E-2</v>
      </c>
      <c r="AA105" s="6">
        <f>ROUND($J105*CIS_Base_Salary2425*VLOOKUP($A105,EnrollData2324,'2324 Jun 24 Enroll'!AH$1,FALSE),2)</f>
        <v>4262.68</v>
      </c>
      <c r="AB105" s="6">
        <f>ROUND($J105*CIS_Inc_Salary2425*(VLOOKUP($A105,EnrollData2324,'2324 Jun 24 Enroll'!AI$1,FALSE)+VLOOKUP($A105,EnrollData2324,'2324 Jun 24 Enroll'!AJ$1,FALSE)),2)-AA105</f>
        <v>157.6899999999996</v>
      </c>
      <c r="AC105" s="6" cm="1">
        <f t="array" ref="AC105">ROUND($R105*CAS_Base_Salary2425*VLOOKUP($A105,EnrollData2324,'2324 Jun 24 Enroll'!AH$1,FALSE),2)</f>
        <v>461.23</v>
      </c>
      <c r="AD105" s="6">
        <f>ROUND($R105*CAS_Inc_Salary2425*VLOOKUP($A105,EnrollData2324,'2324 Jun 24 Enroll'!AI$1,FALSE),2)-AC105</f>
        <v>17.069999999999993</v>
      </c>
      <c r="AE105" s="6">
        <f>ROUND($Z105*CLS_Base_Salary2425*VLOOKUP($A105,EnrollData2324,'2324 Jun 24 Enroll'!AH$1,FALSE),2)</f>
        <v>961.95</v>
      </c>
      <c r="AF105" s="6">
        <f>ROUND($Z105*CLS_Inc_Salary2425*VLOOKUP($A105,EnrollData2324,'2324 Jun 24 Enroll'!AI$1,FALSE),2)-AE105</f>
        <v>35.599999999999909</v>
      </c>
      <c r="AG105" cm="1">
        <f t="array" ref="AG105">ROUND(($J105+$R105)*Apport_124X2425,2)</f>
        <v>800.45</v>
      </c>
      <c r="AH105" s="69" cm="1">
        <f t="array" ref="AH105">ROUND(($J105+$R105)*Apport_621X2425*Apport_125XC2425,2)-AG105</f>
        <v>73.899999999999977</v>
      </c>
      <c r="AI105" cm="1">
        <f t="array" ref="AI105">ROUND($Z105*Apport_124X2425,2)</f>
        <v>234.7</v>
      </c>
      <c r="AJ105">
        <f t="shared" si="32"/>
        <v>124.71000000000004</v>
      </c>
      <c r="AK105">
        <f t="shared" si="33"/>
        <v>857.39</v>
      </c>
      <c r="AL105">
        <f t="shared" si="34"/>
        <v>30.6</v>
      </c>
      <c r="AM105">
        <f t="shared" si="35"/>
        <v>208.36</v>
      </c>
      <c r="AN105">
        <f t="shared" si="36"/>
        <v>6.46</v>
      </c>
      <c r="AO105">
        <f>ROUND(($J105*CIS_Inc_Salary2425*(VLOOKUP($A105,EnrollData2324,'2324 Jun 24 Enroll'!AI$1,FALSE)+VLOOKUP($A105,EnrollData2324,'2324 Jun 24 Enroll'!AJ$1,FALSE))/Apport_613Xpd)*Apport_614Xpd,2)</f>
        <v>73.67</v>
      </c>
      <c r="AP105">
        <f t="shared" si="37"/>
        <v>12.9</v>
      </c>
      <c r="AQ105">
        <f t="shared" si="28"/>
        <v>31.48</v>
      </c>
      <c r="AR105" s="6">
        <f>ROUND((VLOOKUP($A105,EnrollData2324,'2324 Jun 24 Enroll'!D$1,FALSE)*Apport_M802425+VLOOKUP($A105,EnrollData2324,'2324 Jun 24 Enroll'!M$1,FALSE)*Apport_M802425+(VLOOKUP($A105,EnrollData2324,'2324 Jun 24 Enroll'!P$1,FALSE)+VLOOKUP($A105,EnrollData2324,'2324 Jun 24 Enroll'!Q$1,FALSE)+VLOOKUP($A105,EnrollData2324,'2324 Jun 24 Enroll'!R$1,FALSE)+VLOOKUP($A105,EnrollData2324,'2324 Jun 24 Enroll'!I$1,FALSE)+VLOOKUP($A105,EnrollData2324,'2324 Jun 24 Enroll'!N$1,FALSE)+VLOOKUP($A105,EnrollData2324,'2324 Jun 24 Enroll'!O$1,FALSE)+VLOOKUP($A105,EnrollData2324,'2324 Jun 24 Enroll'!K$1,FALSE)+VLOOKUP($A105,EnrollData2324,'2324 Jun 24 Enroll'!L$1,FALSE))*Apport_M812425)/(VLOOKUP($A105,EnrollData2324,'2324 Jun 24 Enroll'!M$1,FALSE)+VLOOKUP($A105,EnrollData2324,'2324 Jun 24 Enroll'!D$1,FALSE)),2)</f>
        <v>1533.02</v>
      </c>
      <c r="AS105" s="7">
        <f t="shared" si="29"/>
        <v>9883.8599999999988</v>
      </c>
    </row>
    <row r="106" spans="1:45">
      <c r="A106" s="40" t="s">
        <v>885</v>
      </c>
      <c r="B106" s="40" t="s">
        <v>886</v>
      </c>
      <c r="C106" s="11">
        <f>ROUND((IFERROR((1/IF(VLOOKUP($A106,EnrollData2324,28,FALSE)='District Calculations'!$F$10,VLOOKUP($A106,EnrollData2324,28,FALSE),'District Calculations'!$F$10))*(1+Apport_Z315),0))+Apport_201A2425,6)</f>
        <v>7.4580999999999995E-2</v>
      </c>
      <c r="D106">
        <f>ROUND(IF(VLOOKUP($A106,EnrollData2324,'2324 Jun 24 Enroll'!D$1,FALSE)='District Calculations'!$F$11,VLOOKUP($A106,EnrollData2324,'2324 Jun 24 Enroll'!D$1,FALSE),'District Calculations'!$F$11)*C106,3)</f>
        <v>0</v>
      </c>
      <c r="E106">
        <f>ROUND(IF(VLOOKUP($A106,EnrollData2324,'2324 Jun 24 Enroll'!E$1,FALSE)='District Calculations'!$F$12,VLOOKUP($A106,EnrollData2324,'2324 Jun 24 Enroll'!E$1,FALSE),'District Calculations'!$F$12)*C106,3)</f>
        <v>60.447000000000003</v>
      </c>
      <c r="F106">
        <f>ROUND(IF(VLOOKUP($A106,EnrollData2324,'2324 Jun 24 Enroll'!F$1,FALSE)='District Calculations'!$F$13,VLOOKUP($A106,EnrollData2324,'2324 Jun 24 Enroll'!F$1,FALSE),'District Calculations'!$F$13)*Apport_222A2425,3)</f>
        <v>10.337999999999999</v>
      </c>
      <c r="G106">
        <f>ROUND(IF(VLOOKUP($A106,EnrollData2324,'2324 Jun 24 Enroll'!G$1,FALSE)='District Calculations'!$F$14,VLOOKUP($A106,EnrollData2324,'2324 Jun 24 Enroll'!G$1,FALSE),'District Calculations'!$F$14)*Apport_210A2425,3)</f>
        <v>22.92</v>
      </c>
      <c r="H106">
        <f>ROUND(IF(VLOOKUP($A106,EnrollData2324,'2324 Jun 24 Enroll'!H$1,FALSE)='District Calculations'!$F$15,VLOOKUP($A106,EnrollData2324,'2324 Jun 24 Enroll'!H$1,FALSE),'District Calculations'!$F$15)*Apport_213A2425,3)</f>
        <v>23.619</v>
      </c>
      <c r="I106">
        <f>ROUND(IF(VLOOKUP($A106,EnrollData2324,'2324 Jun 24 Enroll'!I$1,FALSE)+VLOOKUP($A106,EnrollData2324,'2324 Jun 24 Enroll'!M$1,FALSE)-VLOOKUP($A106,EnrollData2324,'2324 Jun 24 Enroll'!J$1,FALSE)='District Calculations'!$F$16+'District Calculations'!$F$25-'District Calculations'!$F$17,VLOOKUP($A106,EnrollData2324,'2324 Jun 24 Enroll'!I$1,FALSE)+VLOOKUP($A106,EnrollData2324,'2324 Jun 24 Enroll'!M$1,FALSE)-VLOOKUP($A106,EnrollData2324,'2324 Jun 24 Enroll'!J$1,FALSE),'District Calculations'!$F$16+'District Calculations'!$F$25-'District Calculations'!$F$17)*Apport_216A2425,3)</f>
        <v>59.057000000000002</v>
      </c>
      <c r="J106">
        <f>ROUND(SUM(D106:I106)/(IF(VLOOKUP($A106,EnrollData2324,'2324 Jun 24 Enroll'!M$1,FALSE)='District Calculations'!$F$25,VLOOKUP($A106,EnrollData2324,'2324 Jun 24 Enroll'!M$1,FALSE),'District Calculations'!$F$25)+IF(VLOOKUP($A106,EnrollData2324,'2324 Jun 24 Enroll'!D$1,FALSE)='District Calculations'!$F$11,VLOOKUP($A106,EnrollData2324,'2324 Jun 24 Enroll'!D$1,FALSE),'District Calculations'!$F$11)),5)</f>
        <v>5.6520000000000001E-2</v>
      </c>
      <c r="K106" s="11">
        <f t="shared" si="30"/>
        <v>4.385E-3</v>
      </c>
      <c r="L106">
        <f>ROUND(IF(VLOOKUP($A106,EnrollData2324,'2324 Jun 24 Enroll'!D$1,FALSE)='District Calculations'!$F$11,VLOOKUP($A106,EnrollData2324,'2324 Jun 24 Enroll'!D$1,FALSE),'District Calculations'!$F$11)*K106,3)</f>
        <v>0</v>
      </c>
      <c r="M106">
        <f>ROUND(IF(VLOOKUP($A106,EnrollData2324,'2324 Jun 24 Enroll'!E$1,FALSE)='District Calculations'!$F$12,VLOOKUP($A106,EnrollData2324,'2324 Jun 24 Enroll'!E$1,FALSE),'District Calculations'!$F$12)*K106,3)</f>
        <v>3.5539999999999998</v>
      </c>
      <c r="N106">
        <f>ROUND(IF(VLOOKUP($A106,EnrollData2324,'2324 Jun 24 Enroll'!F$1,FALSE)='District Calculations'!$F$13,VLOOKUP($A106,EnrollData2324,'2324 Jun 24 Enroll'!F$1,FALSE),'District Calculations'!$F$13)*Apport_223A2425,3)</f>
        <v>0.84599999999999997</v>
      </c>
      <c r="O106">
        <f>ROUND(IF(VLOOKUP($A106,EnrollData2324,'2324 Jun 24 Enroll'!G$1,FALSE)='District Calculations'!$F$14,VLOOKUP($A106,EnrollData2324,'2324 Jun 24 Enroll'!G$1,FALSE),'District Calculations'!$F$14)*Apport_211A2425,3)</f>
        <v>1.877</v>
      </c>
      <c r="P106">
        <f>ROUND(IF(VLOOKUP($A106,EnrollData2324,'2324 Jun 24 Enroll'!H$1,FALSE)='District Calculations'!$F$14,VLOOKUP($A106,EnrollData2324,'2324 Jun 24 Enroll'!H$1,FALSE),'District Calculations'!$F$14)*Apport_214A2425,3)</f>
        <v>1.875</v>
      </c>
      <c r="Q106">
        <f>ROUND(IF(VLOOKUP($A106,EnrollData2324,'2324 Jun 24 Enroll'!I$1,FALSE)+VLOOKUP($A106,EnrollData2324,'2324 Jun 24 Enroll'!M$1,FALSE)-VLOOKUP($A106,EnrollData2324,'2324 Jun 24 Enroll'!J$1,FALSE)='District Calculations'!$F$16+'District Calculations'!$F$25-'District Calculations'!$F$17,VLOOKUP($A106,EnrollData2324,'2324 Jun 24 Enroll'!I$1,FALSE)+VLOOKUP($A106,EnrollData2324,'2324 Jun 24 Enroll'!M$1,FALSE)-VLOOKUP($A106,EnrollData2324,'2324 Jun 24 Enroll'!J$1,FALSE),'District Calculations'!$F$16+'District Calculations'!$F$25-'District Calculations'!$F$17)*Apport_217A2425,3)</f>
        <v>4.7130000000000001</v>
      </c>
      <c r="R106">
        <f>ROUND(SUM(L106:Q106)/IF(VLOOKUP($A106,EnrollData2324,'2324 Jun 24 Enroll'!M$1,FALSE)+VLOOKUP($A106,EnrollData2324,'2324 Jun 24 Enroll'!D$1,FALSE)='District Calculations'!$F$25+'District Calculations'!$F$11,VLOOKUP($A106,EnrollData2324,'2324 Jun 24 Enroll'!M$1,FALSE)+VLOOKUP($A106,EnrollData2324,'2324 Jun 24 Enroll'!D$1,FALSE),'District Calculations'!$F$25+'District Calculations'!$F$11),5)</f>
        <v>4.1200000000000004E-3</v>
      </c>
      <c r="S106" s="11">
        <f t="shared" si="31"/>
        <v>1.8734299999999999E-2</v>
      </c>
      <c r="T106">
        <f>ROUND(IF(VLOOKUP($A106,EnrollData2324,'2324 Jun 24 Enroll'!D$1,FALSE)='District Calculations'!$F$11,VLOOKUP($A106,EnrollData2324,'2324 Jun 24 Enroll'!D$1,FALSE),'District Calculations'!$F$11)*S106,3)</f>
        <v>0</v>
      </c>
      <c r="U106">
        <f>ROUND(IF(VLOOKUP($A106,EnrollData2324,'2324 Jun 24 Enroll'!E$1,FALSE)='District Calculations'!$F$12,VLOOKUP($A106,EnrollData2324,'2324 Jun 24 Enroll'!E$1,FALSE),'District Calculations'!$F$12)*S106,3)</f>
        <v>15.183999999999999</v>
      </c>
      <c r="V106">
        <f>ROUND(IF(VLOOKUP($A106,EnrollData2324,'2324 Jun 24 Enroll'!F$1,FALSE)='District Calculations'!$F$13,VLOOKUP($A106,EnrollData2324,'2324 Jun 24 Enroll'!F$1,FALSE),'District Calculations'!$F$13)*Apport_224A2425,3)</f>
        <v>3.7109999999999999</v>
      </c>
      <c r="W106">
        <f>ROUND(IF(VLOOKUP($A106,EnrollData2324,'2324 Jun 24 Enroll'!G$1,FALSE)='District Calculations'!$F$14,VLOOKUP($A106,EnrollData2324,'2324 Jun 24 Enroll'!G$1,FALSE),'District Calculations'!$F$14)*Apport_212A2425,3)</f>
        <v>8.2279999999999998</v>
      </c>
      <c r="X106">
        <f>ROUND(IF(VLOOKUP($A106,EnrollData2324,'2324 Jun 24 Enroll'!H$1,FALSE)='District Calculations'!$F$14,VLOOKUP($A106,EnrollData2324,'2324 Jun 24 Enroll'!H$1,FALSE),'District Calculations'!$F$14)*Apport_215A2425,3)</f>
        <v>8.1180000000000003</v>
      </c>
      <c r="Y106">
        <f>ROUND(IF(VLOOKUP($A106,EnrollData2324,'2324 Jun 24 Enroll'!I$1,FALSE)+VLOOKUP($A106,EnrollData2324,'2324 Jun 24 Enroll'!M$1,FALSE)-VLOOKUP($A106,EnrollData2324,'2324 Jun 24 Enroll'!J$1,FALSE)='District Calculations'!$F$16+'District Calculations'!$F$25-'District Calculations'!$F$17,VLOOKUP($A106,EnrollData2324,'2324 Jun 24 Enroll'!I$1,FALSE)+VLOOKUP($A106,EnrollData2324,'2324 Jun 24 Enroll'!M$1,FALSE)-VLOOKUP($A106,EnrollData2324,'2324 Jun 24 Enroll'!J$1,FALSE),'District Calculations'!$F$16+'District Calculations'!$F$25-'District Calculations'!$F$17)*Apport_218A2425,3)</f>
        <v>20.257999999999999</v>
      </c>
      <c r="Z106">
        <f>ROUND(SUM(T106:Y106)/IF(VLOOKUP($A106,EnrollData2324,'2324 Jun 24 Enroll'!M$1,FALSE)+VLOOKUP($A106,EnrollData2324,'2324 Jun 24 Enroll'!D$1,FALSE)='District Calculations'!$F$25+'District Calculations'!$F$11,VLOOKUP($A106,EnrollData2324,'2324 Jun 24 Enroll'!M$1,FALSE)+VLOOKUP($A106,EnrollData2324,'2324 Jun 24 Enroll'!D$1,FALSE),'District Calculations'!$F$25+'District Calculations'!$F$11),5)</f>
        <v>1.7780000000000001E-2</v>
      </c>
      <c r="AA106" s="6">
        <f>ROUND($J106*CIS_Base_Salary2425*VLOOKUP($A106,EnrollData2324,'2324 Jun 24 Enroll'!AH$1,FALSE),2)</f>
        <v>4262.68</v>
      </c>
      <c r="AB106" s="6">
        <f>ROUND($J106*CIS_Inc_Salary2425*(VLOOKUP($A106,EnrollData2324,'2324 Jun 24 Enroll'!AI$1,FALSE)+VLOOKUP($A106,EnrollData2324,'2324 Jun 24 Enroll'!AJ$1,FALSE)),2)-AA106</f>
        <v>157.6899999999996</v>
      </c>
      <c r="AC106" s="6" cm="1">
        <f t="array" ref="AC106">ROUND($R106*CAS_Base_Salary2425*VLOOKUP($A106,EnrollData2324,'2324 Jun 24 Enroll'!AH$1,FALSE),2)</f>
        <v>461.23</v>
      </c>
      <c r="AD106" s="6">
        <f>ROUND($R106*CAS_Inc_Salary2425*VLOOKUP($A106,EnrollData2324,'2324 Jun 24 Enroll'!AI$1,FALSE),2)-AC106</f>
        <v>17.069999999999993</v>
      </c>
      <c r="AE106" s="6">
        <f>ROUND($Z106*CLS_Base_Salary2425*VLOOKUP($A106,EnrollData2324,'2324 Jun 24 Enroll'!AH$1,FALSE),2)</f>
        <v>961.95</v>
      </c>
      <c r="AF106" s="6">
        <f>ROUND($Z106*CLS_Inc_Salary2425*VLOOKUP($A106,EnrollData2324,'2324 Jun 24 Enroll'!AI$1,FALSE),2)-AE106</f>
        <v>35.599999999999909</v>
      </c>
      <c r="AG106" cm="1">
        <f t="array" ref="AG106">ROUND(($J106+$R106)*Apport_124X2425,2)</f>
        <v>800.45</v>
      </c>
      <c r="AH106" s="69" cm="1">
        <f t="array" ref="AH106">ROUND(($J106+$R106)*Apport_621X2425*Apport_125XC2425,2)-AG106</f>
        <v>73.899999999999977</v>
      </c>
      <c r="AI106" cm="1">
        <f t="array" ref="AI106">ROUND($Z106*Apport_124X2425,2)</f>
        <v>234.7</v>
      </c>
      <c r="AJ106">
        <f t="shared" si="32"/>
        <v>124.71000000000004</v>
      </c>
      <c r="AK106">
        <f t="shared" si="33"/>
        <v>857.39</v>
      </c>
      <c r="AL106">
        <f t="shared" si="34"/>
        <v>30.6</v>
      </c>
      <c r="AM106">
        <f t="shared" si="35"/>
        <v>208.36</v>
      </c>
      <c r="AN106">
        <f t="shared" si="36"/>
        <v>6.46</v>
      </c>
      <c r="AO106">
        <f>ROUND(($J106*CIS_Inc_Salary2425*(VLOOKUP($A106,EnrollData2324,'2324 Jun 24 Enroll'!AI$1,FALSE)+VLOOKUP($A106,EnrollData2324,'2324 Jun 24 Enroll'!AJ$1,FALSE))/Apport_613Xpd)*Apport_614Xpd,2)</f>
        <v>73.67</v>
      </c>
      <c r="AP106">
        <f t="shared" si="37"/>
        <v>12.9</v>
      </c>
      <c r="AQ106">
        <f t="shared" si="28"/>
        <v>31.48</v>
      </c>
      <c r="AR106" s="6">
        <f>ROUND((VLOOKUP($A106,EnrollData2324,'2324 Jun 24 Enroll'!D$1,FALSE)*Apport_M802425+VLOOKUP($A106,EnrollData2324,'2324 Jun 24 Enroll'!M$1,FALSE)*Apport_M802425+(VLOOKUP($A106,EnrollData2324,'2324 Jun 24 Enroll'!P$1,FALSE)+VLOOKUP($A106,EnrollData2324,'2324 Jun 24 Enroll'!Q$1,FALSE)+VLOOKUP($A106,EnrollData2324,'2324 Jun 24 Enroll'!R$1,FALSE)+VLOOKUP($A106,EnrollData2324,'2324 Jun 24 Enroll'!I$1,FALSE)+VLOOKUP($A106,EnrollData2324,'2324 Jun 24 Enroll'!N$1,FALSE)+VLOOKUP($A106,EnrollData2324,'2324 Jun 24 Enroll'!O$1,FALSE)+VLOOKUP($A106,EnrollData2324,'2324 Jun 24 Enroll'!K$1,FALSE)+VLOOKUP($A106,EnrollData2324,'2324 Jun 24 Enroll'!L$1,FALSE))*Apport_M812425)/(VLOOKUP($A106,EnrollData2324,'2324 Jun 24 Enroll'!M$1,FALSE)+VLOOKUP($A106,EnrollData2324,'2324 Jun 24 Enroll'!D$1,FALSE)),2)</f>
        <v>1587.04</v>
      </c>
      <c r="AS106" s="7">
        <f t="shared" si="29"/>
        <v>9937.8799999999974</v>
      </c>
    </row>
    <row r="107" spans="1:45">
      <c r="A107" s="40" t="s">
        <v>651</v>
      </c>
      <c r="B107" s="40" t="s">
        <v>652</v>
      </c>
      <c r="C107" s="11">
        <f>ROUND((IFERROR((1/IF(VLOOKUP($A107,EnrollData2324,28,FALSE)='District Calculations'!$F$10,VLOOKUP($A107,EnrollData2324,28,FALSE),'District Calculations'!$F$10))*(1+Apport_Z315),0))+Apport_201A2425,6)</f>
        <v>7.4580999999999995E-2</v>
      </c>
      <c r="D107">
        <f>ROUND(IF(VLOOKUP($A107,EnrollData2324,'2324 Jun 24 Enroll'!D$1,FALSE)='District Calculations'!$F$11,VLOOKUP($A107,EnrollData2324,'2324 Jun 24 Enroll'!D$1,FALSE),'District Calculations'!$F$11)*C107,3)</f>
        <v>0</v>
      </c>
      <c r="E107">
        <f>ROUND(IF(VLOOKUP($A107,EnrollData2324,'2324 Jun 24 Enroll'!E$1,FALSE)='District Calculations'!$F$12,VLOOKUP($A107,EnrollData2324,'2324 Jun 24 Enroll'!E$1,FALSE),'District Calculations'!$F$12)*C107,3)</f>
        <v>60.447000000000003</v>
      </c>
      <c r="F107">
        <f>ROUND(IF(VLOOKUP($A107,EnrollData2324,'2324 Jun 24 Enroll'!F$1,FALSE)='District Calculations'!$F$13,VLOOKUP($A107,EnrollData2324,'2324 Jun 24 Enroll'!F$1,FALSE),'District Calculations'!$F$13)*Apport_222A2425,3)</f>
        <v>10.337999999999999</v>
      </c>
      <c r="G107">
        <f>ROUND(IF(VLOOKUP($A107,EnrollData2324,'2324 Jun 24 Enroll'!G$1,FALSE)='District Calculations'!$F$14,VLOOKUP($A107,EnrollData2324,'2324 Jun 24 Enroll'!G$1,FALSE),'District Calculations'!$F$14)*Apport_210A2425,3)</f>
        <v>22.92</v>
      </c>
      <c r="H107">
        <f>ROUND(IF(VLOOKUP($A107,EnrollData2324,'2324 Jun 24 Enroll'!H$1,FALSE)='District Calculations'!$F$15,VLOOKUP($A107,EnrollData2324,'2324 Jun 24 Enroll'!H$1,FALSE),'District Calculations'!$F$15)*Apport_213A2425,3)</f>
        <v>23.619</v>
      </c>
      <c r="I107">
        <f>ROUND(IF(VLOOKUP($A107,EnrollData2324,'2324 Jun 24 Enroll'!I$1,FALSE)+VLOOKUP($A107,EnrollData2324,'2324 Jun 24 Enroll'!M$1,FALSE)-VLOOKUP($A107,EnrollData2324,'2324 Jun 24 Enroll'!J$1,FALSE)='District Calculations'!$F$16+'District Calculations'!$F$25-'District Calculations'!$F$17,VLOOKUP($A107,EnrollData2324,'2324 Jun 24 Enroll'!I$1,FALSE)+VLOOKUP($A107,EnrollData2324,'2324 Jun 24 Enroll'!M$1,FALSE)-VLOOKUP($A107,EnrollData2324,'2324 Jun 24 Enroll'!J$1,FALSE),'District Calculations'!$F$16+'District Calculations'!$F$25-'District Calculations'!$F$17)*Apport_216A2425,3)</f>
        <v>59.057000000000002</v>
      </c>
      <c r="J107">
        <f>ROUND(SUM(D107:I107)/(IF(VLOOKUP($A107,EnrollData2324,'2324 Jun 24 Enroll'!M$1,FALSE)='District Calculations'!$F$25,VLOOKUP($A107,EnrollData2324,'2324 Jun 24 Enroll'!M$1,FALSE),'District Calculations'!$F$25)+IF(VLOOKUP($A107,EnrollData2324,'2324 Jun 24 Enroll'!D$1,FALSE)='District Calculations'!$F$11,VLOOKUP($A107,EnrollData2324,'2324 Jun 24 Enroll'!D$1,FALSE),'District Calculations'!$F$11)),5)</f>
        <v>5.6520000000000001E-2</v>
      </c>
      <c r="K107" s="11">
        <f t="shared" si="30"/>
        <v>4.385E-3</v>
      </c>
      <c r="L107">
        <f>ROUND(IF(VLOOKUP($A107,EnrollData2324,'2324 Jun 24 Enroll'!D$1,FALSE)='District Calculations'!$F$11,VLOOKUP($A107,EnrollData2324,'2324 Jun 24 Enroll'!D$1,FALSE),'District Calculations'!$F$11)*K107,3)</f>
        <v>0</v>
      </c>
      <c r="M107">
        <f>ROUND(IF(VLOOKUP($A107,EnrollData2324,'2324 Jun 24 Enroll'!E$1,FALSE)='District Calculations'!$F$12,VLOOKUP($A107,EnrollData2324,'2324 Jun 24 Enroll'!E$1,FALSE),'District Calculations'!$F$12)*K107,3)</f>
        <v>3.5539999999999998</v>
      </c>
      <c r="N107">
        <f>ROUND(IF(VLOOKUP($A107,EnrollData2324,'2324 Jun 24 Enroll'!F$1,FALSE)='District Calculations'!$F$13,VLOOKUP($A107,EnrollData2324,'2324 Jun 24 Enroll'!F$1,FALSE),'District Calculations'!$F$13)*Apport_223A2425,3)</f>
        <v>0.84599999999999997</v>
      </c>
      <c r="O107">
        <f>ROUND(IF(VLOOKUP($A107,EnrollData2324,'2324 Jun 24 Enroll'!G$1,FALSE)='District Calculations'!$F$14,VLOOKUP($A107,EnrollData2324,'2324 Jun 24 Enroll'!G$1,FALSE),'District Calculations'!$F$14)*Apport_211A2425,3)</f>
        <v>1.877</v>
      </c>
      <c r="P107">
        <f>ROUND(IF(VLOOKUP($A107,EnrollData2324,'2324 Jun 24 Enroll'!H$1,FALSE)='District Calculations'!$F$14,VLOOKUP($A107,EnrollData2324,'2324 Jun 24 Enroll'!H$1,FALSE),'District Calculations'!$F$14)*Apport_214A2425,3)</f>
        <v>1.875</v>
      </c>
      <c r="Q107">
        <f>ROUND(IF(VLOOKUP($A107,EnrollData2324,'2324 Jun 24 Enroll'!I$1,FALSE)+VLOOKUP($A107,EnrollData2324,'2324 Jun 24 Enroll'!M$1,FALSE)-VLOOKUP($A107,EnrollData2324,'2324 Jun 24 Enroll'!J$1,FALSE)='District Calculations'!$F$16+'District Calculations'!$F$25-'District Calculations'!$F$17,VLOOKUP($A107,EnrollData2324,'2324 Jun 24 Enroll'!I$1,FALSE)+VLOOKUP($A107,EnrollData2324,'2324 Jun 24 Enroll'!M$1,FALSE)-VLOOKUP($A107,EnrollData2324,'2324 Jun 24 Enroll'!J$1,FALSE),'District Calculations'!$F$16+'District Calculations'!$F$25-'District Calculations'!$F$17)*Apport_217A2425,3)</f>
        <v>4.7130000000000001</v>
      </c>
      <c r="R107">
        <f>ROUND(SUM(L107:Q107)/IF(VLOOKUP($A107,EnrollData2324,'2324 Jun 24 Enroll'!M$1,FALSE)+VLOOKUP($A107,EnrollData2324,'2324 Jun 24 Enroll'!D$1,FALSE)='District Calculations'!$F$25+'District Calculations'!$F$11,VLOOKUP($A107,EnrollData2324,'2324 Jun 24 Enroll'!M$1,FALSE)+VLOOKUP($A107,EnrollData2324,'2324 Jun 24 Enroll'!D$1,FALSE),'District Calculations'!$F$25+'District Calculations'!$F$11),5)</f>
        <v>4.1200000000000004E-3</v>
      </c>
      <c r="S107" s="11">
        <f t="shared" si="31"/>
        <v>1.8734299999999999E-2</v>
      </c>
      <c r="T107">
        <f>ROUND(IF(VLOOKUP($A107,EnrollData2324,'2324 Jun 24 Enroll'!D$1,FALSE)='District Calculations'!$F$11,VLOOKUP($A107,EnrollData2324,'2324 Jun 24 Enroll'!D$1,FALSE),'District Calculations'!$F$11)*S107,3)</f>
        <v>0</v>
      </c>
      <c r="U107">
        <f>ROUND(IF(VLOOKUP($A107,EnrollData2324,'2324 Jun 24 Enroll'!E$1,FALSE)='District Calculations'!$F$12,VLOOKUP($A107,EnrollData2324,'2324 Jun 24 Enroll'!E$1,FALSE),'District Calculations'!$F$12)*S107,3)</f>
        <v>15.183999999999999</v>
      </c>
      <c r="V107">
        <f>ROUND(IF(VLOOKUP($A107,EnrollData2324,'2324 Jun 24 Enroll'!F$1,FALSE)='District Calculations'!$F$13,VLOOKUP($A107,EnrollData2324,'2324 Jun 24 Enroll'!F$1,FALSE),'District Calculations'!$F$13)*Apport_224A2425,3)</f>
        <v>3.7109999999999999</v>
      </c>
      <c r="W107">
        <f>ROUND(IF(VLOOKUP($A107,EnrollData2324,'2324 Jun 24 Enroll'!G$1,FALSE)='District Calculations'!$F$14,VLOOKUP($A107,EnrollData2324,'2324 Jun 24 Enroll'!G$1,FALSE),'District Calculations'!$F$14)*Apport_212A2425,3)</f>
        <v>8.2279999999999998</v>
      </c>
      <c r="X107">
        <f>ROUND(IF(VLOOKUP($A107,EnrollData2324,'2324 Jun 24 Enroll'!H$1,FALSE)='District Calculations'!$F$14,VLOOKUP($A107,EnrollData2324,'2324 Jun 24 Enroll'!H$1,FALSE),'District Calculations'!$F$14)*Apport_215A2425,3)</f>
        <v>8.1180000000000003</v>
      </c>
      <c r="Y107">
        <f>ROUND(IF(VLOOKUP($A107,EnrollData2324,'2324 Jun 24 Enroll'!I$1,FALSE)+VLOOKUP($A107,EnrollData2324,'2324 Jun 24 Enroll'!M$1,FALSE)-VLOOKUP($A107,EnrollData2324,'2324 Jun 24 Enroll'!J$1,FALSE)='District Calculations'!$F$16+'District Calculations'!$F$25-'District Calculations'!$F$17,VLOOKUP($A107,EnrollData2324,'2324 Jun 24 Enroll'!I$1,FALSE)+VLOOKUP($A107,EnrollData2324,'2324 Jun 24 Enroll'!M$1,FALSE)-VLOOKUP($A107,EnrollData2324,'2324 Jun 24 Enroll'!J$1,FALSE),'District Calculations'!$F$16+'District Calculations'!$F$25-'District Calculations'!$F$17)*Apport_218A2425,3)</f>
        <v>20.257999999999999</v>
      </c>
      <c r="Z107">
        <f>ROUND(SUM(T107:Y107)/IF(VLOOKUP($A107,EnrollData2324,'2324 Jun 24 Enroll'!M$1,FALSE)+VLOOKUP($A107,EnrollData2324,'2324 Jun 24 Enroll'!D$1,FALSE)='District Calculations'!$F$25+'District Calculations'!$F$11,VLOOKUP($A107,EnrollData2324,'2324 Jun 24 Enroll'!M$1,FALSE)+VLOOKUP($A107,EnrollData2324,'2324 Jun 24 Enroll'!D$1,FALSE),'District Calculations'!$F$25+'District Calculations'!$F$11),5)</f>
        <v>1.7780000000000001E-2</v>
      </c>
      <c r="AA107" s="6">
        <f>ROUND($J107*CIS_Base_Salary2425*VLOOKUP($A107,EnrollData2324,'2324 Jun 24 Enroll'!AH$1,FALSE),2)</f>
        <v>4262.68</v>
      </c>
      <c r="AB107" s="6">
        <f>ROUND($J107*CIS_Inc_Salary2425*(VLOOKUP($A107,EnrollData2324,'2324 Jun 24 Enroll'!AI$1,FALSE)+VLOOKUP($A107,EnrollData2324,'2324 Jun 24 Enroll'!AJ$1,FALSE)),2)-AA107</f>
        <v>157.6899999999996</v>
      </c>
      <c r="AC107" s="6" cm="1">
        <f t="array" ref="AC107">ROUND($R107*CAS_Base_Salary2425*VLOOKUP($A107,EnrollData2324,'2324 Jun 24 Enroll'!AH$1,FALSE),2)</f>
        <v>461.23</v>
      </c>
      <c r="AD107" s="6">
        <f>ROUND($R107*CAS_Inc_Salary2425*VLOOKUP($A107,EnrollData2324,'2324 Jun 24 Enroll'!AI$1,FALSE),2)-AC107</f>
        <v>17.069999999999993</v>
      </c>
      <c r="AE107" s="6">
        <f>ROUND($Z107*CLS_Base_Salary2425*VLOOKUP($A107,EnrollData2324,'2324 Jun 24 Enroll'!AH$1,FALSE),2)</f>
        <v>961.95</v>
      </c>
      <c r="AF107" s="6">
        <f>ROUND($Z107*CLS_Inc_Salary2425*VLOOKUP($A107,EnrollData2324,'2324 Jun 24 Enroll'!AI$1,FALSE),2)-AE107</f>
        <v>35.599999999999909</v>
      </c>
      <c r="AG107" cm="1">
        <f t="array" ref="AG107">ROUND(($J107+$R107)*Apport_124X2425,2)</f>
        <v>800.45</v>
      </c>
      <c r="AH107" s="69" cm="1">
        <f t="array" ref="AH107">ROUND(($J107+$R107)*Apport_621X2425*Apport_125XC2425,2)-AG107</f>
        <v>73.899999999999977</v>
      </c>
      <c r="AI107" cm="1">
        <f t="array" ref="AI107">ROUND($Z107*Apport_124X2425,2)</f>
        <v>234.7</v>
      </c>
      <c r="AJ107">
        <f t="shared" si="32"/>
        <v>124.71000000000004</v>
      </c>
      <c r="AK107">
        <f t="shared" si="33"/>
        <v>857.39</v>
      </c>
      <c r="AL107">
        <f t="shared" si="34"/>
        <v>30.6</v>
      </c>
      <c r="AM107">
        <f t="shared" si="35"/>
        <v>208.36</v>
      </c>
      <c r="AN107">
        <f t="shared" si="36"/>
        <v>6.46</v>
      </c>
      <c r="AO107">
        <f>ROUND(($J107*CIS_Inc_Salary2425*(VLOOKUP($A107,EnrollData2324,'2324 Jun 24 Enroll'!AI$1,FALSE)+VLOOKUP($A107,EnrollData2324,'2324 Jun 24 Enroll'!AJ$1,FALSE))/Apport_613Xpd)*Apport_614Xpd,2)</f>
        <v>73.67</v>
      </c>
      <c r="AP107">
        <f t="shared" si="37"/>
        <v>12.9</v>
      </c>
      <c r="AQ107">
        <f t="shared" si="28"/>
        <v>31.48</v>
      </c>
      <c r="AR107" s="6">
        <f>ROUND((VLOOKUP($A107,EnrollData2324,'2324 Jun 24 Enroll'!D$1,FALSE)*Apport_M802425+VLOOKUP($A107,EnrollData2324,'2324 Jun 24 Enroll'!M$1,FALSE)*Apport_M802425+(VLOOKUP($A107,EnrollData2324,'2324 Jun 24 Enroll'!P$1,FALSE)+VLOOKUP($A107,EnrollData2324,'2324 Jun 24 Enroll'!Q$1,FALSE)+VLOOKUP($A107,EnrollData2324,'2324 Jun 24 Enroll'!R$1,FALSE)+VLOOKUP($A107,EnrollData2324,'2324 Jun 24 Enroll'!I$1,FALSE)+VLOOKUP($A107,EnrollData2324,'2324 Jun 24 Enroll'!N$1,FALSE)+VLOOKUP($A107,EnrollData2324,'2324 Jun 24 Enroll'!O$1,FALSE)+VLOOKUP($A107,EnrollData2324,'2324 Jun 24 Enroll'!K$1,FALSE)+VLOOKUP($A107,EnrollData2324,'2324 Jun 24 Enroll'!L$1,FALSE))*Apport_M812425)/(VLOOKUP($A107,EnrollData2324,'2324 Jun 24 Enroll'!M$1,FALSE)+VLOOKUP($A107,EnrollData2324,'2324 Jun 24 Enroll'!D$1,FALSE)),2)</f>
        <v>1596.57</v>
      </c>
      <c r="AS107" s="7">
        <f t="shared" si="29"/>
        <v>9947.409999999998</v>
      </c>
    </row>
    <row r="108" spans="1:45">
      <c r="A108" s="40" t="s">
        <v>647</v>
      </c>
      <c r="B108" s="40" t="s">
        <v>648</v>
      </c>
      <c r="C108" s="11">
        <f>ROUND((IFERROR((1/IF(VLOOKUP($A108,EnrollData2324,28,FALSE)='District Calculations'!$F$10,VLOOKUP($A108,EnrollData2324,28,FALSE),'District Calculations'!$F$10))*(1+Apport_Z315),0))+Apport_201A2425,6)</f>
        <v>7.4580999999999995E-2</v>
      </c>
      <c r="D108">
        <f>ROUND(IF(VLOOKUP($A108,EnrollData2324,'2324 Jun 24 Enroll'!D$1,FALSE)='District Calculations'!$F$11,VLOOKUP($A108,EnrollData2324,'2324 Jun 24 Enroll'!D$1,FALSE),'District Calculations'!$F$11)*C108,3)</f>
        <v>0</v>
      </c>
      <c r="E108">
        <f>ROUND(IF(VLOOKUP($A108,EnrollData2324,'2324 Jun 24 Enroll'!E$1,FALSE)='District Calculations'!$F$12,VLOOKUP($A108,EnrollData2324,'2324 Jun 24 Enroll'!E$1,FALSE),'District Calculations'!$F$12)*C108,3)</f>
        <v>60.447000000000003</v>
      </c>
      <c r="F108">
        <f>ROUND(IF(VLOOKUP($A108,EnrollData2324,'2324 Jun 24 Enroll'!F$1,FALSE)='District Calculations'!$F$13,VLOOKUP($A108,EnrollData2324,'2324 Jun 24 Enroll'!F$1,FALSE),'District Calculations'!$F$13)*Apport_222A2425,3)</f>
        <v>10.337999999999999</v>
      </c>
      <c r="G108">
        <f>ROUND(IF(VLOOKUP($A108,EnrollData2324,'2324 Jun 24 Enroll'!G$1,FALSE)='District Calculations'!$F$14,VLOOKUP($A108,EnrollData2324,'2324 Jun 24 Enroll'!G$1,FALSE),'District Calculations'!$F$14)*Apport_210A2425,3)</f>
        <v>22.92</v>
      </c>
      <c r="H108">
        <f>ROUND(IF(VLOOKUP($A108,EnrollData2324,'2324 Jun 24 Enroll'!H$1,FALSE)='District Calculations'!$F$15,VLOOKUP($A108,EnrollData2324,'2324 Jun 24 Enroll'!H$1,FALSE),'District Calculations'!$F$15)*Apport_213A2425,3)</f>
        <v>23.619</v>
      </c>
      <c r="I108">
        <f>ROUND(IF(VLOOKUP($A108,EnrollData2324,'2324 Jun 24 Enroll'!I$1,FALSE)+VLOOKUP($A108,EnrollData2324,'2324 Jun 24 Enroll'!M$1,FALSE)-VLOOKUP($A108,EnrollData2324,'2324 Jun 24 Enroll'!J$1,FALSE)='District Calculations'!$F$16+'District Calculations'!$F$25-'District Calculations'!$F$17,VLOOKUP($A108,EnrollData2324,'2324 Jun 24 Enroll'!I$1,FALSE)+VLOOKUP($A108,EnrollData2324,'2324 Jun 24 Enroll'!M$1,FALSE)-VLOOKUP($A108,EnrollData2324,'2324 Jun 24 Enroll'!J$1,FALSE),'District Calculations'!$F$16+'District Calculations'!$F$25-'District Calculations'!$F$17)*Apport_216A2425,3)</f>
        <v>59.057000000000002</v>
      </c>
      <c r="J108">
        <f>ROUND(SUM(D108:I108)/(IF(VLOOKUP($A108,EnrollData2324,'2324 Jun 24 Enroll'!M$1,FALSE)='District Calculations'!$F$25,VLOOKUP($A108,EnrollData2324,'2324 Jun 24 Enroll'!M$1,FALSE),'District Calculations'!$F$25)+IF(VLOOKUP($A108,EnrollData2324,'2324 Jun 24 Enroll'!D$1,FALSE)='District Calculations'!$F$11,VLOOKUP($A108,EnrollData2324,'2324 Jun 24 Enroll'!D$1,FALSE),'District Calculations'!$F$11)),5)</f>
        <v>5.6520000000000001E-2</v>
      </c>
      <c r="K108" s="11">
        <f t="shared" si="30"/>
        <v>4.385E-3</v>
      </c>
      <c r="L108">
        <f>ROUND(IF(VLOOKUP($A108,EnrollData2324,'2324 Jun 24 Enroll'!D$1,FALSE)='District Calculations'!$F$11,VLOOKUP($A108,EnrollData2324,'2324 Jun 24 Enroll'!D$1,FALSE),'District Calculations'!$F$11)*K108,3)</f>
        <v>0</v>
      </c>
      <c r="M108">
        <f>ROUND(IF(VLOOKUP($A108,EnrollData2324,'2324 Jun 24 Enroll'!E$1,FALSE)='District Calculations'!$F$12,VLOOKUP($A108,EnrollData2324,'2324 Jun 24 Enroll'!E$1,FALSE),'District Calculations'!$F$12)*K108,3)</f>
        <v>3.5539999999999998</v>
      </c>
      <c r="N108">
        <f>ROUND(IF(VLOOKUP($A108,EnrollData2324,'2324 Jun 24 Enroll'!F$1,FALSE)='District Calculations'!$F$13,VLOOKUP($A108,EnrollData2324,'2324 Jun 24 Enroll'!F$1,FALSE),'District Calculations'!$F$13)*Apport_223A2425,3)</f>
        <v>0.84599999999999997</v>
      </c>
      <c r="O108">
        <f>ROUND(IF(VLOOKUP($A108,EnrollData2324,'2324 Jun 24 Enroll'!G$1,FALSE)='District Calculations'!$F$14,VLOOKUP($A108,EnrollData2324,'2324 Jun 24 Enroll'!G$1,FALSE),'District Calculations'!$F$14)*Apport_211A2425,3)</f>
        <v>1.877</v>
      </c>
      <c r="P108">
        <f>ROUND(IF(VLOOKUP($A108,EnrollData2324,'2324 Jun 24 Enroll'!H$1,FALSE)='District Calculations'!$F$14,VLOOKUP($A108,EnrollData2324,'2324 Jun 24 Enroll'!H$1,FALSE),'District Calculations'!$F$14)*Apport_214A2425,3)</f>
        <v>1.875</v>
      </c>
      <c r="Q108">
        <f>ROUND(IF(VLOOKUP($A108,EnrollData2324,'2324 Jun 24 Enroll'!I$1,FALSE)+VLOOKUP($A108,EnrollData2324,'2324 Jun 24 Enroll'!M$1,FALSE)-VLOOKUP($A108,EnrollData2324,'2324 Jun 24 Enroll'!J$1,FALSE)='District Calculations'!$F$16+'District Calculations'!$F$25-'District Calculations'!$F$17,VLOOKUP($A108,EnrollData2324,'2324 Jun 24 Enroll'!I$1,FALSE)+VLOOKUP($A108,EnrollData2324,'2324 Jun 24 Enroll'!M$1,FALSE)-VLOOKUP($A108,EnrollData2324,'2324 Jun 24 Enroll'!J$1,FALSE),'District Calculations'!$F$16+'District Calculations'!$F$25-'District Calculations'!$F$17)*Apport_217A2425,3)</f>
        <v>4.7130000000000001</v>
      </c>
      <c r="R108">
        <f>ROUND(SUM(L108:Q108)/IF(VLOOKUP($A108,EnrollData2324,'2324 Jun 24 Enroll'!M$1,FALSE)+VLOOKUP($A108,EnrollData2324,'2324 Jun 24 Enroll'!D$1,FALSE)='District Calculations'!$F$25+'District Calculations'!$F$11,VLOOKUP($A108,EnrollData2324,'2324 Jun 24 Enroll'!M$1,FALSE)+VLOOKUP($A108,EnrollData2324,'2324 Jun 24 Enroll'!D$1,FALSE),'District Calculations'!$F$25+'District Calculations'!$F$11),5)</f>
        <v>4.1200000000000004E-3</v>
      </c>
      <c r="S108" s="11">
        <f t="shared" si="31"/>
        <v>1.8734299999999999E-2</v>
      </c>
      <c r="T108">
        <f>ROUND(IF(VLOOKUP($A108,EnrollData2324,'2324 Jun 24 Enroll'!D$1,FALSE)='District Calculations'!$F$11,VLOOKUP($A108,EnrollData2324,'2324 Jun 24 Enroll'!D$1,FALSE),'District Calculations'!$F$11)*S108,3)</f>
        <v>0</v>
      </c>
      <c r="U108">
        <f>ROUND(IF(VLOOKUP($A108,EnrollData2324,'2324 Jun 24 Enroll'!E$1,FALSE)='District Calculations'!$F$12,VLOOKUP($A108,EnrollData2324,'2324 Jun 24 Enroll'!E$1,FALSE),'District Calculations'!$F$12)*S108,3)</f>
        <v>15.183999999999999</v>
      </c>
      <c r="V108">
        <f>ROUND(IF(VLOOKUP($A108,EnrollData2324,'2324 Jun 24 Enroll'!F$1,FALSE)='District Calculations'!$F$13,VLOOKUP($A108,EnrollData2324,'2324 Jun 24 Enroll'!F$1,FALSE),'District Calculations'!$F$13)*Apport_224A2425,3)</f>
        <v>3.7109999999999999</v>
      </c>
      <c r="W108">
        <f>ROUND(IF(VLOOKUP($A108,EnrollData2324,'2324 Jun 24 Enroll'!G$1,FALSE)='District Calculations'!$F$14,VLOOKUP($A108,EnrollData2324,'2324 Jun 24 Enroll'!G$1,FALSE),'District Calculations'!$F$14)*Apport_212A2425,3)</f>
        <v>8.2279999999999998</v>
      </c>
      <c r="X108">
        <f>ROUND(IF(VLOOKUP($A108,EnrollData2324,'2324 Jun 24 Enroll'!H$1,FALSE)='District Calculations'!$F$14,VLOOKUP($A108,EnrollData2324,'2324 Jun 24 Enroll'!H$1,FALSE),'District Calculations'!$F$14)*Apport_215A2425,3)</f>
        <v>8.1180000000000003</v>
      </c>
      <c r="Y108">
        <f>ROUND(IF(VLOOKUP($A108,EnrollData2324,'2324 Jun 24 Enroll'!I$1,FALSE)+VLOOKUP($A108,EnrollData2324,'2324 Jun 24 Enroll'!M$1,FALSE)-VLOOKUP($A108,EnrollData2324,'2324 Jun 24 Enroll'!J$1,FALSE)='District Calculations'!$F$16+'District Calculations'!$F$25-'District Calculations'!$F$17,VLOOKUP($A108,EnrollData2324,'2324 Jun 24 Enroll'!I$1,FALSE)+VLOOKUP($A108,EnrollData2324,'2324 Jun 24 Enroll'!M$1,FALSE)-VLOOKUP($A108,EnrollData2324,'2324 Jun 24 Enroll'!J$1,FALSE),'District Calculations'!$F$16+'District Calculations'!$F$25-'District Calculations'!$F$17)*Apport_218A2425,3)</f>
        <v>20.257999999999999</v>
      </c>
      <c r="Z108">
        <f>ROUND(SUM(T108:Y108)/IF(VLOOKUP($A108,EnrollData2324,'2324 Jun 24 Enroll'!M$1,FALSE)+VLOOKUP($A108,EnrollData2324,'2324 Jun 24 Enroll'!D$1,FALSE)='District Calculations'!$F$25+'District Calculations'!$F$11,VLOOKUP($A108,EnrollData2324,'2324 Jun 24 Enroll'!M$1,FALSE)+VLOOKUP($A108,EnrollData2324,'2324 Jun 24 Enroll'!D$1,FALSE),'District Calculations'!$F$25+'District Calculations'!$F$11),5)</f>
        <v>1.7780000000000001E-2</v>
      </c>
      <c r="AA108" s="6">
        <f>ROUND($J108*CIS_Base_Salary2425*VLOOKUP($A108,EnrollData2324,'2324 Jun 24 Enroll'!AH$1,FALSE),2)</f>
        <v>4262.68</v>
      </c>
      <c r="AB108" s="6">
        <f>ROUND($J108*CIS_Inc_Salary2425*(VLOOKUP($A108,EnrollData2324,'2324 Jun 24 Enroll'!AI$1,FALSE)+VLOOKUP($A108,EnrollData2324,'2324 Jun 24 Enroll'!AJ$1,FALSE)),2)-AA108</f>
        <v>157.6899999999996</v>
      </c>
      <c r="AC108" s="6" cm="1">
        <f t="array" ref="AC108">ROUND($R108*CAS_Base_Salary2425*VLOOKUP($A108,EnrollData2324,'2324 Jun 24 Enroll'!AH$1,FALSE),2)</f>
        <v>461.23</v>
      </c>
      <c r="AD108" s="6">
        <f>ROUND($R108*CAS_Inc_Salary2425*VLOOKUP($A108,EnrollData2324,'2324 Jun 24 Enroll'!AI$1,FALSE),2)-AC108</f>
        <v>17.069999999999993</v>
      </c>
      <c r="AE108" s="6">
        <f>ROUND($Z108*CLS_Base_Salary2425*VLOOKUP($A108,EnrollData2324,'2324 Jun 24 Enroll'!AH$1,FALSE),2)</f>
        <v>961.95</v>
      </c>
      <c r="AF108" s="6">
        <f>ROUND($Z108*CLS_Inc_Salary2425*VLOOKUP($A108,EnrollData2324,'2324 Jun 24 Enroll'!AI$1,FALSE),2)-AE108</f>
        <v>35.599999999999909</v>
      </c>
      <c r="AG108" cm="1">
        <f t="array" ref="AG108">ROUND(($J108+$R108)*Apport_124X2425,2)</f>
        <v>800.45</v>
      </c>
      <c r="AH108" s="69" cm="1">
        <f t="array" ref="AH108">ROUND(($J108+$R108)*Apport_621X2425*Apport_125XC2425,2)-AG108</f>
        <v>73.899999999999977</v>
      </c>
      <c r="AI108" cm="1">
        <f t="array" ref="AI108">ROUND($Z108*Apport_124X2425,2)</f>
        <v>234.7</v>
      </c>
      <c r="AJ108">
        <f t="shared" si="32"/>
        <v>124.71000000000004</v>
      </c>
      <c r="AK108">
        <f t="shared" si="33"/>
        <v>857.39</v>
      </c>
      <c r="AL108">
        <f t="shared" si="34"/>
        <v>30.6</v>
      </c>
      <c r="AM108">
        <f t="shared" si="35"/>
        <v>208.36</v>
      </c>
      <c r="AN108">
        <f t="shared" si="36"/>
        <v>6.46</v>
      </c>
      <c r="AO108">
        <f>ROUND(($J108*CIS_Inc_Salary2425*(VLOOKUP($A108,EnrollData2324,'2324 Jun 24 Enroll'!AI$1,FALSE)+VLOOKUP($A108,EnrollData2324,'2324 Jun 24 Enroll'!AJ$1,FALSE))/Apport_613Xpd)*Apport_614Xpd,2)</f>
        <v>73.67</v>
      </c>
      <c r="AP108">
        <f t="shared" si="37"/>
        <v>12.9</v>
      </c>
      <c r="AQ108">
        <f t="shared" si="28"/>
        <v>31.48</v>
      </c>
      <c r="AR108" s="6">
        <f>ROUND((VLOOKUP($A108,EnrollData2324,'2324 Jun 24 Enroll'!D$1,FALSE)*Apport_M802425+VLOOKUP($A108,EnrollData2324,'2324 Jun 24 Enroll'!M$1,FALSE)*Apport_M802425+(VLOOKUP($A108,EnrollData2324,'2324 Jun 24 Enroll'!P$1,FALSE)+VLOOKUP($A108,EnrollData2324,'2324 Jun 24 Enroll'!Q$1,FALSE)+VLOOKUP($A108,EnrollData2324,'2324 Jun 24 Enroll'!R$1,FALSE)+VLOOKUP($A108,EnrollData2324,'2324 Jun 24 Enroll'!I$1,FALSE)+VLOOKUP($A108,EnrollData2324,'2324 Jun 24 Enroll'!N$1,FALSE)+VLOOKUP($A108,EnrollData2324,'2324 Jun 24 Enroll'!O$1,FALSE)+VLOOKUP($A108,EnrollData2324,'2324 Jun 24 Enroll'!K$1,FALSE)+VLOOKUP($A108,EnrollData2324,'2324 Jun 24 Enroll'!L$1,FALSE))*Apport_M812425)/(VLOOKUP($A108,EnrollData2324,'2324 Jun 24 Enroll'!M$1,FALSE)+VLOOKUP($A108,EnrollData2324,'2324 Jun 24 Enroll'!D$1,FALSE)),2)</f>
        <v>1594.55</v>
      </c>
      <c r="AS108" s="7">
        <f t="shared" si="29"/>
        <v>9945.3899999999976</v>
      </c>
    </row>
    <row r="109" spans="1:45">
      <c r="A109" s="40" t="s">
        <v>643</v>
      </c>
      <c r="B109" s="40" t="s">
        <v>644</v>
      </c>
      <c r="C109" s="11">
        <f>ROUND((IFERROR((1/IF(VLOOKUP($A109,EnrollData2324,28,FALSE)='District Calculations'!$F$10,VLOOKUP($A109,EnrollData2324,28,FALSE),'District Calculations'!$F$10))*(1+Apport_Z315),0))+Apport_201A2425,6)</f>
        <v>7.4580999999999995E-2</v>
      </c>
      <c r="D109">
        <f>ROUND(IF(VLOOKUP($A109,EnrollData2324,'2324 Jun 24 Enroll'!D$1,FALSE)='District Calculations'!$F$11,VLOOKUP($A109,EnrollData2324,'2324 Jun 24 Enroll'!D$1,FALSE),'District Calculations'!$F$11)*C109,3)</f>
        <v>0</v>
      </c>
      <c r="E109">
        <f>ROUND(IF(VLOOKUP($A109,EnrollData2324,'2324 Jun 24 Enroll'!E$1,FALSE)='District Calculations'!$F$12,VLOOKUP($A109,EnrollData2324,'2324 Jun 24 Enroll'!E$1,FALSE),'District Calculations'!$F$12)*C109,3)</f>
        <v>60.447000000000003</v>
      </c>
      <c r="F109">
        <f>ROUND(IF(VLOOKUP($A109,EnrollData2324,'2324 Jun 24 Enroll'!F$1,FALSE)='District Calculations'!$F$13,VLOOKUP($A109,EnrollData2324,'2324 Jun 24 Enroll'!F$1,FALSE),'District Calculations'!$F$13)*Apport_222A2425,3)</f>
        <v>10.337999999999999</v>
      </c>
      <c r="G109">
        <f>ROUND(IF(VLOOKUP($A109,EnrollData2324,'2324 Jun 24 Enroll'!G$1,FALSE)='District Calculations'!$F$14,VLOOKUP($A109,EnrollData2324,'2324 Jun 24 Enroll'!G$1,FALSE),'District Calculations'!$F$14)*Apport_210A2425,3)</f>
        <v>22.92</v>
      </c>
      <c r="H109">
        <f>ROUND(IF(VLOOKUP($A109,EnrollData2324,'2324 Jun 24 Enroll'!H$1,FALSE)='District Calculations'!$F$15,VLOOKUP($A109,EnrollData2324,'2324 Jun 24 Enroll'!H$1,FALSE),'District Calculations'!$F$15)*Apport_213A2425,3)</f>
        <v>23.619</v>
      </c>
      <c r="I109">
        <f>ROUND(IF(VLOOKUP($A109,EnrollData2324,'2324 Jun 24 Enroll'!I$1,FALSE)+VLOOKUP($A109,EnrollData2324,'2324 Jun 24 Enroll'!M$1,FALSE)-VLOOKUP($A109,EnrollData2324,'2324 Jun 24 Enroll'!J$1,FALSE)='District Calculations'!$F$16+'District Calculations'!$F$25-'District Calculations'!$F$17,VLOOKUP($A109,EnrollData2324,'2324 Jun 24 Enroll'!I$1,FALSE)+VLOOKUP($A109,EnrollData2324,'2324 Jun 24 Enroll'!M$1,FALSE)-VLOOKUP($A109,EnrollData2324,'2324 Jun 24 Enroll'!J$1,FALSE),'District Calculations'!$F$16+'District Calculations'!$F$25-'District Calculations'!$F$17)*Apport_216A2425,3)</f>
        <v>59.057000000000002</v>
      </c>
      <c r="J109">
        <f>ROUND(SUM(D109:I109)/(IF(VLOOKUP($A109,EnrollData2324,'2324 Jun 24 Enroll'!M$1,FALSE)='District Calculations'!$F$25,VLOOKUP($A109,EnrollData2324,'2324 Jun 24 Enroll'!M$1,FALSE),'District Calculations'!$F$25)+IF(VLOOKUP($A109,EnrollData2324,'2324 Jun 24 Enroll'!D$1,FALSE)='District Calculations'!$F$11,VLOOKUP($A109,EnrollData2324,'2324 Jun 24 Enroll'!D$1,FALSE),'District Calculations'!$F$11)),5)</f>
        <v>5.6520000000000001E-2</v>
      </c>
      <c r="K109" s="11">
        <f t="shared" si="30"/>
        <v>4.385E-3</v>
      </c>
      <c r="L109">
        <f>ROUND(IF(VLOOKUP($A109,EnrollData2324,'2324 Jun 24 Enroll'!D$1,FALSE)='District Calculations'!$F$11,VLOOKUP($A109,EnrollData2324,'2324 Jun 24 Enroll'!D$1,FALSE),'District Calculations'!$F$11)*K109,3)</f>
        <v>0</v>
      </c>
      <c r="M109">
        <f>ROUND(IF(VLOOKUP($A109,EnrollData2324,'2324 Jun 24 Enroll'!E$1,FALSE)='District Calculations'!$F$12,VLOOKUP($A109,EnrollData2324,'2324 Jun 24 Enroll'!E$1,FALSE),'District Calculations'!$F$12)*K109,3)</f>
        <v>3.5539999999999998</v>
      </c>
      <c r="N109">
        <f>ROUND(IF(VLOOKUP($A109,EnrollData2324,'2324 Jun 24 Enroll'!F$1,FALSE)='District Calculations'!$F$13,VLOOKUP($A109,EnrollData2324,'2324 Jun 24 Enroll'!F$1,FALSE),'District Calculations'!$F$13)*Apport_223A2425,3)</f>
        <v>0.84599999999999997</v>
      </c>
      <c r="O109">
        <f>ROUND(IF(VLOOKUP($A109,EnrollData2324,'2324 Jun 24 Enroll'!G$1,FALSE)='District Calculations'!$F$14,VLOOKUP($A109,EnrollData2324,'2324 Jun 24 Enroll'!G$1,FALSE),'District Calculations'!$F$14)*Apport_211A2425,3)</f>
        <v>1.877</v>
      </c>
      <c r="P109">
        <f>ROUND(IF(VLOOKUP($A109,EnrollData2324,'2324 Jun 24 Enroll'!H$1,FALSE)='District Calculations'!$F$14,VLOOKUP($A109,EnrollData2324,'2324 Jun 24 Enroll'!H$1,FALSE),'District Calculations'!$F$14)*Apport_214A2425,3)</f>
        <v>1.875</v>
      </c>
      <c r="Q109">
        <f>ROUND(IF(VLOOKUP($A109,EnrollData2324,'2324 Jun 24 Enroll'!I$1,FALSE)+VLOOKUP($A109,EnrollData2324,'2324 Jun 24 Enroll'!M$1,FALSE)-VLOOKUP($A109,EnrollData2324,'2324 Jun 24 Enroll'!J$1,FALSE)='District Calculations'!$F$16+'District Calculations'!$F$25-'District Calculations'!$F$17,VLOOKUP($A109,EnrollData2324,'2324 Jun 24 Enroll'!I$1,FALSE)+VLOOKUP($A109,EnrollData2324,'2324 Jun 24 Enroll'!M$1,FALSE)-VLOOKUP($A109,EnrollData2324,'2324 Jun 24 Enroll'!J$1,FALSE),'District Calculations'!$F$16+'District Calculations'!$F$25-'District Calculations'!$F$17)*Apport_217A2425,3)</f>
        <v>4.7130000000000001</v>
      </c>
      <c r="R109">
        <f>ROUND(SUM(L109:Q109)/IF(VLOOKUP($A109,EnrollData2324,'2324 Jun 24 Enroll'!M$1,FALSE)+VLOOKUP($A109,EnrollData2324,'2324 Jun 24 Enroll'!D$1,FALSE)='District Calculations'!$F$25+'District Calculations'!$F$11,VLOOKUP($A109,EnrollData2324,'2324 Jun 24 Enroll'!M$1,FALSE)+VLOOKUP($A109,EnrollData2324,'2324 Jun 24 Enroll'!D$1,FALSE),'District Calculations'!$F$25+'District Calculations'!$F$11),5)</f>
        <v>4.1200000000000004E-3</v>
      </c>
      <c r="S109" s="11">
        <f t="shared" si="31"/>
        <v>1.8734299999999999E-2</v>
      </c>
      <c r="T109">
        <f>ROUND(IF(VLOOKUP($A109,EnrollData2324,'2324 Jun 24 Enroll'!D$1,FALSE)='District Calculations'!$F$11,VLOOKUP($A109,EnrollData2324,'2324 Jun 24 Enroll'!D$1,FALSE),'District Calculations'!$F$11)*S109,3)</f>
        <v>0</v>
      </c>
      <c r="U109">
        <f>ROUND(IF(VLOOKUP($A109,EnrollData2324,'2324 Jun 24 Enroll'!E$1,FALSE)='District Calculations'!$F$12,VLOOKUP($A109,EnrollData2324,'2324 Jun 24 Enroll'!E$1,FALSE),'District Calculations'!$F$12)*S109,3)</f>
        <v>15.183999999999999</v>
      </c>
      <c r="V109">
        <f>ROUND(IF(VLOOKUP($A109,EnrollData2324,'2324 Jun 24 Enroll'!F$1,FALSE)='District Calculations'!$F$13,VLOOKUP($A109,EnrollData2324,'2324 Jun 24 Enroll'!F$1,FALSE),'District Calculations'!$F$13)*Apport_224A2425,3)</f>
        <v>3.7109999999999999</v>
      </c>
      <c r="W109">
        <f>ROUND(IF(VLOOKUP($A109,EnrollData2324,'2324 Jun 24 Enroll'!G$1,FALSE)='District Calculations'!$F$14,VLOOKUP($A109,EnrollData2324,'2324 Jun 24 Enroll'!G$1,FALSE),'District Calculations'!$F$14)*Apport_212A2425,3)</f>
        <v>8.2279999999999998</v>
      </c>
      <c r="X109">
        <f>ROUND(IF(VLOOKUP($A109,EnrollData2324,'2324 Jun 24 Enroll'!H$1,FALSE)='District Calculations'!$F$14,VLOOKUP($A109,EnrollData2324,'2324 Jun 24 Enroll'!H$1,FALSE),'District Calculations'!$F$14)*Apport_215A2425,3)</f>
        <v>8.1180000000000003</v>
      </c>
      <c r="Y109">
        <f>ROUND(IF(VLOOKUP($A109,EnrollData2324,'2324 Jun 24 Enroll'!I$1,FALSE)+VLOOKUP($A109,EnrollData2324,'2324 Jun 24 Enroll'!M$1,FALSE)-VLOOKUP($A109,EnrollData2324,'2324 Jun 24 Enroll'!J$1,FALSE)='District Calculations'!$F$16+'District Calculations'!$F$25-'District Calculations'!$F$17,VLOOKUP($A109,EnrollData2324,'2324 Jun 24 Enroll'!I$1,FALSE)+VLOOKUP($A109,EnrollData2324,'2324 Jun 24 Enroll'!M$1,FALSE)-VLOOKUP($A109,EnrollData2324,'2324 Jun 24 Enroll'!J$1,FALSE),'District Calculations'!$F$16+'District Calculations'!$F$25-'District Calculations'!$F$17)*Apport_218A2425,3)</f>
        <v>20.257999999999999</v>
      </c>
      <c r="Z109">
        <f>ROUND(SUM(T109:Y109)/IF(VLOOKUP($A109,EnrollData2324,'2324 Jun 24 Enroll'!M$1,FALSE)+VLOOKUP($A109,EnrollData2324,'2324 Jun 24 Enroll'!D$1,FALSE)='District Calculations'!$F$25+'District Calculations'!$F$11,VLOOKUP($A109,EnrollData2324,'2324 Jun 24 Enroll'!M$1,FALSE)+VLOOKUP($A109,EnrollData2324,'2324 Jun 24 Enroll'!D$1,FALSE),'District Calculations'!$F$25+'District Calculations'!$F$11),5)</f>
        <v>1.7780000000000001E-2</v>
      </c>
      <c r="AA109" s="6">
        <f>ROUND($J109*CIS_Base_Salary2425*VLOOKUP($A109,EnrollData2324,'2324 Jun 24 Enroll'!AH$1,FALSE),2)</f>
        <v>4774.2</v>
      </c>
      <c r="AB109" s="6">
        <f>ROUND($J109*CIS_Inc_Salary2425*(VLOOKUP($A109,EnrollData2324,'2324 Jun 24 Enroll'!AI$1,FALSE)+VLOOKUP($A109,EnrollData2324,'2324 Jun 24 Enroll'!AJ$1,FALSE)),2)-AA109</f>
        <v>176.61999999999989</v>
      </c>
      <c r="AC109" s="6" cm="1">
        <f t="array" ref="AC109">ROUND($R109*CAS_Base_Salary2425*VLOOKUP($A109,EnrollData2324,'2324 Jun 24 Enroll'!AH$1,FALSE),2)</f>
        <v>516.58000000000004</v>
      </c>
      <c r="AD109" s="6">
        <f>ROUND($R109*CAS_Inc_Salary2425*VLOOKUP($A109,EnrollData2324,'2324 Jun 24 Enroll'!AI$1,FALSE),2)-AC109</f>
        <v>19.110000000000014</v>
      </c>
      <c r="AE109" s="6">
        <f>ROUND($Z109*CLS_Base_Salary2425*VLOOKUP($A109,EnrollData2324,'2324 Jun 24 Enroll'!AH$1,FALSE),2)</f>
        <v>1077.3900000000001</v>
      </c>
      <c r="AF109" s="6">
        <f>ROUND($Z109*CLS_Inc_Salary2425*VLOOKUP($A109,EnrollData2324,'2324 Jun 24 Enroll'!AI$1,FALSE),2)-AE109</f>
        <v>39.8599999999999</v>
      </c>
      <c r="AG109" cm="1">
        <f t="array" ref="AG109">ROUND(($J109+$R109)*Apport_124X2425,2)</f>
        <v>800.45</v>
      </c>
      <c r="AH109" s="69" cm="1">
        <f t="array" ref="AH109">ROUND(($J109+$R109)*Apport_621X2425*Apport_125XC2425,2)-AG109</f>
        <v>73.899999999999977</v>
      </c>
      <c r="AI109" cm="1">
        <f t="array" ref="AI109">ROUND($Z109*Apport_124X2425,2)</f>
        <v>234.7</v>
      </c>
      <c r="AJ109">
        <f t="shared" si="32"/>
        <v>124.71000000000004</v>
      </c>
      <c r="AK109">
        <f t="shared" si="33"/>
        <v>960.28</v>
      </c>
      <c r="AL109">
        <f t="shared" si="34"/>
        <v>34.270000000000003</v>
      </c>
      <c r="AM109">
        <f t="shared" si="35"/>
        <v>233.36</v>
      </c>
      <c r="AN109">
        <f t="shared" si="36"/>
        <v>7.24</v>
      </c>
      <c r="AO109">
        <f>ROUND(($J109*CIS_Inc_Salary2425*(VLOOKUP($A109,EnrollData2324,'2324 Jun 24 Enroll'!AI$1,FALSE)+VLOOKUP($A109,EnrollData2324,'2324 Jun 24 Enroll'!AJ$1,FALSE))/Apport_613Xpd)*Apport_614Xpd,2)</f>
        <v>82.51</v>
      </c>
      <c r="AP109">
        <f t="shared" si="37"/>
        <v>14.45</v>
      </c>
      <c r="AQ109">
        <f t="shared" si="28"/>
        <v>31.48</v>
      </c>
      <c r="AR109" s="6">
        <f>ROUND((VLOOKUP($A109,EnrollData2324,'2324 Jun 24 Enroll'!D$1,FALSE)*Apport_M802425+VLOOKUP($A109,EnrollData2324,'2324 Jun 24 Enroll'!M$1,FALSE)*Apport_M802425+(VLOOKUP($A109,EnrollData2324,'2324 Jun 24 Enroll'!P$1,FALSE)+VLOOKUP($A109,EnrollData2324,'2324 Jun 24 Enroll'!Q$1,FALSE)+VLOOKUP($A109,EnrollData2324,'2324 Jun 24 Enroll'!R$1,FALSE)+VLOOKUP($A109,EnrollData2324,'2324 Jun 24 Enroll'!I$1,FALSE)+VLOOKUP($A109,EnrollData2324,'2324 Jun 24 Enroll'!N$1,FALSE)+VLOOKUP($A109,EnrollData2324,'2324 Jun 24 Enroll'!O$1,FALSE)+VLOOKUP($A109,EnrollData2324,'2324 Jun 24 Enroll'!K$1,FALSE)+VLOOKUP($A109,EnrollData2324,'2324 Jun 24 Enroll'!L$1,FALSE))*Apport_M812425)/(VLOOKUP($A109,EnrollData2324,'2324 Jun 24 Enroll'!M$1,FALSE)+VLOOKUP($A109,EnrollData2324,'2324 Jun 24 Enroll'!D$1,FALSE)),2)</f>
        <v>1604.01</v>
      </c>
      <c r="AS109" s="7">
        <f t="shared" si="29"/>
        <v>10805.12</v>
      </c>
    </row>
    <row r="110" spans="1:45">
      <c r="A110" s="40" t="s">
        <v>410</v>
      </c>
      <c r="B110" s="40" t="s">
        <v>411</v>
      </c>
      <c r="C110" s="11">
        <f>ROUND((IFERROR((1/IF(VLOOKUP($A110,EnrollData2324,28,FALSE)='District Calculations'!$F$10,VLOOKUP($A110,EnrollData2324,28,FALSE),'District Calculations'!$F$10))*(1+Apport_Z315),0))+Apport_201A2425,6)</f>
        <v>7.4580999999999995E-2</v>
      </c>
      <c r="D110">
        <f>ROUND(IF(VLOOKUP($A110,EnrollData2324,'2324 Jun 24 Enroll'!D$1,FALSE)='District Calculations'!$F$11,VLOOKUP($A110,EnrollData2324,'2324 Jun 24 Enroll'!D$1,FALSE),'District Calculations'!$F$11)*C110,3)</f>
        <v>0</v>
      </c>
      <c r="E110">
        <f>ROUND(IF(VLOOKUP($A110,EnrollData2324,'2324 Jun 24 Enroll'!E$1,FALSE)='District Calculations'!$F$12,VLOOKUP($A110,EnrollData2324,'2324 Jun 24 Enroll'!E$1,FALSE),'District Calculations'!$F$12)*C110,3)</f>
        <v>60.447000000000003</v>
      </c>
      <c r="F110">
        <f>ROUND(IF(VLOOKUP($A110,EnrollData2324,'2324 Jun 24 Enroll'!F$1,FALSE)='District Calculations'!$F$13,VLOOKUP($A110,EnrollData2324,'2324 Jun 24 Enroll'!F$1,FALSE),'District Calculations'!$F$13)*Apport_222A2425,3)</f>
        <v>10.337999999999999</v>
      </c>
      <c r="G110">
        <f>ROUND(IF(VLOOKUP($A110,EnrollData2324,'2324 Jun 24 Enroll'!G$1,FALSE)='District Calculations'!$F$14,VLOOKUP($A110,EnrollData2324,'2324 Jun 24 Enroll'!G$1,FALSE),'District Calculations'!$F$14)*Apport_210A2425,3)</f>
        <v>22.92</v>
      </c>
      <c r="H110">
        <f>ROUND(IF(VLOOKUP($A110,EnrollData2324,'2324 Jun 24 Enroll'!H$1,FALSE)='District Calculations'!$F$15,VLOOKUP($A110,EnrollData2324,'2324 Jun 24 Enroll'!H$1,FALSE),'District Calculations'!$F$15)*Apport_213A2425,3)</f>
        <v>23.619</v>
      </c>
      <c r="I110">
        <f>ROUND(IF(VLOOKUP($A110,EnrollData2324,'2324 Jun 24 Enroll'!I$1,FALSE)+VLOOKUP($A110,EnrollData2324,'2324 Jun 24 Enroll'!M$1,FALSE)-VLOOKUP($A110,EnrollData2324,'2324 Jun 24 Enroll'!J$1,FALSE)='District Calculations'!$F$16+'District Calculations'!$F$25-'District Calculations'!$F$17,VLOOKUP($A110,EnrollData2324,'2324 Jun 24 Enroll'!I$1,FALSE)+VLOOKUP($A110,EnrollData2324,'2324 Jun 24 Enroll'!M$1,FALSE)-VLOOKUP($A110,EnrollData2324,'2324 Jun 24 Enroll'!J$1,FALSE),'District Calculations'!$F$16+'District Calculations'!$F$25-'District Calculations'!$F$17)*Apport_216A2425,3)</f>
        <v>59.057000000000002</v>
      </c>
      <c r="J110">
        <f>ROUND(SUM(D110:I110)/(IF(VLOOKUP($A110,EnrollData2324,'2324 Jun 24 Enroll'!M$1,FALSE)='District Calculations'!$F$25,VLOOKUP($A110,EnrollData2324,'2324 Jun 24 Enroll'!M$1,FALSE),'District Calculations'!$F$25)+IF(VLOOKUP($A110,EnrollData2324,'2324 Jun 24 Enroll'!D$1,FALSE)='District Calculations'!$F$11,VLOOKUP($A110,EnrollData2324,'2324 Jun 24 Enroll'!D$1,FALSE),'District Calculations'!$F$11)),5)</f>
        <v>5.6520000000000001E-2</v>
      </c>
      <c r="K110" s="11">
        <f t="shared" si="30"/>
        <v>4.385E-3</v>
      </c>
      <c r="L110">
        <f>ROUND(IF(VLOOKUP($A110,EnrollData2324,'2324 Jun 24 Enroll'!D$1,FALSE)='District Calculations'!$F$11,VLOOKUP($A110,EnrollData2324,'2324 Jun 24 Enroll'!D$1,FALSE),'District Calculations'!$F$11)*K110,3)</f>
        <v>0</v>
      </c>
      <c r="M110">
        <f>ROUND(IF(VLOOKUP($A110,EnrollData2324,'2324 Jun 24 Enroll'!E$1,FALSE)='District Calculations'!$F$12,VLOOKUP($A110,EnrollData2324,'2324 Jun 24 Enroll'!E$1,FALSE),'District Calculations'!$F$12)*K110,3)</f>
        <v>3.5539999999999998</v>
      </c>
      <c r="N110">
        <f>ROUND(IF(VLOOKUP($A110,EnrollData2324,'2324 Jun 24 Enroll'!F$1,FALSE)='District Calculations'!$F$13,VLOOKUP($A110,EnrollData2324,'2324 Jun 24 Enroll'!F$1,FALSE),'District Calculations'!$F$13)*Apport_223A2425,3)</f>
        <v>0.84599999999999997</v>
      </c>
      <c r="O110">
        <f>ROUND(IF(VLOOKUP($A110,EnrollData2324,'2324 Jun 24 Enroll'!G$1,FALSE)='District Calculations'!$F$14,VLOOKUP($A110,EnrollData2324,'2324 Jun 24 Enroll'!G$1,FALSE),'District Calculations'!$F$14)*Apport_211A2425,3)</f>
        <v>1.877</v>
      </c>
      <c r="P110">
        <f>ROUND(IF(VLOOKUP($A110,EnrollData2324,'2324 Jun 24 Enroll'!H$1,FALSE)='District Calculations'!$F$14,VLOOKUP($A110,EnrollData2324,'2324 Jun 24 Enroll'!H$1,FALSE),'District Calculations'!$F$14)*Apport_214A2425,3)</f>
        <v>1.875</v>
      </c>
      <c r="Q110">
        <f>ROUND(IF(VLOOKUP($A110,EnrollData2324,'2324 Jun 24 Enroll'!I$1,FALSE)+VLOOKUP($A110,EnrollData2324,'2324 Jun 24 Enroll'!M$1,FALSE)-VLOOKUP($A110,EnrollData2324,'2324 Jun 24 Enroll'!J$1,FALSE)='District Calculations'!$F$16+'District Calculations'!$F$25-'District Calculations'!$F$17,VLOOKUP($A110,EnrollData2324,'2324 Jun 24 Enroll'!I$1,FALSE)+VLOOKUP($A110,EnrollData2324,'2324 Jun 24 Enroll'!M$1,FALSE)-VLOOKUP($A110,EnrollData2324,'2324 Jun 24 Enroll'!J$1,FALSE),'District Calculations'!$F$16+'District Calculations'!$F$25-'District Calculations'!$F$17)*Apport_217A2425,3)</f>
        <v>4.7130000000000001</v>
      </c>
      <c r="R110">
        <f>ROUND(SUM(L110:Q110)/IF(VLOOKUP($A110,EnrollData2324,'2324 Jun 24 Enroll'!M$1,FALSE)+VLOOKUP($A110,EnrollData2324,'2324 Jun 24 Enroll'!D$1,FALSE)='District Calculations'!$F$25+'District Calculations'!$F$11,VLOOKUP($A110,EnrollData2324,'2324 Jun 24 Enroll'!M$1,FALSE)+VLOOKUP($A110,EnrollData2324,'2324 Jun 24 Enroll'!D$1,FALSE),'District Calculations'!$F$25+'District Calculations'!$F$11),5)</f>
        <v>4.1200000000000004E-3</v>
      </c>
      <c r="S110" s="11">
        <f t="shared" si="31"/>
        <v>1.8734299999999999E-2</v>
      </c>
      <c r="T110">
        <f>ROUND(IF(VLOOKUP($A110,EnrollData2324,'2324 Jun 24 Enroll'!D$1,FALSE)='District Calculations'!$F$11,VLOOKUP($A110,EnrollData2324,'2324 Jun 24 Enroll'!D$1,FALSE),'District Calculations'!$F$11)*S110,3)</f>
        <v>0</v>
      </c>
      <c r="U110">
        <f>ROUND(IF(VLOOKUP($A110,EnrollData2324,'2324 Jun 24 Enroll'!E$1,FALSE)='District Calculations'!$F$12,VLOOKUP($A110,EnrollData2324,'2324 Jun 24 Enroll'!E$1,FALSE),'District Calculations'!$F$12)*S110,3)</f>
        <v>15.183999999999999</v>
      </c>
      <c r="V110">
        <f>ROUND(IF(VLOOKUP($A110,EnrollData2324,'2324 Jun 24 Enroll'!F$1,FALSE)='District Calculations'!$F$13,VLOOKUP($A110,EnrollData2324,'2324 Jun 24 Enroll'!F$1,FALSE),'District Calculations'!$F$13)*Apport_224A2425,3)</f>
        <v>3.7109999999999999</v>
      </c>
      <c r="W110">
        <f>ROUND(IF(VLOOKUP($A110,EnrollData2324,'2324 Jun 24 Enroll'!G$1,FALSE)='District Calculations'!$F$14,VLOOKUP($A110,EnrollData2324,'2324 Jun 24 Enroll'!G$1,FALSE),'District Calculations'!$F$14)*Apport_212A2425,3)</f>
        <v>8.2279999999999998</v>
      </c>
      <c r="X110">
        <f>ROUND(IF(VLOOKUP($A110,EnrollData2324,'2324 Jun 24 Enroll'!H$1,FALSE)='District Calculations'!$F$14,VLOOKUP($A110,EnrollData2324,'2324 Jun 24 Enroll'!H$1,FALSE),'District Calculations'!$F$14)*Apport_215A2425,3)</f>
        <v>8.1180000000000003</v>
      </c>
      <c r="Y110">
        <f>ROUND(IF(VLOOKUP($A110,EnrollData2324,'2324 Jun 24 Enroll'!I$1,FALSE)+VLOOKUP($A110,EnrollData2324,'2324 Jun 24 Enroll'!M$1,FALSE)-VLOOKUP($A110,EnrollData2324,'2324 Jun 24 Enroll'!J$1,FALSE)='District Calculations'!$F$16+'District Calculations'!$F$25-'District Calculations'!$F$17,VLOOKUP($A110,EnrollData2324,'2324 Jun 24 Enroll'!I$1,FALSE)+VLOOKUP($A110,EnrollData2324,'2324 Jun 24 Enroll'!M$1,FALSE)-VLOOKUP($A110,EnrollData2324,'2324 Jun 24 Enroll'!J$1,FALSE),'District Calculations'!$F$16+'District Calculations'!$F$25-'District Calculations'!$F$17)*Apport_218A2425,3)</f>
        <v>20.257999999999999</v>
      </c>
      <c r="Z110">
        <f>ROUND(SUM(T110:Y110)/IF(VLOOKUP($A110,EnrollData2324,'2324 Jun 24 Enroll'!M$1,FALSE)+VLOOKUP($A110,EnrollData2324,'2324 Jun 24 Enroll'!D$1,FALSE)='District Calculations'!$F$25+'District Calculations'!$F$11,VLOOKUP($A110,EnrollData2324,'2324 Jun 24 Enroll'!M$1,FALSE)+VLOOKUP($A110,EnrollData2324,'2324 Jun 24 Enroll'!D$1,FALSE),'District Calculations'!$F$25+'District Calculations'!$F$11),5)</f>
        <v>1.7780000000000001E-2</v>
      </c>
      <c r="AA110" s="6">
        <f>ROUND($J110*CIS_Base_Salary2425*VLOOKUP($A110,EnrollData2324,'2324 Jun 24 Enroll'!AH$1,FALSE),2)</f>
        <v>4774.2</v>
      </c>
      <c r="AB110" s="6">
        <f>ROUND($J110*CIS_Inc_Salary2425*(VLOOKUP($A110,EnrollData2324,'2324 Jun 24 Enroll'!AI$1,FALSE)+VLOOKUP($A110,EnrollData2324,'2324 Jun 24 Enroll'!AJ$1,FALSE)),2)-AA110</f>
        <v>220.82000000000062</v>
      </c>
      <c r="AC110" s="6" cm="1">
        <f t="array" ref="AC110">ROUND($R110*CAS_Base_Salary2425*VLOOKUP($A110,EnrollData2324,'2324 Jun 24 Enroll'!AH$1,FALSE),2)</f>
        <v>516.58000000000004</v>
      </c>
      <c r="AD110" s="6">
        <f>ROUND($R110*CAS_Inc_Salary2425*VLOOKUP($A110,EnrollData2324,'2324 Jun 24 Enroll'!AI$1,FALSE),2)-AC110</f>
        <v>19.110000000000014</v>
      </c>
      <c r="AE110" s="6">
        <f>ROUND($Z110*CLS_Base_Salary2425*VLOOKUP($A110,EnrollData2324,'2324 Jun 24 Enroll'!AH$1,FALSE),2)</f>
        <v>1077.3900000000001</v>
      </c>
      <c r="AF110" s="6">
        <f>ROUND($Z110*CLS_Inc_Salary2425*VLOOKUP($A110,EnrollData2324,'2324 Jun 24 Enroll'!AI$1,FALSE),2)-AE110</f>
        <v>39.8599999999999</v>
      </c>
      <c r="AG110" cm="1">
        <f t="array" ref="AG110">ROUND(($J110+$R110)*Apport_124X2425,2)</f>
        <v>800.45</v>
      </c>
      <c r="AH110" s="69" cm="1">
        <f t="array" ref="AH110">ROUND(($J110+$R110)*Apport_621X2425*Apport_125XC2425,2)-AG110</f>
        <v>73.899999999999977</v>
      </c>
      <c r="AI110" cm="1">
        <f t="array" ref="AI110">ROUND($Z110*Apport_124X2425,2)</f>
        <v>234.7</v>
      </c>
      <c r="AJ110">
        <f t="shared" si="32"/>
        <v>124.71000000000004</v>
      </c>
      <c r="AK110">
        <f t="shared" si="33"/>
        <v>960.28</v>
      </c>
      <c r="AL110">
        <f t="shared" si="34"/>
        <v>42.01</v>
      </c>
      <c r="AM110">
        <f t="shared" si="35"/>
        <v>233.36</v>
      </c>
      <c r="AN110">
        <f t="shared" si="36"/>
        <v>7.24</v>
      </c>
      <c r="AO110">
        <f>ROUND(($J110*CIS_Inc_Salary2425*(VLOOKUP($A110,EnrollData2324,'2324 Jun 24 Enroll'!AI$1,FALSE)+VLOOKUP($A110,EnrollData2324,'2324 Jun 24 Enroll'!AJ$1,FALSE))/Apport_613Xpd)*Apport_614Xpd,2)</f>
        <v>83.25</v>
      </c>
      <c r="AP110">
        <f t="shared" si="37"/>
        <v>14.58</v>
      </c>
      <c r="AQ110">
        <f t="shared" si="28"/>
        <v>31.48</v>
      </c>
      <c r="AR110" s="6">
        <f>ROUND((VLOOKUP($A110,EnrollData2324,'2324 Jun 24 Enroll'!D$1,FALSE)*Apport_M802425+VLOOKUP($A110,EnrollData2324,'2324 Jun 24 Enroll'!M$1,FALSE)*Apport_M802425+(VLOOKUP($A110,EnrollData2324,'2324 Jun 24 Enroll'!P$1,FALSE)+VLOOKUP($A110,EnrollData2324,'2324 Jun 24 Enroll'!Q$1,FALSE)+VLOOKUP($A110,EnrollData2324,'2324 Jun 24 Enroll'!R$1,FALSE)+VLOOKUP($A110,EnrollData2324,'2324 Jun 24 Enroll'!I$1,FALSE)+VLOOKUP($A110,EnrollData2324,'2324 Jun 24 Enroll'!N$1,FALSE)+VLOOKUP($A110,EnrollData2324,'2324 Jun 24 Enroll'!O$1,FALSE)+VLOOKUP($A110,EnrollData2324,'2324 Jun 24 Enroll'!K$1,FALSE)+VLOOKUP($A110,EnrollData2324,'2324 Jun 24 Enroll'!L$1,FALSE))*Apport_M812425)/(VLOOKUP($A110,EnrollData2324,'2324 Jun 24 Enroll'!M$1,FALSE)+VLOOKUP($A110,EnrollData2324,'2324 Jun 24 Enroll'!D$1,FALSE)),2)</f>
        <v>1596.02</v>
      </c>
      <c r="AS110" s="7">
        <f t="shared" si="29"/>
        <v>10849.94</v>
      </c>
    </row>
    <row r="111" spans="1:45">
      <c r="A111" s="40" t="s">
        <v>777</v>
      </c>
      <c r="B111" s="40" t="s">
        <v>778</v>
      </c>
      <c r="C111" s="11">
        <f>ROUND((IFERROR((1/IF(VLOOKUP($A111,EnrollData2324,28,FALSE)='District Calculations'!$F$10,VLOOKUP($A111,EnrollData2324,28,FALSE),'District Calculations'!$F$10))*(1+Apport_Z315),0))+Apport_201A2425,6)</f>
        <v>7.4580999999999995E-2</v>
      </c>
      <c r="D111">
        <f>ROUND(IF(VLOOKUP($A111,EnrollData2324,'2324 Jun 24 Enroll'!D$1,FALSE)='District Calculations'!$F$11,VLOOKUP($A111,EnrollData2324,'2324 Jun 24 Enroll'!D$1,FALSE),'District Calculations'!$F$11)*C111,3)</f>
        <v>0</v>
      </c>
      <c r="E111">
        <f>ROUND(IF(VLOOKUP($A111,EnrollData2324,'2324 Jun 24 Enroll'!E$1,FALSE)='District Calculations'!$F$12,VLOOKUP($A111,EnrollData2324,'2324 Jun 24 Enroll'!E$1,FALSE),'District Calculations'!$F$12)*C111,3)</f>
        <v>60.447000000000003</v>
      </c>
      <c r="F111">
        <f>ROUND(IF(VLOOKUP($A111,EnrollData2324,'2324 Jun 24 Enroll'!F$1,FALSE)='District Calculations'!$F$13,VLOOKUP($A111,EnrollData2324,'2324 Jun 24 Enroll'!F$1,FALSE),'District Calculations'!$F$13)*Apport_222A2425,3)</f>
        <v>10.337999999999999</v>
      </c>
      <c r="G111">
        <f>ROUND(IF(VLOOKUP($A111,EnrollData2324,'2324 Jun 24 Enroll'!G$1,FALSE)='District Calculations'!$F$14,VLOOKUP($A111,EnrollData2324,'2324 Jun 24 Enroll'!G$1,FALSE),'District Calculations'!$F$14)*Apport_210A2425,3)</f>
        <v>22.92</v>
      </c>
      <c r="H111">
        <f>ROUND(IF(VLOOKUP($A111,EnrollData2324,'2324 Jun 24 Enroll'!H$1,FALSE)='District Calculations'!$F$15,VLOOKUP($A111,EnrollData2324,'2324 Jun 24 Enroll'!H$1,FALSE),'District Calculations'!$F$15)*Apport_213A2425,3)</f>
        <v>23.619</v>
      </c>
      <c r="I111">
        <f>ROUND(IF(VLOOKUP($A111,EnrollData2324,'2324 Jun 24 Enroll'!I$1,FALSE)+VLOOKUP($A111,EnrollData2324,'2324 Jun 24 Enroll'!M$1,FALSE)-VLOOKUP($A111,EnrollData2324,'2324 Jun 24 Enroll'!J$1,FALSE)='District Calculations'!$F$16+'District Calculations'!$F$25-'District Calculations'!$F$17,VLOOKUP($A111,EnrollData2324,'2324 Jun 24 Enroll'!I$1,FALSE)+VLOOKUP($A111,EnrollData2324,'2324 Jun 24 Enroll'!M$1,FALSE)-VLOOKUP($A111,EnrollData2324,'2324 Jun 24 Enroll'!J$1,FALSE),'District Calculations'!$F$16+'District Calculations'!$F$25-'District Calculations'!$F$17)*Apport_216A2425,3)</f>
        <v>59.057000000000002</v>
      </c>
      <c r="J111">
        <f>ROUND(SUM(D111:I111)/(IF(VLOOKUP($A111,EnrollData2324,'2324 Jun 24 Enroll'!M$1,FALSE)='District Calculations'!$F$25,VLOOKUP($A111,EnrollData2324,'2324 Jun 24 Enroll'!M$1,FALSE),'District Calculations'!$F$25)+IF(VLOOKUP($A111,EnrollData2324,'2324 Jun 24 Enroll'!D$1,FALSE)='District Calculations'!$F$11,VLOOKUP($A111,EnrollData2324,'2324 Jun 24 Enroll'!D$1,FALSE),'District Calculations'!$F$11)),5)</f>
        <v>5.6520000000000001E-2</v>
      </c>
      <c r="K111" s="11">
        <f t="shared" si="30"/>
        <v>4.385E-3</v>
      </c>
      <c r="L111">
        <f>ROUND(IF(VLOOKUP($A111,EnrollData2324,'2324 Jun 24 Enroll'!D$1,FALSE)='District Calculations'!$F$11,VLOOKUP($A111,EnrollData2324,'2324 Jun 24 Enroll'!D$1,FALSE),'District Calculations'!$F$11)*K111,3)</f>
        <v>0</v>
      </c>
      <c r="M111">
        <f>ROUND(IF(VLOOKUP($A111,EnrollData2324,'2324 Jun 24 Enroll'!E$1,FALSE)='District Calculations'!$F$12,VLOOKUP($A111,EnrollData2324,'2324 Jun 24 Enroll'!E$1,FALSE),'District Calculations'!$F$12)*K111,3)</f>
        <v>3.5539999999999998</v>
      </c>
      <c r="N111">
        <f>ROUND(IF(VLOOKUP($A111,EnrollData2324,'2324 Jun 24 Enroll'!F$1,FALSE)='District Calculations'!$F$13,VLOOKUP($A111,EnrollData2324,'2324 Jun 24 Enroll'!F$1,FALSE),'District Calculations'!$F$13)*Apport_223A2425,3)</f>
        <v>0.84599999999999997</v>
      </c>
      <c r="O111">
        <f>ROUND(IF(VLOOKUP($A111,EnrollData2324,'2324 Jun 24 Enroll'!G$1,FALSE)='District Calculations'!$F$14,VLOOKUP($A111,EnrollData2324,'2324 Jun 24 Enroll'!G$1,FALSE),'District Calculations'!$F$14)*Apport_211A2425,3)</f>
        <v>1.877</v>
      </c>
      <c r="P111">
        <f>ROUND(IF(VLOOKUP($A111,EnrollData2324,'2324 Jun 24 Enroll'!H$1,FALSE)='District Calculations'!$F$14,VLOOKUP($A111,EnrollData2324,'2324 Jun 24 Enroll'!H$1,FALSE),'District Calculations'!$F$14)*Apport_214A2425,3)</f>
        <v>1.875</v>
      </c>
      <c r="Q111">
        <f>ROUND(IF(VLOOKUP($A111,EnrollData2324,'2324 Jun 24 Enroll'!I$1,FALSE)+VLOOKUP($A111,EnrollData2324,'2324 Jun 24 Enroll'!M$1,FALSE)-VLOOKUP($A111,EnrollData2324,'2324 Jun 24 Enroll'!J$1,FALSE)='District Calculations'!$F$16+'District Calculations'!$F$25-'District Calculations'!$F$17,VLOOKUP($A111,EnrollData2324,'2324 Jun 24 Enroll'!I$1,FALSE)+VLOOKUP($A111,EnrollData2324,'2324 Jun 24 Enroll'!M$1,FALSE)-VLOOKUP($A111,EnrollData2324,'2324 Jun 24 Enroll'!J$1,FALSE),'District Calculations'!$F$16+'District Calculations'!$F$25-'District Calculations'!$F$17)*Apport_217A2425,3)</f>
        <v>4.7130000000000001</v>
      </c>
      <c r="R111">
        <f>ROUND(SUM(L111:Q111)/IF(VLOOKUP($A111,EnrollData2324,'2324 Jun 24 Enroll'!M$1,FALSE)+VLOOKUP($A111,EnrollData2324,'2324 Jun 24 Enroll'!D$1,FALSE)='District Calculations'!$F$25+'District Calculations'!$F$11,VLOOKUP($A111,EnrollData2324,'2324 Jun 24 Enroll'!M$1,FALSE)+VLOOKUP($A111,EnrollData2324,'2324 Jun 24 Enroll'!D$1,FALSE),'District Calculations'!$F$25+'District Calculations'!$F$11),5)</f>
        <v>4.1200000000000004E-3</v>
      </c>
      <c r="S111" s="11">
        <f t="shared" si="31"/>
        <v>1.8734299999999999E-2</v>
      </c>
      <c r="T111">
        <f>ROUND(IF(VLOOKUP($A111,EnrollData2324,'2324 Jun 24 Enroll'!D$1,FALSE)='District Calculations'!$F$11,VLOOKUP($A111,EnrollData2324,'2324 Jun 24 Enroll'!D$1,FALSE),'District Calculations'!$F$11)*S111,3)</f>
        <v>0</v>
      </c>
      <c r="U111">
        <f>ROUND(IF(VLOOKUP($A111,EnrollData2324,'2324 Jun 24 Enroll'!E$1,FALSE)='District Calculations'!$F$12,VLOOKUP($A111,EnrollData2324,'2324 Jun 24 Enroll'!E$1,FALSE),'District Calculations'!$F$12)*S111,3)</f>
        <v>15.183999999999999</v>
      </c>
      <c r="V111">
        <f>ROUND(IF(VLOOKUP($A111,EnrollData2324,'2324 Jun 24 Enroll'!F$1,FALSE)='District Calculations'!$F$13,VLOOKUP($A111,EnrollData2324,'2324 Jun 24 Enroll'!F$1,FALSE),'District Calculations'!$F$13)*Apport_224A2425,3)</f>
        <v>3.7109999999999999</v>
      </c>
      <c r="W111">
        <f>ROUND(IF(VLOOKUP($A111,EnrollData2324,'2324 Jun 24 Enroll'!G$1,FALSE)='District Calculations'!$F$14,VLOOKUP($A111,EnrollData2324,'2324 Jun 24 Enroll'!G$1,FALSE),'District Calculations'!$F$14)*Apport_212A2425,3)</f>
        <v>8.2279999999999998</v>
      </c>
      <c r="X111">
        <f>ROUND(IF(VLOOKUP($A111,EnrollData2324,'2324 Jun 24 Enroll'!H$1,FALSE)='District Calculations'!$F$14,VLOOKUP($A111,EnrollData2324,'2324 Jun 24 Enroll'!H$1,FALSE),'District Calculations'!$F$14)*Apport_215A2425,3)</f>
        <v>8.1180000000000003</v>
      </c>
      <c r="Y111">
        <f>ROUND(IF(VLOOKUP($A111,EnrollData2324,'2324 Jun 24 Enroll'!I$1,FALSE)+VLOOKUP($A111,EnrollData2324,'2324 Jun 24 Enroll'!M$1,FALSE)-VLOOKUP($A111,EnrollData2324,'2324 Jun 24 Enroll'!J$1,FALSE)='District Calculations'!$F$16+'District Calculations'!$F$25-'District Calculations'!$F$17,VLOOKUP($A111,EnrollData2324,'2324 Jun 24 Enroll'!I$1,FALSE)+VLOOKUP($A111,EnrollData2324,'2324 Jun 24 Enroll'!M$1,FALSE)-VLOOKUP($A111,EnrollData2324,'2324 Jun 24 Enroll'!J$1,FALSE),'District Calculations'!$F$16+'District Calculations'!$F$25-'District Calculations'!$F$17)*Apport_218A2425,3)</f>
        <v>20.257999999999999</v>
      </c>
      <c r="Z111">
        <f>ROUND(SUM(T111:Y111)/IF(VLOOKUP($A111,EnrollData2324,'2324 Jun 24 Enroll'!M$1,FALSE)+VLOOKUP($A111,EnrollData2324,'2324 Jun 24 Enroll'!D$1,FALSE)='District Calculations'!$F$25+'District Calculations'!$F$11,VLOOKUP($A111,EnrollData2324,'2324 Jun 24 Enroll'!M$1,FALSE)+VLOOKUP($A111,EnrollData2324,'2324 Jun 24 Enroll'!D$1,FALSE),'District Calculations'!$F$25+'District Calculations'!$F$11),5)</f>
        <v>1.7780000000000001E-2</v>
      </c>
      <c r="AA111" s="6">
        <f>ROUND($J111*CIS_Base_Salary2425*VLOOKUP($A111,EnrollData2324,'2324 Jun 24 Enroll'!AH$1,FALSE),2)</f>
        <v>5029.96</v>
      </c>
      <c r="AB111" s="6">
        <f>ROUND($J111*CIS_Inc_Salary2425*(VLOOKUP($A111,EnrollData2324,'2324 Jun 24 Enroll'!AI$1,FALSE)+VLOOKUP($A111,EnrollData2324,'2324 Jun 24 Enroll'!AJ$1,FALSE)),2)-AA111</f>
        <v>230.27999999999975</v>
      </c>
      <c r="AC111" s="6" cm="1">
        <f t="array" ref="AC111">ROUND($R111*CAS_Base_Salary2425*VLOOKUP($A111,EnrollData2324,'2324 Jun 24 Enroll'!AH$1,FALSE),2)</f>
        <v>544.26</v>
      </c>
      <c r="AD111" s="6">
        <f>ROUND($R111*CAS_Inc_Salary2425*VLOOKUP($A111,EnrollData2324,'2324 Jun 24 Enroll'!AI$1,FALSE),2)-AC111</f>
        <v>20.129999999999995</v>
      </c>
      <c r="AE111" s="6">
        <f>ROUND($Z111*CLS_Base_Salary2425*VLOOKUP($A111,EnrollData2324,'2324 Jun 24 Enroll'!AH$1,FALSE),2)</f>
        <v>1135.0999999999999</v>
      </c>
      <c r="AF111" s="6">
        <f>ROUND($Z111*CLS_Inc_Salary2425*VLOOKUP($A111,EnrollData2324,'2324 Jun 24 Enroll'!AI$1,FALSE),2)-AE111</f>
        <v>42.009999999999991</v>
      </c>
      <c r="AG111" cm="1">
        <f t="array" ref="AG111">ROUND(($J111+$R111)*Apport_124X2425,2)</f>
        <v>800.45</v>
      </c>
      <c r="AH111" s="69" cm="1">
        <f t="array" ref="AH111">ROUND(($J111+$R111)*Apport_621X2425*Apport_125XC2425,2)-AG111</f>
        <v>73.899999999999977</v>
      </c>
      <c r="AI111" cm="1">
        <f t="array" ref="AI111">ROUND($Z111*Apport_124X2425,2)</f>
        <v>234.7</v>
      </c>
      <c r="AJ111">
        <f t="shared" si="32"/>
        <v>124.71000000000004</v>
      </c>
      <c r="AK111">
        <f t="shared" si="33"/>
        <v>1011.72</v>
      </c>
      <c r="AL111">
        <f t="shared" si="34"/>
        <v>43.85</v>
      </c>
      <c r="AM111">
        <f t="shared" si="35"/>
        <v>245.86</v>
      </c>
      <c r="AN111">
        <f t="shared" si="36"/>
        <v>7.63</v>
      </c>
      <c r="AO111">
        <f>ROUND(($J111*CIS_Inc_Salary2425*(VLOOKUP($A111,EnrollData2324,'2324 Jun 24 Enroll'!AI$1,FALSE)+VLOOKUP($A111,EnrollData2324,'2324 Jun 24 Enroll'!AJ$1,FALSE))/Apport_613Xpd)*Apport_614Xpd,2)</f>
        <v>87.67</v>
      </c>
      <c r="AP111">
        <f t="shared" si="37"/>
        <v>15.35</v>
      </c>
      <c r="AQ111">
        <f t="shared" si="28"/>
        <v>31.48</v>
      </c>
      <c r="AR111" s="6">
        <f>ROUND((VLOOKUP($A111,EnrollData2324,'2324 Jun 24 Enroll'!D$1,FALSE)*Apport_M802425+VLOOKUP($A111,EnrollData2324,'2324 Jun 24 Enroll'!M$1,FALSE)*Apport_M802425+(VLOOKUP($A111,EnrollData2324,'2324 Jun 24 Enroll'!P$1,FALSE)+VLOOKUP($A111,EnrollData2324,'2324 Jun 24 Enroll'!Q$1,FALSE)+VLOOKUP($A111,EnrollData2324,'2324 Jun 24 Enroll'!R$1,FALSE)+VLOOKUP($A111,EnrollData2324,'2324 Jun 24 Enroll'!I$1,FALSE)+VLOOKUP($A111,EnrollData2324,'2324 Jun 24 Enroll'!N$1,FALSE)+VLOOKUP($A111,EnrollData2324,'2324 Jun 24 Enroll'!O$1,FALSE)+VLOOKUP($A111,EnrollData2324,'2324 Jun 24 Enroll'!K$1,FALSE)+VLOOKUP($A111,EnrollData2324,'2324 Jun 24 Enroll'!L$1,FALSE))*Apport_M812425)/(VLOOKUP($A111,EnrollData2324,'2324 Jun 24 Enroll'!M$1,FALSE)+VLOOKUP($A111,EnrollData2324,'2324 Jun 24 Enroll'!D$1,FALSE)),2)</f>
        <v>1613.64</v>
      </c>
      <c r="AS111" s="7">
        <f t="shared" si="29"/>
        <v>11292.699999999999</v>
      </c>
    </row>
    <row r="112" spans="1:45">
      <c r="A112" s="40" t="s">
        <v>707</v>
      </c>
      <c r="B112" s="40" t="s">
        <v>708</v>
      </c>
      <c r="C112" s="11">
        <f>ROUND((IFERROR((1/IF(VLOOKUP($A112,EnrollData2324,28,FALSE)='District Calculations'!$F$10,VLOOKUP($A112,EnrollData2324,28,FALSE),'District Calculations'!$F$10))*(1+Apport_Z315),0))+Apport_201A2425,6)</f>
        <v>7.4580999999999995E-2</v>
      </c>
      <c r="D112">
        <f>ROUND(IF(VLOOKUP($A112,EnrollData2324,'2324 Jun 24 Enroll'!D$1,FALSE)='District Calculations'!$F$11,VLOOKUP($A112,EnrollData2324,'2324 Jun 24 Enroll'!D$1,FALSE),'District Calculations'!$F$11)*C112,3)</f>
        <v>0</v>
      </c>
      <c r="E112">
        <f>ROUND(IF(VLOOKUP($A112,EnrollData2324,'2324 Jun 24 Enroll'!E$1,FALSE)='District Calculations'!$F$12,VLOOKUP($A112,EnrollData2324,'2324 Jun 24 Enroll'!E$1,FALSE),'District Calculations'!$F$12)*C112,3)</f>
        <v>60.447000000000003</v>
      </c>
      <c r="F112">
        <f>ROUND(IF(VLOOKUP($A112,EnrollData2324,'2324 Jun 24 Enroll'!F$1,FALSE)='District Calculations'!$F$13,VLOOKUP($A112,EnrollData2324,'2324 Jun 24 Enroll'!F$1,FALSE),'District Calculations'!$F$13)*Apport_222A2425,3)</f>
        <v>10.337999999999999</v>
      </c>
      <c r="G112">
        <f>ROUND(IF(VLOOKUP($A112,EnrollData2324,'2324 Jun 24 Enroll'!G$1,FALSE)='District Calculations'!$F$14,VLOOKUP($A112,EnrollData2324,'2324 Jun 24 Enroll'!G$1,FALSE),'District Calculations'!$F$14)*Apport_210A2425,3)</f>
        <v>22.92</v>
      </c>
      <c r="H112">
        <f>ROUND(IF(VLOOKUP($A112,EnrollData2324,'2324 Jun 24 Enroll'!H$1,FALSE)='District Calculations'!$F$15,VLOOKUP($A112,EnrollData2324,'2324 Jun 24 Enroll'!H$1,FALSE),'District Calculations'!$F$15)*Apport_213A2425,3)</f>
        <v>23.619</v>
      </c>
      <c r="I112">
        <f>ROUND(IF(VLOOKUP($A112,EnrollData2324,'2324 Jun 24 Enroll'!I$1,FALSE)+VLOOKUP($A112,EnrollData2324,'2324 Jun 24 Enroll'!M$1,FALSE)-VLOOKUP($A112,EnrollData2324,'2324 Jun 24 Enroll'!J$1,FALSE)='District Calculations'!$F$16+'District Calculations'!$F$25-'District Calculations'!$F$17,VLOOKUP($A112,EnrollData2324,'2324 Jun 24 Enroll'!I$1,FALSE)+VLOOKUP($A112,EnrollData2324,'2324 Jun 24 Enroll'!M$1,FALSE)-VLOOKUP($A112,EnrollData2324,'2324 Jun 24 Enroll'!J$1,FALSE),'District Calculations'!$F$16+'District Calculations'!$F$25-'District Calculations'!$F$17)*Apport_216A2425,3)</f>
        <v>59.057000000000002</v>
      </c>
      <c r="J112">
        <f>ROUND(SUM(D112:I112)/(IF(VLOOKUP($A112,EnrollData2324,'2324 Jun 24 Enroll'!M$1,FALSE)='District Calculations'!$F$25,VLOOKUP($A112,EnrollData2324,'2324 Jun 24 Enroll'!M$1,FALSE),'District Calculations'!$F$25)+IF(VLOOKUP($A112,EnrollData2324,'2324 Jun 24 Enroll'!D$1,FALSE)='District Calculations'!$F$11,VLOOKUP($A112,EnrollData2324,'2324 Jun 24 Enroll'!D$1,FALSE),'District Calculations'!$F$11)),5)</f>
        <v>5.6520000000000001E-2</v>
      </c>
      <c r="K112" s="11">
        <f t="shared" si="30"/>
        <v>4.385E-3</v>
      </c>
      <c r="L112">
        <f>ROUND(IF(VLOOKUP($A112,EnrollData2324,'2324 Jun 24 Enroll'!D$1,FALSE)='District Calculations'!$F$11,VLOOKUP($A112,EnrollData2324,'2324 Jun 24 Enroll'!D$1,FALSE),'District Calculations'!$F$11)*K112,3)</f>
        <v>0</v>
      </c>
      <c r="M112">
        <f>ROUND(IF(VLOOKUP($A112,EnrollData2324,'2324 Jun 24 Enroll'!E$1,FALSE)='District Calculations'!$F$12,VLOOKUP($A112,EnrollData2324,'2324 Jun 24 Enroll'!E$1,FALSE),'District Calculations'!$F$12)*K112,3)</f>
        <v>3.5539999999999998</v>
      </c>
      <c r="N112">
        <f>ROUND(IF(VLOOKUP($A112,EnrollData2324,'2324 Jun 24 Enroll'!F$1,FALSE)='District Calculations'!$F$13,VLOOKUP($A112,EnrollData2324,'2324 Jun 24 Enroll'!F$1,FALSE),'District Calculations'!$F$13)*Apport_223A2425,3)</f>
        <v>0.84599999999999997</v>
      </c>
      <c r="O112">
        <f>ROUND(IF(VLOOKUP($A112,EnrollData2324,'2324 Jun 24 Enroll'!G$1,FALSE)='District Calculations'!$F$14,VLOOKUP($A112,EnrollData2324,'2324 Jun 24 Enroll'!G$1,FALSE),'District Calculations'!$F$14)*Apport_211A2425,3)</f>
        <v>1.877</v>
      </c>
      <c r="P112">
        <f>ROUND(IF(VLOOKUP($A112,EnrollData2324,'2324 Jun 24 Enroll'!H$1,FALSE)='District Calculations'!$F$14,VLOOKUP($A112,EnrollData2324,'2324 Jun 24 Enroll'!H$1,FALSE),'District Calculations'!$F$14)*Apport_214A2425,3)</f>
        <v>1.875</v>
      </c>
      <c r="Q112">
        <f>ROUND(IF(VLOOKUP($A112,EnrollData2324,'2324 Jun 24 Enroll'!I$1,FALSE)+VLOOKUP($A112,EnrollData2324,'2324 Jun 24 Enroll'!M$1,FALSE)-VLOOKUP($A112,EnrollData2324,'2324 Jun 24 Enroll'!J$1,FALSE)='District Calculations'!$F$16+'District Calculations'!$F$25-'District Calculations'!$F$17,VLOOKUP($A112,EnrollData2324,'2324 Jun 24 Enroll'!I$1,FALSE)+VLOOKUP($A112,EnrollData2324,'2324 Jun 24 Enroll'!M$1,FALSE)-VLOOKUP($A112,EnrollData2324,'2324 Jun 24 Enroll'!J$1,FALSE),'District Calculations'!$F$16+'District Calculations'!$F$25-'District Calculations'!$F$17)*Apport_217A2425,3)</f>
        <v>4.7130000000000001</v>
      </c>
      <c r="R112">
        <f>ROUND(SUM(L112:Q112)/IF(VLOOKUP($A112,EnrollData2324,'2324 Jun 24 Enroll'!M$1,FALSE)+VLOOKUP($A112,EnrollData2324,'2324 Jun 24 Enroll'!D$1,FALSE)='District Calculations'!$F$25+'District Calculations'!$F$11,VLOOKUP($A112,EnrollData2324,'2324 Jun 24 Enroll'!M$1,FALSE)+VLOOKUP($A112,EnrollData2324,'2324 Jun 24 Enroll'!D$1,FALSE),'District Calculations'!$F$25+'District Calculations'!$F$11),5)</f>
        <v>4.1200000000000004E-3</v>
      </c>
      <c r="S112" s="11">
        <f t="shared" si="31"/>
        <v>1.8734299999999999E-2</v>
      </c>
      <c r="T112">
        <f>ROUND(IF(VLOOKUP($A112,EnrollData2324,'2324 Jun 24 Enroll'!D$1,FALSE)='District Calculations'!$F$11,VLOOKUP($A112,EnrollData2324,'2324 Jun 24 Enroll'!D$1,FALSE),'District Calculations'!$F$11)*S112,3)</f>
        <v>0</v>
      </c>
      <c r="U112">
        <f>ROUND(IF(VLOOKUP($A112,EnrollData2324,'2324 Jun 24 Enroll'!E$1,FALSE)='District Calculations'!$F$12,VLOOKUP($A112,EnrollData2324,'2324 Jun 24 Enroll'!E$1,FALSE),'District Calculations'!$F$12)*S112,3)</f>
        <v>15.183999999999999</v>
      </c>
      <c r="V112">
        <f>ROUND(IF(VLOOKUP($A112,EnrollData2324,'2324 Jun 24 Enroll'!F$1,FALSE)='District Calculations'!$F$13,VLOOKUP($A112,EnrollData2324,'2324 Jun 24 Enroll'!F$1,FALSE),'District Calculations'!$F$13)*Apport_224A2425,3)</f>
        <v>3.7109999999999999</v>
      </c>
      <c r="W112">
        <f>ROUND(IF(VLOOKUP($A112,EnrollData2324,'2324 Jun 24 Enroll'!G$1,FALSE)='District Calculations'!$F$14,VLOOKUP($A112,EnrollData2324,'2324 Jun 24 Enroll'!G$1,FALSE),'District Calculations'!$F$14)*Apport_212A2425,3)</f>
        <v>8.2279999999999998</v>
      </c>
      <c r="X112">
        <f>ROUND(IF(VLOOKUP($A112,EnrollData2324,'2324 Jun 24 Enroll'!H$1,FALSE)='District Calculations'!$F$14,VLOOKUP($A112,EnrollData2324,'2324 Jun 24 Enroll'!H$1,FALSE),'District Calculations'!$F$14)*Apport_215A2425,3)</f>
        <v>8.1180000000000003</v>
      </c>
      <c r="Y112">
        <f>ROUND(IF(VLOOKUP($A112,EnrollData2324,'2324 Jun 24 Enroll'!I$1,FALSE)+VLOOKUP($A112,EnrollData2324,'2324 Jun 24 Enroll'!M$1,FALSE)-VLOOKUP($A112,EnrollData2324,'2324 Jun 24 Enroll'!J$1,FALSE)='District Calculations'!$F$16+'District Calculations'!$F$25-'District Calculations'!$F$17,VLOOKUP($A112,EnrollData2324,'2324 Jun 24 Enroll'!I$1,FALSE)+VLOOKUP($A112,EnrollData2324,'2324 Jun 24 Enroll'!M$1,FALSE)-VLOOKUP($A112,EnrollData2324,'2324 Jun 24 Enroll'!J$1,FALSE),'District Calculations'!$F$16+'District Calculations'!$F$25-'District Calculations'!$F$17)*Apport_218A2425,3)</f>
        <v>20.257999999999999</v>
      </c>
      <c r="Z112">
        <f>ROUND(SUM(T112:Y112)/IF(VLOOKUP($A112,EnrollData2324,'2324 Jun 24 Enroll'!M$1,FALSE)+VLOOKUP($A112,EnrollData2324,'2324 Jun 24 Enroll'!D$1,FALSE)='District Calculations'!$F$25+'District Calculations'!$F$11,VLOOKUP($A112,EnrollData2324,'2324 Jun 24 Enroll'!M$1,FALSE)+VLOOKUP($A112,EnrollData2324,'2324 Jun 24 Enroll'!D$1,FALSE),'District Calculations'!$F$25+'District Calculations'!$F$11),5)</f>
        <v>1.7780000000000001E-2</v>
      </c>
      <c r="AA112" s="6">
        <f>ROUND($J112*CIS_Base_Salary2425*VLOOKUP($A112,EnrollData2324,'2324 Jun 24 Enroll'!AH$1,FALSE),2)</f>
        <v>4262.68</v>
      </c>
      <c r="AB112" s="6">
        <f>ROUND($J112*CIS_Inc_Salary2425*(VLOOKUP($A112,EnrollData2324,'2324 Jun 24 Enroll'!AI$1,FALSE)+VLOOKUP($A112,EnrollData2324,'2324 Jun 24 Enroll'!AJ$1,FALSE)),2)-AA112</f>
        <v>334.50999999999931</v>
      </c>
      <c r="AC112" s="6" cm="1">
        <f t="array" ref="AC112">ROUND($R112*CAS_Base_Salary2425*VLOOKUP($A112,EnrollData2324,'2324 Jun 24 Enroll'!AH$1,FALSE),2)</f>
        <v>461.23</v>
      </c>
      <c r="AD112" s="6">
        <f>ROUND($R112*CAS_Inc_Salary2425*VLOOKUP($A112,EnrollData2324,'2324 Jun 24 Enroll'!AI$1,FALSE),2)-AC112</f>
        <v>17.069999999999993</v>
      </c>
      <c r="AE112" s="6">
        <f>ROUND($Z112*CLS_Base_Salary2425*VLOOKUP($A112,EnrollData2324,'2324 Jun 24 Enroll'!AH$1,FALSE),2)</f>
        <v>961.95</v>
      </c>
      <c r="AF112" s="6">
        <f>ROUND($Z112*CLS_Inc_Salary2425*VLOOKUP($A112,EnrollData2324,'2324 Jun 24 Enroll'!AI$1,FALSE),2)-AE112</f>
        <v>35.599999999999909</v>
      </c>
      <c r="AG112" cm="1">
        <f t="array" ref="AG112">ROUND(($J112+$R112)*Apport_124X2425,2)</f>
        <v>800.45</v>
      </c>
      <c r="AH112" s="69" cm="1">
        <f t="array" ref="AH112">ROUND(($J112+$R112)*Apport_621X2425*Apport_125XC2425,2)-AG112</f>
        <v>73.899999999999977</v>
      </c>
      <c r="AI112" cm="1">
        <f t="array" ref="AI112">ROUND($Z112*Apport_124X2425,2)</f>
        <v>234.7</v>
      </c>
      <c r="AJ112">
        <f t="shared" si="32"/>
        <v>124.71000000000004</v>
      </c>
      <c r="AK112">
        <f t="shared" si="33"/>
        <v>857.39</v>
      </c>
      <c r="AL112">
        <f t="shared" si="34"/>
        <v>61.56</v>
      </c>
      <c r="AM112">
        <f t="shared" si="35"/>
        <v>208.36</v>
      </c>
      <c r="AN112">
        <f t="shared" si="36"/>
        <v>6.46</v>
      </c>
      <c r="AO112">
        <f>ROUND(($J112*CIS_Inc_Salary2425*(VLOOKUP($A112,EnrollData2324,'2324 Jun 24 Enroll'!AI$1,FALSE)+VLOOKUP($A112,EnrollData2324,'2324 Jun 24 Enroll'!AJ$1,FALSE))/Apport_613Xpd)*Apport_614Xpd,2)</f>
        <v>76.62</v>
      </c>
      <c r="AP112">
        <f t="shared" si="37"/>
        <v>13.42</v>
      </c>
      <c r="AQ112">
        <f t="shared" si="28"/>
        <v>31.48</v>
      </c>
      <c r="AR112" s="6">
        <f>ROUND((VLOOKUP($A112,EnrollData2324,'2324 Jun 24 Enroll'!D$1,FALSE)*Apport_M802425+VLOOKUP($A112,EnrollData2324,'2324 Jun 24 Enroll'!M$1,FALSE)*Apport_M802425+(VLOOKUP($A112,EnrollData2324,'2324 Jun 24 Enroll'!P$1,FALSE)+VLOOKUP($A112,EnrollData2324,'2324 Jun 24 Enroll'!Q$1,FALSE)+VLOOKUP($A112,EnrollData2324,'2324 Jun 24 Enroll'!R$1,FALSE)+VLOOKUP($A112,EnrollData2324,'2324 Jun 24 Enroll'!I$1,FALSE)+VLOOKUP($A112,EnrollData2324,'2324 Jun 24 Enroll'!N$1,FALSE)+VLOOKUP($A112,EnrollData2324,'2324 Jun 24 Enroll'!O$1,FALSE)+VLOOKUP($A112,EnrollData2324,'2324 Jun 24 Enroll'!K$1,FALSE)+VLOOKUP($A112,EnrollData2324,'2324 Jun 24 Enroll'!L$1,FALSE))*Apport_M812425)/(VLOOKUP($A112,EnrollData2324,'2324 Jun 24 Enroll'!M$1,FALSE)+VLOOKUP($A112,EnrollData2324,'2324 Jun 24 Enroll'!D$1,FALSE)),2)</f>
        <v>1533.02</v>
      </c>
      <c r="AS112" s="7">
        <f t="shared" si="29"/>
        <v>10095.109999999999</v>
      </c>
    </row>
    <row r="113" spans="1:45">
      <c r="A113" s="40" t="s">
        <v>353</v>
      </c>
      <c r="B113" s="40" t="s">
        <v>354</v>
      </c>
      <c r="C113" s="11">
        <f>ROUND((IFERROR((1/IF(VLOOKUP($A113,EnrollData2324,28,FALSE)='District Calculations'!$F$10,VLOOKUP($A113,EnrollData2324,28,FALSE),'District Calculations'!$F$10))*(1+Apport_Z315),0))+Apport_201A2425,6)</f>
        <v>7.4580999999999995E-2</v>
      </c>
      <c r="D113">
        <f>ROUND(IF(VLOOKUP($A113,EnrollData2324,'2324 Jun 24 Enroll'!D$1,FALSE)='District Calculations'!$F$11,VLOOKUP($A113,EnrollData2324,'2324 Jun 24 Enroll'!D$1,FALSE),'District Calculations'!$F$11)*C113,3)</f>
        <v>0</v>
      </c>
      <c r="E113">
        <f>ROUND(IF(VLOOKUP($A113,EnrollData2324,'2324 Jun 24 Enroll'!E$1,FALSE)='District Calculations'!$F$12,VLOOKUP($A113,EnrollData2324,'2324 Jun 24 Enroll'!E$1,FALSE),'District Calculations'!$F$12)*C113,3)</f>
        <v>60.447000000000003</v>
      </c>
      <c r="F113">
        <f>ROUND(IF(VLOOKUP($A113,EnrollData2324,'2324 Jun 24 Enroll'!F$1,FALSE)='District Calculations'!$F$13,VLOOKUP($A113,EnrollData2324,'2324 Jun 24 Enroll'!F$1,FALSE),'District Calculations'!$F$13)*Apport_222A2425,3)</f>
        <v>10.337999999999999</v>
      </c>
      <c r="G113">
        <f>ROUND(IF(VLOOKUP($A113,EnrollData2324,'2324 Jun 24 Enroll'!G$1,FALSE)='District Calculations'!$F$14,VLOOKUP($A113,EnrollData2324,'2324 Jun 24 Enroll'!G$1,FALSE),'District Calculations'!$F$14)*Apport_210A2425,3)</f>
        <v>22.92</v>
      </c>
      <c r="H113">
        <f>ROUND(IF(VLOOKUP($A113,EnrollData2324,'2324 Jun 24 Enroll'!H$1,FALSE)='District Calculations'!$F$15,VLOOKUP($A113,EnrollData2324,'2324 Jun 24 Enroll'!H$1,FALSE),'District Calculations'!$F$15)*Apport_213A2425,3)</f>
        <v>23.619</v>
      </c>
      <c r="I113">
        <f>ROUND(IF(VLOOKUP($A113,EnrollData2324,'2324 Jun 24 Enroll'!I$1,FALSE)+VLOOKUP($A113,EnrollData2324,'2324 Jun 24 Enroll'!M$1,FALSE)-VLOOKUP($A113,EnrollData2324,'2324 Jun 24 Enroll'!J$1,FALSE)='District Calculations'!$F$16+'District Calculations'!$F$25-'District Calculations'!$F$17,VLOOKUP($A113,EnrollData2324,'2324 Jun 24 Enroll'!I$1,FALSE)+VLOOKUP($A113,EnrollData2324,'2324 Jun 24 Enroll'!M$1,FALSE)-VLOOKUP($A113,EnrollData2324,'2324 Jun 24 Enroll'!J$1,FALSE),'District Calculations'!$F$16+'District Calculations'!$F$25-'District Calculations'!$F$17)*Apport_216A2425,3)</f>
        <v>59.057000000000002</v>
      </c>
      <c r="J113">
        <f>ROUND(SUM(D113:I113)/(IF(VLOOKUP($A113,EnrollData2324,'2324 Jun 24 Enroll'!M$1,FALSE)='District Calculations'!$F$25,VLOOKUP($A113,EnrollData2324,'2324 Jun 24 Enroll'!M$1,FALSE),'District Calculations'!$F$25)+IF(VLOOKUP($A113,EnrollData2324,'2324 Jun 24 Enroll'!D$1,FALSE)='District Calculations'!$F$11,VLOOKUP($A113,EnrollData2324,'2324 Jun 24 Enroll'!D$1,FALSE),'District Calculations'!$F$11)),5)</f>
        <v>5.6520000000000001E-2</v>
      </c>
      <c r="K113" s="11">
        <f t="shared" si="30"/>
        <v>4.385E-3</v>
      </c>
      <c r="L113">
        <f>ROUND(IF(VLOOKUP($A113,EnrollData2324,'2324 Jun 24 Enroll'!D$1,FALSE)='District Calculations'!$F$11,VLOOKUP($A113,EnrollData2324,'2324 Jun 24 Enroll'!D$1,FALSE),'District Calculations'!$F$11)*K113,3)</f>
        <v>0</v>
      </c>
      <c r="M113">
        <f>ROUND(IF(VLOOKUP($A113,EnrollData2324,'2324 Jun 24 Enroll'!E$1,FALSE)='District Calculations'!$F$12,VLOOKUP($A113,EnrollData2324,'2324 Jun 24 Enroll'!E$1,FALSE),'District Calculations'!$F$12)*K113,3)</f>
        <v>3.5539999999999998</v>
      </c>
      <c r="N113">
        <f>ROUND(IF(VLOOKUP($A113,EnrollData2324,'2324 Jun 24 Enroll'!F$1,FALSE)='District Calculations'!$F$13,VLOOKUP($A113,EnrollData2324,'2324 Jun 24 Enroll'!F$1,FALSE),'District Calculations'!$F$13)*Apport_223A2425,3)</f>
        <v>0.84599999999999997</v>
      </c>
      <c r="O113">
        <f>ROUND(IF(VLOOKUP($A113,EnrollData2324,'2324 Jun 24 Enroll'!G$1,FALSE)='District Calculations'!$F$14,VLOOKUP($A113,EnrollData2324,'2324 Jun 24 Enroll'!G$1,FALSE),'District Calculations'!$F$14)*Apport_211A2425,3)</f>
        <v>1.877</v>
      </c>
      <c r="P113">
        <f>ROUND(IF(VLOOKUP($A113,EnrollData2324,'2324 Jun 24 Enroll'!H$1,FALSE)='District Calculations'!$F$14,VLOOKUP($A113,EnrollData2324,'2324 Jun 24 Enroll'!H$1,FALSE),'District Calculations'!$F$14)*Apport_214A2425,3)</f>
        <v>1.875</v>
      </c>
      <c r="Q113">
        <f>ROUND(IF(VLOOKUP($A113,EnrollData2324,'2324 Jun 24 Enroll'!I$1,FALSE)+VLOOKUP($A113,EnrollData2324,'2324 Jun 24 Enroll'!M$1,FALSE)-VLOOKUP($A113,EnrollData2324,'2324 Jun 24 Enroll'!J$1,FALSE)='District Calculations'!$F$16+'District Calculations'!$F$25-'District Calculations'!$F$17,VLOOKUP($A113,EnrollData2324,'2324 Jun 24 Enroll'!I$1,FALSE)+VLOOKUP($A113,EnrollData2324,'2324 Jun 24 Enroll'!M$1,FALSE)-VLOOKUP($A113,EnrollData2324,'2324 Jun 24 Enroll'!J$1,FALSE),'District Calculations'!$F$16+'District Calculations'!$F$25-'District Calculations'!$F$17)*Apport_217A2425,3)</f>
        <v>4.7130000000000001</v>
      </c>
      <c r="R113">
        <f>ROUND(SUM(L113:Q113)/IF(VLOOKUP($A113,EnrollData2324,'2324 Jun 24 Enroll'!M$1,FALSE)+VLOOKUP($A113,EnrollData2324,'2324 Jun 24 Enroll'!D$1,FALSE)='District Calculations'!$F$25+'District Calculations'!$F$11,VLOOKUP($A113,EnrollData2324,'2324 Jun 24 Enroll'!M$1,FALSE)+VLOOKUP($A113,EnrollData2324,'2324 Jun 24 Enroll'!D$1,FALSE),'District Calculations'!$F$25+'District Calculations'!$F$11),5)</f>
        <v>4.1200000000000004E-3</v>
      </c>
      <c r="S113" s="11">
        <f t="shared" si="31"/>
        <v>1.8734299999999999E-2</v>
      </c>
      <c r="T113">
        <f>ROUND(IF(VLOOKUP($A113,EnrollData2324,'2324 Jun 24 Enroll'!D$1,FALSE)='District Calculations'!$F$11,VLOOKUP($A113,EnrollData2324,'2324 Jun 24 Enroll'!D$1,FALSE),'District Calculations'!$F$11)*S113,3)</f>
        <v>0</v>
      </c>
      <c r="U113">
        <f>ROUND(IF(VLOOKUP($A113,EnrollData2324,'2324 Jun 24 Enroll'!E$1,FALSE)='District Calculations'!$F$12,VLOOKUP($A113,EnrollData2324,'2324 Jun 24 Enroll'!E$1,FALSE),'District Calculations'!$F$12)*S113,3)</f>
        <v>15.183999999999999</v>
      </c>
      <c r="V113">
        <f>ROUND(IF(VLOOKUP($A113,EnrollData2324,'2324 Jun 24 Enroll'!F$1,FALSE)='District Calculations'!$F$13,VLOOKUP($A113,EnrollData2324,'2324 Jun 24 Enroll'!F$1,FALSE),'District Calculations'!$F$13)*Apport_224A2425,3)</f>
        <v>3.7109999999999999</v>
      </c>
      <c r="W113">
        <f>ROUND(IF(VLOOKUP($A113,EnrollData2324,'2324 Jun 24 Enroll'!G$1,FALSE)='District Calculations'!$F$14,VLOOKUP($A113,EnrollData2324,'2324 Jun 24 Enroll'!G$1,FALSE),'District Calculations'!$F$14)*Apport_212A2425,3)</f>
        <v>8.2279999999999998</v>
      </c>
      <c r="X113">
        <f>ROUND(IF(VLOOKUP($A113,EnrollData2324,'2324 Jun 24 Enroll'!H$1,FALSE)='District Calculations'!$F$14,VLOOKUP($A113,EnrollData2324,'2324 Jun 24 Enroll'!H$1,FALSE),'District Calculations'!$F$14)*Apport_215A2425,3)</f>
        <v>8.1180000000000003</v>
      </c>
      <c r="Y113">
        <f>ROUND(IF(VLOOKUP($A113,EnrollData2324,'2324 Jun 24 Enroll'!I$1,FALSE)+VLOOKUP($A113,EnrollData2324,'2324 Jun 24 Enroll'!M$1,FALSE)-VLOOKUP($A113,EnrollData2324,'2324 Jun 24 Enroll'!J$1,FALSE)='District Calculations'!$F$16+'District Calculations'!$F$25-'District Calculations'!$F$17,VLOOKUP($A113,EnrollData2324,'2324 Jun 24 Enroll'!I$1,FALSE)+VLOOKUP($A113,EnrollData2324,'2324 Jun 24 Enroll'!M$1,FALSE)-VLOOKUP($A113,EnrollData2324,'2324 Jun 24 Enroll'!J$1,FALSE),'District Calculations'!$F$16+'District Calculations'!$F$25-'District Calculations'!$F$17)*Apport_218A2425,3)</f>
        <v>20.257999999999999</v>
      </c>
      <c r="Z113">
        <f>ROUND(SUM(T113:Y113)/IF(VLOOKUP($A113,EnrollData2324,'2324 Jun 24 Enroll'!M$1,FALSE)+VLOOKUP($A113,EnrollData2324,'2324 Jun 24 Enroll'!D$1,FALSE)='District Calculations'!$F$25+'District Calculations'!$F$11,VLOOKUP($A113,EnrollData2324,'2324 Jun 24 Enroll'!M$1,FALSE)+VLOOKUP($A113,EnrollData2324,'2324 Jun 24 Enroll'!D$1,FALSE),'District Calculations'!$F$25+'District Calculations'!$F$11),5)</f>
        <v>1.7780000000000001E-2</v>
      </c>
      <c r="AA113" s="6">
        <f>ROUND($J113*CIS_Base_Salary2425*VLOOKUP($A113,EnrollData2324,'2324 Jun 24 Enroll'!AH$1,FALSE),2)</f>
        <v>4262.68</v>
      </c>
      <c r="AB113" s="6">
        <f>ROUND($J113*CIS_Inc_Salary2425*(VLOOKUP($A113,EnrollData2324,'2324 Jun 24 Enroll'!AI$1,FALSE)+VLOOKUP($A113,EnrollData2324,'2324 Jun 24 Enroll'!AJ$1,FALSE)),2)-AA113</f>
        <v>157.6899999999996</v>
      </c>
      <c r="AC113" s="6" cm="1">
        <f t="array" ref="AC113">ROUND($R113*CAS_Base_Salary2425*VLOOKUP($A113,EnrollData2324,'2324 Jun 24 Enroll'!AH$1,FALSE),2)</f>
        <v>461.23</v>
      </c>
      <c r="AD113" s="6">
        <f>ROUND($R113*CAS_Inc_Salary2425*VLOOKUP($A113,EnrollData2324,'2324 Jun 24 Enroll'!AI$1,FALSE),2)-AC113</f>
        <v>17.069999999999993</v>
      </c>
      <c r="AE113" s="6">
        <f>ROUND($Z113*CLS_Base_Salary2425*VLOOKUP($A113,EnrollData2324,'2324 Jun 24 Enroll'!AH$1,FALSE),2)</f>
        <v>961.95</v>
      </c>
      <c r="AF113" s="6">
        <f>ROUND($Z113*CLS_Inc_Salary2425*VLOOKUP($A113,EnrollData2324,'2324 Jun 24 Enroll'!AI$1,FALSE),2)-AE113</f>
        <v>35.599999999999909</v>
      </c>
      <c r="AG113" cm="1">
        <f t="array" ref="AG113">ROUND(($J113+$R113)*Apport_124X2425,2)</f>
        <v>800.45</v>
      </c>
      <c r="AH113" s="69" cm="1">
        <f t="array" ref="AH113">ROUND(($J113+$R113)*Apport_621X2425*Apport_125XC2425,2)-AG113</f>
        <v>73.899999999999977</v>
      </c>
      <c r="AI113" cm="1">
        <f t="array" ref="AI113">ROUND($Z113*Apport_124X2425,2)</f>
        <v>234.7</v>
      </c>
      <c r="AJ113">
        <f t="shared" si="32"/>
        <v>124.71000000000004</v>
      </c>
      <c r="AK113">
        <f t="shared" si="33"/>
        <v>857.39</v>
      </c>
      <c r="AL113">
        <f t="shared" si="34"/>
        <v>30.6</v>
      </c>
      <c r="AM113">
        <f t="shared" si="35"/>
        <v>208.36</v>
      </c>
      <c r="AN113">
        <f t="shared" si="36"/>
        <v>6.46</v>
      </c>
      <c r="AO113">
        <f>ROUND(($J113*CIS_Inc_Salary2425*(VLOOKUP($A113,EnrollData2324,'2324 Jun 24 Enroll'!AI$1,FALSE)+VLOOKUP($A113,EnrollData2324,'2324 Jun 24 Enroll'!AJ$1,FALSE))/Apport_613Xpd)*Apport_614Xpd,2)</f>
        <v>73.67</v>
      </c>
      <c r="AP113">
        <f t="shared" si="37"/>
        <v>12.9</v>
      </c>
      <c r="AQ113">
        <f t="shared" si="28"/>
        <v>31.48</v>
      </c>
      <c r="AR113" s="6">
        <f>ROUND((VLOOKUP($A113,EnrollData2324,'2324 Jun 24 Enroll'!D$1,FALSE)*Apport_M802425+VLOOKUP($A113,EnrollData2324,'2324 Jun 24 Enroll'!M$1,FALSE)*Apport_M802425+(VLOOKUP($A113,EnrollData2324,'2324 Jun 24 Enroll'!P$1,FALSE)+VLOOKUP($A113,EnrollData2324,'2324 Jun 24 Enroll'!Q$1,FALSE)+VLOOKUP($A113,EnrollData2324,'2324 Jun 24 Enroll'!R$1,FALSE)+VLOOKUP($A113,EnrollData2324,'2324 Jun 24 Enroll'!I$1,FALSE)+VLOOKUP($A113,EnrollData2324,'2324 Jun 24 Enroll'!N$1,FALSE)+VLOOKUP($A113,EnrollData2324,'2324 Jun 24 Enroll'!O$1,FALSE)+VLOOKUP($A113,EnrollData2324,'2324 Jun 24 Enroll'!K$1,FALSE)+VLOOKUP($A113,EnrollData2324,'2324 Jun 24 Enroll'!L$1,FALSE))*Apport_M812425)/(VLOOKUP($A113,EnrollData2324,'2324 Jun 24 Enroll'!M$1,FALSE)+VLOOKUP($A113,EnrollData2324,'2324 Jun 24 Enroll'!D$1,FALSE)),2)</f>
        <v>1535.52</v>
      </c>
      <c r="AS113" s="7">
        <f t="shared" si="29"/>
        <v>9886.3599999999988</v>
      </c>
    </row>
    <row r="114" spans="1:45">
      <c r="A114" s="40" t="s">
        <v>709</v>
      </c>
      <c r="B114" s="40" t="s">
        <v>710</v>
      </c>
      <c r="C114" s="11">
        <f>ROUND((IFERROR((1/IF(VLOOKUP($A114,EnrollData2324,28,FALSE)='District Calculations'!$F$10,VLOOKUP($A114,EnrollData2324,28,FALSE),'District Calculations'!$F$10))*(1+Apport_Z315),0))+Apport_201A2425,6)</f>
        <v>7.4580999999999995E-2</v>
      </c>
      <c r="D114">
        <f>ROUND(IF(VLOOKUP($A114,EnrollData2324,'2324 Jun 24 Enroll'!D$1,FALSE)='District Calculations'!$F$11,VLOOKUP($A114,EnrollData2324,'2324 Jun 24 Enroll'!D$1,FALSE),'District Calculations'!$F$11)*C114,3)</f>
        <v>0</v>
      </c>
      <c r="E114">
        <f>ROUND(IF(VLOOKUP($A114,EnrollData2324,'2324 Jun 24 Enroll'!E$1,FALSE)='District Calculations'!$F$12,VLOOKUP($A114,EnrollData2324,'2324 Jun 24 Enroll'!E$1,FALSE),'District Calculations'!$F$12)*C114,3)</f>
        <v>60.447000000000003</v>
      </c>
      <c r="F114">
        <f>ROUND(IF(VLOOKUP($A114,EnrollData2324,'2324 Jun 24 Enroll'!F$1,FALSE)='District Calculations'!$F$13,VLOOKUP($A114,EnrollData2324,'2324 Jun 24 Enroll'!F$1,FALSE),'District Calculations'!$F$13)*Apport_222A2425,3)</f>
        <v>10.337999999999999</v>
      </c>
      <c r="G114">
        <f>ROUND(IF(VLOOKUP($A114,EnrollData2324,'2324 Jun 24 Enroll'!G$1,FALSE)='District Calculations'!$F$14,VLOOKUP($A114,EnrollData2324,'2324 Jun 24 Enroll'!G$1,FALSE),'District Calculations'!$F$14)*Apport_210A2425,3)</f>
        <v>22.92</v>
      </c>
      <c r="H114">
        <f>ROUND(IF(VLOOKUP($A114,EnrollData2324,'2324 Jun 24 Enroll'!H$1,FALSE)='District Calculations'!$F$15,VLOOKUP($A114,EnrollData2324,'2324 Jun 24 Enroll'!H$1,FALSE),'District Calculations'!$F$15)*Apport_213A2425,3)</f>
        <v>23.619</v>
      </c>
      <c r="I114">
        <f>ROUND(IF(VLOOKUP($A114,EnrollData2324,'2324 Jun 24 Enroll'!I$1,FALSE)+VLOOKUP($A114,EnrollData2324,'2324 Jun 24 Enroll'!M$1,FALSE)-VLOOKUP($A114,EnrollData2324,'2324 Jun 24 Enroll'!J$1,FALSE)='District Calculations'!$F$16+'District Calculations'!$F$25-'District Calculations'!$F$17,VLOOKUP($A114,EnrollData2324,'2324 Jun 24 Enroll'!I$1,FALSE)+VLOOKUP($A114,EnrollData2324,'2324 Jun 24 Enroll'!M$1,FALSE)-VLOOKUP($A114,EnrollData2324,'2324 Jun 24 Enroll'!J$1,FALSE),'District Calculations'!$F$16+'District Calculations'!$F$25-'District Calculations'!$F$17)*Apport_216A2425,3)</f>
        <v>59.057000000000002</v>
      </c>
      <c r="J114">
        <f>ROUND(SUM(D114:I114)/(IF(VLOOKUP($A114,EnrollData2324,'2324 Jun 24 Enroll'!M$1,FALSE)='District Calculations'!$F$25,VLOOKUP($A114,EnrollData2324,'2324 Jun 24 Enroll'!M$1,FALSE),'District Calculations'!$F$25)+IF(VLOOKUP($A114,EnrollData2324,'2324 Jun 24 Enroll'!D$1,FALSE)='District Calculations'!$F$11,VLOOKUP($A114,EnrollData2324,'2324 Jun 24 Enroll'!D$1,FALSE),'District Calculations'!$F$11)),5)</f>
        <v>5.6520000000000001E-2</v>
      </c>
      <c r="K114" s="11">
        <f t="shared" si="30"/>
        <v>4.385E-3</v>
      </c>
      <c r="L114">
        <f>ROUND(IF(VLOOKUP($A114,EnrollData2324,'2324 Jun 24 Enroll'!D$1,FALSE)='District Calculations'!$F$11,VLOOKUP($A114,EnrollData2324,'2324 Jun 24 Enroll'!D$1,FALSE),'District Calculations'!$F$11)*K114,3)</f>
        <v>0</v>
      </c>
      <c r="M114">
        <f>ROUND(IF(VLOOKUP($A114,EnrollData2324,'2324 Jun 24 Enroll'!E$1,FALSE)='District Calculations'!$F$12,VLOOKUP($A114,EnrollData2324,'2324 Jun 24 Enroll'!E$1,FALSE),'District Calculations'!$F$12)*K114,3)</f>
        <v>3.5539999999999998</v>
      </c>
      <c r="N114">
        <f>ROUND(IF(VLOOKUP($A114,EnrollData2324,'2324 Jun 24 Enroll'!F$1,FALSE)='District Calculations'!$F$13,VLOOKUP($A114,EnrollData2324,'2324 Jun 24 Enroll'!F$1,FALSE),'District Calculations'!$F$13)*Apport_223A2425,3)</f>
        <v>0.84599999999999997</v>
      </c>
      <c r="O114">
        <f>ROUND(IF(VLOOKUP($A114,EnrollData2324,'2324 Jun 24 Enroll'!G$1,FALSE)='District Calculations'!$F$14,VLOOKUP($A114,EnrollData2324,'2324 Jun 24 Enroll'!G$1,FALSE),'District Calculations'!$F$14)*Apport_211A2425,3)</f>
        <v>1.877</v>
      </c>
      <c r="P114">
        <f>ROUND(IF(VLOOKUP($A114,EnrollData2324,'2324 Jun 24 Enroll'!H$1,FALSE)='District Calculations'!$F$14,VLOOKUP($A114,EnrollData2324,'2324 Jun 24 Enroll'!H$1,FALSE),'District Calculations'!$F$14)*Apport_214A2425,3)</f>
        <v>1.875</v>
      </c>
      <c r="Q114">
        <f>ROUND(IF(VLOOKUP($A114,EnrollData2324,'2324 Jun 24 Enroll'!I$1,FALSE)+VLOOKUP($A114,EnrollData2324,'2324 Jun 24 Enroll'!M$1,FALSE)-VLOOKUP($A114,EnrollData2324,'2324 Jun 24 Enroll'!J$1,FALSE)='District Calculations'!$F$16+'District Calculations'!$F$25-'District Calculations'!$F$17,VLOOKUP($A114,EnrollData2324,'2324 Jun 24 Enroll'!I$1,FALSE)+VLOOKUP($A114,EnrollData2324,'2324 Jun 24 Enroll'!M$1,FALSE)-VLOOKUP($A114,EnrollData2324,'2324 Jun 24 Enroll'!J$1,FALSE),'District Calculations'!$F$16+'District Calculations'!$F$25-'District Calculations'!$F$17)*Apport_217A2425,3)</f>
        <v>4.7130000000000001</v>
      </c>
      <c r="R114">
        <f>ROUND(SUM(L114:Q114)/IF(VLOOKUP($A114,EnrollData2324,'2324 Jun 24 Enroll'!M$1,FALSE)+VLOOKUP($A114,EnrollData2324,'2324 Jun 24 Enroll'!D$1,FALSE)='District Calculations'!$F$25+'District Calculations'!$F$11,VLOOKUP($A114,EnrollData2324,'2324 Jun 24 Enroll'!M$1,FALSE)+VLOOKUP($A114,EnrollData2324,'2324 Jun 24 Enroll'!D$1,FALSE),'District Calculations'!$F$25+'District Calculations'!$F$11),5)</f>
        <v>4.1200000000000004E-3</v>
      </c>
      <c r="S114" s="11">
        <f t="shared" si="31"/>
        <v>1.8734299999999999E-2</v>
      </c>
      <c r="T114">
        <f>ROUND(IF(VLOOKUP($A114,EnrollData2324,'2324 Jun 24 Enroll'!D$1,FALSE)='District Calculations'!$F$11,VLOOKUP($A114,EnrollData2324,'2324 Jun 24 Enroll'!D$1,FALSE),'District Calculations'!$F$11)*S114,3)</f>
        <v>0</v>
      </c>
      <c r="U114">
        <f>ROUND(IF(VLOOKUP($A114,EnrollData2324,'2324 Jun 24 Enroll'!E$1,FALSE)='District Calculations'!$F$12,VLOOKUP($A114,EnrollData2324,'2324 Jun 24 Enroll'!E$1,FALSE),'District Calculations'!$F$12)*S114,3)</f>
        <v>15.183999999999999</v>
      </c>
      <c r="V114">
        <f>ROUND(IF(VLOOKUP($A114,EnrollData2324,'2324 Jun 24 Enroll'!F$1,FALSE)='District Calculations'!$F$13,VLOOKUP($A114,EnrollData2324,'2324 Jun 24 Enroll'!F$1,FALSE),'District Calculations'!$F$13)*Apport_224A2425,3)</f>
        <v>3.7109999999999999</v>
      </c>
      <c r="W114">
        <f>ROUND(IF(VLOOKUP($A114,EnrollData2324,'2324 Jun 24 Enroll'!G$1,FALSE)='District Calculations'!$F$14,VLOOKUP($A114,EnrollData2324,'2324 Jun 24 Enroll'!G$1,FALSE),'District Calculations'!$F$14)*Apport_212A2425,3)</f>
        <v>8.2279999999999998</v>
      </c>
      <c r="X114">
        <f>ROUND(IF(VLOOKUP($A114,EnrollData2324,'2324 Jun 24 Enroll'!H$1,FALSE)='District Calculations'!$F$14,VLOOKUP($A114,EnrollData2324,'2324 Jun 24 Enroll'!H$1,FALSE),'District Calculations'!$F$14)*Apport_215A2425,3)</f>
        <v>8.1180000000000003</v>
      </c>
      <c r="Y114">
        <f>ROUND(IF(VLOOKUP($A114,EnrollData2324,'2324 Jun 24 Enroll'!I$1,FALSE)+VLOOKUP($A114,EnrollData2324,'2324 Jun 24 Enroll'!M$1,FALSE)-VLOOKUP($A114,EnrollData2324,'2324 Jun 24 Enroll'!J$1,FALSE)='District Calculations'!$F$16+'District Calculations'!$F$25-'District Calculations'!$F$17,VLOOKUP($A114,EnrollData2324,'2324 Jun 24 Enroll'!I$1,FALSE)+VLOOKUP($A114,EnrollData2324,'2324 Jun 24 Enroll'!M$1,FALSE)-VLOOKUP($A114,EnrollData2324,'2324 Jun 24 Enroll'!J$1,FALSE),'District Calculations'!$F$16+'District Calculations'!$F$25-'District Calculations'!$F$17)*Apport_218A2425,3)</f>
        <v>20.257999999999999</v>
      </c>
      <c r="Z114">
        <f>ROUND(SUM(T114:Y114)/IF(VLOOKUP($A114,EnrollData2324,'2324 Jun 24 Enroll'!M$1,FALSE)+VLOOKUP($A114,EnrollData2324,'2324 Jun 24 Enroll'!D$1,FALSE)='District Calculations'!$F$25+'District Calculations'!$F$11,VLOOKUP($A114,EnrollData2324,'2324 Jun 24 Enroll'!M$1,FALSE)+VLOOKUP($A114,EnrollData2324,'2324 Jun 24 Enroll'!D$1,FALSE),'District Calculations'!$F$25+'District Calculations'!$F$11),5)</f>
        <v>1.7780000000000001E-2</v>
      </c>
      <c r="AA114" s="6">
        <f>ROUND($J114*CIS_Base_Salary2425*VLOOKUP($A114,EnrollData2324,'2324 Jun 24 Enroll'!AH$1,FALSE),2)</f>
        <v>4518.4399999999996</v>
      </c>
      <c r="AB114" s="6">
        <f>ROUND($J114*CIS_Inc_Salary2425*(VLOOKUP($A114,EnrollData2324,'2324 Jun 24 Enroll'!AI$1,FALSE)+VLOOKUP($A114,EnrollData2324,'2324 Jun 24 Enroll'!AJ$1,FALSE)),2)-AA114</f>
        <v>167.16000000000076</v>
      </c>
      <c r="AC114" s="6" cm="1">
        <f t="array" ref="AC114">ROUND($R114*CAS_Base_Salary2425*VLOOKUP($A114,EnrollData2324,'2324 Jun 24 Enroll'!AH$1,FALSE),2)</f>
        <v>488.91</v>
      </c>
      <c r="AD114" s="6">
        <f>ROUND($R114*CAS_Inc_Salary2425*VLOOKUP($A114,EnrollData2324,'2324 Jun 24 Enroll'!AI$1,FALSE),2)-AC114</f>
        <v>18.089999999999975</v>
      </c>
      <c r="AE114" s="6">
        <f>ROUND($Z114*CLS_Base_Salary2425*VLOOKUP($A114,EnrollData2324,'2324 Jun 24 Enroll'!AH$1,FALSE),2)</f>
        <v>1019.67</v>
      </c>
      <c r="AF114" s="6">
        <f>ROUND($Z114*CLS_Inc_Salary2425*VLOOKUP($A114,EnrollData2324,'2324 Jun 24 Enroll'!AI$1,FALSE),2)-AE114</f>
        <v>37.730000000000132</v>
      </c>
      <c r="AG114" cm="1">
        <f t="array" ref="AG114">ROUND(($J114+$R114)*Apport_124X2425,2)</f>
        <v>800.45</v>
      </c>
      <c r="AH114" s="69" cm="1">
        <f t="array" ref="AH114">ROUND(($J114+$R114)*Apport_621X2425*Apport_125XC2425,2)-AG114</f>
        <v>73.899999999999977</v>
      </c>
      <c r="AI114" cm="1">
        <f t="array" ref="AI114">ROUND($Z114*Apport_124X2425,2)</f>
        <v>234.7</v>
      </c>
      <c r="AJ114">
        <f t="shared" si="32"/>
        <v>124.71000000000004</v>
      </c>
      <c r="AK114">
        <f t="shared" si="33"/>
        <v>908.83</v>
      </c>
      <c r="AL114">
        <f t="shared" si="34"/>
        <v>32.44</v>
      </c>
      <c r="AM114">
        <f t="shared" si="35"/>
        <v>220.86</v>
      </c>
      <c r="AN114">
        <f t="shared" si="36"/>
        <v>6.85</v>
      </c>
      <c r="AO114">
        <f>ROUND(($J114*CIS_Inc_Salary2425*(VLOOKUP($A114,EnrollData2324,'2324 Jun 24 Enroll'!AI$1,FALSE)+VLOOKUP($A114,EnrollData2324,'2324 Jun 24 Enroll'!AJ$1,FALSE))/Apport_613Xpd)*Apport_614Xpd,2)</f>
        <v>78.09</v>
      </c>
      <c r="AP114">
        <f t="shared" si="37"/>
        <v>13.67</v>
      </c>
      <c r="AQ114">
        <f t="shared" si="28"/>
        <v>31.48</v>
      </c>
      <c r="AR114" s="6">
        <f>ROUND((VLOOKUP($A114,EnrollData2324,'2324 Jun 24 Enroll'!D$1,FALSE)*Apport_M802425+VLOOKUP($A114,EnrollData2324,'2324 Jun 24 Enroll'!M$1,FALSE)*Apport_M802425+(VLOOKUP($A114,EnrollData2324,'2324 Jun 24 Enroll'!P$1,FALSE)+VLOOKUP($A114,EnrollData2324,'2324 Jun 24 Enroll'!Q$1,FALSE)+VLOOKUP($A114,EnrollData2324,'2324 Jun 24 Enroll'!R$1,FALSE)+VLOOKUP($A114,EnrollData2324,'2324 Jun 24 Enroll'!I$1,FALSE)+VLOOKUP($A114,EnrollData2324,'2324 Jun 24 Enroll'!N$1,FALSE)+VLOOKUP($A114,EnrollData2324,'2324 Jun 24 Enroll'!O$1,FALSE)+VLOOKUP($A114,EnrollData2324,'2324 Jun 24 Enroll'!K$1,FALSE)+VLOOKUP($A114,EnrollData2324,'2324 Jun 24 Enroll'!L$1,FALSE))*Apport_M812425)/(VLOOKUP($A114,EnrollData2324,'2324 Jun 24 Enroll'!M$1,FALSE)+VLOOKUP($A114,EnrollData2324,'2324 Jun 24 Enroll'!D$1,FALSE)),2)</f>
        <v>1702.91</v>
      </c>
      <c r="AS114" s="7">
        <f t="shared" si="29"/>
        <v>10478.890000000001</v>
      </c>
    </row>
    <row r="115" spans="1:45">
      <c r="A115" s="40" t="s">
        <v>382</v>
      </c>
      <c r="B115" s="40" t="s">
        <v>383</v>
      </c>
      <c r="C115" s="11">
        <f>ROUND((IFERROR((1/IF(VLOOKUP($A115,EnrollData2324,28,FALSE)='District Calculations'!$F$10,VLOOKUP($A115,EnrollData2324,28,FALSE),'District Calculations'!$F$10))*(1+Apport_Z315),0))+Apport_201A2425,6)</f>
        <v>7.4580999999999995E-2</v>
      </c>
      <c r="D115">
        <f>ROUND(IF(VLOOKUP($A115,EnrollData2324,'2324 Jun 24 Enroll'!D$1,FALSE)='District Calculations'!$F$11,VLOOKUP($A115,EnrollData2324,'2324 Jun 24 Enroll'!D$1,FALSE),'District Calculations'!$F$11)*C115,3)</f>
        <v>0</v>
      </c>
      <c r="E115">
        <f>ROUND(IF(VLOOKUP($A115,EnrollData2324,'2324 Jun 24 Enroll'!E$1,FALSE)='District Calculations'!$F$12,VLOOKUP($A115,EnrollData2324,'2324 Jun 24 Enroll'!E$1,FALSE),'District Calculations'!$F$12)*C115,3)</f>
        <v>60.447000000000003</v>
      </c>
      <c r="F115">
        <f>ROUND(IF(VLOOKUP($A115,EnrollData2324,'2324 Jun 24 Enroll'!F$1,FALSE)='District Calculations'!$F$13,VLOOKUP($A115,EnrollData2324,'2324 Jun 24 Enroll'!F$1,FALSE),'District Calculations'!$F$13)*Apport_222A2425,3)</f>
        <v>10.337999999999999</v>
      </c>
      <c r="G115">
        <f>ROUND(IF(VLOOKUP($A115,EnrollData2324,'2324 Jun 24 Enroll'!G$1,FALSE)='District Calculations'!$F$14,VLOOKUP($A115,EnrollData2324,'2324 Jun 24 Enroll'!G$1,FALSE),'District Calculations'!$F$14)*Apport_210A2425,3)</f>
        <v>22.92</v>
      </c>
      <c r="H115">
        <f>ROUND(IF(VLOOKUP($A115,EnrollData2324,'2324 Jun 24 Enroll'!H$1,FALSE)='District Calculations'!$F$15,VLOOKUP($A115,EnrollData2324,'2324 Jun 24 Enroll'!H$1,FALSE),'District Calculations'!$F$15)*Apport_213A2425,3)</f>
        <v>23.619</v>
      </c>
      <c r="I115">
        <f>ROUND(IF(VLOOKUP($A115,EnrollData2324,'2324 Jun 24 Enroll'!I$1,FALSE)+VLOOKUP($A115,EnrollData2324,'2324 Jun 24 Enroll'!M$1,FALSE)-VLOOKUP($A115,EnrollData2324,'2324 Jun 24 Enroll'!J$1,FALSE)='District Calculations'!$F$16+'District Calculations'!$F$25-'District Calculations'!$F$17,VLOOKUP($A115,EnrollData2324,'2324 Jun 24 Enroll'!I$1,FALSE)+VLOOKUP($A115,EnrollData2324,'2324 Jun 24 Enroll'!M$1,FALSE)-VLOOKUP($A115,EnrollData2324,'2324 Jun 24 Enroll'!J$1,FALSE),'District Calculations'!$F$16+'District Calculations'!$F$25-'District Calculations'!$F$17)*Apport_216A2425,3)</f>
        <v>59.057000000000002</v>
      </c>
      <c r="J115">
        <f>ROUND(SUM(D115:I115)/(IF(VLOOKUP($A115,EnrollData2324,'2324 Jun 24 Enroll'!M$1,FALSE)='District Calculations'!$F$25,VLOOKUP($A115,EnrollData2324,'2324 Jun 24 Enroll'!M$1,FALSE),'District Calculations'!$F$25)+IF(VLOOKUP($A115,EnrollData2324,'2324 Jun 24 Enroll'!D$1,FALSE)='District Calculations'!$F$11,VLOOKUP($A115,EnrollData2324,'2324 Jun 24 Enroll'!D$1,FALSE),'District Calculations'!$F$11)),5)</f>
        <v>5.6520000000000001E-2</v>
      </c>
      <c r="K115" s="11">
        <f t="shared" si="30"/>
        <v>4.385E-3</v>
      </c>
      <c r="L115">
        <f>ROUND(IF(VLOOKUP($A115,EnrollData2324,'2324 Jun 24 Enroll'!D$1,FALSE)='District Calculations'!$F$11,VLOOKUP($A115,EnrollData2324,'2324 Jun 24 Enroll'!D$1,FALSE),'District Calculations'!$F$11)*K115,3)</f>
        <v>0</v>
      </c>
      <c r="M115">
        <f>ROUND(IF(VLOOKUP($A115,EnrollData2324,'2324 Jun 24 Enroll'!E$1,FALSE)='District Calculations'!$F$12,VLOOKUP($A115,EnrollData2324,'2324 Jun 24 Enroll'!E$1,FALSE),'District Calculations'!$F$12)*K115,3)</f>
        <v>3.5539999999999998</v>
      </c>
      <c r="N115">
        <f>ROUND(IF(VLOOKUP($A115,EnrollData2324,'2324 Jun 24 Enroll'!F$1,FALSE)='District Calculations'!$F$13,VLOOKUP($A115,EnrollData2324,'2324 Jun 24 Enroll'!F$1,FALSE),'District Calculations'!$F$13)*Apport_223A2425,3)</f>
        <v>0.84599999999999997</v>
      </c>
      <c r="O115">
        <f>ROUND(IF(VLOOKUP($A115,EnrollData2324,'2324 Jun 24 Enroll'!G$1,FALSE)='District Calculations'!$F$14,VLOOKUP($A115,EnrollData2324,'2324 Jun 24 Enroll'!G$1,FALSE),'District Calculations'!$F$14)*Apport_211A2425,3)</f>
        <v>1.877</v>
      </c>
      <c r="P115">
        <f>ROUND(IF(VLOOKUP($A115,EnrollData2324,'2324 Jun 24 Enroll'!H$1,FALSE)='District Calculations'!$F$14,VLOOKUP($A115,EnrollData2324,'2324 Jun 24 Enroll'!H$1,FALSE),'District Calculations'!$F$14)*Apport_214A2425,3)</f>
        <v>1.875</v>
      </c>
      <c r="Q115">
        <f>ROUND(IF(VLOOKUP($A115,EnrollData2324,'2324 Jun 24 Enroll'!I$1,FALSE)+VLOOKUP($A115,EnrollData2324,'2324 Jun 24 Enroll'!M$1,FALSE)-VLOOKUP($A115,EnrollData2324,'2324 Jun 24 Enroll'!J$1,FALSE)='District Calculations'!$F$16+'District Calculations'!$F$25-'District Calculations'!$F$17,VLOOKUP($A115,EnrollData2324,'2324 Jun 24 Enroll'!I$1,FALSE)+VLOOKUP($A115,EnrollData2324,'2324 Jun 24 Enroll'!M$1,FALSE)-VLOOKUP($A115,EnrollData2324,'2324 Jun 24 Enroll'!J$1,FALSE),'District Calculations'!$F$16+'District Calculations'!$F$25-'District Calculations'!$F$17)*Apport_217A2425,3)</f>
        <v>4.7130000000000001</v>
      </c>
      <c r="R115">
        <f>ROUND(SUM(L115:Q115)/IF(VLOOKUP($A115,EnrollData2324,'2324 Jun 24 Enroll'!M$1,FALSE)+VLOOKUP($A115,EnrollData2324,'2324 Jun 24 Enroll'!D$1,FALSE)='District Calculations'!$F$25+'District Calculations'!$F$11,VLOOKUP($A115,EnrollData2324,'2324 Jun 24 Enroll'!M$1,FALSE)+VLOOKUP($A115,EnrollData2324,'2324 Jun 24 Enroll'!D$1,FALSE),'District Calculations'!$F$25+'District Calculations'!$F$11),5)</f>
        <v>4.1200000000000004E-3</v>
      </c>
      <c r="S115" s="11">
        <f t="shared" si="31"/>
        <v>1.8734299999999999E-2</v>
      </c>
      <c r="T115">
        <f>ROUND(IF(VLOOKUP($A115,EnrollData2324,'2324 Jun 24 Enroll'!D$1,FALSE)='District Calculations'!$F$11,VLOOKUP($A115,EnrollData2324,'2324 Jun 24 Enroll'!D$1,FALSE),'District Calculations'!$F$11)*S115,3)</f>
        <v>0</v>
      </c>
      <c r="U115">
        <f>ROUND(IF(VLOOKUP($A115,EnrollData2324,'2324 Jun 24 Enroll'!E$1,FALSE)='District Calculations'!$F$12,VLOOKUP($A115,EnrollData2324,'2324 Jun 24 Enroll'!E$1,FALSE),'District Calculations'!$F$12)*S115,3)</f>
        <v>15.183999999999999</v>
      </c>
      <c r="V115">
        <f>ROUND(IF(VLOOKUP($A115,EnrollData2324,'2324 Jun 24 Enroll'!F$1,FALSE)='District Calculations'!$F$13,VLOOKUP($A115,EnrollData2324,'2324 Jun 24 Enroll'!F$1,FALSE),'District Calculations'!$F$13)*Apport_224A2425,3)</f>
        <v>3.7109999999999999</v>
      </c>
      <c r="W115">
        <f>ROUND(IF(VLOOKUP($A115,EnrollData2324,'2324 Jun 24 Enroll'!G$1,FALSE)='District Calculations'!$F$14,VLOOKUP($A115,EnrollData2324,'2324 Jun 24 Enroll'!G$1,FALSE),'District Calculations'!$F$14)*Apport_212A2425,3)</f>
        <v>8.2279999999999998</v>
      </c>
      <c r="X115">
        <f>ROUND(IF(VLOOKUP($A115,EnrollData2324,'2324 Jun 24 Enroll'!H$1,FALSE)='District Calculations'!$F$14,VLOOKUP($A115,EnrollData2324,'2324 Jun 24 Enroll'!H$1,FALSE),'District Calculations'!$F$14)*Apport_215A2425,3)</f>
        <v>8.1180000000000003</v>
      </c>
      <c r="Y115">
        <f>ROUND(IF(VLOOKUP($A115,EnrollData2324,'2324 Jun 24 Enroll'!I$1,FALSE)+VLOOKUP($A115,EnrollData2324,'2324 Jun 24 Enroll'!M$1,FALSE)-VLOOKUP($A115,EnrollData2324,'2324 Jun 24 Enroll'!J$1,FALSE)='District Calculations'!$F$16+'District Calculations'!$F$25-'District Calculations'!$F$17,VLOOKUP($A115,EnrollData2324,'2324 Jun 24 Enroll'!I$1,FALSE)+VLOOKUP($A115,EnrollData2324,'2324 Jun 24 Enroll'!M$1,FALSE)-VLOOKUP($A115,EnrollData2324,'2324 Jun 24 Enroll'!J$1,FALSE),'District Calculations'!$F$16+'District Calculations'!$F$25-'District Calculations'!$F$17)*Apport_218A2425,3)</f>
        <v>20.257999999999999</v>
      </c>
      <c r="Z115">
        <f>ROUND(SUM(T115:Y115)/IF(VLOOKUP($A115,EnrollData2324,'2324 Jun 24 Enroll'!M$1,FALSE)+VLOOKUP($A115,EnrollData2324,'2324 Jun 24 Enroll'!D$1,FALSE)='District Calculations'!$F$25+'District Calculations'!$F$11,VLOOKUP($A115,EnrollData2324,'2324 Jun 24 Enroll'!M$1,FALSE)+VLOOKUP($A115,EnrollData2324,'2324 Jun 24 Enroll'!D$1,FALSE),'District Calculations'!$F$25+'District Calculations'!$F$11),5)</f>
        <v>1.7780000000000001E-2</v>
      </c>
      <c r="AA115" s="6">
        <f>ROUND($J115*CIS_Base_Salary2425*VLOOKUP($A115,EnrollData2324,'2324 Jun 24 Enroll'!AH$1,FALSE),2)</f>
        <v>4774.2</v>
      </c>
      <c r="AB115" s="6">
        <f>ROUND($J115*CIS_Inc_Salary2425*(VLOOKUP($A115,EnrollData2324,'2324 Jun 24 Enroll'!AI$1,FALSE)+VLOOKUP($A115,EnrollData2324,'2324 Jun 24 Enroll'!AJ$1,FALSE)),2)-AA115</f>
        <v>176.61999999999989</v>
      </c>
      <c r="AC115" s="6" cm="1">
        <f t="array" ref="AC115">ROUND($R115*CAS_Base_Salary2425*VLOOKUP($A115,EnrollData2324,'2324 Jun 24 Enroll'!AH$1,FALSE),2)</f>
        <v>516.58000000000004</v>
      </c>
      <c r="AD115" s="6">
        <f>ROUND($R115*CAS_Inc_Salary2425*VLOOKUP($A115,EnrollData2324,'2324 Jun 24 Enroll'!AI$1,FALSE),2)-AC115</f>
        <v>19.110000000000014</v>
      </c>
      <c r="AE115" s="6">
        <f>ROUND($Z115*CLS_Base_Salary2425*VLOOKUP($A115,EnrollData2324,'2324 Jun 24 Enroll'!AH$1,FALSE),2)</f>
        <v>1077.3900000000001</v>
      </c>
      <c r="AF115" s="6">
        <f>ROUND($Z115*CLS_Inc_Salary2425*VLOOKUP($A115,EnrollData2324,'2324 Jun 24 Enroll'!AI$1,FALSE),2)-AE115</f>
        <v>39.8599999999999</v>
      </c>
      <c r="AG115" cm="1">
        <f t="array" ref="AG115">ROUND(($J115+$R115)*Apport_124X2425,2)</f>
        <v>800.45</v>
      </c>
      <c r="AH115" s="69" cm="1">
        <f t="array" ref="AH115">ROUND(($J115+$R115)*Apport_621X2425*Apport_125XC2425,2)-AG115</f>
        <v>73.899999999999977</v>
      </c>
      <c r="AI115" cm="1">
        <f t="array" ref="AI115">ROUND($Z115*Apport_124X2425,2)</f>
        <v>234.7</v>
      </c>
      <c r="AJ115">
        <f t="shared" si="32"/>
        <v>124.71000000000004</v>
      </c>
      <c r="AK115">
        <f t="shared" si="33"/>
        <v>960.28</v>
      </c>
      <c r="AL115">
        <f t="shared" si="34"/>
        <v>34.270000000000003</v>
      </c>
      <c r="AM115">
        <f t="shared" si="35"/>
        <v>233.36</v>
      </c>
      <c r="AN115">
        <f t="shared" si="36"/>
        <v>7.24</v>
      </c>
      <c r="AO115">
        <f>ROUND(($J115*CIS_Inc_Salary2425*(VLOOKUP($A115,EnrollData2324,'2324 Jun 24 Enroll'!AI$1,FALSE)+VLOOKUP($A115,EnrollData2324,'2324 Jun 24 Enroll'!AJ$1,FALSE))/Apport_613Xpd)*Apport_614Xpd,2)</f>
        <v>82.51</v>
      </c>
      <c r="AP115">
        <f t="shared" si="37"/>
        <v>14.45</v>
      </c>
      <c r="AQ115">
        <f t="shared" si="28"/>
        <v>31.48</v>
      </c>
      <c r="AR115" s="6">
        <f>ROUND((VLOOKUP($A115,EnrollData2324,'2324 Jun 24 Enroll'!D$1,FALSE)*Apport_M802425+VLOOKUP($A115,EnrollData2324,'2324 Jun 24 Enroll'!M$1,FALSE)*Apport_M802425+(VLOOKUP($A115,EnrollData2324,'2324 Jun 24 Enroll'!P$1,FALSE)+VLOOKUP($A115,EnrollData2324,'2324 Jun 24 Enroll'!Q$1,FALSE)+VLOOKUP($A115,EnrollData2324,'2324 Jun 24 Enroll'!R$1,FALSE)+VLOOKUP($A115,EnrollData2324,'2324 Jun 24 Enroll'!I$1,FALSE)+VLOOKUP($A115,EnrollData2324,'2324 Jun 24 Enroll'!N$1,FALSE)+VLOOKUP($A115,EnrollData2324,'2324 Jun 24 Enroll'!O$1,FALSE)+VLOOKUP($A115,EnrollData2324,'2324 Jun 24 Enroll'!K$1,FALSE)+VLOOKUP($A115,EnrollData2324,'2324 Jun 24 Enroll'!L$1,FALSE))*Apport_M812425)/(VLOOKUP($A115,EnrollData2324,'2324 Jun 24 Enroll'!M$1,FALSE)+VLOOKUP($A115,EnrollData2324,'2324 Jun 24 Enroll'!D$1,FALSE)),2)</f>
        <v>1594.54</v>
      </c>
      <c r="AS115" s="7">
        <f t="shared" si="29"/>
        <v>10795.650000000001</v>
      </c>
    </row>
    <row r="116" spans="1:45">
      <c r="A116" s="40" t="s">
        <v>697</v>
      </c>
      <c r="B116" s="40" t="s">
        <v>698</v>
      </c>
      <c r="C116" s="11">
        <f>ROUND((IFERROR((1/IF(VLOOKUP($A116,EnrollData2324,28,FALSE)='District Calculations'!$F$10,VLOOKUP($A116,EnrollData2324,28,FALSE),'District Calculations'!$F$10))*(1+Apport_Z315),0))+Apport_201A2425,6)</f>
        <v>7.4580999999999995E-2</v>
      </c>
      <c r="D116">
        <f>ROUND(IF(VLOOKUP($A116,EnrollData2324,'2324 Jun 24 Enroll'!D$1,FALSE)='District Calculations'!$F$11,VLOOKUP($A116,EnrollData2324,'2324 Jun 24 Enroll'!D$1,FALSE),'District Calculations'!$F$11)*C116,3)</f>
        <v>0</v>
      </c>
      <c r="E116">
        <f>ROUND(IF(VLOOKUP($A116,EnrollData2324,'2324 Jun 24 Enroll'!E$1,FALSE)='District Calculations'!$F$12,VLOOKUP($A116,EnrollData2324,'2324 Jun 24 Enroll'!E$1,FALSE),'District Calculations'!$F$12)*C116,3)</f>
        <v>60.447000000000003</v>
      </c>
      <c r="F116">
        <f>ROUND(IF(VLOOKUP($A116,EnrollData2324,'2324 Jun 24 Enroll'!F$1,FALSE)='District Calculations'!$F$13,VLOOKUP($A116,EnrollData2324,'2324 Jun 24 Enroll'!F$1,FALSE),'District Calculations'!$F$13)*Apport_222A2425,3)</f>
        <v>10.337999999999999</v>
      </c>
      <c r="G116">
        <f>ROUND(IF(VLOOKUP($A116,EnrollData2324,'2324 Jun 24 Enroll'!G$1,FALSE)='District Calculations'!$F$14,VLOOKUP($A116,EnrollData2324,'2324 Jun 24 Enroll'!G$1,FALSE),'District Calculations'!$F$14)*Apport_210A2425,3)</f>
        <v>22.92</v>
      </c>
      <c r="H116">
        <f>ROUND(IF(VLOOKUP($A116,EnrollData2324,'2324 Jun 24 Enroll'!H$1,FALSE)='District Calculations'!$F$15,VLOOKUP($A116,EnrollData2324,'2324 Jun 24 Enroll'!H$1,FALSE),'District Calculations'!$F$15)*Apport_213A2425,3)</f>
        <v>23.619</v>
      </c>
      <c r="I116">
        <f>ROUND(IF(VLOOKUP($A116,EnrollData2324,'2324 Jun 24 Enroll'!I$1,FALSE)+VLOOKUP($A116,EnrollData2324,'2324 Jun 24 Enroll'!M$1,FALSE)-VLOOKUP($A116,EnrollData2324,'2324 Jun 24 Enroll'!J$1,FALSE)='District Calculations'!$F$16+'District Calculations'!$F$25-'District Calculations'!$F$17,VLOOKUP($A116,EnrollData2324,'2324 Jun 24 Enroll'!I$1,FALSE)+VLOOKUP($A116,EnrollData2324,'2324 Jun 24 Enroll'!M$1,FALSE)-VLOOKUP($A116,EnrollData2324,'2324 Jun 24 Enroll'!J$1,FALSE),'District Calculations'!$F$16+'District Calculations'!$F$25-'District Calculations'!$F$17)*Apport_216A2425,3)</f>
        <v>59.057000000000002</v>
      </c>
      <c r="J116">
        <f>ROUND(SUM(D116:I116)/(IF(VLOOKUP($A116,EnrollData2324,'2324 Jun 24 Enroll'!M$1,FALSE)='District Calculations'!$F$25,VLOOKUP($A116,EnrollData2324,'2324 Jun 24 Enroll'!M$1,FALSE),'District Calculations'!$F$25)+IF(VLOOKUP($A116,EnrollData2324,'2324 Jun 24 Enroll'!D$1,FALSE)='District Calculations'!$F$11,VLOOKUP($A116,EnrollData2324,'2324 Jun 24 Enroll'!D$1,FALSE),'District Calculations'!$F$11)),5)</f>
        <v>5.6520000000000001E-2</v>
      </c>
      <c r="K116" s="11">
        <f t="shared" si="30"/>
        <v>4.385E-3</v>
      </c>
      <c r="L116">
        <f>ROUND(IF(VLOOKUP($A116,EnrollData2324,'2324 Jun 24 Enroll'!D$1,FALSE)='District Calculations'!$F$11,VLOOKUP($A116,EnrollData2324,'2324 Jun 24 Enroll'!D$1,FALSE),'District Calculations'!$F$11)*K116,3)</f>
        <v>0</v>
      </c>
      <c r="M116">
        <f>ROUND(IF(VLOOKUP($A116,EnrollData2324,'2324 Jun 24 Enroll'!E$1,FALSE)='District Calculations'!$F$12,VLOOKUP($A116,EnrollData2324,'2324 Jun 24 Enroll'!E$1,FALSE),'District Calculations'!$F$12)*K116,3)</f>
        <v>3.5539999999999998</v>
      </c>
      <c r="N116">
        <f>ROUND(IF(VLOOKUP($A116,EnrollData2324,'2324 Jun 24 Enroll'!F$1,FALSE)='District Calculations'!$F$13,VLOOKUP($A116,EnrollData2324,'2324 Jun 24 Enroll'!F$1,FALSE),'District Calculations'!$F$13)*Apport_223A2425,3)</f>
        <v>0.84599999999999997</v>
      </c>
      <c r="O116">
        <f>ROUND(IF(VLOOKUP($A116,EnrollData2324,'2324 Jun 24 Enroll'!G$1,FALSE)='District Calculations'!$F$14,VLOOKUP($A116,EnrollData2324,'2324 Jun 24 Enroll'!G$1,FALSE),'District Calculations'!$F$14)*Apport_211A2425,3)</f>
        <v>1.877</v>
      </c>
      <c r="P116">
        <f>ROUND(IF(VLOOKUP($A116,EnrollData2324,'2324 Jun 24 Enroll'!H$1,FALSE)='District Calculations'!$F$14,VLOOKUP($A116,EnrollData2324,'2324 Jun 24 Enroll'!H$1,FALSE),'District Calculations'!$F$14)*Apport_214A2425,3)</f>
        <v>1.875</v>
      </c>
      <c r="Q116">
        <f>ROUND(IF(VLOOKUP($A116,EnrollData2324,'2324 Jun 24 Enroll'!I$1,FALSE)+VLOOKUP($A116,EnrollData2324,'2324 Jun 24 Enroll'!M$1,FALSE)-VLOOKUP($A116,EnrollData2324,'2324 Jun 24 Enroll'!J$1,FALSE)='District Calculations'!$F$16+'District Calculations'!$F$25-'District Calculations'!$F$17,VLOOKUP($A116,EnrollData2324,'2324 Jun 24 Enroll'!I$1,FALSE)+VLOOKUP($A116,EnrollData2324,'2324 Jun 24 Enroll'!M$1,FALSE)-VLOOKUP($A116,EnrollData2324,'2324 Jun 24 Enroll'!J$1,FALSE),'District Calculations'!$F$16+'District Calculations'!$F$25-'District Calculations'!$F$17)*Apport_217A2425,3)</f>
        <v>4.7130000000000001</v>
      </c>
      <c r="R116">
        <f>ROUND(SUM(L116:Q116)/IF(VLOOKUP($A116,EnrollData2324,'2324 Jun 24 Enroll'!M$1,FALSE)+VLOOKUP($A116,EnrollData2324,'2324 Jun 24 Enroll'!D$1,FALSE)='District Calculations'!$F$25+'District Calculations'!$F$11,VLOOKUP($A116,EnrollData2324,'2324 Jun 24 Enroll'!M$1,FALSE)+VLOOKUP($A116,EnrollData2324,'2324 Jun 24 Enroll'!D$1,FALSE),'District Calculations'!$F$25+'District Calculations'!$F$11),5)</f>
        <v>4.1200000000000004E-3</v>
      </c>
      <c r="S116" s="11">
        <f t="shared" si="31"/>
        <v>1.8734299999999999E-2</v>
      </c>
      <c r="T116">
        <f>ROUND(IF(VLOOKUP($A116,EnrollData2324,'2324 Jun 24 Enroll'!D$1,FALSE)='District Calculations'!$F$11,VLOOKUP($A116,EnrollData2324,'2324 Jun 24 Enroll'!D$1,FALSE),'District Calculations'!$F$11)*S116,3)</f>
        <v>0</v>
      </c>
      <c r="U116">
        <f>ROUND(IF(VLOOKUP($A116,EnrollData2324,'2324 Jun 24 Enroll'!E$1,FALSE)='District Calculations'!$F$12,VLOOKUP($A116,EnrollData2324,'2324 Jun 24 Enroll'!E$1,FALSE),'District Calculations'!$F$12)*S116,3)</f>
        <v>15.183999999999999</v>
      </c>
      <c r="V116">
        <f>ROUND(IF(VLOOKUP($A116,EnrollData2324,'2324 Jun 24 Enroll'!F$1,FALSE)='District Calculations'!$F$13,VLOOKUP($A116,EnrollData2324,'2324 Jun 24 Enroll'!F$1,FALSE),'District Calculations'!$F$13)*Apport_224A2425,3)</f>
        <v>3.7109999999999999</v>
      </c>
      <c r="W116">
        <f>ROUND(IF(VLOOKUP($A116,EnrollData2324,'2324 Jun 24 Enroll'!G$1,FALSE)='District Calculations'!$F$14,VLOOKUP($A116,EnrollData2324,'2324 Jun 24 Enroll'!G$1,FALSE),'District Calculations'!$F$14)*Apport_212A2425,3)</f>
        <v>8.2279999999999998</v>
      </c>
      <c r="X116">
        <f>ROUND(IF(VLOOKUP($A116,EnrollData2324,'2324 Jun 24 Enroll'!H$1,FALSE)='District Calculations'!$F$14,VLOOKUP($A116,EnrollData2324,'2324 Jun 24 Enroll'!H$1,FALSE),'District Calculations'!$F$14)*Apport_215A2425,3)</f>
        <v>8.1180000000000003</v>
      </c>
      <c r="Y116">
        <f>ROUND(IF(VLOOKUP($A116,EnrollData2324,'2324 Jun 24 Enroll'!I$1,FALSE)+VLOOKUP($A116,EnrollData2324,'2324 Jun 24 Enroll'!M$1,FALSE)-VLOOKUP($A116,EnrollData2324,'2324 Jun 24 Enroll'!J$1,FALSE)='District Calculations'!$F$16+'District Calculations'!$F$25-'District Calculations'!$F$17,VLOOKUP($A116,EnrollData2324,'2324 Jun 24 Enroll'!I$1,FALSE)+VLOOKUP($A116,EnrollData2324,'2324 Jun 24 Enroll'!M$1,FALSE)-VLOOKUP($A116,EnrollData2324,'2324 Jun 24 Enroll'!J$1,FALSE),'District Calculations'!$F$16+'District Calculations'!$F$25-'District Calculations'!$F$17)*Apport_218A2425,3)</f>
        <v>20.257999999999999</v>
      </c>
      <c r="Z116">
        <f>ROUND(SUM(T116:Y116)/IF(VLOOKUP($A116,EnrollData2324,'2324 Jun 24 Enroll'!M$1,FALSE)+VLOOKUP($A116,EnrollData2324,'2324 Jun 24 Enroll'!D$1,FALSE)='District Calculations'!$F$25+'District Calculations'!$F$11,VLOOKUP($A116,EnrollData2324,'2324 Jun 24 Enroll'!M$1,FALSE)+VLOOKUP($A116,EnrollData2324,'2324 Jun 24 Enroll'!D$1,FALSE),'District Calculations'!$F$25+'District Calculations'!$F$11),5)</f>
        <v>1.7780000000000001E-2</v>
      </c>
      <c r="AA116" s="6">
        <f>ROUND($J116*CIS_Base_Salary2425*VLOOKUP($A116,EnrollData2324,'2324 Jun 24 Enroll'!AH$1,FALSE),2)</f>
        <v>4774.2</v>
      </c>
      <c r="AB116" s="6">
        <f>ROUND($J116*CIS_Inc_Salary2425*(VLOOKUP($A116,EnrollData2324,'2324 Jun 24 Enroll'!AI$1,FALSE)+VLOOKUP($A116,EnrollData2324,'2324 Jun 24 Enroll'!AJ$1,FALSE)),2)-AA116</f>
        <v>176.61999999999989</v>
      </c>
      <c r="AC116" s="6" cm="1">
        <f t="array" ref="AC116">ROUND($R116*CAS_Base_Salary2425*VLOOKUP($A116,EnrollData2324,'2324 Jun 24 Enroll'!AH$1,FALSE),2)</f>
        <v>516.58000000000004</v>
      </c>
      <c r="AD116" s="6">
        <f>ROUND($R116*CAS_Inc_Salary2425*VLOOKUP($A116,EnrollData2324,'2324 Jun 24 Enroll'!AI$1,FALSE),2)-AC116</f>
        <v>19.110000000000014</v>
      </c>
      <c r="AE116" s="6">
        <f>ROUND($Z116*CLS_Base_Salary2425*VLOOKUP($A116,EnrollData2324,'2324 Jun 24 Enroll'!AH$1,FALSE),2)</f>
        <v>1077.3900000000001</v>
      </c>
      <c r="AF116" s="6">
        <f>ROUND($Z116*CLS_Inc_Salary2425*VLOOKUP($A116,EnrollData2324,'2324 Jun 24 Enroll'!AI$1,FALSE),2)-AE116</f>
        <v>39.8599999999999</v>
      </c>
      <c r="AG116" cm="1">
        <f t="array" ref="AG116">ROUND(($J116+$R116)*Apport_124X2425,2)</f>
        <v>800.45</v>
      </c>
      <c r="AH116" s="69" cm="1">
        <f t="array" ref="AH116">ROUND(($J116+$R116)*Apport_621X2425*Apport_125XC2425,2)-AG116</f>
        <v>73.899999999999977</v>
      </c>
      <c r="AI116" cm="1">
        <f t="array" ref="AI116">ROUND($Z116*Apport_124X2425,2)</f>
        <v>234.7</v>
      </c>
      <c r="AJ116">
        <f t="shared" si="32"/>
        <v>124.71000000000004</v>
      </c>
      <c r="AK116">
        <f t="shared" si="33"/>
        <v>960.28</v>
      </c>
      <c r="AL116">
        <f t="shared" si="34"/>
        <v>34.270000000000003</v>
      </c>
      <c r="AM116">
        <f t="shared" si="35"/>
        <v>233.36</v>
      </c>
      <c r="AN116">
        <f t="shared" si="36"/>
        <v>7.24</v>
      </c>
      <c r="AO116">
        <f>ROUND(($J116*CIS_Inc_Salary2425*(VLOOKUP($A116,EnrollData2324,'2324 Jun 24 Enroll'!AI$1,FALSE)+VLOOKUP($A116,EnrollData2324,'2324 Jun 24 Enroll'!AJ$1,FALSE))/Apport_613Xpd)*Apport_614Xpd,2)</f>
        <v>82.51</v>
      </c>
      <c r="AP116">
        <f t="shared" si="37"/>
        <v>14.45</v>
      </c>
      <c r="AQ116">
        <f t="shared" si="28"/>
        <v>31.48</v>
      </c>
      <c r="AR116" s="6">
        <f>ROUND((VLOOKUP($A116,EnrollData2324,'2324 Jun 24 Enroll'!D$1,FALSE)*Apport_M802425+VLOOKUP($A116,EnrollData2324,'2324 Jun 24 Enroll'!M$1,FALSE)*Apport_M802425+(VLOOKUP($A116,EnrollData2324,'2324 Jun 24 Enroll'!P$1,FALSE)+VLOOKUP($A116,EnrollData2324,'2324 Jun 24 Enroll'!Q$1,FALSE)+VLOOKUP($A116,EnrollData2324,'2324 Jun 24 Enroll'!R$1,FALSE)+VLOOKUP($A116,EnrollData2324,'2324 Jun 24 Enroll'!I$1,FALSE)+VLOOKUP($A116,EnrollData2324,'2324 Jun 24 Enroll'!N$1,FALSE)+VLOOKUP($A116,EnrollData2324,'2324 Jun 24 Enroll'!O$1,FALSE)+VLOOKUP($A116,EnrollData2324,'2324 Jun 24 Enroll'!K$1,FALSE)+VLOOKUP($A116,EnrollData2324,'2324 Jun 24 Enroll'!L$1,FALSE))*Apport_M812425)/(VLOOKUP($A116,EnrollData2324,'2324 Jun 24 Enroll'!M$1,FALSE)+VLOOKUP($A116,EnrollData2324,'2324 Jun 24 Enroll'!D$1,FALSE)),2)</f>
        <v>1617.05</v>
      </c>
      <c r="AS116" s="7">
        <f t="shared" si="29"/>
        <v>10818.16</v>
      </c>
    </row>
    <row r="117" spans="1:45">
      <c r="A117" s="40" t="s">
        <v>747</v>
      </c>
      <c r="B117" s="40" t="s">
        <v>748</v>
      </c>
      <c r="C117" s="11">
        <f>ROUND((IFERROR((1/IF(VLOOKUP($A117,EnrollData2324,28,FALSE)='District Calculations'!$F$10,VLOOKUP($A117,EnrollData2324,28,FALSE),'District Calculations'!$F$10))*(1+Apport_Z315),0))+Apport_201A2425,6)</f>
        <v>7.4580999999999995E-2</v>
      </c>
      <c r="D117">
        <f>ROUND(IF(VLOOKUP($A117,EnrollData2324,'2324 Jun 24 Enroll'!D$1,FALSE)='District Calculations'!$F$11,VLOOKUP($A117,EnrollData2324,'2324 Jun 24 Enroll'!D$1,FALSE),'District Calculations'!$F$11)*C117,3)</f>
        <v>0</v>
      </c>
      <c r="E117">
        <f>ROUND(IF(VLOOKUP($A117,EnrollData2324,'2324 Jun 24 Enroll'!E$1,FALSE)='District Calculations'!$F$12,VLOOKUP($A117,EnrollData2324,'2324 Jun 24 Enroll'!E$1,FALSE),'District Calculations'!$F$12)*C117,3)</f>
        <v>60.447000000000003</v>
      </c>
      <c r="F117">
        <f>ROUND(IF(VLOOKUP($A117,EnrollData2324,'2324 Jun 24 Enroll'!F$1,FALSE)='District Calculations'!$F$13,VLOOKUP($A117,EnrollData2324,'2324 Jun 24 Enroll'!F$1,FALSE),'District Calculations'!$F$13)*Apport_222A2425,3)</f>
        <v>10.337999999999999</v>
      </c>
      <c r="G117">
        <f>ROUND(IF(VLOOKUP($A117,EnrollData2324,'2324 Jun 24 Enroll'!G$1,FALSE)='District Calculations'!$F$14,VLOOKUP($A117,EnrollData2324,'2324 Jun 24 Enroll'!G$1,FALSE),'District Calculations'!$F$14)*Apport_210A2425,3)</f>
        <v>22.92</v>
      </c>
      <c r="H117">
        <f>ROUND(IF(VLOOKUP($A117,EnrollData2324,'2324 Jun 24 Enroll'!H$1,FALSE)='District Calculations'!$F$15,VLOOKUP($A117,EnrollData2324,'2324 Jun 24 Enroll'!H$1,FALSE),'District Calculations'!$F$15)*Apport_213A2425,3)</f>
        <v>23.619</v>
      </c>
      <c r="I117">
        <f>ROUND(IF(VLOOKUP($A117,EnrollData2324,'2324 Jun 24 Enroll'!I$1,FALSE)+VLOOKUP($A117,EnrollData2324,'2324 Jun 24 Enroll'!M$1,FALSE)-VLOOKUP($A117,EnrollData2324,'2324 Jun 24 Enroll'!J$1,FALSE)='District Calculations'!$F$16+'District Calculations'!$F$25-'District Calculations'!$F$17,VLOOKUP($A117,EnrollData2324,'2324 Jun 24 Enroll'!I$1,FALSE)+VLOOKUP($A117,EnrollData2324,'2324 Jun 24 Enroll'!M$1,FALSE)-VLOOKUP($A117,EnrollData2324,'2324 Jun 24 Enroll'!J$1,FALSE),'District Calculations'!$F$16+'District Calculations'!$F$25-'District Calculations'!$F$17)*Apport_216A2425,3)</f>
        <v>59.057000000000002</v>
      </c>
      <c r="J117">
        <f>ROUND(SUM(D117:I117)/(IF(VLOOKUP($A117,EnrollData2324,'2324 Jun 24 Enroll'!M$1,FALSE)='District Calculations'!$F$25,VLOOKUP($A117,EnrollData2324,'2324 Jun 24 Enroll'!M$1,FALSE),'District Calculations'!$F$25)+IF(VLOOKUP($A117,EnrollData2324,'2324 Jun 24 Enroll'!D$1,FALSE)='District Calculations'!$F$11,VLOOKUP($A117,EnrollData2324,'2324 Jun 24 Enroll'!D$1,FALSE),'District Calculations'!$F$11)),5)</f>
        <v>5.6520000000000001E-2</v>
      </c>
      <c r="K117" s="11">
        <f t="shared" si="30"/>
        <v>4.385E-3</v>
      </c>
      <c r="L117">
        <f>ROUND(IF(VLOOKUP($A117,EnrollData2324,'2324 Jun 24 Enroll'!D$1,FALSE)='District Calculations'!$F$11,VLOOKUP($A117,EnrollData2324,'2324 Jun 24 Enroll'!D$1,FALSE),'District Calculations'!$F$11)*K117,3)</f>
        <v>0</v>
      </c>
      <c r="M117">
        <f>ROUND(IF(VLOOKUP($A117,EnrollData2324,'2324 Jun 24 Enroll'!E$1,FALSE)='District Calculations'!$F$12,VLOOKUP($A117,EnrollData2324,'2324 Jun 24 Enroll'!E$1,FALSE),'District Calculations'!$F$12)*K117,3)</f>
        <v>3.5539999999999998</v>
      </c>
      <c r="N117">
        <f>ROUND(IF(VLOOKUP($A117,EnrollData2324,'2324 Jun 24 Enroll'!F$1,FALSE)='District Calculations'!$F$13,VLOOKUP($A117,EnrollData2324,'2324 Jun 24 Enroll'!F$1,FALSE),'District Calculations'!$F$13)*Apport_223A2425,3)</f>
        <v>0.84599999999999997</v>
      </c>
      <c r="O117">
        <f>ROUND(IF(VLOOKUP($A117,EnrollData2324,'2324 Jun 24 Enroll'!G$1,FALSE)='District Calculations'!$F$14,VLOOKUP($A117,EnrollData2324,'2324 Jun 24 Enroll'!G$1,FALSE),'District Calculations'!$F$14)*Apport_211A2425,3)</f>
        <v>1.877</v>
      </c>
      <c r="P117">
        <f>ROUND(IF(VLOOKUP($A117,EnrollData2324,'2324 Jun 24 Enroll'!H$1,FALSE)='District Calculations'!$F$14,VLOOKUP($A117,EnrollData2324,'2324 Jun 24 Enroll'!H$1,FALSE),'District Calculations'!$F$14)*Apport_214A2425,3)</f>
        <v>1.875</v>
      </c>
      <c r="Q117">
        <f>ROUND(IF(VLOOKUP($A117,EnrollData2324,'2324 Jun 24 Enroll'!I$1,FALSE)+VLOOKUP($A117,EnrollData2324,'2324 Jun 24 Enroll'!M$1,FALSE)-VLOOKUP($A117,EnrollData2324,'2324 Jun 24 Enroll'!J$1,FALSE)='District Calculations'!$F$16+'District Calculations'!$F$25-'District Calculations'!$F$17,VLOOKUP($A117,EnrollData2324,'2324 Jun 24 Enroll'!I$1,FALSE)+VLOOKUP($A117,EnrollData2324,'2324 Jun 24 Enroll'!M$1,FALSE)-VLOOKUP($A117,EnrollData2324,'2324 Jun 24 Enroll'!J$1,FALSE),'District Calculations'!$F$16+'District Calculations'!$F$25-'District Calculations'!$F$17)*Apport_217A2425,3)</f>
        <v>4.7130000000000001</v>
      </c>
      <c r="R117">
        <f>ROUND(SUM(L117:Q117)/IF(VLOOKUP($A117,EnrollData2324,'2324 Jun 24 Enroll'!M$1,FALSE)+VLOOKUP($A117,EnrollData2324,'2324 Jun 24 Enroll'!D$1,FALSE)='District Calculations'!$F$25+'District Calculations'!$F$11,VLOOKUP($A117,EnrollData2324,'2324 Jun 24 Enroll'!M$1,FALSE)+VLOOKUP($A117,EnrollData2324,'2324 Jun 24 Enroll'!D$1,FALSE),'District Calculations'!$F$25+'District Calculations'!$F$11),5)</f>
        <v>4.1200000000000004E-3</v>
      </c>
      <c r="S117" s="11">
        <f t="shared" si="31"/>
        <v>1.8734299999999999E-2</v>
      </c>
      <c r="T117">
        <f>ROUND(IF(VLOOKUP($A117,EnrollData2324,'2324 Jun 24 Enroll'!D$1,FALSE)='District Calculations'!$F$11,VLOOKUP($A117,EnrollData2324,'2324 Jun 24 Enroll'!D$1,FALSE),'District Calculations'!$F$11)*S117,3)</f>
        <v>0</v>
      </c>
      <c r="U117">
        <f>ROUND(IF(VLOOKUP($A117,EnrollData2324,'2324 Jun 24 Enroll'!E$1,FALSE)='District Calculations'!$F$12,VLOOKUP($A117,EnrollData2324,'2324 Jun 24 Enroll'!E$1,FALSE),'District Calculations'!$F$12)*S117,3)</f>
        <v>15.183999999999999</v>
      </c>
      <c r="V117">
        <f>ROUND(IF(VLOOKUP($A117,EnrollData2324,'2324 Jun 24 Enroll'!F$1,FALSE)='District Calculations'!$F$13,VLOOKUP($A117,EnrollData2324,'2324 Jun 24 Enroll'!F$1,FALSE),'District Calculations'!$F$13)*Apport_224A2425,3)</f>
        <v>3.7109999999999999</v>
      </c>
      <c r="W117">
        <f>ROUND(IF(VLOOKUP($A117,EnrollData2324,'2324 Jun 24 Enroll'!G$1,FALSE)='District Calculations'!$F$14,VLOOKUP($A117,EnrollData2324,'2324 Jun 24 Enroll'!G$1,FALSE),'District Calculations'!$F$14)*Apport_212A2425,3)</f>
        <v>8.2279999999999998</v>
      </c>
      <c r="X117">
        <f>ROUND(IF(VLOOKUP($A117,EnrollData2324,'2324 Jun 24 Enroll'!H$1,FALSE)='District Calculations'!$F$14,VLOOKUP($A117,EnrollData2324,'2324 Jun 24 Enroll'!H$1,FALSE),'District Calculations'!$F$14)*Apport_215A2425,3)</f>
        <v>8.1180000000000003</v>
      </c>
      <c r="Y117">
        <f>ROUND(IF(VLOOKUP($A117,EnrollData2324,'2324 Jun 24 Enroll'!I$1,FALSE)+VLOOKUP($A117,EnrollData2324,'2324 Jun 24 Enroll'!M$1,FALSE)-VLOOKUP($A117,EnrollData2324,'2324 Jun 24 Enroll'!J$1,FALSE)='District Calculations'!$F$16+'District Calculations'!$F$25-'District Calculations'!$F$17,VLOOKUP($A117,EnrollData2324,'2324 Jun 24 Enroll'!I$1,FALSE)+VLOOKUP($A117,EnrollData2324,'2324 Jun 24 Enroll'!M$1,FALSE)-VLOOKUP($A117,EnrollData2324,'2324 Jun 24 Enroll'!J$1,FALSE),'District Calculations'!$F$16+'District Calculations'!$F$25-'District Calculations'!$F$17)*Apport_218A2425,3)</f>
        <v>20.257999999999999</v>
      </c>
      <c r="Z117">
        <f>ROUND(SUM(T117:Y117)/IF(VLOOKUP($A117,EnrollData2324,'2324 Jun 24 Enroll'!M$1,FALSE)+VLOOKUP($A117,EnrollData2324,'2324 Jun 24 Enroll'!D$1,FALSE)='District Calculations'!$F$25+'District Calculations'!$F$11,VLOOKUP($A117,EnrollData2324,'2324 Jun 24 Enroll'!M$1,FALSE)+VLOOKUP($A117,EnrollData2324,'2324 Jun 24 Enroll'!D$1,FALSE),'District Calculations'!$F$25+'District Calculations'!$F$11),5)</f>
        <v>1.7780000000000001E-2</v>
      </c>
      <c r="AA117" s="6">
        <f>ROUND($J117*CIS_Base_Salary2425*VLOOKUP($A117,EnrollData2324,'2324 Jun 24 Enroll'!AH$1,FALSE),2)</f>
        <v>5029.96</v>
      </c>
      <c r="AB117" s="6">
        <f>ROUND($J117*CIS_Inc_Salary2425*(VLOOKUP($A117,EnrollData2324,'2324 Jun 24 Enroll'!AI$1,FALSE)+VLOOKUP($A117,EnrollData2324,'2324 Jun 24 Enroll'!AJ$1,FALSE)),2)-AA117</f>
        <v>186.07999999999993</v>
      </c>
      <c r="AC117" s="6" cm="1">
        <f t="array" ref="AC117">ROUND($R117*CAS_Base_Salary2425*VLOOKUP($A117,EnrollData2324,'2324 Jun 24 Enroll'!AH$1,FALSE),2)</f>
        <v>544.26</v>
      </c>
      <c r="AD117" s="6">
        <f>ROUND($R117*CAS_Inc_Salary2425*VLOOKUP($A117,EnrollData2324,'2324 Jun 24 Enroll'!AI$1,FALSE),2)-AC117</f>
        <v>20.129999999999995</v>
      </c>
      <c r="AE117" s="6">
        <f>ROUND($Z117*CLS_Base_Salary2425*VLOOKUP($A117,EnrollData2324,'2324 Jun 24 Enroll'!AH$1,FALSE),2)</f>
        <v>1135.0999999999999</v>
      </c>
      <c r="AF117" s="6">
        <f>ROUND($Z117*CLS_Inc_Salary2425*VLOOKUP($A117,EnrollData2324,'2324 Jun 24 Enroll'!AI$1,FALSE),2)-AE117</f>
        <v>42.009999999999991</v>
      </c>
      <c r="AG117" cm="1">
        <f t="array" ref="AG117">ROUND(($J117+$R117)*Apport_124X2425,2)</f>
        <v>800.45</v>
      </c>
      <c r="AH117" s="69" cm="1">
        <f t="array" ref="AH117">ROUND(($J117+$R117)*Apport_621X2425*Apport_125XC2425,2)-AG117</f>
        <v>73.899999999999977</v>
      </c>
      <c r="AI117" cm="1">
        <f t="array" ref="AI117">ROUND($Z117*Apport_124X2425,2)</f>
        <v>234.7</v>
      </c>
      <c r="AJ117">
        <f t="shared" si="32"/>
        <v>124.71000000000004</v>
      </c>
      <c r="AK117">
        <f t="shared" si="33"/>
        <v>1011.72</v>
      </c>
      <c r="AL117">
        <f t="shared" si="34"/>
        <v>36.11</v>
      </c>
      <c r="AM117">
        <f t="shared" si="35"/>
        <v>245.86</v>
      </c>
      <c r="AN117">
        <f t="shared" si="36"/>
        <v>7.63</v>
      </c>
      <c r="AO117">
        <f>ROUND(($J117*CIS_Inc_Salary2425*(VLOOKUP($A117,EnrollData2324,'2324 Jun 24 Enroll'!AI$1,FALSE)+VLOOKUP($A117,EnrollData2324,'2324 Jun 24 Enroll'!AJ$1,FALSE))/Apport_613Xpd)*Apport_614Xpd,2)</f>
        <v>86.93</v>
      </c>
      <c r="AP117">
        <f t="shared" si="37"/>
        <v>15.22</v>
      </c>
      <c r="AQ117">
        <f t="shared" si="28"/>
        <v>31.48</v>
      </c>
      <c r="AR117" s="6">
        <f>ROUND((VLOOKUP($A117,EnrollData2324,'2324 Jun 24 Enroll'!D$1,FALSE)*Apport_M802425+VLOOKUP($A117,EnrollData2324,'2324 Jun 24 Enroll'!M$1,FALSE)*Apport_M802425+(VLOOKUP($A117,EnrollData2324,'2324 Jun 24 Enroll'!P$1,FALSE)+VLOOKUP($A117,EnrollData2324,'2324 Jun 24 Enroll'!Q$1,FALSE)+VLOOKUP($A117,EnrollData2324,'2324 Jun 24 Enroll'!R$1,FALSE)+VLOOKUP($A117,EnrollData2324,'2324 Jun 24 Enroll'!I$1,FALSE)+VLOOKUP($A117,EnrollData2324,'2324 Jun 24 Enroll'!N$1,FALSE)+VLOOKUP($A117,EnrollData2324,'2324 Jun 24 Enroll'!O$1,FALSE)+VLOOKUP($A117,EnrollData2324,'2324 Jun 24 Enroll'!K$1,FALSE)+VLOOKUP($A117,EnrollData2324,'2324 Jun 24 Enroll'!L$1,FALSE))*Apport_M812425)/(VLOOKUP($A117,EnrollData2324,'2324 Jun 24 Enroll'!M$1,FALSE)+VLOOKUP($A117,EnrollData2324,'2324 Jun 24 Enroll'!D$1,FALSE)),2)</f>
        <v>1598.44</v>
      </c>
      <c r="AS117" s="7">
        <f t="shared" si="29"/>
        <v>11224.69</v>
      </c>
    </row>
    <row r="118" spans="1:45">
      <c r="A118" s="40" t="s">
        <v>464</v>
      </c>
      <c r="B118" s="40" t="s">
        <v>465</v>
      </c>
      <c r="C118" s="11">
        <f>ROUND((IFERROR((1/IF(VLOOKUP($A118,EnrollData2324,28,FALSE)='District Calculations'!$F$10,VLOOKUP($A118,EnrollData2324,28,FALSE),'District Calculations'!$F$10))*(1+Apport_Z315),0))+Apport_201A2425,6)</f>
        <v>7.4580999999999995E-2</v>
      </c>
      <c r="D118">
        <f>ROUND(IF(VLOOKUP($A118,EnrollData2324,'2324 Jun 24 Enroll'!D$1,FALSE)='District Calculations'!$F$11,VLOOKUP($A118,EnrollData2324,'2324 Jun 24 Enroll'!D$1,FALSE),'District Calculations'!$F$11)*C118,3)</f>
        <v>0</v>
      </c>
      <c r="E118">
        <f>ROUND(IF(VLOOKUP($A118,EnrollData2324,'2324 Jun 24 Enroll'!E$1,FALSE)='District Calculations'!$F$12,VLOOKUP($A118,EnrollData2324,'2324 Jun 24 Enroll'!E$1,FALSE),'District Calculations'!$F$12)*C118,3)</f>
        <v>60.447000000000003</v>
      </c>
      <c r="F118">
        <f>ROUND(IF(VLOOKUP($A118,EnrollData2324,'2324 Jun 24 Enroll'!F$1,FALSE)='District Calculations'!$F$13,VLOOKUP($A118,EnrollData2324,'2324 Jun 24 Enroll'!F$1,FALSE),'District Calculations'!$F$13)*Apport_222A2425,3)</f>
        <v>10.337999999999999</v>
      </c>
      <c r="G118">
        <f>ROUND(IF(VLOOKUP($A118,EnrollData2324,'2324 Jun 24 Enroll'!G$1,FALSE)='District Calculations'!$F$14,VLOOKUP($A118,EnrollData2324,'2324 Jun 24 Enroll'!G$1,FALSE),'District Calculations'!$F$14)*Apport_210A2425,3)</f>
        <v>22.92</v>
      </c>
      <c r="H118">
        <f>ROUND(IF(VLOOKUP($A118,EnrollData2324,'2324 Jun 24 Enroll'!H$1,FALSE)='District Calculations'!$F$15,VLOOKUP($A118,EnrollData2324,'2324 Jun 24 Enroll'!H$1,FALSE),'District Calculations'!$F$15)*Apport_213A2425,3)</f>
        <v>23.619</v>
      </c>
      <c r="I118">
        <f>ROUND(IF(VLOOKUP($A118,EnrollData2324,'2324 Jun 24 Enroll'!I$1,FALSE)+VLOOKUP($A118,EnrollData2324,'2324 Jun 24 Enroll'!M$1,FALSE)-VLOOKUP($A118,EnrollData2324,'2324 Jun 24 Enroll'!J$1,FALSE)='District Calculations'!$F$16+'District Calculations'!$F$25-'District Calculations'!$F$17,VLOOKUP($A118,EnrollData2324,'2324 Jun 24 Enroll'!I$1,FALSE)+VLOOKUP($A118,EnrollData2324,'2324 Jun 24 Enroll'!M$1,FALSE)-VLOOKUP($A118,EnrollData2324,'2324 Jun 24 Enroll'!J$1,FALSE),'District Calculations'!$F$16+'District Calculations'!$F$25-'District Calculations'!$F$17)*Apport_216A2425,3)</f>
        <v>59.057000000000002</v>
      </c>
      <c r="J118">
        <f>ROUND(SUM(D118:I118)/(IF(VLOOKUP($A118,EnrollData2324,'2324 Jun 24 Enroll'!M$1,FALSE)='District Calculations'!$F$25,VLOOKUP($A118,EnrollData2324,'2324 Jun 24 Enroll'!M$1,FALSE),'District Calculations'!$F$25)+IF(VLOOKUP($A118,EnrollData2324,'2324 Jun 24 Enroll'!D$1,FALSE)='District Calculations'!$F$11,VLOOKUP($A118,EnrollData2324,'2324 Jun 24 Enroll'!D$1,FALSE),'District Calculations'!$F$11)),5)</f>
        <v>5.6520000000000001E-2</v>
      </c>
      <c r="K118" s="11">
        <f t="shared" si="30"/>
        <v>4.385E-3</v>
      </c>
      <c r="L118">
        <f>ROUND(IF(VLOOKUP($A118,EnrollData2324,'2324 Jun 24 Enroll'!D$1,FALSE)='District Calculations'!$F$11,VLOOKUP($A118,EnrollData2324,'2324 Jun 24 Enroll'!D$1,FALSE),'District Calculations'!$F$11)*K118,3)</f>
        <v>0</v>
      </c>
      <c r="M118">
        <f>ROUND(IF(VLOOKUP($A118,EnrollData2324,'2324 Jun 24 Enroll'!E$1,FALSE)='District Calculations'!$F$12,VLOOKUP($A118,EnrollData2324,'2324 Jun 24 Enroll'!E$1,FALSE),'District Calculations'!$F$12)*K118,3)</f>
        <v>3.5539999999999998</v>
      </c>
      <c r="N118">
        <f>ROUND(IF(VLOOKUP($A118,EnrollData2324,'2324 Jun 24 Enroll'!F$1,FALSE)='District Calculations'!$F$13,VLOOKUP($A118,EnrollData2324,'2324 Jun 24 Enroll'!F$1,FALSE),'District Calculations'!$F$13)*Apport_223A2425,3)</f>
        <v>0.84599999999999997</v>
      </c>
      <c r="O118">
        <f>ROUND(IF(VLOOKUP($A118,EnrollData2324,'2324 Jun 24 Enroll'!G$1,FALSE)='District Calculations'!$F$14,VLOOKUP($A118,EnrollData2324,'2324 Jun 24 Enroll'!G$1,FALSE),'District Calculations'!$F$14)*Apport_211A2425,3)</f>
        <v>1.877</v>
      </c>
      <c r="P118">
        <f>ROUND(IF(VLOOKUP($A118,EnrollData2324,'2324 Jun 24 Enroll'!H$1,FALSE)='District Calculations'!$F$14,VLOOKUP($A118,EnrollData2324,'2324 Jun 24 Enroll'!H$1,FALSE),'District Calculations'!$F$14)*Apport_214A2425,3)</f>
        <v>1.875</v>
      </c>
      <c r="Q118">
        <f>ROUND(IF(VLOOKUP($A118,EnrollData2324,'2324 Jun 24 Enroll'!I$1,FALSE)+VLOOKUP($A118,EnrollData2324,'2324 Jun 24 Enroll'!M$1,FALSE)-VLOOKUP($A118,EnrollData2324,'2324 Jun 24 Enroll'!J$1,FALSE)='District Calculations'!$F$16+'District Calculations'!$F$25-'District Calculations'!$F$17,VLOOKUP($A118,EnrollData2324,'2324 Jun 24 Enroll'!I$1,FALSE)+VLOOKUP($A118,EnrollData2324,'2324 Jun 24 Enroll'!M$1,FALSE)-VLOOKUP($A118,EnrollData2324,'2324 Jun 24 Enroll'!J$1,FALSE),'District Calculations'!$F$16+'District Calculations'!$F$25-'District Calculations'!$F$17)*Apport_217A2425,3)</f>
        <v>4.7130000000000001</v>
      </c>
      <c r="R118">
        <f>ROUND(SUM(L118:Q118)/IF(VLOOKUP($A118,EnrollData2324,'2324 Jun 24 Enroll'!M$1,FALSE)+VLOOKUP($A118,EnrollData2324,'2324 Jun 24 Enroll'!D$1,FALSE)='District Calculations'!$F$25+'District Calculations'!$F$11,VLOOKUP($A118,EnrollData2324,'2324 Jun 24 Enroll'!M$1,FALSE)+VLOOKUP($A118,EnrollData2324,'2324 Jun 24 Enroll'!D$1,FALSE),'District Calculations'!$F$25+'District Calculations'!$F$11),5)</f>
        <v>4.1200000000000004E-3</v>
      </c>
      <c r="S118" s="11">
        <f t="shared" si="31"/>
        <v>1.8734299999999999E-2</v>
      </c>
      <c r="T118">
        <f>ROUND(IF(VLOOKUP($A118,EnrollData2324,'2324 Jun 24 Enroll'!D$1,FALSE)='District Calculations'!$F$11,VLOOKUP($A118,EnrollData2324,'2324 Jun 24 Enroll'!D$1,FALSE),'District Calculations'!$F$11)*S118,3)</f>
        <v>0</v>
      </c>
      <c r="U118">
        <f>ROUND(IF(VLOOKUP($A118,EnrollData2324,'2324 Jun 24 Enroll'!E$1,FALSE)='District Calculations'!$F$12,VLOOKUP($A118,EnrollData2324,'2324 Jun 24 Enroll'!E$1,FALSE),'District Calculations'!$F$12)*S118,3)</f>
        <v>15.183999999999999</v>
      </c>
      <c r="V118">
        <f>ROUND(IF(VLOOKUP($A118,EnrollData2324,'2324 Jun 24 Enroll'!F$1,FALSE)='District Calculations'!$F$13,VLOOKUP($A118,EnrollData2324,'2324 Jun 24 Enroll'!F$1,FALSE),'District Calculations'!$F$13)*Apport_224A2425,3)</f>
        <v>3.7109999999999999</v>
      </c>
      <c r="W118">
        <f>ROUND(IF(VLOOKUP($A118,EnrollData2324,'2324 Jun 24 Enroll'!G$1,FALSE)='District Calculations'!$F$14,VLOOKUP($A118,EnrollData2324,'2324 Jun 24 Enroll'!G$1,FALSE),'District Calculations'!$F$14)*Apport_212A2425,3)</f>
        <v>8.2279999999999998</v>
      </c>
      <c r="X118">
        <f>ROUND(IF(VLOOKUP($A118,EnrollData2324,'2324 Jun 24 Enroll'!H$1,FALSE)='District Calculations'!$F$14,VLOOKUP($A118,EnrollData2324,'2324 Jun 24 Enroll'!H$1,FALSE),'District Calculations'!$F$14)*Apport_215A2425,3)</f>
        <v>8.1180000000000003</v>
      </c>
      <c r="Y118">
        <f>ROUND(IF(VLOOKUP($A118,EnrollData2324,'2324 Jun 24 Enroll'!I$1,FALSE)+VLOOKUP($A118,EnrollData2324,'2324 Jun 24 Enroll'!M$1,FALSE)-VLOOKUP($A118,EnrollData2324,'2324 Jun 24 Enroll'!J$1,FALSE)='District Calculations'!$F$16+'District Calculations'!$F$25-'District Calculations'!$F$17,VLOOKUP($A118,EnrollData2324,'2324 Jun 24 Enroll'!I$1,FALSE)+VLOOKUP($A118,EnrollData2324,'2324 Jun 24 Enroll'!M$1,FALSE)-VLOOKUP($A118,EnrollData2324,'2324 Jun 24 Enroll'!J$1,FALSE),'District Calculations'!$F$16+'District Calculations'!$F$25-'District Calculations'!$F$17)*Apport_218A2425,3)</f>
        <v>20.257999999999999</v>
      </c>
      <c r="Z118">
        <f>ROUND(SUM(T118:Y118)/IF(VLOOKUP($A118,EnrollData2324,'2324 Jun 24 Enroll'!M$1,FALSE)+VLOOKUP($A118,EnrollData2324,'2324 Jun 24 Enroll'!D$1,FALSE)='District Calculations'!$F$25+'District Calculations'!$F$11,VLOOKUP($A118,EnrollData2324,'2324 Jun 24 Enroll'!M$1,FALSE)+VLOOKUP($A118,EnrollData2324,'2324 Jun 24 Enroll'!D$1,FALSE),'District Calculations'!$F$25+'District Calculations'!$F$11),5)</f>
        <v>1.7780000000000001E-2</v>
      </c>
      <c r="AA118" s="6">
        <f>ROUND($J118*CIS_Base_Salary2425*VLOOKUP($A118,EnrollData2324,'2324 Jun 24 Enroll'!AH$1,FALSE),2)</f>
        <v>4774.2</v>
      </c>
      <c r="AB118" s="6">
        <f>ROUND($J118*CIS_Inc_Salary2425*(VLOOKUP($A118,EnrollData2324,'2324 Jun 24 Enroll'!AI$1,FALSE)+VLOOKUP($A118,EnrollData2324,'2324 Jun 24 Enroll'!AJ$1,FALSE)),2)-AA118</f>
        <v>176.61999999999989</v>
      </c>
      <c r="AC118" s="6" cm="1">
        <f t="array" ref="AC118">ROUND($R118*CAS_Base_Salary2425*VLOOKUP($A118,EnrollData2324,'2324 Jun 24 Enroll'!AH$1,FALSE),2)</f>
        <v>516.58000000000004</v>
      </c>
      <c r="AD118" s="6">
        <f>ROUND($R118*CAS_Inc_Salary2425*VLOOKUP($A118,EnrollData2324,'2324 Jun 24 Enroll'!AI$1,FALSE),2)-AC118</f>
        <v>19.110000000000014</v>
      </c>
      <c r="AE118" s="6">
        <f>ROUND($Z118*CLS_Base_Salary2425*VLOOKUP($A118,EnrollData2324,'2324 Jun 24 Enroll'!AH$1,FALSE),2)</f>
        <v>1077.3900000000001</v>
      </c>
      <c r="AF118" s="6">
        <f>ROUND($Z118*CLS_Inc_Salary2425*VLOOKUP($A118,EnrollData2324,'2324 Jun 24 Enroll'!AI$1,FALSE),2)-AE118</f>
        <v>39.8599999999999</v>
      </c>
      <c r="AG118" cm="1">
        <f t="array" ref="AG118">ROUND(($J118+$R118)*Apport_124X2425,2)</f>
        <v>800.45</v>
      </c>
      <c r="AH118" s="69" cm="1">
        <f t="array" ref="AH118">ROUND(($J118+$R118)*Apport_621X2425*Apport_125XC2425,2)-AG118</f>
        <v>73.899999999999977</v>
      </c>
      <c r="AI118" cm="1">
        <f t="array" ref="AI118">ROUND($Z118*Apport_124X2425,2)</f>
        <v>234.7</v>
      </c>
      <c r="AJ118">
        <f t="shared" si="32"/>
        <v>124.71000000000004</v>
      </c>
      <c r="AK118">
        <f t="shared" si="33"/>
        <v>960.28</v>
      </c>
      <c r="AL118">
        <f t="shared" si="34"/>
        <v>34.270000000000003</v>
      </c>
      <c r="AM118">
        <f t="shared" si="35"/>
        <v>233.36</v>
      </c>
      <c r="AN118">
        <f t="shared" si="36"/>
        <v>7.24</v>
      </c>
      <c r="AO118">
        <f>ROUND(($J118*CIS_Inc_Salary2425*(VLOOKUP($A118,EnrollData2324,'2324 Jun 24 Enroll'!AI$1,FALSE)+VLOOKUP($A118,EnrollData2324,'2324 Jun 24 Enroll'!AJ$1,FALSE))/Apport_613Xpd)*Apport_614Xpd,2)</f>
        <v>82.51</v>
      </c>
      <c r="AP118">
        <f t="shared" si="37"/>
        <v>14.45</v>
      </c>
      <c r="AQ118">
        <f t="shared" ref="AQ118:AQ181" si="38">ROUND((J118*Apport_581X)*(Apport_116X*Apport_132X),2)</f>
        <v>31.48</v>
      </c>
      <c r="AR118" s="6">
        <f>ROUND((VLOOKUP($A118,EnrollData2324,'2324 Jun 24 Enroll'!D$1,FALSE)*Apport_M802425+VLOOKUP($A118,EnrollData2324,'2324 Jun 24 Enroll'!M$1,FALSE)*Apport_M802425+(VLOOKUP($A118,EnrollData2324,'2324 Jun 24 Enroll'!P$1,FALSE)+VLOOKUP($A118,EnrollData2324,'2324 Jun 24 Enroll'!Q$1,FALSE)+VLOOKUP($A118,EnrollData2324,'2324 Jun 24 Enroll'!R$1,FALSE)+VLOOKUP($A118,EnrollData2324,'2324 Jun 24 Enroll'!I$1,FALSE)+VLOOKUP($A118,EnrollData2324,'2324 Jun 24 Enroll'!N$1,FALSE)+VLOOKUP($A118,EnrollData2324,'2324 Jun 24 Enroll'!O$1,FALSE)+VLOOKUP($A118,EnrollData2324,'2324 Jun 24 Enroll'!K$1,FALSE)+VLOOKUP($A118,EnrollData2324,'2324 Jun 24 Enroll'!L$1,FALSE))*Apport_M812425)/(VLOOKUP($A118,EnrollData2324,'2324 Jun 24 Enroll'!M$1,FALSE)+VLOOKUP($A118,EnrollData2324,'2324 Jun 24 Enroll'!D$1,FALSE)),2)</f>
        <v>1600.38</v>
      </c>
      <c r="AS118" s="7">
        <f t="shared" ref="AS118:AS182" si="39">SUM(AA118:AR118)</f>
        <v>10801.490000000002</v>
      </c>
    </row>
    <row r="119" spans="1:45">
      <c r="A119" s="40" t="s">
        <v>452</v>
      </c>
      <c r="B119" s="40" t="s">
        <v>453</v>
      </c>
      <c r="C119" s="11">
        <f>ROUND((IFERROR((1/IF(VLOOKUP($A119,EnrollData2324,28,FALSE)='District Calculations'!$F$10,VLOOKUP($A119,EnrollData2324,28,FALSE),'District Calculations'!$F$10))*(1+Apport_Z315),0))+Apport_201A2425,6)</f>
        <v>7.4580999999999995E-2</v>
      </c>
      <c r="D119">
        <f>ROUND(IF(VLOOKUP($A119,EnrollData2324,'2324 Jun 24 Enroll'!D$1,FALSE)='District Calculations'!$F$11,VLOOKUP($A119,EnrollData2324,'2324 Jun 24 Enroll'!D$1,FALSE),'District Calculations'!$F$11)*C119,3)</f>
        <v>0</v>
      </c>
      <c r="E119">
        <f>ROUND(IF(VLOOKUP($A119,EnrollData2324,'2324 Jun 24 Enroll'!E$1,FALSE)='District Calculations'!$F$12,VLOOKUP($A119,EnrollData2324,'2324 Jun 24 Enroll'!E$1,FALSE),'District Calculations'!$F$12)*C119,3)</f>
        <v>60.447000000000003</v>
      </c>
      <c r="F119">
        <f>ROUND(IF(VLOOKUP($A119,EnrollData2324,'2324 Jun 24 Enroll'!F$1,FALSE)='District Calculations'!$F$13,VLOOKUP($A119,EnrollData2324,'2324 Jun 24 Enroll'!F$1,FALSE),'District Calculations'!$F$13)*Apport_222A2425,3)</f>
        <v>10.337999999999999</v>
      </c>
      <c r="G119">
        <f>ROUND(IF(VLOOKUP($A119,EnrollData2324,'2324 Jun 24 Enroll'!G$1,FALSE)='District Calculations'!$F$14,VLOOKUP($A119,EnrollData2324,'2324 Jun 24 Enroll'!G$1,FALSE),'District Calculations'!$F$14)*Apport_210A2425,3)</f>
        <v>22.92</v>
      </c>
      <c r="H119">
        <f>ROUND(IF(VLOOKUP($A119,EnrollData2324,'2324 Jun 24 Enroll'!H$1,FALSE)='District Calculations'!$F$15,VLOOKUP($A119,EnrollData2324,'2324 Jun 24 Enroll'!H$1,FALSE),'District Calculations'!$F$15)*Apport_213A2425,3)</f>
        <v>23.619</v>
      </c>
      <c r="I119">
        <f>ROUND(IF(VLOOKUP($A119,EnrollData2324,'2324 Jun 24 Enroll'!I$1,FALSE)+VLOOKUP($A119,EnrollData2324,'2324 Jun 24 Enroll'!M$1,FALSE)-VLOOKUP($A119,EnrollData2324,'2324 Jun 24 Enroll'!J$1,FALSE)='District Calculations'!$F$16+'District Calculations'!$F$25-'District Calculations'!$F$17,VLOOKUP($A119,EnrollData2324,'2324 Jun 24 Enroll'!I$1,FALSE)+VLOOKUP($A119,EnrollData2324,'2324 Jun 24 Enroll'!M$1,FALSE)-VLOOKUP($A119,EnrollData2324,'2324 Jun 24 Enroll'!J$1,FALSE),'District Calculations'!$F$16+'District Calculations'!$F$25-'District Calculations'!$F$17)*Apport_216A2425,3)</f>
        <v>59.057000000000002</v>
      </c>
      <c r="J119">
        <f>ROUND(SUM(D119:I119)/(IF(VLOOKUP($A119,EnrollData2324,'2324 Jun 24 Enroll'!M$1,FALSE)='District Calculations'!$F$25,VLOOKUP($A119,EnrollData2324,'2324 Jun 24 Enroll'!M$1,FALSE),'District Calculations'!$F$25)+IF(VLOOKUP($A119,EnrollData2324,'2324 Jun 24 Enroll'!D$1,FALSE)='District Calculations'!$F$11,VLOOKUP($A119,EnrollData2324,'2324 Jun 24 Enroll'!D$1,FALSE),'District Calculations'!$F$11)),5)</f>
        <v>5.6520000000000001E-2</v>
      </c>
      <c r="K119" s="11">
        <f t="shared" si="30"/>
        <v>4.385E-3</v>
      </c>
      <c r="L119">
        <f>ROUND(IF(VLOOKUP($A119,EnrollData2324,'2324 Jun 24 Enroll'!D$1,FALSE)='District Calculations'!$F$11,VLOOKUP($A119,EnrollData2324,'2324 Jun 24 Enroll'!D$1,FALSE),'District Calculations'!$F$11)*K119,3)</f>
        <v>0</v>
      </c>
      <c r="M119">
        <f>ROUND(IF(VLOOKUP($A119,EnrollData2324,'2324 Jun 24 Enroll'!E$1,FALSE)='District Calculations'!$F$12,VLOOKUP($A119,EnrollData2324,'2324 Jun 24 Enroll'!E$1,FALSE),'District Calculations'!$F$12)*K119,3)</f>
        <v>3.5539999999999998</v>
      </c>
      <c r="N119">
        <f>ROUND(IF(VLOOKUP($A119,EnrollData2324,'2324 Jun 24 Enroll'!F$1,FALSE)='District Calculations'!$F$13,VLOOKUP($A119,EnrollData2324,'2324 Jun 24 Enroll'!F$1,FALSE),'District Calculations'!$F$13)*Apport_223A2425,3)</f>
        <v>0.84599999999999997</v>
      </c>
      <c r="O119">
        <f>ROUND(IF(VLOOKUP($A119,EnrollData2324,'2324 Jun 24 Enroll'!G$1,FALSE)='District Calculations'!$F$14,VLOOKUP($A119,EnrollData2324,'2324 Jun 24 Enroll'!G$1,FALSE),'District Calculations'!$F$14)*Apport_211A2425,3)</f>
        <v>1.877</v>
      </c>
      <c r="P119">
        <f>ROUND(IF(VLOOKUP($A119,EnrollData2324,'2324 Jun 24 Enroll'!H$1,FALSE)='District Calculations'!$F$14,VLOOKUP($A119,EnrollData2324,'2324 Jun 24 Enroll'!H$1,FALSE),'District Calculations'!$F$14)*Apport_214A2425,3)</f>
        <v>1.875</v>
      </c>
      <c r="Q119">
        <f>ROUND(IF(VLOOKUP($A119,EnrollData2324,'2324 Jun 24 Enroll'!I$1,FALSE)+VLOOKUP($A119,EnrollData2324,'2324 Jun 24 Enroll'!M$1,FALSE)-VLOOKUP($A119,EnrollData2324,'2324 Jun 24 Enroll'!J$1,FALSE)='District Calculations'!$F$16+'District Calculations'!$F$25-'District Calculations'!$F$17,VLOOKUP($A119,EnrollData2324,'2324 Jun 24 Enroll'!I$1,FALSE)+VLOOKUP($A119,EnrollData2324,'2324 Jun 24 Enroll'!M$1,FALSE)-VLOOKUP($A119,EnrollData2324,'2324 Jun 24 Enroll'!J$1,FALSE),'District Calculations'!$F$16+'District Calculations'!$F$25-'District Calculations'!$F$17)*Apport_217A2425,3)</f>
        <v>4.7130000000000001</v>
      </c>
      <c r="R119">
        <f>ROUND(SUM(L119:Q119)/IF(VLOOKUP($A119,EnrollData2324,'2324 Jun 24 Enroll'!M$1,FALSE)+VLOOKUP($A119,EnrollData2324,'2324 Jun 24 Enroll'!D$1,FALSE)='District Calculations'!$F$25+'District Calculations'!$F$11,VLOOKUP($A119,EnrollData2324,'2324 Jun 24 Enroll'!M$1,FALSE)+VLOOKUP($A119,EnrollData2324,'2324 Jun 24 Enroll'!D$1,FALSE),'District Calculations'!$F$25+'District Calculations'!$F$11),5)</f>
        <v>4.1200000000000004E-3</v>
      </c>
      <c r="S119" s="11">
        <f t="shared" si="31"/>
        <v>1.8734299999999999E-2</v>
      </c>
      <c r="T119">
        <f>ROUND(IF(VLOOKUP($A119,EnrollData2324,'2324 Jun 24 Enroll'!D$1,FALSE)='District Calculations'!$F$11,VLOOKUP($A119,EnrollData2324,'2324 Jun 24 Enroll'!D$1,FALSE),'District Calculations'!$F$11)*S119,3)</f>
        <v>0</v>
      </c>
      <c r="U119">
        <f>ROUND(IF(VLOOKUP($A119,EnrollData2324,'2324 Jun 24 Enroll'!E$1,FALSE)='District Calculations'!$F$12,VLOOKUP($A119,EnrollData2324,'2324 Jun 24 Enroll'!E$1,FALSE),'District Calculations'!$F$12)*S119,3)</f>
        <v>15.183999999999999</v>
      </c>
      <c r="V119">
        <f>ROUND(IF(VLOOKUP($A119,EnrollData2324,'2324 Jun 24 Enroll'!F$1,FALSE)='District Calculations'!$F$13,VLOOKUP($A119,EnrollData2324,'2324 Jun 24 Enroll'!F$1,FALSE),'District Calculations'!$F$13)*Apport_224A2425,3)</f>
        <v>3.7109999999999999</v>
      </c>
      <c r="W119">
        <f>ROUND(IF(VLOOKUP($A119,EnrollData2324,'2324 Jun 24 Enroll'!G$1,FALSE)='District Calculations'!$F$14,VLOOKUP($A119,EnrollData2324,'2324 Jun 24 Enroll'!G$1,FALSE),'District Calculations'!$F$14)*Apport_212A2425,3)</f>
        <v>8.2279999999999998</v>
      </c>
      <c r="X119">
        <f>ROUND(IF(VLOOKUP($A119,EnrollData2324,'2324 Jun 24 Enroll'!H$1,FALSE)='District Calculations'!$F$14,VLOOKUP($A119,EnrollData2324,'2324 Jun 24 Enroll'!H$1,FALSE),'District Calculations'!$F$14)*Apport_215A2425,3)</f>
        <v>8.1180000000000003</v>
      </c>
      <c r="Y119">
        <f>ROUND(IF(VLOOKUP($A119,EnrollData2324,'2324 Jun 24 Enroll'!I$1,FALSE)+VLOOKUP($A119,EnrollData2324,'2324 Jun 24 Enroll'!M$1,FALSE)-VLOOKUP($A119,EnrollData2324,'2324 Jun 24 Enroll'!J$1,FALSE)='District Calculations'!$F$16+'District Calculations'!$F$25-'District Calculations'!$F$17,VLOOKUP($A119,EnrollData2324,'2324 Jun 24 Enroll'!I$1,FALSE)+VLOOKUP($A119,EnrollData2324,'2324 Jun 24 Enroll'!M$1,FALSE)-VLOOKUP($A119,EnrollData2324,'2324 Jun 24 Enroll'!J$1,FALSE),'District Calculations'!$F$16+'District Calculations'!$F$25-'District Calculations'!$F$17)*Apport_218A2425,3)</f>
        <v>20.257999999999999</v>
      </c>
      <c r="Z119">
        <f>ROUND(SUM(T119:Y119)/IF(VLOOKUP($A119,EnrollData2324,'2324 Jun 24 Enroll'!M$1,FALSE)+VLOOKUP($A119,EnrollData2324,'2324 Jun 24 Enroll'!D$1,FALSE)='District Calculations'!$F$25+'District Calculations'!$F$11,VLOOKUP($A119,EnrollData2324,'2324 Jun 24 Enroll'!M$1,FALSE)+VLOOKUP($A119,EnrollData2324,'2324 Jun 24 Enroll'!D$1,FALSE),'District Calculations'!$F$25+'District Calculations'!$F$11),5)</f>
        <v>1.7780000000000001E-2</v>
      </c>
      <c r="AA119" s="6">
        <f>ROUND($J119*CIS_Base_Salary2425*VLOOKUP($A119,EnrollData2324,'2324 Jun 24 Enroll'!AH$1,FALSE),2)</f>
        <v>4774.2</v>
      </c>
      <c r="AB119" s="6">
        <f>ROUND($J119*CIS_Inc_Salary2425*(VLOOKUP($A119,EnrollData2324,'2324 Jun 24 Enroll'!AI$1,FALSE)+VLOOKUP($A119,EnrollData2324,'2324 Jun 24 Enroll'!AJ$1,FALSE)),2)-AA119</f>
        <v>220.82000000000062</v>
      </c>
      <c r="AC119" s="6" cm="1">
        <f t="array" ref="AC119">ROUND($R119*CAS_Base_Salary2425*VLOOKUP($A119,EnrollData2324,'2324 Jun 24 Enroll'!AH$1,FALSE),2)</f>
        <v>516.58000000000004</v>
      </c>
      <c r="AD119" s="6">
        <f>ROUND($R119*CAS_Inc_Salary2425*VLOOKUP($A119,EnrollData2324,'2324 Jun 24 Enroll'!AI$1,FALSE),2)-AC119</f>
        <v>19.110000000000014</v>
      </c>
      <c r="AE119" s="6">
        <f>ROUND($Z119*CLS_Base_Salary2425*VLOOKUP($A119,EnrollData2324,'2324 Jun 24 Enroll'!AH$1,FALSE),2)</f>
        <v>1077.3900000000001</v>
      </c>
      <c r="AF119" s="6">
        <f>ROUND($Z119*CLS_Inc_Salary2425*VLOOKUP($A119,EnrollData2324,'2324 Jun 24 Enroll'!AI$1,FALSE),2)-AE119</f>
        <v>39.8599999999999</v>
      </c>
      <c r="AG119" cm="1">
        <f t="array" ref="AG119">ROUND(($J119+$R119)*Apport_124X2425,2)</f>
        <v>800.45</v>
      </c>
      <c r="AH119" s="69" cm="1">
        <f t="array" ref="AH119">ROUND(($J119+$R119)*Apport_621X2425*Apport_125XC2425,2)-AG119</f>
        <v>73.899999999999977</v>
      </c>
      <c r="AI119" cm="1">
        <f t="array" ref="AI119">ROUND($Z119*Apport_124X2425,2)</f>
        <v>234.7</v>
      </c>
      <c r="AJ119">
        <f t="shared" si="32"/>
        <v>124.71000000000004</v>
      </c>
      <c r="AK119">
        <f t="shared" si="33"/>
        <v>960.28</v>
      </c>
      <c r="AL119">
        <f t="shared" si="34"/>
        <v>42.01</v>
      </c>
      <c r="AM119">
        <f t="shared" si="35"/>
        <v>233.36</v>
      </c>
      <c r="AN119">
        <f t="shared" si="36"/>
        <v>7.24</v>
      </c>
      <c r="AO119">
        <f>ROUND(($J119*CIS_Inc_Salary2425*(VLOOKUP($A119,EnrollData2324,'2324 Jun 24 Enroll'!AI$1,FALSE)+VLOOKUP($A119,EnrollData2324,'2324 Jun 24 Enroll'!AJ$1,FALSE))/Apport_613Xpd)*Apport_614Xpd,2)</f>
        <v>83.25</v>
      </c>
      <c r="AP119">
        <f t="shared" si="37"/>
        <v>14.58</v>
      </c>
      <c r="AQ119">
        <f t="shared" si="38"/>
        <v>31.48</v>
      </c>
      <c r="AR119" s="6">
        <f>ROUND((VLOOKUP($A119,EnrollData2324,'2324 Jun 24 Enroll'!D$1,FALSE)*Apport_M802425+VLOOKUP($A119,EnrollData2324,'2324 Jun 24 Enroll'!M$1,FALSE)*Apport_M802425+(VLOOKUP($A119,EnrollData2324,'2324 Jun 24 Enroll'!P$1,FALSE)+VLOOKUP($A119,EnrollData2324,'2324 Jun 24 Enroll'!Q$1,FALSE)+VLOOKUP($A119,EnrollData2324,'2324 Jun 24 Enroll'!R$1,FALSE)+VLOOKUP($A119,EnrollData2324,'2324 Jun 24 Enroll'!I$1,FALSE)+VLOOKUP($A119,EnrollData2324,'2324 Jun 24 Enroll'!N$1,FALSE)+VLOOKUP($A119,EnrollData2324,'2324 Jun 24 Enroll'!O$1,FALSE)+VLOOKUP($A119,EnrollData2324,'2324 Jun 24 Enroll'!K$1,FALSE)+VLOOKUP($A119,EnrollData2324,'2324 Jun 24 Enroll'!L$1,FALSE))*Apport_M812425)/(VLOOKUP($A119,EnrollData2324,'2324 Jun 24 Enroll'!M$1,FALSE)+VLOOKUP($A119,EnrollData2324,'2324 Jun 24 Enroll'!D$1,FALSE)),2)</f>
        <v>1596.14</v>
      </c>
      <c r="AS119" s="7">
        <f t="shared" si="39"/>
        <v>10850.06</v>
      </c>
    </row>
    <row r="120" spans="1:45">
      <c r="A120" s="40" t="s">
        <v>586</v>
      </c>
      <c r="B120" s="40" t="s">
        <v>587</v>
      </c>
      <c r="C120" s="11">
        <f>ROUND((IFERROR((1/IF(VLOOKUP($A120,EnrollData2324,28,FALSE)='District Calculations'!$F$10,VLOOKUP($A120,EnrollData2324,28,FALSE),'District Calculations'!$F$10))*(1+Apport_Z315),0))+Apport_201A2425,6)</f>
        <v>7.4580999999999995E-2</v>
      </c>
      <c r="D120">
        <f>ROUND(IF(VLOOKUP($A120,EnrollData2324,'2324 Jun 24 Enroll'!D$1,FALSE)='District Calculations'!$F$11,VLOOKUP($A120,EnrollData2324,'2324 Jun 24 Enroll'!D$1,FALSE),'District Calculations'!$F$11)*C120,3)</f>
        <v>0</v>
      </c>
      <c r="E120">
        <f>ROUND(IF(VLOOKUP($A120,EnrollData2324,'2324 Jun 24 Enroll'!E$1,FALSE)='District Calculations'!$F$12,VLOOKUP($A120,EnrollData2324,'2324 Jun 24 Enroll'!E$1,FALSE),'District Calculations'!$F$12)*C120,3)</f>
        <v>60.447000000000003</v>
      </c>
      <c r="F120">
        <f>ROUND(IF(VLOOKUP($A120,EnrollData2324,'2324 Jun 24 Enroll'!F$1,FALSE)='District Calculations'!$F$13,VLOOKUP($A120,EnrollData2324,'2324 Jun 24 Enroll'!F$1,FALSE),'District Calculations'!$F$13)*Apport_222A2425,3)</f>
        <v>10.337999999999999</v>
      </c>
      <c r="G120">
        <f>ROUND(IF(VLOOKUP($A120,EnrollData2324,'2324 Jun 24 Enroll'!G$1,FALSE)='District Calculations'!$F$14,VLOOKUP($A120,EnrollData2324,'2324 Jun 24 Enroll'!G$1,FALSE),'District Calculations'!$F$14)*Apport_210A2425,3)</f>
        <v>22.92</v>
      </c>
      <c r="H120">
        <f>ROUND(IF(VLOOKUP($A120,EnrollData2324,'2324 Jun 24 Enroll'!H$1,FALSE)='District Calculations'!$F$15,VLOOKUP($A120,EnrollData2324,'2324 Jun 24 Enroll'!H$1,FALSE),'District Calculations'!$F$15)*Apport_213A2425,3)</f>
        <v>23.619</v>
      </c>
      <c r="I120">
        <f>ROUND(IF(VLOOKUP($A120,EnrollData2324,'2324 Jun 24 Enroll'!I$1,FALSE)+VLOOKUP($A120,EnrollData2324,'2324 Jun 24 Enroll'!M$1,FALSE)-VLOOKUP($A120,EnrollData2324,'2324 Jun 24 Enroll'!J$1,FALSE)='District Calculations'!$F$16+'District Calculations'!$F$25-'District Calculations'!$F$17,VLOOKUP($A120,EnrollData2324,'2324 Jun 24 Enroll'!I$1,FALSE)+VLOOKUP($A120,EnrollData2324,'2324 Jun 24 Enroll'!M$1,FALSE)-VLOOKUP($A120,EnrollData2324,'2324 Jun 24 Enroll'!J$1,FALSE),'District Calculations'!$F$16+'District Calculations'!$F$25-'District Calculations'!$F$17)*Apport_216A2425,3)</f>
        <v>59.057000000000002</v>
      </c>
      <c r="J120">
        <f>ROUND(SUM(D120:I120)/(IF(VLOOKUP($A120,EnrollData2324,'2324 Jun 24 Enroll'!M$1,FALSE)='District Calculations'!$F$25,VLOOKUP($A120,EnrollData2324,'2324 Jun 24 Enroll'!M$1,FALSE),'District Calculations'!$F$25)+IF(VLOOKUP($A120,EnrollData2324,'2324 Jun 24 Enroll'!D$1,FALSE)='District Calculations'!$F$11,VLOOKUP($A120,EnrollData2324,'2324 Jun 24 Enroll'!D$1,FALSE),'District Calculations'!$F$11)),5)</f>
        <v>5.6520000000000001E-2</v>
      </c>
      <c r="K120" s="11">
        <f t="shared" si="30"/>
        <v>4.385E-3</v>
      </c>
      <c r="L120">
        <f>ROUND(IF(VLOOKUP($A120,EnrollData2324,'2324 Jun 24 Enroll'!D$1,FALSE)='District Calculations'!$F$11,VLOOKUP($A120,EnrollData2324,'2324 Jun 24 Enroll'!D$1,FALSE),'District Calculations'!$F$11)*K120,3)</f>
        <v>0</v>
      </c>
      <c r="M120">
        <f>ROUND(IF(VLOOKUP($A120,EnrollData2324,'2324 Jun 24 Enroll'!E$1,FALSE)='District Calculations'!$F$12,VLOOKUP($A120,EnrollData2324,'2324 Jun 24 Enroll'!E$1,FALSE),'District Calculations'!$F$12)*K120,3)</f>
        <v>3.5539999999999998</v>
      </c>
      <c r="N120">
        <f>ROUND(IF(VLOOKUP($A120,EnrollData2324,'2324 Jun 24 Enroll'!F$1,FALSE)='District Calculations'!$F$13,VLOOKUP($A120,EnrollData2324,'2324 Jun 24 Enroll'!F$1,FALSE),'District Calculations'!$F$13)*Apport_223A2425,3)</f>
        <v>0.84599999999999997</v>
      </c>
      <c r="O120">
        <f>ROUND(IF(VLOOKUP($A120,EnrollData2324,'2324 Jun 24 Enroll'!G$1,FALSE)='District Calculations'!$F$14,VLOOKUP($A120,EnrollData2324,'2324 Jun 24 Enroll'!G$1,FALSE),'District Calculations'!$F$14)*Apport_211A2425,3)</f>
        <v>1.877</v>
      </c>
      <c r="P120">
        <f>ROUND(IF(VLOOKUP($A120,EnrollData2324,'2324 Jun 24 Enroll'!H$1,FALSE)='District Calculations'!$F$14,VLOOKUP($A120,EnrollData2324,'2324 Jun 24 Enroll'!H$1,FALSE),'District Calculations'!$F$14)*Apport_214A2425,3)</f>
        <v>1.875</v>
      </c>
      <c r="Q120">
        <f>ROUND(IF(VLOOKUP($A120,EnrollData2324,'2324 Jun 24 Enroll'!I$1,FALSE)+VLOOKUP($A120,EnrollData2324,'2324 Jun 24 Enroll'!M$1,FALSE)-VLOOKUP($A120,EnrollData2324,'2324 Jun 24 Enroll'!J$1,FALSE)='District Calculations'!$F$16+'District Calculations'!$F$25-'District Calculations'!$F$17,VLOOKUP($A120,EnrollData2324,'2324 Jun 24 Enroll'!I$1,FALSE)+VLOOKUP($A120,EnrollData2324,'2324 Jun 24 Enroll'!M$1,FALSE)-VLOOKUP($A120,EnrollData2324,'2324 Jun 24 Enroll'!J$1,FALSE),'District Calculations'!$F$16+'District Calculations'!$F$25-'District Calculations'!$F$17)*Apport_217A2425,3)</f>
        <v>4.7130000000000001</v>
      </c>
      <c r="R120">
        <f>ROUND(SUM(L120:Q120)/IF(VLOOKUP($A120,EnrollData2324,'2324 Jun 24 Enroll'!M$1,FALSE)+VLOOKUP($A120,EnrollData2324,'2324 Jun 24 Enroll'!D$1,FALSE)='District Calculations'!$F$25+'District Calculations'!$F$11,VLOOKUP($A120,EnrollData2324,'2324 Jun 24 Enroll'!M$1,FALSE)+VLOOKUP($A120,EnrollData2324,'2324 Jun 24 Enroll'!D$1,FALSE),'District Calculations'!$F$25+'District Calculations'!$F$11),5)</f>
        <v>4.1200000000000004E-3</v>
      </c>
      <c r="S120" s="11">
        <f t="shared" si="31"/>
        <v>1.8734299999999999E-2</v>
      </c>
      <c r="T120">
        <f>ROUND(IF(VLOOKUP($A120,EnrollData2324,'2324 Jun 24 Enroll'!D$1,FALSE)='District Calculations'!$F$11,VLOOKUP($A120,EnrollData2324,'2324 Jun 24 Enroll'!D$1,FALSE),'District Calculations'!$F$11)*S120,3)</f>
        <v>0</v>
      </c>
      <c r="U120">
        <f>ROUND(IF(VLOOKUP($A120,EnrollData2324,'2324 Jun 24 Enroll'!E$1,FALSE)='District Calculations'!$F$12,VLOOKUP($A120,EnrollData2324,'2324 Jun 24 Enroll'!E$1,FALSE),'District Calculations'!$F$12)*S120,3)</f>
        <v>15.183999999999999</v>
      </c>
      <c r="V120">
        <f>ROUND(IF(VLOOKUP($A120,EnrollData2324,'2324 Jun 24 Enroll'!F$1,FALSE)='District Calculations'!$F$13,VLOOKUP($A120,EnrollData2324,'2324 Jun 24 Enroll'!F$1,FALSE),'District Calculations'!$F$13)*Apport_224A2425,3)</f>
        <v>3.7109999999999999</v>
      </c>
      <c r="W120">
        <f>ROUND(IF(VLOOKUP($A120,EnrollData2324,'2324 Jun 24 Enroll'!G$1,FALSE)='District Calculations'!$F$14,VLOOKUP($A120,EnrollData2324,'2324 Jun 24 Enroll'!G$1,FALSE),'District Calculations'!$F$14)*Apport_212A2425,3)</f>
        <v>8.2279999999999998</v>
      </c>
      <c r="X120">
        <f>ROUND(IF(VLOOKUP($A120,EnrollData2324,'2324 Jun 24 Enroll'!H$1,FALSE)='District Calculations'!$F$14,VLOOKUP($A120,EnrollData2324,'2324 Jun 24 Enroll'!H$1,FALSE),'District Calculations'!$F$14)*Apport_215A2425,3)</f>
        <v>8.1180000000000003</v>
      </c>
      <c r="Y120">
        <f>ROUND(IF(VLOOKUP($A120,EnrollData2324,'2324 Jun 24 Enroll'!I$1,FALSE)+VLOOKUP($A120,EnrollData2324,'2324 Jun 24 Enroll'!M$1,FALSE)-VLOOKUP($A120,EnrollData2324,'2324 Jun 24 Enroll'!J$1,FALSE)='District Calculations'!$F$16+'District Calculations'!$F$25-'District Calculations'!$F$17,VLOOKUP($A120,EnrollData2324,'2324 Jun 24 Enroll'!I$1,FALSE)+VLOOKUP($A120,EnrollData2324,'2324 Jun 24 Enroll'!M$1,FALSE)-VLOOKUP($A120,EnrollData2324,'2324 Jun 24 Enroll'!J$1,FALSE),'District Calculations'!$F$16+'District Calculations'!$F$25-'District Calculations'!$F$17)*Apport_218A2425,3)</f>
        <v>20.257999999999999</v>
      </c>
      <c r="Z120">
        <f>ROUND(SUM(T120:Y120)/IF(VLOOKUP($A120,EnrollData2324,'2324 Jun 24 Enroll'!M$1,FALSE)+VLOOKUP($A120,EnrollData2324,'2324 Jun 24 Enroll'!D$1,FALSE)='District Calculations'!$F$25+'District Calculations'!$F$11,VLOOKUP($A120,EnrollData2324,'2324 Jun 24 Enroll'!M$1,FALSE)+VLOOKUP($A120,EnrollData2324,'2324 Jun 24 Enroll'!D$1,FALSE),'District Calculations'!$F$25+'District Calculations'!$F$11),5)</f>
        <v>1.7780000000000001E-2</v>
      </c>
      <c r="AA120" s="6">
        <f>ROUND($J120*CIS_Base_Salary2425*VLOOKUP($A120,EnrollData2324,'2324 Jun 24 Enroll'!AH$1,FALSE),2)</f>
        <v>5029.96</v>
      </c>
      <c r="AB120" s="6">
        <f>ROUND($J120*CIS_Inc_Salary2425*(VLOOKUP($A120,EnrollData2324,'2324 Jun 24 Enroll'!AI$1,FALSE)+VLOOKUP($A120,EnrollData2324,'2324 Jun 24 Enroll'!AJ$1,FALSE)),2)-AA120</f>
        <v>186.07999999999993</v>
      </c>
      <c r="AC120" s="6" cm="1">
        <f t="array" ref="AC120">ROUND($R120*CAS_Base_Salary2425*VLOOKUP($A120,EnrollData2324,'2324 Jun 24 Enroll'!AH$1,FALSE),2)</f>
        <v>544.26</v>
      </c>
      <c r="AD120" s="6">
        <f>ROUND($R120*CAS_Inc_Salary2425*VLOOKUP($A120,EnrollData2324,'2324 Jun 24 Enroll'!AI$1,FALSE),2)-AC120</f>
        <v>20.129999999999995</v>
      </c>
      <c r="AE120" s="6">
        <f>ROUND($Z120*CLS_Base_Salary2425*VLOOKUP($A120,EnrollData2324,'2324 Jun 24 Enroll'!AH$1,FALSE),2)</f>
        <v>1135.0999999999999</v>
      </c>
      <c r="AF120" s="6">
        <f>ROUND($Z120*CLS_Inc_Salary2425*VLOOKUP($A120,EnrollData2324,'2324 Jun 24 Enroll'!AI$1,FALSE),2)-AE120</f>
        <v>42.009999999999991</v>
      </c>
      <c r="AG120" cm="1">
        <f t="array" ref="AG120">ROUND(($J120+$R120)*Apport_124X2425,2)</f>
        <v>800.45</v>
      </c>
      <c r="AH120" s="69" cm="1">
        <f t="array" ref="AH120">ROUND(($J120+$R120)*Apport_621X2425*Apport_125XC2425,2)-AG120</f>
        <v>73.899999999999977</v>
      </c>
      <c r="AI120" cm="1">
        <f t="array" ref="AI120">ROUND($Z120*Apport_124X2425,2)</f>
        <v>234.7</v>
      </c>
      <c r="AJ120">
        <f t="shared" si="32"/>
        <v>124.71000000000004</v>
      </c>
      <c r="AK120">
        <f t="shared" si="33"/>
        <v>1011.72</v>
      </c>
      <c r="AL120">
        <f t="shared" si="34"/>
        <v>36.11</v>
      </c>
      <c r="AM120">
        <f t="shared" si="35"/>
        <v>245.86</v>
      </c>
      <c r="AN120">
        <f t="shared" si="36"/>
        <v>7.63</v>
      </c>
      <c r="AO120">
        <f>ROUND(($J120*CIS_Inc_Salary2425*(VLOOKUP($A120,EnrollData2324,'2324 Jun 24 Enroll'!AI$1,FALSE)+VLOOKUP($A120,EnrollData2324,'2324 Jun 24 Enroll'!AJ$1,FALSE))/Apport_613Xpd)*Apport_614Xpd,2)</f>
        <v>86.93</v>
      </c>
      <c r="AP120">
        <f t="shared" si="37"/>
        <v>15.22</v>
      </c>
      <c r="AQ120">
        <f t="shared" si="38"/>
        <v>31.48</v>
      </c>
      <c r="AR120" s="6">
        <f>ROUND((VLOOKUP($A120,EnrollData2324,'2324 Jun 24 Enroll'!D$1,FALSE)*Apport_M802425+VLOOKUP($A120,EnrollData2324,'2324 Jun 24 Enroll'!M$1,FALSE)*Apport_M802425+(VLOOKUP($A120,EnrollData2324,'2324 Jun 24 Enroll'!P$1,FALSE)+VLOOKUP($A120,EnrollData2324,'2324 Jun 24 Enroll'!Q$1,FALSE)+VLOOKUP($A120,EnrollData2324,'2324 Jun 24 Enroll'!R$1,FALSE)+VLOOKUP($A120,EnrollData2324,'2324 Jun 24 Enroll'!I$1,FALSE)+VLOOKUP($A120,EnrollData2324,'2324 Jun 24 Enroll'!N$1,FALSE)+VLOOKUP($A120,EnrollData2324,'2324 Jun 24 Enroll'!O$1,FALSE)+VLOOKUP($A120,EnrollData2324,'2324 Jun 24 Enroll'!K$1,FALSE)+VLOOKUP($A120,EnrollData2324,'2324 Jun 24 Enroll'!L$1,FALSE))*Apport_M812425)/(VLOOKUP($A120,EnrollData2324,'2324 Jun 24 Enroll'!M$1,FALSE)+VLOOKUP($A120,EnrollData2324,'2324 Jun 24 Enroll'!D$1,FALSE)),2)</f>
        <v>1607.79</v>
      </c>
      <c r="AS120" s="7">
        <f t="shared" si="39"/>
        <v>11234.04</v>
      </c>
    </row>
    <row r="121" spans="1:45">
      <c r="A121" s="40" t="s">
        <v>502</v>
      </c>
      <c r="B121" s="40" t="s">
        <v>503</v>
      </c>
      <c r="C121" s="11">
        <f>ROUND((IFERROR((1/IF(VLOOKUP($A121,EnrollData2324,28,FALSE)='District Calculations'!$F$10,VLOOKUP($A121,EnrollData2324,28,FALSE),'District Calculations'!$F$10))*(1+Apport_Z315),0))+Apport_201A2425,6)</f>
        <v>7.4580999999999995E-2</v>
      </c>
      <c r="D121">
        <f>ROUND(IF(VLOOKUP($A121,EnrollData2324,'2324 Jun 24 Enroll'!D$1,FALSE)='District Calculations'!$F$11,VLOOKUP($A121,EnrollData2324,'2324 Jun 24 Enroll'!D$1,FALSE),'District Calculations'!$F$11)*C121,3)</f>
        <v>0</v>
      </c>
      <c r="E121">
        <f>ROUND(IF(VLOOKUP($A121,EnrollData2324,'2324 Jun 24 Enroll'!E$1,FALSE)='District Calculations'!$F$12,VLOOKUP($A121,EnrollData2324,'2324 Jun 24 Enroll'!E$1,FALSE),'District Calculations'!$F$12)*C121,3)</f>
        <v>60.447000000000003</v>
      </c>
      <c r="F121">
        <f>ROUND(IF(VLOOKUP($A121,EnrollData2324,'2324 Jun 24 Enroll'!F$1,FALSE)='District Calculations'!$F$13,VLOOKUP($A121,EnrollData2324,'2324 Jun 24 Enroll'!F$1,FALSE),'District Calculations'!$F$13)*Apport_222A2425,3)</f>
        <v>10.337999999999999</v>
      </c>
      <c r="G121">
        <f>ROUND(IF(VLOOKUP($A121,EnrollData2324,'2324 Jun 24 Enroll'!G$1,FALSE)='District Calculations'!$F$14,VLOOKUP($A121,EnrollData2324,'2324 Jun 24 Enroll'!G$1,FALSE),'District Calculations'!$F$14)*Apport_210A2425,3)</f>
        <v>22.92</v>
      </c>
      <c r="H121">
        <f>ROUND(IF(VLOOKUP($A121,EnrollData2324,'2324 Jun 24 Enroll'!H$1,FALSE)='District Calculations'!$F$15,VLOOKUP($A121,EnrollData2324,'2324 Jun 24 Enroll'!H$1,FALSE),'District Calculations'!$F$15)*Apport_213A2425,3)</f>
        <v>23.619</v>
      </c>
      <c r="I121">
        <f>ROUND(IF(VLOOKUP($A121,EnrollData2324,'2324 Jun 24 Enroll'!I$1,FALSE)+VLOOKUP($A121,EnrollData2324,'2324 Jun 24 Enroll'!M$1,FALSE)-VLOOKUP($A121,EnrollData2324,'2324 Jun 24 Enroll'!J$1,FALSE)='District Calculations'!$F$16+'District Calculations'!$F$25-'District Calculations'!$F$17,VLOOKUP($A121,EnrollData2324,'2324 Jun 24 Enroll'!I$1,FALSE)+VLOOKUP($A121,EnrollData2324,'2324 Jun 24 Enroll'!M$1,FALSE)-VLOOKUP($A121,EnrollData2324,'2324 Jun 24 Enroll'!J$1,FALSE),'District Calculations'!$F$16+'District Calculations'!$F$25-'District Calculations'!$F$17)*Apport_216A2425,3)</f>
        <v>59.057000000000002</v>
      </c>
      <c r="J121">
        <f>ROUND(SUM(D121:I121)/(IF(VLOOKUP($A121,EnrollData2324,'2324 Jun 24 Enroll'!M$1,FALSE)='District Calculations'!$F$25,VLOOKUP($A121,EnrollData2324,'2324 Jun 24 Enroll'!M$1,FALSE),'District Calculations'!$F$25)+IF(VLOOKUP($A121,EnrollData2324,'2324 Jun 24 Enroll'!D$1,FALSE)='District Calculations'!$F$11,VLOOKUP($A121,EnrollData2324,'2324 Jun 24 Enroll'!D$1,FALSE),'District Calculations'!$F$11)),5)</f>
        <v>5.6520000000000001E-2</v>
      </c>
      <c r="K121" s="11">
        <f t="shared" si="30"/>
        <v>4.385E-3</v>
      </c>
      <c r="L121">
        <f>ROUND(IF(VLOOKUP($A121,EnrollData2324,'2324 Jun 24 Enroll'!D$1,FALSE)='District Calculations'!$F$11,VLOOKUP($A121,EnrollData2324,'2324 Jun 24 Enroll'!D$1,FALSE),'District Calculations'!$F$11)*K121,3)</f>
        <v>0</v>
      </c>
      <c r="M121">
        <f>ROUND(IF(VLOOKUP($A121,EnrollData2324,'2324 Jun 24 Enroll'!E$1,FALSE)='District Calculations'!$F$12,VLOOKUP($A121,EnrollData2324,'2324 Jun 24 Enroll'!E$1,FALSE),'District Calculations'!$F$12)*K121,3)</f>
        <v>3.5539999999999998</v>
      </c>
      <c r="N121">
        <f>ROUND(IF(VLOOKUP($A121,EnrollData2324,'2324 Jun 24 Enroll'!F$1,FALSE)='District Calculations'!$F$13,VLOOKUP($A121,EnrollData2324,'2324 Jun 24 Enroll'!F$1,FALSE),'District Calculations'!$F$13)*Apport_223A2425,3)</f>
        <v>0.84599999999999997</v>
      </c>
      <c r="O121">
        <f>ROUND(IF(VLOOKUP($A121,EnrollData2324,'2324 Jun 24 Enroll'!G$1,FALSE)='District Calculations'!$F$14,VLOOKUP($A121,EnrollData2324,'2324 Jun 24 Enroll'!G$1,FALSE),'District Calculations'!$F$14)*Apport_211A2425,3)</f>
        <v>1.877</v>
      </c>
      <c r="P121">
        <f>ROUND(IF(VLOOKUP($A121,EnrollData2324,'2324 Jun 24 Enroll'!H$1,FALSE)='District Calculations'!$F$14,VLOOKUP($A121,EnrollData2324,'2324 Jun 24 Enroll'!H$1,FALSE),'District Calculations'!$F$14)*Apport_214A2425,3)</f>
        <v>1.875</v>
      </c>
      <c r="Q121">
        <f>ROUND(IF(VLOOKUP($A121,EnrollData2324,'2324 Jun 24 Enroll'!I$1,FALSE)+VLOOKUP($A121,EnrollData2324,'2324 Jun 24 Enroll'!M$1,FALSE)-VLOOKUP($A121,EnrollData2324,'2324 Jun 24 Enroll'!J$1,FALSE)='District Calculations'!$F$16+'District Calculations'!$F$25-'District Calculations'!$F$17,VLOOKUP($A121,EnrollData2324,'2324 Jun 24 Enroll'!I$1,FALSE)+VLOOKUP($A121,EnrollData2324,'2324 Jun 24 Enroll'!M$1,FALSE)-VLOOKUP($A121,EnrollData2324,'2324 Jun 24 Enroll'!J$1,FALSE),'District Calculations'!$F$16+'District Calculations'!$F$25-'District Calculations'!$F$17)*Apport_217A2425,3)</f>
        <v>4.7130000000000001</v>
      </c>
      <c r="R121">
        <f>ROUND(SUM(L121:Q121)/IF(VLOOKUP($A121,EnrollData2324,'2324 Jun 24 Enroll'!M$1,FALSE)+VLOOKUP($A121,EnrollData2324,'2324 Jun 24 Enroll'!D$1,FALSE)='District Calculations'!$F$25+'District Calculations'!$F$11,VLOOKUP($A121,EnrollData2324,'2324 Jun 24 Enroll'!M$1,FALSE)+VLOOKUP($A121,EnrollData2324,'2324 Jun 24 Enroll'!D$1,FALSE),'District Calculations'!$F$25+'District Calculations'!$F$11),5)</f>
        <v>4.1200000000000004E-3</v>
      </c>
      <c r="S121" s="11">
        <f t="shared" si="31"/>
        <v>1.8734299999999999E-2</v>
      </c>
      <c r="T121">
        <f>ROUND(IF(VLOOKUP($A121,EnrollData2324,'2324 Jun 24 Enroll'!D$1,FALSE)='District Calculations'!$F$11,VLOOKUP($A121,EnrollData2324,'2324 Jun 24 Enroll'!D$1,FALSE),'District Calculations'!$F$11)*S121,3)</f>
        <v>0</v>
      </c>
      <c r="U121">
        <f>ROUND(IF(VLOOKUP($A121,EnrollData2324,'2324 Jun 24 Enroll'!E$1,FALSE)='District Calculations'!$F$12,VLOOKUP($A121,EnrollData2324,'2324 Jun 24 Enroll'!E$1,FALSE),'District Calculations'!$F$12)*S121,3)</f>
        <v>15.183999999999999</v>
      </c>
      <c r="V121">
        <f>ROUND(IF(VLOOKUP($A121,EnrollData2324,'2324 Jun 24 Enroll'!F$1,FALSE)='District Calculations'!$F$13,VLOOKUP($A121,EnrollData2324,'2324 Jun 24 Enroll'!F$1,FALSE),'District Calculations'!$F$13)*Apport_224A2425,3)</f>
        <v>3.7109999999999999</v>
      </c>
      <c r="W121">
        <f>ROUND(IF(VLOOKUP($A121,EnrollData2324,'2324 Jun 24 Enroll'!G$1,FALSE)='District Calculations'!$F$14,VLOOKUP($A121,EnrollData2324,'2324 Jun 24 Enroll'!G$1,FALSE),'District Calculations'!$F$14)*Apport_212A2425,3)</f>
        <v>8.2279999999999998</v>
      </c>
      <c r="X121">
        <f>ROUND(IF(VLOOKUP($A121,EnrollData2324,'2324 Jun 24 Enroll'!H$1,FALSE)='District Calculations'!$F$14,VLOOKUP($A121,EnrollData2324,'2324 Jun 24 Enroll'!H$1,FALSE),'District Calculations'!$F$14)*Apport_215A2425,3)</f>
        <v>8.1180000000000003</v>
      </c>
      <c r="Y121">
        <f>ROUND(IF(VLOOKUP($A121,EnrollData2324,'2324 Jun 24 Enroll'!I$1,FALSE)+VLOOKUP($A121,EnrollData2324,'2324 Jun 24 Enroll'!M$1,FALSE)-VLOOKUP($A121,EnrollData2324,'2324 Jun 24 Enroll'!J$1,FALSE)='District Calculations'!$F$16+'District Calculations'!$F$25-'District Calculations'!$F$17,VLOOKUP($A121,EnrollData2324,'2324 Jun 24 Enroll'!I$1,FALSE)+VLOOKUP($A121,EnrollData2324,'2324 Jun 24 Enroll'!M$1,FALSE)-VLOOKUP($A121,EnrollData2324,'2324 Jun 24 Enroll'!J$1,FALSE),'District Calculations'!$F$16+'District Calculations'!$F$25-'District Calculations'!$F$17)*Apport_218A2425,3)</f>
        <v>20.257999999999999</v>
      </c>
      <c r="Z121">
        <f>ROUND(SUM(T121:Y121)/IF(VLOOKUP($A121,EnrollData2324,'2324 Jun 24 Enroll'!M$1,FALSE)+VLOOKUP($A121,EnrollData2324,'2324 Jun 24 Enroll'!D$1,FALSE)='District Calculations'!$F$25+'District Calculations'!$F$11,VLOOKUP($A121,EnrollData2324,'2324 Jun 24 Enroll'!M$1,FALSE)+VLOOKUP($A121,EnrollData2324,'2324 Jun 24 Enroll'!D$1,FALSE),'District Calculations'!$F$25+'District Calculations'!$F$11),5)</f>
        <v>1.7780000000000001E-2</v>
      </c>
      <c r="AA121" s="6">
        <f>ROUND($J121*CIS_Base_Salary2425*VLOOKUP($A121,EnrollData2324,'2324 Jun 24 Enroll'!AH$1,FALSE),2)</f>
        <v>5029.96</v>
      </c>
      <c r="AB121" s="6">
        <f>ROUND($J121*CIS_Inc_Salary2425*(VLOOKUP($A121,EnrollData2324,'2324 Jun 24 Enroll'!AI$1,FALSE)+VLOOKUP($A121,EnrollData2324,'2324 Jun 24 Enroll'!AJ$1,FALSE)),2)-AA121</f>
        <v>186.07999999999993</v>
      </c>
      <c r="AC121" s="6" cm="1">
        <f t="array" ref="AC121">ROUND($R121*CAS_Base_Salary2425*VLOOKUP($A121,EnrollData2324,'2324 Jun 24 Enroll'!AH$1,FALSE),2)</f>
        <v>544.26</v>
      </c>
      <c r="AD121" s="6">
        <f>ROUND($R121*CAS_Inc_Salary2425*VLOOKUP($A121,EnrollData2324,'2324 Jun 24 Enroll'!AI$1,FALSE),2)-AC121</f>
        <v>20.129999999999995</v>
      </c>
      <c r="AE121" s="6">
        <f>ROUND($Z121*CLS_Base_Salary2425*VLOOKUP($A121,EnrollData2324,'2324 Jun 24 Enroll'!AH$1,FALSE),2)</f>
        <v>1135.0999999999999</v>
      </c>
      <c r="AF121" s="6">
        <f>ROUND($Z121*CLS_Inc_Salary2425*VLOOKUP($A121,EnrollData2324,'2324 Jun 24 Enroll'!AI$1,FALSE),2)-AE121</f>
        <v>42.009999999999991</v>
      </c>
      <c r="AG121" cm="1">
        <f t="array" ref="AG121">ROUND(($J121+$R121)*Apport_124X2425,2)</f>
        <v>800.45</v>
      </c>
      <c r="AH121" s="69" cm="1">
        <f t="array" ref="AH121">ROUND(($J121+$R121)*Apport_621X2425*Apport_125XC2425,2)-AG121</f>
        <v>73.899999999999977</v>
      </c>
      <c r="AI121" cm="1">
        <f t="array" ref="AI121">ROUND($Z121*Apport_124X2425,2)</f>
        <v>234.7</v>
      </c>
      <c r="AJ121">
        <f t="shared" si="32"/>
        <v>124.71000000000004</v>
      </c>
      <c r="AK121">
        <f t="shared" si="33"/>
        <v>1011.72</v>
      </c>
      <c r="AL121">
        <f t="shared" si="34"/>
        <v>36.11</v>
      </c>
      <c r="AM121">
        <f t="shared" si="35"/>
        <v>245.86</v>
      </c>
      <c r="AN121">
        <f t="shared" si="36"/>
        <v>7.63</v>
      </c>
      <c r="AO121">
        <f>ROUND(($J121*CIS_Inc_Salary2425*(VLOOKUP($A121,EnrollData2324,'2324 Jun 24 Enroll'!AI$1,FALSE)+VLOOKUP($A121,EnrollData2324,'2324 Jun 24 Enroll'!AJ$1,FALSE))/Apport_613Xpd)*Apport_614Xpd,2)</f>
        <v>86.93</v>
      </c>
      <c r="AP121">
        <f t="shared" si="37"/>
        <v>15.22</v>
      </c>
      <c r="AQ121">
        <f t="shared" si="38"/>
        <v>31.48</v>
      </c>
      <c r="AR121" s="6">
        <f>ROUND((VLOOKUP($A121,EnrollData2324,'2324 Jun 24 Enroll'!D$1,FALSE)*Apport_M802425+VLOOKUP($A121,EnrollData2324,'2324 Jun 24 Enroll'!M$1,FALSE)*Apport_M802425+(VLOOKUP($A121,EnrollData2324,'2324 Jun 24 Enroll'!P$1,FALSE)+VLOOKUP($A121,EnrollData2324,'2324 Jun 24 Enroll'!Q$1,FALSE)+VLOOKUP($A121,EnrollData2324,'2324 Jun 24 Enroll'!R$1,FALSE)+VLOOKUP($A121,EnrollData2324,'2324 Jun 24 Enroll'!I$1,FALSE)+VLOOKUP($A121,EnrollData2324,'2324 Jun 24 Enroll'!N$1,FALSE)+VLOOKUP($A121,EnrollData2324,'2324 Jun 24 Enroll'!O$1,FALSE)+VLOOKUP($A121,EnrollData2324,'2324 Jun 24 Enroll'!K$1,FALSE)+VLOOKUP($A121,EnrollData2324,'2324 Jun 24 Enroll'!L$1,FALSE))*Apport_M812425)/(VLOOKUP($A121,EnrollData2324,'2324 Jun 24 Enroll'!M$1,FALSE)+VLOOKUP($A121,EnrollData2324,'2324 Jun 24 Enroll'!D$1,FALSE)),2)</f>
        <v>1607.54</v>
      </c>
      <c r="AS121" s="7">
        <f t="shared" si="39"/>
        <v>11233.79</v>
      </c>
    </row>
    <row r="122" spans="1:45">
      <c r="A122" s="40" t="s">
        <v>843</v>
      </c>
      <c r="B122" s="40" t="s">
        <v>844</v>
      </c>
      <c r="C122" s="11">
        <f>ROUND((IFERROR((1/IF(VLOOKUP($A122,EnrollData2324,28,FALSE)='District Calculations'!$F$10,VLOOKUP($A122,EnrollData2324,28,FALSE),'District Calculations'!$F$10))*(1+Apport_Z315),0))+Apport_201A2425,6)</f>
        <v>7.4580999999999995E-2</v>
      </c>
      <c r="D122">
        <f>ROUND(IF(VLOOKUP($A122,EnrollData2324,'2324 Jun 24 Enroll'!D$1,FALSE)='District Calculations'!$F$11,VLOOKUP($A122,EnrollData2324,'2324 Jun 24 Enroll'!D$1,FALSE),'District Calculations'!$F$11)*C122,3)</f>
        <v>0</v>
      </c>
      <c r="E122">
        <f>ROUND(IF(VLOOKUP($A122,EnrollData2324,'2324 Jun 24 Enroll'!E$1,FALSE)='District Calculations'!$F$12,VLOOKUP($A122,EnrollData2324,'2324 Jun 24 Enroll'!E$1,FALSE),'District Calculations'!$F$12)*C122,3)</f>
        <v>60.447000000000003</v>
      </c>
      <c r="F122">
        <f>ROUND(IF(VLOOKUP($A122,EnrollData2324,'2324 Jun 24 Enroll'!F$1,FALSE)='District Calculations'!$F$13,VLOOKUP($A122,EnrollData2324,'2324 Jun 24 Enroll'!F$1,FALSE),'District Calculations'!$F$13)*Apport_222A2425,3)</f>
        <v>10.337999999999999</v>
      </c>
      <c r="G122">
        <f>ROUND(IF(VLOOKUP($A122,EnrollData2324,'2324 Jun 24 Enroll'!G$1,FALSE)='District Calculations'!$F$14,VLOOKUP($A122,EnrollData2324,'2324 Jun 24 Enroll'!G$1,FALSE),'District Calculations'!$F$14)*Apport_210A2425,3)</f>
        <v>22.92</v>
      </c>
      <c r="H122">
        <f>ROUND(IF(VLOOKUP($A122,EnrollData2324,'2324 Jun 24 Enroll'!H$1,FALSE)='District Calculations'!$F$15,VLOOKUP($A122,EnrollData2324,'2324 Jun 24 Enroll'!H$1,FALSE),'District Calculations'!$F$15)*Apport_213A2425,3)</f>
        <v>23.619</v>
      </c>
      <c r="I122">
        <f>ROUND(IF(VLOOKUP($A122,EnrollData2324,'2324 Jun 24 Enroll'!I$1,FALSE)+VLOOKUP($A122,EnrollData2324,'2324 Jun 24 Enroll'!M$1,FALSE)-VLOOKUP($A122,EnrollData2324,'2324 Jun 24 Enroll'!J$1,FALSE)='District Calculations'!$F$16+'District Calculations'!$F$25-'District Calculations'!$F$17,VLOOKUP($A122,EnrollData2324,'2324 Jun 24 Enroll'!I$1,FALSE)+VLOOKUP($A122,EnrollData2324,'2324 Jun 24 Enroll'!M$1,FALSE)-VLOOKUP($A122,EnrollData2324,'2324 Jun 24 Enroll'!J$1,FALSE),'District Calculations'!$F$16+'District Calculations'!$F$25-'District Calculations'!$F$17)*Apport_216A2425,3)</f>
        <v>59.057000000000002</v>
      </c>
      <c r="J122">
        <f>ROUND(SUM(D122:I122)/(IF(VLOOKUP($A122,EnrollData2324,'2324 Jun 24 Enroll'!M$1,FALSE)='District Calculations'!$F$25,VLOOKUP($A122,EnrollData2324,'2324 Jun 24 Enroll'!M$1,FALSE),'District Calculations'!$F$25)+IF(VLOOKUP($A122,EnrollData2324,'2324 Jun 24 Enroll'!D$1,FALSE)='District Calculations'!$F$11,VLOOKUP($A122,EnrollData2324,'2324 Jun 24 Enroll'!D$1,FALSE),'District Calculations'!$F$11)),5)</f>
        <v>5.6520000000000001E-2</v>
      </c>
      <c r="K122" s="11">
        <f t="shared" si="30"/>
        <v>4.385E-3</v>
      </c>
      <c r="L122">
        <f>ROUND(IF(VLOOKUP($A122,EnrollData2324,'2324 Jun 24 Enroll'!D$1,FALSE)='District Calculations'!$F$11,VLOOKUP($A122,EnrollData2324,'2324 Jun 24 Enroll'!D$1,FALSE),'District Calculations'!$F$11)*K122,3)</f>
        <v>0</v>
      </c>
      <c r="M122">
        <f>ROUND(IF(VLOOKUP($A122,EnrollData2324,'2324 Jun 24 Enroll'!E$1,FALSE)='District Calculations'!$F$12,VLOOKUP($A122,EnrollData2324,'2324 Jun 24 Enroll'!E$1,FALSE),'District Calculations'!$F$12)*K122,3)</f>
        <v>3.5539999999999998</v>
      </c>
      <c r="N122">
        <f>ROUND(IF(VLOOKUP($A122,EnrollData2324,'2324 Jun 24 Enroll'!F$1,FALSE)='District Calculations'!$F$13,VLOOKUP($A122,EnrollData2324,'2324 Jun 24 Enroll'!F$1,FALSE),'District Calculations'!$F$13)*Apport_223A2425,3)</f>
        <v>0.84599999999999997</v>
      </c>
      <c r="O122">
        <f>ROUND(IF(VLOOKUP($A122,EnrollData2324,'2324 Jun 24 Enroll'!G$1,FALSE)='District Calculations'!$F$14,VLOOKUP($A122,EnrollData2324,'2324 Jun 24 Enroll'!G$1,FALSE),'District Calculations'!$F$14)*Apport_211A2425,3)</f>
        <v>1.877</v>
      </c>
      <c r="P122">
        <f>ROUND(IF(VLOOKUP($A122,EnrollData2324,'2324 Jun 24 Enroll'!H$1,FALSE)='District Calculations'!$F$14,VLOOKUP($A122,EnrollData2324,'2324 Jun 24 Enroll'!H$1,FALSE),'District Calculations'!$F$14)*Apport_214A2425,3)</f>
        <v>1.875</v>
      </c>
      <c r="Q122">
        <f>ROUND(IF(VLOOKUP($A122,EnrollData2324,'2324 Jun 24 Enroll'!I$1,FALSE)+VLOOKUP($A122,EnrollData2324,'2324 Jun 24 Enroll'!M$1,FALSE)-VLOOKUP($A122,EnrollData2324,'2324 Jun 24 Enroll'!J$1,FALSE)='District Calculations'!$F$16+'District Calculations'!$F$25-'District Calculations'!$F$17,VLOOKUP($A122,EnrollData2324,'2324 Jun 24 Enroll'!I$1,FALSE)+VLOOKUP($A122,EnrollData2324,'2324 Jun 24 Enroll'!M$1,FALSE)-VLOOKUP($A122,EnrollData2324,'2324 Jun 24 Enroll'!J$1,FALSE),'District Calculations'!$F$16+'District Calculations'!$F$25-'District Calculations'!$F$17)*Apport_217A2425,3)</f>
        <v>4.7130000000000001</v>
      </c>
      <c r="R122">
        <f>ROUND(SUM(L122:Q122)/IF(VLOOKUP($A122,EnrollData2324,'2324 Jun 24 Enroll'!M$1,FALSE)+VLOOKUP($A122,EnrollData2324,'2324 Jun 24 Enroll'!D$1,FALSE)='District Calculations'!$F$25+'District Calculations'!$F$11,VLOOKUP($A122,EnrollData2324,'2324 Jun 24 Enroll'!M$1,FALSE)+VLOOKUP($A122,EnrollData2324,'2324 Jun 24 Enroll'!D$1,FALSE),'District Calculations'!$F$25+'District Calculations'!$F$11),5)</f>
        <v>4.1200000000000004E-3</v>
      </c>
      <c r="S122" s="11">
        <f t="shared" si="31"/>
        <v>1.8734299999999999E-2</v>
      </c>
      <c r="T122">
        <f>ROUND(IF(VLOOKUP($A122,EnrollData2324,'2324 Jun 24 Enroll'!D$1,FALSE)='District Calculations'!$F$11,VLOOKUP($A122,EnrollData2324,'2324 Jun 24 Enroll'!D$1,FALSE),'District Calculations'!$F$11)*S122,3)</f>
        <v>0</v>
      </c>
      <c r="U122">
        <f>ROUND(IF(VLOOKUP($A122,EnrollData2324,'2324 Jun 24 Enroll'!E$1,FALSE)='District Calculations'!$F$12,VLOOKUP($A122,EnrollData2324,'2324 Jun 24 Enroll'!E$1,FALSE),'District Calculations'!$F$12)*S122,3)</f>
        <v>15.183999999999999</v>
      </c>
      <c r="V122">
        <f>ROUND(IF(VLOOKUP($A122,EnrollData2324,'2324 Jun 24 Enroll'!F$1,FALSE)='District Calculations'!$F$13,VLOOKUP($A122,EnrollData2324,'2324 Jun 24 Enroll'!F$1,FALSE),'District Calculations'!$F$13)*Apport_224A2425,3)</f>
        <v>3.7109999999999999</v>
      </c>
      <c r="W122">
        <f>ROUND(IF(VLOOKUP($A122,EnrollData2324,'2324 Jun 24 Enroll'!G$1,FALSE)='District Calculations'!$F$14,VLOOKUP($A122,EnrollData2324,'2324 Jun 24 Enroll'!G$1,FALSE),'District Calculations'!$F$14)*Apport_212A2425,3)</f>
        <v>8.2279999999999998</v>
      </c>
      <c r="X122">
        <f>ROUND(IF(VLOOKUP($A122,EnrollData2324,'2324 Jun 24 Enroll'!H$1,FALSE)='District Calculations'!$F$14,VLOOKUP($A122,EnrollData2324,'2324 Jun 24 Enroll'!H$1,FALSE),'District Calculations'!$F$14)*Apport_215A2425,3)</f>
        <v>8.1180000000000003</v>
      </c>
      <c r="Y122">
        <f>ROUND(IF(VLOOKUP($A122,EnrollData2324,'2324 Jun 24 Enroll'!I$1,FALSE)+VLOOKUP($A122,EnrollData2324,'2324 Jun 24 Enroll'!M$1,FALSE)-VLOOKUP($A122,EnrollData2324,'2324 Jun 24 Enroll'!J$1,FALSE)='District Calculations'!$F$16+'District Calculations'!$F$25-'District Calculations'!$F$17,VLOOKUP($A122,EnrollData2324,'2324 Jun 24 Enroll'!I$1,FALSE)+VLOOKUP($A122,EnrollData2324,'2324 Jun 24 Enroll'!M$1,FALSE)-VLOOKUP($A122,EnrollData2324,'2324 Jun 24 Enroll'!J$1,FALSE),'District Calculations'!$F$16+'District Calculations'!$F$25-'District Calculations'!$F$17)*Apport_218A2425,3)</f>
        <v>20.257999999999999</v>
      </c>
      <c r="Z122">
        <f>ROUND(SUM(T122:Y122)/IF(VLOOKUP($A122,EnrollData2324,'2324 Jun 24 Enroll'!M$1,FALSE)+VLOOKUP($A122,EnrollData2324,'2324 Jun 24 Enroll'!D$1,FALSE)='District Calculations'!$F$25+'District Calculations'!$F$11,VLOOKUP($A122,EnrollData2324,'2324 Jun 24 Enroll'!M$1,FALSE)+VLOOKUP($A122,EnrollData2324,'2324 Jun 24 Enroll'!D$1,FALSE),'District Calculations'!$F$25+'District Calculations'!$F$11),5)</f>
        <v>1.7780000000000001E-2</v>
      </c>
      <c r="AA122" s="6">
        <f>ROUND($J122*CIS_Base_Salary2425*VLOOKUP($A122,EnrollData2324,'2324 Jun 24 Enroll'!AH$1,FALSE),2)</f>
        <v>4774.2</v>
      </c>
      <c r="AB122" s="6">
        <f>ROUND($J122*CIS_Inc_Salary2425*(VLOOKUP($A122,EnrollData2324,'2324 Jun 24 Enroll'!AI$1,FALSE)+VLOOKUP($A122,EnrollData2324,'2324 Jun 24 Enroll'!AJ$1,FALSE)),2)-AA122</f>
        <v>353.43000000000029</v>
      </c>
      <c r="AC122" s="6" cm="1">
        <f t="array" ref="AC122">ROUND($R122*CAS_Base_Salary2425*VLOOKUP($A122,EnrollData2324,'2324 Jun 24 Enroll'!AH$1,FALSE),2)</f>
        <v>516.58000000000004</v>
      </c>
      <c r="AD122" s="6">
        <f>ROUND($R122*CAS_Inc_Salary2425*VLOOKUP($A122,EnrollData2324,'2324 Jun 24 Enroll'!AI$1,FALSE),2)-AC122</f>
        <v>19.110000000000014</v>
      </c>
      <c r="AE122" s="6">
        <f>ROUND($Z122*CLS_Base_Salary2425*VLOOKUP($A122,EnrollData2324,'2324 Jun 24 Enroll'!AH$1,FALSE),2)</f>
        <v>1077.3900000000001</v>
      </c>
      <c r="AF122" s="6">
        <f>ROUND($Z122*CLS_Inc_Salary2425*VLOOKUP($A122,EnrollData2324,'2324 Jun 24 Enroll'!AI$1,FALSE),2)-AE122</f>
        <v>39.8599999999999</v>
      </c>
      <c r="AG122" cm="1">
        <f t="array" ref="AG122">ROUND(($J122+$R122)*Apport_124X2425,2)</f>
        <v>800.45</v>
      </c>
      <c r="AH122" s="69" cm="1">
        <f t="array" ref="AH122">ROUND(($J122+$R122)*Apport_621X2425*Apport_125XC2425,2)-AG122</f>
        <v>73.899999999999977</v>
      </c>
      <c r="AI122" cm="1">
        <f t="array" ref="AI122">ROUND($Z122*Apport_124X2425,2)</f>
        <v>234.7</v>
      </c>
      <c r="AJ122">
        <f t="shared" si="32"/>
        <v>124.71000000000004</v>
      </c>
      <c r="AK122">
        <f t="shared" si="33"/>
        <v>960.28</v>
      </c>
      <c r="AL122">
        <f t="shared" si="34"/>
        <v>65.23</v>
      </c>
      <c r="AM122">
        <f t="shared" si="35"/>
        <v>233.36</v>
      </c>
      <c r="AN122">
        <f t="shared" si="36"/>
        <v>7.24</v>
      </c>
      <c r="AO122">
        <f>ROUND(($J122*CIS_Inc_Salary2425*(VLOOKUP($A122,EnrollData2324,'2324 Jun 24 Enroll'!AI$1,FALSE)+VLOOKUP($A122,EnrollData2324,'2324 Jun 24 Enroll'!AJ$1,FALSE))/Apport_613Xpd)*Apport_614Xpd,2)</f>
        <v>85.46</v>
      </c>
      <c r="AP122">
        <f t="shared" si="37"/>
        <v>14.96</v>
      </c>
      <c r="AQ122">
        <f t="shared" si="38"/>
        <v>31.48</v>
      </c>
      <c r="AR122" s="6">
        <f>ROUND((VLOOKUP($A122,EnrollData2324,'2324 Jun 24 Enroll'!D$1,FALSE)*Apport_M802425+VLOOKUP($A122,EnrollData2324,'2324 Jun 24 Enroll'!M$1,FALSE)*Apport_M802425+(VLOOKUP($A122,EnrollData2324,'2324 Jun 24 Enroll'!P$1,FALSE)+VLOOKUP($A122,EnrollData2324,'2324 Jun 24 Enroll'!Q$1,FALSE)+VLOOKUP($A122,EnrollData2324,'2324 Jun 24 Enroll'!R$1,FALSE)+VLOOKUP($A122,EnrollData2324,'2324 Jun 24 Enroll'!I$1,FALSE)+VLOOKUP($A122,EnrollData2324,'2324 Jun 24 Enroll'!N$1,FALSE)+VLOOKUP($A122,EnrollData2324,'2324 Jun 24 Enroll'!O$1,FALSE)+VLOOKUP($A122,EnrollData2324,'2324 Jun 24 Enroll'!K$1,FALSE)+VLOOKUP($A122,EnrollData2324,'2324 Jun 24 Enroll'!L$1,FALSE))*Apport_M812425)/(VLOOKUP($A122,EnrollData2324,'2324 Jun 24 Enroll'!M$1,FALSE)+VLOOKUP($A122,EnrollData2324,'2324 Jun 24 Enroll'!D$1,FALSE)),2)</f>
        <v>1622.59</v>
      </c>
      <c r="AS122" s="7">
        <f t="shared" si="39"/>
        <v>11034.929999999997</v>
      </c>
    </row>
    <row r="123" spans="1:45">
      <c r="A123" s="40" t="s">
        <v>721</v>
      </c>
      <c r="B123" s="40" t="s">
        <v>722</v>
      </c>
      <c r="C123" s="11">
        <f>ROUND((IFERROR((1/IF(VLOOKUP($A123,EnrollData2324,28,FALSE)='District Calculations'!$F$10,VLOOKUP($A123,EnrollData2324,28,FALSE),'District Calculations'!$F$10))*(1+Apport_Z315),0))+Apport_201A2425,6)</f>
        <v>7.4580999999999995E-2</v>
      </c>
      <c r="D123">
        <f>ROUND(IF(VLOOKUP($A123,EnrollData2324,'2324 Jun 24 Enroll'!D$1,FALSE)='District Calculations'!$F$11,VLOOKUP($A123,EnrollData2324,'2324 Jun 24 Enroll'!D$1,FALSE),'District Calculations'!$F$11)*C123,3)</f>
        <v>0</v>
      </c>
      <c r="E123">
        <f>ROUND(IF(VLOOKUP($A123,EnrollData2324,'2324 Jun 24 Enroll'!E$1,FALSE)='District Calculations'!$F$12,VLOOKUP($A123,EnrollData2324,'2324 Jun 24 Enroll'!E$1,FALSE),'District Calculations'!$F$12)*C123,3)</f>
        <v>60.447000000000003</v>
      </c>
      <c r="F123">
        <f>ROUND(IF(VLOOKUP($A123,EnrollData2324,'2324 Jun 24 Enroll'!F$1,FALSE)='District Calculations'!$F$13,VLOOKUP($A123,EnrollData2324,'2324 Jun 24 Enroll'!F$1,FALSE),'District Calculations'!$F$13)*Apport_222A2425,3)</f>
        <v>10.337999999999999</v>
      </c>
      <c r="G123">
        <f>ROUND(IF(VLOOKUP($A123,EnrollData2324,'2324 Jun 24 Enroll'!G$1,FALSE)='District Calculations'!$F$14,VLOOKUP($A123,EnrollData2324,'2324 Jun 24 Enroll'!G$1,FALSE),'District Calculations'!$F$14)*Apport_210A2425,3)</f>
        <v>22.92</v>
      </c>
      <c r="H123">
        <f>ROUND(IF(VLOOKUP($A123,EnrollData2324,'2324 Jun 24 Enroll'!H$1,FALSE)='District Calculations'!$F$15,VLOOKUP($A123,EnrollData2324,'2324 Jun 24 Enroll'!H$1,FALSE),'District Calculations'!$F$15)*Apport_213A2425,3)</f>
        <v>23.619</v>
      </c>
      <c r="I123">
        <f>ROUND(IF(VLOOKUP($A123,EnrollData2324,'2324 Jun 24 Enroll'!I$1,FALSE)+VLOOKUP($A123,EnrollData2324,'2324 Jun 24 Enroll'!M$1,FALSE)-VLOOKUP($A123,EnrollData2324,'2324 Jun 24 Enroll'!J$1,FALSE)='District Calculations'!$F$16+'District Calculations'!$F$25-'District Calculations'!$F$17,VLOOKUP($A123,EnrollData2324,'2324 Jun 24 Enroll'!I$1,FALSE)+VLOOKUP($A123,EnrollData2324,'2324 Jun 24 Enroll'!M$1,FALSE)-VLOOKUP($A123,EnrollData2324,'2324 Jun 24 Enroll'!J$1,FALSE),'District Calculations'!$F$16+'District Calculations'!$F$25-'District Calculations'!$F$17)*Apport_216A2425,3)</f>
        <v>59.057000000000002</v>
      </c>
      <c r="J123">
        <f>ROUND(SUM(D123:I123)/(IF(VLOOKUP($A123,EnrollData2324,'2324 Jun 24 Enroll'!M$1,FALSE)='District Calculations'!$F$25,VLOOKUP($A123,EnrollData2324,'2324 Jun 24 Enroll'!M$1,FALSE),'District Calculations'!$F$25)+IF(VLOOKUP($A123,EnrollData2324,'2324 Jun 24 Enroll'!D$1,FALSE)='District Calculations'!$F$11,VLOOKUP($A123,EnrollData2324,'2324 Jun 24 Enroll'!D$1,FALSE),'District Calculations'!$F$11)),5)</f>
        <v>5.6520000000000001E-2</v>
      </c>
      <c r="K123" s="11">
        <f t="shared" si="30"/>
        <v>4.385E-3</v>
      </c>
      <c r="L123">
        <f>ROUND(IF(VLOOKUP($A123,EnrollData2324,'2324 Jun 24 Enroll'!D$1,FALSE)='District Calculations'!$F$11,VLOOKUP($A123,EnrollData2324,'2324 Jun 24 Enroll'!D$1,FALSE),'District Calculations'!$F$11)*K123,3)</f>
        <v>0</v>
      </c>
      <c r="M123">
        <f>ROUND(IF(VLOOKUP($A123,EnrollData2324,'2324 Jun 24 Enroll'!E$1,FALSE)='District Calculations'!$F$12,VLOOKUP($A123,EnrollData2324,'2324 Jun 24 Enroll'!E$1,FALSE),'District Calculations'!$F$12)*K123,3)</f>
        <v>3.5539999999999998</v>
      </c>
      <c r="N123">
        <f>ROUND(IF(VLOOKUP($A123,EnrollData2324,'2324 Jun 24 Enroll'!F$1,FALSE)='District Calculations'!$F$13,VLOOKUP($A123,EnrollData2324,'2324 Jun 24 Enroll'!F$1,FALSE),'District Calculations'!$F$13)*Apport_223A2425,3)</f>
        <v>0.84599999999999997</v>
      </c>
      <c r="O123">
        <f>ROUND(IF(VLOOKUP($A123,EnrollData2324,'2324 Jun 24 Enroll'!G$1,FALSE)='District Calculations'!$F$14,VLOOKUP($A123,EnrollData2324,'2324 Jun 24 Enroll'!G$1,FALSE),'District Calculations'!$F$14)*Apport_211A2425,3)</f>
        <v>1.877</v>
      </c>
      <c r="P123">
        <f>ROUND(IF(VLOOKUP($A123,EnrollData2324,'2324 Jun 24 Enroll'!H$1,FALSE)='District Calculations'!$F$14,VLOOKUP($A123,EnrollData2324,'2324 Jun 24 Enroll'!H$1,FALSE),'District Calculations'!$F$14)*Apport_214A2425,3)</f>
        <v>1.875</v>
      </c>
      <c r="Q123">
        <f>ROUND(IF(VLOOKUP($A123,EnrollData2324,'2324 Jun 24 Enroll'!I$1,FALSE)+VLOOKUP($A123,EnrollData2324,'2324 Jun 24 Enroll'!M$1,FALSE)-VLOOKUP($A123,EnrollData2324,'2324 Jun 24 Enroll'!J$1,FALSE)='District Calculations'!$F$16+'District Calculations'!$F$25-'District Calculations'!$F$17,VLOOKUP($A123,EnrollData2324,'2324 Jun 24 Enroll'!I$1,FALSE)+VLOOKUP($A123,EnrollData2324,'2324 Jun 24 Enroll'!M$1,FALSE)-VLOOKUP($A123,EnrollData2324,'2324 Jun 24 Enroll'!J$1,FALSE),'District Calculations'!$F$16+'District Calculations'!$F$25-'District Calculations'!$F$17)*Apport_217A2425,3)</f>
        <v>4.7130000000000001</v>
      </c>
      <c r="R123">
        <f>ROUND(SUM(L123:Q123)/IF(VLOOKUP($A123,EnrollData2324,'2324 Jun 24 Enroll'!M$1,FALSE)+VLOOKUP($A123,EnrollData2324,'2324 Jun 24 Enroll'!D$1,FALSE)='District Calculations'!$F$25+'District Calculations'!$F$11,VLOOKUP($A123,EnrollData2324,'2324 Jun 24 Enroll'!M$1,FALSE)+VLOOKUP($A123,EnrollData2324,'2324 Jun 24 Enroll'!D$1,FALSE),'District Calculations'!$F$25+'District Calculations'!$F$11),5)</f>
        <v>4.1200000000000004E-3</v>
      </c>
      <c r="S123" s="11">
        <f t="shared" si="31"/>
        <v>1.8734299999999999E-2</v>
      </c>
      <c r="T123">
        <f>ROUND(IF(VLOOKUP($A123,EnrollData2324,'2324 Jun 24 Enroll'!D$1,FALSE)='District Calculations'!$F$11,VLOOKUP($A123,EnrollData2324,'2324 Jun 24 Enroll'!D$1,FALSE),'District Calculations'!$F$11)*S123,3)</f>
        <v>0</v>
      </c>
      <c r="U123">
        <f>ROUND(IF(VLOOKUP($A123,EnrollData2324,'2324 Jun 24 Enroll'!E$1,FALSE)='District Calculations'!$F$12,VLOOKUP($A123,EnrollData2324,'2324 Jun 24 Enroll'!E$1,FALSE),'District Calculations'!$F$12)*S123,3)</f>
        <v>15.183999999999999</v>
      </c>
      <c r="V123">
        <f>ROUND(IF(VLOOKUP($A123,EnrollData2324,'2324 Jun 24 Enroll'!F$1,FALSE)='District Calculations'!$F$13,VLOOKUP($A123,EnrollData2324,'2324 Jun 24 Enroll'!F$1,FALSE),'District Calculations'!$F$13)*Apport_224A2425,3)</f>
        <v>3.7109999999999999</v>
      </c>
      <c r="W123">
        <f>ROUND(IF(VLOOKUP($A123,EnrollData2324,'2324 Jun 24 Enroll'!G$1,FALSE)='District Calculations'!$F$14,VLOOKUP($A123,EnrollData2324,'2324 Jun 24 Enroll'!G$1,FALSE),'District Calculations'!$F$14)*Apport_212A2425,3)</f>
        <v>8.2279999999999998</v>
      </c>
      <c r="X123">
        <f>ROUND(IF(VLOOKUP($A123,EnrollData2324,'2324 Jun 24 Enroll'!H$1,FALSE)='District Calculations'!$F$14,VLOOKUP($A123,EnrollData2324,'2324 Jun 24 Enroll'!H$1,FALSE),'District Calculations'!$F$14)*Apport_215A2425,3)</f>
        <v>8.1180000000000003</v>
      </c>
      <c r="Y123">
        <f>ROUND(IF(VLOOKUP($A123,EnrollData2324,'2324 Jun 24 Enroll'!I$1,FALSE)+VLOOKUP($A123,EnrollData2324,'2324 Jun 24 Enroll'!M$1,FALSE)-VLOOKUP($A123,EnrollData2324,'2324 Jun 24 Enroll'!J$1,FALSE)='District Calculations'!$F$16+'District Calculations'!$F$25-'District Calculations'!$F$17,VLOOKUP($A123,EnrollData2324,'2324 Jun 24 Enroll'!I$1,FALSE)+VLOOKUP($A123,EnrollData2324,'2324 Jun 24 Enroll'!M$1,FALSE)-VLOOKUP($A123,EnrollData2324,'2324 Jun 24 Enroll'!J$1,FALSE),'District Calculations'!$F$16+'District Calculations'!$F$25-'District Calculations'!$F$17)*Apport_218A2425,3)</f>
        <v>20.257999999999999</v>
      </c>
      <c r="Z123">
        <f>ROUND(SUM(T123:Y123)/IF(VLOOKUP($A123,EnrollData2324,'2324 Jun 24 Enroll'!M$1,FALSE)+VLOOKUP($A123,EnrollData2324,'2324 Jun 24 Enroll'!D$1,FALSE)='District Calculations'!$F$25+'District Calculations'!$F$11,VLOOKUP($A123,EnrollData2324,'2324 Jun 24 Enroll'!M$1,FALSE)+VLOOKUP($A123,EnrollData2324,'2324 Jun 24 Enroll'!D$1,FALSE),'District Calculations'!$F$25+'District Calculations'!$F$11),5)</f>
        <v>1.7780000000000001E-2</v>
      </c>
      <c r="AA123" s="6">
        <f>ROUND($J123*CIS_Base_Salary2425*VLOOKUP($A123,EnrollData2324,'2324 Jun 24 Enroll'!AH$1,FALSE),2)</f>
        <v>5029.96</v>
      </c>
      <c r="AB123" s="6">
        <f>ROUND($J123*CIS_Inc_Salary2425*(VLOOKUP($A123,EnrollData2324,'2324 Jun 24 Enroll'!AI$1,FALSE)+VLOOKUP($A123,EnrollData2324,'2324 Jun 24 Enroll'!AJ$1,FALSE)),2)-AA123</f>
        <v>186.07999999999993</v>
      </c>
      <c r="AC123" s="6" cm="1">
        <f t="array" ref="AC123">ROUND($R123*CAS_Base_Salary2425*VLOOKUP($A123,EnrollData2324,'2324 Jun 24 Enroll'!AH$1,FALSE),2)</f>
        <v>544.26</v>
      </c>
      <c r="AD123" s="6">
        <f>ROUND($R123*CAS_Inc_Salary2425*VLOOKUP($A123,EnrollData2324,'2324 Jun 24 Enroll'!AI$1,FALSE),2)-AC123</f>
        <v>20.129999999999995</v>
      </c>
      <c r="AE123" s="6">
        <f>ROUND($Z123*CLS_Base_Salary2425*VLOOKUP($A123,EnrollData2324,'2324 Jun 24 Enroll'!AH$1,FALSE),2)</f>
        <v>1135.0999999999999</v>
      </c>
      <c r="AF123" s="6">
        <f>ROUND($Z123*CLS_Inc_Salary2425*VLOOKUP($A123,EnrollData2324,'2324 Jun 24 Enroll'!AI$1,FALSE),2)-AE123</f>
        <v>42.009999999999991</v>
      </c>
      <c r="AG123" cm="1">
        <f t="array" ref="AG123">ROUND(($J123+$R123)*Apport_124X2425,2)</f>
        <v>800.45</v>
      </c>
      <c r="AH123" s="69" cm="1">
        <f t="array" ref="AH123">ROUND(($J123+$R123)*Apport_621X2425*Apport_125XC2425,2)-AG123</f>
        <v>73.899999999999977</v>
      </c>
      <c r="AI123" cm="1">
        <f t="array" ref="AI123">ROUND($Z123*Apport_124X2425,2)</f>
        <v>234.7</v>
      </c>
      <c r="AJ123">
        <f t="shared" si="32"/>
        <v>124.71000000000004</v>
      </c>
      <c r="AK123">
        <f t="shared" si="33"/>
        <v>1011.72</v>
      </c>
      <c r="AL123">
        <f t="shared" si="34"/>
        <v>36.11</v>
      </c>
      <c r="AM123">
        <f t="shared" si="35"/>
        <v>245.86</v>
      </c>
      <c r="AN123">
        <f t="shared" si="36"/>
        <v>7.63</v>
      </c>
      <c r="AO123">
        <f>ROUND(($J123*CIS_Inc_Salary2425*(VLOOKUP($A123,EnrollData2324,'2324 Jun 24 Enroll'!AI$1,FALSE)+VLOOKUP($A123,EnrollData2324,'2324 Jun 24 Enroll'!AJ$1,FALSE))/Apport_613Xpd)*Apport_614Xpd,2)</f>
        <v>86.93</v>
      </c>
      <c r="AP123">
        <f t="shared" si="37"/>
        <v>15.22</v>
      </c>
      <c r="AQ123">
        <f t="shared" si="38"/>
        <v>31.48</v>
      </c>
      <c r="AR123" s="6">
        <f>ROUND((VLOOKUP($A123,EnrollData2324,'2324 Jun 24 Enroll'!D$1,FALSE)*Apport_M802425+VLOOKUP($A123,EnrollData2324,'2324 Jun 24 Enroll'!M$1,FALSE)*Apport_M802425+(VLOOKUP($A123,EnrollData2324,'2324 Jun 24 Enroll'!P$1,FALSE)+VLOOKUP($A123,EnrollData2324,'2324 Jun 24 Enroll'!Q$1,FALSE)+VLOOKUP($A123,EnrollData2324,'2324 Jun 24 Enroll'!R$1,FALSE)+VLOOKUP($A123,EnrollData2324,'2324 Jun 24 Enroll'!I$1,FALSE)+VLOOKUP($A123,EnrollData2324,'2324 Jun 24 Enroll'!N$1,FALSE)+VLOOKUP($A123,EnrollData2324,'2324 Jun 24 Enroll'!O$1,FALSE)+VLOOKUP($A123,EnrollData2324,'2324 Jun 24 Enroll'!K$1,FALSE)+VLOOKUP($A123,EnrollData2324,'2324 Jun 24 Enroll'!L$1,FALSE))*Apport_M812425)/(VLOOKUP($A123,EnrollData2324,'2324 Jun 24 Enroll'!M$1,FALSE)+VLOOKUP($A123,EnrollData2324,'2324 Jun 24 Enroll'!D$1,FALSE)),2)</f>
        <v>1599.09</v>
      </c>
      <c r="AS123" s="7">
        <f t="shared" si="39"/>
        <v>11225.34</v>
      </c>
    </row>
    <row r="124" spans="1:45">
      <c r="A124" s="40" t="s">
        <v>765</v>
      </c>
      <c r="B124" s="40" t="s">
        <v>766</v>
      </c>
      <c r="C124" s="11">
        <f>ROUND((IFERROR((1/IF(VLOOKUP($A124,EnrollData2324,28,FALSE)='District Calculations'!$F$10,VLOOKUP($A124,EnrollData2324,28,FALSE),'District Calculations'!$F$10))*(1+Apport_Z315),0))+Apport_201A2425,6)</f>
        <v>7.4580999999999995E-2</v>
      </c>
      <c r="D124">
        <f>ROUND(IF(VLOOKUP($A124,EnrollData2324,'2324 Jun 24 Enroll'!D$1,FALSE)='District Calculations'!$F$11,VLOOKUP($A124,EnrollData2324,'2324 Jun 24 Enroll'!D$1,FALSE),'District Calculations'!$F$11)*C124,3)</f>
        <v>0</v>
      </c>
      <c r="E124">
        <f>ROUND(IF(VLOOKUP($A124,EnrollData2324,'2324 Jun 24 Enroll'!E$1,FALSE)='District Calculations'!$F$12,VLOOKUP($A124,EnrollData2324,'2324 Jun 24 Enroll'!E$1,FALSE),'District Calculations'!$F$12)*C124,3)</f>
        <v>60.447000000000003</v>
      </c>
      <c r="F124">
        <f>ROUND(IF(VLOOKUP($A124,EnrollData2324,'2324 Jun 24 Enroll'!F$1,FALSE)='District Calculations'!$F$13,VLOOKUP($A124,EnrollData2324,'2324 Jun 24 Enroll'!F$1,FALSE),'District Calculations'!$F$13)*Apport_222A2425,3)</f>
        <v>10.337999999999999</v>
      </c>
      <c r="G124">
        <f>ROUND(IF(VLOOKUP($A124,EnrollData2324,'2324 Jun 24 Enroll'!G$1,FALSE)='District Calculations'!$F$14,VLOOKUP($A124,EnrollData2324,'2324 Jun 24 Enroll'!G$1,FALSE),'District Calculations'!$F$14)*Apport_210A2425,3)</f>
        <v>22.92</v>
      </c>
      <c r="H124">
        <f>ROUND(IF(VLOOKUP($A124,EnrollData2324,'2324 Jun 24 Enroll'!H$1,FALSE)='District Calculations'!$F$15,VLOOKUP($A124,EnrollData2324,'2324 Jun 24 Enroll'!H$1,FALSE),'District Calculations'!$F$15)*Apport_213A2425,3)</f>
        <v>23.619</v>
      </c>
      <c r="I124">
        <f>ROUND(IF(VLOOKUP($A124,EnrollData2324,'2324 Jun 24 Enroll'!I$1,FALSE)+VLOOKUP($A124,EnrollData2324,'2324 Jun 24 Enroll'!M$1,FALSE)-VLOOKUP($A124,EnrollData2324,'2324 Jun 24 Enroll'!J$1,FALSE)='District Calculations'!$F$16+'District Calculations'!$F$25-'District Calculations'!$F$17,VLOOKUP($A124,EnrollData2324,'2324 Jun 24 Enroll'!I$1,FALSE)+VLOOKUP($A124,EnrollData2324,'2324 Jun 24 Enroll'!M$1,FALSE)-VLOOKUP($A124,EnrollData2324,'2324 Jun 24 Enroll'!J$1,FALSE),'District Calculations'!$F$16+'District Calculations'!$F$25-'District Calculations'!$F$17)*Apport_216A2425,3)</f>
        <v>59.057000000000002</v>
      </c>
      <c r="J124">
        <f>ROUND(SUM(D124:I124)/(IF(VLOOKUP($A124,EnrollData2324,'2324 Jun 24 Enroll'!M$1,FALSE)='District Calculations'!$F$25,VLOOKUP($A124,EnrollData2324,'2324 Jun 24 Enroll'!M$1,FALSE),'District Calculations'!$F$25)+IF(VLOOKUP($A124,EnrollData2324,'2324 Jun 24 Enroll'!D$1,FALSE)='District Calculations'!$F$11,VLOOKUP($A124,EnrollData2324,'2324 Jun 24 Enroll'!D$1,FALSE),'District Calculations'!$F$11)),5)</f>
        <v>5.6520000000000001E-2</v>
      </c>
      <c r="K124" s="11">
        <f t="shared" si="30"/>
        <v>4.385E-3</v>
      </c>
      <c r="L124">
        <f>ROUND(IF(VLOOKUP($A124,EnrollData2324,'2324 Jun 24 Enroll'!D$1,FALSE)='District Calculations'!$F$11,VLOOKUP($A124,EnrollData2324,'2324 Jun 24 Enroll'!D$1,FALSE),'District Calculations'!$F$11)*K124,3)</f>
        <v>0</v>
      </c>
      <c r="M124">
        <f>ROUND(IF(VLOOKUP($A124,EnrollData2324,'2324 Jun 24 Enroll'!E$1,FALSE)='District Calculations'!$F$12,VLOOKUP($A124,EnrollData2324,'2324 Jun 24 Enroll'!E$1,FALSE),'District Calculations'!$F$12)*K124,3)</f>
        <v>3.5539999999999998</v>
      </c>
      <c r="N124">
        <f>ROUND(IF(VLOOKUP($A124,EnrollData2324,'2324 Jun 24 Enroll'!F$1,FALSE)='District Calculations'!$F$13,VLOOKUP($A124,EnrollData2324,'2324 Jun 24 Enroll'!F$1,FALSE),'District Calculations'!$F$13)*Apport_223A2425,3)</f>
        <v>0.84599999999999997</v>
      </c>
      <c r="O124">
        <f>ROUND(IF(VLOOKUP($A124,EnrollData2324,'2324 Jun 24 Enroll'!G$1,FALSE)='District Calculations'!$F$14,VLOOKUP($A124,EnrollData2324,'2324 Jun 24 Enroll'!G$1,FALSE),'District Calculations'!$F$14)*Apport_211A2425,3)</f>
        <v>1.877</v>
      </c>
      <c r="P124">
        <f>ROUND(IF(VLOOKUP($A124,EnrollData2324,'2324 Jun 24 Enroll'!H$1,FALSE)='District Calculations'!$F$14,VLOOKUP($A124,EnrollData2324,'2324 Jun 24 Enroll'!H$1,FALSE),'District Calculations'!$F$14)*Apport_214A2425,3)</f>
        <v>1.875</v>
      </c>
      <c r="Q124">
        <f>ROUND(IF(VLOOKUP($A124,EnrollData2324,'2324 Jun 24 Enroll'!I$1,FALSE)+VLOOKUP($A124,EnrollData2324,'2324 Jun 24 Enroll'!M$1,FALSE)-VLOOKUP($A124,EnrollData2324,'2324 Jun 24 Enroll'!J$1,FALSE)='District Calculations'!$F$16+'District Calculations'!$F$25-'District Calculations'!$F$17,VLOOKUP($A124,EnrollData2324,'2324 Jun 24 Enroll'!I$1,FALSE)+VLOOKUP($A124,EnrollData2324,'2324 Jun 24 Enroll'!M$1,FALSE)-VLOOKUP($A124,EnrollData2324,'2324 Jun 24 Enroll'!J$1,FALSE),'District Calculations'!$F$16+'District Calculations'!$F$25-'District Calculations'!$F$17)*Apport_217A2425,3)</f>
        <v>4.7130000000000001</v>
      </c>
      <c r="R124">
        <f>ROUND(SUM(L124:Q124)/IF(VLOOKUP($A124,EnrollData2324,'2324 Jun 24 Enroll'!M$1,FALSE)+VLOOKUP($A124,EnrollData2324,'2324 Jun 24 Enroll'!D$1,FALSE)='District Calculations'!$F$25+'District Calculations'!$F$11,VLOOKUP($A124,EnrollData2324,'2324 Jun 24 Enroll'!M$1,FALSE)+VLOOKUP($A124,EnrollData2324,'2324 Jun 24 Enroll'!D$1,FALSE),'District Calculations'!$F$25+'District Calculations'!$F$11),5)</f>
        <v>4.1200000000000004E-3</v>
      </c>
      <c r="S124" s="11">
        <f t="shared" si="31"/>
        <v>1.8734299999999999E-2</v>
      </c>
      <c r="T124">
        <f>ROUND(IF(VLOOKUP($A124,EnrollData2324,'2324 Jun 24 Enroll'!D$1,FALSE)='District Calculations'!$F$11,VLOOKUP($A124,EnrollData2324,'2324 Jun 24 Enroll'!D$1,FALSE),'District Calculations'!$F$11)*S124,3)</f>
        <v>0</v>
      </c>
      <c r="U124">
        <f>ROUND(IF(VLOOKUP($A124,EnrollData2324,'2324 Jun 24 Enroll'!E$1,FALSE)='District Calculations'!$F$12,VLOOKUP($A124,EnrollData2324,'2324 Jun 24 Enroll'!E$1,FALSE),'District Calculations'!$F$12)*S124,3)</f>
        <v>15.183999999999999</v>
      </c>
      <c r="V124">
        <f>ROUND(IF(VLOOKUP($A124,EnrollData2324,'2324 Jun 24 Enroll'!F$1,FALSE)='District Calculations'!$F$13,VLOOKUP($A124,EnrollData2324,'2324 Jun 24 Enroll'!F$1,FALSE),'District Calculations'!$F$13)*Apport_224A2425,3)</f>
        <v>3.7109999999999999</v>
      </c>
      <c r="W124">
        <f>ROUND(IF(VLOOKUP($A124,EnrollData2324,'2324 Jun 24 Enroll'!G$1,FALSE)='District Calculations'!$F$14,VLOOKUP($A124,EnrollData2324,'2324 Jun 24 Enroll'!G$1,FALSE),'District Calculations'!$F$14)*Apport_212A2425,3)</f>
        <v>8.2279999999999998</v>
      </c>
      <c r="X124">
        <f>ROUND(IF(VLOOKUP($A124,EnrollData2324,'2324 Jun 24 Enroll'!H$1,FALSE)='District Calculations'!$F$14,VLOOKUP($A124,EnrollData2324,'2324 Jun 24 Enroll'!H$1,FALSE),'District Calculations'!$F$14)*Apport_215A2425,3)</f>
        <v>8.1180000000000003</v>
      </c>
      <c r="Y124">
        <f>ROUND(IF(VLOOKUP($A124,EnrollData2324,'2324 Jun 24 Enroll'!I$1,FALSE)+VLOOKUP($A124,EnrollData2324,'2324 Jun 24 Enroll'!M$1,FALSE)-VLOOKUP($A124,EnrollData2324,'2324 Jun 24 Enroll'!J$1,FALSE)='District Calculations'!$F$16+'District Calculations'!$F$25-'District Calculations'!$F$17,VLOOKUP($A124,EnrollData2324,'2324 Jun 24 Enroll'!I$1,FALSE)+VLOOKUP($A124,EnrollData2324,'2324 Jun 24 Enroll'!M$1,FALSE)-VLOOKUP($A124,EnrollData2324,'2324 Jun 24 Enroll'!J$1,FALSE),'District Calculations'!$F$16+'District Calculations'!$F$25-'District Calculations'!$F$17)*Apport_218A2425,3)</f>
        <v>20.257999999999999</v>
      </c>
      <c r="Z124">
        <f>ROUND(SUM(T124:Y124)/IF(VLOOKUP($A124,EnrollData2324,'2324 Jun 24 Enroll'!M$1,FALSE)+VLOOKUP($A124,EnrollData2324,'2324 Jun 24 Enroll'!D$1,FALSE)='District Calculations'!$F$25+'District Calculations'!$F$11,VLOOKUP($A124,EnrollData2324,'2324 Jun 24 Enroll'!M$1,FALSE)+VLOOKUP($A124,EnrollData2324,'2324 Jun 24 Enroll'!D$1,FALSE),'District Calculations'!$F$25+'District Calculations'!$F$11),5)</f>
        <v>1.7780000000000001E-2</v>
      </c>
      <c r="AA124" s="6">
        <f>ROUND($J124*CIS_Base_Salary2425*VLOOKUP($A124,EnrollData2324,'2324 Jun 24 Enroll'!AH$1,FALSE),2)</f>
        <v>5029.96</v>
      </c>
      <c r="AB124" s="6">
        <f>ROUND($J124*CIS_Inc_Salary2425*(VLOOKUP($A124,EnrollData2324,'2324 Jun 24 Enroll'!AI$1,FALSE)+VLOOKUP($A124,EnrollData2324,'2324 Jun 24 Enroll'!AJ$1,FALSE)),2)-AA124</f>
        <v>186.07999999999993</v>
      </c>
      <c r="AC124" s="6" cm="1">
        <f t="array" ref="AC124">ROUND($R124*CAS_Base_Salary2425*VLOOKUP($A124,EnrollData2324,'2324 Jun 24 Enroll'!AH$1,FALSE),2)</f>
        <v>544.26</v>
      </c>
      <c r="AD124" s="6">
        <f>ROUND($R124*CAS_Inc_Salary2425*VLOOKUP($A124,EnrollData2324,'2324 Jun 24 Enroll'!AI$1,FALSE),2)-AC124</f>
        <v>20.129999999999995</v>
      </c>
      <c r="AE124" s="6">
        <f>ROUND($Z124*CLS_Base_Salary2425*VLOOKUP($A124,EnrollData2324,'2324 Jun 24 Enroll'!AH$1,FALSE),2)</f>
        <v>1135.0999999999999</v>
      </c>
      <c r="AF124" s="6">
        <f>ROUND($Z124*CLS_Inc_Salary2425*VLOOKUP($A124,EnrollData2324,'2324 Jun 24 Enroll'!AI$1,FALSE),2)-AE124</f>
        <v>42.009999999999991</v>
      </c>
      <c r="AG124" cm="1">
        <f t="array" ref="AG124">ROUND(($J124+$R124)*Apport_124X2425,2)</f>
        <v>800.45</v>
      </c>
      <c r="AH124" s="69" cm="1">
        <f t="array" ref="AH124">ROUND(($J124+$R124)*Apport_621X2425*Apport_125XC2425,2)-AG124</f>
        <v>73.899999999999977</v>
      </c>
      <c r="AI124" cm="1">
        <f t="array" ref="AI124">ROUND($Z124*Apport_124X2425,2)</f>
        <v>234.7</v>
      </c>
      <c r="AJ124">
        <f t="shared" si="32"/>
        <v>124.71000000000004</v>
      </c>
      <c r="AK124">
        <f t="shared" si="33"/>
        <v>1011.72</v>
      </c>
      <c r="AL124">
        <f t="shared" si="34"/>
        <v>36.11</v>
      </c>
      <c r="AM124">
        <f t="shared" si="35"/>
        <v>245.86</v>
      </c>
      <c r="AN124">
        <f t="shared" si="36"/>
        <v>7.63</v>
      </c>
      <c r="AO124">
        <f>ROUND(($J124*CIS_Inc_Salary2425*(VLOOKUP($A124,EnrollData2324,'2324 Jun 24 Enroll'!AI$1,FALSE)+VLOOKUP($A124,EnrollData2324,'2324 Jun 24 Enroll'!AJ$1,FALSE))/Apport_613Xpd)*Apport_614Xpd,2)</f>
        <v>86.93</v>
      </c>
      <c r="AP124">
        <f t="shared" si="37"/>
        <v>15.22</v>
      </c>
      <c r="AQ124">
        <f t="shared" si="38"/>
        <v>31.48</v>
      </c>
      <c r="AR124" s="6">
        <f>ROUND((VLOOKUP($A124,EnrollData2324,'2324 Jun 24 Enroll'!D$1,FALSE)*Apport_M802425+VLOOKUP($A124,EnrollData2324,'2324 Jun 24 Enroll'!M$1,FALSE)*Apport_M802425+(VLOOKUP($A124,EnrollData2324,'2324 Jun 24 Enroll'!P$1,FALSE)+VLOOKUP($A124,EnrollData2324,'2324 Jun 24 Enroll'!Q$1,FALSE)+VLOOKUP($A124,EnrollData2324,'2324 Jun 24 Enroll'!R$1,FALSE)+VLOOKUP($A124,EnrollData2324,'2324 Jun 24 Enroll'!I$1,FALSE)+VLOOKUP($A124,EnrollData2324,'2324 Jun 24 Enroll'!N$1,FALSE)+VLOOKUP($A124,EnrollData2324,'2324 Jun 24 Enroll'!O$1,FALSE)+VLOOKUP($A124,EnrollData2324,'2324 Jun 24 Enroll'!K$1,FALSE)+VLOOKUP($A124,EnrollData2324,'2324 Jun 24 Enroll'!L$1,FALSE))*Apport_M812425)/(VLOOKUP($A124,EnrollData2324,'2324 Jun 24 Enroll'!M$1,FALSE)+VLOOKUP($A124,EnrollData2324,'2324 Jun 24 Enroll'!D$1,FALSE)),2)</f>
        <v>1589.17</v>
      </c>
      <c r="AS124" s="7">
        <f t="shared" si="39"/>
        <v>11215.42</v>
      </c>
    </row>
    <row r="125" spans="1:45">
      <c r="A125" s="40" t="s">
        <v>333</v>
      </c>
      <c r="B125" s="40" t="s">
        <v>334</v>
      </c>
      <c r="C125" s="11">
        <f>ROUND((IFERROR((1/IF(VLOOKUP($A125,EnrollData2324,28,FALSE)='District Calculations'!$F$10,VLOOKUP($A125,EnrollData2324,28,FALSE),'District Calculations'!$F$10))*(1+Apport_Z315),0))+Apport_201A2425,6)</f>
        <v>7.4580999999999995E-2</v>
      </c>
      <c r="D125">
        <f>ROUND(IF(VLOOKUP($A125,EnrollData2324,'2324 Jun 24 Enroll'!D$1,FALSE)='District Calculations'!$F$11,VLOOKUP($A125,EnrollData2324,'2324 Jun 24 Enroll'!D$1,FALSE),'District Calculations'!$F$11)*C125,3)</f>
        <v>0</v>
      </c>
      <c r="E125">
        <f>ROUND(IF(VLOOKUP($A125,EnrollData2324,'2324 Jun 24 Enroll'!E$1,FALSE)='District Calculations'!$F$12,VLOOKUP($A125,EnrollData2324,'2324 Jun 24 Enroll'!E$1,FALSE),'District Calculations'!$F$12)*C125,3)</f>
        <v>60.447000000000003</v>
      </c>
      <c r="F125">
        <f>ROUND(IF(VLOOKUP($A125,EnrollData2324,'2324 Jun 24 Enroll'!F$1,FALSE)='District Calculations'!$F$13,VLOOKUP($A125,EnrollData2324,'2324 Jun 24 Enroll'!F$1,FALSE),'District Calculations'!$F$13)*Apport_222A2425,3)</f>
        <v>10.337999999999999</v>
      </c>
      <c r="G125">
        <f>ROUND(IF(VLOOKUP($A125,EnrollData2324,'2324 Jun 24 Enroll'!G$1,FALSE)='District Calculations'!$F$14,VLOOKUP($A125,EnrollData2324,'2324 Jun 24 Enroll'!G$1,FALSE),'District Calculations'!$F$14)*Apport_210A2425,3)</f>
        <v>22.92</v>
      </c>
      <c r="H125">
        <f>ROUND(IF(VLOOKUP($A125,EnrollData2324,'2324 Jun 24 Enroll'!H$1,FALSE)='District Calculations'!$F$15,VLOOKUP($A125,EnrollData2324,'2324 Jun 24 Enroll'!H$1,FALSE),'District Calculations'!$F$15)*Apport_213A2425,3)</f>
        <v>23.619</v>
      </c>
      <c r="I125">
        <f>ROUND(IF(VLOOKUP($A125,EnrollData2324,'2324 Jun 24 Enroll'!I$1,FALSE)+VLOOKUP($A125,EnrollData2324,'2324 Jun 24 Enroll'!M$1,FALSE)-VLOOKUP($A125,EnrollData2324,'2324 Jun 24 Enroll'!J$1,FALSE)='District Calculations'!$F$16+'District Calculations'!$F$25-'District Calculations'!$F$17,VLOOKUP($A125,EnrollData2324,'2324 Jun 24 Enroll'!I$1,FALSE)+VLOOKUP($A125,EnrollData2324,'2324 Jun 24 Enroll'!M$1,FALSE)-VLOOKUP($A125,EnrollData2324,'2324 Jun 24 Enroll'!J$1,FALSE),'District Calculations'!$F$16+'District Calculations'!$F$25-'District Calculations'!$F$17)*Apport_216A2425,3)</f>
        <v>59.057000000000002</v>
      </c>
      <c r="J125">
        <f>ROUND(SUM(D125:I125)/(IF(VLOOKUP($A125,EnrollData2324,'2324 Jun 24 Enroll'!M$1,FALSE)='District Calculations'!$F$25,VLOOKUP($A125,EnrollData2324,'2324 Jun 24 Enroll'!M$1,FALSE),'District Calculations'!$F$25)+IF(VLOOKUP($A125,EnrollData2324,'2324 Jun 24 Enroll'!D$1,FALSE)='District Calculations'!$F$11,VLOOKUP($A125,EnrollData2324,'2324 Jun 24 Enroll'!D$1,FALSE),'District Calculations'!$F$11)),5)</f>
        <v>5.6520000000000001E-2</v>
      </c>
      <c r="K125" s="11">
        <f t="shared" si="30"/>
        <v>4.385E-3</v>
      </c>
      <c r="L125">
        <f>ROUND(IF(VLOOKUP($A125,EnrollData2324,'2324 Jun 24 Enroll'!D$1,FALSE)='District Calculations'!$F$11,VLOOKUP($A125,EnrollData2324,'2324 Jun 24 Enroll'!D$1,FALSE),'District Calculations'!$F$11)*K125,3)</f>
        <v>0</v>
      </c>
      <c r="M125">
        <f>ROUND(IF(VLOOKUP($A125,EnrollData2324,'2324 Jun 24 Enroll'!E$1,FALSE)='District Calculations'!$F$12,VLOOKUP($A125,EnrollData2324,'2324 Jun 24 Enroll'!E$1,FALSE),'District Calculations'!$F$12)*K125,3)</f>
        <v>3.5539999999999998</v>
      </c>
      <c r="N125">
        <f>ROUND(IF(VLOOKUP($A125,EnrollData2324,'2324 Jun 24 Enroll'!F$1,FALSE)='District Calculations'!$F$13,VLOOKUP($A125,EnrollData2324,'2324 Jun 24 Enroll'!F$1,FALSE),'District Calculations'!$F$13)*Apport_223A2425,3)</f>
        <v>0.84599999999999997</v>
      </c>
      <c r="O125">
        <f>ROUND(IF(VLOOKUP($A125,EnrollData2324,'2324 Jun 24 Enroll'!G$1,FALSE)='District Calculations'!$F$14,VLOOKUP($A125,EnrollData2324,'2324 Jun 24 Enroll'!G$1,FALSE),'District Calculations'!$F$14)*Apport_211A2425,3)</f>
        <v>1.877</v>
      </c>
      <c r="P125">
        <f>ROUND(IF(VLOOKUP($A125,EnrollData2324,'2324 Jun 24 Enroll'!H$1,FALSE)='District Calculations'!$F$14,VLOOKUP($A125,EnrollData2324,'2324 Jun 24 Enroll'!H$1,FALSE),'District Calculations'!$F$14)*Apport_214A2425,3)</f>
        <v>1.875</v>
      </c>
      <c r="Q125">
        <f>ROUND(IF(VLOOKUP($A125,EnrollData2324,'2324 Jun 24 Enroll'!I$1,FALSE)+VLOOKUP($A125,EnrollData2324,'2324 Jun 24 Enroll'!M$1,FALSE)-VLOOKUP($A125,EnrollData2324,'2324 Jun 24 Enroll'!J$1,FALSE)='District Calculations'!$F$16+'District Calculations'!$F$25-'District Calculations'!$F$17,VLOOKUP($A125,EnrollData2324,'2324 Jun 24 Enroll'!I$1,FALSE)+VLOOKUP($A125,EnrollData2324,'2324 Jun 24 Enroll'!M$1,FALSE)-VLOOKUP($A125,EnrollData2324,'2324 Jun 24 Enroll'!J$1,FALSE),'District Calculations'!$F$16+'District Calculations'!$F$25-'District Calculations'!$F$17)*Apport_217A2425,3)</f>
        <v>4.7130000000000001</v>
      </c>
      <c r="R125">
        <f>ROUND(SUM(L125:Q125)/IF(VLOOKUP($A125,EnrollData2324,'2324 Jun 24 Enroll'!M$1,FALSE)+VLOOKUP($A125,EnrollData2324,'2324 Jun 24 Enroll'!D$1,FALSE)='District Calculations'!$F$25+'District Calculations'!$F$11,VLOOKUP($A125,EnrollData2324,'2324 Jun 24 Enroll'!M$1,FALSE)+VLOOKUP($A125,EnrollData2324,'2324 Jun 24 Enroll'!D$1,FALSE),'District Calculations'!$F$25+'District Calculations'!$F$11),5)</f>
        <v>4.1200000000000004E-3</v>
      </c>
      <c r="S125" s="11">
        <f t="shared" si="31"/>
        <v>1.8734299999999999E-2</v>
      </c>
      <c r="T125">
        <f>ROUND(IF(VLOOKUP($A125,EnrollData2324,'2324 Jun 24 Enroll'!D$1,FALSE)='District Calculations'!$F$11,VLOOKUP($A125,EnrollData2324,'2324 Jun 24 Enroll'!D$1,FALSE),'District Calculations'!$F$11)*S125,3)</f>
        <v>0</v>
      </c>
      <c r="U125">
        <f>ROUND(IF(VLOOKUP($A125,EnrollData2324,'2324 Jun 24 Enroll'!E$1,FALSE)='District Calculations'!$F$12,VLOOKUP($A125,EnrollData2324,'2324 Jun 24 Enroll'!E$1,FALSE),'District Calculations'!$F$12)*S125,3)</f>
        <v>15.183999999999999</v>
      </c>
      <c r="V125">
        <f>ROUND(IF(VLOOKUP($A125,EnrollData2324,'2324 Jun 24 Enroll'!F$1,FALSE)='District Calculations'!$F$13,VLOOKUP($A125,EnrollData2324,'2324 Jun 24 Enroll'!F$1,FALSE),'District Calculations'!$F$13)*Apport_224A2425,3)</f>
        <v>3.7109999999999999</v>
      </c>
      <c r="W125">
        <f>ROUND(IF(VLOOKUP($A125,EnrollData2324,'2324 Jun 24 Enroll'!G$1,FALSE)='District Calculations'!$F$14,VLOOKUP($A125,EnrollData2324,'2324 Jun 24 Enroll'!G$1,FALSE),'District Calculations'!$F$14)*Apport_212A2425,3)</f>
        <v>8.2279999999999998</v>
      </c>
      <c r="X125">
        <f>ROUND(IF(VLOOKUP($A125,EnrollData2324,'2324 Jun 24 Enroll'!H$1,FALSE)='District Calculations'!$F$14,VLOOKUP($A125,EnrollData2324,'2324 Jun 24 Enroll'!H$1,FALSE),'District Calculations'!$F$14)*Apport_215A2425,3)</f>
        <v>8.1180000000000003</v>
      </c>
      <c r="Y125">
        <f>ROUND(IF(VLOOKUP($A125,EnrollData2324,'2324 Jun 24 Enroll'!I$1,FALSE)+VLOOKUP($A125,EnrollData2324,'2324 Jun 24 Enroll'!M$1,FALSE)-VLOOKUP($A125,EnrollData2324,'2324 Jun 24 Enroll'!J$1,FALSE)='District Calculations'!$F$16+'District Calculations'!$F$25-'District Calculations'!$F$17,VLOOKUP($A125,EnrollData2324,'2324 Jun 24 Enroll'!I$1,FALSE)+VLOOKUP($A125,EnrollData2324,'2324 Jun 24 Enroll'!M$1,FALSE)-VLOOKUP($A125,EnrollData2324,'2324 Jun 24 Enroll'!J$1,FALSE),'District Calculations'!$F$16+'District Calculations'!$F$25-'District Calculations'!$F$17)*Apport_218A2425,3)</f>
        <v>20.257999999999999</v>
      </c>
      <c r="Z125">
        <f>ROUND(SUM(T125:Y125)/IF(VLOOKUP($A125,EnrollData2324,'2324 Jun 24 Enroll'!M$1,FALSE)+VLOOKUP($A125,EnrollData2324,'2324 Jun 24 Enroll'!D$1,FALSE)='District Calculations'!$F$25+'District Calculations'!$F$11,VLOOKUP($A125,EnrollData2324,'2324 Jun 24 Enroll'!M$1,FALSE)+VLOOKUP($A125,EnrollData2324,'2324 Jun 24 Enroll'!D$1,FALSE),'District Calculations'!$F$25+'District Calculations'!$F$11),5)</f>
        <v>1.7780000000000001E-2</v>
      </c>
      <c r="AA125" s="6">
        <f>ROUND($J125*CIS_Base_Salary2425*VLOOKUP($A125,EnrollData2324,'2324 Jun 24 Enroll'!AH$1,FALSE),2)</f>
        <v>5029.96</v>
      </c>
      <c r="AB125" s="6">
        <f>ROUND($J125*CIS_Inc_Salary2425*(VLOOKUP($A125,EnrollData2324,'2324 Jun 24 Enroll'!AI$1,FALSE)+VLOOKUP($A125,EnrollData2324,'2324 Jun 24 Enroll'!AJ$1,FALSE)),2)-AA125</f>
        <v>186.07999999999993</v>
      </c>
      <c r="AC125" s="6" cm="1">
        <f t="array" ref="AC125">ROUND($R125*CAS_Base_Salary2425*VLOOKUP($A125,EnrollData2324,'2324 Jun 24 Enroll'!AH$1,FALSE),2)</f>
        <v>544.26</v>
      </c>
      <c r="AD125" s="6">
        <f>ROUND($R125*CAS_Inc_Salary2425*VLOOKUP($A125,EnrollData2324,'2324 Jun 24 Enroll'!AI$1,FALSE),2)-AC125</f>
        <v>20.129999999999995</v>
      </c>
      <c r="AE125" s="6">
        <f>ROUND($Z125*CLS_Base_Salary2425*VLOOKUP($A125,EnrollData2324,'2324 Jun 24 Enroll'!AH$1,FALSE),2)</f>
        <v>1135.0999999999999</v>
      </c>
      <c r="AF125" s="6">
        <f>ROUND($Z125*CLS_Inc_Salary2425*VLOOKUP($A125,EnrollData2324,'2324 Jun 24 Enroll'!AI$1,FALSE),2)-AE125</f>
        <v>42.009999999999991</v>
      </c>
      <c r="AG125" cm="1">
        <f t="array" ref="AG125">ROUND(($J125+$R125)*Apport_124X2425,2)</f>
        <v>800.45</v>
      </c>
      <c r="AH125" s="69" cm="1">
        <f t="array" ref="AH125">ROUND(($J125+$R125)*Apport_621X2425*Apport_125XC2425,2)-AG125</f>
        <v>73.899999999999977</v>
      </c>
      <c r="AI125" cm="1">
        <f t="array" ref="AI125">ROUND($Z125*Apport_124X2425,2)</f>
        <v>234.7</v>
      </c>
      <c r="AJ125">
        <f t="shared" si="32"/>
        <v>124.71000000000004</v>
      </c>
      <c r="AK125">
        <f t="shared" si="33"/>
        <v>1011.72</v>
      </c>
      <c r="AL125">
        <f t="shared" si="34"/>
        <v>36.11</v>
      </c>
      <c r="AM125">
        <f t="shared" si="35"/>
        <v>245.86</v>
      </c>
      <c r="AN125">
        <f t="shared" si="36"/>
        <v>7.63</v>
      </c>
      <c r="AO125">
        <f>ROUND(($J125*CIS_Inc_Salary2425*(VLOOKUP($A125,EnrollData2324,'2324 Jun 24 Enroll'!AI$1,FALSE)+VLOOKUP($A125,EnrollData2324,'2324 Jun 24 Enroll'!AJ$1,FALSE))/Apport_613Xpd)*Apport_614Xpd,2)</f>
        <v>86.93</v>
      </c>
      <c r="AP125">
        <f t="shared" si="37"/>
        <v>15.22</v>
      </c>
      <c r="AQ125">
        <f t="shared" si="38"/>
        <v>31.48</v>
      </c>
      <c r="AR125" s="6">
        <f>ROUND((VLOOKUP($A125,EnrollData2324,'2324 Jun 24 Enroll'!D$1,FALSE)*Apport_M802425+VLOOKUP($A125,EnrollData2324,'2324 Jun 24 Enroll'!M$1,FALSE)*Apport_M802425+(VLOOKUP($A125,EnrollData2324,'2324 Jun 24 Enroll'!P$1,FALSE)+VLOOKUP($A125,EnrollData2324,'2324 Jun 24 Enroll'!Q$1,FALSE)+VLOOKUP($A125,EnrollData2324,'2324 Jun 24 Enroll'!R$1,FALSE)+VLOOKUP($A125,EnrollData2324,'2324 Jun 24 Enroll'!I$1,FALSE)+VLOOKUP($A125,EnrollData2324,'2324 Jun 24 Enroll'!N$1,FALSE)+VLOOKUP($A125,EnrollData2324,'2324 Jun 24 Enroll'!O$1,FALSE)+VLOOKUP($A125,EnrollData2324,'2324 Jun 24 Enroll'!K$1,FALSE)+VLOOKUP($A125,EnrollData2324,'2324 Jun 24 Enroll'!L$1,FALSE))*Apport_M812425)/(VLOOKUP($A125,EnrollData2324,'2324 Jun 24 Enroll'!M$1,FALSE)+VLOOKUP($A125,EnrollData2324,'2324 Jun 24 Enroll'!D$1,FALSE)),2)</f>
        <v>1608.15</v>
      </c>
      <c r="AS125" s="7">
        <f t="shared" si="39"/>
        <v>11234.4</v>
      </c>
    </row>
    <row r="126" spans="1:45">
      <c r="A126" s="40" t="s">
        <v>833</v>
      </c>
      <c r="B126" s="40" t="s">
        <v>834</v>
      </c>
      <c r="C126" s="11">
        <f>ROUND((IFERROR((1/IF(VLOOKUP($A126,EnrollData2324,28,FALSE)='District Calculations'!$F$10,VLOOKUP($A126,EnrollData2324,28,FALSE),'District Calculations'!$F$10))*(1+Apport_Z315),0))+Apport_201A2425,6)</f>
        <v>7.4580999999999995E-2</v>
      </c>
      <c r="D126">
        <f>ROUND(IF(VLOOKUP($A126,EnrollData2324,'2324 Jun 24 Enroll'!D$1,FALSE)='District Calculations'!$F$11,VLOOKUP($A126,EnrollData2324,'2324 Jun 24 Enroll'!D$1,FALSE),'District Calculations'!$F$11)*C126,3)</f>
        <v>0</v>
      </c>
      <c r="E126">
        <f>ROUND(IF(VLOOKUP($A126,EnrollData2324,'2324 Jun 24 Enroll'!E$1,FALSE)='District Calculations'!$F$12,VLOOKUP($A126,EnrollData2324,'2324 Jun 24 Enroll'!E$1,FALSE),'District Calculations'!$F$12)*C126,3)</f>
        <v>60.447000000000003</v>
      </c>
      <c r="F126">
        <f>ROUND(IF(VLOOKUP($A126,EnrollData2324,'2324 Jun 24 Enroll'!F$1,FALSE)='District Calculations'!$F$13,VLOOKUP($A126,EnrollData2324,'2324 Jun 24 Enroll'!F$1,FALSE),'District Calculations'!$F$13)*Apport_222A2425,3)</f>
        <v>10.337999999999999</v>
      </c>
      <c r="G126">
        <f>ROUND(IF(VLOOKUP($A126,EnrollData2324,'2324 Jun 24 Enroll'!G$1,FALSE)='District Calculations'!$F$14,VLOOKUP($A126,EnrollData2324,'2324 Jun 24 Enroll'!G$1,FALSE),'District Calculations'!$F$14)*Apport_210A2425,3)</f>
        <v>22.92</v>
      </c>
      <c r="H126">
        <f>ROUND(IF(VLOOKUP($A126,EnrollData2324,'2324 Jun 24 Enroll'!H$1,FALSE)='District Calculations'!$F$15,VLOOKUP($A126,EnrollData2324,'2324 Jun 24 Enroll'!H$1,FALSE),'District Calculations'!$F$15)*Apport_213A2425,3)</f>
        <v>23.619</v>
      </c>
      <c r="I126">
        <f>ROUND(IF(VLOOKUP($A126,EnrollData2324,'2324 Jun 24 Enroll'!I$1,FALSE)+VLOOKUP($A126,EnrollData2324,'2324 Jun 24 Enroll'!M$1,FALSE)-VLOOKUP($A126,EnrollData2324,'2324 Jun 24 Enroll'!J$1,FALSE)='District Calculations'!$F$16+'District Calculations'!$F$25-'District Calculations'!$F$17,VLOOKUP($A126,EnrollData2324,'2324 Jun 24 Enroll'!I$1,FALSE)+VLOOKUP($A126,EnrollData2324,'2324 Jun 24 Enroll'!M$1,FALSE)-VLOOKUP($A126,EnrollData2324,'2324 Jun 24 Enroll'!J$1,FALSE),'District Calculations'!$F$16+'District Calculations'!$F$25-'District Calculations'!$F$17)*Apport_216A2425,3)</f>
        <v>59.057000000000002</v>
      </c>
      <c r="J126">
        <f>ROUND(SUM(D126:I126)/(IF(VLOOKUP($A126,EnrollData2324,'2324 Jun 24 Enroll'!M$1,FALSE)='District Calculations'!$F$25,VLOOKUP($A126,EnrollData2324,'2324 Jun 24 Enroll'!M$1,FALSE),'District Calculations'!$F$25)+IF(VLOOKUP($A126,EnrollData2324,'2324 Jun 24 Enroll'!D$1,FALSE)='District Calculations'!$F$11,VLOOKUP($A126,EnrollData2324,'2324 Jun 24 Enroll'!D$1,FALSE),'District Calculations'!$F$11)),5)</f>
        <v>5.6520000000000001E-2</v>
      </c>
      <c r="K126" s="11">
        <f t="shared" si="30"/>
        <v>4.385E-3</v>
      </c>
      <c r="L126">
        <f>ROUND(IF(VLOOKUP($A126,EnrollData2324,'2324 Jun 24 Enroll'!D$1,FALSE)='District Calculations'!$F$11,VLOOKUP($A126,EnrollData2324,'2324 Jun 24 Enroll'!D$1,FALSE),'District Calculations'!$F$11)*K126,3)</f>
        <v>0</v>
      </c>
      <c r="M126">
        <f>ROUND(IF(VLOOKUP($A126,EnrollData2324,'2324 Jun 24 Enroll'!E$1,FALSE)='District Calculations'!$F$12,VLOOKUP($A126,EnrollData2324,'2324 Jun 24 Enroll'!E$1,FALSE),'District Calculations'!$F$12)*K126,3)</f>
        <v>3.5539999999999998</v>
      </c>
      <c r="N126">
        <f>ROUND(IF(VLOOKUP($A126,EnrollData2324,'2324 Jun 24 Enroll'!F$1,FALSE)='District Calculations'!$F$13,VLOOKUP($A126,EnrollData2324,'2324 Jun 24 Enroll'!F$1,FALSE),'District Calculations'!$F$13)*Apport_223A2425,3)</f>
        <v>0.84599999999999997</v>
      </c>
      <c r="O126">
        <f>ROUND(IF(VLOOKUP($A126,EnrollData2324,'2324 Jun 24 Enroll'!G$1,FALSE)='District Calculations'!$F$14,VLOOKUP($A126,EnrollData2324,'2324 Jun 24 Enroll'!G$1,FALSE),'District Calculations'!$F$14)*Apport_211A2425,3)</f>
        <v>1.877</v>
      </c>
      <c r="P126">
        <f>ROUND(IF(VLOOKUP($A126,EnrollData2324,'2324 Jun 24 Enroll'!H$1,FALSE)='District Calculations'!$F$14,VLOOKUP($A126,EnrollData2324,'2324 Jun 24 Enroll'!H$1,FALSE),'District Calculations'!$F$14)*Apport_214A2425,3)</f>
        <v>1.875</v>
      </c>
      <c r="Q126">
        <f>ROUND(IF(VLOOKUP($A126,EnrollData2324,'2324 Jun 24 Enroll'!I$1,FALSE)+VLOOKUP($A126,EnrollData2324,'2324 Jun 24 Enroll'!M$1,FALSE)-VLOOKUP($A126,EnrollData2324,'2324 Jun 24 Enroll'!J$1,FALSE)='District Calculations'!$F$16+'District Calculations'!$F$25-'District Calculations'!$F$17,VLOOKUP($A126,EnrollData2324,'2324 Jun 24 Enroll'!I$1,FALSE)+VLOOKUP($A126,EnrollData2324,'2324 Jun 24 Enroll'!M$1,FALSE)-VLOOKUP($A126,EnrollData2324,'2324 Jun 24 Enroll'!J$1,FALSE),'District Calculations'!$F$16+'District Calculations'!$F$25-'District Calculations'!$F$17)*Apport_217A2425,3)</f>
        <v>4.7130000000000001</v>
      </c>
      <c r="R126">
        <f>ROUND(SUM(L126:Q126)/IF(VLOOKUP($A126,EnrollData2324,'2324 Jun 24 Enroll'!M$1,FALSE)+VLOOKUP($A126,EnrollData2324,'2324 Jun 24 Enroll'!D$1,FALSE)='District Calculations'!$F$25+'District Calculations'!$F$11,VLOOKUP($A126,EnrollData2324,'2324 Jun 24 Enroll'!M$1,FALSE)+VLOOKUP($A126,EnrollData2324,'2324 Jun 24 Enroll'!D$1,FALSE),'District Calculations'!$F$25+'District Calculations'!$F$11),5)</f>
        <v>4.1200000000000004E-3</v>
      </c>
      <c r="S126" s="11">
        <f t="shared" si="31"/>
        <v>1.8734299999999999E-2</v>
      </c>
      <c r="T126">
        <f>ROUND(IF(VLOOKUP($A126,EnrollData2324,'2324 Jun 24 Enroll'!D$1,FALSE)='District Calculations'!$F$11,VLOOKUP($A126,EnrollData2324,'2324 Jun 24 Enroll'!D$1,FALSE),'District Calculations'!$F$11)*S126,3)</f>
        <v>0</v>
      </c>
      <c r="U126">
        <f>ROUND(IF(VLOOKUP($A126,EnrollData2324,'2324 Jun 24 Enroll'!E$1,FALSE)='District Calculations'!$F$12,VLOOKUP($A126,EnrollData2324,'2324 Jun 24 Enroll'!E$1,FALSE),'District Calculations'!$F$12)*S126,3)</f>
        <v>15.183999999999999</v>
      </c>
      <c r="V126">
        <f>ROUND(IF(VLOOKUP($A126,EnrollData2324,'2324 Jun 24 Enroll'!F$1,FALSE)='District Calculations'!$F$13,VLOOKUP($A126,EnrollData2324,'2324 Jun 24 Enroll'!F$1,FALSE),'District Calculations'!$F$13)*Apport_224A2425,3)</f>
        <v>3.7109999999999999</v>
      </c>
      <c r="W126">
        <f>ROUND(IF(VLOOKUP($A126,EnrollData2324,'2324 Jun 24 Enroll'!G$1,FALSE)='District Calculations'!$F$14,VLOOKUP($A126,EnrollData2324,'2324 Jun 24 Enroll'!G$1,FALSE),'District Calculations'!$F$14)*Apport_212A2425,3)</f>
        <v>8.2279999999999998</v>
      </c>
      <c r="X126">
        <f>ROUND(IF(VLOOKUP($A126,EnrollData2324,'2324 Jun 24 Enroll'!H$1,FALSE)='District Calculations'!$F$14,VLOOKUP($A126,EnrollData2324,'2324 Jun 24 Enroll'!H$1,FALSE),'District Calculations'!$F$14)*Apport_215A2425,3)</f>
        <v>8.1180000000000003</v>
      </c>
      <c r="Y126">
        <f>ROUND(IF(VLOOKUP($A126,EnrollData2324,'2324 Jun 24 Enroll'!I$1,FALSE)+VLOOKUP($A126,EnrollData2324,'2324 Jun 24 Enroll'!M$1,FALSE)-VLOOKUP($A126,EnrollData2324,'2324 Jun 24 Enroll'!J$1,FALSE)='District Calculations'!$F$16+'District Calculations'!$F$25-'District Calculations'!$F$17,VLOOKUP($A126,EnrollData2324,'2324 Jun 24 Enroll'!I$1,FALSE)+VLOOKUP($A126,EnrollData2324,'2324 Jun 24 Enroll'!M$1,FALSE)-VLOOKUP($A126,EnrollData2324,'2324 Jun 24 Enroll'!J$1,FALSE),'District Calculations'!$F$16+'District Calculations'!$F$25-'District Calculations'!$F$17)*Apport_218A2425,3)</f>
        <v>20.257999999999999</v>
      </c>
      <c r="Z126">
        <f>ROUND(SUM(T126:Y126)/IF(VLOOKUP($A126,EnrollData2324,'2324 Jun 24 Enroll'!M$1,FALSE)+VLOOKUP($A126,EnrollData2324,'2324 Jun 24 Enroll'!D$1,FALSE)='District Calculations'!$F$25+'District Calculations'!$F$11,VLOOKUP($A126,EnrollData2324,'2324 Jun 24 Enroll'!M$1,FALSE)+VLOOKUP($A126,EnrollData2324,'2324 Jun 24 Enroll'!D$1,FALSE),'District Calculations'!$F$25+'District Calculations'!$F$11),5)</f>
        <v>1.7780000000000001E-2</v>
      </c>
      <c r="AA126" s="6">
        <f>ROUND($J126*CIS_Base_Salary2425*VLOOKUP($A126,EnrollData2324,'2324 Jun 24 Enroll'!AH$1,FALSE),2)</f>
        <v>5029.96</v>
      </c>
      <c r="AB126" s="6">
        <f>ROUND($J126*CIS_Inc_Salary2425*(VLOOKUP($A126,EnrollData2324,'2324 Jun 24 Enroll'!AI$1,FALSE)+VLOOKUP($A126,EnrollData2324,'2324 Jun 24 Enroll'!AJ$1,FALSE)),2)-AA126</f>
        <v>186.07999999999993</v>
      </c>
      <c r="AC126" s="6" cm="1">
        <f t="array" ref="AC126">ROUND($R126*CAS_Base_Salary2425*VLOOKUP($A126,EnrollData2324,'2324 Jun 24 Enroll'!AH$1,FALSE),2)</f>
        <v>544.26</v>
      </c>
      <c r="AD126" s="6">
        <f>ROUND($R126*CAS_Inc_Salary2425*VLOOKUP($A126,EnrollData2324,'2324 Jun 24 Enroll'!AI$1,FALSE),2)-AC126</f>
        <v>20.129999999999995</v>
      </c>
      <c r="AE126" s="6">
        <f>ROUND($Z126*CLS_Base_Salary2425*VLOOKUP($A126,EnrollData2324,'2324 Jun 24 Enroll'!AH$1,FALSE),2)</f>
        <v>1135.0999999999999</v>
      </c>
      <c r="AF126" s="6">
        <f>ROUND($Z126*CLS_Inc_Salary2425*VLOOKUP($A126,EnrollData2324,'2324 Jun 24 Enroll'!AI$1,FALSE),2)-AE126</f>
        <v>42.009999999999991</v>
      </c>
      <c r="AG126" cm="1">
        <f t="array" ref="AG126">ROUND(($J126+$R126)*Apport_124X2425,2)</f>
        <v>800.45</v>
      </c>
      <c r="AH126" s="69" cm="1">
        <f t="array" ref="AH126">ROUND(($J126+$R126)*Apport_621X2425*Apport_125XC2425,2)-AG126</f>
        <v>73.899999999999977</v>
      </c>
      <c r="AI126" cm="1">
        <f t="array" ref="AI126">ROUND($Z126*Apport_124X2425,2)</f>
        <v>234.7</v>
      </c>
      <c r="AJ126">
        <f t="shared" si="32"/>
        <v>124.71000000000004</v>
      </c>
      <c r="AK126">
        <f t="shared" si="33"/>
        <v>1011.72</v>
      </c>
      <c r="AL126">
        <f t="shared" si="34"/>
        <v>36.11</v>
      </c>
      <c r="AM126">
        <f t="shared" si="35"/>
        <v>245.86</v>
      </c>
      <c r="AN126">
        <f t="shared" si="36"/>
        <v>7.63</v>
      </c>
      <c r="AO126">
        <f>ROUND(($J126*CIS_Inc_Salary2425*(VLOOKUP($A126,EnrollData2324,'2324 Jun 24 Enroll'!AI$1,FALSE)+VLOOKUP($A126,EnrollData2324,'2324 Jun 24 Enroll'!AJ$1,FALSE))/Apport_613Xpd)*Apport_614Xpd,2)</f>
        <v>86.93</v>
      </c>
      <c r="AP126">
        <f t="shared" si="37"/>
        <v>15.22</v>
      </c>
      <c r="AQ126">
        <f t="shared" si="38"/>
        <v>31.48</v>
      </c>
      <c r="AR126" s="6">
        <f>ROUND((VLOOKUP($A126,EnrollData2324,'2324 Jun 24 Enroll'!D$1,FALSE)*Apport_M802425+VLOOKUP($A126,EnrollData2324,'2324 Jun 24 Enroll'!M$1,FALSE)*Apport_M802425+(VLOOKUP($A126,EnrollData2324,'2324 Jun 24 Enroll'!P$1,FALSE)+VLOOKUP($A126,EnrollData2324,'2324 Jun 24 Enroll'!Q$1,FALSE)+VLOOKUP($A126,EnrollData2324,'2324 Jun 24 Enroll'!R$1,FALSE)+VLOOKUP($A126,EnrollData2324,'2324 Jun 24 Enroll'!I$1,FALSE)+VLOOKUP($A126,EnrollData2324,'2324 Jun 24 Enroll'!N$1,FALSE)+VLOOKUP($A126,EnrollData2324,'2324 Jun 24 Enroll'!O$1,FALSE)+VLOOKUP($A126,EnrollData2324,'2324 Jun 24 Enroll'!K$1,FALSE)+VLOOKUP($A126,EnrollData2324,'2324 Jun 24 Enroll'!L$1,FALSE))*Apport_M812425)/(VLOOKUP($A126,EnrollData2324,'2324 Jun 24 Enroll'!M$1,FALSE)+VLOOKUP($A126,EnrollData2324,'2324 Jun 24 Enroll'!D$1,FALSE)),2)</f>
        <v>1598.73</v>
      </c>
      <c r="AS126" s="7">
        <f t="shared" si="39"/>
        <v>11224.98</v>
      </c>
    </row>
    <row r="127" spans="1:45">
      <c r="A127" s="40" t="s">
        <v>733</v>
      </c>
      <c r="B127" s="40" t="s">
        <v>734</v>
      </c>
      <c r="C127" s="11">
        <f>ROUND((IFERROR((1/IF(VLOOKUP($A127,EnrollData2324,28,FALSE)='District Calculations'!$F$10,VLOOKUP($A127,EnrollData2324,28,FALSE),'District Calculations'!$F$10))*(1+Apport_Z315),0))+Apport_201A2425,6)</f>
        <v>7.4580999999999995E-2</v>
      </c>
      <c r="D127">
        <f>ROUND(IF(VLOOKUP($A127,EnrollData2324,'2324 Jun 24 Enroll'!D$1,FALSE)='District Calculations'!$F$11,VLOOKUP($A127,EnrollData2324,'2324 Jun 24 Enroll'!D$1,FALSE),'District Calculations'!$F$11)*C127,3)</f>
        <v>0</v>
      </c>
      <c r="E127">
        <f>ROUND(IF(VLOOKUP($A127,EnrollData2324,'2324 Jun 24 Enroll'!E$1,FALSE)='District Calculations'!$F$12,VLOOKUP($A127,EnrollData2324,'2324 Jun 24 Enroll'!E$1,FALSE),'District Calculations'!$F$12)*C127,3)</f>
        <v>60.447000000000003</v>
      </c>
      <c r="F127">
        <f>ROUND(IF(VLOOKUP($A127,EnrollData2324,'2324 Jun 24 Enroll'!F$1,FALSE)='District Calculations'!$F$13,VLOOKUP($A127,EnrollData2324,'2324 Jun 24 Enroll'!F$1,FALSE),'District Calculations'!$F$13)*Apport_222A2425,3)</f>
        <v>10.337999999999999</v>
      </c>
      <c r="G127">
        <f>ROUND(IF(VLOOKUP($A127,EnrollData2324,'2324 Jun 24 Enroll'!G$1,FALSE)='District Calculations'!$F$14,VLOOKUP($A127,EnrollData2324,'2324 Jun 24 Enroll'!G$1,FALSE),'District Calculations'!$F$14)*Apport_210A2425,3)</f>
        <v>22.92</v>
      </c>
      <c r="H127">
        <f>ROUND(IF(VLOOKUP($A127,EnrollData2324,'2324 Jun 24 Enroll'!H$1,FALSE)='District Calculations'!$F$15,VLOOKUP($A127,EnrollData2324,'2324 Jun 24 Enroll'!H$1,FALSE),'District Calculations'!$F$15)*Apport_213A2425,3)</f>
        <v>23.619</v>
      </c>
      <c r="I127">
        <f>ROUND(IF(VLOOKUP($A127,EnrollData2324,'2324 Jun 24 Enroll'!I$1,FALSE)+VLOOKUP($A127,EnrollData2324,'2324 Jun 24 Enroll'!M$1,FALSE)-VLOOKUP($A127,EnrollData2324,'2324 Jun 24 Enroll'!J$1,FALSE)='District Calculations'!$F$16+'District Calculations'!$F$25-'District Calculations'!$F$17,VLOOKUP($A127,EnrollData2324,'2324 Jun 24 Enroll'!I$1,FALSE)+VLOOKUP($A127,EnrollData2324,'2324 Jun 24 Enroll'!M$1,FALSE)-VLOOKUP($A127,EnrollData2324,'2324 Jun 24 Enroll'!J$1,FALSE),'District Calculations'!$F$16+'District Calculations'!$F$25-'District Calculations'!$F$17)*Apport_216A2425,3)</f>
        <v>59.057000000000002</v>
      </c>
      <c r="J127">
        <f>ROUND(SUM(D127:I127)/(IF(VLOOKUP($A127,EnrollData2324,'2324 Jun 24 Enroll'!M$1,FALSE)='District Calculations'!$F$25,VLOOKUP($A127,EnrollData2324,'2324 Jun 24 Enroll'!M$1,FALSE),'District Calculations'!$F$25)+IF(VLOOKUP($A127,EnrollData2324,'2324 Jun 24 Enroll'!D$1,FALSE)='District Calculations'!$F$11,VLOOKUP($A127,EnrollData2324,'2324 Jun 24 Enroll'!D$1,FALSE),'District Calculations'!$F$11)),5)</f>
        <v>5.6520000000000001E-2</v>
      </c>
      <c r="K127" s="11">
        <f t="shared" si="30"/>
        <v>4.385E-3</v>
      </c>
      <c r="L127">
        <f>ROUND(IF(VLOOKUP($A127,EnrollData2324,'2324 Jun 24 Enroll'!D$1,FALSE)='District Calculations'!$F$11,VLOOKUP($A127,EnrollData2324,'2324 Jun 24 Enroll'!D$1,FALSE),'District Calculations'!$F$11)*K127,3)</f>
        <v>0</v>
      </c>
      <c r="M127">
        <f>ROUND(IF(VLOOKUP($A127,EnrollData2324,'2324 Jun 24 Enroll'!E$1,FALSE)='District Calculations'!$F$12,VLOOKUP($A127,EnrollData2324,'2324 Jun 24 Enroll'!E$1,FALSE),'District Calculations'!$F$12)*K127,3)</f>
        <v>3.5539999999999998</v>
      </c>
      <c r="N127">
        <f>ROUND(IF(VLOOKUP($A127,EnrollData2324,'2324 Jun 24 Enroll'!F$1,FALSE)='District Calculations'!$F$13,VLOOKUP($A127,EnrollData2324,'2324 Jun 24 Enroll'!F$1,FALSE),'District Calculations'!$F$13)*Apport_223A2425,3)</f>
        <v>0.84599999999999997</v>
      </c>
      <c r="O127">
        <f>ROUND(IF(VLOOKUP($A127,EnrollData2324,'2324 Jun 24 Enroll'!G$1,FALSE)='District Calculations'!$F$14,VLOOKUP($A127,EnrollData2324,'2324 Jun 24 Enroll'!G$1,FALSE),'District Calculations'!$F$14)*Apport_211A2425,3)</f>
        <v>1.877</v>
      </c>
      <c r="P127">
        <f>ROUND(IF(VLOOKUP($A127,EnrollData2324,'2324 Jun 24 Enroll'!H$1,FALSE)='District Calculations'!$F$14,VLOOKUP($A127,EnrollData2324,'2324 Jun 24 Enroll'!H$1,FALSE),'District Calculations'!$F$14)*Apport_214A2425,3)</f>
        <v>1.875</v>
      </c>
      <c r="Q127">
        <f>ROUND(IF(VLOOKUP($A127,EnrollData2324,'2324 Jun 24 Enroll'!I$1,FALSE)+VLOOKUP($A127,EnrollData2324,'2324 Jun 24 Enroll'!M$1,FALSE)-VLOOKUP($A127,EnrollData2324,'2324 Jun 24 Enroll'!J$1,FALSE)='District Calculations'!$F$16+'District Calculations'!$F$25-'District Calculations'!$F$17,VLOOKUP($A127,EnrollData2324,'2324 Jun 24 Enroll'!I$1,FALSE)+VLOOKUP($A127,EnrollData2324,'2324 Jun 24 Enroll'!M$1,FALSE)-VLOOKUP($A127,EnrollData2324,'2324 Jun 24 Enroll'!J$1,FALSE),'District Calculations'!$F$16+'District Calculations'!$F$25-'District Calculations'!$F$17)*Apport_217A2425,3)</f>
        <v>4.7130000000000001</v>
      </c>
      <c r="R127">
        <f>ROUND(SUM(L127:Q127)/IF(VLOOKUP($A127,EnrollData2324,'2324 Jun 24 Enroll'!M$1,FALSE)+VLOOKUP($A127,EnrollData2324,'2324 Jun 24 Enroll'!D$1,FALSE)='District Calculations'!$F$25+'District Calculations'!$F$11,VLOOKUP($A127,EnrollData2324,'2324 Jun 24 Enroll'!M$1,FALSE)+VLOOKUP($A127,EnrollData2324,'2324 Jun 24 Enroll'!D$1,FALSE),'District Calculations'!$F$25+'District Calculations'!$F$11),5)</f>
        <v>4.1200000000000004E-3</v>
      </c>
      <c r="S127" s="11">
        <f t="shared" si="31"/>
        <v>1.8734299999999999E-2</v>
      </c>
      <c r="T127">
        <f>ROUND(IF(VLOOKUP($A127,EnrollData2324,'2324 Jun 24 Enroll'!D$1,FALSE)='District Calculations'!$F$11,VLOOKUP($A127,EnrollData2324,'2324 Jun 24 Enroll'!D$1,FALSE),'District Calculations'!$F$11)*S127,3)</f>
        <v>0</v>
      </c>
      <c r="U127">
        <f>ROUND(IF(VLOOKUP($A127,EnrollData2324,'2324 Jun 24 Enroll'!E$1,FALSE)='District Calculations'!$F$12,VLOOKUP($A127,EnrollData2324,'2324 Jun 24 Enroll'!E$1,FALSE),'District Calculations'!$F$12)*S127,3)</f>
        <v>15.183999999999999</v>
      </c>
      <c r="V127">
        <f>ROUND(IF(VLOOKUP($A127,EnrollData2324,'2324 Jun 24 Enroll'!F$1,FALSE)='District Calculations'!$F$13,VLOOKUP($A127,EnrollData2324,'2324 Jun 24 Enroll'!F$1,FALSE),'District Calculations'!$F$13)*Apport_224A2425,3)</f>
        <v>3.7109999999999999</v>
      </c>
      <c r="W127">
        <f>ROUND(IF(VLOOKUP($A127,EnrollData2324,'2324 Jun 24 Enroll'!G$1,FALSE)='District Calculations'!$F$14,VLOOKUP($A127,EnrollData2324,'2324 Jun 24 Enroll'!G$1,FALSE),'District Calculations'!$F$14)*Apport_212A2425,3)</f>
        <v>8.2279999999999998</v>
      </c>
      <c r="X127">
        <f>ROUND(IF(VLOOKUP($A127,EnrollData2324,'2324 Jun 24 Enroll'!H$1,FALSE)='District Calculations'!$F$14,VLOOKUP($A127,EnrollData2324,'2324 Jun 24 Enroll'!H$1,FALSE),'District Calculations'!$F$14)*Apport_215A2425,3)</f>
        <v>8.1180000000000003</v>
      </c>
      <c r="Y127">
        <f>ROUND(IF(VLOOKUP($A127,EnrollData2324,'2324 Jun 24 Enroll'!I$1,FALSE)+VLOOKUP($A127,EnrollData2324,'2324 Jun 24 Enroll'!M$1,FALSE)-VLOOKUP($A127,EnrollData2324,'2324 Jun 24 Enroll'!J$1,FALSE)='District Calculations'!$F$16+'District Calculations'!$F$25-'District Calculations'!$F$17,VLOOKUP($A127,EnrollData2324,'2324 Jun 24 Enroll'!I$1,FALSE)+VLOOKUP($A127,EnrollData2324,'2324 Jun 24 Enroll'!M$1,FALSE)-VLOOKUP($A127,EnrollData2324,'2324 Jun 24 Enroll'!J$1,FALSE),'District Calculations'!$F$16+'District Calculations'!$F$25-'District Calculations'!$F$17)*Apport_218A2425,3)</f>
        <v>20.257999999999999</v>
      </c>
      <c r="Z127">
        <f>ROUND(SUM(T127:Y127)/IF(VLOOKUP($A127,EnrollData2324,'2324 Jun 24 Enroll'!M$1,FALSE)+VLOOKUP($A127,EnrollData2324,'2324 Jun 24 Enroll'!D$1,FALSE)='District Calculations'!$F$25+'District Calculations'!$F$11,VLOOKUP($A127,EnrollData2324,'2324 Jun 24 Enroll'!M$1,FALSE)+VLOOKUP($A127,EnrollData2324,'2324 Jun 24 Enroll'!D$1,FALSE),'District Calculations'!$F$25+'District Calculations'!$F$11),5)</f>
        <v>1.7780000000000001E-2</v>
      </c>
      <c r="AA127" s="6">
        <f>ROUND($J127*CIS_Base_Salary2425*VLOOKUP($A127,EnrollData2324,'2324 Jun 24 Enroll'!AH$1,FALSE),2)</f>
        <v>5029.96</v>
      </c>
      <c r="AB127" s="6">
        <f>ROUND($J127*CIS_Inc_Salary2425*(VLOOKUP($A127,EnrollData2324,'2324 Jun 24 Enroll'!AI$1,FALSE)+VLOOKUP($A127,EnrollData2324,'2324 Jun 24 Enroll'!AJ$1,FALSE)),2)-AA127</f>
        <v>186.07999999999993</v>
      </c>
      <c r="AC127" s="6" cm="1">
        <f t="array" ref="AC127">ROUND($R127*CAS_Base_Salary2425*VLOOKUP($A127,EnrollData2324,'2324 Jun 24 Enroll'!AH$1,FALSE),2)</f>
        <v>544.26</v>
      </c>
      <c r="AD127" s="6">
        <f>ROUND($R127*CAS_Inc_Salary2425*VLOOKUP($A127,EnrollData2324,'2324 Jun 24 Enroll'!AI$1,FALSE),2)-AC127</f>
        <v>20.129999999999995</v>
      </c>
      <c r="AE127" s="6">
        <f>ROUND($Z127*CLS_Base_Salary2425*VLOOKUP($A127,EnrollData2324,'2324 Jun 24 Enroll'!AH$1,FALSE),2)</f>
        <v>1135.0999999999999</v>
      </c>
      <c r="AF127" s="6">
        <f>ROUND($Z127*CLS_Inc_Salary2425*VLOOKUP($A127,EnrollData2324,'2324 Jun 24 Enroll'!AI$1,FALSE),2)-AE127</f>
        <v>42.009999999999991</v>
      </c>
      <c r="AG127" cm="1">
        <f t="array" ref="AG127">ROUND(($J127+$R127)*Apport_124X2425,2)</f>
        <v>800.45</v>
      </c>
      <c r="AH127" s="69" cm="1">
        <f t="array" ref="AH127">ROUND(($J127+$R127)*Apport_621X2425*Apport_125XC2425,2)-AG127</f>
        <v>73.899999999999977</v>
      </c>
      <c r="AI127" cm="1">
        <f t="array" ref="AI127">ROUND($Z127*Apport_124X2425,2)</f>
        <v>234.7</v>
      </c>
      <c r="AJ127">
        <f t="shared" si="32"/>
        <v>124.71000000000004</v>
      </c>
      <c r="AK127">
        <f t="shared" si="33"/>
        <v>1011.72</v>
      </c>
      <c r="AL127">
        <f t="shared" si="34"/>
        <v>36.11</v>
      </c>
      <c r="AM127">
        <f t="shared" si="35"/>
        <v>245.86</v>
      </c>
      <c r="AN127">
        <f t="shared" si="36"/>
        <v>7.63</v>
      </c>
      <c r="AO127">
        <f>ROUND(($J127*CIS_Inc_Salary2425*(VLOOKUP($A127,EnrollData2324,'2324 Jun 24 Enroll'!AI$1,FALSE)+VLOOKUP($A127,EnrollData2324,'2324 Jun 24 Enroll'!AJ$1,FALSE))/Apport_613Xpd)*Apport_614Xpd,2)</f>
        <v>86.93</v>
      </c>
      <c r="AP127">
        <f t="shared" si="37"/>
        <v>15.22</v>
      </c>
      <c r="AQ127">
        <f t="shared" si="38"/>
        <v>31.48</v>
      </c>
      <c r="AR127" s="6">
        <f>ROUND((VLOOKUP($A127,EnrollData2324,'2324 Jun 24 Enroll'!D$1,FALSE)*Apport_M802425+VLOOKUP($A127,EnrollData2324,'2324 Jun 24 Enroll'!M$1,FALSE)*Apport_M802425+(VLOOKUP($A127,EnrollData2324,'2324 Jun 24 Enroll'!P$1,FALSE)+VLOOKUP($A127,EnrollData2324,'2324 Jun 24 Enroll'!Q$1,FALSE)+VLOOKUP($A127,EnrollData2324,'2324 Jun 24 Enroll'!R$1,FALSE)+VLOOKUP($A127,EnrollData2324,'2324 Jun 24 Enroll'!I$1,FALSE)+VLOOKUP($A127,EnrollData2324,'2324 Jun 24 Enroll'!N$1,FALSE)+VLOOKUP($A127,EnrollData2324,'2324 Jun 24 Enroll'!O$1,FALSE)+VLOOKUP($A127,EnrollData2324,'2324 Jun 24 Enroll'!K$1,FALSE)+VLOOKUP($A127,EnrollData2324,'2324 Jun 24 Enroll'!L$1,FALSE))*Apport_M812425)/(VLOOKUP($A127,EnrollData2324,'2324 Jun 24 Enroll'!M$1,FALSE)+VLOOKUP($A127,EnrollData2324,'2324 Jun 24 Enroll'!D$1,FALSE)),2)</f>
        <v>1604.81</v>
      </c>
      <c r="AS127" s="7">
        <f t="shared" si="39"/>
        <v>11231.06</v>
      </c>
    </row>
    <row r="128" spans="1:45">
      <c r="A128" s="40" t="s">
        <v>327</v>
      </c>
      <c r="B128" s="40" t="s">
        <v>328</v>
      </c>
      <c r="C128" s="11">
        <f>ROUND((IFERROR((1/IF(VLOOKUP($A128,EnrollData2324,28,FALSE)='District Calculations'!$F$10,VLOOKUP($A128,EnrollData2324,28,FALSE),'District Calculations'!$F$10))*(1+Apport_Z315),0))+Apport_201A2425,6)</f>
        <v>7.4580999999999995E-2</v>
      </c>
      <c r="D128">
        <f>ROUND(IF(VLOOKUP($A128,EnrollData2324,'2324 Jun 24 Enroll'!D$1,FALSE)='District Calculations'!$F$11,VLOOKUP($A128,EnrollData2324,'2324 Jun 24 Enroll'!D$1,FALSE),'District Calculations'!$F$11)*C128,3)</f>
        <v>0</v>
      </c>
      <c r="E128">
        <f>ROUND(IF(VLOOKUP($A128,EnrollData2324,'2324 Jun 24 Enroll'!E$1,FALSE)='District Calculations'!$F$12,VLOOKUP($A128,EnrollData2324,'2324 Jun 24 Enroll'!E$1,FALSE),'District Calculations'!$F$12)*C128,3)</f>
        <v>60.447000000000003</v>
      </c>
      <c r="F128">
        <f>ROUND(IF(VLOOKUP($A128,EnrollData2324,'2324 Jun 24 Enroll'!F$1,FALSE)='District Calculations'!$F$13,VLOOKUP($A128,EnrollData2324,'2324 Jun 24 Enroll'!F$1,FALSE),'District Calculations'!$F$13)*Apport_222A2425,3)</f>
        <v>10.337999999999999</v>
      </c>
      <c r="G128">
        <f>ROUND(IF(VLOOKUP($A128,EnrollData2324,'2324 Jun 24 Enroll'!G$1,FALSE)='District Calculations'!$F$14,VLOOKUP($A128,EnrollData2324,'2324 Jun 24 Enroll'!G$1,FALSE),'District Calculations'!$F$14)*Apport_210A2425,3)</f>
        <v>22.92</v>
      </c>
      <c r="H128">
        <f>ROUND(IF(VLOOKUP($A128,EnrollData2324,'2324 Jun 24 Enroll'!H$1,FALSE)='District Calculations'!$F$15,VLOOKUP($A128,EnrollData2324,'2324 Jun 24 Enroll'!H$1,FALSE),'District Calculations'!$F$15)*Apport_213A2425,3)</f>
        <v>23.619</v>
      </c>
      <c r="I128">
        <f>ROUND(IF(VLOOKUP($A128,EnrollData2324,'2324 Jun 24 Enroll'!I$1,FALSE)+VLOOKUP($A128,EnrollData2324,'2324 Jun 24 Enroll'!M$1,FALSE)-VLOOKUP($A128,EnrollData2324,'2324 Jun 24 Enroll'!J$1,FALSE)='District Calculations'!$F$16+'District Calculations'!$F$25-'District Calculations'!$F$17,VLOOKUP($A128,EnrollData2324,'2324 Jun 24 Enroll'!I$1,FALSE)+VLOOKUP($A128,EnrollData2324,'2324 Jun 24 Enroll'!M$1,FALSE)-VLOOKUP($A128,EnrollData2324,'2324 Jun 24 Enroll'!J$1,FALSE),'District Calculations'!$F$16+'District Calculations'!$F$25-'District Calculations'!$F$17)*Apport_216A2425,3)</f>
        <v>59.057000000000002</v>
      </c>
      <c r="J128">
        <f>ROUND(SUM(D128:I128)/(IF(VLOOKUP($A128,EnrollData2324,'2324 Jun 24 Enroll'!M$1,FALSE)='District Calculations'!$F$25,VLOOKUP($A128,EnrollData2324,'2324 Jun 24 Enroll'!M$1,FALSE),'District Calculations'!$F$25)+IF(VLOOKUP($A128,EnrollData2324,'2324 Jun 24 Enroll'!D$1,FALSE)='District Calculations'!$F$11,VLOOKUP($A128,EnrollData2324,'2324 Jun 24 Enroll'!D$1,FALSE),'District Calculations'!$F$11)),5)</f>
        <v>5.6520000000000001E-2</v>
      </c>
      <c r="K128" s="11">
        <f t="shared" si="30"/>
        <v>4.385E-3</v>
      </c>
      <c r="L128">
        <f>ROUND(IF(VLOOKUP($A128,EnrollData2324,'2324 Jun 24 Enroll'!D$1,FALSE)='District Calculations'!$F$11,VLOOKUP($A128,EnrollData2324,'2324 Jun 24 Enroll'!D$1,FALSE),'District Calculations'!$F$11)*K128,3)</f>
        <v>0</v>
      </c>
      <c r="M128">
        <f>ROUND(IF(VLOOKUP($A128,EnrollData2324,'2324 Jun 24 Enroll'!E$1,FALSE)='District Calculations'!$F$12,VLOOKUP($A128,EnrollData2324,'2324 Jun 24 Enroll'!E$1,FALSE),'District Calculations'!$F$12)*K128,3)</f>
        <v>3.5539999999999998</v>
      </c>
      <c r="N128">
        <f>ROUND(IF(VLOOKUP($A128,EnrollData2324,'2324 Jun 24 Enroll'!F$1,FALSE)='District Calculations'!$F$13,VLOOKUP($A128,EnrollData2324,'2324 Jun 24 Enroll'!F$1,FALSE),'District Calculations'!$F$13)*Apport_223A2425,3)</f>
        <v>0.84599999999999997</v>
      </c>
      <c r="O128">
        <f>ROUND(IF(VLOOKUP($A128,EnrollData2324,'2324 Jun 24 Enroll'!G$1,FALSE)='District Calculations'!$F$14,VLOOKUP($A128,EnrollData2324,'2324 Jun 24 Enroll'!G$1,FALSE),'District Calculations'!$F$14)*Apport_211A2425,3)</f>
        <v>1.877</v>
      </c>
      <c r="P128">
        <f>ROUND(IF(VLOOKUP($A128,EnrollData2324,'2324 Jun 24 Enroll'!H$1,FALSE)='District Calculations'!$F$14,VLOOKUP($A128,EnrollData2324,'2324 Jun 24 Enroll'!H$1,FALSE),'District Calculations'!$F$14)*Apport_214A2425,3)</f>
        <v>1.875</v>
      </c>
      <c r="Q128">
        <f>ROUND(IF(VLOOKUP($A128,EnrollData2324,'2324 Jun 24 Enroll'!I$1,FALSE)+VLOOKUP($A128,EnrollData2324,'2324 Jun 24 Enroll'!M$1,FALSE)-VLOOKUP($A128,EnrollData2324,'2324 Jun 24 Enroll'!J$1,FALSE)='District Calculations'!$F$16+'District Calculations'!$F$25-'District Calculations'!$F$17,VLOOKUP($A128,EnrollData2324,'2324 Jun 24 Enroll'!I$1,FALSE)+VLOOKUP($A128,EnrollData2324,'2324 Jun 24 Enroll'!M$1,FALSE)-VLOOKUP($A128,EnrollData2324,'2324 Jun 24 Enroll'!J$1,FALSE),'District Calculations'!$F$16+'District Calculations'!$F$25-'District Calculations'!$F$17)*Apport_217A2425,3)</f>
        <v>4.7130000000000001</v>
      </c>
      <c r="R128">
        <f>ROUND(SUM(L128:Q128)/IF(VLOOKUP($A128,EnrollData2324,'2324 Jun 24 Enroll'!M$1,FALSE)+VLOOKUP($A128,EnrollData2324,'2324 Jun 24 Enroll'!D$1,FALSE)='District Calculations'!$F$25+'District Calculations'!$F$11,VLOOKUP($A128,EnrollData2324,'2324 Jun 24 Enroll'!M$1,FALSE)+VLOOKUP($A128,EnrollData2324,'2324 Jun 24 Enroll'!D$1,FALSE),'District Calculations'!$F$25+'District Calculations'!$F$11),5)</f>
        <v>4.1200000000000004E-3</v>
      </c>
      <c r="S128" s="11">
        <f t="shared" si="31"/>
        <v>1.8734299999999999E-2</v>
      </c>
      <c r="T128">
        <f>ROUND(IF(VLOOKUP($A128,EnrollData2324,'2324 Jun 24 Enroll'!D$1,FALSE)='District Calculations'!$F$11,VLOOKUP($A128,EnrollData2324,'2324 Jun 24 Enroll'!D$1,FALSE),'District Calculations'!$F$11)*S128,3)</f>
        <v>0</v>
      </c>
      <c r="U128">
        <f>ROUND(IF(VLOOKUP($A128,EnrollData2324,'2324 Jun 24 Enroll'!E$1,FALSE)='District Calculations'!$F$12,VLOOKUP($A128,EnrollData2324,'2324 Jun 24 Enroll'!E$1,FALSE),'District Calculations'!$F$12)*S128,3)</f>
        <v>15.183999999999999</v>
      </c>
      <c r="V128">
        <f>ROUND(IF(VLOOKUP($A128,EnrollData2324,'2324 Jun 24 Enroll'!F$1,FALSE)='District Calculations'!$F$13,VLOOKUP($A128,EnrollData2324,'2324 Jun 24 Enroll'!F$1,FALSE),'District Calculations'!$F$13)*Apport_224A2425,3)</f>
        <v>3.7109999999999999</v>
      </c>
      <c r="W128">
        <f>ROUND(IF(VLOOKUP($A128,EnrollData2324,'2324 Jun 24 Enroll'!G$1,FALSE)='District Calculations'!$F$14,VLOOKUP($A128,EnrollData2324,'2324 Jun 24 Enroll'!G$1,FALSE),'District Calculations'!$F$14)*Apport_212A2425,3)</f>
        <v>8.2279999999999998</v>
      </c>
      <c r="X128">
        <f>ROUND(IF(VLOOKUP($A128,EnrollData2324,'2324 Jun 24 Enroll'!H$1,FALSE)='District Calculations'!$F$14,VLOOKUP($A128,EnrollData2324,'2324 Jun 24 Enroll'!H$1,FALSE),'District Calculations'!$F$14)*Apport_215A2425,3)</f>
        <v>8.1180000000000003</v>
      </c>
      <c r="Y128">
        <f>ROUND(IF(VLOOKUP($A128,EnrollData2324,'2324 Jun 24 Enroll'!I$1,FALSE)+VLOOKUP($A128,EnrollData2324,'2324 Jun 24 Enroll'!M$1,FALSE)-VLOOKUP($A128,EnrollData2324,'2324 Jun 24 Enroll'!J$1,FALSE)='District Calculations'!$F$16+'District Calculations'!$F$25-'District Calculations'!$F$17,VLOOKUP($A128,EnrollData2324,'2324 Jun 24 Enroll'!I$1,FALSE)+VLOOKUP($A128,EnrollData2324,'2324 Jun 24 Enroll'!M$1,FALSE)-VLOOKUP($A128,EnrollData2324,'2324 Jun 24 Enroll'!J$1,FALSE),'District Calculations'!$F$16+'District Calculations'!$F$25-'District Calculations'!$F$17)*Apport_218A2425,3)</f>
        <v>20.257999999999999</v>
      </c>
      <c r="Z128">
        <f>ROUND(SUM(T128:Y128)/IF(VLOOKUP($A128,EnrollData2324,'2324 Jun 24 Enroll'!M$1,FALSE)+VLOOKUP($A128,EnrollData2324,'2324 Jun 24 Enroll'!D$1,FALSE)='District Calculations'!$F$25+'District Calculations'!$F$11,VLOOKUP($A128,EnrollData2324,'2324 Jun 24 Enroll'!M$1,FALSE)+VLOOKUP($A128,EnrollData2324,'2324 Jun 24 Enroll'!D$1,FALSE),'District Calculations'!$F$25+'District Calculations'!$F$11),5)</f>
        <v>1.7780000000000001E-2</v>
      </c>
      <c r="AA128" s="6">
        <f>ROUND($J128*CIS_Base_Salary2425*VLOOKUP($A128,EnrollData2324,'2324 Jun 24 Enroll'!AH$1,FALSE),2)</f>
        <v>4774.2</v>
      </c>
      <c r="AB128" s="6">
        <f>ROUND($J128*CIS_Inc_Salary2425*(VLOOKUP($A128,EnrollData2324,'2324 Jun 24 Enroll'!AI$1,FALSE)+VLOOKUP($A128,EnrollData2324,'2324 Jun 24 Enroll'!AJ$1,FALSE)),2)-AA128</f>
        <v>176.61999999999989</v>
      </c>
      <c r="AC128" s="6" cm="1">
        <f t="array" ref="AC128">ROUND($R128*CAS_Base_Salary2425*VLOOKUP($A128,EnrollData2324,'2324 Jun 24 Enroll'!AH$1,FALSE),2)</f>
        <v>516.58000000000004</v>
      </c>
      <c r="AD128" s="6">
        <f>ROUND($R128*CAS_Inc_Salary2425*VLOOKUP($A128,EnrollData2324,'2324 Jun 24 Enroll'!AI$1,FALSE),2)-AC128</f>
        <v>19.110000000000014</v>
      </c>
      <c r="AE128" s="6">
        <f>ROUND($Z128*CLS_Base_Salary2425*VLOOKUP($A128,EnrollData2324,'2324 Jun 24 Enroll'!AH$1,FALSE),2)</f>
        <v>1077.3900000000001</v>
      </c>
      <c r="AF128" s="6">
        <f>ROUND($Z128*CLS_Inc_Salary2425*VLOOKUP($A128,EnrollData2324,'2324 Jun 24 Enroll'!AI$1,FALSE),2)-AE128</f>
        <v>39.8599999999999</v>
      </c>
      <c r="AG128" cm="1">
        <f t="array" ref="AG128">ROUND(($J128+$R128)*Apport_124X2425,2)</f>
        <v>800.45</v>
      </c>
      <c r="AH128" s="69" cm="1">
        <f t="array" ref="AH128">ROUND(($J128+$R128)*Apport_621X2425*Apport_125XC2425,2)-AG128</f>
        <v>73.899999999999977</v>
      </c>
      <c r="AI128" cm="1">
        <f t="array" ref="AI128">ROUND($Z128*Apport_124X2425,2)</f>
        <v>234.7</v>
      </c>
      <c r="AJ128">
        <f t="shared" si="32"/>
        <v>124.71000000000004</v>
      </c>
      <c r="AK128">
        <f t="shared" si="33"/>
        <v>960.28</v>
      </c>
      <c r="AL128">
        <f t="shared" si="34"/>
        <v>34.270000000000003</v>
      </c>
      <c r="AM128">
        <f t="shared" si="35"/>
        <v>233.36</v>
      </c>
      <c r="AN128">
        <f t="shared" si="36"/>
        <v>7.24</v>
      </c>
      <c r="AO128">
        <f>ROUND(($J128*CIS_Inc_Salary2425*(VLOOKUP($A128,EnrollData2324,'2324 Jun 24 Enroll'!AI$1,FALSE)+VLOOKUP($A128,EnrollData2324,'2324 Jun 24 Enroll'!AJ$1,FALSE))/Apport_613Xpd)*Apport_614Xpd,2)</f>
        <v>82.51</v>
      </c>
      <c r="AP128">
        <f t="shared" si="37"/>
        <v>14.45</v>
      </c>
      <c r="AQ128">
        <f t="shared" si="38"/>
        <v>31.48</v>
      </c>
      <c r="AR128" s="6">
        <f>ROUND((VLOOKUP($A128,EnrollData2324,'2324 Jun 24 Enroll'!D$1,FALSE)*Apport_M802425+VLOOKUP($A128,EnrollData2324,'2324 Jun 24 Enroll'!M$1,FALSE)*Apport_M802425+(VLOOKUP($A128,EnrollData2324,'2324 Jun 24 Enroll'!P$1,FALSE)+VLOOKUP($A128,EnrollData2324,'2324 Jun 24 Enroll'!Q$1,FALSE)+VLOOKUP($A128,EnrollData2324,'2324 Jun 24 Enroll'!R$1,FALSE)+VLOOKUP($A128,EnrollData2324,'2324 Jun 24 Enroll'!I$1,FALSE)+VLOOKUP($A128,EnrollData2324,'2324 Jun 24 Enroll'!N$1,FALSE)+VLOOKUP($A128,EnrollData2324,'2324 Jun 24 Enroll'!O$1,FALSE)+VLOOKUP($A128,EnrollData2324,'2324 Jun 24 Enroll'!K$1,FALSE)+VLOOKUP($A128,EnrollData2324,'2324 Jun 24 Enroll'!L$1,FALSE))*Apport_M812425)/(VLOOKUP($A128,EnrollData2324,'2324 Jun 24 Enroll'!M$1,FALSE)+VLOOKUP($A128,EnrollData2324,'2324 Jun 24 Enroll'!D$1,FALSE)),2)</f>
        <v>1601.66</v>
      </c>
      <c r="AS128" s="7">
        <f t="shared" si="39"/>
        <v>10802.77</v>
      </c>
    </row>
    <row r="129" spans="1:45">
      <c r="A129" s="40" t="s">
        <v>813</v>
      </c>
      <c r="B129" s="40" t="s">
        <v>814</v>
      </c>
      <c r="C129" s="11">
        <f>ROUND((IFERROR((1/IF(VLOOKUP($A129,EnrollData2324,28,FALSE)='District Calculations'!$F$10,VLOOKUP($A129,EnrollData2324,28,FALSE),'District Calculations'!$F$10))*(1+Apport_Z315),0))+Apport_201A2425,6)</f>
        <v>7.4580999999999995E-2</v>
      </c>
      <c r="D129">
        <f>ROUND(IF(VLOOKUP($A129,EnrollData2324,'2324 Jun 24 Enroll'!D$1,FALSE)='District Calculations'!$F$11,VLOOKUP($A129,EnrollData2324,'2324 Jun 24 Enroll'!D$1,FALSE),'District Calculations'!$F$11)*C129,3)</f>
        <v>0</v>
      </c>
      <c r="E129">
        <f>ROUND(IF(VLOOKUP($A129,EnrollData2324,'2324 Jun 24 Enroll'!E$1,FALSE)='District Calculations'!$F$12,VLOOKUP($A129,EnrollData2324,'2324 Jun 24 Enroll'!E$1,FALSE),'District Calculations'!$F$12)*C129,3)</f>
        <v>60.447000000000003</v>
      </c>
      <c r="F129">
        <f>ROUND(IF(VLOOKUP($A129,EnrollData2324,'2324 Jun 24 Enroll'!F$1,FALSE)='District Calculations'!$F$13,VLOOKUP($A129,EnrollData2324,'2324 Jun 24 Enroll'!F$1,FALSE),'District Calculations'!$F$13)*Apport_222A2425,3)</f>
        <v>10.337999999999999</v>
      </c>
      <c r="G129">
        <f>ROUND(IF(VLOOKUP($A129,EnrollData2324,'2324 Jun 24 Enroll'!G$1,FALSE)='District Calculations'!$F$14,VLOOKUP($A129,EnrollData2324,'2324 Jun 24 Enroll'!G$1,FALSE),'District Calculations'!$F$14)*Apport_210A2425,3)</f>
        <v>22.92</v>
      </c>
      <c r="H129">
        <f>ROUND(IF(VLOOKUP($A129,EnrollData2324,'2324 Jun 24 Enroll'!H$1,FALSE)='District Calculations'!$F$15,VLOOKUP($A129,EnrollData2324,'2324 Jun 24 Enroll'!H$1,FALSE),'District Calculations'!$F$15)*Apport_213A2425,3)</f>
        <v>23.619</v>
      </c>
      <c r="I129">
        <f>ROUND(IF(VLOOKUP($A129,EnrollData2324,'2324 Jun 24 Enroll'!I$1,FALSE)+VLOOKUP($A129,EnrollData2324,'2324 Jun 24 Enroll'!M$1,FALSE)-VLOOKUP($A129,EnrollData2324,'2324 Jun 24 Enroll'!J$1,FALSE)='District Calculations'!$F$16+'District Calculations'!$F$25-'District Calculations'!$F$17,VLOOKUP($A129,EnrollData2324,'2324 Jun 24 Enroll'!I$1,FALSE)+VLOOKUP($A129,EnrollData2324,'2324 Jun 24 Enroll'!M$1,FALSE)-VLOOKUP($A129,EnrollData2324,'2324 Jun 24 Enroll'!J$1,FALSE),'District Calculations'!$F$16+'District Calculations'!$F$25-'District Calculations'!$F$17)*Apport_216A2425,3)</f>
        <v>59.057000000000002</v>
      </c>
      <c r="J129">
        <f>ROUND(SUM(D129:I129)/(IF(VLOOKUP($A129,EnrollData2324,'2324 Jun 24 Enroll'!M$1,FALSE)='District Calculations'!$F$25,VLOOKUP($A129,EnrollData2324,'2324 Jun 24 Enroll'!M$1,FALSE),'District Calculations'!$F$25)+IF(VLOOKUP($A129,EnrollData2324,'2324 Jun 24 Enroll'!D$1,FALSE)='District Calculations'!$F$11,VLOOKUP($A129,EnrollData2324,'2324 Jun 24 Enroll'!D$1,FALSE),'District Calculations'!$F$11)),5)</f>
        <v>5.6520000000000001E-2</v>
      </c>
      <c r="K129" s="11">
        <f t="shared" si="30"/>
        <v>4.385E-3</v>
      </c>
      <c r="L129">
        <f>ROUND(IF(VLOOKUP($A129,EnrollData2324,'2324 Jun 24 Enroll'!D$1,FALSE)='District Calculations'!$F$11,VLOOKUP($A129,EnrollData2324,'2324 Jun 24 Enroll'!D$1,FALSE),'District Calculations'!$F$11)*K129,3)</f>
        <v>0</v>
      </c>
      <c r="M129">
        <f>ROUND(IF(VLOOKUP($A129,EnrollData2324,'2324 Jun 24 Enroll'!E$1,FALSE)='District Calculations'!$F$12,VLOOKUP($A129,EnrollData2324,'2324 Jun 24 Enroll'!E$1,FALSE),'District Calculations'!$F$12)*K129,3)</f>
        <v>3.5539999999999998</v>
      </c>
      <c r="N129">
        <f>ROUND(IF(VLOOKUP($A129,EnrollData2324,'2324 Jun 24 Enroll'!F$1,FALSE)='District Calculations'!$F$13,VLOOKUP($A129,EnrollData2324,'2324 Jun 24 Enroll'!F$1,FALSE),'District Calculations'!$F$13)*Apport_223A2425,3)</f>
        <v>0.84599999999999997</v>
      </c>
      <c r="O129">
        <f>ROUND(IF(VLOOKUP($A129,EnrollData2324,'2324 Jun 24 Enroll'!G$1,FALSE)='District Calculations'!$F$14,VLOOKUP($A129,EnrollData2324,'2324 Jun 24 Enroll'!G$1,FALSE),'District Calculations'!$F$14)*Apport_211A2425,3)</f>
        <v>1.877</v>
      </c>
      <c r="P129">
        <f>ROUND(IF(VLOOKUP($A129,EnrollData2324,'2324 Jun 24 Enroll'!H$1,FALSE)='District Calculations'!$F$14,VLOOKUP($A129,EnrollData2324,'2324 Jun 24 Enroll'!H$1,FALSE),'District Calculations'!$F$14)*Apport_214A2425,3)</f>
        <v>1.875</v>
      </c>
      <c r="Q129">
        <f>ROUND(IF(VLOOKUP($A129,EnrollData2324,'2324 Jun 24 Enroll'!I$1,FALSE)+VLOOKUP($A129,EnrollData2324,'2324 Jun 24 Enroll'!M$1,FALSE)-VLOOKUP($A129,EnrollData2324,'2324 Jun 24 Enroll'!J$1,FALSE)='District Calculations'!$F$16+'District Calculations'!$F$25-'District Calculations'!$F$17,VLOOKUP($A129,EnrollData2324,'2324 Jun 24 Enroll'!I$1,FALSE)+VLOOKUP($A129,EnrollData2324,'2324 Jun 24 Enroll'!M$1,FALSE)-VLOOKUP($A129,EnrollData2324,'2324 Jun 24 Enroll'!J$1,FALSE),'District Calculations'!$F$16+'District Calculations'!$F$25-'District Calculations'!$F$17)*Apport_217A2425,3)</f>
        <v>4.7130000000000001</v>
      </c>
      <c r="R129">
        <f>ROUND(SUM(L129:Q129)/IF(VLOOKUP($A129,EnrollData2324,'2324 Jun 24 Enroll'!M$1,FALSE)+VLOOKUP($A129,EnrollData2324,'2324 Jun 24 Enroll'!D$1,FALSE)='District Calculations'!$F$25+'District Calculations'!$F$11,VLOOKUP($A129,EnrollData2324,'2324 Jun 24 Enroll'!M$1,FALSE)+VLOOKUP($A129,EnrollData2324,'2324 Jun 24 Enroll'!D$1,FALSE),'District Calculations'!$F$25+'District Calculations'!$F$11),5)</f>
        <v>4.1200000000000004E-3</v>
      </c>
      <c r="S129" s="11">
        <f t="shared" si="31"/>
        <v>1.8734299999999999E-2</v>
      </c>
      <c r="T129">
        <f>ROUND(IF(VLOOKUP($A129,EnrollData2324,'2324 Jun 24 Enroll'!D$1,FALSE)='District Calculations'!$F$11,VLOOKUP($A129,EnrollData2324,'2324 Jun 24 Enroll'!D$1,FALSE),'District Calculations'!$F$11)*S129,3)</f>
        <v>0</v>
      </c>
      <c r="U129">
        <f>ROUND(IF(VLOOKUP($A129,EnrollData2324,'2324 Jun 24 Enroll'!E$1,FALSE)='District Calculations'!$F$12,VLOOKUP($A129,EnrollData2324,'2324 Jun 24 Enroll'!E$1,FALSE),'District Calculations'!$F$12)*S129,3)</f>
        <v>15.183999999999999</v>
      </c>
      <c r="V129">
        <f>ROUND(IF(VLOOKUP($A129,EnrollData2324,'2324 Jun 24 Enroll'!F$1,FALSE)='District Calculations'!$F$13,VLOOKUP($A129,EnrollData2324,'2324 Jun 24 Enroll'!F$1,FALSE),'District Calculations'!$F$13)*Apport_224A2425,3)</f>
        <v>3.7109999999999999</v>
      </c>
      <c r="W129">
        <f>ROUND(IF(VLOOKUP($A129,EnrollData2324,'2324 Jun 24 Enroll'!G$1,FALSE)='District Calculations'!$F$14,VLOOKUP($A129,EnrollData2324,'2324 Jun 24 Enroll'!G$1,FALSE),'District Calculations'!$F$14)*Apport_212A2425,3)</f>
        <v>8.2279999999999998</v>
      </c>
      <c r="X129">
        <f>ROUND(IF(VLOOKUP($A129,EnrollData2324,'2324 Jun 24 Enroll'!H$1,FALSE)='District Calculations'!$F$14,VLOOKUP($A129,EnrollData2324,'2324 Jun 24 Enroll'!H$1,FALSE),'District Calculations'!$F$14)*Apport_215A2425,3)</f>
        <v>8.1180000000000003</v>
      </c>
      <c r="Y129">
        <f>ROUND(IF(VLOOKUP($A129,EnrollData2324,'2324 Jun 24 Enroll'!I$1,FALSE)+VLOOKUP($A129,EnrollData2324,'2324 Jun 24 Enroll'!M$1,FALSE)-VLOOKUP($A129,EnrollData2324,'2324 Jun 24 Enroll'!J$1,FALSE)='District Calculations'!$F$16+'District Calculations'!$F$25-'District Calculations'!$F$17,VLOOKUP($A129,EnrollData2324,'2324 Jun 24 Enroll'!I$1,FALSE)+VLOOKUP($A129,EnrollData2324,'2324 Jun 24 Enroll'!M$1,FALSE)-VLOOKUP($A129,EnrollData2324,'2324 Jun 24 Enroll'!J$1,FALSE),'District Calculations'!$F$16+'District Calculations'!$F$25-'District Calculations'!$F$17)*Apport_218A2425,3)</f>
        <v>20.257999999999999</v>
      </c>
      <c r="Z129">
        <f>ROUND(SUM(T129:Y129)/IF(VLOOKUP($A129,EnrollData2324,'2324 Jun 24 Enroll'!M$1,FALSE)+VLOOKUP($A129,EnrollData2324,'2324 Jun 24 Enroll'!D$1,FALSE)='District Calculations'!$F$25+'District Calculations'!$F$11,VLOOKUP($A129,EnrollData2324,'2324 Jun 24 Enroll'!M$1,FALSE)+VLOOKUP($A129,EnrollData2324,'2324 Jun 24 Enroll'!D$1,FALSE),'District Calculations'!$F$25+'District Calculations'!$F$11),5)</f>
        <v>1.7780000000000001E-2</v>
      </c>
      <c r="AA129" s="6">
        <f>ROUND($J129*CIS_Base_Salary2425*VLOOKUP($A129,EnrollData2324,'2324 Jun 24 Enroll'!AH$1,FALSE),2)</f>
        <v>5029.96</v>
      </c>
      <c r="AB129" s="6">
        <f>ROUND($J129*CIS_Inc_Salary2425*(VLOOKUP($A129,EnrollData2324,'2324 Jun 24 Enroll'!AI$1,FALSE)+VLOOKUP($A129,EnrollData2324,'2324 Jun 24 Enroll'!AJ$1,FALSE)),2)-AA129</f>
        <v>362.89000000000033</v>
      </c>
      <c r="AC129" s="6" cm="1">
        <f t="array" ref="AC129">ROUND($R129*CAS_Base_Salary2425*VLOOKUP($A129,EnrollData2324,'2324 Jun 24 Enroll'!AH$1,FALSE),2)</f>
        <v>544.26</v>
      </c>
      <c r="AD129" s="6">
        <f>ROUND($R129*CAS_Inc_Salary2425*VLOOKUP($A129,EnrollData2324,'2324 Jun 24 Enroll'!AI$1,FALSE),2)-AC129</f>
        <v>20.129999999999995</v>
      </c>
      <c r="AE129" s="6">
        <f>ROUND($Z129*CLS_Base_Salary2425*VLOOKUP($A129,EnrollData2324,'2324 Jun 24 Enroll'!AH$1,FALSE),2)</f>
        <v>1135.0999999999999</v>
      </c>
      <c r="AF129" s="6">
        <f>ROUND($Z129*CLS_Inc_Salary2425*VLOOKUP($A129,EnrollData2324,'2324 Jun 24 Enroll'!AI$1,FALSE),2)-AE129</f>
        <v>42.009999999999991</v>
      </c>
      <c r="AG129" cm="1">
        <f t="array" ref="AG129">ROUND(($J129+$R129)*Apport_124X2425,2)</f>
        <v>800.45</v>
      </c>
      <c r="AH129" s="69" cm="1">
        <f t="array" ref="AH129">ROUND(($J129+$R129)*Apport_621X2425*Apport_125XC2425,2)-AG129</f>
        <v>73.899999999999977</v>
      </c>
      <c r="AI129" cm="1">
        <f t="array" ref="AI129">ROUND($Z129*Apport_124X2425,2)</f>
        <v>234.7</v>
      </c>
      <c r="AJ129">
        <f t="shared" si="32"/>
        <v>124.71000000000004</v>
      </c>
      <c r="AK129">
        <f t="shared" si="33"/>
        <v>1011.72</v>
      </c>
      <c r="AL129">
        <f t="shared" si="34"/>
        <v>67.069999999999993</v>
      </c>
      <c r="AM129">
        <f t="shared" si="35"/>
        <v>245.86</v>
      </c>
      <c r="AN129">
        <f t="shared" si="36"/>
        <v>7.63</v>
      </c>
      <c r="AO129">
        <f>ROUND(($J129*CIS_Inc_Salary2425*(VLOOKUP($A129,EnrollData2324,'2324 Jun 24 Enroll'!AI$1,FALSE)+VLOOKUP($A129,EnrollData2324,'2324 Jun 24 Enroll'!AJ$1,FALSE))/Apport_613Xpd)*Apport_614Xpd,2)</f>
        <v>89.88</v>
      </c>
      <c r="AP129">
        <f t="shared" si="37"/>
        <v>15.74</v>
      </c>
      <c r="AQ129">
        <f t="shared" si="38"/>
        <v>31.48</v>
      </c>
      <c r="AR129" s="6">
        <f>ROUND((VLOOKUP($A129,EnrollData2324,'2324 Jun 24 Enroll'!D$1,FALSE)*Apport_M802425+VLOOKUP($A129,EnrollData2324,'2324 Jun 24 Enroll'!M$1,FALSE)*Apport_M802425+(VLOOKUP($A129,EnrollData2324,'2324 Jun 24 Enroll'!P$1,FALSE)+VLOOKUP($A129,EnrollData2324,'2324 Jun 24 Enroll'!Q$1,FALSE)+VLOOKUP($A129,EnrollData2324,'2324 Jun 24 Enroll'!R$1,FALSE)+VLOOKUP($A129,EnrollData2324,'2324 Jun 24 Enroll'!I$1,FALSE)+VLOOKUP($A129,EnrollData2324,'2324 Jun 24 Enroll'!N$1,FALSE)+VLOOKUP($A129,EnrollData2324,'2324 Jun 24 Enroll'!O$1,FALSE)+VLOOKUP($A129,EnrollData2324,'2324 Jun 24 Enroll'!K$1,FALSE)+VLOOKUP($A129,EnrollData2324,'2324 Jun 24 Enroll'!L$1,FALSE))*Apport_M812425)/(VLOOKUP($A129,EnrollData2324,'2324 Jun 24 Enroll'!M$1,FALSE)+VLOOKUP($A129,EnrollData2324,'2324 Jun 24 Enroll'!D$1,FALSE)),2)</f>
        <v>1597.64</v>
      </c>
      <c r="AS129" s="7">
        <f t="shared" si="39"/>
        <v>11435.129999999997</v>
      </c>
    </row>
    <row r="130" spans="1:45">
      <c r="A130" s="40" t="s">
        <v>769</v>
      </c>
      <c r="B130" s="40" t="s">
        <v>770</v>
      </c>
      <c r="C130" s="11">
        <f>ROUND((IFERROR((1/IF(VLOOKUP($A130,EnrollData2324,28,FALSE)='District Calculations'!$F$10,VLOOKUP($A130,EnrollData2324,28,FALSE),'District Calculations'!$F$10))*(1+Apport_Z315),0))+Apport_201A2425,6)</f>
        <v>7.4580999999999995E-2</v>
      </c>
      <c r="D130">
        <f>ROUND(IF(VLOOKUP($A130,EnrollData2324,'2324 Jun 24 Enroll'!D$1,FALSE)='District Calculations'!$F$11,VLOOKUP($A130,EnrollData2324,'2324 Jun 24 Enroll'!D$1,FALSE),'District Calculations'!$F$11)*C130,3)</f>
        <v>0</v>
      </c>
      <c r="E130">
        <f>ROUND(IF(VLOOKUP($A130,EnrollData2324,'2324 Jun 24 Enroll'!E$1,FALSE)='District Calculations'!$F$12,VLOOKUP($A130,EnrollData2324,'2324 Jun 24 Enroll'!E$1,FALSE),'District Calculations'!$F$12)*C130,3)</f>
        <v>60.447000000000003</v>
      </c>
      <c r="F130">
        <f>ROUND(IF(VLOOKUP($A130,EnrollData2324,'2324 Jun 24 Enroll'!F$1,FALSE)='District Calculations'!$F$13,VLOOKUP($A130,EnrollData2324,'2324 Jun 24 Enroll'!F$1,FALSE),'District Calculations'!$F$13)*Apport_222A2425,3)</f>
        <v>10.337999999999999</v>
      </c>
      <c r="G130">
        <f>ROUND(IF(VLOOKUP($A130,EnrollData2324,'2324 Jun 24 Enroll'!G$1,FALSE)='District Calculations'!$F$14,VLOOKUP($A130,EnrollData2324,'2324 Jun 24 Enroll'!G$1,FALSE),'District Calculations'!$F$14)*Apport_210A2425,3)</f>
        <v>22.92</v>
      </c>
      <c r="H130">
        <f>ROUND(IF(VLOOKUP($A130,EnrollData2324,'2324 Jun 24 Enroll'!H$1,FALSE)='District Calculations'!$F$15,VLOOKUP($A130,EnrollData2324,'2324 Jun 24 Enroll'!H$1,FALSE),'District Calculations'!$F$15)*Apport_213A2425,3)</f>
        <v>23.619</v>
      </c>
      <c r="I130">
        <f>ROUND(IF(VLOOKUP($A130,EnrollData2324,'2324 Jun 24 Enroll'!I$1,FALSE)+VLOOKUP($A130,EnrollData2324,'2324 Jun 24 Enroll'!M$1,FALSE)-VLOOKUP($A130,EnrollData2324,'2324 Jun 24 Enroll'!J$1,FALSE)='District Calculations'!$F$16+'District Calculations'!$F$25-'District Calculations'!$F$17,VLOOKUP($A130,EnrollData2324,'2324 Jun 24 Enroll'!I$1,FALSE)+VLOOKUP($A130,EnrollData2324,'2324 Jun 24 Enroll'!M$1,FALSE)-VLOOKUP($A130,EnrollData2324,'2324 Jun 24 Enroll'!J$1,FALSE),'District Calculations'!$F$16+'District Calculations'!$F$25-'District Calculations'!$F$17)*Apport_216A2425,3)</f>
        <v>59.057000000000002</v>
      </c>
      <c r="J130">
        <f>ROUND(SUM(D130:I130)/(IF(VLOOKUP($A130,EnrollData2324,'2324 Jun 24 Enroll'!M$1,FALSE)='District Calculations'!$F$25,VLOOKUP($A130,EnrollData2324,'2324 Jun 24 Enroll'!M$1,FALSE),'District Calculations'!$F$25)+IF(VLOOKUP($A130,EnrollData2324,'2324 Jun 24 Enroll'!D$1,FALSE)='District Calculations'!$F$11,VLOOKUP($A130,EnrollData2324,'2324 Jun 24 Enroll'!D$1,FALSE),'District Calculations'!$F$11)),5)</f>
        <v>5.6520000000000001E-2</v>
      </c>
      <c r="K130" s="11">
        <f t="shared" si="30"/>
        <v>4.385E-3</v>
      </c>
      <c r="L130">
        <f>ROUND(IF(VLOOKUP($A130,EnrollData2324,'2324 Jun 24 Enroll'!D$1,FALSE)='District Calculations'!$F$11,VLOOKUP($A130,EnrollData2324,'2324 Jun 24 Enroll'!D$1,FALSE),'District Calculations'!$F$11)*K130,3)</f>
        <v>0</v>
      </c>
      <c r="M130">
        <f>ROUND(IF(VLOOKUP($A130,EnrollData2324,'2324 Jun 24 Enroll'!E$1,FALSE)='District Calculations'!$F$12,VLOOKUP($A130,EnrollData2324,'2324 Jun 24 Enroll'!E$1,FALSE),'District Calculations'!$F$12)*K130,3)</f>
        <v>3.5539999999999998</v>
      </c>
      <c r="N130">
        <f>ROUND(IF(VLOOKUP($A130,EnrollData2324,'2324 Jun 24 Enroll'!F$1,FALSE)='District Calculations'!$F$13,VLOOKUP($A130,EnrollData2324,'2324 Jun 24 Enroll'!F$1,FALSE),'District Calculations'!$F$13)*Apport_223A2425,3)</f>
        <v>0.84599999999999997</v>
      </c>
      <c r="O130">
        <f>ROUND(IF(VLOOKUP($A130,EnrollData2324,'2324 Jun 24 Enroll'!G$1,FALSE)='District Calculations'!$F$14,VLOOKUP($A130,EnrollData2324,'2324 Jun 24 Enroll'!G$1,FALSE),'District Calculations'!$F$14)*Apport_211A2425,3)</f>
        <v>1.877</v>
      </c>
      <c r="P130">
        <f>ROUND(IF(VLOOKUP($A130,EnrollData2324,'2324 Jun 24 Enroll'!H$1,FALSE)='District Calculations'!$F$14,VLOOKUP($A130,EnrollData2324,'2324 Jun 24 Enroll'!H$1,FALSE),'District Calculations'!$F$14)*Apport_214A2425,3)</f>
        <v>1.875</v>
      </c>
      <c r="Q130">
        <f>ROUND(IF(VLOOKUP($A130,EnrollData2324,'2324 Jun 24 Enroll'!I$1,FALSE)+VLOOKUP($A130,EnrollData2324,'2324 Jun 24 Enroll'!M$1,FALSE)-VLOOKUP($A130,EnrollData2324,'2324 Jun 24 Enroll'!J$1,FALSE)='District Calculations'!$F$16+'District Calculations'!$F$25-'District Calculations'!$F$17,VLOOKUP($A130,EnrollData2324,'2324 Jun 24 Enroll'!I$1,FALSE)+VLOOKUP($A130,EnrollData2324,'2324 Jun 24 Enroll'!M$1,FALSE)-VLOOKUP($A130,EnrollData2324,'2324 Jun 24 Enroll'!J$1,FALSE),'District Calculations'!$F$16+'District Calculations'!$F$25-'District Calculations'!$F$17)*Apport_217A2425,3)</f>
        <v>4.7130000000000001</v>
      </c>
      <c r="R130">
        <f>ROUND(SUM(L130:Q130)/IF(VLOOKUP($A130,EnrollData2324,'2324 Jun 24 Enroll'!M$1,FALSE)+VLOOKUP($A130,EnrollData2324,'2324 Jun 24 Enroll'!D$1,FALSE)='District Calculations'!$F$25+'District Calculations'!$F$11,VLOOKUP($A130,EnrollData2324,'2324 Jun 24 Enroll'!M$1,FALSE)+VLOOKUP($A130,EnrollData2324,'2324 Jun 24 Enroll'!D$1,FALSE),'District Calculations'!$F$25+'District Calculations'!$F$11),5)</f>
        <v>4.1200000000000004E-3</v>
      </c>
      <c r="S130" s="11">
        <f t="shared" si="31"/>
        <v>1.8734299999999999E-2</v>
      </c>
      <c r="T130">
        <f>ROUND(IF(VLOOKUP($A130,EnrollData2324,'2324 Jun 24 Enroll'!D$1,FALSE)='District Calculations'!$F$11,VLOOKUP($A130,EnrollData2324,'2324 Jun 24 Enroll'!D$1,FALSE),'District Calculations'!$F$11)*S130,3)</f>
        <v>0</v>
      </c>
      <c r="U130">
        <f>ROUND(IF(VLOOKUP($A130,EnrollData2324,'2324 Jun 24 Enroll'!E$1,FALSE)='District Calculations'!$F$12,VLOOKUP($A130,EnrollData2324,'2324 Jun 24 Enroll'!E$1,FALSE),'District Calculations'!$F$12)*S130,3)</f>
        <v>15.183999999999999</v>
      </c>
      <c r="V130">
        <f>ROUND(IF(VLOOKUP($A130,EnrollData2324,'2324 Jun 24 Enroll'!F$1,FALSE)='District Calculations'!$F$13,VLOOKUP($A130,EnrollData2324,'2324 Jun 24 Enroll'!F$1,FALSE),'District Calculations'!$F$13)*Apport_224A2425,3)</f>
        <v>3.7109999999999999</v>
      </c>
      <c r="W130">
        <f>ROUND(IF(VLOOKUP($A130,EnrollData2324,'2324 Jun 24 Enroll'!G$1,FALSE)='District Calculations'!$F$14,VLOOKUP($A130,EnrollData2324,'2324 Jun 24 Enroll'!G$1,FALSE),'District Calculations'!$F$14)*Apport_212A2425,3)</f>
        <v>8.2279999999999998</v>
      </c>
      <c r="X130">
        <f>ROUND(IF(VLOOKUP($A130,EnrollData2324,'2324 Jun 24 Enroll'!H$1,FALSE)='District Calculations'!$F$14,VLOOKUP($A130,EnrollData2324,'2324 Jun 24 Enroll'!H$1,FALSE),'District Calculations'!$F$14)*Apport_215A2425,3)</f>
        <v>8.1180000000000003</v>
      </c>
      <c r="Y130">
        <f>ROUND(IF(VLOOKUP($A130,EnrollData2324,'2324 Jun 24 Enroll'!I$1,FALSE)+VLOOKUP($A130,EnrollData2324,'2324 Jun 24 Enroll'!M$1,FALSE)-VLOOKUP($A130,EnrollData2324,'2324 Jun 24 Enroll'!J$1,FALSE)='District Calculations'!$F$16+'District Calculations'!$F$25-'District Calculations'!$F$17,VLOOKUP($A130,EnrollData2324,'2324 Jun 24 Enroll'!I$1,FALSE)+VLOOKUP($A130,EnrollData2324,'2324 Jun 24 Enroll'!M$1,FALSE)-VLOOKUP($A130,EnrollData2324,'2324 Jun 24 Enroll'!J$1,FALSE),'District Calculations'!$F$16+'District Calculations'!$F$25-'District Calculations'!$F$17)*Apport_218A2425,3)</f>
        <v>20.257999999999999</v>
      </c>
      <c r="Z130">
        <f>ROUND(SUM(T130:Y130)/IF(VLOOKUP($A130,EnrollData2324,'2324 Jun 24 Enroll'!M$1,FALSE)+VLOOKUP($A130,EnrollData2324,'2324 Jun 24 Enroll'!D$1,FALSE)='District Calculations'!$F$25+'District Calculations'!$F$11,VLOOKUP($A130,EnrollData2324,'2324 Jun 24 Enroll'!M$1,FALSE)+VLOOKUP($A130,EnrollData2324,'2324 Jun 24 Enroll'!D$1,FALSE),'District Calculations'!$F$25+'District Calculations'!$F$11),5)</f>
        <v>1.7780000000000001E-2</v>
      </c>
      <c r="AA130" s="6">
        <f>ROUND($J130*CIS_Base_Salary2425*VLOOKUP($A130,EnrollData2324,'2324 Jun 24 Enroll'!AH$1,FALSE),2)</f>
        <v>5029.96</v>
      </c>
      <c r="AB130" s="6">
        <f>ROUND($J130*CIS_Inc_Salary2425*(VLOOKUP($A130,EnrollData2324,'2324 Jun 24 Enroll'!AI$1,FALSE)+VLOOKUP($A130,EnrollData2324,'2324 Jun 24 Enroll'!AJ$1,FALSE)),2)-AA130</f>
        <v>186.07999999999993</v>
      </c>
      <c r="AC130" s="6" cm="1">
        <f t="array" ref="AC130">ROUND($R130*CAS_Base_Salary2425*VLOOKUP($A130,EnrollData2324,'2324 Jun 24 Enroll'!AH$1,FALSE),2)</f>
        <v>544.26</v>
      </c>
      <c r="AD130" s="6">
        <f>ROUND($R130*CAS_Inc_Salary2425*VLOOKUP($A130,EnrollData2324,'2324 Jun 24 Enroll'!AI$1,FALSE),2)-AC130</f>
        <v>20.129999999999995</v>
      </c>
      <c r="AE130" s="6">
        <f>ROUND($Z130*CLS_Base_Salary2425*VLOOKUP($A130,EnrollData2324,'2324 Jun 24 Enroll'!AH$1,FALSE),2)</f>
        <v>1135.0999999999999</v>
      </c>
      <c r="AF130" s="6">
        <f>ROUND($Z130*CLS_Inc_Salary2425*VLOOKUP($A130,EnrollData2324,'2324 Jun 24 Enroll'!AI$1,FALSE),2)-AE130</f>
        <v>42.009999999999991</v>
      </c>
      <c r="AG130" cm="1">
        <f t="array" ref="AG130">ROUND(($J130+$R130)*Apport_124X2425,2)</f>
        <v>800.45</v>
      </c>
      <c r="AH130" s="69" cm="1">
        <f t="array" ref="AH130">ROUND(($J130+$R130)*Apport_621X2425*Apport_125XC2425,2)-AG130</f>
        <v>73.899999999999977</v>
      </c>
      <c r="AI130" cm="1">
        <f t="array" ref="AI130">ROUND($Z130*Apport_124X2425,2)</f>
        <v>234.7</v>
      </c>
      <c r="AJ130">
        <f t="shared" si="32"/>
        <v>124.71000000000004</v>
      </c>
      <c r="AK130">
        <f t="shared" si="33"/>
        <v>1011.72</v>
      </c>
      <c r="AL130">
        <f t="shared" si="34"/>
        <v>36.11</v>
      </c>
      <c r="AM130">
        <f t="shared" si="35"/>
        <v>245.86</v>
      </c>
      <c r="AN130">
        <f t="shared" si="36"/>
        <v>7.63</v>
      </c>
      <c r="AO130">
        <f>ROUND(($J130*CIS_Inc_Salary2425*(VLOOKUP($A130,EnrollData2324,'2324 Jun 24 Enroll'!AI$1,FALSE)+VLOOKUP($A130,EnrollData2324,'2324 Jun 24 Enroll'!AJ$1,FALSE))/Apport_613Xpd)*Apport_614Xpd,2)</f>
        <v>86.93</v>
      </c>
      <c r="AP130">
        <f t="shared" si="37"/>
        <v>15.22</v>
      </c>
      <c r="AQ130">
        <f t="shared" si="38"/>
        <v>31.48</v>
      </c>
      <c r="AR130" s="6">
        <f>ROUND((VLOOKUP($A130,EnrollData2324,'2324 Jun 24 Enroll'!D$1,FALSE)*Apport_M802425+VLOOKUP($A130,EnrollData2324,'2324 Jun 24 Enroll'!M$1,FALSE)*Apport_M802425+(VLOOKUP($A130,EnrollData2324,'2324 Jun 24 Enroll'!P$1,FALSE)+VLOOKUP($A130,EnrollData2324,'2324 Jun 24 Enroll'!Q$1,FALSE)+VLOOKUP($A130,EnrollData2324,'2324 Jun 24 Enroll'!R$1,FALSE)+VLOOKUP($A130,EnrollData2324,'2324 Jun 24 Enroll'!I$1,FALSE)+VLOOKUP($A130,EnrollData2324,'2324 Jun 24 Enroll'!N$1,FALSE)+VLOOKUP($A130,EnrollData2324,'2324 Jun 24 Enroll'!O$1,FALSE)+VLOOKUP($A130,EnrollData2324,'2324 Jun 24 Enroll'!K$1,FALSE)+VLOOKUP($A130,EnrollData2324,'2324 Jun 24 Enroll'!L$1,FALSE))*Apport_M812425)/(VLOOKUP($A130,EnrollData2324,'2324 Jun 24 Enroll'!M$1,FALSE)+VLOOKUP($A130,EnrollData2324,'2324 Jun 24 Enroll'!D$1,FALSE)),2)</f>
        <v>1602.93</v>
      </c>
      <c r="AS130" s="7">
        <f t="shared" si="39"/>
        <v>11229.18</v>
      </c>
    </row>
    <row r="131" spans="1:45">
      <c r="A131" s="40" t="s">
        <v>514</v>
      </c>
      <c r="B131" s="40" t="s">
        <v>515</v>
      </c>
      <c r="C131" s="11">
        <f>ROUND((IFERROR((1/IF(VLOOKUP($A131,EnrollData2324,28,FALSE)='District Calculations'!$F$10,VLOOKUP($A131,EnrollData2324,28,FALSE),'District Calculations'!$F$10))*(1+Apport_Z315),0))+Apport_201A2425,6)</f>
        <v>7.4580999999999995E-2</v>
      </c>
      <c r="D131">
        <f>ROUND(IF(VLOOKUP($A131,EnrollData2324,'2324 Jun 24 Enroll'!D$1,FALSE)='District Calculations'!$F$11,VLOOKUP($A131,EnrollData2324,'2324 Jun 24 Enroll'!D$1,FALSE),'District Calculations'!$F$11)*C131,3)</f>
        <v>0</v>
      </c>
      <c r="E131">
        <f>ROUND(IF(VLOOKUP($A131,EnrollData2324,'2324 Jun 24 Enroll'!E$1,FALSE)='District Calculations'!$F$12,VLOOKUP($A131,EnrollData2324,'2324 Jun 24 Enroll'!E$1,FALSE),'District Calculations'!$F$12)*C131,3)</f>
        <v>60.447000000000003</v>
      </c>
      <c r="F131">
        <f>ROUND(IF(VLOOKUP($A131,EnrollData2324,'2324 Jun 24 Enroll'!F$1,FALSE)='District Calculations'!$F$13,VLOOKUP($A131,EnrollData2324,'2324 Jun 24 Enroll'!F$1,FALSE),'District Calculations'!$F$13)*Apport_222A2425,3)</f>
        <v>10.337999999999999</v>
      </c>
      <c r="G131">
        <f>ROUND(IF(VLOOKUP($A131,EnrollData2324,'2324 Jun 24 Enroll'!G$1,FALSE)='District Calculations'!$F$14,VLOOKUP($A131,EnrollData2324,'2324 Jun 24 Enroll'!G$1,FALSE),'District Calculations'!$F$14)*Apport_210A2425,3)</f>
        <v>22.92</v>
      </c>
      <c r="H131">
        <f>ROUND(IF(VLOOKUP($A131,EnrollData2324,'2324 Jun 24 Enroll'!H$1,FALSE)='District Calculations'!$F$15,VLOOKUP($A131,EnrollData2324,'2324 Jun 24 Enroll'!H$1,FALSE),'District Calculations'!$F$15)*Apport_213A2425,3)</f>
        <v>23.619</v>
      </c>
      <c r="I131">
        <f>ROUND(IF(VLOOKUP($A131,EnrollData2324,'2324 Jun 24 Enroll'!I$1,FALSE)+VLOOKUP($A131,EnrollData2324,'2324 Jun 24 Enroll'!M$1,FALSE)-VLOOKUP($A131,EnrollData2324,'2324 Jun 24 Enroll'!J$1,FALSE)='District Calculations'!$F$16+'District Calculations'!$F$25-'District Calculations'!$F$17,VLOOKUP($A131,EnrollData2324,'2324 Jun 24 Enroll'!I$1,FALSE)+VLOOKUP($A131,EnrollData2324,'2324 Jun 24 Enroll'!M$1,FALSE)-VLOOKUP($A131,EnrollData2324,'2324 Jun 24 Enroll'!J$1,FALSE),'District Calculations'!$F$16+'District Calculations'!$F$25-'District Calculations'!$F$17)*Apport_216A2425,3)</f>
        <v>59.057000000000002</v>
      </c>
      <c r="J131">
        <f>ROUND(SUM(D131:I131)/(IF(VLOOKUP($A131,EnrollData2324,'2324 Jun 24 Enroll'!M$1,FALSE)='District Calculations'!$F$25,VLOOKUP($A131,EnrollData2324,'2324 Jun 24 Enroll'!M$1,FALSE),'District Calculations'!$F$25)+IF(VLOOKUP($A131,EnrollData2324,'2324 Jun 24 Enroll'!D$1,FALSE)='District Calculations'!$F$11,VLOOKUP($A131,EnrollData2324,'2324 Jun 24 Enroll'!D$1,FALSE),'District Calculations'!$F$11)),5)</f>
        <v>5.6520000000000001E-2</v>
      </c>
      <c r="K131" s="11">
        <f t="shared" si="30"/>
        <v>4.385E-3</v>
      </c>
      <c r="L131">
        <f>ROUND(IF(VLOOKUP($A131,EnrollData2324,'2324 Jun 24 Enroll'!D$1,FALSE)='District Calculations'!$F$11,VLOOKUP($A131,EnrollData2324,'2324 Jun 24 Enroll'!D$1,FALSE),'District Calculations'!$F$11)*K131,3)</f>
        <v>0</v>
      </c>
      <c r="M131">
        <f>ROUND(IF(VLOOKUP($A131,EnrollData2324,'2324 Jun 24 Enroll'!E$1,FALSE)='District Calculations'!$F$12,VLOOKUP($A131,EnrollData2324,'2324 Jun 24 Enroll'!E$1,FALSE),'District Calculations'!$F$12)*K131,3)</f>
        <v>3.5539999999999998</v>
      </c>
      <c r="N131">
        <f>ROUND(IF(VLOOKUP($A131,EnrollData2324,'2324 Jun 24 Enroll'!F$1,FALSE)='District Calculations'!$F$13,VLOOKUP($A131,EnrollData2324,'2324 Jun 24 Enroll'!F$1,FALSE),'District Calculations'!$F$13)*Apport_223A2425,3)</f>
        <v>0.84599999999999997</v>
      </c>
      <c r="O131">
        <f>ROUND(IF(VLOOKUP($A131,EnrollData2324,'2324 Jun 24 Enroll'!G$1,FALSE)='District Calculations'!$F$14,VLOOKUP($A131,EnrollData2324,'2324 Jun 24 Enroll'!G$1,FALSE),'District Calculations'!$F$14)*Apport_211A2425,3)</f>
        <v>1.877</v>
      </c>
      <c r="P131">
        <f>ROUND(IF(VLOOKUP($A131,EnrollData2324,'2324 Jun 24 Enroll'!H$1,FALSE)='District Calculations'!$F$14,VLOOKUP($A131,EnrollData2324,'2324 Jun 24 Enroll'!H$1,FALSE),'District Calculations'!$F$14)*Apport_214A2425,3)</f>
        <v>1.875</v>
      </c>
      <c r="Q131">
        <f>ROUND(IF(VLOOKUP($A131,EnrollData2324,'2324 Jun 24 Enroll'!I$1,FALSE)+VLOOKUP($A131,EnrollData2324,'2324 Jun 24 Enroll'!M$1,FALSE)-VLOOKUP($A131,EnrollData2324,'2324 Jun 24 Enroll'!J$1,FALSE)='District Calculations'!$F$16+'District Calculations'!$F$25-'District Calculations'!$F$17,VLOOKUP($A131,EnrollData2324,'2324 Jun 24 Enroll'!I$1,FALSE)+VLOOKUP($A131,EnrollData2324,'2324 Jun 24 Enroll'!M$1,FALSE)-VLOOKUP($A131,EnrollData2324,'2324 Jun 24 Enroll'!J$1,FALSE),'District Calculations'!$F$16+'District Calculations'!$F$25-'District Calculations'!$F$17)*Apport_217A2425,3)</f>
        <v>4.7130000000000001</v>
      </c>
      <c r="R131">
        <f>ROUND(SUM(L131:Q131)/IF(VLOOKUP($A131,EnrollData2324,'2324 Jun 24 Enroll'!M$1,FALSE)+VLOOKUP($A131,EnrollData2324,'2324 Jun 24 Enroll'!D$1,FALSE)='District Calculations'!$F$25+'District Calculations'!$F$11,VLOOKUP($A131,EnrollData2324,'2324 Jun 24 Enroll'!M$1,FALSE)+VLOOKUP($A131,EnrollData2324,'2324 Jun 24 Enroll'!D$1,FALSE),'District Calculations'!$F$25+'District Calculations'!$F$11),5)</f>
        <v>4.1200000000000004E-3</v>
      </c>
      <c r="S131" s="11">
        <f t="shared" si="31"/>
        <v>1.8734299999999999E-2</v>
      </c>
      <c r="T131">
        <f>ROUND(IF(VLOOKUP($A131,EnrollData2324,'2324 Jun 24 Enroll'!D$1,FALSE)='District Calculations'!$F$11,VLOOKUP($A131,EnrollData2324,'2324 Jun 24 Enroll'!D$1,FALSE),'District Calculations'!$F$11)*S131,3)</f>
        <v>0</v>
      </c>
      <c r="U131">
        <f>ROUND(IF(VLOOKUP($A131,EnrollData2324,'2324 Jun 24 Enroll'!E$1,FALSE)='District Calculations'!$F$12,VLOOKUP($A131,EnrollData2324,'2324 Jun 24 Enroll'!E$1,FALSE),'District Calculations'!$F$12)*S131,3)</f>
        <v>15.183999999999999</v>
      </c>
      <c r="V131">
        <f>ROUND(IF(VLOOKUP($A131,EnrollData2324,'2324 Jun 24 Enroll'!F$1,FALSE)='District Calculations'!$F$13,VLOOKUP($A131,EnrollData2324,'2324 Jun 24 Enroll'!F$1,FALSE),'District Calculations'!$F$13)*Apport_224A2425,3)</f>
        <v>3.7109999999999999</v>
      </c>
      <c r="W131">
        <f>ROUND(IF(VLOOKUP($A131,EnrollData2324,'2324 Jun 24 Enroll'!G$1,FALSE)='District Calculations'!$F$14,VLOOKUP($A131,EnrollData2324,'2324 Jun 24 Enroll'!G$1,FALSE),'District Calculations'!$F$14)*Apport_212A2425,3)</f>
        <v>8.2279999999999998</v>
      </c>
      <c r="X131">
        <f>ROUND(IF(VLOOKUP($A131,EnrollData2324,'2324 Jun 24 Enroll'!H$1,FALSE)='District Calculations'!$F$14,VLOOKUP($A131,EnrollData2324,'2324 Jun 24 Enroll'!H$1,FALSE),'District Calculations'!$F$14)*Apport_215A2425,3)</f>
        <v>8.1180000000000003</v>
      </c>
      <c r="Y131">
        <f>ROUND(IF(VLOOKUP($A131,EnrollData2324,'2324 Jun 24 Enroll'!I$1,FALSE)+VLOOKUP($A131,EnrollData2324,'2324 Jun 24 Enroll'!M$1,FALSE)-VLOOKUP($A131,EnrollData2324,'2324 Jun 24 Enroll'!J$1,FALSE)='District Calculations'!$F$16+'District Calculations'!$F$25-'District Calculations'!$F$17,VLOOKUP($A131,EnrollData2324,'2324 Jun 24 Enroll'!I$1,FALSE)+VLOOKUP($A131,EnrollData2324,'2324 Jun 24 Enroll'!M$1,FALSE)-VLOOKUP($A131,EnrollData2324,'2324 Jun 24 Enroll'!J$1,FALSE),'District Calculations'!$F$16+'District Calculations'!$F$25-'District Calculations'!$F$17)*Apport_218A2425,3)</f>
        <v>20.257999999999999</v>
      </c>
      <c r="Z131">
        <f>ROUND(SUM(T131:Y131)/IF(VLOOKUP($A131,EnrollData2324,'2324 Jun 24 Enroll'!M$1,FALSE)+VLOOKUP($A131,EnrollData2324,'2324 Jun 24 Enroll'!D$1,FALSE)='District Calculations'!$F$25+'District Calculations'!$F$11,VLOOKUP($A131,EnrollData2324,'2324 Jun 24 Enroll'!M$1,FALSE)+VLOOKUP($A131,EnrollData2324,'2324 Jun 24 Enroll'!D$1,FALSE),'District Calculations'!$F$25+'District Calculations'!$F$11),5)</f>
        <v>1.7780000000000001E-2</v>
      </c>
      <c r="AA131" s="6">
        <f>ROUND($J131*CIS_Base_Salary2425*VLOOKUP($A131,EnrollData2324,'2324 Jun 24 Enroll'!AH$1,FALSE),2)</f>
        <v>5029.96</v>
      </c>
      <c r="AB131" s="6">
        <f>ROUND($J131*CIS_Inc_Salary2425*(VLOOKUP($A131,EnrollData2324,'2324 Jun 24 Enroll'!AI$1,FALSE)+VLOOKUP($A131,EnrollData2324,'2324 Jun 24 Enroll'!AJ$1,FALSE)),2)-AA131</f>
        <v>186.07999999999993</v>
      </c>
      <c r="AC131" s="6" cm="1">
        <f t="array" ref="AC131">ROUND($R131*CAS_Base_Salary2425*VLOOKUP($A131,EnrollData2324,'2324 Jun 24 Enroll'!AH$1,FALSE),2)</f>
        <v>544.26</v>
      </c>
      <c r="AD131" s="6">
        <f>ROUND($R131*CAS_Inc_Salary2425*VLOOKUP($A131,EnrollData2324,'2324 Jun 24 Enroll'!AI$1,FALSE),2)-AC131</f>
        <v>20.129999999999995</v>
      </c>
      <c r="AE131" s="6">
        <f>ROUND($Z131*CLS_Base_Salary2425*VLOOKUP($A131,EnrollData2324,'2324 Jun 24 Enroll'!AH$1,FALSE),2)</f>
        <v>1135.0999999999999</v>
      </c>
      <c r="AF131" s="6">
        <f>ROUND($Z131*CLS_Inc_Salary2425*VLOOKUP($A131,EnrollData2324,'2324 Jun 24 Enroll'!AI$1,FALSE),2)-AE131</f>
        <v>42.009999999999991</v>
      </c>
      <c r="AG131" cm="1">
        <f t="array" ref="AG131">ROUND(($J131+$R131)*Apport_124X2425,2)</f>
        <v>800.45</v>
      </c>
      <c r="AH131" s="69" cm="1">
        <f t="array" ref="AH131">ROUND(($J131+$R131)*Apport_621X2425*Apport_125XC2425,2)-AG131</f>
        <v>73.899999999999977</v>
      </c>
      <c r="AI131" cm="1">
        <f t="array" ref="AI131">ROUND($Z131*Apport_124X2425,2)</f>
        <v>234.7</v>
      </c>
      <c r="AJ131">
        <f t="shared" si="32"/>
        <v>124.71000000000004</v>
      </c>
      <c r="AK131">
        <f t="shared" si="33"/>
        <v>1011.72</v>
      </c>
      <c r="AL131">
        <f t="shared" si="34"/>
        <v>36.11</v>
      </c>
      <c r="AM131">
        <f t="shared" si="35"/>
        <v>245.86</v>
      </c>
      <c r="AN131">
        <f t="shared" si="36"/>
        <v>7.63</v>
      </c>
      <c r="AO131">
        <f>ROUND(($J131*CIS_Inc_Salary2425*(VLOOKUP($A131,EnrollData2324,'2324 Jun 24 Enroll'!AI$1,FALSE)+VLOOKUP($A131,EnrollData2324,'2324 Jun 24 Enroll'!AJ$1,FALSE))/Apport_613Xpd)*Apport_614Xpd,2)</f>
        <v>86.93</v>
      </c>
      <c r="AP131">
        <f t="shared" si="37"/>
        <v>15.22</v>
      </c>
      <c r="AQ131">
        <f t="shared" si="38"/>
        <v>31.48</v>
      </c>
      <c r="AR131" s="6">
        <f>ROUND((VLOOKUP($A131,EnrollData2324,'2324 Jun 24 Enroll'!D$1,FALSE)*Apport_M802425+VLOOKUP($A131,EnrollData2324,'2324 Jun 24 Enroll'!M$1,FALSE)*Apport_M802425+(VLOOKUP($A131,EnrollData2324,'2324 Jun 24 Enroll'!P$1,FALSE)+VLOOKUP($A131,EnrollData2324,'2324 Jun 24 Enroll'!Q$1,FALSE)+VLOOKUP($A131,EnrollData2324,'2324 Jun 24 Enroll'!R$1,FALSE)+VLOOKUP($A131,EnrollData2324,'2324 Jun 24 Enroll'!I$1,FALSE)+VLOOKUP($A131,EnrollData2324,'2324 Jun 24 Enroll'!N$1,FALSE)+VLOOKUP($A131,EnrollData2324,'2324 Jun 24 Enroll'!O$1,FALSE)+VLOOKUP($A131,EnrollData2324,'2324 Jun 24 Enroll'!K$1,FALSE)+VLOOKUP($A131,EnrollData2324,'2324 Jun 24 Enroll'!L$1,FALSE))*Apport_M812425)/(VLOOKUP($A131,EnrollData2324,'2324 Jun 24 Enroll'!M$1,FALSE)+VLOOKUP($A131,EnrollData2324,'2324 Jun 24 Enroll'!D$1,FALSE)),2)</f>
        <v>1600.92</v>
      </c>
      <c r="AS131" s="7">
        <f t="shared" si="39"/>
        <v>11227.17</v>
      </c>
    </row>
    <row r="132" spans="1:45">
      <c r="A132" s="40" t="s">
        <v>761</v>
      </c>
      <c r="B132" s="40" t="s">
        <v>762</v>
      </c>
      <c r="C132" s="11">
        <f>ROUND((IFERROR((1/IF(VLOOKUP($A132,EnrollData2324,28,FALSE)='District Calculations'!$F$10,VLOOKUP($A132,EnrollData2324,28,FALSE),'District Calculations'!$F$10))*(1+Apport_Z315),0))+Apport_201A2425,6)</f>
        <v>7.4580999999999995E-2</v>
      </c>
      <c r="D132">
        <f>ROUND(IF(VLOOKUP($A132,EnrollData2324,'2324 Jun 24 Enroll'!D$1,FALSE)='District Calculations'!$F$11,VLOOKUP($A132,EnrollData2324,'2324 Jun 24 Enroll'!D$1,FALSE),'District Calculations'!$F$11)*C132,3)</f>
        <v>0</v>
      </c>
      <c r="E132">
        <f>ROUND(IF(VLOOKUP($A132,EnrollData2324,'2324 Jun 24 Enroll'!E$1,FALSE)='District Calculations'!$F$12,VLOOKUP($A132,EnrollData2324,'2324 Jun 24 Enroll'!E$1,FALSE),'District Calculations'!$F$12)*C132,3)</f>
        <v>60.447000000000003</v>
      </c>
      <c r="F132">
        <f>ROUND(IF(VLOOKUP($A132,EnrollData2324,'2324 Jun 24 Enroll'!F$1,FALSE)='District Calculations'!$F$13,VLOOKUP($A132,EnrollData2324,'2324 Jun 24 Enroll'!F$1,FALSE),'District Calculations'!$F$13)*Apport_222A2425,3)</f>
        <v>10.337999999999999</v>
      </c>
      <c r="G132">
        <f>ROUND(IF(VLOOKUP($A132,EnrollData2324,'2324 Jun 24 Enroll'!G$1,FALSE)='District Calculations'!$F$14,VLOOKUP($A132,EnrollData2324,'2324 Jun 24 Enroll'!G$1,FALSE),'District Calculations'!$F$14)*Apport_210A2425,3)</f>
        <v>22.92</v>
      </c>
      <c r="H132">
        <f>ROUND(IF(VLOOKUP($A132,EnrollData2324,'2324 Jun 24 Enroll'!H$1,FALSE)='District Calculations'!$F$15,VLOOKUP($A132,EnrollData2324,'2324 Jun 24 Enroll'!H$1,FALSE),'District Calculations'!$F$15)*Apport_213A2425,3)</f>
        <v>23.619</v>
      </c>
      <c r="I132">
        <f>ROUND(IF(VLOOKUP($A132,EnrollData2324,'2324 Jun 24 Enroll'!I$1,FALSE)+VLOOKUP($A132,EnrollData2324,'2324 Jun 24 Enroll'!M$1,FALSE)-VLOOKUP($A132,EnrollData2324,'2324 Jun 24 Enroll'!J$1,FALSE)='District Calculations'!$F$16+'District Calculations'!$F$25-'District Calculations'!$F$17,VLOOKUP($A132,EnrollData2324,'2324 Jun 24 Enroll'!I$1,FALSE)+VLOOKUP($A132,EnrollData2324,'2324 Jun 24 Enroll'!M$1,FALSE)-VLOOKUP($A132,EnrollData2324,'2324 Jun 24 Enroll'!J$1,FALSE),'District Calculations'!$F$16+'District Calculations'!$F$25-'District Calculations'!$F$17)*Apport_216A2425,3)</f>
        <v>59.057000000000002</v>
      </c>
      <c r="J132">
        <f>ROUND(SUM(D132:I132)/(IF(VLOOKUP($A132,EnrollData2324,'2324 Jun 24 Enroll'!M$1,FALSE)='District Calculations'!$F$25,VLOOKUP($A132,EnrollData2324,'2324 Jun 24 Enroll'!M$1,FALSE),'District Calculations'!$F$25)+IF(VLOOKUP($A132,EnrollData2324,'2324 Jun 24 Enroll'!D$1,FALSE)='District Calculations'!$F$11,VLOOKUP($A132,EnrollData2324,'2324 Jun 24 Enroll'!D$1,FALSE),'District Calculations'!$F$11)),5)</f>
        <v>5.6520000000000001E-2</v>
      </c>
      <c r="K132" s="11">
        <f t="shared" si="30"/>
        <v>4.385E-3</v>
      </c>
      <c r="L132">
        <f>ROUND(IF(VLOOKUP($A132,EnrollData2324,'2324 Jun 24 Enroll'!D$1,FALSE)='District Calculations'!$F$11,VLOOKUP($A132,EnrollData2324,'2324 Jun 24 Enroll'!D$1,FALSE),'District Calculations'!$F$11)*K132,3)</f>
        <v>0</v>
      </c>
      <c r="M132">
        <f>ROUND(IF(VLOOKUP($A132,EnrollData2324,'2324 Jun 24 Enroll'!E$1,FALSE)='District Calculations'!$F$12,VLOOKUP($A132,EnrollData2324,'2324 Jun 24 Enroll'!E$1,FALSE),'District Calculations'!$F$12)*K132,3)</f>
        <v>3.5539999999999998</v>
      </c>
      <c r="N132">
        <f>ROUND(IF(VLOOKUP($A132,EnrollData2324,'2324 Jun 24 Enroll'!F$1,FALSE)='District Calculations'!$F$13,VLOOKUP($A132,EnrollData2324,'2324 Jun 24 Enroll'!F$1,FALSE),'District Calculations'!$F$13)*Apport_223A2425,3)</f>
        <v>0.84599999999999997</v>
      </c>
      <c r="O132">
        <f>ROUND(IF(VLOOKUP($A132,EnrollData2324,'2324 Jun 24 Enroll'!G$1,FALSE)='District Calculations'!$F$14,VLOOKUP($A132,EnrollData2324,'2324 Jun 24 Enroll'!G$1,FALSE),'District Calculations'!$F$14)*Apport_211A2425,3)</f>
        <v>1.877</v>
      </c>
      <c r="P132">
        <f>ROUND(IF(VLOOKUP($A132,EnrollData2324,'2324 Jun 24 Enroll'!H$1,FALSE)='District Calculations'!$F$14,VLOOKUP($A132,EnrollData2324,'2324 Jun 24 Enroll'!H$1,FALSE),'District Calculations'!$F$14)*Apport_214A2425,3)</f>
        <v>1.875</v>
      </c>
      <c r="Q132">
        <f>ROUND(IF(VLOOKUP($A132,EnrollData2324,'2324 Jun 24 Enroll'!I$1,FALSE)+VLOOKUP($A132,EnrollData2324,'2324 Jun 24 Enroll'!M$1,FALSE)-VLOOKUP($A132,EnrollData2324,'2324 Jun 24 Enroll'!J$1,FALSE)='District Calculations'!$F$16+'District Calculations'!$F$25-'District Calculations'!$F$17,VLOOKUP($A132,EnrollData2324,'2324 Jun 24 Enroll'!I$1,FALSE)+VLOOKUP($A132,EnrollData2324,'2324 Jun 24 Enroll'!M$1,FALSE)-VLOOKUP($A132,EnrollData2324,'2324 Jun 24 Enroll'!J$1,FALSE),'District Calculations'!$F$16+'District Calculations'!$F$25-'District Calculations'!$F$17)*Apport_217A2425,3)</f>
        <v>4.7130000000000001</v>
      </c>
      <c r="R132">
        <f>ROUND(SUM(L132:Q132)/IF(VLOOKUP($A132,EnrollData2324,'2324 Jun 24 Enroll'!M$1,FALSE)+VLOOKUP($A132,EnrollData2324,'2324 Jun 24 Enroll'!D$1,FALSE)='District Calculations'!$F$25+'District Calculations'!$F$11,VLOOKUP($A132,EnrollData2324,'2324 Jun 24 Enroll'!M$1,FALSE)+VLOOKUP($A132,EnrollData2324,'2324 Jun 24 Enroll'!D$1,FALSE),'District Calculations'!$F$25+'District Calculations'!$F$11),5)</f>
        <v>4.1200000000000004E-3</v>
      </c>
      <c r="S132" s="11">
        <f t="shared" si="31"/>
        <v>1.8734299999999999E-2</v>
      </c>
      <c r="T132">
        <f>ROUND(IF(VLOOKUP($A132,EnrollData2324,'2324 Jun 24 Enroll'!D$1,FALSE)='District Calculations'!$F$11,VLOOKUP($A132,EnrollData2324,'2324 Jun 24 Enroll'!D$1,FALSE),'District Calculations'!$F$11)*S132,3)</f>
        <v>0</v>
      </c>
      <c r="U132">
        <f>ROUND(IF(VLOOKUP($A132,EnrollData2324,'2324 Jun 24 Enroll'!E$1,FALSE)='District Calculations'!$F$12,VLOOKUP($A132,EnrollData2324,'2324 Jun 24 Enroll'!E$1,FALSE),'District Calculations'!$F$12)*S132,3)</f>
        <v>15.183999999999999</v>
      </c>
      <c r="V132">
        <f>ROUND(IF(VLOOKUP($A132,EnrollData2324,'2324 Jun 24 Enroll'!F$1,FALSE)='District Calculations'!$F$13,VLOOKUP($A132,EnrollData2324,'2324 Jun 24 Enroll'!F$1,FALSE),'District Calculations'!$F$13)*Apport_224A2425,3)</f>
        <v>3.7109999999999999</v>
      </c>
      <c r="W132">
        <f>ROUND(IF(VLOOKUP($A132,EnrollData2324,'2324 Jun 24 Enroll'!G$1,FALSE)='District Calculations'!$F$14,VLOOKUP($A132,EnrollData2324,'2324 Jun 24 Enroll'!G$1,FALSE),'District Calculations'!$F$14)*Apport_212A2425,3)</f>
        <v>8.2279999999999998</v>
      </c>
      <c r="X132">
        <f>ROUND(IF(VLOOKUP($A132,EnrollData2324,'2324 Jun 24 Enroll'!H$1,FALSE)='District Calculations'!$F$14,VLOOKUP($A132,EnrollData2324,'2324 Jun 24 Enroll'!H$1,FALSE),'District Calculations'!$F$14)*Apport_215A2425,3)</f>
        <v>8.1180000000000003</v>
      </c>
      <c r="Y132">
        <f>ROUND(IF(VLOOKUP($A132,EnrollData2324,'2324 Jun 24 Enroll'!I$1,FALSE)+VLOOKUP($A132,EnrollData2324,'2324 Jun 24 Enroll'!M$1,FALSE)-VLOOKUP($A132,EnrollData2324,'2324 Jun 24 Enroll'!J$1,FALSE)='District Calculations'!$F$16+'District Calculations'!$F$25-'District Calculations'!$F$17,VLOOKUP($A132,EnrollData2324,'2324 Jun 24 Enroll'!I$1,FALSE)+VLOOKUP($A132,EnrollData2324,'2324 Jun 24 Enroll'!M$1,FALSE)-VLOOKUP($A132,EnrollData2324,'2324 Jun 24 Enroll'!J$1,FALSE),'District Calculations'!$F$16+'District Calculations'!$F$25-'District Calculations'!$F$17)*Apport_218A2425,3)</f>
        <v>20.257999999999999</v>
      </c>
      <c r="Z132">
        <f>ROUND(SUM(T132:Y132)/IF(VLOOKUP($A132,EnrollData2324,'2324 Jun 24 Enroll'!M$1,FALSE)+VLOOKUP($A132,EnrollData2324,'2324 Jun 24 Enroll'!D$1,FALSE)='District Calculations'!$F$25+'District Calculations'!$F$11,VLOOKUP($A132,EnrollData2324,'2324 Jun 24 Enroll'!M$1,FALSE)+VLOOKUP($A132,EnrollData2324,'2324 Jun 24 Enroll'!D$1,FALSE),'District Calculations'!$F$25+'District Calculations'!$F$11),5)</f>
        <v>1.7780000000000001E-2</v>
      </c>
      <c r="AA132" s="6">
        <f>ROUND($J132*CIS_Base_Salary2425*VLOOKUP($A132,EnrollData2324,'2324 Jun 24 Enroll'!AH$1,FALSE),2)</f>
        <v>5029.96</v>
      </c>
      <c r="AB132" s="6">
        <f>ROUND($J132*CIS_Inc_Salary2425*(VLOOKUP($A132,EnrollData2324,'2324 Jun 24 Enroll'!AI$1,FALSE)+VLOOKUP($A132,EnrollData2324,'2324 Jun 24 Enroll'!AJ$1,FALSE)),2)-AA132</f>
        <v>186.07999999999993</v>
      </c>
      <c r="AC132" s="6" cm="1">
        <f t="array" ref="AC132">ROUND($R132*CAS_Base_Salary2425*VLOOKUP($A132,EnrollData2324,'2324 Jun 24 Enroll'!AH$1,FALSE),2)</f>
        <v>544.26</v>
      </c>
      <c r="AD132" s="6">
        <f>ROUND($R132*CAS_Inc_Salary2425*VLOOKUP($A132,EnrollData2324,'2324 Jun 24 Enroll'!AI$1,FALSE),2)-AC132</f>
        <v>20.129999999999995</v>
      </c>
      <c r="AE132" s="6">
        <f>ROUND($Z132*CLS_Base_Salary2425*VLOOKUP($A132,EnrollData2324,'2324 Jun 24 Enroll'!AH$1,FALSE),2)</f>
        <v>1135.0999999999999</v>
      </c>
      <c r="AF132" s="6">
        <f>ROUND($Z132*CLS_Inc_Salary2425*VLOOKUP($A132,EnrollData2324,'2324 Jun 24 Enroll'!AI$1,FALSE),2)-AE132</f>
        <v>42.009999999999991</v>
      </c>
      <c r="AG132" cm="1">
        <f t="array" ref="AG132">ROUND(($J132+$R132)*Apport_124X2425,2)</f>
        <v>800.45</v>
      </c>
      <c r="AH132" s="69" cm="1">
        <f t="array" ref="AH132">ROUND(($J132+$R132)*Apport_621X2425*Apport_125XC2425,2)-AG132</f>
        <v>73.899999999999977</v>
      </c>
      <c r="AI132" cm="1">
        <f t="array" ref="AI132">ROUND($Z132*Apport_124X2425,2)</f>
        <v>234.7</v>
      </c>
      <c r="AJ132">
        <f t="shared" si="32"/>
        <v>124.71000000000004</v>
      </c>
      <c r="AK132">
        <f t="shared" si="33"/>
        <v>1011.72</v>
      </c>
      <c r="AL132">
        <f t="shared" si="34"/>
        <v>36.11</v>
      </c>
      <c r="AM132">
        <f t="shared" si="35"/>
        <v>245.86</v>
      </c>
      <c r="AN132">
        <f t="shared" si="36"/>
        <v>7.63</v>
      </c>
      <c r="AO132">
        <f>ROUND(($J132*CIS_Inc_Salary2425*(VLOOKUP($A132,EnrollData2324,'2324 Jun 24 Enroll'!AI$1,FALSE)+VLOOKUP($A132,EnrollData2324,'2324 Jun 24 Enroll'!AJ$1,FALSE))/Apport_613Xpd)*Apport_614Xpd,2)</f>
        <v>86.93</v>
      </c>
      <c r="AP132">
        <f t="shared" si="37"/>
        <v>15.22</v>
      </c>
      <c r="AQ132">
        <f t="shared" si="38"/>
        <v>31.48</v>
      </c>
      <c r="AR132" s="6">
        <f>ROUND((VLOOKUP($A132,EnrollData2324,'2324 Jun 24 Enroll'!D$1,FALSE)*Apport_M802425+VLOOKUP($A132,EnrollData2324,'2324 Jun 24 Enroll'!M$1,FALSE)*Apport_M802425+(VLOOKUP($A132,EnrollData2324,'2324 Jun 24 Enroll'!P$1,FALSE)+VLOOKUP($A132,EnrollData2324,'2324 Jun 24 Enroll'!Q$1,FALSE)+VLOOKUP($A132,EnrollData2324,'2324 Jun 24 Enroll'!R$1,FALSE)+VLOOKUP($A132,EnrollData2324,'2324 Jun 24 Enroll'!I$1,FALSE)+VLOOKUP($A132,EnrollData2324,'2324 Jun 24 Enroll'!N$1,FALSE)+VLOOKUP($A132,EnrollData2324,'2324 Jun 24 Enroll'!O$1,FALSE)+VLOOKUP($A132,EnrollData2324,'2324 Jun 24 Enroll'!K$1,FALSE)+VLOOKUP($A132,EnrollData2324,'2324 Jun 24 Enroll'!L$1,FALSE))*Apport_M812425)/(VLOOKUP($A132,EnrollData2324,'2324 Jun 24 Enroll'!M$1,FALSE)+VLOOKUP($A132,EnrollData2324,'2324 Jun 24 Enroll'!D$1,FALSE)),2)</f>
        <v>1603.54</v>
      </c>
      <c r="AS132" s="7">
        <f t="shared" si="39"/>
        <v>11229.79</v>
      </c>
    </row>
    <row r="133" spans="1:45">
      <c r="A133" s="40" t="s">
        <v>548</v>
      </c>
      <c r="B133" s="40" t="s">
        <v>549</v>
      </c>
      <c r="C133" s="11">
        <f>ROUND((IFERROR((1/IF(VLOOKUP($A133,EnrollData2324,28,FALSE)='District Calculations'!$F$10,VLOOKUP($A133,EnrollData2324,28,FALSE),'District Calculations'!$F$10))*(1+Apport_Z315),0))+Apport_201A2425,6)</f>
        <v>7.4580999999999995E-2</v>
      </c>
      <c r="D133">
        <f>ROUND(IF(VLOOKUP($A133,EnrollData2324,'2324 Jun 24 Enroll'!D$1,FALSE)='District Calculations'!$F$11,VLOOKUP($A133,EnrollData2324,'2324 Jun 24 Enroll'!D$1,FALSE),'District Calculations'!$F$11)*C133,3)</f>
        <v>0</v>
      </c>
      <c r="E133">
        <f>ROUND(IF(VLOOKUP($A133,EnrollData2324,'2324 Jun 24 Enroll'!E$1,FALSE)='District Calculations'!$F$12,VLOOKUP($A133,EnrollData2324,'2324 Jun 24 Enroll'!E$1,FALSE),'District Calculations'!$F$12)*C133,3)</f>
        <v>60.447000000000003</v>
      </c>
      <c r="F133">
        <f>ROUND(IF(VLOOKUP($A133,EnrollData2324,'2324 Jun 24 Enroll'!F$1,FALSE)='District Calculations'!$F$13,VLOOKUP($A133,EnrollData2324,'2324 Jun 24 Enroll'!F$1,FALSE),'District Calculations'!$F$13)*Apport_222A2425,3)</f>
        <v>10.337999999999999</v>
      </c>
      <c r="G133">
        <f>ROUND(IF(VLOOKUP($A133,EnrollData2324,'2324 Jun 24 Enroll'!G$1,FALSE)='District Calculations'!$F$14,VLOOKUP($A133,EnrollData2324,'2324 Jun 24 Enroll'!G$1,FALSE),'District Calculations'!$F$14)*Apport_210A2425,3)</f>
        <v>22.92</v>
      </c>
      <c r="H133">
        <f>ROUND(IF(VLOOKUP($A133,EnrollData2324,'2324 Jun 24 Enroll'!H$1,FALSE)='District Calculations'!$F$15,VLOOKUP($A133,EnrollData2324,'2324 Jun 24 Enroll'!H$1,FALSE),'District Calculations'!$F$15)*Apport_213A2425,3)</f>
        <v>23.619</v>
      </c>
      <c r="I133">
        <f>ROUND(IF(VLOOKUP($A133,EnrollData2324,'2324 Jun 24 Enroll'!I$1,FALSE)+VLOOKUP($A133,EnrollData2324,'2324 Jun 24 Enroll'!M$1,FALSE)-VLOOKUP($A133,EnrollData2324,'2324 Jun 24 Enroll'!J$1,FALSE)='District Calculations'!$F$16+'District Calculations'!$F$25-'District Calculations'!$F$17,VLOOKUP($A133,EnrollData2324,'2324 Jun 24 Enroll'!I$1,FALSE)+VLOOKUP($A133,EnrollData2324,'2324 Jun 24 Enroll'!M$1,FALSE)-VLOOKUP($A133,EnrollData2324,'2324 Jun 24 Enroll'!J$1,FALSE),'District Calculations'!$F$16+'District Calculations'!$F$25-'District Calculations'!$F$17)*Apport_216A2425,3)</f>
        <v>59.057000000000002</v>
      </c>
      <c r="J133">
        <f>ROUND(SUM(D133:I133)/(IF(VLOOKUP($A133,EnrollData2324,'2324 Jun 24 Enroll'!M$1,FALSE)='District Calculations'!$F$25,VLOOKUP($A133,EnrollData2324,'2324 Jun 24 Enroll'!M$1,FALSE),'District Calculations'!$F$25)+IF(VLOOKUP($A133,EnrollData2324,'2324 Jun 24 Enroll'!D$1,FALSE)='District Calculations'!$F$11,VLOOKUP($A133,EnrollData2324,'2324 Jun 24 Enroll'!D$1,FALSE),'District Calculations'!$F$11)),5)</f>
        <v>5.6520000000000001E-2</v>
      </c>
      <c r="K133" s="11">
        <f t="shared" si="30"/>
        <v>4.385E-3</v>
      </c>
      <c r="L133">
        <f>ROUND(IF(VLOOKUP($A133,EnrollData2324,'2324 Jun 24 Enroll'!D$1,FALSE)='District Calculations'!$F$11,VLOOKUP($A133,EnrollData2324,'2324 Jun 24 Enroll'!D$1,FALSE),'District Calculations'!$F$11)*K133,3)</f>
        <v>0</v>
      </c>
      <c r="M133">
        <f>ROUND(IF(VLOOKUP($A133,EnrollData2324,'2324 Jun 24 Enroll'!E$1,FALSE)='District Calculations'!$F$12,VLOOKUP($A133,EnrollData2324,'2324 Jun 24 Enroll'!E$1,FALSE),'District Calculations'!$F$12)*K133,3)</f>
        <v>3.5539999999999998</v>
      </c>
      <c r="N133">
        <f>ROUND(IF(VLOOKUP($A133,EnrollData2324,'2324 Jun 24 Enroll'!F$1,FALSE)='District Calculations'!$F$13,VLOOKUP($A133,EnrollData2324,'2324 Jun 24 Enroll'!F$1,FALSE),'District Calculations'!$F$13)*Apport_223A2425,3)</f>
        <v>0.84599999999999997</v>
      </c>
      <c r="O133">
        <f>ROUND(IF(VLOOKUP($A133,EnrollData2324,'2324 Jun 24 Enroll'!G$1,FALSE)='District Calculations'!$F$14,VLOOKUP($A133,EnrollData2324,'2324 Jun 24 Enroll'!G$1,FALSE),'District Calculations'!$F$14)*Apport_211A2425,3)</f>
        <v>1.877</v>
      </c>
      <c r="P133">
        <f>ROUND(IF(VLOOKUP($A133,EnrollData2324,'2324 Jun 24 Enroll'!H$1,FALSE)='District Calculations'!$F$14,VLOOKUP($A133,EnrollData2324,'2324 Jun 24 Enroll'!H$1,FALSE),'District Calculations'!$F$14)*Apport_214A2425,3)</f>
        <v>1.875</v>
      </c>
      <c r="Q133">
        <f>ROUND(IF(VLOOKUP($A133,EnrollData2324,'2324 Jun 24 Enroll'!I$1,FALSE)+VLOOKUP($A133,EnrollData2324,'2324 Jun 24 Enroll'!M$1,FALSE)-VLOOKUP($A133,EnrollData2324,'2324 Jun 24 Enroll'!J$1,FALSE)='District Calculations'!$F$16+'District Calculations'!$F$25-'District Calculations'!$F$17,VLOOKUP($A133,EnrollData2324,'2324 Jun 24 Enroll'!I$1,FALSE)+VLOOKUP($A133,EnrollData2324,'2324 Jun 24 Enroll'!M$1,FALSE)-VLOOKUP($A133,EnrollData2324,'2324 Jun 24 Enroll'!J$1,FALSE),'District Calculations'!$F$16+'District Calculations'!$F$25-'District Calculations'!$F$17)*Apport_217A2425,3)</f>
        <v>4.7130000000000001</v>
      </c>
      <c r="R133">
        <f>ROUND(SUM(L133:Q133)/IF(VLOOKUP($A133,EnrollData2324,'2324 Jun 24 Enroll'!M$1,FALSE)+VLOOKUP($A133,EnrollData2324,'2324 Jun 24 Enroll'!D$1,FALSE)='District Calculations'!$F$25+'District Calculations'!$F$11,VLOOKUP($A133,EnrollData2324,'2324 Jun 24 Enroll'!M$1,FALSE)+VLOOKUP($A133,EnrollData2324,'2324 Jun 24 Enroll'!D$1,FALSE),'District Calculations'!$F$25+'District Calculations'!$F$11),5)</f>
        <v>4.1200000000000004E-3</v>
      </c>
      <c r="S133" s="11">
        <f t="shared" si="31"/>
        <v>1.8734299999999999E-2</v>
      </c>
      <c r="T133">
        <f>ROUND(IF(VLOOKUP($A133,EnrollData2324,'2324 Jun 24 Enroll'!D$1,FALSE)='District Calculations'!$F$11,VLOOKUP($A133,EnrollData2324,'2324 Jun 24 Enroll'!D$1,FALSE),'District Calculations'!$F$11)*S133,3)</f>
        <v>0</v>
      </c>
      <c r="U133">
        <f>ROUND(IF(VLOOKUP($A133,EnrollData2324,'2324 Jun 24 Enroll'!E$1,FALSE)='District Calculations'!$F$12,VLOOKUP($A133,EnrollData2324,'2324 Jun 24 Enroll'!E$1,FALSE),'District Calculations'!$F$12)*S133,3)</f>
        <v>15.183999999999999</v>
      </c>
      <c r="V133">
        <f>ROUND(IF(VLOOKUP($A133,EnrollData2324,'2324 Jun 24 Enroll'!F$1,FALSE)='District Calculations'!$F$13,VLOOKUP($A133,EnrollData2324,'2324 Jun 24 Enroll'!F$1,FALSE),'District Calculations'!$F$13)*Apport_224A2425,3)</f>
        <v>3.7109999999999999</v>
      </c>
      <c r="W133">
        <f>ROUND(IF(VLOOKUP($A133,EnrollData2324,'2324 Jun 24 Enroll'!G$1,FALSE)='District Calculations'!$F$14,VLOOKUP($A133,EnrollData2324,'2324 Jun 24 Enroll'!G$1,FALSE),'District Calculations'!$F$14)*Apport_212A2425,3)</f>
        <v>8.2279999999999998</v>
      </c>
      <c r="X133">
        <f>ROUND(IF(VLOOKUP($A133,EnrollData2324,'2324 Jun 24 Enroll'!H$1,FALSE)='District Calculations'!$F$14,VLOOKUP($A133,EnrollData2324,'2324 Jun 24 Enroll'!H$1,FALSE),'District Calculations'!$F$14)*Apport_215A2425,3)</f>
        <v>8.1180000000000003</v>
      </c>
      <c r="Y133">
        <f>ROUND(IF(VLOOKUP($A133,EnrollData2324,'2324 Jun 24 Enroll'!I$1,FALSE)+VLOOKUP($A133,EnrollData2324,'2324 Jun 24 Enroll'!M$1,FALSE)-VLOOKUP($A133,EnrollData2324,'2324 Jun 24 Enroll'!J$1,FALSE)='District Calculations'!$F$16+'District Calculations'!$F$25-'District Calculations'!$F$17,VLOOKUP($A133,EnrollData2324,'2324 Jun 24 Enroll'!I$1,FALSE)+VLOOKUP($A133,EnrollData2324,'2324 Jun 24 Enroll'!M$1,FALSE)-VLOOKUP($A133,EnrollData2324,'2324 Jun 24 Enroll'!J$1,FALSE),'District Calculations'!$F$16+'District Calculations'!$F$25-'District Calculations'!$F$17)*Apport_218A2425,3)</f>
        <v>20.257999999999999</v>
      </c>
      <c r="Z133">
        <f>ROUND(SUM(T133:Y133)/IF(VLOOKUP($A133,EnrollData2324,'2324 Jun 24 Enroll'!M$1,FALSE)+VLOOKUP($A133,EnrollData2324,'2324 Jun 24 Enroll'!D$1,FALSE)='District Calculations'!$F$25+'District Calculations'!$F$11,VLOOKUP($A133,EnrollData2324,'2324 Jun 24 Enroll'!M$1,FALSE)+VLOOKUP($A133,EnrollData2324,'2324 Jun 24 Enroll'!D$1,FALSE),'District Calculations'!$F$25+'District Calculations'!$F$11),5)</f>
        <v>1.7780000000000001E-2</v>
      </c>
      <c r="AA133" s="6">
        <f>ROUND($J133*CIS_Base_Salary2425*VLOOKUP($A133,EnrollData2324,'2324 Jun 24 Enroll'!AH$1,FALSE),2)</f>
        <v>5029.96</v>
      </c>
      <c r="AB133" s="6">
        <f>ROUND($J133*CIS_Inc_Salary2425*(VLOOKUP($A133,EnrollData2324,'2324 Jun 24 Enroll'!AI$1,FALSE)+VLOOKUP($A133,EnrollData2324,'2324 Jun 24 Enroll'!AJ$1,FALSE)),2)-AA133</f>
        <v>186.07999999999993</v>
      </c>
      <c r="AC133" s="6" cm="1">
        <f t="array" ref="AC133">ROUND($R133*CAS_Base_Salary2425*VLOOKUP($A133,EnrollData2324,'2324 Jun 24 Enroll'!AH$1,FALSE),2)</f>
        <v>544.26</v>
      </c>
      <c r="AD133" s="6">
        <f>ROUND($R133*CAS_Inc_Salary2425*VLOOKUP($A133,EnrollData2324,'2324 Jun 24 Enroll'!AI$1,FALSE),2)-AC133</f>
        <v>20.129999999999995</v>
      </c>
      <c r="AE133" s="6">
        <f>ROUND($Z133*CLS_Base_Salary2425*VLOOKUP($A133,EnrollData2324,'2324 Jun 24 Enroll'!AH$1,FALSE),2)</f>
        <v>1135.0999999999999</v>
      </c>
      <c r="AF133" s="6">
        <f>ROUND($Z133*CLS_Inc_Salary2425*VLOOKUP($A133,EnrollData2324,'2324 Jun 24 Enroll'!AI$1,FALSE),2)-AE133</f>
        <v>42.009999999999991</v>
      </c>
      <c r="AG133" cm="1">
        <f t="array" ref="AG133">ROUND(($J133+$R133)*Apport_124X2425,2)</f>
        <v>800.45</v>
      </c>
      <c r="AH133" s="69" cm="1">
        <f t="array" ref="AH133">ROUND(($J133+$R133)*Apport_621X2425*Apport_125XC2425,2)-AG133</f>
        <v>73.899999999999977</v>
      </c>
      <c r="AI133" cm="1">
        <f t="array" ref="AI133">ROUND($Z133*Apport_124X2425,2)</f>
        <v>234.7</v>
      </c>
      <c r="AJ133">
        <f t="shared" si="32"/>
        <v>124.71000000000004</v>
      </c>
      <c r="AK133">
        <f t="shared" si="33"/>
        <v>1011.72</v>
      </c>
      <c r="AL133">
        <f t="shared" si="34"/>
        <v>36.11</v>
      </c>
      <c r="AM133">
        <f t="shared" si="35"/>
        <v>245.86</v>
      </c>
      <c r="AN133">
        <f t="shared" si="36"/>
        <v>7.63</v>
      </c>
      <c r="AO133">
        <f>ROUND(($J133*CIS_Inc_Salary2425*(VLOOKUP($A133,EnrollData2324,'2324 Jun 24 Enroll'!AI$1,FALSE)+VLOOKUP($A133,EnrollData2324,'2324 Jun 24 Enroll'!AJ$1,FALSE))/Apport_613Xpd)*Apport_614Xpd,2)</f>
        <v>86.93</v>
      </c>
      <c r="AP133">
        <f t="shared" si="37"/>
        <v>15.22</v>
      </c>
      <c r="AQ133">
        <f t="shared" si="38"/>
        <v>31.48</v>
      </c>
      <c r="AR133" s="6">
        <f>ROUND((VLOOKUP($A133,EnrollData2324,'2324 Jun 24 Enroll'!D$1,FALSE)*Apport_M802425+VLOOKUP($A133,EnrollData2324,'2324 Jun 24 Enroll'!M$1,FALSE)*Apport_M802425+(VLOOKUP($A133,EnrollData2324,'2324 Jun 24 Enroll'!P$1,FALSE)+VLOOKUP($A133,EnrollData2324,'2324 Jun 24 Enroll'!Q$1,FALSE)+VLOOKUP($A133,EnrollData2324,'2324 Jun 24 Enroll'!R$1,FALSE)+VLOOKUP($A133,EnrollData2324,'2324 Jun 24 Enroll'!I$1,FALSE)+VLOOKUP($A133,EnrollData2324,'2324 Jun 24 Enroll'!N$1,FALSE)+VLOOKUP($A133,EnrollData2324,'2324 Jun 24 Enroll'!O$1,FALSE)+VLOOKUP($A133,EnrollData2324,'2324 Jun 24 Enroll'!K$1,FALSE)+VLOOKUP($A133,EnrollData2324,'2324 Jun 24 Enroll'!L$1,FALSE))*Apport_M812425)/(VLOOKUP($A133,EnrollData2324,'2324 Jun 24 Enroll'!M$1,FALSE)+VLOOKUP($A133,EnrollData2324,'2324 Jun 24 Enroll'!D$1,FALSE)),2)</f>
        <v>1596.38</v>
      </c>
      <c r="AS133" s="7">
        <f t="shared" si="39"/>
        <v>11222.630000000001</v>
      </c>
    </row>
    <row r="134" spans="1:45">
      <c r="A134" s="40" t="s">
        <v>526</v>
      </c>
      <c r="B134" s="40" t="s">
        <v>527</v>
      </c>
      <c r="C134" s="11">
        <f>ROUND((IFERROR((1/IF(VLOOKUP($A134,EnrollData2324,28,FALSE)='District Calculations'!$F$10,VLOOKUP($A134,EnrollData2324,28,FALSE),'District Calculations'!$F$10))*(1+Apport_Z315),0))+Apport_201A2425,6)</f>
        <v>7.4580999999999995E-2</v>
      </c>
      <c r="D134">
        <f>ROUND(IF(VLOOKUP($A134,EnrollData2324,'2324 Jun 24 Enroll'!D$1,FALSE)='District Calculations'!$F$11,VLOOKUP($A134,EnrollData2324,'2324 Jun 24 Enroll'!D$1,FALSE),'District Calculations'!$F$11)*C134,3)</f>
        <v>0</v>
      </c>
      <c r="E134">
        <f>ROUND(IF(VLOOKUP($A134,EnrollData2324,'2324 Jun 24 Enroll'!E$1,FALSE)='District Calculations'!$F$12,VLOOKUP($A134,EnrollData2324,'2324 Jun 24 Enroll'!E$1,FALSE),'District Calculations'!$F$12)*C134,3)</f>
        <v>60.447000000000003</v>
      </c>
      <c r="F134">
        <f>ROUND(IF(VLOOKUP($A134,EnrollData2324,'2324 Jun 24 Enroll'!F$1,FALSE)='District Calculations'!$F$13,VLOOKUP($A134,EnrollData2324,'2324 Jun 24 Enroll'!F$1,FALSE),'District Calculations'!$F$13)*Apport_222A2425,3)</f>
        <v>10.337999999999999</v>
      </c>
      <c r="G134">
        <f>ROUND(IF(VLOOKUP($A134,EnrollData2324,'2324 Jun 24 Enroll'!G$1,FALSE)='District Calculations'!$F$14,VLOOKUP($A134,EnrollData2324,'2324 Jun 24 Enroll'!G$1,FALSE),'District Calculations'!$F$14)*Apport_210A2425,3)</f>
        <v>22.92</v>
      </c>
      <c r="H134">
        <f>ROUND(IF(VLOOKUP($A134,EnrollData2324,'2324 Jun 24 Enroll'!H$1,FALSE)='District Calculations'!$F$15,VLOOKUP($A134,EnrollData2324,'2324 Jun 24 Enroll'!H$1,FALSE),'District Calculations'!$F$15)*Apport_213A2425,3)</f>
        <v>23.619</v>
      </c>
      <c r="I134">
        <f>ROUND(IF(VLOOKUP($A134,EnrollData2324,'2324 Jun 24 Enroll'!I$1,FALSE)+VLOOKUP($A134,EnrollData2324,'2324 Jun 24 Enroll'!M$1,FALSE)-VLOOKUP($A134,EnrollData2324,'2324 Jun 24 Enroll'!J$1,FALSE)='District Calculations'!$F$16+'District Calculations'!$F$25-'District Calculations'!$F$17,VLOOKUP($A134,EnrollData2324,'2324 Jun 24 Enroll'!I$1,FALSE)+VLOOKUP($A134,EnrollData2324,'2324 Jun 24 Enroll'!M$1,FALSE)-VLOOKUP($A134,EnrollData2324,'2324 Jun 24 Enroll'!J$1,FALSE),'District Calculations'!$F$16+'District Calculations'!$F$25-'District Calculations'!$F$17)*Apport_216A2425,3)</f>
        <v>59.057000000000002</v>
      </c>
      <c r="J134">
        <f>ROUND(SUM(D134:I134)/(IF(VLOOKUP($A134,EnrollData2324,'2324 Jun 24 Enroll'!M$1,FALSE)='District Calculations'!$F$25,VLOOKUP($A134,EnrollData2324,'2324 Jun 24 Enroll'!M$1,FALSE),'District Calculations'!$F$25)+IF(VLOOKUP($A134,EnrollData2324,'2324 Jun 24 Enroll'!D$1,FALSE)='District Calculations'!$F$11,VLOOKUP($A134,EnrollData2324,'2324 Jun 24 Enroll'!D$1,FALSE),'District Calculations'!$F$11)),5)</f>
        <v>5.6520000000000001E-2</v>
      </c>
      <c r="K134" s="11">
        <f t="shared" si="30"/>
        <v>4.385E-3</v>
      </c>
      <c r="L134">
        <f>ROUND(IF(VLOOKUP($A134,EnrollData2324,'2324 Jun 24 Enroll'!D$1,FALSE)='District Calculations'!$F$11,VLOOKUP($A134,EnrollData2324,'2324 Jun 24 Enroll'!D$1,FALSE),'District Calculations'!$F$11)*K134,3)</f>
        <v>0</v>
      </c>
      <c r="M134">
        <f>ROUND(IF(VLOOKUP($A134,EnrollData2324,'2324 Jun 24 Enroll'!E$1,FALSE)='District Calculations'!$F$12,VLOOKUP($A134,EnrollData2324,'2324 Jun 24 Enroll'!E$1,FALSE),'District Calculations'!$F$12)*K134,3)</f>
        <v>3.5539999999999998</v>
      </c>
      <c r="N134">
        <f>ROUND(IF(VLOOKUP($A134,EnrollData2324,'2324 Jun 24 Enroll'!F$1,FALSE)='District Calculations'!$F$13,VLOOKUP($A134,EnrollData2324,'2324 Jun 24 Enroll'!F$1,FALSE),'District Calculations'!$F$13)*Apport_223A2425,3)</f>
        <v>0.84599999999999997</v>
      </c>
      <c r="O134">
        <f>ROUND(IF(VLOOKUP($A134,EnrollData2324,'2324 Jun 24 Enroll'!G$1,FALSE)='District Calculations'!$F$14,VLOOKUP($A134,EnrollData2324,'2324 Jun 24 Enroll'!G$1,FALSE),'District Calculations'!$F$14)*Apport_211A2425,3)</f>
        <v>1.877</v>
      </c>
      <c r="P134">
        <f>ROUND(IF(VLOOKUP($A134,EnrollData2324,'2324 Jun 24 Enroll'!H$1,FALSE)='District Calculations'!$F$14,VLOOKUP($A134,EnrollData2324,'2324 Jun 24 Enroll'!H$1,FALSE),'District Calculations'!$F$14)*Apport_214A2425,3)</f>
        <v>1.875</v>
      </c>
      <c r="Q134">
        <f>ROUND(IF(VLOOKUP($A134,EnrollData2324,'2324 Jun 24 Enroll'!I$1,FALSE)+VLOOKUP($A134,EnrollData2324,'2324 Jun 24 Enroll'!M$1,FALSE)-VLOOKUP($A134,EnrollData2324,'2324 Jun 24 Enroll'!J$1,FALSE)='District Calculations'!$F$16+'District Calculations'!$F$25-'District Calculations'!$F$17,VLOOKUP($A134,EnrollData2324,'2324 Jun 24 Enroll'!I$1,FALSE)+VLOOKUP($A134,EnrollData2324,'2324 Jun 24 Enroll'!M$1,FALSE)-VLOOKUP($A134,EnrollData2324,'2324 Jun 24 Enroll'!J$1,FALSE),'District Calculations'!$F$16+'District Calculations'!$F$25-'District Calculations'!$F$17)*Apport_217A2425,3)</f>
        <v>4.7130000000000001</v>
      </c>
      <c r="R134">
        <f>ROUND(SUM(L134:Q134)/IF(VLOOKUP($A134,EnrollData2324,'2324 Jun 24 Enroll'!M$1,FALSE)+VLOOKUP($A134,EnrollData2324,'2324 Jun 24 Enroll'!D$1,FALSE)='District Calculations'!$F$25+'District Calculations'!$F$11,VLOOKUP($A134,EnrollData2324,'2324 Jun 24 Enroll'!M$1,FALSE)+VLOOKUP($A134,EnrollData2324,'2324 Jun 24 Enroll'!D$1,FALSE),'District Calculations'!$F$25+'District Calculations'!$F$11),5)</f>
        <v>4.1200000000000004E-3</v>
      </c>
      <c r="S134" s="11">
        <f t="shared" si="31"/>
        <v>1.8734299999999999E-2</v>
      </c>
      <c r="T134">
        <f>ROUND(IF(VLOOKUP($A134,EnrollData2324,'2324 Jun 24 Enroll'!D$1,FALSE)='District Calculations'!$F$11,VLOOKUP($A134,EnrollData2324,'2324 Jun 24 Enroll'!D$1,FALSE),'District Calculations'!$F$11)*S134,3)</f>
        <v>0</v>
      </c>
      <c r="U134">
        <f>ROUND(IF(VLOOKUP($A134,EnrollData2324,'2324 Jun 24 Enroll'!E$1,FALSE)='District Calculations'!$F$12,VLOOKUP($A134,EnrollData2324,'2324 Jun 24 Enroll'!E$1,FALSE),'District Calculations'!$F$12)*S134,3)</f>
        <v>15.183999999999999</v>
      </c>
      <c r="V134">
        <f>ROUND(IF(VLOOKUP($A134,EnrollData2324,'2324 Jun 24 Enroll'!F$1,FALSE)='District Calculations'!$F$13,VLOOKUP($A134,EnrollData2324,'2324 Jun 24 Enroll'!F$1,FALSE),'District Calculations'!$F$13)*Apport_224A2425,3)</f>
        <v>3.7109999999999999</v>
      </c>
      <c r="W134">
        <f>ROUND(IF(VLOOKUP($A134,EnrollData2324,'2324 Jun 24 Enroll'!G$1,FALSE)='District Calculations'!$F$14,VLOOKUP($A134,EnrollData2324,'2324 Jun 24 Enroll'!G$1,FALSE),'District Calculations'!$F$14)*Apport_212A2425,3)</f>
        <v>8.2279999999999998</v>
      </c>
      <c r="X134">
        <f>ROUND(IF(VLOOKUP($A134,EnrollData2324,'2324 Jun 24 Enroll'!H$1,FALSE)='District Calculations'!$F$14,VLOOKUP($A134,EnrollData2324,'2324 Jun 24 Enroll'!H$1,FALSE),'District Calculations'!$F$14)*Apport_215A2425,3)</f>
        <v>8.1180000000000003</v>
      </c>
      <c r="Y134">
        <f>ROUND(IF(VLOOKUP($A134,EnrollData2324,'2324 Jun 24 Enroll'!I$1,FALSE)+VLOOKUP($A134,EnrollData2324,'2324 Jun 24 Enroll'!M$1,FALSE)-VLOOKUP($A134,EnrollData2324,'2324 Jun 24 Enroll'!J$1,FALSE)='District Calculations'!$F$16+'District Calculations'!$F$25-'District Calculations'!$F$17,VLOOKUP($A134,EnrollData2324,'2324 Jun 24 Enroll'!I$1,FALSE)+VLOOKUP($A134,EnrollData2324,'2324 Jun 24 Enroll'!M$1,FALSE)-VLOOKUP($A134,EnrollData2324,'2324 Jun 24 Enroll'!J$1,FALSE),'District Calculations'!$F$16+'District Calculations'!$F$25-'District Calculations'!$F$17)*Apport_218A2425,3)</f>
        <v>20.257999999999999</v>
      </c>
      <c r="Z134">
        <f>ROUND(SUM(T134:Y134)/IF(VLOOKUP($A134,EnrollData2324,'2324 Jun 24 Enroll'!M$1,FALSE)+VLOOKUP($A134,EnrollData2324,'2324 Jun 24 Enroll'!D$1,FALSE)='District Calculations'!$F$25+'District Calculations'!$F$11,VLOOKUP($A134,EnrollData2324,'2324 Jun 24 Enroll'!M$1,FALSE)+VLOOKUP($A134,EnrollData2324,'2324 Jun 24 Enroll'!D$1,FALSE),'District Calculations'!$F$25+'District Calculations'!$F$11),5)</f>
        <v>1.7780000000000001E-2</v>
      </c>
      <c r="AA134" s="6">
        <f>ROUND($J134*CIS_Base_Salary2425*VLOOKUP($A134,EnrollData2324,'2324 Jun 24 Enroll'!AH$1,FALSE),2)</f>
        <v>5029.96</v>
      </c>
      <c r="AB134" s="6">
        <f>ROUND($J134*CIS_Inc_Salary2425*(VLOOKUP($A134,EnrollData2324,'2324 Jun 24 Enroll'!AI$1,FALSE)+VLOOKUP($A134,EnrollData2324,'2324 Jun 24 Enroll'!AJ$1,FALSE)),2)-AA134</f>
        <v>186.07999999999993</v>
      </c>
      <c r="AC134" s="6" cm="1">
        <f t="array" ref="AC134">ROUND($R134*CAS_Base_Salary2425*VLOOKUP($A134,EnrollData2324,'2324 Jun 24 Enroll'!AH$1,FALSE),2)</f>
        <v>544.26</v>
      </c>
      <c r="AD134" s="6">
        <f>ROUND($R134*CAS_Inc_Salary2425*VLOOKUP($A134,EnrollData2324,'2324 Jun 24 Enroll'!AI$1,FALSE),2)-AC134</f>
        <v>20.129999999999995</v>
      </c>
      <c r="AE134" s="6">
        <f>ROUND($Z134*CLS_Base_Salary2425*VLOOKUP($A134,EnrollData2324,'2324 Jun 24 Enroll'!AH$1,FALSE),2)</f>
        <v>1135.0999999999999</v>
      </c>
      <c r="AF134" s="6">
        <f>ROUND($Z134*CLS_Inc_Salary2425*VLOOKUP($A134,EnrollData2324,'2324 Jun 24 Enroll'!AI$1,FALSE),2)-AE134</f>
        <v>42.009999999999991</v>
      </c>
      <c r="AG134" cm="1">
        <f t="array" ref="AG134">ROUND(($J134+$R134)*Apport_124X2425,2)</f>
        <v>800.45</v>
      </c>
      <c r="AH134" s="69" cm="1">
        <f t="array" ref="AH134">ROUND(($J134+$R134)*Apport_621X2425*Apport_125XC2425,2)-AG134</f>
        <v>73.899999999999977</v>
      </c>
      <c r="AI134" cm="1">
        <f t="array" ref="AI134">ROUND($Z134*Apport_124X2425,2)</f>
        <v>234.7</v>
      </c>
      <c r="AJ134">
        <f t="shared" si="32"/>
        <v>124.71000000000004</v>
      </c>
      <c r="AK134">
        <f t="shared" si="33"/>
        <v>1011.72</v>
      </c>
      <c r="AL134">
        <f t="shared" si="34"/>
        <v>36.11</v>
      </c>
      <c r="AM134">
        <f t="shared" si="35"/>
        <v>245.86</v>
      </c>
      <c r="AN134">
        <f t="shared" si="36"/>
        <v>7.63</v>
      </c>
      <c r="AO134">
        <f>ROUND(($J134*CIS_Inc_Salary2425*(VLOOKUP($A134,EnrollData2324,'2324 Jun 24 Enroll'!AI$1,FALSE)+VLOOKUP($A134,EnrollData2324,'2324 Jun 24 Enroll'!AJ$1,FALSE))/Apport_613Xpd)*Apport_614Xpd,2)</f>
        <v>86.93</v>
      </c>
      <c r="AP134">
        <f t="shared" si="37"/>
        <v>15.22</v>
      </c>
      <c r="AQ134">
        <f t="shared" si="38"/>
        <v>31.48</v>
      </c>
      <c r="AR134" s="6">
        <f>ROUND((VLOOKUP($A134,EnrollData2324,'2324 Jun 24 Enroll'!D$1,FALSE)*Apport_M802425+VLOOKUP($A134,EnrollData2324,'2324 Jun 24 Enroll'!M$1,FALSE)*Apport_M802425+(VLOOKUP($A134,EnrollData2324,'2324 Jun 24 Enroll'!P$1,FALSE)+VLOOKUP($A134,EnrollData2324,'2324 Jun 24 Enroll'!Q$1,FALSE)+VLOOKUP($A134,EnrollData2324,'2324 Jun 24 Enroll'!R$1,FALSE)+VLOOKUP($A134,EnrollData2324,'2324 Jun 24 Enroll'!I$1,FALSE)+VLOOKUP($A134,EnrollData2324,'2324 Jun 24 Enroll'!N$1,FALSE)+VLOOKUP($A134,EnrollData2324,'2324 Jun 24 Enroll'!O$1,FALSE)+VLOOKUP($A134,EnrollData2324,'2324 Jun 24 Enroll'!K$1,FALSE)+VLOOKUP($A134,EnrollData2324,'2324 Jun 24 Enroll'!L$1,FALSE))*Apport_M812425)/(VLOOKUP($A134,EnrollData2324,'2324 Jun 24 Enroll'!M$1,FALSE)+VLOOKUP($A134,EnrollData2324,'2324 Jun 24 Enroll'!D$1,FALSE)),2)</f>
        <v>1598.21</v>
      </c>
      <c r="AS134" s="7">
        <f t="shared" si="39"/>
        <v>11224.46</v>
      </c>
    </row>
    <row r="135" spans="1:45">
      <c r="A135" s="40" t="s">
        <v>641</v>
      </c>
      <c r="B135" s="40" t="s">
        <v>642</v>
      </c>
      <c r="C135" s="11">
        <f>ROUND((IFERROR((1/IF(VLOOKUP($A135,EnrollData2324,28,FALSE)='District Calculations'!$F$10,VLOOKUP($A135,EnrollData2324,28,FALSE),'District Calculations'!$F$10))*(1+Apport_Z315),0))+Apport_201A2425,6)</f>
        <v>7.4580999999999995E-2</v>
      </c>
      <c r="D135">
        <f>ROUND(IF(VLOOKUP($A135,EnrollData2324,'2324 Jun 24 Enroll'!D$1,FALSE)='District Calculations'!$F$11,VLOOKUP($A135,EnrollData2324,'2324 Jun 24 Enroll'!D$1,FALSE),'District Calculations'!$F$11)*C135,3)</f>
        <v>0</v>
      </c>
      <c r="E135">
        <f>ROUND(IF(VLOOKUP($A135,EnrollData2324,'2324 Jun 24 Enroll'!E$1,FALSE)='District Calculations'!$F$12,VLOOKUP($A135,EnrollData2324,'2324 Jun 24 Enroll'!E$1,FALSE),'District Calculations'!$F$12)*C135,3)</f>
        <v>60.447000000000003</v>
      </c>
      <c r="F135">
        <f>ROUND(IF(VLOOKUP($A135,EnrollData2324,'2324 Jun 24 Enroll'!F$1,FALSE)='District Calculations'!$F$13,VLOOKUP($A135,EnrollData2324,'2324 Jun 24 Enroll'!F$1,FALSE),'District Calculations'!$F$13)*Apport_222A2425,3)</f>
        <v>10.337999999999999</v>
      </c>
      <c r="G135">
        <f>ROUND(IF(VLOOKUP($A135,EnrollData2324,'2324 Jun 24 Enroll'!G$1,FALSE)='District Calculations'!$F$14,VLOOKUP($A135,EnrollData2324,'2324 Jun 24 Enroll'!G$1,FALSE),'District Calculations'!$F$14)*Apport_210A2425,3)</f>
        <v>22.92</v>
      </c>
      <c r="H135">
        <f>ROUND(IF(VLOOKUP($A135,EnrollData2324,'2324 Jun 24 Enroll'!H$1,FALSE)='District Calculations'!$F$15,VLOOKUP($A135,EnrollData2324,'2324 Jun 24 Enroll'!H$1,FALSE),'District Calculations'!$F$15)*Apport_213A2425,3)</f>
        <v>23.619</v>
      </c>
      <c r="I135">
        <f>ROUND(IF(VLOOKUP($A135,EnrollData2324,'2324 Jun 24 Enroll'!I$1,FALSE)+VLOOKUP($A135,EnrollData2324,'2324 Jun 24 Enroll'!M$1,FALSE)-VLOOKUP($A135,EnrollData2324,'2324 Jun 24 Enroll'!J$1,FALSE)='District Calculations'!$F$16+'District Calculations'!$F$25-'District Calculations'!$F$17,VLOOKUP($A135,EnrollData2324,'2324 Jun 24 Enroll'!I$1,FALSE)+VLOOKUP($A135,EnrollData2324,'2324 Jun 24 Enroll'!M$1,FALSE)-VLOOKUP($A135,EnrollData2324,'2324 Jun 24 Enroll'!J$1,FALSE),'District Calculations'!$F$16+'District Calculations'!$F$25-'District Calculations'!$F$17)*Apport_216A2425,3)</f>
        <v>59.057000000000002</v>
      </c>
      <c r="J135">
        <f>ROUND(SUM(D135:I135)/(IF(VLOOKUP($A135,EnrollData2324,'2324 Jun 24 Enroll'!M$1,FALSE)='District Calculations'!$F$25,VLOOKUP($A135,EnrollData2324,'2324 Jun 24 Enroll'!M$1,FALSE),'District Calculations'!$F$25)+IF(VLOOKUP($A135,EnrollData2324,'2324 Jun 24 Enroll'!D$1,FALSE)='District Calculations'!$F$11,VLOOKUP($A135,EnrollData2324,'2324 Jun 24 Enroll'!D$1,FALSE),'District Calculations'!$F$11)),5)</f>
        <v>5.6520000000000001E-2</v>
      </c>
      <c r="K135" s="11">
        <f t="shared" si="30"/>
        <v>4.385E-3</v>
      </c>
      <c r="L135">
        <f>ROUND(IF(VLOOKUP($A135,EnrollData2324,'2324 Jun 24 Enroll'!D$1,FALSE)='District Calculations'!$F$11,VLOOKUP($A135,EnrollData2324,'2324 Jun 24 Enroll'!D$1,FALSE),'District Calculations'!$F$11)*K135,3)</f>
        <v>0</v>
      </c>
      <c r="M135">
        <f>ROUND(IF(VLOOKUP($A135,EnrollData2324,'2324 Jun 24 Enroll'!E$1,FALSE)='District Calculations'!$F$12,VLOOKUP($A135,EnrollData2324,'2324 Jun 24 Enroll'!E$1,FALSE),'District Calculations'!$F$12)*K135,3)</f>
        <v>3.5539999999999998</v>
      </c>
      <c r="N135">
        <f>ROUND(IF(VLOOKUP($A135,EnrollData2324,'2324 Jun 24 Enroll'!F$1,FALSE)='District Calculations'!$F$13,VLOOKUP($A135,EnrollData2324,'2324 Jun 24 Enroll'!F$1,FALSE),'District Calculations'!$F$13)*Apport_223A2425,3)</f>
        <v>0.84599999999999997</v>
      </c>
      <c r="O135">
        <f>ROUND(IF(VLOOKUP($A135,EnrollData2324,'2324 Jun 24 Enroll'!G$1,FALSE)='District Calculations'!$F$14,VLOOKUP($A135,EnrollData2324,'2324 Jun 24 Enroll'!G$1,FALSE),'District Calculations'!$F$14)*Apport_211A2425,3)</f>
        <v>1.877</v>
      </c>
      <c r="P135">
        <f>ROUND(IF(VLOOKUP($A135,EnrollData2324,'2324 Jun 24 Enroll'!H$1,FALSE)='District Calculations'!$F$14,VLOOKUP($A135,EnrollData2324,'2324 Jun 24 Enroll'!H$1,FALSE),'District Calculations'!$F$14)*Apport_214A2425,3)</f>
        <v>1.875</v>
      </c>
      <c r="Q135">
        <f>ROUND(IF(VLOOKUP($A135,EnrollData2324,'2324 Jun 24 Enroll'!I$1,FALSE)+VLOOKUP($A135,EnrollData2324,'2324 Jun 24 Enroll'!M$1,FALSE)-VLOOKUP($A135,EnrollData2324,'2324 Jun 24 Enroll'!J$1,FALSE)='District Calculations'!$F$16+'District Calculations'!$F$25-'District Calculations'!$F$17,VLOOKUP($A135,EnrollData2324,'2324 Jun 24 Enroll'!I$1,FALSE)+VLOOKUP($A135,EnrollData2324,'2324 Jun 24 Enroll'!M$1,FALSE)-VLOOKUP($A135,EnrollData2324,'2324 Jun 24 Enroll'!J$1,FALSE),'District Calculations'!$F$16+'District Calculations'!$F$25-'District Calculations'!$F$17)*Apport_217A2425,3)</f>
        <v>4.7130000000000001</v>
      </c>
      <c r="R135">
        <f>ROUND(SUM(L135:Q135)/IF(VLOOKUP($A135,EnrollData2324,'2324 Jun 24 Enroll'!M$1,FALSE)+VLOOKUP($A135,EnrollData2324,'2324 Jun 24 Enroll'!D$1,FALSE)='District Calculations'!$F$25+'District Calculations'!$F$11,VLOOKUP($A135,EnrollData2324,'2324 Jun 24 Enroll'!M$1,FALSE)+VLOOKUP($A135,EnrollData2324,'2324 Jun 24 Enroll'!D$1,FALSE),'District Calculations'!$F$25+'District Calculations'!$F$11),5)</f>
        <v>4.1200000000000004E-3</v>
      </c>
      <c r="S135" s="11">
        <f t="shared" si="31"/>
        <v>1.8734299999999999E-2</v>
      </c>
      <c r="T135">
        <f>ROUND(IF(VLOOKUP($A135,EnrollData2324,'2324 Jun 24 Enroll'!D$1,FALSE)='District Calculations'!$F$11,VLOOKUP($A135,EnrollData2324,'2324 Jun 24 Enroll'!D$1,FALSE),'District Calculations'!$F$11)*S135,3)</f>
        <v>0</v>
      </c>
      <c r="U135">
        <f>ROUND(IF(VLOOKUP($A135,EnrollData2324,'2324 Jun 24 Enroll'!E$1,FALSE)='District Calculations'!$F$12,VLOOKUP($A135,EnrollData2324,'2324 Jun 24 Enroll'!E$1,FALSE),'District Calculations'!$F$12)*S135,3)</f>
        <v>15.183999999999999</v>
      </c>
      <c r="V135">
        <f>ROUND(IF(VLOOKUP($A135,EnrollData2324,'2324 Jun 24 Enroll'!F$1,FALSE)='District Calculations'!$F$13,VLOOKUP($A135,EnrollData2324,'2324 Jun 24 Enroll'!F$1,FALSE),'District Calculations'!$F$13)*Apport_224A2425,3)</f>
        <v>3.7109999999999999</v>
      </c>
      <c r="W135">
        <f>ROUND(IF(VLOOKUP($A135,EnrollData2324,'2324 Jun 24 Enroll'!G$1,FALSE)='District Calculations'!$F$14,VLOOKUP($A135,EnrollData2324,'2324 Jun 24 Enroll'!G$1,FALSE),'District Calculations'!$F$14)*Apport_212A2425,3)</f>
        <v>8.2279999999999998</v>
      </c>
      <c r="X135">
        <f>ROUND(IF(VLOOKUP($A135,EnrollData2324,'2324 Jun 24 Enroll'!H$1,FALSE)='District Calculations'!$F$14,VLOOKUP($A135,EnrollData2324,'2324 Jun 24 Enroll'!H$1,FALSE),'District Calculations'!$F$14)*Apport_215A2425,3)</f>
        <v>8.1180000000000003</v>
      </c>
      <c r="Y135">
        <f>ROUND(IF(VLOOKUP($A135,EnrollData2324,'2324 Jun 24 Enroll'!I$1,FALSE)+VLOOKUP($A135,EnrollData2324,'2324 Jun 24 Enroll'!M$1,FALSE)-VLOOKUP($A135,EnrollData2324,'2324 Jun 24 Enroll'!J$1,FALSE)='District Calculations'!$F$16+'District Calculations'!$F$25-'District Calculations'!$F$17,VLOOKUP($A135,EnrollData2324,'2324 Jun 24 Enroll'!I$1,FALSE)+VLOOKUP($A135,EnrollData2324,'2324 Jun 24 Enroll'!M$1,FALSE)-VLOOKUP($A135,EnrollData2324,'2324 Jun 24 Enroll'!J$1,FALSE),'District Calculations'!$F$16+'District Calculations'!$F$25-'District Calculations'!$F$17)*Apport_218A2425,3)</f>
        <v>20.257999999999999</v>
      </c>
      <c r="Z135">
        <f>ROUND(SUM(T135:Y135)/IF(VLOOKUP($A135,EnrollData2324,'2324 Jun 24 Enroll'!M$1,FALSE)+VLOOKUP($A135,EnrollData2324,'2324 Jun 24 Enroll'!D$1,FALSE)='District Calculations'!$F$25+'District Calculations'!$F$11,VLOOKUP($A135,EnrollData2324,'2324 Jun 24 Enroll'!M$1,FALSE)+VLOOKUP($A135,EnrollData2324,'2324 Jun 24 Enroll'!D$1,FALSE),'District Calculations'!$F$25+'District Calculations'!$F$11),5)</f>
        <v>1.7780000000000001E-2</v>
      </c>
      <c r="AA135" s="6">
        <f>ROUND($J135*CIS_Base_Salary2425*VLOOKUP($A135,EnrollData2324,'2324 Jun 24 Enroll'!AH$1,FALSE),2)</f>
        <v>5029.96</v>
      </c>
      <c r="AB135" s="6">
        <f>ROUND($J135*CIS_Inc_Salary2425*(VLOOKUP($A135,EnrollData2324,'2324 Jun 24 Enroll'!AI$1,FALSE)+VLOOKUP($A135,EnrollData2324,'2324 Jun 24 Enroll'!AJ$1,FALSE)),2)-AA135</f>
        <v>186.07999999999993</v>
      </c>
      <c r="AC135" s="6" cm="1">
        <f t="array" ref="AC135">ROUND($R135*CAS_Base_Salary2425*VLOOKUP($A135,EnrollData2324,'2324 Jun 24 Enroll'!AH$1,FALSE),2)</f>
        <v>544.26</v>
      </c>
      <c r="AD135" s="6">
        <f>ROUND($R135*CAS_Inc_Salary2425*VLOOKUP($A135,EnrollData2324,'2324 Jun 24 Enroll'!AI$1,FALSE),2)-AC135</f>
        <v>20.129999999999995</v>
      </c>
      <c r="AE135" s="6">
        <f>ROUND($Z135*CLS_Base_Salary2425*VLOOKUP($A135,EnrollData2324,'2324 Jun 24 Enroll'!AH$1,FALSE),2)</f>
        <v>1135.0999999999999</v>
      </c>
      <c r="AF135" s="6">
        <f>ROUND($Z135*CLS_Inc_Salary2425*VLOOKUP($A135,EnrollData2324,'2324 Jun 24 Enroll'!AI$1,FALSE),2)-AE135</f>
        <v>42.009999999999991</v>
      </c>
      <c r="AG135" cm="1">
        <f t="array" ref="AG135">ROUND(($J135+$R135)*Apport_124X2425,2)</f>
        <v>800.45</v>
      </c>
      <c r="AH135" s="69" cm="1">
        <f t="array" ref="AH135">ROUND(($J135+$R135)*Apport_621X2425*Apport_125XC2425,2)-AG135</f>
        <v>73.899999999999977</v>
      </c>
      <c r="AI135" cm="1">
        <f t="array" ref="AI135">ROUND($Z135*Apport_124X2425,2)</f>
        <v>234.7</v>
      </c>
      <c r="AJ135">
        <f t="shared" si="32"/>
        <v>124.71000000000004</v>
      </c>
      <c r="AK135">
        <f t="shared" si="33"/>
        <v>1011.72</v>
      </c>
      <c r="AL135">
        <f t="shared" si="34"/>
        <v>36.11</v>
      </c>
      <c r="AM135">
        <f t="shared" si="35"/>
        <v>245.86</v>
      </c>
      <c r="AN135">
        <f t="shared" si="36"/>
        <v>7.63</v>
      </c>
      <c r="AO135">
        <f>ROUND(($J135*CIS_Inc_Salary2425*(VLOOKUP($A135,EnrollData2324,'2324 Jun 24 Enroll'!AI$1,FALSE)+VLOOKUP($A135,EnrollData2324,'2324 Jun 24 Enroll'!AJ$1,FALSE))/Apport_613Xpd)*Apport_614Xpd,2)</f>
        <v>86.93</v>
      </c>
      <c r="AP135">
        <f t="shared" si="37"/>
        <v>15.22</v>
      </c>
      <c r="AQ135">
        <f t="shared" si="38"/>
        <v>31.48</v>
      </c>
      <c r="AR135" s="6">
        <f>ROUND((VLOOKUP($A135,EnrollData2324,'2324 Jun 24 Enroll'!D$1,FALSE)*Apport_M802425+VLOOKUP($A135,EnrollData2324,'2324 Jun 24 Enroll'!M$1,FALSE)*Apport_M802425+(VLOOKUP($A135,EnrollData2324,'2324 Jun 24 Enroll'!P$1,FALSE)+VLOOKUP($A135,EnrollData2324,'2324 Jun 24 Enroll'!Q$1,FALSE)+VLOOKUP($A135,EnrollData2324,'2324 Jun 24 Enroll'!R$1,FALSE)+VLOOKUP($A135,EnrollData2324,'2324 Jun 24 Enroll'!I$1,FALSE)+VLOOKUP($A135,EnrollData2324,'2324 Jun 24 Enroll'!N$1,FALSE)+VLOOKUP($A135,EnrollData2324,'2324 Jun 24 Enroll'!O$1,FALSE)+VLOOKUP($A135,EnrollData2324,'2324 Jun 24 Enroll'!K$1,FALSE)+VLOOKUP($A135,EnrollData2324,'2324 Jun 24 Enroll'!L$1,FALSE))*Apport_M812425)/(VLOOKUP($A135,EnrollData2324,'2324 Jun 24 Enroll'!M$1,FALSE)+VLOOKUP($A135,EnrollData2324,'2324 Jun 24 Enroll'!D$1,FALSE)),2)</f>
        <v>1600.55</v>
      </c>
      <c r="AS135" s="7">
        <f t="shared" si="39"/>
        <v>11226.8</v>
      </c>
    </row>
    <row r="136" spans="1:45">
      <c r="A136" s="40" t="s">
        <v>911</v>
      </c>
      <c r="B136" s="40" t="s">
        <v>906</v>
      </c>
      <c r="C136" s="11">
        <f>ROUND((IFERROR((1/IF(VLOOKUP($A136,EnrollData2324,28,FALSE)='District Calculations'!$F$10,VLOOKUP($A136,EnrollData2324,28,FALSE),'District Calculations'!$F$10))*(1+Apport_Z315),0))+Apport_201A2425,6)</f>
        <v>7.4580999999999995E-2</v>
      </c>
      <c r="D136">
        <f>ROUND(IF(VLOOKUP($A136,EnrollData2324,'2324 Jun 24 Enroll'!D$1,FALSE)='District Calculations'!$F$11,VLOOKUP($A136,EnrollData2324,'2324 Jun 24 Enroll'!D$1,FALSE),'District Calculations'!$F$11)*C136,3)</f>
        <v>0</v>
      </c>
      <c r="E136">
        <f>ROUND(IF(VLOOKUP($A136,EnrollData2324,'2324 Jun 24 Enroll'!E$1,FALSE)='District Calculations'!$F$12,VLOOKUP($A136,EnrollData2324,'2324 Jun 24 Enroll'!E$1,FALSE),'District Calculations'!$F$12)*C136,3)</f>
        <v>60.447000000000003</v>
      </c>
      <c r="F136">
        <f>ROUND(IF(VLOOKUP($A136,EnrollData2324,'2324 Jun 24 Enroll'!F$1,FALSE)='District Calculations'!$F$13,VLOOKUP($A136,EnrollData2324,'2324 Jun 24 Enroll'!F$1,FALSE),'District Calculations'!$F$13)*Apport_222A2425,3)</f>
        <v>10.337999999999999</v>
      </c>
      <c r="G136">
        <f>ROUND(IF(VLOOKUP($A136,EnrollData2324,'2324 Jun 24 Enroll'!G$1,FALSE)='District Calculations'!$F$14,VLOOKUP($A136,EnrollData2324,'2324 Jun 24 Enroll'!G$1,FALSE),'District Calculations'!$F$14)*Apport_210A2425,3)</f>
        <v>22.92</v>
      </c>
      <c r="H136">
        <f>ROUND(IF(VLOOKUP($A136,EnrollData2324,'2324 Jun 24 Enroll'!H$1,FALSE)='District Calculations'!$F$15,VLOOKUP($A136,EnrollData2324,'2324 Jun 24 Enroll'!H$1,FALSE),'District Calculations'!$F$15)*Apport_213A2425,3)</f>
        <v>23.619</v>
      </c>
      <c r="I136">
        <f>ROUND(IF(VLOOKUP($A136,EnrollData2324,'2324 Jun 24 Enroll'!I$1,FALSE)+VLOOKUP($A136,EnrollData2324,'2324 Jun 24 Enroll'!M$1,FALSE)-VLOOKUP($A136,EnrollData2324,'2324 Jun 24 Enroll'!J$1,FALSE)='District Calculations'!$F$16+'District Calculations'!$F$25-'District Calculations'!$F$17,VLOOKUP($A136,EnrollData2324,'2324 Jun 24 Enroll'!I$1,FALSE)+VLOOKUP($A136,EnrollData2324,'2324 Jun 24 Enroll'!M$1,FALSE)-VLOOKUP($A136,EnrollData2324,'2324 Jun 24 Enroll'!J$1,FALSE),'District Calculations'!$F$16+'District Calculations'!$F$25-'District Calculations'!$F$17)*Apport_216A2425,3)</f>
        <v>59.057000000000002</v>
      </c>
      <c r="J136">
        <f>ROUND(SUM(D136:I136)/(IF(VLOOKUP($A136,EnrollData2324,'2324 Jun 24 Enroll'!M$1,FALSE)='District Calculations'!$F$25,VLOOKUP($A136,EnrollData2324,'2324 Jun 24 Enroll'!M$1,FALSE),'District Calculations'!$F$25)+IF(VLOOKUP($A136,EnrollData2324,'2324 Jun 24 Enroll'!D$1,FALSE)='District Calculations'!$F$11,VLOOKUP($A136,EnrollData2324,'2324 Jun 24 Enroll'!D$1,FALSE),'District Calculations'!$F$11)),5)</f>
        <v>5.6520000000000001E-2</v>
      </c>
      <c r="K136" s="11">
        <f t="shared" si="30"/>
        <v>4.385E-3</v>
      </c>
      <c r="L136">
        <f>ROUND(IF(VLOOKUP($A136,EnrollData2324,'2324 Jun 24 Enroll'!D$1,FALSE)='District Calculations'!$F$11,VLOOKUP($A136,EnrollData2324,'2324 Jun 24 Enroll'!D$1,FALSE),'District Calculations'!$F$11)*K136,3)</f>
        <v>0</v>
      </c>
      <c r="M136">
        <f>ROUND(IF(VLOOKUP($A136,EnrollData2324,'2324 Jun 24 Enroll'!E$1,FALSE)='District Calculations'!$F$12,VLOOKUP($A136,EnrollData2324,'2324 Jun 24 Enroll'!E$1,FALSE),'District Calculations'!$F$12)*K136,3)</f>
        <v>3.5539999999999998</v>
      </c>
      <c r="N136">
        <f>ROUND(IF(VLOOKUP($A136,EnrollData2324,'2324 Jun 24 Enroll'!F$1,FALSE)='District Calculations'!$F$13,VLOOKUP($A136,EnrollData2324,'2324 Jun 24 Enroll'!F$1,FALSE),'District Calculations'!$F$13)*Apport_223A2425,3)</f>
        <v>0.84599999999999997</v>
      </c>
      <c r="O136">
        <f>ROUND(IF(VLOOKUP($A136,EnrollData2324,'2324 Jun 24 Enroll'!G$1,FALSE)='District Calculations'!$F$14,VLOOKUP($A136,EnrollData2324,'2324 Jun 24 Enroll'!G$1,FALSE),'District Calculations'!$F$14)*Apport_211A2425,3)</f>
        <v>1.877</v>
      </c>
      <c r="P136">
        <f>ROUND(IF(VLOOKUP($A136,EnrollData2324,'2324 Jun 24 Enroll'!H$1,FALSE)='District Calculations'!$F$14,VLOOKUP($A136,EnrollData2324,'2324 Jun 24 Enroll'!H$1,FALSE),'District Calculations'!$F$14)*Apport_214A2425,3)</f>
        <v>1.875</v>
      </c>
      <c r="Q136">
        <f>ROUND(IF(VLOOKUP($A136,EnrollData2324,'2324 Jun 24 Enroll'!I$1,FALSE)+VLOOKUP($A136,EnrollData2324,'2324 Jun 24 Enroll'!M$1,FALSE)-VLOOKUP($A136,EnrollData2324,'2324 Jun 24 Enroll'!J$1,FALSE)='District Calculations'!$F$16+'District Calculations'!$F$25-'District Calculations'!$F$17,VLOOKUP($A136,EnrollData2324,'2324 Jun 24 Enroll'!I$1,FALSE)+VLOOKUP($A136,EnrollData2324,'2324 Jun 24 Enroll'!M$1,FALSE)-VLOOKUP($A136,EnrollData2324,'2324 Jun 24 Enroll'!J$1,FALSE),'District Calculations'!$F$16+'District Calculations'!$F$25-'District Calculations'!$F$17)*Apport_217A2425,3)</f>
        <v>4.7130000000000001</v>
      </c>
      <c r="R136">
        <f>ROUND(SUM(L136:Q136)/IF(VLOOKUP($A136,EnrollData2324,'2324 Jun 24 Enroll'!M$1,FALSE)+VLOOKUP($A136,EnrollData2324,'2324 Jun 24 Enroll'!D$1,FALSE)='District Calculations'!$F$25+'District Calculations'!$F$11,VLOOKUP($A136,EnrollData2324,'2324 Jun 24 Enroll'!M$1,FALSE)+VLOOKUP($A136,EnrollData2324,'2324 Jun 24 Enroll'!D$1,FALSE),'District Calculations'!$F$25+'District Calculations'!$F$11),5)</f>
        <v>4.1200000000000004E-3</v>
      </c>
      <c r="S136" s="11">
        <f t="shared" si="31"/>
        <v>1.8734299999999999E-2</v>
      </c>
      <c r="T136">
        <f>ROUND(IF(VLOOKUP($A136,EnrollData2324,'2324 Jun 24 Enroll'!D$1,FALSE)='District Calculations'!$F$11,VLOOKUP($A136,EnrollData2324,'2324 Jun 24 Enroll'!D$1,FALSE),'District Calculations'!$F$11)*S136,3)</f>
        <v>0</v>
      </c>
      <c r="U136">
        <f>ROUND(IF(VLOOKUP($A136,EnrollData2324,'2324 Jun 24 Enroll'!E$1,FALSE)='District Calculations'!$F$12,VLOOKUP($A136,EnrollData2324,'2324 Jun 24 Enroll'!E$1,FALSE),'District Calculations'!$F$12)*S136,3)</f>
        <v>15.183999999999999</v>
      </c>
      <c r="V136">
        <f>ROUND(IF(VLOOKUP($A136,EnrollData2324,'2324 Jun 24 Enroll'!F$1,FALSE)='District Calculations'!$F$13,VLOOKUP($A136,EnrollData2324,'2324 Jun 24 Enroll'!F$1,FALSE),'District Calculations'!$F$13)*Apport_224A2425,3)</f>
        <v>3.7109999999999999</v>
      </c>
      <c r="W136">
        <f>ROUND(IF(VLOOKUP($A136,EnrollData2324,'2324 Jun 24 Enroll'!G$1,FALSE)='District Calculations'!$F$14,VLOOKUP($A136,EnrollData2324,'2324 Jun 24 Enroll'!G$1,FALSE),'District Calculations'!$F$14)*Apport_212A2425,3)</f>
        <v>8.2279999999999998</v>
      </c>
      <c r="X136">
        <f>ROUND(IF(VLOOKUP($A136,EnrollData2324,'2324 Jun 24 Enroll'!H$1,FALSE)='District Calculations'!$F$14,VLOOKUP($A136,EnrollData2324,'2324 Jun 24 Enroll'!H$1,FALSE),'District Calculations'!$F$14)*Apport_215A2425,3)</f>
        <v>8.1180000000000003</v>
      </c>
      <c r="Y136">
        <f>ROUND(IF(VLOOKUP($A136,EnrollData2324,'2324 Jun 24 Enroll'!I$1,FALSE)+VLOOKUP($A136,EnrollData2324,'2324 Jun 24 Enroll'!M$1,FALSE)-VLOOKUP($A136,EnrollData2324,'2324 Jun 24 Enroll'!J$1,FALSE)='District Calculations'!$F$16+'District Calculations'!$F$25-'District Calculations'!$F$17,VLOOKUP($A136,EnrollData2324,'2324 Jun 24 Enroll'!I$1,FALSE)+VLOOKUP($A136,EnrollData2324,'2324 Jun 24 Enroll'!M$1,FALSE)-VLOOKUP($A136,EnrollData2324,'2324 Jun 24 Enroll'!J$1,FALSE),'District Calculations'!$F$16+'District Calculations'!$F$25-'District Calculations'!$F$17)*Apport_218A2425,3)</f>
        <v>20.257999999999999</v>
      </c>
      <c r="Z136">
        <f>ROUND(SUM(T136:Y136)/IF(VLOOKUP($A136,EnrollData2324,'2324 Jun 24 Enroll'!M$1,FALSE)+VLOOKUP($A136,EnrollData2324,'2324 Jun 24 Enroll'!D$1,FALSE)='District Calculations'!$F$25+'District Calculations'!$F$11,VLOOKUP($A136,EnrollData2324,'2324 Jun 24 Enroll'!M$1,FALSE)+VLOOKUP($A136,EnrollData2324,'2324 Jun 24 Enroll'!D$1,FALSE),'District Calculations'!$F$25+'District Calculations'!$F$11),5)</f>
        <v>1.7780000000000001E-2</v>
      </c>
      <c r="AA136" s="6">
        <f>ROUND($J136*CIS_Base_Salary2425*VLOOKUP($A136,EnrollData2324,'2324 Jun 24 Enroll'!AH$1,FALSE),2)</f>
        <v>5029.96</v>
      </c>
      <c r="AB136" s="6">
        <f>ROUND($J136*CIS_Inc_Salary2425*(VLOOKUP($A136,EnrollData2324,'2324 Jun 24 Enroll'!AI$1,FALSE)+VLOOKUP($A136,EnrollData2324,'2324 Jun 24 Enroll'!AJ$1,FALSE)),2)-AA136</f>
        <v>186.07999999999993</v>
      </c>
      <c r="AC136" s="6" cm="1">
        <f t="array" ref="AC136">ROUND($R136*CAS_Base_Salary2425*VLOOKUP($A136,EnrollData2324,'2324 Jun 24 Enroll'!AH$1,FALSE),2)</f>
        <v>544.26</v>
      </c>
      <c r="AD136" s="6">
        <f>ROUND($R136*CAS_Inc_Salary2425*VLOOKUP($A136,EnrollData2324,'2324 Jun 24 Enroll'!AI$1,FALSE),2)-AC136</f>
        <v>20.129999999999995</v>
      </c>
      <c r="AE136" s="6">
        <f>ROUND($Z136*CLS_Base_Salary2425*VLOOKUP($A136,EnrollData2324,'2324 Jun 24 Enroll'!AH$1,FALSE),2)</f>
        <v>1135.0999999999999</v>
      </c>
      <c r="AF136" s="6">
        <f>ROUND($Z136*CLS_Inc_Salary2425*VLOOKUP($A136,EnrollData2324,'2324 Jun 24 Enroll'!AI$1,FALSE),2)-AE136</f>
        <v>42.009999999999991</v>
      </c>
      <c r="AG136" cm="1">
        <f t="array" ref="AG136">ROUND(($J136+$R136)*Apport_124X2425,2)</f>
        <v>800.45</v>
      </c>
      <c r="AH136" s="69" cm="1">
        <f t="array" ref="AH136">ROUND(($J136+$R136)*Apport_621X2425*Apport_125XC2425,2)-AG136</f>
        <v>73.899999999999977</v>
      </c>
      <c r="AI136" cm="1">
        <f t="array" ref="AI136">ROUND($Z136*Apport_124X2425,2)</f>
        <v>234.7</v>
      </c>
      <c r="AJ136">
        <f t="shared" si="32"/>
        <v>124.71000000000004</v>
      </c>
      <c r="AK136">
        <f t="shared" si="33"/>
        <v>1011.72</v>
      </c>
      <c r="AL136">
        <f t="shared" si="34"/>
        <v>36.11</v>
      </c>
      <c r="AM136">
        <f t="shared" si="35"/>
        <v>245.86</v>
      </c>
      <c r="AN136">
        <f t="shared" si="36"/>
        <v>7.63</v>
      </c>
      <c r="AO136">
        <f>ROUND(($J136*CIS_Inc_Salary2425*(VLOOKUP($A136,EnrollData2324,'2324 Jun 24 Enroll'!AI$1,FALSE)+VLOOKUP($A136,EnrollData2324,'2324 Jun 24 Enroll'!AJ$1,FALSE))/Apport_613Xpd)*Apport_614Xpd,2)</f>
        <v>86.93</v>
      </c>
      <c r="AP136">
        <f t="shared" si="37"/>
        <v>15.22</v>
      </c>
      <c r="AQ136">
        <f t="shared" si="38"/>
        <v>31.48</v>
      </c>
      <c r="AR136" s="6">
        <f>ROUND((VLOOKUP($A136,EnrollData2324,'2324 Jun 24 Enroll'!D$1,FALSE)*Apport_M802425+VLOOKUP($A136,EnrollData2324,'2324 Jun 24 Enroll'!M$1,FALSE)*Apport_M802425+(VLOOKUP($A136,EnrollData2324,'2324 Jun 24 Enroll'!P$1,FALSE)+VLOOKUP($A136,EnrollData2324,'2324 Jun 24 Enroll'!Q$1,FALSE)+VLOOKUP($A136,EnrollData2324,'2324 Jun 24 Enroll'!R$1,FALSE)+VLOOKUP($A136,EnrollData2324,'2324 Jun 24 Enroll'!I$1,FALSE)+VLOOKUP($A136,EnrollData2324,'2324 Jun 24 Enroll'!N$1,FALSE)+VLOOKUP($A136,EnrollData2324,'2324 Jun 24 Enroll'!O$1,FALSE)+VLOOKUP($A136,EnrollData2324,'2324 Jun 24 Enroll'!K$1,FALSE)+VLOOKUP($A136,EnrollData2324,'2324 Jun 24 Enroll'!L$1,FALSE))*Apport_M812425)/(VLOOKUP($A136,EnrollData2324,'2324 Jun 24 Enroll'!M$1,FALSE)+VLOOKUP($A136,EnrollData2324,'2324 Jun 24 Enroll'!D$1,FALSE)),2)</f>
        <v>1737.05</v>
      </c>
      <c r="AS136" s="7">
        <f t="shared" si="39"/>
        <v>11363.3</v>
      </c>
    </row>
    <row r="137" spans="1:45">
      <c r="A137" s="40" t="s">
        <v>899</v>
      </c>
      <c r="B137" s="40" t="s">
        <v>900</v>
      </c>
      <c r="C137" s="11">
        <f>ROUND((IFERROR((1/IF(VLOOKUP($A137,EnrollData2324,28,FALSE)='District Calculations'!$F$10,VLOOKUP($A137,EnrollData2324,28,FALSE),'District Calculations'!$F$10))*(1+Apport_Z315),0))+Apport_201A2425,6)</f>
        <v>7.4580999999999995E-2</v>
      </c>
      <c r="D137">
        <f>ROUND(IF(VLOOKUP($A137,EnrollData2324,'2324 Jun 24 Enroll'!D$1,FALSE)='District Calculations'!$F$11,VLOOKUP($A137,EnrollData2324,'2324 Jun 24 Enroll'!D$1,FALSE),'District Calculations'!$F$11)*C137,3)</f>
        <v>0</v>
      </c>
      <c r="E137">
        <f>ROUND(IF(VLOOKUP($A137,EnrollData2324,'2324 Jun 24 Enroll'!E$1,FALSE)='District Calculations'!$F$12,VLOOKUP($A137,EnrollData2324,'2324 Jun 24 Enroll'!E$1,FALSE),'District Calculations'!$F$12)*C137,3)</f>
        <v>60.447000000000003</v>
      </c>
      <c r="F137">
        <f>ROUND(IF(VLOOKUP($A137,EnrollData2324,'2324 Jun 24 Enroll'!F$1,FALSE)='District Calculations'!$F$13,VLOOKUP($A137,EnrollData2324,'2324 Jun 24 Enroll'!F$1,FALSE),'District Calculations'!$F$13)*Apport_222A2425,3)</f>
        <v>10.337999999999999</v>
      </c>
      <c r="G137">
        <f>ROUND(IF(VLOOKUP($A137,EnrollData2324,'2324 Jun 24 Enroll'!G$1,FALSE)='District Calculations'!$F$14,VLOOKUP($A137,EnrollData2324,'2324 Jun 24 Enroll'!G$1,FALSE),'District Calculations'!$F$14)*Apport_210A2425,3)</f>
        <v>22.92</v>
      </c>
      <c r="H137">
        <f>ROUND(IF(VLOOKUP($A137,EnrollData2324,'2324 Jun 24 Enroll'!H$1,FALSE)='District Calculations'!$F$15,VLOOKUP($A137,EnrollData2324,'2324 Jun 24 Enroll'!H$1,FALSE),'District Calculations'!$F$15)*Apport_213A2425,3)</f>
        <v>23.619</v>
      </c>
      <c r="I137">
        <f>ROUND(IF(VLOOKUP($A137,EnrollData2324,'2324 Jun 24 Enroll'!I$1,FALSE)+VLOOKUP($A137,EnrollData2324,'2324 Jun 24 Enroll'!M$1,FALSE)-VLOOKUP($A137,EnrollData2324,'2324 Jun 24 Enroll'!J$1,FALSE)='District Calculations'!$F$16+'District Calculations'!$F$25-'District Calculations'!$F$17,VLOOKUP($A137,EnrollData2324,'2324 Jun 24 Enroll'!I$1,FALSE)+VLOOKUP($A137,EnrollData2324,'2324 Jun 24 Enroll'!M$1,FALSE)-VLOOKUP($A137,EnrollData2324,'2324 Jun 24 Enroll'!J$1,FALSE),'District Calculations'!$F$16+'District Calculations'!$F$25-'District Calculations'!$F$17)*Apport_216A2425,3)</f>
        <v>59.057000000000002</v>
      </c>
      <c r="J137">
        <f>ROUND(SUM(D137:I137)/(IF(VLOOKUP($A137,EnrollData2324,'2324 Jun 24 Enroll'!M$1,FALSE)='District Calculations'!$F$25,VLOOKUP($A137,EnrollData2324,'2324 Jun 24 Enroll'!M$1,FALSE),'District Calculations'!$F$25)+IF(VLOOKUP($A137,EnrollData2324,'2324 Jun 24 Enroll'!D$1,FALSE)='District Calculations'!$F$11,VLOOKUP($A137,EnrollData2324,'2324 Jun 24 Enroll'!D$1,FALSE),'District Calculations'!$F$11)),5)</f>
        <v>5.6520000000000001E-2</v>
      </c>
      <c r="K137" s="11">
        <f t="shared" si="30"/>
        <v>4.385E-3</v>
      </c>
      <c r="L137">
        <f>ROUND(IF(VLOOKUP($A137,EnrollData2324,'2324 Jun 24 Enroll'!D$1,FALSE)='District Calculations'!$F$11,VLOOKUP($A137,EnrollData2324,'2324 Jun 24 Enroll'!D$1,FALSE),'District Calculations'!$F$11)*K137,3)</f>
        <v>0</v>
      </c>
      <c r="M137">
        <f>ROUND(IF(VLOOKUP($A137,EnrollData2324,'2324 Jun 24 Enroll'!E$1,FALSE)='District Calculations'!$F$12,VLOOKUP($A137,EnrollData2324,'2324 Jun 24 Enroll'!E$1,FALSE),'District Calculations'!$F$12)*K137,3)</f>
        <v>3.5539999999999998</v>
      </c>
      <c r="N137">
        <f>ROUND(IF(VLOOKUP($A137,EnrollData2324,'2324 Jun 24 Enroll'!F$1,FALSE)='District Calculations'!$F$13,VLOOKUP($A137,EnrollData2324,'2324 Jun 24 Enroll'!F$1,FALSE),'District Calculations'!$F$13)*Apport_223A2425,3)</f>
        <v>0.84599999999999997</v>
      </c>
      <c r="O137">
        <f>ROUND(IF(VLOOKUP($A137,EnrollData2324,'2324 Jun 24 Enroll'!G$1,FALSE)='District Calculations'!$F$14,VLOOKUP($A137,EnrollData2324,'2324 Jun 24 Enroll'!G$1,FALSE),'District Calculations'!$F$14)*Apport_211A2425,3)</f>
        <v>1.877</v>
      </c>
      <c r="P137">
        <f>ROUND(IF(VLOOKUP($A137,EnrollData2324,'2324 Jun 24 Enroll'!H$1,FALSE)='District Calculations'!$F$14,VLOOKUP($A137,EnrollData2324,'2324 Jun 24 Enroll'!H$1,FALSE),'District Calculations'!$F$14)*Apport_214A2425,3)</f>
        <v>1.875</v>
      </c>
      <c r="Q137">
        <f>ROUND(IF(VLOOKUP($A137,EnrollData2324,'2324 Jun 24 Enroll'!I$1,FALSE)+VLOOKUP($A137,EnrollData2324,'2324 Jun 24 Enroll'!M$1,FALSE)-VLOOKUP($A137,EnrollData2324,'2324 Jun 24 Enroll'!J$1,FALSE)='District Calculations'!$F$16+'District Calculations'!$F$25-'District Calculations'!$F$17,VLOOKUP($A137,EnrollData2324,'2324 Jun 24 Enroll'!I$1,FALSE)+VLOOKUP($A137,EnrollData2324,'2324 Jun 24 Enroll'!M$1,FALSE)-VLOOKUP($A137,EnrollData2324,'2324 Jun 24 Enroll'!J$1,FALSE),'District Calculations'!$F$16+'District Calculations'!$F$25-'District Calculations'!$F$17)*Apport_217A2425,3)</f>
        <v>4.7130000000000001</v>
      </c>
      <c r="R137">
        <f>ROUND(SUM(L137:Q137)/IF(VLOOKUP($A137,EnrollData2324,'2324 Jun 24 Enroll'!M$1,FALSE)+VLOOKUP($A137,EnrollData2324,'2324 Jun 24 Enroll'!D$1,FALSE)='District Calculations'!$F$25+'District Calculations'!$F$11,VLOOKUP($A137,EnrollData2324,'2324 Jun 24 Enroll'!M$1,FALSE)+VLOOKUP($A137,EnrollData2324,'2324 Jun 24 Enroll'!D$1,FALSE),'District Calculations'!$F$25+'District Calculations'!$F$11),5)</f>
        <v>4.1200000000000004E-3</v>
      </c>
      <c r="S137" s="11">
        <f t="shared" si="31"/>
        <v>1.8734299999999999E-2</v>
      </c>
      <c r="T137">
        <f>ROUND(IF(VLOOKUP($A137,EnrollData2324,'2324 Jun 24 Enroll'!D$1,FALSE)='District Calculations'!$F$11,VLOOKUP($A137,EnrollData2324,'2324 Jun 24 Enroll'!D$1,FALSE),'District Calculations'!$F$11)*S137,3)</f>
        <v>0</v>
      </c>
      <c r="U137">
        <f>ROUND(IF(VLOOKUP($A137,EnrollData2324,'2324 Jun 24 Enroll'!E$1,FALSE)='District Calculations'!$F$12,VLOOKUP($A137,EnrollData2324,'2324 Jun 24 Enroll'!E$1,FALSE),'District Calculations'!$F$12)*S137,3)</f>
        <v>15.183999999999999</v>
      </c>
      <c r="V137">
        <f>ROUND(IF(VLOOKUP($A137,EnrollData2324,'2324 Jun 24 Enroll'!F$1,FALSE)='District Calculations'!$F$13,VLOOKUP($A137,EnrollData2324,'2324 Jun 24 Enroll'!F$1,FALSE),'District Calculations'!$F$13)*Apport_224A2425,3)</f>
        <v>3.7109999999999999</v>
      </c>
      <c r="W137">
        <f>ROUND(IF(VLOOKUP($A137,EnrollData2324,'2324 Jun 24 Enroll'!G$1,FALSE)='District Calculations'!$F$14,VLOOKUP($A137,EnrollData2324,'2324 Jun 24 Enroll'!G$1,FALSE),'District Calculations'!$F$14)*Apport_212A2425,3)</f>
        <v>8.2279999999999998</v>
      </c>
      <c r="X137">
        <f>ROUND(IF(VLOOKUP($A137,EnrollData2324,'2324 Jun 24 Enroll'!H$1,FALSE)='District Calculations'!$F$14,VLOOKUP($A137,EnrollData2324,'2324 Jun 24 Enroll'!H$1,FALSE),'District Calculations'!$F$14)*Apport_215A2425,3)</f>
        <v>8.1180000000000003</v>
      </c>
      <c r="Y137">
        <f>ROUND(IF(VLOOKUP($A137,EnrollData2324,'2324 Jun 24 Enroll'!I$1,FALSE)+VLOOKUP($A137,EnrollData2324,'2324 Jun 24 Enroll'!M$1,FALSE)-VLOOKUP($A137,EnrollData2324,'2324 Jun 24 Enroll'!J$1,FALSE)='District Calculations'!$F$16+'District Calculations'!$F$25-'District Calculations'!$F$17,VLOOKUP($A137,EnrollData2324,'2324 Jun 24 Enroll'!I$1,FALSE)+VLOOKUP($A137,EnrollData2324,'2324 Jun 24 Enroll'!M$1,FALSE)-VLOOKUP($A137,EnrollData2324,'2324 Jun 24 Enroll'!J$1,FALSE),'District Calculations'!$F$16+'District Calculations'!$F$25-'District Calculations'!$F$17)*Apport_218A2425,3)</f>
        <v>20.257999999999999</v>
      </c>
      <c r="Z137">
        <f>ROUND(SUM(T137:Y137)/IF(VLOOKUP($A137,EnrollData2324,'2324 Jun 24 Enroll'!M$1,FALSE)+VLOOKUP($A137,EnrollData2324,'2324 Jun 24 Enroll'!D$1,FALSE)='District Calculations'!$F$25+'District Calculations'!$F$11,VLOOKUP($A137,EnrollData2324,'2324 Jun 24 Enroll'!M$1,FALSE)+VLOOKUP($A137,EnrollData2324,'2324 Jun 24 Enroll'!D$1,FALSE),'District Calculations'!$F$25+'District Calculations'!$F$11),5)</f>
        <v>1.7780000000000001E-2</v>
      </c>
      <c r="AA137" s="6">
        <f>ROUND($J137*CIS_Base_Salary2425*VLOOKUP($A137,EnrollData2324,'2324 Jun 24 Enroll'!AH$1,FALSE),2)</f>
        <v>4774.2</v>
      </c>
      <c r="AB137" s="6">
        <f>ROUND($J137*CIS_Inc_Salary2425*(VLOOKUP($A137,EnrollData2324,'2324 Jun 24 Enroll'!AI$1,FALSE)+VLOOKUP($A137,EnrollData2324,'2324 Jun 24 Enroll'!AJ$1,FALSE)),2)-AA137</f>
        <v>176.61999999999989</v>
      </c>
      <c r="AC137" s="6" cm="1">
        <f t="array" ref="AC137">ROUND($R137*CAS_Base_Salary2425*VLOOKUP($A137,EnrollData2324,'2324 Jun 24 Enroll'!AH$1,FALSE),2)</f>
        <v>516.58000000000004</v>
      </c>
      <c r="AD137" s="6">
        <f>ROUND($R137*CAS_Inc_Salary2425*VLOOKUP($A137,EnrollData2324,'2324 Jun 24 Enroll'!AI$1,FALSE),2)-AC137</f>
        <v>19.110000000000014</v>
      </c>
      <c r="AE137" s="6">
        <f>ROUND($Z137*CLS_Base_Salary2425*VLOOKUP($A137,EnrollData2324,'2324 Jun 24 Enroll'!AH$1,FALSE),2)</f>
        <v>1077.3900000000001</v>
      </c>
      <c r="AF137" s="6">
        <f>ROUND($Z137*CLS_Inc_Salary2425*VLOOKUP($A137,EnrollData2324,'2324 Jun 24 Enroll'!AI$1,FALSE),2)-AE137</f>
        <v>39.8599999999999</v>
      </c>
      <c r="AG137" cm="1">
        <f t="array" ref="AG137">ROUND(($J137+$R137)*Apport_124X2425,2)</f>
        <v>800.45</v>
      </c>
      <c r="AH137" s="69" cm="1">
        <f t="array" ref="AH137">ROUND(($J137+$R137)*Apport_621X2425*Apport_125XC2425,2)-AG137</f>
        <v>73.899999999999977</v>
      </c>
      <c r="AI137" cm="1">
        <f t="array" ref="AI137">ROUND($Z137*Apport_124X2425,2)</f>
        <v>234.7</v>
      </c>
      <c r="AJ137">
        <f t="shared" si="32"/>
        <v>124.71000000000004</v>
      </c>
      <c r="AK137">
        <f t="shared" si="33"/>
        <v>960.28</v>
      </c>
      <c r="AL137">
        <f t="shared" si="34"/>
        <v>34.270000000000003</v>
      </c>
      <c r="AM137">
        <f t="shared" si="35"/>
        <v>233.36</v>
      </c>
      <c r="AN137">
        <f t="shared" si="36"/>
        <v>7.24</v>
      </c>
      <c r="AO137">
        <f>ROUND(($J137*CIS_Inc_Salary2425*(VLOOKUP($A137,EnrollData2324,'2324 Jun 24 Enroll'!AI$1,FALSE)+VLOOKUP($A137,EnrollData2324,'2324 Jun 24 Enroll'!AJ$1,FALSE))/Apport_613Xpd)*Apport_614Xpd,2)</f>
        <v>82.51</v>
      </c>
      <c r="AP137">
        <f t="shared" si="37"/>
        <v>14.45</v>
      </c>
      <c r="AQ137">
        <f t="shared" si="38"/>
        <v>31.48</v>
      </c>
      <c r="AR137" s="6">
        <f>ROUND((VLOOKUP($A137,EnrollData2324,'2324 Jun 24 Enroll'!D$1,FALSE)*Apport_M802425+VLOOKUP($A137,EnrollData2324,'2324 Jun 24 Enroll'!M$1,FALSE)*Apport_M802425+(VLOOKUP($A137,EnrollData2324,'2324 Jun 24 Enroll'!P$1,FALSE)+VLOOKUP($A137,EnrollData2324,'2324 Jun 24 Enroll'!Q$1,FALSE)+VLOOKUP($A137,EnrollData2324,'2324 Jun 24 Enroll'!R$1,FALSE)+VLOOKUP($A137,EnrollData2324,'2324 Jun 24 Enroll'!I$1,FALSE)+VLOOKUP($A137,EnrollData2324,'2324 Jun 24 Enroll'!N$1,FALSE)+VLOOKUP($A137,EnrollData2324,'2324 Jun 24 Enroll'!O$1,FALSE)+VLOOKUP($A137,EnrollData2324,'2324 Jun 24 Enroll'!K$1,FALSE)+VLOOKUP($A137,EnrollData2324,'2324 Jun 24 Enroll'!L$1,FALSE))*Apport_M812425)/(VLOOKUP($A137,EnrollData2324,'2324 Jun 24 Enroll'!M$1,FALSE)+VLOOKUP($A137,EnrollData2324,'2324 Jun 24 Enroll'!D$1,FALSE)),2)</f>
        <v>1591.52</v>
      </c>
      <c r="AS137" s="7">
        <f t="shared" si="39"/>
        <v>10792.630000000001</v>
      </c>
    </row>
    <row r="138" spans="1:45">
      <c r="A138" s="40" t="s">
        <v>934</v>
      </c>
      <c r="B138" s="40" t="s">
        <v>1009</v>
      </c>
      <c r="C138" s="11">
        <f>ROUND((IFERROR((1/IF(VLOOKUP($A138,EnrollData2324,28,FALSE)='District Calculations'!$F$10,VLOOKUP($A138,EnrollData2324,28,FALSE),'District Calculations'!$F$10))*(1+Apport_Z315),0))+Apport_201A2425,6)</f>
        <v>7.4580999999999995E-2</v>
      </c>
      <c r="D138">
        <f>ROUND(IF(VLOOKUP($A138,EnrollData2324,'2324 Jun 24 Enroll'!D$1,FALSE)='District Calculations'!$F$11,VLOOKUP($A138,EnrollData2324,'2324 Jun 24 Enroll'!D$1,FALSE),'District Calculations'!$F$11)*C138,3)</f>
        <v>0</v>
      </c>
      <c r="E138">
        <f>ROUND(IF(VLOOKUP($A138,EnrollData2324,'2324 Jun 24 Enroll'!E$1,FALSE)='District Calculations'!$F$12,VLOOKUP($A138,EnrollData2324,'2324 Jun 24 Enroll'!E$1,FALSE),'District Calculations'!$F$12)*C138,3)</f>
        <v>60.447000000000003</v>
      </c>
      <c r="F138">
        <f>ROUND(IF(VLOOKUP($A138,EnrollData2324,'2324 Jun 24 Enroll'!F$1,FALSE)='District Calculations'!$F$13,VLOOKUP($A138,EnrollData2324,'2324 Jun 24 Enroll'!F$1,FALSE),'District Calculations'!$F$13)*Apport_222A2425,3)</f>
        <v>10.337999999999999</v>
      </c>
      <c r="G138">
        <f>ROUND(IF(VLOOKUP($A138,EnrollData2324,'2324 Jun 24 Enroll'!G$1,FALSE)='District Calculations'!$F$14,VLOOKUP($A138,EnrollData2324,'2324 Jun 24 Enroll'!G$1,FALSE),'District Calculations'!$F$14)*Apport_210A2425,3)</f>
        <v>22.92</v>
      </c>
      <c r="H138">
        <f>ROUND(IF(VLOOKUP($A138,EnrollData2324,'2324 Jun 24 Enroll'!H$1,FALSE)='District Calculations'!$F$15,VLOOKUP($A138,EnrollData2324,'2324 Jun 24 Enroll'!H$1,FALSE),'District Calculations'!$F$15)*Apport_213A2425,3)</f>
        <v>23.619</v>
      </c>
      <c r="I138">
        <f>ROUND(IF(VLOOKUP($A138,EnrollData2324,'2324 Jun 24 Enroll'!I$1,FALSE)+VLOOKUP($A138,EnrollData2324,'2324 Jun 24 Enroll'!M$1,FALSE)-VLOOKUP($A138,EnrollData2324,'2324 Jun 24 Enroll'!J$1,FALSE)='District Calculations'!$F$16+'District Calculations'!$F$25-'District Calculations'!$F$17,VLOOKUP($A138,EnrollData2324,'2324 Jun 24 Enroll'!I$1,FALSE)+VLOOKUP($A138,EnrollData2324,'2324 Jun 24 Enroll'!M$1,FALSE)-VLOOKUP($A138,EnrollData2324,'2324 Jun 24 Enroll'!J$1,FALSE),'District Calculations'!$F$16+'District Calculations'!$F$25-'District Calculations'!$F$17)*Apport_216A2425,3)</f>
        <v>59.057000000000002</v>
      </c>
      <c r="J138">
        <f>ROUND(SUM(D138:I138)/(IF(VLOOKUP($A138,EnrollData2324,'2324 Jun 24 Enroll'!M$1,FALSE)='District Calculations'!$F$25,VLOOKUP($A138,EnrollData2324,'2324 Jun 24 Enroll'!M$1,FALSE),'District Calculations'!$F$25)+IF(VLOOKUP($A138,EnrollData2324,'2324 Jun 24 Enroll'!D$1,FALSE)='District Calculations'!$F$11,VLOOKUP($A138,EnrollData2324,'2324 Jun 24 Enroll'!D$1,FALSE),'District Calculations'!$F$11)),5)</f>
        <v>5.6520000000000001E-2</v>
      </c>
      <c r="K138" s="11">
        <f t="shared" si="30"/>
        <v>4.385E-3</v>
      </c>
      <c r="L138">
        <f>ROUND(IF(VLOOKUP($A138,EnrollData2324,'2324 Jun 24 Enroll'!D$1,FALSE)='District Calculations'!$F$11,VLOOKUP($A138,EnrollData2324,'2324 Jun 24 Enroll'!D$1,FALSE),'District Calculations'!$F$11)*K138,3)</f>
        <v>0</v>
      </c>
      <c r="M138">
        <f>ROUND(IF(VLOOKUP($A138,EnrollData2324,'2324 Jun 24 Enroll'!E$1,FALSE)='District Calculations'!$F$12,VLOOKUP($A138,EnrollData2324,'2324 Jun 24 Enroll'!E$1,FALSE),'District Calculations'!$F$12)*K138,3)</f>
        <v>3.5539999999999998</v>
      </c>
      <c r="N138">
        <f>ROUND(IF(VLOOKUP($A138,EnrollData2324,'2324 Jun 24 Enroll'!F$1,FALSE)='District Calculations'!$F$13,VLOOKUP($A138,EnrollData2324,'2324 Jun 24 Enroll'!F$1,FALSE),'District Calculations'!$F$13)*Apport_223A2425,3)</f>
        <v>0.84599999999999997</v>
      </c>
      <c r="O138">
        <f>ROUND(IF(VLOOKUP($A138,EnrollData2324,'2324 Jun 24 Enroll'!G$1,FALSE)='District Calculations'!$F$14,VLOOKUP($A138,EnrollData2324,'2324 Jun 24 Enroll'!G$1,FALSE),'District Calculations'!$F$14)*Apport_211A2425,3)</f>
        <v>1.877</v>
      </c>
      <c r="P138">
        <f>ROUND(IF(VLOOKUP($A138,EnrollData2324,'2324 Jun 24 Enroll'!H$1,FALSE)='District Calculations'!$F$14,VLOOKUP($A138,EnrollData2324,'2324 Jun 24 Enroll'!H$1,FALSE),'District Calculations'!$F$14)*Apport_214A2425,3)</f>
        <v>1.875</v>
      </c>
      <c r="Q138">
        <f>ROUND(IF(VLOOKUP($A138,EnrollData2324,'2324 Jun 24 Enroll'!I$1,FALSE)+VLOOKUP($A138,EnrollData2324,'2324 Jun 24 Enroll'!M$1,FALSE)-VLOOKUP($A138,EnrollData2324,'2324 Jun 24 Enroll'!J$1,FALSE)='District Calculations'!$F$16+'District Calculations'!$F$25-'District Calculations'!$F$17,VLOOKUP($A138,EnrollData2324,'2324 Jun 24 Enroll'!I$1,FALSE)+VLOOKUP($A138,EnrollData2324,'2324 Jun 24 Enroll'!M$1,FALSE)-VLOOKUP($A138,EnrollData2324,'2324 Jun 24 Enroll'!J$1,FALSE),'District Calculations'!$F$16+'District Calculations'!$F$25-'District Calculations'!$F$17)*Apport_217A2425,3)</f>
        <v>4.7130000000000001</v>
      </c>
      <c r="R138">
        <f>ROUND(SUM(L138:Q138)/IF(VLOOKUP($A138,EnrollData2324,'2324 Jun 24 Enroll'!M$1,FALSE)+VLOOKUP($A138,EnrollData2324,'2324 Jun 24 Enroll'!D$1,FALSE)='District Calculations'!$F$25+'District Calculations'!$F$11,VLOOKUP($A138,EnrollData2324,'2324 Jun 24 Enroll'!M$1,FALSE)+VLOOKUP($A138,EnrollData2324,'2324 Jun 24 Enroll'!D$1,FALSE),'District Calculations'!$F$25+'District Calculations'!$F$11),5)</f>
        <v>4.1200000000000004E-3</v>
      </c>
      <c r="S138" s="11">
        <f t="shared" si="31"/>
        <v>1.8734299999999999E-2</v>
      </c>
      <c r="T138">
        <f>ROUND(IF(VLOOKUP($A138,EnrollData2324,'2324 Jun 24 Enroll'!D$1,FALSE)='District Calculations'!$F$11,VLOOKUP($A138,EnrollData2324,'2324 Jun 24 Enroll'!D$1,FALSE),'District Calculations'!$F$11)*S138,3)</f>
        <v>0</v>
      </c>
      <c r="U138">
        <f>ROUND(IF(VLOOKUP($A138,EnrollData2324,'2324 Jun 24 Enroll'!E$1,FALSE)='District Calculations'!$F$12,VLOOKUP($A138,EnrollData2324,'2324 Jun 24 Enroll'!E$1,FALSE),'District Calculations'!$F$12)*S138,3)</f>
        <v>15.183999999999999</v>
      </c>
      <c r="V138">
        <f>ROUND(IF(VLOOKUP($A138,EnrollData2324,'2324 Jun 24 Enroll'!F$1,FALSE)='District Calculations'!$F$13,VLOOKUP($A138,EnrollData2324,'2324 Jun 24 Enroll'!F$1,FALSE),'District Calculations'!$F$13)*Apport_224A2425,3)</f>
        <v>3.7109999999999999</v>
      </c>
      <c r="W138">
        <f>ROUND(IF(VLOOKUP($A138,EnrollData2324,'2324 Jun 24 Enroll'!G$1,FALSE)='District Calculations'!$F$14,VLOOKUP($A138,EnrollData2324,'2324 Jun 24 Enroll'!G$1,FALSE),'District Calculations'!$F$14)*Apport_212A2425,3)</f>
        <v>8.2279999999999998</v>
      </c>
      <c r="X138">
        <f>ROUND(IF(VLOOKUP($A138,EnrollData2324,'2324 Jun 24 Enroll'!H$1,FALSE)='District Calculations'!$F$14,VLOOKUP($A138,EnrollData2324,'2324 Jun 24 Enroll'!H$1,FALSE),'District Calculations'!$F$14)*Apport_215A2425,3)</f>
        <v>8.1180000000000003</v>
      </c>
      <c r="Y138">
        <f>ROUND(IF(VLOOKUP($A138,EnrollData2324,'2324 Jun 24 Enroll'!I$1,FALSE)+VLOOKUP($A138,EnrollData2324,'2324 Jun 24 Enroll'!M$1,FALSE)-VLOOKUP($A138,EnrollData2324,'2324 Jun 24 Enroll'!J$1,FALSE)='District Calculations'!$F$16+'District Calculations'!$F$25-'District Calculations'!$F$17,VLOOKUP($A138,EnrollData2324,'2324 Jun 24 Enroll'!I$1,FALSE)+VLOOKUP($A138,EnrollData2324,'2324 Jun 24 Enroll'!M$1,FALSE)-VLOOKUP($A138,EnrollData2324,'2324 Jun 24 Enroll'!J$1,FALSE),'District Calculations'!$F$16+'District Calculations'!$F$25-'District Calculations'!$F$17)*Apport_218A2425,3)</f>
        <v>20.257999999999999</v>
      </c>
      <c r="Z138">
        <f>ROUND(SUM(T138:Y138)/IF(VLOOKUP($A138,EnrollData2324,'2324 Jun 24 Enroll'!M$1,FALSE)+VLOOKUP($A138,EnrollData2324,'2324 Jun 24 Enroll'!D$1,FALSE)='District Calculations'!$F$25+'District Calculations'!$F$11,VLOOKUP($A138,EnrollData2324,'2324 Jun 24 Enroll'!M$1,FALSE)+VLOOKUP($A138,EnrollData2324,'2324 Jun 24 Enroll'!D$1,FALSE),'District Calculations'!$F$25+'District Calculations'!$F$11),5)</f>
        <v>1.7780000000000001E-2</v>
      </c>
      <c r="AA138" s="6">
        <f>ROUND($J138*CIS_Base_Salary2425*VLOOKUP($A138,EnrollData2324,'2324 Jun 24 Enroll'!AH$1,FALSE),2)</f>
        <v>5029.96</v>
      </c>
      <c r="AB138" s="6">
        <f>ROUND($J138*CIS_Inc_Salary2425*(VLOOKUP($A138,EnrollData2324,'2324 Jun 24 Enroll'!AI$1,FALSE)+VLOOKUP($A138,EnrollData2324,'2324 Jun 24 Enroll'!AJ$1,FALSE)),2)-AA138</f>
        <v>186.07999999999993</v>
      </c>
      <c r="AC138" s="6" cm="1">
        <f t="array" ref="AC138">ROUND($R138*CAS_Base_Salary2425*VLOOKUP($A138,EnrollData2324,'2324 Jun 24 Enroll'!AH$1,FALSE),2)</f>
        <v>544.26</v>
      </c>
      <c r="AD138" s="6">
        <f>ROUND($R138*CAS_Inc_Salary2425*VLOOKUP($A138,EnrollData2324,'2324 Jun 24 Enroll'!AI$1,FALSE),2)-AC138</f>
        <v>20.129999999999995</v>
      </c>
      <c r="AE138" s="6">
        <f>ROUND($Z138*CLS_Base_Salary2425*VLOOKUP($A138,EnrollData2324,'2324 Jun 24 Enroll'!AH$1,FALSE),2)</f>
        <v>1135.0999999999999</v>
      </c>
      <c r="AF138" s="6">
        <f>ROUND($Z138*CLS_Inc_Salary2425*VLOOKUP($A138,EnrollData2324,'2324 Jun 24 Enroll'!AI$1,FALSE),2)-AE138</f>
        <v>42.009999999999991</v>
      </c>
      <c r="AG138" cm="1">
        <f t="array" ref="AG138">ROUND(($J138+$R138)*Apport_124X2425,2)</f>
        <v>800.45</v>
      </c>
      <c r="AH138" s="69" cm="1">
        <f t="array" ref="AH138">ROUND(($J138+$R138)*Apport_621X2425*Apport_125XC2425,2)-AG138</f>
        <v>73.899999999999977</v>
      </c>
      <c r="AI138" cm="1">
        <f t="array" ref="AI138">ROUND($Z138*Apport_124X2425,2)</f>
        <v>234.7</v>
      </c>
      <c r="AJ138">
        <f t="shared" si="32"/>
        <v>124.71000000000004</v>
      </c>
      <c r="AK138">
        <f t="shared" si="33"/>
        <v>1011.72</v>
      </c>
      <c r="AL138">
        <f t="shared" si="34"/>
        <v>36.11</v>
      </c>
      <c r="AM138">
        <f t="shared" si="35"/>
        <v>245.86</v>
      </c>
      <c r="AN138">
        <f t="shared" si="36"/>
        <v>7.63</v>
      </c>
      <c r="AO138">
        <f>ROUND(($J138*CIS_Inc_Salary2425*(VLOOKUP($A138,EnrollData2324,'2324 Jun 24 Enroll'!AI$1,FALSE)+VLOOKUP($A138,EnrollData2324,'2324 Jun 24 Enroll'!AJ$1,FALSE))/Apport_613Xpd)*Apport_614Xpd,2)</f>
        <v>86.93</v>
      </c>
      <c r="AP138">
        <f t="shared" si="37"/>
        <v>15.22</v>
      </c>
      <c r="AQ138">
        <f t="shared" si="38"/>
        <v>31.48</v>
      </c>
      <c r="AR138" s="6">
        <f>ROUND((VLOOKUP($A138,EnrollData2324,'2324 Jun 24 Enroll'!D$1,FALSE)*Apport_M802425+VLOOKUP($A138,EnrollData2324,'2324 Jun 24 Enroll'!M$1,FALSE)*Apport_M802425+(VLOOKUP($A138,EnrollData2324,'2324 Jun 24 Enroll'!P$1,FALSE)+VLOOKUP($A138,EnrollData2324,'2324 Jun 24 Enroll'!Q$1,FALSE)+VLOOKUP($A138,EnrollData2324,'2324 Jun 24 Enroll'!R$1,FALSE)+VLOOKUP($A138,EnrollData2324,'2324 Jun 24 Enroll'!I$1,FALSE)+VLOOKUP($A138,EnrollData2324,'2324 Jun 24 Enroll'!N$1,FALSE)+VLOOKUP($A138,EnrollData2324,'2324 Jun 24 Enroll'!O$1,FALSE)+VLOOKUP($A138,EnrollData2324,'2324 Jun 24 Enroll'!K$1,FALSE)+VLOOKUP($A138,EnrollData2324,'2324 Jun 24 Enroll'!L$1,FALSE))*Apport_M812425)/(VLOOKUP($A138,EnrollData2324,'2324 Jun 24 Enroll'!M$1,FALSE)+VLOOKUP($A138,EnrollData2324,'2324 Jun 24 Enroll'!D$1,FALSE)),2)</f>
        <v>1637.35</v>
      </c>
      <c r="AS138" s="7">
        <f t="shared" si="39"/>
        <v>11263.6</v>
      </c>
    </row>
    <row r="139" spans="1:45">
      <c r="A139" s="40" t="s">
        <v>909</v>
      </c>
      <c r="B139" s="40" t="s">
        <v>904</v>
      </c>
      <c r="C139" s="11">
        <f>ROUND((IFERROR((1/IF(VLOOKUP($A139,EnrollData2324,28,FALSE)='District Calculations'!$F$10,VLOOKUP($A139,EnrollData2324,28,FALSE),'District Calculations'!$F$10))*(1+Apport_Z315),0))+Apport_201A2425,6)</f>
        <v>7.4580999999999995E-2</v>
      </c>
      <c r="D139">
        <f>ROUND(IF(VLOOKUP($A139,EnrollData2324,'2324 Jun 24 Enroll'!D$1,FALSE)='District Calculations'!$F$11,VLOOKUP($A139,EnrollData2324,'2324 Jun 24 Enroll'!D$1,FALSE),'District Calculations'!$F$11)*C139,3)</f>
        <v>0</v>
      </c>
      <c r="E139">
        <f>ROUND(IF(VLOOKUP($A139,EnrollData2324,'2324 Jun 24 Enroll'!E$1,FALSE)='District Calculations'!$F$12,VLOOKUP($A139,EnrollData2324,'2324 Jun 24 Enroll'!E$1,FALSE),'District Calculations'!$F$12)*C139,3)</f>
        <v>60.447000000000003</v>
      </c>
      <c r="F139">
        <f>ROUND(IF(VLOOKUP($A139,EnrollData2324,'2324 Jun 24 Enroll'!F$1,FALSE)='District Calculations'!$F$13,VLOOKUP($A139,EnrollData2324,'2324 Jun 24 Enroll'!F$1,FALSE),'District Calculations'!$F$13)*Apport_222A2425,3)</f>
        <v>10.337999999999999</v>
      </c>
      <c r="G139">
        <f>ROUND(IF(VLOOKUP($A139,EnrollData2324,'2324 Jun 24 Enroll'!G$1,FALSE)='District Calculations'!$F$14,VLOOKUP($A139,EnrollData2324,'2324 Jun 24 Enroll'!G$1,FALSE),'District Calculations'!$F$14)*Apport_210A2425,3)</f>
        <v>22.92</v>
      </c>
      <c r="H139">
        <f>ROUND(IF(VLOOKUP($A139,EnrollData2324,'2324 Jun 24 Enroll'!H$1,FALSE)='District Calculations'!$F$15,VLOOKUP($A139,EnrollData2324,'2324 Jun 24 Enroll'!H$1,FALSE),'District Calculations'!$F$15)*Apport_213A2425,3)</f>
        <v>23.619</v>
      </c>
      <c r="I139">
        <f>ROUND(IF(VLOOKUP($A139,EnrollData2324,'2324 Jun 24 Enroll'!I$1,FALSE)+VLOOKUP($A139,EnrollData2324,'2324 Jun 24 Enroll'!M$1,FALSE)-VLOOKUP($A139,EnrollData2324,'2324 Jun 24 Enroll'!J$1,FALSE)='District Calculations'!$F$16+'District Calculations'!$F$25-'District Calculations'!$F$17,VLOOKUP($A139,EnrollData2324,'2324 Jun 24 Enroll'!I$1,FALSE)+VLOOKUP($A139,EnrollData2324,'2324 Jun 24 Enroll'!M$1,FALSE)-VLOOKUP($A139,EnrollData2324,'2324 Jun 24 Enroll'!J$1,FALSE),'District Calculations'!$F$16+'District Calculations'!$F$25-'District Calculations'!$F$17)*Apport_216A2425,3)</f>
        <v>59.057000000000002</v>
      </c>
      <c r="J139">
        <f>ROUND(SUM(D139:I139)/(IF(VLOOKUP($A139,EnrollData2324,'2324 Jun 24 Enroll'!M$1,FALSE)='District Calculations'!$F$25,VLOOKUP($A139,EnrollData2324,'2324 Jun 24 Enroll'!M$1,FALSE),'District Calculations'!$F$25)+IF(VLOOKUP($A139,EnrollData2324,'2324 Jun 24 Enroll'!D$1,FALSE)='District Calculations'!$F$11,VLOOKUP($A139,EnrollData2324,'2324 Jun 24 Enroll'!D$1,FALSE),'District Calculations'!$F$11)),5)</f>
        <v>5.6520000000000001E-2</v>
      </c>
      <c r="K139" s="11">
        <f t="shared" si="30"/>
        <v>4.385E-3</v>
      </c>
      <c r="L139">
        <f>ROUND(IF(VLOOKUP($A139,EnrollData2324,'2324 Jun 24 Enroll'!D$1,FALSE)='District Calculations'!$F$11,VLOOKUP($A139,EnrollData2324,'2324 Jun 24 Enroll'!D$1,FALSE),'District Calculations'!$F$11)*K139,3)</f>
        <v>0</v>
      </c>
      <c r="M139">
        <f>ROUND(IF(VLOOKUP($A139,EnrollData2324,'2324 Jun 24 Enroll'!E$1,FALSE)='District Calculations'!$F$12,VLOOKUP($A139,EnrollData2324,'2324 Jun 24 Enroll'!E$1,FALSE),'District Calculations'!$F$12)*K139,3)</f>
        <v>3.5539999999999998</v>
      </c>
      <c r="N139">
        <f>ROUND(IF(VLOOKUP($A139,EnrollData2324,'2324 Jun 24 Enroll'!F$1,FALSE)='District Calculations'!$F$13,VLOOKUP($A139,EnrollData2324,'2324 Jun 24 Enroll'!F$1,FALSE),'District Calculations'!$F$13)*Apport_223A2425,3)</f>
        <v>0.84599999999999997</v>
      </c>
      <c r="O139">
        <f>ROUND(IF(VLOOKUP($A139,EnrollData2324,'2324 Jun 24 Enroll'!G$1,FALSE)='District Calculations'!$F$14,VLOOKUP($A139,EnrollData2324,'2324 Jun 24 Enroll'!G$1,FALSE),'District Calculations'!$F$14)*Apport_211A2425,3)</f>
        <v>1.877</v>
      </c>
      <c r="P139">
        <f>ROUND(IF(VLOOKUP($A139,EnrollData2324,'2324 Jun 24 Enroll'!H$1,FALSE)='District Calculations'!$F$14,VLOOKUP($A139,EnrollData2324,'2324 Jun 24 Enroll'!H$1,FALSE),'District Calculations'!$F$14)*Apport_214A2425,3)</f>
        <v>1.875</v>
      </c>
      <c r="Q139">
        <f>ROUND(IF(VLOOKUP($A139,EnrollData2324,'2324 Jun 24 Enroll'!I$1,FALSE)+VLOOKUP($A139,EnrollData2324,'2324 Jun 24 Enroll'!M$1,FALSE)-VLOOKUP($A139,EnrollData2324,'2324 Jun 24 Enroll'!J$1,FALSE)='District Calculations'!$F$16+'District Calculations'!$F$25-'District Calculations'!$F$17,VLOOKUP($A139,EnrollData2324,'2324 Jun 24 Enroll'!I$1,FALSE)+VLOOKUP($A139,EnrollData2324,'2324 Jun 24 Enroll'!M$1,FALSE)-VLOOKUP($A139,EnrollData2324,'2324 Jun 24 Enroll'!J$1,FALSE),'District Calculations'!$F$16+'District Calculations'!$F$25-'District Calculations'!$F$17)*Apport_217A2425,3)</f>
        <v>4.7130000000000001</v>
      </c>
      <c r="R139">
        <f>ROUND(SUM(L139:Q139)/IF(VLOOKUP($A139,EnrollData2324,'2324 Jun 24 Enroll'!M$1,FALSE)+VLOOKUP($A139,EnrollData2324,'2324 Jun 24 Enroll'!D$1,FALSE)='District Calculations'!$F$25+'District Calculations'!$F$11,VLOOKUP($A139,EnrollData2324,'2324 Jun 24 Enroll'!M$1,FALSE)+VLOOKUP($A139,EnrollData2324,'2324 Jun 24 Enroll'!D$1,FALSE),'District Calculations'!$F$25+'District Calculations'!$F$11),5)</f>
        <v>4.1200000000000004E-3</v>
      </c>
      <c r="S139" s="11">
        <f t="shared" si="31"/>
        <v>1.8734299999999999E-2</v>
      </c>
      <c r="T139">
        <f>ROUND(IF(VLOOKUP($A139,EnrollData2324,'2324 Jun 24 Enroll'!D$1,FALSE)='District Calculations'!$F$11,VLOOKUP($A139,EnrollData2324,'2324 Jun 24 Enroll'!D$1,FALSE),'District Calculations'!$F$11)*S139,3)</f>
        <v>0</v>
      </c>
      <c r="U139">
        <f>ROUND(IF(VLOOKUP($A139,EnrollData2324,'2324 Jun 24 Enroll'!E$1,FALSE)='District Calculations'!$F$12,VLOOKUP($A139,EnrollData2324,'2324 Jun 24 Enroll'!E$1,FALSE),'District Calculations'!$F$12)*S139,3)</f>
        <v>15.183999999999999</v>
      </c>
      <c r="V139">
        <f>ROUND(IF(VLOOKUP($A139,EnrollData2324,'2324 Jun 24 Enroll'!F$1,FALSE)='District Calculations'!$F$13,VLOOKUP($A139,EnrollData2324,'2324 Jun 24 Enroll'!F$1,FALSE),'District Calculations'!$F$13)*Apport_224A2425,3)</f>
        <v>3.7109999999999999</v>
      </c>
      <c r="W139">
        <f>ROUND(IF(VLOOKUP($A139,EnrollData2324,'2324 Jun 24 Enroll'!G$1,FALSE)='District Calculations'!$F$14,VLOOKUP($A139,EnrollData2324,'2324 Jun 24 Enroll'!G$1,FALSE),'District Calculations'!$F$14)*Apport_212A2425,3)</f>
        <v>8.2279999999999998</v>
      </c>
      <c r="X139">
        <f>ROUND(IF(VLOOKUP($A139,EnrollData2324,'2324 Jun 24 Enroll'!H$1,FALSE)='District Calculations'!$F$14,VLOOKUP($A139,EnrollData2324,'2324 Jun 24 Enroll'!H$1,FALSE),'District Calculations'!$F$14)*Apport_215A2425,3)</f>
        <v>8.1180000000000003</v>
      </c>
      <c r="Y139">
        <f>ROUND(IF(VLOOKUP($A139,EnrollData2324,'2324 Jun 24 Enroll'!I$1,FALSE)+VLOOKUP($A139,EnrollData2324,'2324 Jun 24 Enroll'!M$1,FALSE)-VLOOKUP($A139,EnrollData2324,'2324 Jun 24 Enroll'!J$1,FALSE)='District Calculations'!$F$16+'District Calculations'!$F$25-'District Calculations'!$F$17,VLOOKUP($A139,EnrollData2324,'2324 Jun 24 Enroll'!I$1,FALSE)+VLOOKUP($A139,EnrollData2324,'2324 Jun 24 Enroll'!M$1,FALSE)-VLOOKUP($A139,EnrollData2324,'2324 Jun 24 Enroll'!J$1,FALSE),'District Calculations'!$F$16+'District Calculations'!$F$25-'District Calculations'!$F$17)*Apport_218A2425,3)</f>
        <v>20.257999999999999</v>
      </c>
      <c r="Z139">
        <f>ROUND(SUM(T139:Y139)/IF(VLOOKUP($A139,EnrollData2324,'2324 Jun 24 Enroll'!M$1,FALSE)+VLOOKUP($A139,EnrollData2324,'2324 Jun 24 Enroll'!D$1,FALSE)='District Calculations'!$F$25+'District Calculations'!$F$11,VLOOKUP($A139,EnrollData2324,'2324 Jun 24 Enroll'!M$1,FALSE)+VLOOKUP($A139,EnrollData2324,'2324 Jun 24 Enroll'!D$1,FALSE),'District Calculations'!$F$25+'District Calculations'!$F$11),5)</f>
        <v>1.7780000000000001E-2</v>
      </c>
      <c r="AA139" s="6">
        <f>ROUND($J139*CIS_Base_Salary2425*VLOOKUP($A139,EnrollData2324,'2324 Jun 24 Enroll'!AH$1,FALSE),2)</f>
        <v>5029.96</v>
      </c>
      <c r="AB139" s="6">
        <f>ROUND($J139*CIS_Inc_Salary2425*(VLOOKUP($A139,EnrollData2324,'2324 Jun 24 Enroll'!AI$1,FALSE)+VLOOKUP($A139,EnrollData2324,'2324 Jun 24 Enroll'!AJ$1,FALSE)),2)-AA139</f>
        <v>186.07999999999993</v>
      </c>
      <c r="AC139" s="6" cm="1">
        <f t="array" ref="AC139">ROUND($R139*CAS_Base_Salary2425*VLOOKUP($A139,EnrollData2324,'2324 Jun 24 Enroll'!AH$1,FALSE),2)</f>
        <v>544.26</v>
      </c>
      <c r="AD139" s="6">
        <f>ROUND($R139*CAS_Inc_Salary2425*VLOOKUP($A139,EnrollData2324,'2324 Jun 24 Enroll'!AI$1,FALSE),2)-AC139</f>
        <v>20.129999999999995</v>
      </c>
      <c r="AE139" s="6">
        <f>ROUND($Z139*CLS_Base_Salary2425*VLOOKUP($A139,EnrollData2324,'2324 Jun 24 Enroll'!AH$1,FALSE),2)</f>
        <v>1135.0999999999999</v>
      </c>
      <c r="AF139" s="6">
        <f>ROUND($Z139*CLS_Inc_Salary2425*VLOOKUP($A139,EnrollData2324,'2324 Jun 24 Enroll'!AI$1,FALSE),2)-AE139</f>
        <v>42.009999999999991</v>
      </c>
      <c r="AG139" cm="1">
        <f t="array" ref="AG139">ROUND(($J139+$R139)*Apport_124X2425,2)</f>
        <v>800.45</v>
      </c>
      <c r="AH139" s="69" cm="1">
        <f t="array" ref="AH139">ROUND(($J139+$R139)*Apport_621X2425*Apport_125XC2425,2)-AG139</f>
        <v>73.899999999999977</v>
      </c>
      <c r="AI139" cm="1">
        <f t="array" ref="AI139">ROUND($Z139*Apport_124X2425,2)</f>
        <v>234.7</v>
      </c>
      <c r="AJ139">
        <f t="shared" si="32"/>
        <v>124.71000000000004</v>
      </c>
      <c r="AK139">
        <f t="shared" si="33"/>
        <v>1011.72</v>
      </c>
      <c r="AL139">
        <f t="shared" si="34"/>
        <v>36.11</v>
      </c>
      <c r="AM139">
        <f t="shared" si="35"/>
        <v>245.86</v>
      </c>
      <c r="AN139">
        <f t="shared" si="36"/>
        <v>7.63</v>
      </c>
      <c r="AO139">
        <f>ROUND(($J139*CIS_Inc_Salary2425*(VLOOKUP($A139,EnrollData2324,'2324 Jun 24 Enroll'!AI$1,FALSE)+VLOOKUP($A139,EnrollData2324,'2324 Jun 24 Enroll'!AJ$1,FALSE))/Apport_613Xpd)*Apport_614Xpd,2)</f>
        <v>86.93</v>
      </c>
      <c r="AP139">
        <f t="shared" si="37"/>
        <v>15.22</v>
      </c>
      <c r="AQ139">
        <f t="shared" si="38"/>
        <v>31.48</v>
      </c>
      <c r="AR139" s="6">
        <f>ROUND((VLOOKUP($A139,EnrollData2324,'2324 Jun 24 Enroll'!D$1,FALSE)*Apport_M802425+VLOOKUP($A139,EnrollData2324,'2324 Jun 24 Enroll'!M$1,FALSE)*Apport_M802425+(VLOOKUP($A139,EnrollData2324,'2324 Jun 24 Enroll'!P$1,FALSE)+VLOOKUP($A139,EnrollData2324,'2324 Jun 24 Enroll'!Q$1,FALSE)+VLOOKUP($A139,EnrollData2324,'2324 Jun 24 Enroll'!R$1,FALSE)+VLOOKUP($A139,EnrollData2324,'2324 Jun 24 Enroll'!I$1,FALSE)+VLOOKUP($A139,EnrollData2324,'2324 Jun 24 Enroll'!N$1,FALSE)+VLOOKUP($A139,EnrollData2324,'2324 Jun 24 Enroll'!O$1,FALSE)+VLOOKUP($A139,EnrollData2324,'2324 Jun 24 Enroll'!K$1,FALSE)+VLOOKUP($A139,EnrollData2324,'2324 Jun 24 Enroll'!L$1,FALSE))*Apport_M812425)/(VLOOKUP($A139,EnrollData2324,'2324 Jun 24 Enroll'!M$1,FALSE)+VLOOKUP($A139,EnrollData2324,'2324 Jun 24 Enroll'!D$1,FALSE)),2)</f>
        <v>1533.02</v>
      </c>
      <c r="AS139" s="7">
        <f t="shared" si="39"/>
        <v>11159.27</v>
      </c>
    </row>
    <row r="140" spans="1:45">
      <c r="A140" s="40" t="s">
        <v>933</v>
      </c>
      <c r="B140" s="40" t="s">
        <v>1010</v>
      </c>
      <c r="C140" s="11">
        <f>ROUND((IFERROR((1/IF(VLOOKUP($A140,EnrollData2324,28,FALSE)='District Calculations'!$F$10,VLOOKUP($A140,EnrollData2324,28,FALSE),'District Calculations'!$F$10))*(1+Apport_Z315),0))+Apport_201A2425,6)</f>
        <v>7.4580999999999995E-2</v>
      </c>
      <c r="D140">
        <f>ROUND(IF(VLOOKUP($A140,EnrollData2324,'2324 Jun 24 Enroll'!D$1,FALSE)='District Calculations'!$F$11,VLOOKUP($A140,EnrollData2324,'2324 Jun 24 Enroll'!D$1,FALSE),'District Calculations'!$F$11)*C140,3)</f>
        <v>0</v>
      </c>
      <c r="E140">
        <f>ROUND(IF(VLOOKUP($A140,EnrollData2324,'2324 Jun 24 Enroll'!E$1,FALSE)='District Calculations'!$F$12,VLOOKUP($A140,EnrollData2324,'2324 Jun 24 Enroll'!E$1,FALSE),'District Calculations'!$F$12)*C140,3)</f>
        <v>60.447000000000003</v>
      </c>
      <c r="F140">
        <f>ROUND(IF(VLOOKUP($A140,EnrollData2324,'2324 Jun 24 Enroll'!F$1,FALSE)='District Calculations'!$F$13,VLOOKUP($A140,EnrollData2324,'2324 Jun 24 Enroll'!F$1,FALSE),'District Calculations'!$F$13)*Apport_222A2425,3)</f>
        <v>10.337999999999999</v>
      </c>
      <c r="G140">
        <f>ROUND(IF(VLOOKUP($A140,EnrollData2324,'2324 Jun 24 Enroll'!G$1,FALSE)='District Calculations'!$F$14,VLOOKUP($A140,EnrollData2324,'2324 Jun 24 Enroll'!G$1,FALSE),'District Calculations'!$F$14)*Apport_210A2425,3)</f>
        <v>22.92</v>
      </c>
      <c r="H140">
        <f>ROUND(IF(VLOOKUP($A140,EnrollData2324,'2324 Jun 24 Enroll'!H$1,FALSE)='District Calculations'!$F$15,VLOOKUP($A140,EnrollData2324,'2324 Jun 24 Enroll'!H$1,FALSE),'District Calculations'!$F$15)*Apport_213A2425,3)</f>
        <v>23.619</v>
      </c>
      <c r="I140">
        <f>ROUND(IF(VLOOKUP($A140,EnrollData2324,'2324 Jun 24 Enroll'!I$1,FALSE)+VLOOKUP($A140,EnrollData2324,'2324 Jun 24 Enroll'!M$1,FALSE)-VLOOKUP($A140,EnrollData2324,'2324 Jun 24 Enroll'!J$1,FALSE)='District Calculations'!$F$16+'District Calculations'!$F$25-'District Calculations'!$F$17,VLOOKUP($A140,EnrollData2324,'2324 Jun 24 Enroll'!I$1,FALSE)+VLOOKUP($A140,EnrollData2324,'2324 Jun 24 Enroll'!M$1,FALSE)-VLOOKUP($A140,EnrollData2324,'2324 Jun 24 Enroll'!J$1,FALSE),'District Calculations'!$F$16+'District Calculations'!$F$25-'District Calculations'!$F$17)*Apport_216A2425,3)</f>
        <v>59.057000000000002</v>
      </c>
      <c r="J140">
        <f>ROUND(SUM(D140:I140)/(IF(VLOOKUP($A140,EnrollData2324,'2324 Jun 24 Enroll'!M$1,FALSE)='District Calculations'!$F$25,VLOOKUP($A140,EnrollData2324,'2324 Jun 24 Enroll'!M$1,FALSE),'District Calculations'!$F$25)+IF(VLOOKUP($A140,EnrollData2324,'2324 Jun 24 Enroll'!D$1,FALSE)='District Calculations'!$F$11,VLOOKUP($A140,EnrollData2324,'2324 Jun 24 Enroll'!D$1,FALSE),'District Calculations'!$F$11)),5)</f>
        <v>5.6520000000000001E-2</v>
      </c>
      <c r="K140" s="11">
        <f t="shared" si="30"/>
        <v>4.385E-3</v>
      </c>
      <c r="L140">
        <f>ROUND(IF(VLOOKUP($A140,EnrollData2324,'2324 Jun 24 Enroll'!D$1,FALSE)='District Calculations'!$F$11,VLOOKUP($A140,EnrollData2324,'2324 Jun 24 Enroll'!D$1,FALSE),'District Calculations'!$F$11)*K140,3)</f>
        <v>0</v>
      </c>
      <c r="M140">
        <f>ROUND(IF(VLOOKUP($A140,EnrollData2324,'2324 Jun 24 Enroll'!E$1,FALSE)='District Calculations'!$F$12,VLOOKUP($A140,EnrollData2324,'2324 Jun 24 Enroll'!E$1,FALSE),'District Calculations'!$F$12)*K140,3)</f>
        <v>3.5539999999999998</v>
      </c>
      <c r="N140">
        <f>ROUND(IF(VLOOKUP($A140,EnrollData2324,'2324 Jun 24 Enroll'!F$1,FALSE)='District Calculations'!$F$13,VLOOKUP($A140,EnrollData2324,'2324 Jun 24 Enroll'!F$1,FALSE),'District Calculations'!$F$13)*Apport_223A2425,3)</f>
        <v>0.84599999999999997</v>
      </c>
      <c r="O140">
        <f>ROUND(IF(VLOOKUP($A140,EnrollData2324,'2324 Jun 24 Enroll'!G$1,FALSE)='District Calculations'!$F$14,VLOOKUP($A140,EnrollData2324,'2324 Jun 24 Enroll'!G$1,FALSE),'District Calculations'!$F$14)*Apport_211A2425,3)</f>
        <v>1.877</v>
      </c>
      <c r="P140">
        <f>ROUND(IF(VLOOKUP($A140,EnrollData2324,'2324 Jun 24 Enroll'!H$1,FALSE)='District Calculations'!$F$14,VLOOKUP($A140,EnrollData2324,'2324 Jun 24 Enroll'!H$1,FALSE),'District Calculations'!$F$14)*Apport_214A2425,3)</f>
        <v>1.875</v>
      </c>
      <c r="Q140">
        <f>ROUND(IF(VLOOKUP($A140,EnrollData2324,'2324 Jun 24 Enroll'!I$1,FALSE)+VLOOKUP($A140,EnrollData2324,'2324 Jun 24 Enroll'!M$1,FALSE)-VLOOKUP($A140,EnrollData2324,'2324 Jun 24 Enroll'!J$1,FALSE)='District Calculations'!$F$16+'District Calculations'!$F$25-'District Calculations'!$F$17,VLOOKUP($A140,EnrollData2324,'2324 Jun 24 Enroll'!I$1,FALSE)+VLOOKUP($A140,EnrollData2324,'2324 Jun 24 Enroll'!M$1,FALSE)-VLOOKUP($A140,EnrollData2324,'2324 Jun 24 Enroll'!J$1,FALSE),'District Calculations'!$F$16+'District Calculations'!$F$25-'District Calculations'!$F$17)*Apport_217A2425,3)</f>
        <v>4.7130000000000001</v>
      </c>
      <c r="R140">
        <f>ROUND(SUM(L140:Q140)/IF(VLOOKUP($A140,EnrollData2324,'2324 Jun 24 Enroll'!M$1,FALSE)+VLOOKUP($A140,EnrollData2324,'2324 Jun 24 Enroll'!D$1,FALSE)='District Calculations'!$F$25+'District Calculations'!$F$11,VLOOKUP($A140,EnrollData2324,'2324 Jun 24 Enroll'!M$1,FALSE)+VLOOKUP($A140,EnrollData2324,'2324 Jun 24 Enroll'!D$1,FALSE),'District Calculations'!$F$25+'District Calculations'!$F$11),5)</f>
        <v>4.1200000000000004E-3</v>
      </c>
      <c r="S140" s="11">
        <f t="shared" si="31"/>
        <v>1.8734299999999999E-2</v>
      </c>
      <c r="T140">
        <f>ROUND(IF(VLOOKUP($A140,EnrollData2324,'2324 Jun 24 Enroll'!D$1,FALSE)='District Calculations'!$F$11,VLOOKUP($A140,EnrollData2324,'2324 Jun 24 Enroll'!D$1,FALSE),'District Calculations'!$F$11)*S140,3)</f>
        <v>0</v>
      </c>
      <c r="U140">
        <f>ROUND(IF(VLOOKUP($A140,EnrollData2324,'2324 Jun 24 Enroll'!E$1,FALSE)='District Calculations'!$F$12,VLOOKUP($A140,EnrollData2324,'2324 Jun 24 Enroll'!E$1,FALSE),'District Calculations'!$F$12)*S140,3)</f>
        <v>15.183999999999999</v>
      </c>
      <c r="V140">
        <f>ROUND(IF(VLOOKUP($A140,EnrollData2324,'2324 Jun 24 Enroll'!F$1,FALSE)='District Calculations'!$F$13,VLOOKUP($A140,EnrollData2324,'2324 Jun 24 Enroll'!F$1,FALSE),'District Calculations'!$F$13)*Apport_224A2425,3)</f>
        <v>3.7109999999999999</v>
      </c>
      <c r="W140">
        <f>ROUND(IF(VLOOKUP($A140,EnrollData2324,'2324 Jun 24 Enroll'!G$1,FALSE)='District Calculations'!$F$14,VLOOKUP($A140,EnrollData2324,'2324 Jun 24 Enroll'!G$1,FALSE),'District Calculations'!$F$14)*Apport_212A2425,3)</f>
        <v>8.2279999999999998</v>
      </c>
      <c r="X140">
        <f>ROUND(IF(VLOOKUP($A140,EnrollData2324,'2324 Jun 24 Enroll'!H$1,FALSE)='District Calculations'!$F$14,VLOOKUP($A140,EnrollData2324,'2324 Jun 24 Enroll'!H$1,FALSE),'District Calculations'!$F$14)*Apport_215A2425,3)</f>
        <v>8.1180000000000003</v>
      </c>
      <c r="Y140">
        <f>ROUND(IF(VLOOKUP($A140,EnrollData2324,'2324 Jun 24 Enroll'!I$1,FALSE)+VLOOKUP($A140,EnrollData2324,'2324 Jun 24 Enroll'!M$1,FALSE)-VLOOKUP($A140,EnrollData2324,'2324 Jun 24 Enroll'!J$1,FALSE)='District Calculations'!$F$16+'District Calculations'!$F$25-'District Calculations'!$F$17,VLOOKUP($A140,EnrollData2324,'2324 Jun 24 Enroll'!I$1,FALSE)+VLOOKUP($A140,EnrollData2324,'2324 Jun 24 Enroll'!M$1,FALSE)-VLOOKUP($A140,EnrollData2324,'2324 Jun 24 Enroll'!J$1,FALSE),'District Calculations'!$F$16+'District Calculations'!$F$25-'District Calculations'!$F$17)*Apport_218A2425,3)</f>
        <v>20.257999999999999</v>
      </c>
      <c r="Z140">
        <f>ROUND(SUM(T140:Y140)/IF(VLOOKUP($A140,EnrollData2324,'2324 Jun 24 Enroll'!M$1,FALSE)+VLOOKUP($A140,EnrollData2324,'2324 Jun 24 Enroll'!D$1,FALSE)='District Calculations'!$F$25+'District Calculations'!$F$11,VLOOKUP($A140,EnrollData2324,'2324 Jun 24 Enroll'!M$1,FALSE)+VLOOKUP($A140,EnrollData2324,'2324 Jun 24 Enroll'!D$1,FALSE),'District Calculations'!$F$25+'District Calculations'!$F$11),5)</f>
        <v>1.7780000000000001E-2</v>
      </c>
      <c r="AA140" s="6">
        <f>ROUND($J140*CIS_Base_Salary2425*VLOOKUP($A140,EnrollData2324,'2324 Jun 24 Enroll'!AH$1,FALSE),2)</f>
        <v>5029.96</v>
      </c>
      <c r="AB140" s="6">
        <f>ROUND($J140*CIS_Inc_Salary2425*(VLOOKUP($A140,EnrollData2324,'2324 Jun 24 Enroll'!AI$1,FALSE)+VLOOKUP($A140,EnrollData2324,'2324 Jun 24 Enroll'!AJ$1,FALSE)),2)-AA140</f>
        <v>186.07999999999993</v>
      </c>
      <c r="AC140" s="6" cm="1">
        <f t="array" ref="AC140">ROUND($R140*CAS_Base_Salary2425*VLOOKUP($A140,EnrollData2324,'2324 Jun 24 Enroll'!AH$1,FALSE),2)</f>
        <v>544.26</v>
      </c>
      <c r="AD140" s="6">
        <f>ROUND($R140*CAS_Inc_Salary2425*VLOOKUP($A140,EnrollData2324,'2324 Jun 24 Enroll'!AI$1,FALSE),2)-AC140</f>
        <v>20.129999999999995</v>
      </c>
      <c r="AE140" s="6">
        <f>ROUND($Z140*CLS_Base_Salary2425*VLOOKUP($A140,EnrollData2324,'2324 Jun 24 Enroll'!AH$1,FALSE),2)</f>
        <v>1135.0999999999999</v>
      </c>
      <c r="AF140" s="6">
        <f>ROUND($Z140*CLS_Inc_Salary2425*VLOOKUP($A140,EnrollData2324,'2324 Jun 24 Enroll'!AI$1,FALSE),2)-AE140</f>
        <v>42.009999999999991</v>
      </c>
      <c r="AG140" cm="1">
        <f t="array" ref="AG140">ROUND(($J140+$R140)*Apport_124X2425,2)</f>
        <v>800.45</v>
      </c>
      <c r="AH140" s="69" cm="1">
        <f t="array" ref="AH140">ROUND(($J140+$R140)*Apport_621X2425*Apport_125XC2425,2)-AG140</f>
        <v>73.899999999999977</v>
      </c>
      <c r="AI140" cm="1">
        <f t="array" ref="AI140">ROUND($Z140*Apport_124X2425,2)</f>
        <v>234.7</v>
      </c>
      <c r="AJ140">
        <f t="shared" si="32"/>
        <v>124.71000000000004</v>
      </c>
      <c r="AK140">
        <f t="shared" si="33"/>
        <v>1011.72</v>
      </c>
      <c r="AL140">
        <f t="shared" si="34"/>
        <v>36.11</v>
      </c>
      <c r="AM140">
        <f t="shared" si="35"/>
        <v>245.86</v>
      </c>
      <c r="AN140">
        <f t="shared" si="36"/>
        <v>7.63</v>
      </c>
      <c r="AO140">
        <f>ROUND(($J140*CIS_Inc_Salary2425*(VLOOKUP($A140,EnrollData2324,'2324 Jun 24 Enroll'!AI$1,FALSE)+VLOOKUP($A140,EnrollData2324,'2324 Jun 24 Enroll'!AJ$1,FALSE))/Apport_613Xpd)*Apport_614Xpd,2)</f>
        <v>86.93</v>
      </c>
      <c r="AP140">
        <f t="shared" si="37"/>
        <v>15.22</v>
      </c>
      <c r="AQ140">
        <f t="shared" si="38"/>
        <v>31.48</v>
      </c>
      <c r="AR140" s="6">
        <f>ROUND((VLOOKUP($A140,EnrollData2324,'2324 Jun 24 Enroll'!D$1,FALSE)*Apport_M802425+VLOOKUP($A140,EnrollData2324,'2324 Jun 24 Enroll'!M$1,FALSE)*Apport_M802425+(VLOOKUP($A140,EnrollData2324,'2324 Jun 24 Enroll'!P$1,FALSE)+VLOOKUP($A140,EnrollData2324,'2324 Jun 24 Enroll'!Q$1,FALSE)+VLOOKUP($A140,EnrollData2324,'2324 Jun 24 Enroll'!R$1,FALSE)+VLOOKUP($A140,EnrollData2324,'2324 Jun 24 Enroll'!I$1,FALSE)+VLOOKUP($A140,EnrollData2324,'2324 Jun 24 Enroll'!N$1,FALSE)+VLOOKUP($A140,EnrollData2324,'2324 Jun 24 Enroll'!O$1,FALSE)+VLOOKUP($A140,EnrollData2324,'2324 Jun 24 Enroll'!K$1,FALSE)+VLOOKUP($A140,EnrollData2324,'2324 Jun 24 Enroll'!L$1,FALSE))*Apport_M812425)/(VLOOKUP($A140,EnrollData2324,'2324 Jun 24 Enroll'!M$1,FALSE)+VLOOKUP($A140,EnrollData2324,'2324 Jun 24 Enroll'!D$1,FALSE)),2)</f>
        <v>1628.94</v>
      </c>
      <c r="AS140" s="7">
        <f t="shared" si="39"/>
        <v>11255.19</v>
      </c>
    </row>
    <row r="141" spans="1:45">
      <c r="A141" s="40" t="s">
        <v>997</v>
      </c>
      <c r="B141" s="40" t="s">
        <v>1011</v>
      </c>
      <c r="C141" s="11">
        <f>ROUND((IFERROR((1/IF(VLOOKUP($A141,EnrollData2324,28,FALSE)='District Calculations'!$F$10,VLOOKUP($A141,EnrollData2324,28,FALSE),'District Calculations'!$F$10))*(1+Apport_Z315),0))+Apport_201A2425,6)</f>
        <v>7.4580999999999995E-2</v>
      </c>
      <c r="D141">
        <f>ROUND(IF(VLOOKUP($A141,EnrollData2324,'2324 Jun 24 Enroll'!D$1,FALSE)='District Calculations'!$F$11,VLOOKUP($A141,EnrollData2324,'2324 Jun 24 Enroll'!D$1,FALSE),'District Calculations'!$F$11)*C141,3)</f>
        <v>0</v>
      </c>
      <c r="E141">
        <f>ROUND(IF(VLOOKUP($A141,EnrollData2324,'2324 Jun 24 Enroll'!E$1,FALSE)='District Calculations'!$F$12,VLOOKUP($A141,EnrollData2324,'2324 Jun 24 Enroll'!E$1,FALSE),'District Calculations'!$F$12)*C141,3)</f>
        <v>60.447000000000003</v>
      </c>
      <c r="F141">
        <f>ROUND(IF(VLOOKUP($A141,EnrollData2324,'2324 Jun 24 Enroll'!F$1,FALSE)='District Calculations'!$F$13,VLOOKUP($A141,EnrollData2324,'2324 Jun 24 Enroll'!F$1,FALSE),'District Calculations'!$F$13)*Apport_222A2425,3)</f>
        <v>10.337999999999999</v>
      </c>
      <c r="G141">
        <f>ROUND(IF(VLOOKUP($A141,EnrollData2324,'2324 Jun 24 Enroll'!G$1,FALSE)='District Calculations'!$F$14,VLOOKUP($A141,EnrollData2324,'2324 Jun 24 Enroll'!G$1,FALSE),'District Calculations'!$F$14)*Apport_210A2425,3)</f>
        <v>22.92</v>
      </c>
      <c r="H141">
        <f>ROUND(IF(VLOOKUP($A141,EnrollData2324,'2324 Jun 24 Enroll'!H$1,FALSE)='District Calculations'!$F$15,VLOOKUP($A141,EnrollData2324,'2324 Jun 24 Enroll'!H$1,FALSE),'District Calculations'!$F$15)*Apport_213A2425,3)</f>
        <v>23.619</v>
      </c>
      <c r="I141">
        <f>ROUND(IF(VLOOKUP($A141,EnrollData2324,'2324 Jun 24 Enroll'!I$1,FALSE)+VLOOKUP($A141,EnrollData2324,'2324 Jun 24 Enroll'!M$1,FALSE)-VLOOKUP($A141,EnrollData2324,'2324 Jun 24 Enroll'!J$1,FALSE)='District Calculations'!$F$16+'District Calculations'!$F$25-'District Calculations'!$F$17,VLOOKUP($A141,EnrollData2324,'2324 Jun 24 Enroll'!I$1,FALSE)+VLOOKUP($A141,EnrollData2324,'2324 Jun 24 Enroll'!M$1,FALSE)-VLOOKUP($A141,EnrollData2324,'2324 Jun 24 Enroll'!J$1,FALSE),'District Calculations'!$F$16+'District Calculations'!$F$25-'District Calculations'!$F$17)*Apport_216A2425,3)</f>
        <v>59.057000000000002</v>
      </c>
      <c r="J141">
        <f>ROUND(SUM(D141:I141)/(IF(VLOOKUP($A141,EnrollData2324,'2324 Jun 24 Enroll'!M$1,FALSE)='District Calculations'!$F$25,VLOOKUP($A141,EnrollData2324,'2324 Jun 24 Enroll'!M$1,FALSE),'District Calculations'!$F$25)+IF(VLOOKUP($A141,EnrollData2324,'2324 Jun 24 Enroll'!D$1,FALSE)='District Calculations'!$F$11,VLOOKUP($A141,EnrollData2324,'2324 Jun 24 Enroll'!D$1,FALSE),'District Calculations'!$F$11)),5)</f>
        <v>5.6520000000000001E-2</v>
      </c>
      <c r="K141" s="11">
        <f t="shared" si="30"/>
        <v>4.385E-3</v>
      </c>
      <c r="L141">
        <f>ROUND(IF(VLOOKUP($A141,EnrollData2324,'2324 Jun 24 Enroll'!D$1,FALSE)='District Calculations'!$F$11,VLOOKUP($A141,EnrollData2324,'2324 Jun 24 Enroll'!D$1,FALSE),'District Calculations'!$F$11)*K141,3)</f>
        <v>0</v>
      </c>
      <c r="M141">
        <f>ROUND(IF(VLOOKUP($A141,EnrollData2324,'2324 Jun 24 Enroll'!E$1,FALSE)='District Calculations'!$F$12,VLOOKUP($A141,EnrollData2324,'2324 Jun 24 Enroll'!E$1,FALSE),'District Calculations'!$F$12)*K141,3)</f>
        <v>3.5539999999999998</v>
      </c>
      <c r="N141">
        <f>ROUND(IF(VLOOKUP($A141,EnrollData2324,'2324 Jun 24 Enroll'!F$1,FALSE)='District Calculations'!$F$13,VLOOKUP($A141,EnrollData2324,'2324 Jun 24 Enroll'!F$1,FALSE),'District Calculations'!$F$13)*Apport_223A2425,3)</f>
        <v>0.84599999999999997</v>
      </c>
      <c r="O141">
        <f>ROUND(IF(VLOOKUP($A141,EnrollData2324,'2324 Jun 24 Enroll'!G$1,FALSE)='District Calculations'!$F$14,VLOOKUP($A141,EnrollData2324,'2324 Jun 24 Enroll'!G$1,FALSE),'District Calculations'!$F$14)*Apport_211A2425,3)</f>
        <v>1.877</v>
      </c>
      <c r="P141">
        <f>ROUND(IF(VLOOKUP($A141,EnrollData2324,'2324 Jun 24 Enroll'!H$1,FALSE)='District Calculations'!$F$14,VLOOKUP($A141,EnrollData2324,'2324 Jun 24 Enroll'!H$1,FALSE),'District Calculations'!$F$14)*Apport_214A2425,3)</f>
        <v>1.875</v>
      </c>
      <c r="Q141">
        <f>ROUND(IF(VLOOKUP($A141,EnrollData2324,'2324 Jun 24 Enroll'!I$1,FALSE)+VLOOKUP($A141,EnrollData2324,'2324 Jun 24 Enroll'!M$1,FALSE)-VLOOKUP($A141,EnrollData2324,'2324 Jun 24 Enroll'!J$1,FALSE)='District Calculations'!$F$16+'District Calculations'!$F$25-'District Calculations'!$F$17,VLOOKUP($A141,EnrollData2324,'2324 Jun 24 Enroll'!I$1,FALSE)+VLOOKUP($A141,EnrollData2324,'2324 Jun 24 Enroll'!M$1,FALSE)-VLOOKUP($A141,EnrollData2324,'2324 Jun 24 Enroll'!J$1,FALSE),'District Calculations'!$F$16+'District Calculations'!$F$25-'District Calculations'!$F$17)*Apport_217A2425,3)</f>
        <v>4.7130000000000001</v>
      </c>
      <c r="R141">
        <f>ROUND(SUM(L141:Q141)/IF(VLOOKUP($A141,EnrollData2324,'2324 Jun 24 Enroll'!M$1,FALSE)+VLOOKUP($A141,EnrollData2324,'2324 Jun 24 Enroll'!D$1,FALSE)='District Calculations'!$F$25+'District Calculations'!$F$11,VLOOKUP($A141,EnrollData2324,'2324 Jun 24 Enroll'!M$1,FALSE)+VLOOKUP($A141,EnrollData2324,'2324 Jun 24 Enroll'!D$1,FALSE),'District Calculations'!$F$25+'District Calculations'!$F$11),5)</f>
        <v>4.1200000000000004E-3</v>
      </c>
      <c r="S141" s="11">
        <f t="shared" si="31"/>
        <v>1.8734299999999999E-2</v>
      </c>
      <c r="T141">
        <f>ROUND(IF(VLOOKUP($A141,EnrollData2324,'2324 Jun 24 Enroll'!D$1,FALSE)='District Calculations'!$F$11,VLOOKUP($A141,EnrollData2324,'2324 Jun 24 Enroll'!D$1,FALSE),'District Calculations'!$F$11)*S141,3)</f>
        <v>0</v>
      </c>
      <c r="U141">
        <f>ROUND(IF(VLOOKUP($A141,EnrollData2324,'2324 Jun 24 Enroll'!E$1,FALSE)='District Calculations'!$F$12,VLOOKUP($A141,EnrollData2324,'2324 Jun 24 Enroll'!E$1,FALSE),'District Calculations'!$F$12)*S141,3)</f>
        <v>15.183999999999999</v>
      </c>
      <c r="V141">
        <f>ROUND(IF(VLOOKUP($A141,EnrollData2324,'2324 Jun 24 Enroll'!F$1,FALSE)='District Calculations'!$F$13,VLOOKUP($A141,EnrollData2324,'2324 Jun 24 Enroll'!F$1,FALSE),'District Calculations'!$F$13)*Apport_224A2425,3)</f>
        <v>3.7109999999999999</v>
      </c>
      <c r="W141">
        <f>ROUND(IF(VLOOKUP($A141,EnrollData2324,'2324 Jun 24 Enroll'!G$1,FALSE)='District Calculations'!$F$14,VLOOKUP($A141,EnrollData2324,'2324 Jun 24 Enroll'!G$1,FALSE),'District Calculations'!$F$14)*Apport_212A2425,3)</f>
        <v>8.2279999999999998</v>
      </c>
      <c r="X141">
        <f>ROUND(IF(VLOOKUP($A141,EnrollData2324,'2324 Jun 24 Enroll'!H$1,FALSE)='District Calculations'!$F$14,VLOOKUP($A141,EnrollData2324,'2324 Jun 24 Enroll'!H$1,FALSE),'District Calculations'!$F$14)*Apport_215A2425,3)</f>
        <v>8.1180000000000003</v>
      </c>
      <c r="Y141">
        <f>ROUND(IF(VLOOKUP($A141,EnrollData2324,'2324 Jun 24 Enroll'!I$1,FALSE)+VLOOKUP($A141,EnrollData2324,'2324 Jun 24 Enroll'!M$1,FALSE)-VLOOKUP($A141,EnrollData2324,'2324 Jun 24 Enroll'!J$1,FALSE)='District Calculations'!$F$16+'District Calculations'!$F$25-'District Calculations'!$F$17,VLOOKUP($A141,EnrollData2324,'2324 Jun 24 Enroll'!I$1,FALSE)+VLOOKUP($A141,EnrollData2324,'2324 Jun 24 Enroll'!M$1,FALSE)-VLOOKUP($A141,EnrollData2324,'2324 Jun 24 Enroll'!J$1,FALSE),'District Calculations'!$F$16+'District Calculations'!$F$25-'District Calculations'!$F$17)*Apport_218A2425,3)</f>
        <v>20.257999999999999</v>
      </c>
      <c r="Z141">
        <f>ROUND(SUM(T141:Y141)/IF(VLOOKUP($A141,EnrollData2324,'2324 Jun 24 Enroll'!M$1,FALSE)+VLOOKUP($A141,EnrollData2324,'2324 Jun 24 Enroll'!D$1,FALSE)='District Calculations'!$F$25+'District Calculations'!$F$11,VLOOKUP($A141,EnrollData2324,'2324 Jun 24 Enroll'!M$1,FALSE)+VLOOKUP($A141,EnrollData2324,'2324 Jun 24 Enroll'!D$1,FALSE),'District Calculations'!$F$25+'District Calculations'!$F$11),5)</f>
        <v>1.7780000000000001E-2</v>
      </c>
      <c r="AA141" s="6">
        <f>ROUND($J141*CIS_Base_Salary2425*VLOOKUP($A141,EnrollData2324,'2324 Jun 24 Enroll'!AH$1,FALSE),2)</f>
        <v>5029.96</v>
      </c>
      <c r="AB141" s="6">
        <f>ROUND($J141*CIS_Inc_Salary2425*(VLOOKUP($A141,EnrollData2324,'2324 Jun 24 Enroll'!AI$1,FALSE)+VLOOKUP($A141,EnrollData2324,'2324 Jun 24 Enroll'!AJ$1,FALSE)),2)-AA141</f>
        <v>186.07999999999993</v>
      </c>
      <c r="AC141" s="6" cm="1">
        <f t="array" ref="AC141">ROUND($R141*CAS_Base_Salary2425*VLOOKUP($A141,EnrollData2324,'2324 Jun 24 Enroll'!AH$1,FALSE),2)</f>
        <v>544.26</v>
      </c>
      <c r="AD141" s="6">
        <f>ROUND($R141*CAS_Inc_Salary2425*VLOOKUP($A141,EnrollData2324,'2324 Jun 24 Enroll'!AI$1,FALSE),2)-AC141</f>
        <v>20.129999999999995</v>
      </c>
      <c r="AE141" s="6">
        <f>ROUND($Z141*CLS_Base_Salary2425*VLOOKUP($A141,EnrollData2324,'2324 Jun 24 Enroll'!AH$1,FALSE),2)</f>
        <v>1135.0999999999999</v>
      </c>
      <c r="AF141" s="6">
        <f>ROUND($Z141*CLS_Inc_Salary2425*VLOOKUP($A141,EnrollData2324,'2324 Jun 24 Enroll'!AI$1,FALSE),2)-AE141</f>
        <v>42.009999999999991</v>
      </c>
      <c r="AG141" cm="1">
        <f t="array" ref="AG141">ROUND(($J141+$R141)*Apport_124X2425,2)</f>
        <v>800.45</v>
      </c>
      <c r="AH141" s="69" cm="1">
        <f t="array" ref="AH141">ROUND(($J141+$R141)*Apport_621X2425*Apport_125XC2425,2)-AG141</f>
        <v>73.899999999999977</v>
      </c>
      <c r="AI141" cm="1">
        <f t="array" ref="AI141">ROUND($Z141*Apport_124X2425,2)</f>
        <v>234.7</v>
      </c>
      <c r="AJ141">
        <f t="shared" si="32"/>
        <v>124.71000000000004</v>
      </c>
      <c r="AK141">
        <f t="shared" si="33"/>
        <v>1011.72</v>
      </c>
      <c r="AL141">
        <f t="shared" si="34"/>
        <v>36.11</v>
      </c>
      <c r="AM141">
        <f t="shared" si="35"/>
        <v>245.86</v>
      </c>
      <c r="AN141">
        <f t="shared" si="36"/>
        <v>7.63</v>
      </c>
      <c r="AO141">
        <f>ROUND(($J141*CIS_Inc_Salary2425*(VLOOKUP($A141,EnrollData2324,'2324 Jun 24 Enroll'!AI$1,FALSE)+VLOOKUP($A141,EnrollData2324,'2324 Jun 24 Enroll'!AJ$1,FALSE))/Apport_613Xpd)*Apport_614Xpd,2)</f>
        <v>86.93</v>
      </c>
      <c r="AP141">
        <f t="shared" si="37"/>
        <v>15.22</v>
      </c>
      <c r="AQ141">
        <f t="shared" si="38"/>
        <v>31.48</v>
      </c>
      <c r="AR141" s="6">
        <f>ROUND((VLOOKUP($A141,EnrollData2324,'2324 Jun 24 Enroll'!D$1,FALSE)*Apport_M802425+VLOOKUP($A141,EnrollData2324,'2324 Jun 24 Enroll'!M$1,FALSE)*Apport_M802425+(VLOOKUP($A141,EnrollData2324,'2324 Jun 24 Enroll'!P$1,FALSE)+VLOOKUP($A141,EnrollData2324,'2324 Jun 24 Enroll'!Q$1,FALSE)+VLOOKUP($A141,EnrollData2324,'2324 Jun 24 Enroll'!R$1,FALSE)+VLOOKUP($A141,EnrollData2324,'2324 Jun 24 Enroll'!I$1,FALSE)+VLOOKUP($A141,EnrollData2324,'2324 Jun 24 Enroll'!N$1,FALSE)+VLOOKUP($A141,EnrollData2324,'2324 Jun 24 Enroll'!O$1,FALSE)+VLOOKUP($A141,EnrollData2324,'2324 Jun 24 Enroll'!K$1,FALSE)+VLOOKUP($A141,EnrollData2324,'2324 Jun 24 Enroll'!L$1,FALSE))*Apport_M812425)/(VLOOKUP($A141,EnrollData2324,'2324 Jun 24 Enroll'!M$1,FALSE)+VLOOKUP($A141,EnrollData2324,'2324 Jun 24 Enroll'!D$1,FALSE)),2)</f>
        <v>1533.02</v>
      </c>
      <c r="AS141" s="7">
        <f t="shared" si="39"/>
        <v>11159.27</v>
      </c>
    </row>
    <row r="142" spans="1:45">
      <c r="A142" s="40" t="s">
        <v>1012</v>
      </c>
      <c r="B142" s="40" t="s">
        <v>1013</v>
      </c>
      <c r="C142" s="11">
        <f>ROUND((IFERROR((1/IF(VLOOKUP($A142,EnrollData2324,28,FALSE)='District Calculations'!$F$10,VLOOKUP($A142,EnrollData2324,28,FALSE),'District Calculations'!$F$10))*(1+Apport_Z315),0))+Apport_201A2425,6)</f>
        <v>7.4580999999999995E-2</v>
      </c>
      <c r="D142">
        <f>ROUND(IF(VLOOKUP($A142,EnrollData2324,'2324 Jun 24 Enroll'!D$1,FALSE)='District Calculations'!$F$11,VLOOKUP($A142,EnrollData2324,'2324 Jun 24 Enroll'!D$1,FALSE),'District Calculations'!$F$11)*C142,3)</f>
        <v>0</v>
      </c>
      <c r="E142">
        <f>ROUND(IF(VLOOKUP($A142,EnrollData2324,'2324 Jun 24 Enroll'!E$1,FALSE)='District Calculations'!$F$12,VLOOKUP($A142,EnrollData2324,'2324 Jun 24 Enroll'!E$1,FALSE),'District Calculations'!$F$12)*C142,3)</f>
        <v>60.447000000000003</v>
      </c>
      <c r="F142">
        <f>ROUND(IF(VLOOKUP($A142,EnrollData2324,'2324 Jun 24 Enroll'!F$1,FALSE)='District Calculations'!$F$13,VLOOKUP($A142,EnrollData2324,'2324 Jun 24 Enroll'!F$1,FALSE),'District Calculations'!$F$13)*Apport_222A2425,3)</f>
        <v>10.337999999999999</v>
      </c>
      <c r="G142">
        <f>ROUND(IF(VLOOKUP($A142,EnrollData2324,'2324 Jun 24 Enroll'!G$1,FALSE)='District Calculations'!$F$14,VLOOKUP($A142,EnrollData2324,'2324 Jun 24 Enroll'!G$1,FALSE),'District Calculations'!$F$14)*Apport_210A2425,3)</f>
        <v>22.92</v>
      </c>
      <c r="H142">
        <f>ROUND(IF(VLOOKUP($A142,EnrollData2324,'2324 Jun 24 Enroll'!H$1,FALSE)='District Calculations'!$F$15,VLOOKUP($A142,EnrollData2324,'2324 Jun 24 Enroll'!H$1,FALSE),'District Calculations'!$F$15)*Apport_213A2425,3)</f>
        <v>23.619</v>
      </c>
      <c r="I142">
        <f>ROUND(IF(VLOOKUP($A142,EnrollData2324,'2324 Jun 24 Enroll'!I$1,FALSE)+VLOOKUP($A142,EnrollData2324,'2324 Jun 24 Enroll'!M$1,FALSE)-VLOOKUP($A142,EnrollData2324,'2324 Jun 24 Enroll'!J$1,FALSE)='District Calculations'!$F$16+'District Calculations'!$F$25-'District Calculations'!$F$17,VLOOKUP($A142,EnrollData2324,'2324 Jun 24 Enroll'!I$1,FALSE)+VLOOKUP($A142,EnrollData2324,'2324 Jun 24 Enroll'!M$1,FALSE)-VLOOKUP($A142,EnrollData2324,'2324 Jun 24 Enroll'!J$1,FALSE),'District Calculations'!$F$16+'District Calculations'!$F$25-'District Calculations'!$F$17)*Apport_216A2425,3)</f>
        <v>59.057000000000002</v>
      </c>
      <c r="J142">
        <f>ROUND(SUM(D142:I142)/(IF(VLOOKUP($A142,EnrollData2324,'2324 Jun 24 Enroll'!M$1,FALSE)='District Calculations'!$F$25,VLOOKUP($A142,EnrollData2324,'2324 Jun 24 Enroll'!M$1,FALSE),'District Calculations'!$F$25)+IF(VLOOKUP($A142,EnrollData2324,'2324 Jun 24 Enroll'!D$1,FALSE)='District Calculations'!$F$11,VLOOKUP($A142,EnrollData2324,'2324 Jun 24 Enroll'!D$1,FALSE),'District Calculations'!$F$11)),5)</f>
        <v>5.6520000000000001E-2</v>
      </c>
      <c r="K142" s="11">
        <f t="shared" si="30"/>
        <v>4.385E-3</v>
      </c>
      <c r="L142">
        <f>ROUND(IF(VLOOKUP($A142,EnrollData2324,'2324 Jun 24 Enroll'!D$1,FALSE)='District Calculations'!$F$11,VLOOKUP($A142,EnrollData2324,'2324 Jun 24 Enroll'!D$1,FALSE),'District Calculations'!$F$11)*K142,3)</f>
        <v>0</v>
      </c>
      <c r="M142">
        <f>ROUND(IF(VLOOKUP($A142,EnrollData2324,'2324 Jun 24 Enroll'!E$1,FALSE)='District Calculations'!$F$12,VLOOKUP($A142,EnrollData2324,'2324 Jun 24 Enroll'!E$1,FALSE),'District Calculations'!$F$12)*K142,3)</f>
        <v>3.5539999999999998</v>
      </c>
      <c r="N142">
        <f>ROUND(IF(VLOOKUP($A142,EnrollData2324,'2324 Jun 24 Enroll'!F$1,FALSE)='District Calculations'!$F$13,VLOOKUP($A142,EnrollData2324,'2324 Jun 24 Enroll'!F$1,FALSE),'District Calculations'!$F$13)*Apport_223A2425,3)</f>
        <v>0.84599999999999997</v>
      </c>
      <c r="O142">
        <f>ROUND(IF(VLOOKUP($A142,EnrollData2324,'2324 Jun 24 Enroll'!G$1,FALSE)='District Calculations'!$F$14,VLOOKUP($A142,EnrollData2324,'2324 Jun 24 Enroll'!G$1,FALSE),'District Calculations'!$F$14)*Apport_211A2425,3)</f>
        <v>1.877</v>
      </c>
      <c r="P142">
        <f>ROUND(IF(VLOOKUP($A142,EnrollData2324,'2324 Jun 24 Enroll'!H$1,FALSE)='District Calculations'!$F$14,VLOOKUP($A142,EnrollData2324,'2324 Jun 24 Enroll'!H$1,FALSE),'District Calculations'!$F$14)*Apport_214A2425,3)</f>
        <v>1.875</v>
      </c>
      <c r="Q142">
        <f>ROUND(IF(VLOOKUP($A142,EnrollData2324,'2324 Jun 24 Enroll'!I$1,FALSE)+VLOOKUP($A142,EnrollData2324,'2324 Jun 24 Enroll'!M$1,FALSE)-VLOOKUP($A142,EnrollData2324,'2324 Jun 24 Enroll'!J$1,FALSE)='District Calculations'!$F$16+'District Calculations'!$F$25-'District Calculations'!$F$17,VLOOKUP($A142,EnrollData2324,'2324 Jun 24 Enroll'!I$1,FALSE)+VLOOKUP($A142,EnrollData2324,'2324 Jun 24 Enroll'!M$1,FALSE)-VLOOKUP($A142,EnrollData2324,'2324 Jun 24 Enroll'!J$1,FALSE),'District Calculations'!$F$16+'District Calculations'!$F$25-'District Calculations'!$F$17)*Apport_217A2425,3)</f>
        <v>4.7130000000000001</v>
      </c>
      <c r="R142">
        <f>ROUND(SUM(L142:Q142)/IF(VLOOKUP($A142,EnrollData2324,'2324 Jun 24 Enroll'!M$1,FALSE)+VLOOKUP($A142,EnrollData2324,'2324 Jun 24 Enroll'!D$1,FALSE)='District Calculations'!$F$25+'District Calculations'!$F$11,VLOOKUP($A142,EnrollData2324,'2324 Jun 24 Enroll'!M$1,FALSE)+VLOOKUP($A142,EnrollData2324,'2324 Jun 24 Enroll'!D$1,FALSE),'District Calculations'!$F$25+'District Calculations'!$F$11),5)</f>
        <v>4.1200000000000004E-3</v>
      </c>
      <c r="S142" s="11">
        <f t="shared" si="31"/>
        <v>1.8734299999999999E-2</v>
      </c>
      <c r="T142">
        <f>ROUND(IF(VLOOKUP($A142,EnrollData2324,'2324 Jun 24 Enroll'!D$1,FALSE)='District Calculations'!$F$11,VLOOKUP($A142,EnrollData2324,'2324 Jun 24 Enroll'!D$1,FALSE),'District Calculations'!$F$11)*S142,3)</f>
        <v>0</v>
      </c>
      <c r="U142">
        <f>ROUND(IF(VLOOKUP($A142,EnrollData2324,'2324 Jun 24 Enroll'!E$1,FALSE)='District Calculations'!$F$12,VLOOKUP($A142,EnrollData2324,'2324 Jun 24 Enroll'!E$1,FALSE),'District Calculations'!$F$12)*S142,3)</f>
        <v>15.183999999999999</v>
      </c>
      <c r="V142">
        <f>ROUND(IF(VLOOKUP($A142,EnrollData2324,'2324 Jun 24 Enroll'!F$1,FALSE)='District Calculations'!$F$13,VLOOKUP($A142,EnrollData2324,'2324 Jun 24 Enroll'!F$1,FALSE),'District Calculations'!$F$13)*Apport_224A2425,3)</f>
        <v>3.7109999999999999</v>
      </c>
      <c r="W142">
        <f>ROUND(IF(VLOOKUP($A142,EnrollData2324,'2324 Jun 24 Enroll'!G$1,FALSE)='District Calculations'!$F$14,VLOOKUP($A142,EnrollData2324,'2324 Jun 24 Enroll'!G$1,FALSE),'District Calculations'!$F$14)*Apport_212A2425,3)</f>
        <v>8.2279999999999998</v>
      </c>
      <c r="X142">
        <f>ROUND(IF(VLOOKUP($A142,EnrollData2324,'2324 Jun 24 Enroll'!H$1,FALSE)='District Calculations'!$F$14,VLOOKUP($A142,EnrollData2324,'2324 Jun 24 Enroll'!H$1,FALSE),'District Calculations'!$F$14)*Apport_215A2425,3)</f>
        <v>8.1180000000000003</v>
      </c>
      <c r="Y142">
        <f>ROUND(IF(VLOOKUP($A142,EnrollData2324,'2324 Jun 24 Enroll'!I$1,FALSE)+VLOOKUP($A142,EnrollData2324,'2324 Jun 24 Enroll'!M$1,FALSE)-VLOOKUP($A142,EnrollData2324,'2324 Jun 24 Enroll'!J$1,FALSE)='District Calculations'!$F$16+'District Calculations'!$F$25-'District Calculations'!$F$17,VLOOKUP($A142,EnrollData2324,'2324 Jun 24 Enroll'!I$1,FALSE)+VLOOKUP($A142,EnrollData2324,'2324 Jun 24 Enroll'!M$1,FALSE)-VLOOKUP($A142,EnrollData2324,'2324 Jun 24 Enroll'!J$1,FALSE),'District Calculations'!$F$16+'District Calculations'!$F$25-'District Calculations'!$F$17)*Apport_218A2425,3)</f>
        <v>20.257999999999999</v>
      </c>
      <c r="Z142">
        <f>ROUND(SUM(T142:Y142)/IF(VLOOKUP($A142,EnrollData2324,'2324 Jun 24 Enroll'!M$1,FALSE)+VLOOKUP($A142,EnrollData2324,'2324 Jun 24 Enroll'!D$1,FALSE)='District Calculations'!$F$25+'District Calculations'!$F$11,VLOOKUP($A142,EnrollData2324,'2324 Jun 24 Enroll'!M$1,FALSE)+VLOOKUP($A142,EnrollData2324,'2324 Jun 24 Enroll'!D$1,FALSE),'District Calculations'!$F$25+'District Calculations'!$F$11),5)</f>
        <v>1.7780000000000001E-2</v>
      </c>
      <c r="AA142" s="6">
        <f>ROUND($J142*CIS_Base_Salary2425*VLOOKUP($A142,EnrollData2324,'2324 Jun 24 Enroll'!AH$1,FALSE),2)</f>
        <v>5029.96</v>
      </c>
      <c r="AB142" s="6">
        <f>ROUND($J142*CIS_Inc_Salary2425*(VLOOKUP($A142,EnrollData2324,'2324 Jun 24 Enroll'!AI$1,FALSE)+VLOOKUP($A142,EnrollData2324,'2324 Jun 24 Enroll'!AJ$1,FALSE)),2)-AA142</f>
        <v>186.07999999999993</v>
      </c>
      <c r="AC142" s="6" cm="1">
        <f t="array" ref="AC142">ROUND($R142*CAS_Base_Salary2425*VLOOKUP($A142,EnrollData2324,'2324 Jun 24 Enroll'!AH$1,FALSE),2)</f>
        <v>544.26</v>
      </c>
      <c r="AD142" s="6">
        <f>ROUND($R142*CAS_Inc_Salary2425*VLOOKUP($A142,EnrollData2324,'2324 Jun 24 Enroll'!AI$1,FALSE),2)-AC142</f>
        <v>20.129999999999995</v>
      </c>
      <c r="AE142" s="6">
        <f>ROUND($Z142*CLS_Base_Salary2425*VLOOKUP($A142,EnrollData2324,'2324 Jun 24 Enroll'!AH$1,FALSE),2)</f>
        <v>1135.0999999999999</v>
      </c>
      <c r="AF142" s="6">
        <f>ROUND($Z142*CLS_Inc_Salary2425*VLOOKUP($A142,EnrollData2324,'2324 Jun 24 Enroll'!AI$1,FALSE),2)-AE142</f>
        <v>42.009999999999991</v>
      </c>
      <c r="AG142" cm="1">
        <f t="array" ref="AG142">ROUND(($J142+$R142)*Apport_124X2425,2)</f>
        <v>800.45</v>
      </c>
      <c r="AH142" s="69" cm="1">
        <f t="array" ref="AH142">ROUND(($J142+$R142)*Apport_621X2425*Apport_125XC2425,2)-AG142</f>
        <v>73.899999999999977</v>
      </c>
      <c r="AI142" cm="1">
        <f t="array" ref="AI142">ROUND($Z142*Apport_124X2425,2)</f>
        <v>234.7</v>
      </c>
      <c r="AJ142">
        <f t="shared" si="32"/>
        <v>124.71000000000004</v>
      </c>
      <c r="AK142">
        <f t="shared" si="33"/>
        <v>1011.72</v>
      </c>
      <c r="AL142">
        <f t="shared" si="34"/>
        <v>36.11</v>
      </c>
      <c r="AM142">
        <f t="shared" si="35"/>
        <v>245.86</v>
      </c>
      <c r="AN142">
        <f t="shared" si="36"/>
        <v>7.63</v>
      </c>
      <c r="AO142">
        <f>ROUND(($J142*CIS_Inc_Salary2425*(VLOOKUP($A142,EnrollData2324,'2324 Jun 24 Enroll'!AI$1,FALSE)+VLOOKUP($A142,EnrollData2324,'2324 Jun 24 Enroll'!AJ$1,FALSE))/Apport_613Xpd)*Apport_614Xpd,2)</f>
        <v>86.93</v>
      </c>
      <c r="AP142">
        <f t="shared" si="37"/>
        <v>15.22</v>
      </c>
      <c r="AQ142">
        <f t="shared" si="38"/>
        <v>31.48</v>
      </c>
      <c r="AR142" s="6">
        <f>ROUND((VLOOKUP($A142,EnrollData2324,'2324 Jun 24 Enroll'!D$1,FALSE)*Apport_M802425+VLOOKUP($A142,EnrollData2324,'2324 Jun 24 Enroll'!M$1,FALSE)*Apport_M802425+(VLOOKUP($A142,EnrollData2324,'2324 Jun 24 Enroll'!P$1,FALSE)+VLOOKUP($A142,EnrollData2324,'2324 Jun 24 Enroll'!Q$1,FALSE)+VLOOKUP($A142,EnrollData2324,'2324 Jun 24 Enroll'!R$1,FALSE)+VLOOKUP($A142,EnrollData2324,'2324 Jun 24 Enroll'!I$1,FALSE)+VLOOKUP($A142,EnrollData2324,'2324 Jun 24 Enroll'!N$1,FALSE)+VLOOKUP($A142,EnrollData2324,'2324 Jun 24 Enroll'!O$1,FALSE)+VLOOKUP($A142,EnrollData2324,'2324 Jun 24 Enroll'!K$1,FALSE)+VLOOKUP($A142,EnrollData2324,'2324 Jun 24 Enroll'!L$1,FALSE))*Apport_M812425)/(VLOOKUP($A142,EnrollData2324,'2324 Jun 24 Enroll'!M$1,FALSE)+VLOOKUP($A142,EnrollData2324,'2324 Jun 24 Enroll'!D$1,FALSE)),2)</f>
        <v>1533.02</v>
      </c>
      <c r="AS142" s="7">
        <f t="shared" si="39"/>
        <v>11159.27</v>
      </c>
    </row>
    <row r="143" spans="1:45">
      <c r="A143" s="40" t="s">
        <v>1014</v>
      </c>
      <c r="B143" s="40" t="s">
        <v>1031</v>
      </c>
      <c r="C143" s="11">
        <f>ROUND((IFERROR((1/IF(VLOOKUP($A143,EnrollData2324,28,FALSE)='District Calculations'!$F$10,VLOOKUP($A143,EnrollData2324,28,FALSE),'District Calculations'!$F$10))*(1+Apport_Z315),0))+Apport_201A2425,6)</f>
        <v>7.4580999999999995E-2</v>
      </c>
      <c r="D143">
        <f>ROUND(IF(VLOOKUP($A143,EnrollData2324,'2324 Jun 24 Enroll'!D$1,FALSE)='District Calculations'!$F$11,VLOOKUP($A143,EnrollData2324,'2324 Jun 24 Enroll'!D$1,FALSE),'District Calculations'!$F$11)*C143,3)</f>
        <v>0</v>
      </c>
      <c r="E143">
        <f>ROUND(IF(VLOOKUP($A143,EnrollData2324,'2324 Jun 24 Enroll'!E$1,FALSE)='District Calculations'!$F$12,VLOOKUP($A143,EnrollData2324,'2324 Jun 24 Enroll'!E$1,FALSE),'District Calculations'!$F$12)*C143,3)</f>
        <v>60.447000000000003</v>
      </c>
      <c r="F143">
        <f>ROUND(IF(VLOOKUP($A143,EnrollData2324,'2324 Jun 24 Enroll'!F$1,FALSE)='District Calculations'!$F$13,VLOOKUP($A143,EnrollData2324,'2324 Jun 24 Enroll'!F$1,FALSE),'District Calculations'!$F$13)*Apport_222A2425,3)</f>
        <v>10.337999999999999</v>
      </c>
      <c r="G143">
        <f>ROUND(IF(VLOOKUP($A143,EnrollData2324,'2324 Jun 24 Enroll'!G$1,FALSE)='District Calculations'!$F$14,VLOOKUP($A143,EnrollData2324,'2324 Jun 24 Enroll'!G$1,FALSE),'District Calculations'!$F$14)*Apport_210A2425,3)</f>
        <v>22.92</v>
      </c>
      <c r="H143">
        <f>ROUND(IF(VLOOKUP($A143,EnrollData2324,'2324 Jun 24 Enroll'!H$1,FALSE)='District Calculations'!$F$15,VLOOKUP($A143,EnrollData2324,'2324 Jun 24 Enroll'!H$1,FALSE),'District Calculations'!$F$15)*Apport_213A2425,3)</f>
        <v>23.619</v>
      </c>
      <c r="I143">
        <f>ROUND(IF(VLOOKUP($A143,EnrollData2324,'2324 Jun 24 Enroll'!I$1,FALSE)+VLOOKUP($A143,EnrollData2324,'2324 Jun 24 Enroll'!M$1,FALSE)-VLOOKUP($A143,EnrollData2324,'2324 Jun 24 Enroll'!J$1,FALSE)='District Calculations'!$F$16+'District Calculations'!$F$25-'District Calculations'!$F$17,VLOOKUP($A143,EnrollData2324,'2324 Jun 24 Enroll'!I$1,FALSE)+VLOOKUP($A143,EnrollData2324,'2324 Jun 24 Enroll'!M$1,FALSE)-VLOOKUP($A143,EnrollData2324,'2324 Jun 24 Enroll'!J$1,FALSE),'District Calculations'!$F$16+'District Calculations'!$F$25-'District Calculations'!$F$17)*Apport_216A2425,3)</f>
        <v>59.057000000000002</v>
      </c>
      <c r="J143">
        <f>ROUND(SUM(D143:I143)/(IF(VLOOKUP($A143,EnrollData2324,'2324 Jun 24 Enroll'!M$1,FALSE)='District Calculations'!$F$25,VLOOKUP($A143,EnrollData2324,'2324 Jun 24 Enroll'!M$1,FALSE),'District Calculations'!$F$25)+IF(VLOOKUP($A143,EnrollData2324,'2324 Jun 24 Enroll'!D$1,FALSE)='District Calculations'!$F$11,VLOOKUP($A143,EnrollData2324,'2324 Jun 24 Enroll'!D$1,FALSE),'District Calculations'!$F$11)),5)</f>
        <v>5.6520000000000001E-2</v>
      </c>
      <c r="K143" s="11">
        <f t="shared" si="30"/>
        <v>4.385E-3</v>
      </c>
      <c r="L143">
        <f>ROUND(IF(VLOOKUP($A143,EnrollData2324,'2324 Jun 24 Enroll'!D$1,FALSE)='District Calculations'!$F$11,VLOOKUP($A143,EnrollData2324,'2324 Jun 24 Enroll'!D$1,FALSE),'District Calculations'!$F$11)*K143,3)</f>
        <v>0</v>
      </c>
      <c r="M143">
        <f>ROUND(IF(VLOOKUP($A143,EnrollData2324,'2324 Jun 24 Enroll'!E$1,FALSE)='District Calculations'!$F$12,VLOOKUP($A143,EnrollData2324,'2324 Jun 24 Enroll'!E$1,FALSE),'District Calculations'!$F$12)*K143,3)</f>
        <v>3.5539999999999998</v>
      </c>
      <c r="N143">
        <f>ROUND(IF(VLOOKUP($A143,EnrollData2324,'2324 Jun 24 Enroll'!F$1,FALSE)='District Calculations'!$F$13,VLOOKUP($A143,EnrollData2324,'2324 Jun 24 Enroll'!F$1,FALSE),'District Calculations'!$F$13)*Apport_223A2425,3)</f>
        <v>0.84599999999999997</v>
      </c>
      <c r="O143">
        <f>ROUND(IF(VLOOKUP($A143,EnrollData2324,'2324 Jun 24 Enroll'!G$1,FALSE)='District Calculations'!$F$14,VLOOKUP($A143,EnrollData2324,'2324 Jun 24 Enroll'!G$1,FALSE),'District Calculations'!$F$14)*Apport_211A2425,3)</f>
        <v>1.877</v>
      </c>
      <c r="P143">
        <f>ROUND(IF(VLOOKUP($A143,EnrollData2324,'2324 Jun 24 Enroll'!H$1,FALSE)='District Calculations'!$F$14,VLOOKUP($A143,EnrollData2324,'2324 Jun 24 Enroll'!H$1,FALSE),'District Calculations'!$F$14)*Apport_214A2425,3)</f>
        <v>1.875</v>
      </c>
      <c r="Q143">
        <f>ROUND(IF(VLOOKUP($A143,EnrollData2324,'2324 Jun 24 Enroll'!I$1,FALSE)+VLOOKUP($A143,EnrollData2324,'2324 Jun 24 Enroll'!M$1,FALSE)-VLOOKUP($A143,EnrollData2324,'2324 Jun 24 Enroll'!J$1,FALSE)='District Calculations'!$F$16+'District Calculations'!$F$25-'District Calculations'!$F$17,VLOOKUP($A143,EnrollData2324,'2324 Jun 24 Enroll'!I$1,FALSE)+VLOOKUP($A143,EnrollData2324,'2324 Jun 24 Enroll'!M$1,FALSE)-VLOOKUP($A143,EnrollData2324,'2324 Jun 24 Enroll'!J$1,FALSE),'District Calculations'!$F$16+'District Calculations'!$F$25-'District Calculations'!$F$17)*Apport_217A2425,3)</f>
        <v>4.7130000000000001</v>
      </c>
      <c r="R143">
        <f>ROUND(SUM(L143:Q143)/IF(VLOOKUP($A143,EnrollData2324,'2324 Jun 24 Enroll'!M$1,FALSE)+VLOOKUP($A143,EnrollData2324,'2324 Jun 24 Enroll'!D$1,FALSE)='District Calculations'!$F$25+'District Calculations'!$F$11,VLOOKUP($A143,EnrollData2324,'2324 Jun 24 Enroll'!M$1,FALSE)+VLOOKUP($A143,EnrollData2324,'2324 Jun 24 Enroll'!D$1,FALSE),'District Calculations'!$F$25+'District Calculations'!$F$11),5)</f>
        <v>4.1200000000000004E-3</v>
      </c>
      <c r="S143" s="11">
        <f t="shared" si="31"/>
        <v>1.8734299999999999E-2</v>
      </c>
      <c r="T143">
        <f>ROUND(IF(VLOOKUP($A143,EnrollData2324,'2324 Jun 24 Enroll'!D$1,FALSE)='District Calculations'!$F$11,VLOOKUP($A143,EnrollData2324,'2324 Jun 24 Enroll'!D$1,FALSE),'District Calculations'!$F$11)*S143,3)</f>
        <v>0</v>
      </c>
      <c r="U143">
        <f>ROUND(IF(VLOOKUP($A143,EnrollData2324,'2324 Jun 24 Enroll'!E$1,FALSE)='District Calculations'!$F$12,VLOOKUP($A143,EnrollData2324,'2324 Jun 24 Enroll'!E$1,FALSE),'District Calculations'!$F$12)*S143,3)</f>
        <v>15.183999999999999</v>
      </c>
      <c r="V143">
        <f>ROUND(IF(VLOOKUP($A143,EnrollData2324,'2324 Jun 24 Enroll'!F$1,FALSE)='District Calculations'!$F$13,VLOOKUP($A143,EnrollData2324,'2324 Jun 24 Enroll'!F$1,FALSE),'District Calculations'!$F$13)*Apport_224A2425,3)</f>
        <v>3.7109999999999999</v>
      </c>
      <c r="W143">
        <f>ROUND(IF(VLOOKUP($A143,EnrollData2324,'2324 Jun 24 Enroll'!G$1,FALSE)='District Calculations'!$F$14,VLOOKUP($A143,EnrollData2324,'2324 Jun 24 Enroll'!G$1,FALSE),'District Calculations'!$F$14)*Apport_212A2425,3)</f>
        <v>8.2279999999999998</v>
      </c>
      <c r="X143">
        <f>ROUND(IF(VLOOKUP($A143,EnrollData2324,'2324 Jun 24 Enroll'!H$1,FALSE)='District Calculations'!$F$14,VLOOKUP($A143,EnrollData2324,'2324 Jun 24 Enroll'!H$1,FALSE),'District Calculations'!$F$14)*Apport_215A2425,3)</f>
        <v>8.1180000000000003</v>
      </c>
      <c r="Y143">
        <f>ROUND(IF(VLOOKUP($A143,EnrollData2324,'2324 Jun 24 Enroll'!I$1,FALSE)+VLOOKUP($A143,EnrollData2324,'2324 Jun 24 Enroll'!M$1,FALSE)-VLOOKUP($A143,EnrollData2324,'2324 Jun 24 Enroll'!J$1,FALSE)='District Calculations'!$F$16+'District Calculations'!$F$25-'District Calculations'!$F$17,VLOOKUP($A143,EnrollData2324,'2324 Jun 24 Enroll'!I$1,FALSE)+VLOOKUP($A143,EnrollData2324,'2324 Jun 24 Enroll'!M$1,FALSE)-VLOOKUP($A143,EnrollData2324,'2324 Jun 24 Enroll'!J$1,FALSE),'District Calculations'!$F$16+'District Calculations'!$F$25-'District Calculations'!$F$17)*Apport_218A2425,3)</f>
        <v>20.257999999999999</v>
      </c>
      <c r="Z143">
        <f>ROUND(SUM(T143:Y143)/IF(VLOOKUP($A143,EnrollData2324,'2324 Jun 24 Enroll'!M$1,FALSE)+VLOOKUP($A143,EnrollData2324,'2324 Jun 24 Enroll'!D$1,FALSE)='District Calculations'!$F$25+'District Calculations'!$F$11,VLOOKUP($A143,EnrollData2324,'2324 Jun 24 Enroll'!M$1,FALSE)+VLOOKUP($A143,EnrollData2324,'2324 Jun 24 Enroll'!D$1,FALSE),'District Calculations'!$F$25+'District Calculations'!$F$11),5)</f>
        <v>1.7780000000000001E-2</v>
      </c>
      <c r="AA143" s="6">
        <f>ROUND($J143*CIS_Base_Salary2425*VLOOKUP($A143,EnrollData2324,'2324 Jun 24 Enroll'!AH$1,FALSE),2)</f>
        <v>5029.96</v>
      </c>
      <c r="AB143" s="6">
        <f>ROUND($J143*CIS_Inc_Salary2425*(VLOOKUP($A143,EnrollData2324,'2324 Jun 24 Enroll'!AI$1,FALSE)+VLOOKUP($A143,EnrollData2324,'2324 Jun 24 Enroll'!AJ$1,FALSE)),2)-AA143</f>
        <v>186.07999999999993</v>
      </c>
      <c r="AC143" s="6" cm="1">
        <f t="array" ref="AC143">ROUND($R143*CAS_Base_Salary2425*VLOOKUP($A143,EnrollData2324,'2324 Jun 24 Enroll'!AH$1,FALSE),2)</f>
        <v>544.26</v>
      </c>
      <c r="AD143" s="6">
        <f>ROUND($R143*CAS_Inc_Salary2425*VLOOKUP($A143,EnrollData2324,'2324 Jun 24 Enroll'!AI$1,FALSE),2)-AC143</f>
        <v>20.129999999999995</v>
      </c>
      <c r="AE143" s="6">
        <f>ROUND($Z143*CLS_Base_Salary2425*VLOOKUP($A143,EnrollData2324,'2324 Jun 24 Enroll'!AH$1,FALSE),2)</f>
        <v>1135.0999999999999</v>
      </c>
      <c r="AF143" s="6">
        <f>ROUND($Z143*CLS_Inc_Salary2425*VLOOKUP($A143,EnrollData2324,'2324 Jun 24 Enroll'!AI$1,FALSE),2)-AE143</f>
        <v>42.009999999999991</v>
      </c>
      <c r="AG143" cm="1">
        <f t="array" ref="AG143">ROUND(($J143+$R143)*Apport_124X2425,2)</f>
        <v>800.45</v>
      </c>
      <c r="AH143" s="69" cm="1">
        <f t="array" ref="AH143">ROUND(($J143+$R143)*Apport_621X2425*Apport_125XC2425,2)-AG143</f>
        <v>73.899999999999977</v>
      </c>
      <c r="AI143" cm="1">
        <f t="array" ref="AI143">ROUND($Z143*Apport_124X2425,2)</f>
        <v>234.7</v>
      </c>
      <c r="AJ143">
        <f t="shared" si="32"/>
        <v>124.71000000000004</v>
      </c>
      <c r="AK143">
        <f t="shared" si="33"/>
        <v>1011.72</v>
      </c>
      <c r="AL143">
        <f t="shared" si="34"/>
        <v>36.11</v>
      </c>
      <c r="AM143">
        <f t="shared" si="35"/>
        <v>245.86</v>
      </c>
      <c r="AN143">
        <f t="shared" si="36"/>
        <v>7.63</v>
      </c>
      <c r="AO143">
        <f>ROUND(($J143*CIS_Inc_Salary2425*(VLOOKUP($A143,EnrollData2324,'2324 Jun 24 Enroll'!AI$1,FALSE)+VLOOKUP($A143,EnrollData2324,'2324 Jun 24 Enroll'!AJ$1,FALSE))/Apport_613Xpd)*Apport_614Xpd,2)</f>
        <v>86.93</v>
      </c>
      <c r="AP143">
        <f t="shared" si="37"/>
        <v>15.22</v>
      </c>
      <c r="AQ143">
        <f t="shared" si="38"/>
        <v>31.48</v>
      </c>
      <c r="AR143" s="6">
        <f>ROUND((VLOOKUP($A143,EnrollData2324,'2324 Jun 24 Enroll'!D$1,FALSE)*Apport_M802425+VLOOKUP($A143,EnrollData2324,'2324 Jun 24 Enroll'!M$1,FALSE)*Apport_M802425+(VLOOKUP($A143,EnrollData2324,'2324 Jun 24 Enroll'!P$1,FALSE)+VLOOKUP($A143,EnrollData2324,'2324 Jun 24 Enroll'!Q$1,FALSE)+VLOOKUP($A143,EnrollData2324,'2324 Jun 24 Enroll'!R$1,FALSE)+VLOOKUP($A143,EnrollData2324,'2324 Jun 24 Enroll'!I$1,FALSE)+VLOOKUP($A143,EnrollData2324,'2324 Jun 24 Enroll'!N$1,FALSE)+VLOOKUP($A143,EnrollData2324,'2324 Jun 24 Enroll'!O$1,FALSE)+VLOOKUP($A143,EnrollData2324,'2324 Jun 24 Enroll'!K$1,FALSE)+VLOOKUP($A143,EnrollData2324,'2324 Jun 24 Enroll'!L$1,FALSE))*Apport_M812425)/(VLOOKUP($A143,EnrollData2324,'2324 Jun 24 Enroll'!M$1,FALSE)+VLOOKUP($A143,EnrollData2324,'2324 Jun 24 Enroll'!D$1,FALSE)),2)</f>
        <v>1737.05</v>
      </c>
      <c r="AS143" s="7">
        <f t="shared" si="39"/>
        <v>11363.3</v>
      </c>
    </row>
    <row r="144" spans="1:45">
      <c r="A144" s="40" t="s">
        <v>1091</v>
      </c>
      <c r="B144" s="40" t="s">
        <v>1092</v>
      </c>
      <c r="C144" s="11">
        <f>ROUND((IFERROR((1/IF(VLOOKUP($A144,EnrollData2324,28,FALSE)='District Calculations'!$F$10,VLOOKUP($A144,EnrollData2324,28,FALSE),'District Calculations'!$F$10))*(1+Apport_Z315),0))+Apport_201A2425,6)</f>
        <v>7.4580999999999995E-2</v>
      </c>
      <c r="D144">
        <f>ROUND(IF(VLOOKUP($A144,EnrollData2324,'2324 Jun 24 Enroll'!D$1,FALSE)='District Calculations'!$F$11,VLOOKUP($A144,EnrollData2324,'2324 Jun 24 Enroll'!D$1,FALSE),'District Calculations'!$F$11)*C144,3)</f>
        <v>0</v>
      </c>
      <c r="E144">
        <f>ROUND(IF(VLOOKUP($A144,EnrollData2324,'2324 Jun 24 Enroll'!E$1,FALSE)='District Calculations'!$F$12,VLOOKUP($A144,EnrollData2324,'2324 Jun 24 Enroll'!E$1,FALSE),'District Calculations'!$F$12)*C144,3)</f>
        <v>60.447000000000003</v>
      </c>
      <c r="F144">
        <f>ROUND(IF(VLOOKUP($A144,EnrollData2324,'2324 Jun 24 Enroll'!F$1,FALSE)='District Calculations'!$F$13,VLOOKUP($A144,EnrollData2324,'2324 Jun 24 Enroll'!F$1,FALSE),'District Calculations'!$F$13)*Apport_222A2425,3)</f>
        <v>10.337999999999999</v>
      </c>
      <c r="G144">
        <f>ROUND(IF(VLOOKUP($A144,EnrollData2324,'2324 Jun 24 Enroll'!G$1,FALSE)='District Calculations'!$F$14,VLOOKUP($A144,EnrollData2324,'2324 Jun 24 Enroll'!G$1,FALSE),'District Calculations'!$F$14)*Apport_210A2425,3)</f>
        <v>22.92</v>
      </c>
      <c r="H144">
        <f>ROUND(IF(VLOOKUP($A144,EnrollData2324,'2324 Jun 24 Enroll'!H$1,FALSE)='District Calculations'!$F$15,VLOOKUP($A144,EnrollData2324,'2324 Jun 24 Enroll'!H$1,FALSE),'District Calculations'!$F$15)*Apport_213A2425,3)</f>
        <v>23.619</v>
      </c>
      <c r="I144">
        <f>ROUND(IF(VLOOKUP($A144,EnrollData2324,'2324 Jun 24 Enroll'!I$1,FALSE)+VLOOKUP($A144,EnrollData2324,'2324 Jun 24 Enroll'!M$1,FALSE)-VLOOKUP($A144,EnrollData2324,'2324 Jun 24 Enroll'!J$1,FALSE)='District Calculations'!$F$16+'District Calculations'!$F$25-'District Calculations'!$F$17,VLOOKUP($A144,EnrollData2324,'2324 Jun 24 Enroll'!I$1,FALSE)+VLOOKUP($A144,EnrollData2324,'2324 Jun 24 Enroll'!M$1,FALSE)-VLOOKUP($A144,EnrollData2324,'2324 Jun 24 Enroll'!J$1,FALSE),'District Calculations'!$F$16+'District Calculations'!$F$25-'District Calculations'!$F$17)*Apport_216A2425,3)</f>
        <v>59.057000000000002</v>
      </c>
      <c r="J144">
        <f>ROUND(SUM(D144:I144)/(IF(VLOOKUP($A144,EnrollData2324,'2324 Jun 24 Enroll'!M$1,FALSE)='District Calculations'!$F$25,VLOOKUP($A144,EnrollData2324,'2324 Jun 24 Enroll'!M$1,FALSE),'District Calculations'!$F$25)+IF(VLOOKUP($A144,EnrollData2324,'2324 Jun 24 Enroll'!D$1,FALSE)='District Calculations'!$F$11,VLOOKUP($A144,EnrollData2324,'2324 Jun 24 Enroll'!D$1,FALSE),'District Calculations'!$F$11)),5)</f>
        <v>5.6520000000000001E-2</v>
      </c>
      <c r="K144" s="11">
        <f t="shared" si="30"/>
        <v>4.385E-3</v>
      </c>
      <c r="L144">
        <f>ROUND(IF(VLOOKUP($A144,EnrollData2324,'2324 Jun 24 Enroll'!D$1,FALSE)='District Calculations'!$F$11,VLOOKUP($A144,EnrollData2324,'2324 Jun 24 Enroll'!D$1,FALSE),'District Calculations'!$F$11)*K144,3)</f>
        <v>0</v>
      </c>
      <c r="M144">
        <f>ROUND(IF(VLOOKUP($A144,EnrollData2324,'2324 Jun 24 Enroll'!E$1,FALSE)='District Calculations'!$F$12,VLOOKUP($A144,EnrollData2324,'2324 Jun 24 Enroll'!E$1,FALSE),'District Calculations'!$F$12)*K144,3)</f>
        <v>3.5539999999999998</v>
      </c>
      <c r="N144">
        <f>ROUND(IF(VLOOKUP($A144,EnrollData2324,'2324 Jun 24 Enroll'!F$1,FALSE)='District Calculations'!$F$13,VLOOKUP($A144,EnrollData2324,'2324 Jun 24 Enroll'!F$1,FALSE),'District Calculations'!$F$13)*Apport_223A2425,3)</f>
        <v>0.84599999999999997</v>
      </c>
      <c r="O144">
        <f>ROUND(IF(VLOOKUP($A144,EnrollData2324,'2324 Jun 24 Enroll'!G$1,FALSE)='District Calculations'!$F$14,VLOOKUP($A144,EnrollData2324,'2324 Jun 24 Enroll'!G$1,FALSE),'District Calculations'!$F$14)*Apport_211A2425,3)</f>
        <v>1.877</v>
      </c>
      <c r="P144">
        <f>ROUND(IF(VLOOKUP($A144,EnrollData2324,'2324 Jun 24 Enroll'!H$1,FALSE)='District Calculations'!$F$14,VLOOKUP($A144,EnrollData2324,'2324 Jun 24 Enroll'!H$1,FALSE),'District Calculations'!$F$14)*Apport_214A2425,3)</f>
        <v>1.875</v>
      </c>
      <c r="Q144">
        <f>ROUND(IF(VLOOKUP($A144,EnrollData2324,'2324 Jun 24 Enroll'!I$1,FALSE)+VLOOKUP($A144,EnrollData2324,'2324 Jun 24 Enroll'!M$1,FALSE)-VLOOKUP($A144,EnrollData2324,'2324 Jun 24 Enroll'!J$1,FALSE)='District Calculations'!$F$16+'District Calculations'!$F$25-'District Calculations'!$F$17,VLOOKUP($A144,EnrollData2324,'2324 Jun 24 Enroll'!I$1,FALSE)+VLOOKUP($A144,EnrollData2324,'2324 Jun 24 Enroll'!M$1,FALSE)-VLOOKUP($A144,EnrollData2324,'2324 Jun 24 Enroll'!J$1,FALSE),'District Calculations'!$F$16+'District Calculations'!$F$25-'District Calculations'!$F$17)*Apport_217A2425,3)</f>
        <v>4.7130000000000001</v>
      </c>
      <c r="R144">
        <f>ROUND(SUM(L144:Q144)/IF(VLOOKUP($A144,EnrollData2324,'2324 Jun 24 Enroll'!M$1,FALSE)+VLOOKUP($A144,EnrollData2324,'2324 Jun 24 Enroll'!D$1,FALSE)='District Calculations'!$F$25+'District Calculations'!$F$11,VLOOKUP($A144,EnrollData2324,'2324 Jun 24 Enroll'!M$1,FALSE)+VLOOKUP($A144,EnrollData2324,'2324 Jun 24 Enroll'!D$1,FALSE),'District Calculations'!$F$25+'District Calculations'!$F$11),5)</f>
        <v>4.1200000000000004E-3</v>
      </c>
      <c r="S144" s="11">
        <f t="shared" si="31"/>
        <v>1.8734299999999999E-2</v>
      </c>
      <c r="T144">
        <f>ROUND(IF(VLOOKUP($A144,EnrollData2324,'2324 Jun 24 Enroll'!D$1,FALSE)='District Calculations'!$F$11,VLOOKUP($A144,EnrollData2324,'2324 Jun 24 Enroll'!D$1,FALSE),'District Calculations'!$F$11)*S144,3)</f>
        <v>0</v>
      </c>
      <c r="U144">
        <f>ROUND(IF(VLOOKUP($A144,EnrollData2324,'2324 Jun 24 Enroll'!E$1,FALSE)='District Calculations'!$F$12,VLOOKUP($A144,EnrollData2324,'2324 Jun 24 Enroll'!E$1,FALSE),'District Calculations'!$F$12)*S144,3)</f>
        <v>15.183999999999999</v>
      </c>
      <c r="V144">
        <f>ROUND(IF(VLOOKUP($A144,EnrollData2324,'2324 Jun 24 Enroll'!F$1,FALSE)='District Calculations'!$F$13,VLOOKUP($A144,EnrollData2324,'2324 Jun 24 Enroll'!F$1,FALSE),'District Calculations'!$F$13)*Apport_224A2425,3)</f>
        <v>3.7109999999999999</v>
      </c>
      <c r="W144">
        <f>ROUND(IF(VLOOKUP($A144,EnrollData2324,'2324 Jun 24 Enroll'!G$1,FALSE)='District Calculations'!$F$14,VLOOKUP($A144,EnrollData2324,'2324 Jun 24 Enroll'!G$1,FALSE),'District Calculations'!$F$14)*Apport_212A2425,3)</f>
        <v>8.2279999999999998</v>
      </c>
      <c r="X144">
        <f>ROUND(IF(VLOOKUP($A144,EnrollData2324,'2324 Jun 24 Enroll'!H$1,FALSE)='District Calculations'!$F$14,VLOOKUP($A144,EnrollData2324,'2324 Jun 24 Enroll'!H$1,FALSE),'District Calculations'!$F$14)*Apport_215A2425,3)</f>
        <v>8.1180000000000003</v>
      </c>
      <c r="Y144">
        <f>ROUND(IF(VLOOKUP($A144,EnrollData2324,'2324 Jun 24 Enroll'!I$1,FALSE)+VLOOKUP($A144,EnrollData2324,'2324 Jun 24 Enroll'!M$1,FALSE)-VLOOKUP($A144,EnrollData2324,'2324 Jun 24 Enroll'!J$1,FALSE)='District Calculations'!$F$16+'District Calculations'!$F$25-'District Calculations'!$F$17,VLOOKUP($A144,EnrollData2324,'2324 Jun 24 Enroll'!I$1,FALSE)+VLOOKUP($A144,EnrollData2324,'2324 Jun 24 Enroll'!M$1,FALSE)-VLOOKUP($A144,EnrollData2324,'2324 Jun 24 Enroll'!J$1,FALSE),'District Calculations'!$F$16+'District Calculations'!$F$25-'District Calculations'!$F$17)*Apport_218A2425,3)</f>
        <v>20.257999999999999</v>
      </c>
      <c r="Z144">
        <f>ROUND(SUM(T144:Y144)/IF(VLOOKUP($A144,EnrollData2324,'2324 Jun 24 Enroll'!M$1,FALSE)+VLOOKUP($A144,EnrollData2324,'2324 Jun 24 Enroll'!D$1,FALSE)='District Calculations'!$F$25+'District Calculations'!$F$11,VLOOKUP($A144,EnrollData2324,'2324 Jun 24 Enroll'!M$1,FALSE)+VLOOKUP($A144,EnrollData2324,'2324 Jun 24 Enroll'!D$1,FALSE),'District Calculations'!$F$25+'District Calculations'!$F$11),5)</f>
        <v>1.7780000000000001E-2</v>
      </c>
      <c r="AA144" s="6">
        <f>ROUND($J144*CIS_Base_Salary2425*VLOOKUP($A144,EnrollData2324,'2324 Jun 24 Enroll'!AH$1,FALSE),2)</f>
        <v>5029.96</v>
      </c>
      <c r="AB144" s="6">
        <f>ROUND($J144*CIS_Inc_Salary2425*(VLOOKUP($A144,EnrollData2324,'2324 Jun 24 Enroll'!AI$1,FALSE)+VLOOKUP($A144,EnrollData2324,'2324 Jun 24 Enroll'!AJ$1,FALSE)),2)-AA144</f>
        <v>186.07999999999993</v>
      </c>
      <c r="AC144" s="6" cm="1">
        <f t="array" ref="AC144">ROUND($R144*CAS_Base_Salary2425*VLOOKUP($A144,EnrollData2324,'2324 Jun 24 Enroll'!AH$1,FALSE),2)</f>
        <v>544.26</v>
      </c>
      <c r="AD144" s="6">
        <f>ROUND($R144*CAS_Inc_Salary2425*VLOOKUP($A144,EnrollData2324,'2324 Jun 24 Enroll'!AI$1,FALSE),2)-AC144</f>
        <v>20.129999999999995</v>
      </c>
      <c r="AE144" s="6">
        <f>ROUND($Z144*CLS_Base_Salary2425*VLOOKUP($A144,EnrollData2324,'2324 Jun 24 Enroll'!AH$1,FALSE),2)</f>
        <v>1135.0999999999999</v>
      </c>
      <c r="AF144" s="6">
        <f>ROUND($Z144*CLS_Inc_Salary2425*VLOOKUP($A144,EnrollData2324,'2324 Jun 24 Enroll'!AI$1,FALSE),2)-AE144</f>
        <v>42.009999999999991</v>
      </c>
      <c r="AG144" cm="1">
        <f t="array" ref="AG144">ROUND(($J144+$R144)*Apport_124X2425,2)</f>
        <v>800.45</v>
      </c>
      <c r="AH144" s="69" cm="1">
        <f t="array" ref="AH144">ROUND(($J144+$R144)*Apport_621X2425*Apport_125XC2425,2)-AG144</f>
        <v>73.899999999999977</v>
      </c>
      <c r="AI144" cm="1">
        <f t="array" ref="AI144">ROUND($Z144*Apport_124X2425,2)</f>
        <v>234.7</v>
      </c>
      <c r="AJ144">
        <f t="shared" si="32"/>
        <v>124.71000000000004</v>
      </c>
      <c r="AK144">
        <f t="shared" si="33"/>
        <v>1011.72</v>
      </c>
      <c r="AL144">
        <f t="shared" si="34"/>
        <v>36.11</v>
      </c>
      <c r="AM144">
        <f t="shared" si="35"/>
        <v>245.86</v>
      </c>
      <c r="AN144">
        <f t="shared" si="36"/>
        <v>7.63</v>
      </c>
      <c r="AO144">
        <f>ROUND(($J144*CIS_Inc_Salary2425*(VLOOKUP($A144,EnrollData2324,'2324 Jun 24 Enroll'!AI$1,FALSE)+VLOOKUP($A144,EnrollData2324,'2324 Jun 24 Enroll'!AJ$1,FALSE))/Apport_613Xpd)*Apport_614Xpd,2)</f>
        <v>86.93</v>
      </c>
      <c r="AP144">
        <f t="shared" si="37"/>
        <v>15.22</v>
      </c>
      <c r="AQ144">
        <f t="shared" si="38"/>
        <v>31.48</v>
      </c>
      <c r="AR144" s="6">
        <f>ROUND((VLOOKUP($A144,EnrollData2324,'2324 Jun 24 Enroll'!D$1,FALSE)*Apport_M802425+VLOOKUP($A144,EnrollData2324,'2324 Jun 24 Enroll'!M$1,FALSE)*Apport_M802425+(VLOOKUP($A144,EnrollData2324,'2324 Jun 24 Enroll'!P$1,FALSE)+VLOOKUP($A144,EnrollData2324,'2324 Jun 24 Enroll'!Q$1,FALSE)+VLOOKUP($A144,EnrollData2324,'2324 Jun 24 Enroll'!R$1,FALSE)+VLOOKUP($A144,EnrollData2324,'2324 Jun 24 Enroll'!I$1,FALSE)+VLOOKUP($A144,EnrollData2324,'2324 Jun 24 Enroll'!N$1,FALSE)+VLOOKUP($A144,EnrollData2324,'2324 Jun 24 Enroll'!O$1,FALSE)+VLOOKUP($A144,EnrollData2324,'2324 Jun 24 Enroll'!K$1,FALSE)+VLOOKUP($A144,EnrollData2324,'2324 Jun 24 Enroll'!L$1,FALSE))*Apport_M812425)/(VLOOKUP($A144,EnrollData2324,'2324 Jun 24 Enroll'!M$1,FALSE)+VLOOKUP($A144,EnrollData2324,'2324 Jun 24 Enroll'!D$1,FALSE)),2)</f>
        <v>1533.02</v>
      </c>
      <c r="AS144" s="7">
        <f t="shared" si="39"/>
        <v>11159.27</v>
      </c>
    </row>
    <row r="145" spans="1:45">
      <c r="A145" s="40" t="s">
        <v>347</v>
      </c>
      <c r="B145" s="40" t="s">
        <v>348</v>
      </c>
      <c r="C145" s="11">
        <f>ROUND((IFERROR((1/IF(VLOOKUP($A145,EnrollData2324,28,FALSE)='District Calculations'!$F$10,VLOOKUP($A145,EnrollData2324,28,FALSE),'District Calculations'!$F$10))*(1+Apport_Z315),0))+Apport_201A2425,6)</f>
        <v>7.4580999999999995E-2</v>
      </c>
      <c r="D145">
        <f>ROUND(IF(VLOOKUP($A145,EnrollData2324,'2324 Jun 24 Enroll'!D$1,FALSE)='District Calculations'!$F$11,VLOOKUP($A145,EnrollData2324,'2324 Jun 24 Enroll'!D$1,FALSE),'District Calculations'!$F$11)*C145,3)</f>
        <v>0</v>
      </c>
      <c r="E145">
        <f>ROUND(IF(VLOOKUP($A145,EnrollData2324,'2324 Jun 24 Enroll'!E$1,FALSE)='District Calculations'!$F$12,VLOOKUP($A145,EnrollData2324,'2324 Jun 24 Enroll'!E$1,FALSE),'District Calculations'!$F$12)*C145,3)</f>
        <v>60.447000000000003</v>
      </c>
      <c r="F145">
        <f>ROUND(IF(VLOOKUP($A145,EnrollData2324,'2324 Jun 24 Enroll'!F$1,FALSE)='District Calculations'!$F$13,VLOOKUP($A145,EnrollData2324,'2324 Jun 24 Enroll'!F$1,FALSE),'District Calculations'!$F$13)*Apport_222A2425,3)</f>
        <v>10.337999999999999</v>
      </c>
      <c r="G145">
        <f>ROUND(IF(VLOOKUP($A145,EnrollData2324,'2324 Jun 24 Enroll'!G$1,FALSE)='District Calculations'!$F$14,VLOOKUP($A145,EnrollData2324,'2324 Jun 24 Enroll'!G$1,FALSE),'District Calculations'!$F$14)*Apport_210A2425,3)</f>
        <v>22.92</v>
      </c>
      <c r="H145">
        <f>ROUND(IF(VLOOKUP($A145,EnrollData2324,'2324 Jun 24 Enroll'!H$1,FALSE)='District Calculations'!$F$15,VLOOKUP($A145,EnrollData2324,'2324 Jun 24 Enroll'!H$1,FALSE),'District Calculations'!$F$15)*Apport_213A2425,3)</f>
        <v>23.619</v>
      </c>
      <c r="I145">
        <f>ROUND(IF(VLOOKUP($A145,EnrollData2324,'2324 Jun 24 Enroll'!I$1,FALSE)+VLOOKUP($A145,EnrollData2324,'2324 Jun 24 Enroll'!M$1,FALSE)-VLOOKUP($A145,EnrollData2324,'2324 Jun 24 Enroll'!J$1,FALSE)='District Calculations'!$F$16+'District Calculations'!$F$25-'District Calculations'!$F$17,VLOOKUP($A145,EnrollData2324,'2324 Jun 24 Enroll'!I$1,FALSE)+VLOOKUP($A145,EnrollData2324,'2324 Jun 24 Enroll'!M$1,FALSE)-VLOOKUP($A145,EnrollData2324,'2324 Jun 24 Enroll'!J$1,FALSE),'District Calculations'!$F$16+'District Calculations'!$F$25-'District Calculations'!$F$17)*Apport_216A2425,3)</f>
        <v>59.057000000000002</v>
      </c>
      <c r="J145">
        <f>ROUND(SUM(D145:I145)/(IF(VLOOKUP($A145,EnrollData2324,'2324 Jun 24 Enroll'!M$1,FALSE)='District Calculations'!$F$25,VLOOKUP($A145,EnrollData2324,'2324 Jun 24 Enroll'!M$1,FALSE),'District Calculations'!$F$25)+IF(VLOOKUP($A145,EnrollData2324,'2324 Jun 24 Enroll'!D$1,FALSE)='District Calculations'!$F$11,VLOOKUP($A145,EnrollData2324,'2324 Jun 24 Enroll'!D$1,FALSE),'District Calculations'!$F$11)),5)</f>
        <v>5.6520000000000001E-2</v>
      </c>
      <c r="K145" s="11">
        <f t="shared" si="30"/>
        <v>4.385E-3</v>
      </c>
      <c r="L145">
        <f>ROUND(IF(VLOOKUP($A145,EnrollData2324,'2324 Jun 24 Enroll'!D$1,FALSE)='District Calculations'!$F$11,VLOOKUP($A145,EnrollData2324,'2324 Jun 24 Enroll'!D$1,FALSE),'District Calculations'!$F$11)*K145,3)</f>
        <v>0</v>
      </c>
      <c r="M145">
        <f>ROUND(IF(VLOOKUP($A145,EnrollData2324,'2324 Jun 24 Enroll'!E$1,FALSE)='District Calculations'!$F$12,VLOOKUP($A145,EnrollData2324,'2324 Jun 24 Enroll'!E$1,FALSE),'District Calculations'!$F$12)*K145,3)</f>
        <v>3.5539999999999998</v>
      </c>
      <c r="N145">
        <f>ROUND(IF(VLOOKUP($A145,EnrollData2324,'2324 Jun 24 Enroll'!F$1,FALSE)='District Calculations'!$F$13,VLOOKUP($A145,EnrollData2324,'2324 Jun 24 Enroll'!F$1,FALSE),'District Calculations'!$F$13)*Apport_223A2425,3)</f>
        <v>0.84599999999999997</v>
      </c>
      <c r="O145">
        <f>ROUND(IF(VLOOKUP($A145,EnrollData2324,'2324 Jun 24 Enroll'!G$1,FALSE)='District Calculations'!$F$14,VLOOKUP($A145,EnrollData2324,'2324 Jun 24 Enroll'!G$1,FALSE),'District Calculations'!$F$14)*Apport_211A2425,3)</f>
        <v>1.877</v>
      </c>
      <c r="P145">
        <f>ROUND(IF(VLOOKUP($A145,EnrollData2324,'2324 Jun 24 Enroll'!H$1,FALSE)='District Calculations'!$F$14,VLOOKUP($A145,EnrollData2324,'2324 Jun 24 Enroll'!H$1,FALSE),'District Calculations'!$F$14)*Apport_214A2425,3)</f>
        <v>1.875</v>
      </c>
      <c r="Q145">
        <f>ROUND(IF(VLOOKUP($A145,EnrollData2324,'2324 Jun 24 Enroll'!I$1,FALSE)+VLOOKUP($A145,EnrollData2324,'2324 Jun 24 Enroll'!M$1,FALSE)-VLOOKUP($A145,EnrollData2324,'2324 Jun 24 Enroll'!J$1,FALSE)='District Calculations'!$F$16+'District Calculations'!$F$25-'District Calculations'!$F$17,VLOOKUP($A145,EnrollData2324,'2324 Jun 24 Enroll'!I$1,FALSE)+VLOOKUP($A145,EnrollData2324,'2324 Jun 24 Enroll'!M$1,FALSE)-VLOOKUP($A145,EnrollData2324,'2324 Jun 24 Enroll'!J$1,FALSE),'District Calculations'!$F$16+'District Calculations'!$F$25-'District Calculations'!$F$17)*Apport_217A2425,3)</f>
        <v>4.7130000000000001</v>
      </c>
      <c r="R145">
        <f>ROUND(SUM(L145:Q145)/IF(VLOOKUP($A145,EnrollData2324,'2324 Jun 24 Enroll'!M$1,FALSE)+VLOOKUP($A145,EnrollData2324,'2324 Jun 24 Enroll'!D$1,FALSE)='District Calculations'!$F$25+'District Calculations'!$F$11,VLOOKUP($A145,EnrollData2324,'2324 Jun 24 Enroll'!M$1,FALSE)+VLOOKUP($A145,EnrollData2324,'2324 Jun 24 Enroll'!D$1,FALSE),'District Calculations'!$F$25+'District Calculations'!$F$11),5)</f>
        <v>4.1200000000000004E-3</v>
      </c>
      <c r="S145" s="11">
        <f t="shared" si="31"/>
        <v>1.8734299999999999E-2</v>
      </c>
      <c r="T145">
        <f>ROUND(IF(VLOOKUP($A145,EnrollData2324,'2324 Jun 24 Enroll'!D$1,FALSE)='District Calculations'!$F$11,VLOOKUP($A145,EnrollData2324,'2324 Jun 24 Enroll'!D$1,FALSE),'District Calculations'!$F$11)*S145,3)</f>
        <v>0</v>
      </c>
      <c r="U145">
        <f>ROUND(IF(VLOOKUP($A145,EnrollData2324,'2324 Jun 24 Enroll'!E$1,FALSE)='District Calculations'!$F$12,VLOOKUP($A145,EnrollData2324,'2324 Jun 24 Enroll'!E$1,FALSE),'District Calculations'!$F$12)*S145,3)</f>
        <v>15.183999999999999</v>
      </c>
      <c r="V145">
        <f>ROUND(IF(VLOOKUP($A145,EnrollData2324,'2324 Jun 24 Enroll'!F$1,FALSE)='District Calculations'!$F$13,VLOOKUP($A145,EnrollData2324,'2324 Jun 24 Enroll'!F$1,FALSE),'District Calculations'!$F$13)*Apport_224A2425,3)</f>
        <v>3.7109999999999999</v>
      </c>
      <c r="W145">
        <f>ROUND(IF(VLOOKUP($A145,EnrollData2324,'2324 Jun 24 Enroll'!G$1,FALSE)='District Calculations'!$F$14,VLOOKUP($A145,EnrollData2324,'2324 Jun 24 Enroll'!G$1,FALSE),'District Calculations'!$F$14)*Apport_212A2425,3)</f>
        <v>8.2279999999999998</v>
      </c>
      <c r="X145">
        <f>ROUND(IF(VLOOKUP($A145,EnrollData2324,'2324 Jun 24 Enroll'!H$1,FALSE)='District Calculations'!$F$14,VLOOKUP($A145,EnrollData2324,'2324 Jun 24 Enroll'!H$1,FALSE),'District Calculations'!$F$14)*Apport_215A2425,3)</f>
        <v>8.1180000000000003</v>
      </c>
      <c r="Y145">
        <f>ROUND(IF(VLOOKUP($A145,EnrollData2324,'2324 Jun 24 Enroll'!I$1,FALSE)+VLOOKUP($A145,EnrollData2324,'2324 Jun 24 Enroll'!M$1,FALSE)-VLOOKUP($A145,EnrollData2324,'2324 Jun 24 Enroll'!J$1,FALSE)='District Calculations'!$F$16+'District Calculations'!$F$25-'District Calculations'!$F$17,VLOOKUP($A145,EnrollData2324,'2324 Jun 24 Enroll'!I$1,FALSE)+VLOOKUP($A145,EnrollData2324,'2324 Jun 24 Enroll'!M$1,FALSE)-VLOOKUP($A145,EnrollData2324,'2324 Jun 24 Enroll'!J$1,FALSE),'District Calculations'!$F$16+'District Calculations'!$F$25-'District Calculations'!$F$17)*Apport_218A2425,3)</f>
        <v>20.257999999999999</v>
      </c>
      <c r="Z145">
        <f>ROUND(SUM(T145:Y145)/IF(VLOOKUP($A145,EnrollData2324,'2324 Jun 24 Enroll'!M$1,FALSE)+VLOOKUP($A145,EnrollData2324,'2324 Jun 24 Enroll'!D$1,FALSE)='District Calculations'!$F$25+'District Calculations'!$F$11,VLOOKUP($A145,EnrollData2324,'2324 Jun 24 Enroll'!M$1,FALSE)+VLOOKUP($A145,EnrollData2324,'2324 Jun 24 Enroll'!D$1,FALSE),'District Calculations'!$F$25+'District Calculations'!$F$11),5)</f>
        <v>1.7780000000000001E-2</v>
      </c>
      <c r="AA145" s="6">
        <f>ROUND($J145*CIS_Base_Salary2425*VLOOKUP($A145,EnrollData2324,'2324 Jun 24 Enroll'!AH$1,FALSE),2)</f>
        <v>5029.96</v>
      </c>
      <c r="AB145" s="6">
        <f>ROUND($J145*CIS_Inc_Salary2425*(VLOOKUP($A145,EnrollData2324,'2324 Jun 24 Enroll'!AI$1,FALSE)+VLOOKUP($A145,EnrollData2324,'2324 Jun 24 Enroll'!AJ$1,FALSE)),2)-AA145</f>
        <v>186.07999999999993</v>
      </c>
      <c r="AC145" s="6" cm="1">
        <f t="array" ref="AC145">ROUND($R145*CAS_Base_Salary2425*VLOOKUP($A145,EnrollData2324,'2324 Jun 24 Enroll'!AH$1,FALSE),2)</f>
        <v>544.26</v>
      </c>
      <c r="AD145" s="6">
        <f>ROUND($R145*CAS_Inc_Salary2425*VLOOKUP($A145,EnrollData2324,'2324 Jun 24 Enroll'!AI$1,FALSE),2)-AC145</f>
        <v>20.129999999999995</v>
      </c>
      <c r="AE145" s="6">
        <f>ROUND($Z145*CLS_Base_Salary2425*VLOOKUP($A145,EnrollData2324,'2324 Jun 24 Enroll'!AH$1,FALSE),2)</f>
        <v>1135.0999999999999</v>
      </c>
      <c r="AF145" s="6">
        <f>ROUND($Z145*CLS_Inc_Salary2425*VLOOKUP($A145,EnrollData2324,'2324 Jun 24 Enroll'!AI$1,FALSE),2)-AE145</f>
        <v>42.009999999999991</v>
      </c>
      <c r="AG145" cm="1">
        <f t="array" ref="AG145">ROUND(($J145+$R145)*Apport_124X2425,2)</f>
        <v>800.45</v>
      </c>
      <c r="AH145" s="69" cm="1">
        <f t="array" ref="AH145">ROUND(($J145+$R145)*Apport_621X2425*Apport_125XC2425,2)-AG145</f>
        <v>73.899999999999977</v>
      </c>
      <c r="AI145" cm="1">
        <f t="array" ref="AI145">ROUND($Z145*Apport_124X2425,2)</f>
        <v>234.7</v>
      </c>
      <c r="AJ145">
        <f t="shared" si="32"/>
        <v>124.71000000000004</v>
      </c>
      <c r="AK145">
        <f t="shared" si="33"/>
        <v>1011.72</v>
      </c>
      <c r="AL145">
        <f t="shared" si="34"/>
        <v>36.11</v>
      </c>
      <c r="AM145">
        <f t="shared" si="35"/>
        <v>245.86</v>
      </c>
      <c r="AN145">
        <f t="shared" si="36"/>
        <v>7.63</v>
      </c>
      <c r="AO145">
        <f>ROUND(($J145*CIS_Inc_Salary2425*(VLOOKUP($A145,EnrollData2324,'2324 Jun 24 Enroll'!AI$1,FALSE)+VLOOKUP($A145,EnrollData2324,'2324 Jun 24 Enroll'!AJ$1,FALSE))/Apport_613Xpd)*Apport_614Xpd,2)</f>
        <v>86.93</v>
      </c>
      <c r="AP145">
        <f t="shared" si="37"/>
        <v>15.22</v>
      </c>
      <c r="AQ145">
        <f t="shared" si="38"/>
        <v>31.48</v>
      </c>
      <c r="AR145" s="6">
        <f>ROUND((VLOOKUP($A145,EnrollData2324,'2324 Jun 24 Enroll'!D$1,FALSE)*Apport_M802425+VLOOKUP($A145,EnrollData2324,'2324 Jun 24 Enroll'!M$1,FALSE)*Apport_M802425+(VLOOKUP($A145,EnrollData2324,'2324 Jun 24 Enroll'!P$1,FALSE)+VLOOKUP($A145,EnrollData2324,'2324 Jun 24 Enroll'!Q$1,FALSE)+VLOOKUP($A145,EnrollData2324,'2324 Jun 24 Enroll'!R$1,FALSE)+VLOOKUP($A145,EnrollData2324,'2324 Jun 24 Enroll'!I$1,FALSE)+VLOOKUP($A145,EnrollData2324,'2324 Jun 24 Enroll'!N$1,FALSE)+VLOOKUP($A145,EnrollData2324,'2324 Jun 24 Enroll'!O$1,FALSE)+VLOOKUP($A145,EnrollData2324,'2324 Jun 24 Enroll'!K$1,FALSE)+VLOOKUP($A145,EnrollData2324,'2324 Jun 24 Enroll'!L$1,FALSE))*Apport_M812425)/(VLOOKUP($A145,EnrollData2324,'2324 Jun 24 Enroll'!M$1,FALSE)+VLOOKUP($A145,EnrollData2324,'2324 Jun 24 Enroll'!D$1,FALSE)),2)</f>
        <v>1607.92</v>
      </c>
      <c r="AS145" s="7">
        <f t="shared" si="39"/>
        <v>11234.17</v>
      </c>
    </row>
    <row r="146" spans="1:45">
      <c r="A146" s="40" t="s">
        <v>329</v>
      </c>
      <c r="B146" s="40" t="s">
        <v>330</v>
      </c>
      <c r="C146" s="11">
        <f>ROUND((IFERROR((1/IF(VLOOKUP($A146,EnrollData2324,28,FALSE)='District Calculations'!$F$10,VLOOKUP($A146,EnrollData2324,28,FALSE),'District Calculations'!$F$10))*(1+Apport_Z315),0))+Apport_201A2425,6)</f>
        <v>7.4580999999999995E-2</v>
      </c>
      <c r="D146">
        <f>ROUND(IF(VLOOKUP($A146,EnrollData2324,'2324 Jun 24 Enroll'!D$1,FALSE)='District Calculations'!$F$11,VLOOKUP($A146,EnrollData2324,'2324 Jun 24 Enroll'!D$1,FALSE),'District Calculations'!$F$11)*C146,3)</f>
        <v>0</v>
      </c>
      <c r="E146">
        <f>ROUND(IF(VLOOKUP($A146,EnrollData2324,'2324 Jun 24 Enroll'!E$1,FALSE)='District Calculations'!$F$12,VLOOKUP($A146,EnrollData2324,'2324 Jun 24 Enroll'!E$1,FALSE),'District Calculations'!$F$12)*C146,3)</f>
        <v>60.447000000000003</v>
      </c>
      <c r="F146">
        <f>ROUND(IF(VLOOKUP($A146,EnrollData2324,'2324 Jun 24 Enroll'!F$1,FALSE)='District Calculations'!$F$13,VLOOKUP($A146,EnrollData2324,'2324 Jun 24 Enroll'!F$1,FALSE),'District Calculations'!$F$13)*Apport_222A2425,3)</f>
        <v>10.337999999999999</v>
      </c>
      <c r="G146">
        <f>ROUND(IF(VLOOKUP($A146,EnrollData2324,'2324 Jun 24 Enroll'!G$1,FALSE)='District Calculations'!$F$14,VLOOKUP($A146,EnrollData2324,'2324 Jun 24 Enroll'!G$1,FALSE),'District Calculations'!$F$14)*Apport_210A2425,3)</f>
        <v>22.92</v>
      </c>
      <c r="H146">
        <f>ROUND(IF(VLOOKUP($A146,EnrollData2324,'2324 Jun 24 Enroll'!H$1,FALSE)='District Calculations'!$F$15,VLOOKUP($A146,EnrollData2324,'2324 Jun 24 Enroll'!H$1,FALSE),'District Calculations'!$F$15)*Apport_213A2425,3)</f>
        <v>23.619</v>
      </c>
      <c r="I146">
        <f>ROUND(IF(VLOOKUP($A146,EnrollData2324,'2324 Jun 24 Enroll'!I$1,FALSE)+VLOOKUP($A146,EnrollData2324,'2324 Jun 24 Enroll'!M$1,FALSE)-VLOOKUP($A146,EnrollData2324,'2324 Jun 24 Enroll'!J$1,FALSE)='District Calculations'!$F$16+'District Calculations'!$F$25-'District Calculations'!$F$17,VLOOKUP($A146,EnrollData2324,'2324 Jun 24 Enroll'!I$1,FALSE)+VLOOKUP($A146,EnrollData2324,'2324 Jun 24 Enroll'!M$1,FALSE)-VLOOKUP($A146,EnrollData2324,'2324 Jun 24 Enroll'!J$1,FALSE),'District Calculations'!$F$16+'District Calculations'!$F$25-'District Calculations'!$F$17)*Apport_216A2425,3)</f>
        <v>59.057000000000002</v>
      </c>
      <c r="J146">
        <f>ROUND(SUM(D146:I146)/(IF(VLOOKUP($A146,EnrollData2324,'2324 Jun 24 Enroll'!M$1,FALSE)='District Calculations'!$F$25,VLOOKUP($A146,EnrollData2324,'2324 Jun 24 Enroll'!M$1,FALSE),'District Calculations'!$F$25)+IF(VLOOKUP($A146,EnrollData2324,'2324 Jun 24 Enroll'!D$1,FALSE)='District Calculations'!$F$11,VLOOKUP($A146,EnrollData2324,'2324 Jun 24 Enroll'!D$1,FALSE),'District Calculations'!$F$11)),5)</f>
        <v>5.6520000000000001E-2</v>
      </c>
      <c r="K146" s="11">
        <f t="shared" si="30"/>
        <v>4.385E-3</v>
      </c>
      <c r="L146">
        <f>ROUND(IF(VLOOKUP($A146,EnrollData2324,'2324 Jun 24 Enroll'!D$1,FALSE)='District Calculations'!$F$11,VLOOKUP($A146,EnrollData2324,'2324 Jun 24 Enroll'!D$1,FALSE),'District Calculations'!$F$11)*K146,3)</f>
        <v>0</v>
      </c>
      <c r="M146">
        <f>ROUND(IF(VLOOKUP($A146,EnrollData2324,'2324 Jun 24 Enroll'!E$1,FALSE)='District Calculations'!$F$12,VLOOKUP($A146,EnrollData2324,'2324 Jun 24 Enroll'!E$1,FALSE),'District Calculations'!$F$12)*K146,3)</f>
        <v>3.5539999999999998</v>
      </c>
      <c r="N146">
        <f>ROUND(IF(VLOOKUP($A146,EnrollData2324,'2324 Jun 24 Enroll'!F$1,FALSE)='District Calculations'!$F$13,VLOOKUP($A146,EnrollData2324,'2324 Jun 24 Enroll'!F$1,FALSE),'District Calculations'!$F$13)*Apport_223A2425,3)</f>
        <v>0.84599999999999997</v>
      </c>
      <c r="O146">
        <f>ROUND(IF(VLOOKUP($A146,EnrollData2324,'2324 Jun 24 Enroll'!G$1,FALSE)='District Calculations'!$F$14,VLOOKUP($A146,EnrollData2324,'2324 Jun 24 Enroll'!G$1,FALSE),'District Calculations'!$F$14)*Apport_211A2425,3)</f>
        <v>1.877</v>
      </c>
      <c r="P146">
        <f>ROUND(IF(VLOOKUP($A146,EnrollData2324,'2324 Jun 24 Enroll'!H$1,FALSE)='District Calculations'!$F$14,VLOOKUP($A146,EnrollData2324,'2324 Jun 24 Enroll'!H$1,FALSE),'District Calculations'!$F$14)*Apport_214A2425,3)</f>
        <v>1.875</v>
      </c>
      <c r="Q146">
        <f>ROUND(IF(VLOOKUP($A146,EnrollData2324,'2324 Jun 24 Enroll'!I$1,FALSE)+VLOOKUP($A146,EnrollData2324,'2324 Jun 24 Enroll'!M$1,FALSE)-VLOOKUP($A146,EnrollData2324,'2324 Jun 24 Enroll'!J$1,FALSE)='District Calculations'!$F$16+'District Calculations'!$F$25-'District Calculations'!$F$17,VLOOKUP($A146,EnrollData2324,'2324 Jun 24 Enroll'!I$1,FALSE)+VLOOKUP($A146,EnrollData2324,'2324 Jun 24 Enroll'!M$1,FALSE)-VLOOKUP($A146,EnrollData2324,'2324 Jun 24 Enroll'!J$1,FALSE),'District Calculations'!$F$16+'District Calculations'!$F$25-'District Calculations'!$F$17)*Apport_217A2425,3)</f>
        <v>4.7130000000000001</v>
      </c>
      <c r="R146">
        <f>ROUND(SUM(L146:Q146)/IF(VLOOKUP($A146,EnrollData2324,'2324 Jun 24 Enroll'!M$1,FALSE)+VLOOKUP($A146,EnrollData2324,'2324 Jun 24 Enroll'!D$1,FALSE)='District Calculations'!$F$25+'District Calculations'!$F$11,VLOOKUP($A146,EnrollData2324,'2324 Jun 24 Enroll'!M$1,FALSE)+VLOOKUP($A146,EnrollData2324,'2324 Jun 24 Enroll'!D$1,FALSE),'District Calculations'!$F$25+'District Calculations'!$F$11),5)</f>
        <v>4.1200000000000004E-3</v>
      </c>
      <c r="S146" s="11">
        <f t="shared" si="31"/>
        <v>1.8734299999999999E-2</v>
      </c>
      <c r="T146">
        <f>ROUND(IF(VLOOKUP($A146,EnrollData2324,'2324 Jun 24 Enroll'!D$1,FALSE)='District Calculations'!$F$11,VLOOKUP($A146,EnrollData2324,'2324 Jun 24 Enroll'!D$1,FALSE),'District Calculations'!$F$11)*S146,3)</f>
        <v>0</v>
      </c>
      <c r="U146">
        <f>ROUND(IF(VLOOKUP($A146,EnrollData2324,'2324 Jun 24 Enroll'!E$1,FALSE)='District Calculations'!$F$12,VLOOKUP($A146,EnrollData2324,'2324 Jun 24 Enroll'!E$1,FALSE),'District Calculations'!$F$12)*S146,3)</f>
        <v>15.183999999999999</v>
      </c>
      <c r="V146">
        <f>ROUND(IF(VLOOKUP($A146,EnrollData2324,'2324 Jun 24 Enroll'!F$1,FALSE)='District Calculations'!$F$13,VLOOKUP($A146,EnrollData2324,'2324 Jun 24 Enroll'!F$1,FALSE),'District Calculations'!$F$13)*Apport_224A2425,3)</f>
        <v>3.7109999999999999</v>
      </c>
      <c r="W146">
        <f>ROUND(IF(VLOOKUP($A146,EnrollData2324,'2324 Jun 24 Enroll'!G$1,FALSE)='District Calculations'!$F$14,VLOOKUP($A146,EnrollData2324,'2324 Jun 24 Enroll'!G$1,FALSE),'District Calculations'!$F$14)*Apport_212A2425,3)</f>
        <v>8.2279999999999998</v>
      </c>
      <c r="X146">
        <f>ROUND(IF(VLOOKUP($A146,EnrollData2324,'2324 Jun 24 Enroll'!H$1,FALSE)='District Calculations'!$F$14,VLOOKUP($A146,EnrollData2324,'2324 Jun 24 Enroll'!H$1,FALSE),'District Calculations'!$F$14)*Apport_215A2425,3)</f>
        <v>8.1180000000000003</v>
      </c>
      <c r="Y146">
        <f>ROUND(IF(VLOOKUP($A146,EnrollData2324,'2324 Jun 24 Enroll'!I$1,FALSE)+VLOOKUP($A146,EnrollData2324,'2324 Jun 24 Enroll'!M$1,FALSE)-VLOOKUP($A146,EnrollData2324,'2324 Jun 24 Enroll'!J$1,FALSE)='District Calculations'!$F$16+'District Calculations'!$F$25-'District Calculations'!$F$17,VLOOKUP($A146,EnrollData2324,'2324 Jun 24 Enroll'!I$1,FALSE)+VLOOKUP($A146,EnrollData2324,'2324 Jun 24 Enroll'!M$1,FALSE)-VLOOKUP($A146,EnrollData2324,'2324 Jun 24 Enroll'!J$1,FALSE),'District Calculations'!$F$16+'District Calculations'!$F$25-'District Calculations'!$F$17)*Apport_218A2425,3)</f>
        <v>20.257999999999999</v>
      </c>
      <c r="Z146">
        <f>ROUND(SUM(T146:Y146)/IF(VLOOKUP($A146,EnrollData2324,'2324 Jun 24 Enroll'!M$1,FALSE)+VLOOKUP($A146,EnrollData2324,'2324 Jun 24 Enroll'!D$1,FALSE)='District Calculations'!$F$25+'District Calculations'!$F$11,VLOOKUP($A146,EnrollData2324,'2324 Jun 24 Enroll'!M$1,FALSE)+VLOOKUP($A146,EnrollData2324,'2324 Jun 24 Enroll'!D$1,FALSE),'District Calculations'!$F$25+'District Calculations'!$F$11),5)</f>
        <v>1.7780000000000001E-2</v>
      </c>
      <c r="AA146" s="6">
        <f>ROUND($J146*CIS_Base_Salary2425*VLOOKUP($A146,EnrollData2324,'2324 Jun 24 Enroll'!AH$1,FALSE),2)</f>
        <v>5029.96</v>
      </c>
      <c r="AB146" s="6">
        <f>ROUND($J146*CIS_Inc_Salary2425*(VLOOKUP($A146,EnrollData2324,'2324 Jun 24 Enroll'!AI$1,FALSE)+VLOOKUP($A146,EnrollData2324,'2324 Jun 24 Enroll'!AJ$1,FALSE)),2)-AA146</f>
        <v>362.89000000000033</v>
      </c>
      <c r="AC146" s="6" cm="1">
        <f t="array" ref="AC146">ROUND($R146*CAS_Base_Salary2425*VLOOKUP($A146,EnrollData2324,'2324 Jun 24 Enroll'!AH$1,FALSE),2)</f>
        <v>544.26</v>
      </c>
      <c r="AD146" s="6">
        <f>ROUND($R146*CAS_Inc_Salary2425*VLOOKUP($A146,EnrollData2324,'2324 Jun 24 Enroll'!AI$1,FALSE),2)-AC146</f>
        <v>20.129999999999995</v>
      </c>
      <c r="AE146" s="6">
        <f>ROUND($Z146*CLS_Base_Salary2425*VLOOKUP($A146,EnrollData2324,'2324 Jun 24 Enroll'!AH$1,FALSE),2)</f>
        <v>1135.0999999999999</v>
      </c>
      <c r="AF146" s="6">
        <f>ROUND($Z146*CLS_Inc_Salary2425*VLOOKUP($A146,EnrollData2324,'2324 Jun 24 Enroll'!AI$1,FALSE),2)-AE146</f>
        <v>42.009999999999991</v>
      </c>
      <c r="AG146" cm="1">
        <f t="array" ref="AG146">ROUND(($J146+$R146)*Apport_124X2425,2)</f>
        <v>800.45</v>
      </c>
      <c r="AH146" s="69" cm="1">
        <f t="array" ref="AH146">ROUND(($J146+$R146)*Apport_621X2425*Apport_125XC2425,2)-AG146</f>
        <v>73.899999999999977</v>
      </c>
      <c r="AI146" cm="1">
        <f t="array" ref="AI146">ROUND($Z146*Apport_124X2425,2)</f>
        <v>234.7</v>
      </c>
      <c r="AJ146">
        <f t="shared" si="32"/>
        <v>124.71000000000004</v>
      </c>
      <c r="AK146">
        <f t="shared" si="33"/>
        <v>1011.72</v>
      </c>
      <c r="AL146">
        <f t="shared" si="34"/>
        <v>67.069999999999993</v>
      </c>
      <c r="AM146">
        <f t="shared" si="35"/>
        <v>245.86</v>
      </c>
      <c r="AN146">
        <f t="shared" si="36"/>
        <v>7.63</v>
      </c>
      <c r="AO146">
        <f>ROUND(($J146*CIS_Inc_Salary2425*(VLOOKUP($A146,EnrollData2324,'2324 Jun 24 Enroll'!AI$1,FALSE)+VLOOKUP($A146,EnrollData2324,'2324 Jun 24 Enroll'!AJ$1,FALSE))/Apport_613Xpd)*Apport_614Xpd,2)</f>
        <v>89.88</v>
      </c>
      <c r="AP146">
        <f t="shared" si="37"/>
        <v>15.74</v>
      </c>
      <c r="AQ146">
        <f t="shared" si="38"/>
        <v>31.48</v>
      </c>
      <c r="AR146" s="6">
        <f>ROUND((VLOOKUP($A146,EnrollData2324,'2324 Jun 24 Enroll'!D$1,FALSE)*Apport_M802425+VLOOKUP($A146,EnrollData2324,'2324 Jun 24 Enroll'!M$1,FALSE)*Apport_M802425+(VLOOKUP($A146,EnrollData2324,'2324 Jun 24 Enroll'!P$1,FALSE)+VLOOKUP($A146,EnrollData2324,'2324 Jun 24 Enroll'!Q$1,FALSE)+VLOOKUP($A146,EnrollData2324,'2324 Jun 24 Enroll'!R$1,FALSE)+VLOOKUP($A146,EnrollData2324,'2324 Jun 24 Enroll'!I$1,FALSE)+VLOOKUP($A146,EnrollData2324,'2324 Jun 24 Enroll'!N$1,FALSE)+VLOOKUP($A146,EnrollData2324,'2324 Jun 24 Enroll'!O$1,FALSE)+VLOOKUP($A146,EnrollData2324,'2324 Jun 24 Enroll'!K$1,FALSE)+VLOOKUP($A146,EnrollData2324,'2324 Jun 24 Enroll'!L$1,FALSE))*Apport_M812425)/(VLOOKUP($A146,EnrollData2324,'2324 Jun 24 Enroll'!M$1,FALSE)+VLOOKUP($A146,EnrollData2324,'2324 Jun 24 Enroll'!D$1,FALSE)),2)</f>
        <v>1608.41</v>
      </c>
      <c r="AS146" s="7">
        <f t="shared" si="39"/>
        <v>11445.899999999998</v>
      </c>
    </row>
    <row r="147" spans="1:45">
      <c r="A147" s="40" t="s">
        <v>631</v>
      </c>
      <c r="B147" s="40" t="s">
        <v>632</v>
      </c>
      <c r="C147" s="11">
        <f>ROUND((IFERROR((1/IF(VLOOKUP($A147,EnrollData2324,28,FALSE)='District Calculations'!$F$10,VLOOKUP($A147,EnrollData2324,28,FALSE),'District Calculations'!$F$10))*(1+Apport_Z315),0))+Apport_201A2425,6)</f>
        <v>7.4580999999999995E-2</v>
      </c>
      <c r="D147">
        <f>ROUND(IF(VLOOKUP($A147,EnrollData2324,'2324 Jun 24 Enroll'!D$1,FALSE)='District Calculations'!$F$11,VLOOKUP($A147,EnrollData2324,'2324 Jun 24 Enroll'!D$1,FALSE),'District Calculations'!$F$11)*C147,3)</f>
        <v>0</v>
      </c>
      <c r="E147">
        <f>ROUND(IF(VLOOKUP($A147,EnrollData2324,'2324 Jun 24 Enroll'!E$1,FALSE)='District Calculations'!$F$12,VLOOKUP($A147,EnrollData2324,'2324 Jun 24 Enroll'!E$1,FALSE),'District Calculations'!$F$12)*C147,3)</f>
        <v>60.447000000000003</v>
      </c>
      <c r="F147">
        <f>ROUND(IF(VLOOKUP($A147,EnrollData2324,'2324 Jun 24 Enroll'!F$1,FALSE)='District Calculations'!$F$13,VLOOKUP($A147,EnrollData2324,'2324 Jun 24 Enroll'!F$1,FALSE),'District Calculations'!$F$13)*Apport_222A2425,3)</f>
        <v>10.337999999999999</v>
      </c>
      <c r="G147">
        <f>ROUND(IF(VLOOKUP($A147,EnrollData2324,'2324 Jun 24 Enroll'!G$1,FALSE)='District Calculations'!$F$14,VLOOKUP($A147,EnrollData2324,'2324 Jun 24 Enroll'!G$1,FALSE),'District Calculations'!$F$14)*Apport_210A2425,3)</f>
        <v>22.92</v>
      </c>
      <c r="H147">
        <f>ROUND(IF(VLOOKUP($A147,EnrollData2324,'2324 Jun 24 Enroll'!H$1,FALSE)='District Calculations'!$F$15,VLOOKUP($A147,EnrollData2324,'2324 Jun 24 Enroll'!H$1,FALSE),'District Calculations'!$F$15)*Apport_213A2425,3)</f>
        <v>23.619</v>
      </c>
      <c r="I147">
        <f>ROUND(IF(VLOOKUP($A147,EnrollData2324,'2324 Jun 24 Enroll'!I$1,FALSE)+VLOOKUP($A147,EnrollData2324,'2324 Jun 24 Enroll'!M$1,FALSE)-VLOOKUP($A147,EnrollData2324,'2324 Jun 24 Enroll'!J$1,FALSE)='District Calculations'!$F$16+'District Calculations'!$F$25-'District Calculations'!$F$17,VLOOKUP($A147,EnrollData2324,'2324 Jun 24 Enroll'!I$1,FALSE)+VLOOKUP($A147,EnrollData2324,'2324 Jun 24 Enroll'!M$1,FALSE)-VLOOKUP($A147,EnrollData2324,'2324 Jun 24 Enroll'!J$1,FALSE),'District Calculations'!$F$16+'District Calculations'!$F$25-'District Calculations'!$F$17)*Apport_216A2425,3)</f>
        <v>59.057000000000002</v>
      </c>
      <c r="J147">
        <f>ROUND(SUM(D147:I147)/(IF(VLOOKUP($A147,EnrollData2324,'2324 Jun 24 Enroll'!M$1,FALSE)='District Calculations'!$F$25,VLOOKUP($A147,EnrollData2324,'2324 Jun 24 Enroll'!M$1,FALSE),'District Calculations'!$F$25)+IF(VLOOKUP($A147,EnrollData2324,'2324 Jun 24 Enroll'!D$1,FALSE)='District Calculations'!$F$11,VLOOKUP($A147,EnrollData2324,'2324 Jun 24 Enroll'!D$1,FALSE),'District Calculations'!$F$11)),5)</f>
        <v>5.6520000000000001E-2</v>
      </c>
      <c r="K147" s="11">
        <f t="shared" si="30"/>
        <v>4.385E-3</v>
      </c>
      <c r="L147">
        <f>ROUND(IF(VLOOKUP($A147,EnrollData2324,'2324 Jun 24 Enroll'!D$1,FALSE)='District Calculations'!$F$11,VLOOKUP($A147,EnrollData2324,'2324 Jun 24 Enroll'!D$1,FALSE),'District Calculations'!$F$11)*K147,3)</f>
        <v>0</v>
      </c>
      <c r="M147">
        <f>ROUND(IF(VLOOKUP($A147,EnrollData2324,'2324 Jun 24 Enroll'!E$1,FALSE)='District Calculations'!$F$12,VLOOKUP($A147,EnrollData2324,'2324 Jun 24 Enroll'!E$1,FALSE),'District Calculations'!$F$12)*K147,3)</f>
        <v>3.5539999999999998</v>
      </c>
      <c r="N147">
        <f>ROUND(IF(VLOOKUP($A147,EnrollData2324,'2324 Jun 24 Enroll'!F$1,FALSE)='District Calculations'!$F$13,VLOOKUP($A147,EnrollData2324,'2324 Jun 24 Enroll'!F$1,FALSE),'District Calculations'!$F$13)*Apport_223A2425,3)</f>
        <v>0.84599999999999997</v>
      </c>
      <c r="O147">
        <f>ROUND(IF(VLOOKUP($A147,EnrollData2324,'2324 Jun 24 Enroll'!G$1,FALSE)='District Calculations'!$F$14,VLOOKUP($A147,EnrollData2324,'2324 Jun 24 Enroll'!G$1,FALSE),'District Calculations'!$F$14)*Apport_211A2425,3)</f>
        <v>1.877</v>
      </c>
      <c r="P147">
        <f>ROUND(IF(VLOOKUP($A147,EnrollData2324,'2324 Jun 24 Enroll'!H$1,FALSE)='District Calculations'!$F$14,VLOOKUP($A147,EnrollData2324,'2324 Jun 24 Enroll'!H$1,FALSE),'District Calculations'!$F$14)*Apport_214A2425,3)</f>
        <v>1.875</v>
      </c>
      <c r="Q147">
        <f>ROUND(IF(VLOOKUP($A147,EnrollData2324,'2324 Jun 24 Enroll'!I$1,FALSE)+VLOOKUP($A147,EnrollData2324,'2324 Jun 24 Enroll'!M$1,FALSE)-VLOOKUP($A147,EnrollData2324,'2324 Jun 24 Enroll'!J$1,FALSE)='District Calculations'!$F$16+'District Calculations'!$F$25-'District Calculations'!$F$17,VLOOKUP($A147,EnrollData2324,'2324 Jun 24 Enroll'!I$1,FALSE)+VLOOKUP($A147,EnrollData2324,'2324 Jun 24 Enroll'!M$1,FALSE)-VLOOKUP($A147,EnrollData2324,'2324 Jun 24 Enroll'!J$1,FALSE),'District Calculations'!$F$16+'District Calculations'!$F$25-'District Calculations'!$F$17)*Apport_217A2425,3)</f>
        <v>4.7130000000000001</v>
      </c>
      <c r="R147">
        <f>ROUND(SUM(L147:Q147)/IF(VLOOKUP($A147,EnrollData2324,'2324 Jun 24 Enroll'!M$1,FALSE)+VLOOKUP($A147,EnrollData2324,'2324 Jun 24 Enroll'!D$1,FALSE)='District Calculations'!$F$25+'District Calculations'!$F$11,VLOOKUP($A147,EnrollData2324,'2324 Jun 24 Enroll'!M$1,FALSE)+VLOOKUP($A147,EnrollData2324,'2324 Jun 24 Enroll'!D$1,FALSE),'District Calculations'!$F$25+'District Calculations'!$F$11),5)</f>
        <v>4.1200000000000004E-3</v>
      </c>
      <c r="S147" s="11">
        <f t="shared" si="31"/>
        <v>1.8734299999999999E-2</v>
      </c>
      <c r="T147">
        <f>ROUND(IF(VLOOKUP($A147,EnrollData2324,'2324 Jun 24 Enroll'!D$1,FALSE)='District Calculations'!$F$11,VLOOKUP($A147,EnrollData2324,'2324 Jun 24 Enroll'!D$1,FALSE),'District Calculations'!$F$11)*S147,3)</f>
        <v>0</v>
      </c>
      <c r="U147">
        <f>ROUND(IF(VLOOKUP($A147,EnrollData2324,'2324 Jun 24 Enroll'!E$1,FALSE)='District Calculations'!$F$12,VLOOKUP($A147,EnrollData2324,'2324 Jun 24 Enroll'!E$1,FALSE),'District Calculations'!$F$12)*S147,3)</f>
        <v>15.183999999999999</v>
      </c>
      <c r="V147">
        <f>ROUND(IF(VLOOKUP($A147,EnrollData2324,'2324 Jun 24 Enroll'!F$1,FALSE)='District Calculations'!$F$13,VLOOKUP($A147,EnrollData2324,'2324 Jun 24 Enroll'!F$1,FALSE),'District Calculations'!$F$13)*Apport_224A2425,3)</f>
        <v>3.7109999999999999</v>
      </c>
      <c r="W147">
        <f>ROUND(IF(VLOOKUP($A147,EnrollData2324,'2324 Jun 24 Enroll'!G$1,FALSE)='District Calculations'!$F$14,VLOOKUP($A147,EnrollData2324,'2324 Jun 24 Enroll'!G$1,FALSE),'District Calculations'!$F$14)*Apport_212A2425,3)</f>
        <v>8.2279999999999998</v>
      </c>
      <c r="X147">
        <f>ROUND(IF(VLOOKUP($A147,EnrollData2324,'2324 Jun 24 Enroll'!H$1,FALSE)='District Calculations'!$F$14,VLOOKUP($A147,EnrollData2324,'2324 Jun 24 Enroll'!H$1,FALSE),'District Calculations'!$F$14)*Apport_215A2425,3)</f>
        <v>8.1180000000000003</v>
      </c>
      <c r="Y147">
        <f>ROUND(IF(VLOOKUP($A147,EnrollData2324,'2324 Jun 24 Enroll'!I$1,FALSE)+VLOOKUP($A147,EnrollData2324,'2324 Jun 24 Enroll'!M$1,FALSE)-VLOOKUP($A147,EnrollData2324,'2324 Jun 24 Enroll'!J$1,FALSE)='District Calculations'!$F$16+'District Calculations'!$F$25-'District Calculations'!$F$17,VLOOKUP($A147,EnrollData2324,'2324 Jun 24 Enroll'!I$1,FALSE)+VLOOKUP($A147,EnrollData2324,'2324 Jun 24 Enroll'!M$1,FALSE)-VLOOKUP($A147,EnrollData2324,'2324 Jun 24 Enroll'!J$1,FALSE),'District Calculations'!$F$16+'District Calculations'!$F$25-'District Calculations'!$F$17)*Apport_218A2425,3)</f>
        <v>20.257999999999999</v>
      </c>
      <c r="Z147">
        <f>ROUND(SUM(T147:Y147)/IF(VLOOKUP($A147,EnrollData2324,'2324 Jun 24 Enroll'!M$1,FALSE)+VLOOKUP($A147,EnrollData2324,'2324 Jun 24 Enroll'!D$1,FALSE)='District Calculations'!$F$25+'District Calculations'!$F$11,VLOOKUP($A147,EnrollData2324,'2324 Jun 24 Enroll'!M$1,FALSE)+VLOOKUP($A147,EnrollData2324,'2324 Jun 24 Enroll'!D$1,FALSE),'District Calculations'!$F$25+'District Calculations'!$F$11),5)</f>
        <v>1.7780000000000001E-2</v>
      </c>
      <c r="AA147" s="6">
        <f>ROUND($J147*CIS_Base_Salary2425*VLOOKUP($A147,EnrollData2324,'2324 Jun 24 Enroll'!AH$1,FALSE),2)</f>
        <v>5029.96</v>
      </c>
      <c r="AB147" s="6">
        <f>ROUND($J147*CIS_Inc_Salary2425*(VLOOKUP($A147,EnrollData2324,'2324 Jun 24 Enroll'!AI$1,FALSE)+VLOOKUP($A147,EnrollData2324,'2324 Jun 24 Enroll'!AJ$1,FALSE)),2)-AA147</f>
        <v>362.89000000000033</v>
      </c>
      <c r="AC147" s="6" cm="1">
        <f t="array" ref="AC147">ROUND($R147*CAS_Base_Salary2425*VLOOKUP($A147,EnrollData2324,'2324 Jun 24 Enroll'!AH$1,FALSE),2)</f>
        <v>544.26</v>
      </c>
      <c r="AD147" s="6">
        <f>ROUND($R147*CAS_Inc_Salary2425*VLOOKUP($A147,EnrollData2324,'2324 Jun 24 Enroll'!AI$1,FALSE),2)-AC147</f>
        <v>20.129999999999995</v>
      </c>
      <c r="AE147" s="6">
        <f>ROUND($Z147*CLS_Base_Salary2425*VLOOKUP($A147,EnrollData2324,'2324 Jun 24 Enroll'!AH$1,FALSE),2)</f>
        <v>1135.0999999999999</v>
      </c>
      <c r="AF147" s="6">
        <f>ROUND($Z147*CLS_Inc_Salary2425*VLOOKUP($A147,EnrollData2324,'2324 Jun 24 Enroll'!AI$1,FALSE),2)-AE147</f>
        <v>42.009999999999991</v>
      </c>
      <c r="AG147" cm="1">
        <f t="array" ref="AG147">ROUND(($J147+$R147)*Apport_124X2425,2)</f>
        <v>800.45</v>
      </c>
      <c r="AH147" s="69" cm="1">
        <f t="array" ref="AH147">ROUND(($J147+$R147)*Apport_621X2425*Apport_125XC2425,2)-AG147</f>
        <v>73.899999999999977</v>
      </c>
      <c r="AI147" cm="1">
        <f t="array" ref="AI147">ROUND($Z147*Apport_124X2425,2)</f>
        <v>234.7</v>
      </c>
      <c r="AJ147">
        <f t="shared" si="32"/>
        <v>124.71000000000004</v>
      </c>
      <c r="AK147">
        <f t="shared" si="33"/>
        <v>1011.72</v>
      </c>
      <c r="AL147">
        <f t="shared" si="34"/>
        <v>67.069999999999993</v>
      </c>
      <c r="AM147">
        <f t="shared" si="35"/>
        <v>245.86</v>
      </c>
      <c r="AN147">
        <f t="shared" si="36"/>
        <v>7.63</v>
      </c>
      <c r="AO147">
        <f>ROUND(($J147*CIS_Inc_Salary2425*(VLOOKUP($A147,EnrollData2324,'2324 Jun 24 Enroll'!AI$1,FALSE)+VLOOKUP($A147,EnrollData2324,'2324 Jun 24 Enroll'!AJ$1,FALSE))/Apport_613Xpd)*Apport_614Xpd,2)</f>
        <v>89.88</v>
      </c>
      <c r="AP147">
        <f t="shared" si="37"/>
        <v>15.74</v>
      </c>
      <c r="AQ147">
        <f t="shared" si="38"/>
        <v>31.48</v>
      </c>
      <c r="AR147" s="6">
        <f>ROUND((VLOOKUP($A147,EnrollData2324,'2324 Jun 24 Enroll'!D$1,FALSE)*Apport_M802425+VLOOKUP($A147,EnrollData2324,'2324 Jun 24 Enroll'!M$1,FALSE)*Apport_M802425+(VLOOKUP($A147,EnrollData2324,'2324 Jun 24 Enroll'!P$1,FALSE)+VLOOKUP($A147,EnrollData2324,'2324 Jun 24 Enroll'!Q$1,FALSE)+VLOOKUP($A147,EnrollData2324,'2324 Jun 24 Enroll'!R$1,FALSE)+VLOOKUP($A147,EnrollData2324,'2324 Jun 24 Enroll'!I$1,FALSE)+VLOOKUP($A147,EnrollData2324,'2324 Jun 24 Enroll'!N$1,FALSE)+VLOOKUP($A147,EnrollData2324,'2324 Jun 24 Enroll'!O$1,FALSE)+VLOOKUP($A147,EnrollData2324,'2324 Jun 24 Enroll'!K$1,FALSE)+VLOOKUP($A147,EnrollData2324,'2324 Jun 24 Enroll'!L$1,FALSE))*Apport_M812425)/(VLOOKUP($A147,EnrollData2324,'2324 Jun 24 Enroll'!M$1,FALSE)+VLOOKUP($A147,EnrollData2324,'2324 Jun 24 Enroll'!D$1,FALSE)),2)</f>
        <v>1603.14</v>
      </c>
      <c r="AS147" s="7">
        <f t="shared" si="39"/>
        <v>11440.629999999997</v>
      </c>
    </row>
    <row r="148" spans="1:45">
      <c r="A148" s="40" t="s">
        <v>370</v>
      </c>
      <c r="B148" s="40" t="s">
        <v>371</v>
      </c>
      <c r="C148" s="11">
        <f>ROUND((IFERROR((1/IF(VLOOKUP($A148,EnrollData2324,28,FALSE)='District Calculations'!$F$10,VLOOKUP($A148,EnrollData2324,28,FALSE),'District Calculations'!$F$10))*(1+Apport_Z315),0))+Apport_201A2425,6)</f>
        <v>7.4580999999999995E-2</v>
      </c>
      <c r="D148">
        <f>ROUND(IF(VLOOKUP($A148,EnrollData2324,'2324 Jun 24 Enroll'!D$1,FALSE)='District Calculations'!$F$11,VLOOKUP($A148,EnrollData2324,'2324 Jun 24 Enroll'!D$1,FALSE),'District Calculations'!$F$11)*C148,3)</f>
        <v>0</v>
      </c>
      <c r="E148">
        <f>ROUND(IF(VLOOKUP($A148,EnrollData2324,'2324 Jun 24 Enroll'!E$1,FALSE)='District Calculations'!$F$12,VLOOKUP($A148,EnrollData2324,'2324 Jun 24 Enroll'!E$1,FALSE),'District Calculations'!$F$12)*C148,3)</f>
        <v>60.447000000000003</v>
      </c>
      <c r="F148">
        <f>ROUND(IF(VLOOKUP($A148,EnrollData2324,'2324 Jun 24 Enroll'!F$1,FALSE)='District Calculations'!$F$13,VLOOKUP($A148,EnrollData2324,'2324 Jun 24 Enroll'!F$1,FALSE),'District Calculations'!$F$13)*Apport_222A2425,3)</f>
        <v>10.337999999999999</v>
      </c>
      <c r="G148">
        <f>ROUND(IF(VLOOKUP($A148,EnrollData2324,'2324 Jun 24 Enroll'!G$1,FALSE)='District Calculations'!$F$14,VLOOKUP($A148,EnrollData2324,'2324 Jun 24 Enroll'!G$1,FALSE),'District Calculations'!$F$14)*Apport_210A2425,3)</f>
        <v>22.92</v>
      </c>
      <c r="H148">
        <f>ROUND(IF(VLOOKUP($A148,EnrollData2324,'2324 Jun 24 Enroll'!H$1,FALSE)='District Calculations'!$F$15,VLOOKUP($A148,EnrollData2324,'2324 Jun 24 Enroll'!H$1,FALSE),'District Calculations'!$F$15)*Apport_213A2425,3)</f>
        <v>23.619</v>
      </c>
      <c r="I148">
        <f>ROUND(IF(VLOOKUP($A148,EnrollData2324,'2324 Jun 24 Enroll'!I$1,FALSE)+VLOOKUP($A148,EnrollData2324,'2324 Jun 24 Enroll'!M$1,FALSE)-VLOOKUP($A148,EnrollData2324,'2324 Jun 24 Enroll'!J$1,FALSE)='District Calculations'!$F$16+'District Calculations'!$F$25-'District Calculations'!$F$17,VLOOKUP($A148,EnrollData2324,'2324 Jun 24 Enroll'!I$1,FALSE)+VLOOKUP($A148,EnrollData2324,'2324 Jun 24 Enroll'!M$1,FALSE)-VLOOKUP($A148,EnrollData2324,'2324 Jun 24 Enroll'!J$1,FALSE),'District Calculations'!$F$16+'District Calculations'!$F$25-'District Calculations'!$F$17)*Apport_216A2425,3)</f>
        <v>59.057000000000002</v>
      </c>
      <c r="J148">
        <f>ROUND(SUM(D148:I148)/(IF(VLOOKUP($A148,EnrollData2324,'2324 Jun 24 Enroll'!M$1,FALSE)='District Calculations'!$F$25,VLOOKUP($A148,EnrollData2324,'2324 Jun 24 Enroll'!M$1,FALSE),'District Calculations'!$F$25)+IF(VLOOKUP($A148,EnrollData2324,'2324 Jun 24 Enroll'!D$1,FALSE)='District Calculations'!$F$11,VLOOKUP($A148,EnrollData2324,'2324 Jun 24 Enroll'!D$1,FALSE),'District Calculations'!$F$11)),5)</f>
        <v>5.6520000000000001E-2</v>
      </c>
      <c r="K148" s="11">
        <f t="shared" si="30"/>
        <v>4.385E-3</v>
      </c>
      <c r="L148">
        <f>ROUND(IF(VLOOKUP($A148,EnrollData2324,'2324 Jun 24 Enroll'!D$1,FALSE)='District Calculations'!$F$11,VLOOKUP($A148,EnrollData2324,'2324 Jun 24 Enroll'!D$1,FALSE),'District Calculations'!$F$11)*K148,3)</f>
        <v>0</v>
      </c>
      <c r="M148">
        <f>ROUND(IF(VLOOKUP($A148,EnrollData2324,'2324 Jun 24 Enroll'!E$1,FALSE)='District Calculations'!$F$12,VLOOKUP($A148,EnrollData2324,'2324 Jun 24 Enroll'!E$1,FALSE),'District Calculations'!$F$12)*K148,3)</f>
        <v>3.5539999999999998</v>
      </c>
      <c r="N148">
        <f>ROUND(IF(VLOOKUP($A148,EnrollData2324,'2324 Jun 24 Enroll'!F$1,FALSE)='District Calculations'!$F$13,VLOOKUP($A148,EnrollData2324,'2324 Jun 24 Enroll'!F$1,FALSE),'District Calculations'!$F$13)*Apport_223A2425,3)</f>
        <v>0.84599999999999997</v>
      </c>
      <c r="O148">
        <f>ROUND(IF(VLOOKUP($A148,EnrollData2324,'2324 Jun 24 Enroll'!G$1,FALSE)='District Calculations'!$F$14,VLOOKUP($A148,EnrollData2324,'2324 Jun 24 Enroll'!G$1,FALSE),'District Calculations'!$F$14)*Apport_211A2425,3)</f>
        <v>1.877</v>
      </c>
      <c r="P148">
        <f>ROUND(IF(VLOOKUP($A148,EnrollData2324,'2324 Jun 24 Enroll'!H$1,FALSE)='District Calculations'!$F$14,VLOOKUP($A148,EnrollData2324,'2324 Jun 24 Enroll'!H$1,FALSE),'District Calculations'!$F$14)*Apport_214A2425,3)</f>
        <v>1.875</v>
      </c>
      <c r="Q148">
        <f>ROUND(IF(VLOOKUP($A148,EnrollData2324,'2324 Jun 24 Enroll'!I$1,FALSE)+VLOOKUP($A148,EnrollData2324,'2324 Jun 24 Enroll'!M$1,FALSE)-VLOOKUP($A148,EnrollData2324,'2324 Jun 24 Enroll'!J$1,FALSE)='District Calculations'!$F$16+'District Calculations'!$F$25-'District Calculations'!$F$17,VLOOKUP($A148,EnrollData2324,'2324 Jun 24 Enroll'!I$1,FALSE)+VLOOKUP($A148,EnrollData2324,'2324 Jun 24 Enroll'!M$1,FALSE)-VLOOKUP($A148,EnrollData2324,'2324 Jun 24 Enroll'!J$1,FALSE),'District Calculations'!$F$16+'District Calculations'!$F$25-'District Calculations'!$F$17)*Apport_217A2425,3)</f>
        <v>4.7130000000000001</v>
      </c>
      <c r="R148">
        <f>ROUND(SUM(L148:Q148)/IF(VLOOKUP($A148,EnrollData2324,'2324 Jun 24 Enroll'!M$1,FALSE)+VLOOKUP($A148,EnrollData2324,'2324 Jun 24 Enroll'!D$1,FALSE)='District Calculations'!$F$25+'District Calculations'!$F$11,VLOOKUP($A148,EnrollData2324,'2324 Jun 24 Enroll'!M$1,FALSE)+VLOOKUP($A148,EnrollData2324,'2324 Jun 24 Enroll'!D$1,FALSE),'District Calculations'!$F$25+'District Calculations'!$F$11),5)</f>
        <v>4.1200000000000004E-3</v>
      </c>
      <c r="S148" s="11">
        <f t="shared" si="31"/>
        <v>1.8734299999999999E-2</v>
      </c>
      <c r="T148">
        <f>ROUND(IF(VLOOKUP($A148,EnrollData2324,'2324 Jun 24 Enroll'!D$1,FALSE)='District Calculations'!$F$11,VLOOKUP($A148,EnrollData2324,'2324 Jun 24 Enroll'!D$1,FALSE),'District Calculations'!$F$11)*S148,3)</f>
        <v>0</v>
      </c>
      <c r="U148">
        <f>ROUND(IF(VLOOKUP($A148,EnrollData2324,'2324 Jun 24 Enroll'!E$1,FALSE)='District Calculations'!$F$12,VLOOKUP($A148,EnrollData2324,'2324 Jun 24 Enroll'!E$1,FALSE),'District Calculations'!$F$12)*S148,3)</f>
        <v>15.183999999999999</v>
      </c>
      <c r="V148">
        <f>ROUND(IF(VLOOKUP($A148,EnrollData2324,'2324 Jun 24 Enroll'!F$1,FALSE)='District Calculations'!$F$13,VLOOKUP($A148,EnrollData2324,'2324 Jun 24 Enroll'!F$1,FALSE),'District Calculations'!$F$13)*Apport_224A2425,3)</f>
        <v>3.7109999999999999</v>
      </c>
      <c r="W148">
        <f>ROUND(IF(VLOOKUP($A148,EnrollData2324,'2324 Jun 24 Enroll'!G$1,FALSE)='District Calculations'!$F$14,VLOOKUP($A148,EnrollData2324,'2324 Jun 24 Enroll'!G$1,FALSE),'District Calculations'!$F$14)*Apport_212A2425,3)</f>
        <v>8.2279999999999998</v>
      </c>
      <c r="X148">
        <f>ROUND(IF(VLOOKUP($A148,EnrollData2324,'2324 Jun 24 Enroll'!H$1,FALSE)='District Calculations'!$F$14,VLOOKUP($A148,EnrollData2324,'2324 Jun 24 Enroll'!H$1,FALSE),'District Calculations'!$F$14)*Apport_215A2425,3)</f>
        <v>8.1180000000000003</v>
      </c>
      <c r="Y148">
        <f>ROUND(IF(VLOOKUP($A148,EnrollData2324,'2324 Jun 24 Enroll'!I$1,FALSE)+VLOOKUP($A148,EnrollData2324,'2324 Jun 24 Enroll'!M$1,FALSE)-VLOOKUP($A148,EnrollData2324,'2324 Jun 24 Enroll'!J$1,FALSE)='District Calculations'!$F$16+'District Calculations'!$F$25-'District Calculations'!$F$17,VLOOKUP($A148,EnrollData2324,'2324 Jun 24 Enroll'!I$1,FALSE)+VLOOKUP($A148,EnrollData2324,'2324 Jun 24 Enroll'!M$1,FALSE)-VLOOKUP($A148,EnrollData2324,'2324 Jun 24 Enroll'!J$1,FALSE),'District Calculations'!$F$16+'District Calculations'!$F$25-'District Calculations'!$F$17)*Apport_218A2425,3)</f>
        <v>20.257999999999999</v>
      </c>
      <c r="Z148">
        <f>ROUND(SUM(T148:Y148)/IF(VLOOKUP($A148,EnrollData2324,'2324 Jun 24 Enroll'!M$1,FALSE)+VLOOKUP($A148,EnrollData2324,'2324 Jun 24 Enroll'!D$1,FALSE)='District Calculations'!$F$25+'District Calculations'!$F$11,VLOOKUP($A148,EnrollData2324,'2324 Jun 24 Enroll'!M$1,FALSE)+VLOOKUP($A148,EnrollData2324,'2324 Jun 24 Enroll'!D$1,FALSE),'District Calculations'!$F$25+'District Calculations'!$F$11),5)</f>
        <v>1.7780000000000001E-2</v>
      </c>
      <c r="AA148" s="6">
        <f>ROUND($J148*CIS_Base_Salary2425*VLOOKUP($A148,EnrollData2324,'2324 Jun 24 Enroll'!AH$1,FALSE),2)</f>
        <v>5029.96</v>
      </c>
      <c r="AB148" s="6">
        <f>ROUND($J148*CIS_Inc_Salary2425*(VLOOKUP($A148,EnrollData2324,'2324 Jun 24 Enroll'!AI$1,FALSE)+VLOOKUP($A148,EnrollData2324,'2324 Jun 24 Enroll'!AJ$1,FALSE)),2)-AA148</f>
        <v>362.89000000000033</v>
      </c>
      <c r="AC148" s="6" cm="1">
        <f t="array" ref="AC148">ROUND($R148*CAS_Base_Salary2425*VLOOKUP($A148,EnrollData2324,'2324 Jun 24 Enroll'!AH$1,FALSE),2)</f>
        <v>544.26</v>
      </c>
      <c r="AD148" s="6">
        <f>ROUND($R148*CAS_Inc_Salary2425*VLOOKUP($A148,EnrollData2324,'2324 Jun 24 Enroll'!AI$1,FALSE),2)-AC148</f>
        <v>20.129999999999995</v>
      </c>
      <c r="AE148" s="6">
        <f>ROUND($Z148*CLS_Base_Salary2425*VLOOKUP($A148,EnrollData2324,'2324 Jun 24 Enroll'!AH$1,FALSE),2)</f>
        <v>1135.0999999999999</v>
      </c>
      <c r="AF148" s="6">
        <f>ROUND($Z148*CLS_Inc_Salary2425*VLOOKUP($A148,EnrollData2324,'2324 Jun 24 Enroll'!AI$1,FALSE),2)-AE148</f>
        <v>42.009999999999991</v>
      </c>
      <c r="AG148" cm="1">
        <f t="array" ref="AG148">ROUND(($J148+$R148)*Apport_124X2425,2)</f>
        <v>800.45</v>
      </c>
      <c r="AH148" s="69" cm="1">
        <f t="array" ref="AH148">ROUND(($J148+$R148)*Apport_621X2425*Apport_125XC2425,2)-AG148</f>
        <v>73.899999999999977</v>
      </c>
      <c r="AI148" cm="1">
        <f t="array" ref="AI148">ROUND($Z148*Apport_124X2425,2)</f>
        <v>234.7</v>
      </c>
      <c r="AJ148">
        <f t="shared" si="32"/>
        <v>124.71000000000004</v>
      </c>
      <c r="AK148">
        <f t="shared" si="33"/>
        <v>1011.72</v>
      </c>
      <c r="AL148">
        <f t="shared" si="34"/>
        <v>67.069999999999993</v>
      </c>
      <c r="AM148">
        <f t="shared" si="35"/>
        <v>245.86</v>
      </c>
      <c r="AN148">
        <f t="shared" si="36"/>
        <v>7.63</v>
      </c>
      <c r="AO148">
        <f>ROUND(($J148*CIS_Inc_Salary2425*(VLOOKUP($A148,EnrollData2324,'2324 Jun 24 Enroll'!AI$1,FALSE)+VLOOKUP($A148,EnrollData2324,'2324 Jun 24 Enroll'!AJ$1,FALSE))/Apport_613Xpd)*Apport_614Xpd,2)</f>
        <v>89.88</v>
      </c>
      <c r="AP148">
        <f t="shared" si="37"/>
        <v>15.74</v>
      </c>
      <c r="AQ148">
        <f t="shared" si="38"/>
        <v>31.48</v>
      </c>
      <c r="AR148" s="6">
        <f>ROUND((VLOOKUP($A148,EnrollData2324,'2324 Jun 24 Enroll'!D$1,FALSE)*Apport_M802425+VLOOKUP($A148,EnrollData2324,'2324 Jun 24 Enroll'!M$1,FALSE)*Apport_M802425+(VLOOKUP($A148,EnrollData2324,'2324 Jun 24 Enroll'!P$1,FALSE)+VLOOKUP($A148,EnrollData2324,'2324 Jun 24 Enroll'!Q$1,FALSE)+VLOOKUP($A148,EnrollData2324,'2324 Jun 24 Enroll'!R$1,FALSE)+VLOOKUP($A148,EnrollData2324,'2324 Jun 24 Enroll'!I$1,FALSE)+VLOOKUP($A148,EnrollData2324,'2324 Jun 24 Enroll'!N$1,FALSE)+VLOOKUP($A148,EnrollData2324,'2324 Jun 24 Enroll'!O$1,FALSE)+VLOOKUP($A148,EnrollData2324,'2324 Jun 24 Enroll'!K$1,FALSE)+VLOOKUP($A148,EnrollData2324,'2324 Jun 24 Enroll'!L$1,FALSE))*Apport_M812425)/(VLOOKUP($A148,EnrollData2324,'2324 Jun 24 Enroll'!M$1,FALSE)+VLOOKUP($A148,EnrollData2324,'2324 Jun 24 Enroll'!D$1,FALSE)),2)</f>
        <v>1602.52</v>
      </c>
      <c r="AS148" s="7">
        <f t="shared" si="39"/>
        <v>11440.009999999998</v>
      </c>
    </row>
    <row r="149" spans="1:45">
      <c r="A149" s="40" t="s">
        <v>775</v>
      </c>
      <c r="B149" s="40" t="s">
        <v>776</v>
      </c>
      <c r="C149" s="11">
        <f>ROUND((IFERROR((1/IF(VLOOKUP($A149,EnrollData2324,28,FALSE)='District Calculations'!$F$10,VLOOKUP($A149,EnrollData2324,28,FALSE),'District Calculations'!$F$10))*(1+Apport_Z315),0))+Apport_201A2425,6)</f>
        <v>7.4580999999999995E-2</v>
      </c>
      <c r="D149">
        <f>ROUND(IF(VLOOKUP($A149,EnrollData2324,'2324 Jun 24 Enroll'!D$1,FALSE)='District Calculations'!$F$11,VLOOKUP($A149,EnrollData2324,'2324 Jun 24 Enroll'!D$1,FALSE),'District Calculations'!$F$11)*C149,3)</f>
        <v>0</v>
      </c>
      <c r="E149">
        <f>ROUND(IF(VLOOKUP($A149,EnrollData2324,'2324 Jun 24 Enroll'!E$1,FALSE)='District Calculations'!$F$12,VLOOKUP($A149,EnrollData2324,'2324 Jun 24 Enroll'!E$1,FALSE),'District Calculations'!$F$12)*C149,3)</f>
        <v>60.447000000000003</v>
      </c>
      <c r="F149">
        <f>ROUND(IF(VLOOKUP($A149,EnrollData2324,'2324 Jun 24 Enroll'!F$1,FALSE)='District Calculations'!$F$13,VLOOKUP($A149,EnrollData2324,'2324 Jun 24 Enroll'!F$1,FALSE),'District Calculations'!$F$13)*Apport_222A2425,3)</f>
        <v>10.337999999999999</v>
      </c>
      <c r="G149">
        <f>ROUND(IF(VLOOKUP($A149,EnrollData2324,'2324 Jun 24 Enroll'!G$1,FALSE)='District Calculations'!$F$14,VLOOKUP($A149,EnrollData2324,'2324 Jun 24 Enroll'!G$1,FALSE),'District Calculations'!$F$14)*Apport_210A2425,3)</f>
        <v>22.92</v>
      </c>
      <c r="H149">
        <f>ROUND(IF(VLOOKUP($A149,EnrollData2324,'2324 Jun 24 Enroll'!H$1,FALSE)='District Calculations'!$F$15,VLOOKUP($A149,EnrollData2324,'2324 Jun 24 Enroll'!H$1,FALSE),'District Calculations'!$F$15)*Apport_213A2425,3)</f>
        <v>23.619</v>
      </c>
      <c r="I149">
        <f>ROUND(IF(VLOOKUP($A149,EnrollData2324,'2324 Jun 24 Enroll'!I$1,FALSE)+VLOOKUP($A149,EnrollData2324,'2324 Jun 24 Enroll'!M$1,FALSE)-VLOOKUP($A149,EnrollData2324,'2324 Jun 24 Enroll'!J$1,FALSE)='District Calculations'!$F$16+'District Calculations'!$F$25-'District Calculations'!$F$17,VLOOKUP($A149,EnrollData2324,'2324 Jun 24 Enroll'!I$1,FALSE)+VLOOKUP($A149,EnrollData2324,'2324 Jun 24 Enroll'!M$1,FALSE)-VLOOKUP($A149,EnrollData2324,'2324 Jun 24 Enroll'!J$1,FALSE),'District Calculations'!$F$16+'District Calculations'!$F$25-'District Calculations'!$F$17)*Apport_216A2425,3)</f>
        <v>59.057000000000002</v>
      </c>
      <c r="J149">
        <f>ROUND(SUM(D149:I149)/(IF(VLOOKUP($A149,EnrollData2324,'2324 Jun 24 Enroll'!M$1,FALSE)='District Calculations'!$F$25,VLOOKUP($A149,EnrollData2324,'2324 Jun 24 Enroll'!M$1,FALSE),'District Calculations'!$F$25)+IF(VLOOKUP($A149,EnrollData2324,'2324 Jun 24 Enroll'!D$1,FALSE)='District Calculations'!$F$11,VLOOKUP($A149,EnrollData2324,'2324 Jun 24 Enroll'!D$1,FALSE),'District Calculations'!$F$11)),5)</f>
        <v>5.6520000000000001E-2</v>
      </c>
      <c r="K149" s="11">
        <f t="shared" si="30"/>
        <v>4.385E-3</v>
      </c>
      <c r="L149">
        <f>ROUND(IF(VLOOKUP($A149,EnrollData2324,'2324 Jun 24 Enroll'!D$1,FALSE)='District Calculations'!$F$11,VLOOKUP($A149,EnrollData2324,'2324 Jun 24 Enroll'!D$1,FALSE),'District Calculations'!$F$11)*K149,3)</f>
        <v>0</v>
      </c>
      <c r="M149">
        <f>ROUND(IF(VLOOKUP($A149,EnrollData2324,'2324 Jun 24 Enroll'!E$1,FALSE)='District Calculations'!$F$12,VLOOKUP($A149,EnrollData2324,'2324 Jun 24 Enroll'!E$1,FALSE),'District Calculations'!$F$12)*K149,3)</f>
        <v>3.5539999999999998</v>
      </c>
      <c r="N149">
        <f>ROUND(IF(VLOOKUP($A149,EnrollData2324,'2324 Jun 24 Enroll'!F$1,FALSE)='District Calculations'!$F$13,VLOOKUP($A149,EnrollData2324,'2324 Jun 24 Enroll'!F$1,FALSE),'District Calculations'!$F$13)*Apport_223A2425,3)</f>
        <v>0.84599999999999997</v>
      </c>
      <c r="O149">
        <f>ROUND(IF(VLOOKUP($A149,EnrollData2324,'2324 Jun 24 Enroll'!G$1,FALSE)='District Calculations'!$F$14,VLOOKUP($A149,EnrollData2324,'2324 Jun 24 Enroll'!G$1,FALSE),'District Calculations'!$F$14)*Apport_211A2425,3)</f>
        <v>1.877</v>
      </c>
      <c r="P149">
        <f>ROUND(IF(VLOOKUP($A149,EnrollData2324,'2324 Jun 24 Enroll'!H$1,FALSE)='District Calculations'!$F$14,VLOOKUP($A149,EnrollData2324,'2324 Jun 24 Enroll'!H$1,FALSE),'District Calculations'!$F$14)*Apport_214A2425,3)</f>
        <v>1.875</v>
      </c>
      <c r="Q149">
        <f>ROUND(IF(VLOOKUP($A149,EnrollData2324,'2324 Jun 24 Enroll'!I$1,FALSE)+VLOOKUP($A149,EnrollData2324,'2324 Jun 24 Enroll'!M$1,FALSE)-VLOOKUP($A149,EnrollData2324,'2324 Jun 24 Enroll'!J$1,FALSE)='District Calculations'!$F$16+'District Calculations'!$F$25-'District Calculations'!$F$17,VLOOKUP($A149,EnrollData2324,'2324 Jun 24 Enroll'!I$1,FALSE)+VLOOKUP($A149,EnrollData2324,'2324 Jun 24 Enroll'!M$1,FALSE)-VLOOKUP($A149,EnrollData2324,'2324 Jun 24 Enroll'!J$1,FALSE),'District Calculations'!$F$16+'District Calculations'!$F$25-'District Calculations'!$F$17)*Apport_217A2425,3)</f>
        <v>4.7130000000000001</v>
      </c>
      <c r="R149">
        <f>ROUND(SUM(L149:Q149)/IF(VLOOKUP($A149,EnrollData2324,'2324 Jun 24 Enroll'!M$1,FALSE)+VLOOKUP($A149,EnrollData2324,'2324 Jun 24 Enroll'!D$1,FALSE)='District Calculations'!$F$25+'District Calculations'!$F$11,VLOOKUP($A149,EnrollData2324,'2324 Jun 24 Enroll'!M$1,FALSE)+VLOOKUP($A149,EnrollData2324,'2324 Jun 24 Enroll'!D$1,FALSE),'District Calculations'!$F$25+'District Calculations'!$F$11),5)</f>
        <v>4.1200000000000004E-3</v>
      </c>
      <c r="S149" s="11">
        <f t="shared" si="31"/>
        <v>1.8734299999999999E-2</v>
      </c>
      <c r="T149">
        <f>ROUND(IF(VLOOKUP($A149,EnrollData2324,'2324 Jun 24 Enroll'!D$1,FALSE)='District Calculations'!$F$11,VLOOKUP($A149,EnrollData2324,'2324 Jun 24 Enroll'!D$1,FALSE),'District Calculations'!$F$11)*S149,3)</f>
        <v>0</v>
      </c>
      <c r="U149">
        <f>ROUND(IF(VLOOKUP($A149,EnrollData2324,'2324 Jun 24 Enroll'!E$1,FALSE)='District Calculations'!$F$12,VLOOKUP($A149,EnrollData2324,'2324 Jun 24 Enroll'!E$1,FALSE),'District Calculations'!$F$12)*S149,3)</f>
        <v>15.183999999999999</v>
      </c>
      <c r="V149">
        <f>ROUND(IF(VLOOKUP($A149,EnrollData2324,'2324 Jun 24 Enroll'!F$1,FALSE)='District Calculations'!$F$13,VLOOKUP($A149,EnrollData2324,'2324 Jun 24 Enroll'!F$1,FALSE),'District Calculations'!$F$13)*Apport_224A2425,3)</f>
        <v>3.7109999999999999</v>
      </c>
      <c r="W149">
        <f>ROUND(IF(VLOOKUP($A149,EnrollData2324,'2324 Jun 24 Enroll'!G$1,FALSE)='District Calculations'!$F$14,VLOOKUP($A149,EnrollData2324,'2324 Jun 24 Enroll'!G$1,FALSE),'District Calculations'!$F$14)*Apport_212A2425,3)</f>
        <v>8.2279999999999998</v>
      </c>
      <c r="X149">
        <f>ROUND(IF(VLOOKUP($A149,EnrollData2324,'2324 Jun 24 Enroll'!H$1,FALSE)='District Calculations'!$F$14,VLOOKUP($A149,EnrollData2324,'2324 Jun 24 Enroll'!H$1,FALSE),'District Calculations'!$F$14)*Apport_215A2425,3)</f>
        <v>8.1180000000000003</v>
      </c>
      <c r="Y149">
        <f>ROUND(IF(VLOOKUP($A149,EnrollData2324,'2324 Jun 24 Enroll'!I$1,FALSE)+VLOOKUP($A149,EnrollData2324,'2324 Jun 24 Enroll'!M$1,FALSE)-VLOOKUP($A149,EnrollData2324,'2324 Jun 24 Enroll'!J$1,FALSE)='District Calculations'!$F$16+'District Calculations'!$F$25-'District Calculations'!$F$17,VLOOKUP($A149,EnrollData2324,'2324 Jun 24 Enroll'!I$1,FALSE)+VLOOKUP($A149,EnrollData2324,'2324 Jun 24 Enroll'!M$1,FALSE)-VLOOKUP($A149,EnrollData2324,'2324 Jun 24 Enroll'!J$1,FALSE),'District Calculations'!$F$16+'District Calculations'!$F$25-'District Calculations'!$F$17)*Apport_218A2425,3)</f>
        <v>20.257999999999999</v>
      </c>
      <c r="Z149">
        <f>ROUND(SUM(T149:Y149)/IF(VLOOKUP($A149,EnrollData2324,'2324 Jun 24 Enroll'!M$1,FALSE)+VLOOKUP($A149,EnrollData2324,'2324 Jun 24 Enroll'!D$1,FALSE)='District Calculations'!$F$25+'District Calculations'!$F$11,VLOOKUP($A149,EnrollData2324,'2324 Jun 24 Enroll'!M$1,FALSE)+VLOOKUP($A149,EnrollData2324,'2324 Jun 24 Enroll'!D$1,FALSE),'District Calculations'!$F$25+'District Calculations'!$F$11),5)</f>
        <v>1.7780000000000001E-2</v>
      </c>
      <c r="AA149" s="6">
        <f>ROUND($J149*CIS_Base_Salary2425*VLOOKUP($A149,EnrollData2324,'2324 Jun 24 Enroll'!AH$1,FALSE),2)</f>
        <v>5029.96</v>
      </c>
      <c r="AB149" s="6">
        <f>ROUND($J149*CIS_Inc_Salary2425*(VLOOKUP($A149,EnrollData2324,'2324 Jun 24 Enroll'!AI$1,FALSE)+VLOOKUP($A149,EnrollData2324,'2324 Jun 24 Enroll'!AJ$1,FALSE)),2)-AA149</f>
        <v>186.07999999999993</v>
      </c>
      <c r="AC149" s="6" cm="1">
        <f t="array" ref="AC149">ROUND($R149*CAS_Base_Salary2425*VLOOKUP($A149,EnrollData2324,'2324 Jun 24 Enroll'!AH$1,FALSE),2)</f>
        <v>544.26</v>
      </c>
      <c r="AD149" s="6">
        <f>ROUND($R149*CAS_Inc_Salary2425*VLOOKUP($A149,EnrollData2324,'2324 Jun 24 Enroll'!AI$1,FALSE),2)-AC149</f>
        <v>20.129999999999995</v>
      </c>
      <c r="AE149" s="6">
        <f>ROUND($Z149*CLS_Base_Salary2425*VLOOKUP($A149,EnrollData2324,'2324 Jun 24 Enroll'!AH$1,FALSE),2)</f>
        <v>1135.0999999999999</v>
      </c>
      <c r="AF149" s="6">
        <f>ROUND($Z149*CLS_Inc_Salary2425*VLOOKUP($A149,EnrollData2324,'2324 Jun 24 Enroll'!AI$1,FALSE),2)-AE149</f>
        <v>42.009999999999991</v>
      </c>
      <c r="AG149" cm="1">
        <f t="array" ref="AG149">ROUND(($J149+$R149)*Apport_124X2425,2)</f>
        <v>800.45</v>
      </c>
      <c r="AH149" s="69" cm="1">
        <f t="array" ref="AH149">ROUND(($J149+$R149)*Apport_621X2425*Apport_125XC2425,2)-AG149</f>
        <v>73.899999999999977</v>
      </c>
      <c r="AI149" cm="1">
        <f t="array" ref="AI149">ROUND($Z149*Apport_124X2425,2)</f>
        <v>234.7</v>
      </c>
      <c r="AJ149">
        <f t="shared" si="32"/>
        <v>124.71000000000004</v>
      </c>
      <c r="AK149">
        <f t="shared" si="33"/>
        <v>1011.72</v>
      </c>
      <c r="AL149">
        <f t="shared" si="34"/>
        <v>36.11</v>
      </c>
      <c r="AM149">
        <f t="shared" si="35"/>
        <v>245.86</v>
      </c>
      <c r="AN149">
        <f t="shared" si="36"/>
        <v>7.63</v>
      </c>
      <c r="AO149">
        <f>ROUND(($J149*CIS_Inc_Salary2425*(VLOOKUP($A149,EnrollData2324,'2324 Jun 24 Enroll'!AI$1,FALSE)+VLOOKUP($A149,EnrollData2324,'2324 Jun 24 Enroll'!AJ$1,FALSE))/Apport_613Xpd)*Apport_614Xpd,2)</f>
        <v>86.93</v>
      </c>
      <c r="AP149">
        <f t="shared" si="37"/>
        <v>15.22</v>
      </c>
      <c r="AQ149">
        <f t="shared" si="38"/>
        <v>31.48</v>
      </c>
      <c r="AR149" s="6">
        <f>ROUND((VLOOKUP($A149,EnrollData2324,'2324 Jun 24 Enroll'!D$1,FALSE)*Apport_M802425+VLOOKUP($A149,EnrollData2324,'2324 Jun 24 Enroll'!M$1,FALSE)*Apport_M802425+(VLOOKUP($A149,EnrollData2324,'2324 Jun 24 Enroll'!P$1,FALSE)+VLOOKUP($A149,EnrollData2324,'2324 Jun 24 Enroll'!Q$1,FALSE)+VLOOKUP($A149,EnrollData2324,'2324 Jun 24 Enroll'!R$1,FALSE)+VLOOKUP($A149,EnrollData2324,'2324 Jun 24 Enroll'!I$1,FALSE)+VLOOKUP($A149,EnrollData2324,'2324 Jun 24 Enroll'!N$1,FALSE)+VLOOKUP($A149,EnrollData2324,'2324 Jun 24 Enroll'!O$1,FALSE)+VLOOKUP($A149,EnrollData2324,'2324 Jun 24 Enroll'!K$1,FALSE)+VLOOKUP($A149,EnrollData2324,'2324 Jun 24 Enroll'!L$1,FALSE))*Apport_M812425)/(VLOOKUP($A149,EnrollData2324,'2324 Jun 24 Enroll'!M$1,FALSE)+VLOOKUP($A149,EnrollData2324,'2324 Jun 24 Enroll'!D$1,FALSE)),2)</f>
        <v>1597.28</v>
      </c>
      <c r="AS149" s="7">
        <f t="shared" si="39"/>
        <v>11223.53</v>
      </c>
    </row>
    <row r="150" spans="1:45">
      <c r="A150" s="40" t="s">
        <v>1015</v>
      </c>
      <c r="B150" s="40" t="s">
        <v>1016</v>
      </c>
      <c r="C150" s="11">
        <f>ROUND((IFERROR((1/IF(VLOOKUP($A150,EnrollData2324,28,FALSE)='District Calculations'!$F$10,VLOOKUP($A150,EnrollData2324,28,FALSE),'District Calculations'!$F$10))*(1+Apport_Z315),0))+Apport_201A2425,6)</f>
        <v>7.4580999999999995E-2</v>
      </c>
      <c r="D150">
        <f>ROUND(IF(VLOOKUP($A150,EnrollData2324,'2324 Jun 24 Enroll'!D$1,FALSE)='District Calculations'!$F$11,VLOOKUP($A150,EnrollData2324,'2324 Jun 24 Enroll'!D$1,FALSE),'District Calculations'!$F$11)*C150,3)</f>
        <v>0</v>
      </c>
      <c r="E150">
        <f>ROUND(IF(VLOOKUP($A150,EnrollData2324,'2324 Jun 24 Enroll'!E$1,FALSE)='District Calculations'!$F$12,VLOOKUP($A150,EnrollData2324,'2324 Jun 24 Enroll'!E$1,FALSE),'District Calculations'!$F$12)*C150,3)</f>
        <v>60.447000000000003</v>
      </c>
      <c r="F150">
        <f>ROUND(IF(VLOOKUP($A150,EnrollData2324,'2324 Jun 24 Enroll'!F$1,FALSE)='District Calculations'!$F$13,VLOOKUP($A150,EnrollData2324,'2324 Jun 24 Enroll'!F$1,FALSE),'District Calculations'!$F$13)*Apport_222A2425,3)</f>
        <v>10.337999999999999</v>
      </c>
      <c r="G150">
        <f>ROUND(IF(VLOOKUP($A150,EnrollData2324,'2324 Jun 24 Enroll'!G$1,FALSE)='District Calculations'!$F$14,VLOOKUP($A150,EnrollData2324,'2324 Jun 24 Enroll'!G$1,FALSE),'District Calculations'!$F$14)*Apport_210A2425,3)</f>
        <v>22.92</v>
      </c>
      <c r="H150">
        <f>ROUND(IF(VLOOKUP($A150,EnrollData2324,'2324 Jun 24 Enroll'!H$1,FALSE)='District Calculations'!$F$15,VLOOKUP($A150,EnrollData2324,'2324 Jun 24 Enroll'!H$1,FALSE),'District Calculations'!$F$15)*Apport_213A2425,3)</f>
        <v>23.619</v>
      </c>
      <c r="I150">
        <f>ROUND(IF(VLOOKUP($A150,EnrollData2324,'2324 Jun 24 Enroll'!I$1,FALSE)+VLOOKUP($A150,EnrollData2324,'2324 Jun 24 Enroll'!M$1,FALSE)-VLOOKUP($A150,EnrollData2324,'2324 Jun 24 Enroll'!J$1,FALSE)='District Calculations'!$F$16+'District Calculations'!$F$25-'District Calculations'!$F$17,VLOOKUP($A150,EnrollData2324,'2324 Jun 24 Enroll'!I$1,FALSE)+VLOOKUP($A150,EnrollData2324,'2324 Jun 24 Enroll'!M$1,FALSE)-VLOOKUP($A150,EnrollData2324,'2324 Jun 24 Enroll'!J$1,FALSE),'District Calculations'!$F$16+'District Calculations'!$F$25-'District Calculations'!$F$17)*Apport_216A2425,3)</f>
        <v>59.057000000000002</v>
      </c>
      <c r="J150">
        <f>ROUND(SUM(D150:I150)/(IF(VLOOKUP($A150,EnrollData2324,'2324 Jun 24 Enroll'!M$1,FALSE)='District Calculations'!$F$25,VLOOKUP($A150,EnrollData2324,'2324 Jun 24 Enroll'!M$1,FALSE),'District Calculations'!$F$25)+IF(VLOOKUP($A150,EnrollData2324,'2324 Jun 24 Enroll'!D$1,FALSE)='District Calculations'!$F$11,VLOOKUP($A150,EnrollData2324,'2324 Jun 24 Enroll'!D$1,FALSE),'District Calculations'!$F$11)),5)</f>
        <v>5.6520000000000001E-2</v>
      </c>
      <c r="K150" s="11">
        <f t="shared" si="30"/>
        <v>4.385E-3</v>
      </c>
      <c r="L150">
        <f>ROUND(IF(VLOOKUP($A150,EnrollData2324,'2324 Jun 24 Enroll'!D$1,FALSE)='District Calculations'!$F$11,VLOOKUP($A150,EnrollData2324,'2324 Jun 24 Enroll'!D$1,FALSE),'District Calculations'!$F$11)*K150,3)</f>
        <v>0</v>
      </c>
      <c r="M150">
        <f>ROUND(IF(VLOOKUP($A150,EnrollData2324,'2324 Jun 24 Enroll'!E$1,FALSE)='District Calculations'!$F$12,VLOOKUP($A150,EnrollData2324,'2324 Jun 24 Enroll'!E$1,FALSE),'District Calculations'!$F$12)*K150,3)</f>
        <v>3.5539999999999998</v>
      </c>
      <c r="N150">
        <f>ROUND(IF(VLOOKUP($A150,EnrollData2324,'2324 Jun 24 Enroll'!F$1,FALSE)='District Calculations'!$F$13,VLOOKUP($A150,EnrollData2324,'2324 Jun 24 Enroll'!F$1,FALSE),'District Calculations'!$F$13)*Apport_223A2425,3)</f>
        <v>0.84599999999999997</v>
      </c>
      <c r="O150">
        <f>ROUND(IF(VLOOKUP($A150,EnrollData2324,'2324 Jun 24 Enroll'!G$1,FALSE)='District Calculations'!$F$14,VLOOKUP($A150,EnrollData2324,'2324 Jun 24 Enroll'!G$1,FALSE),'District Calculations'!$F$14)*Apport_211A2425,3)</f>
        <v>1.877</v>
      </c>
      <c r="P150">
        <f>ROUND(IF(VLOOKUP($A150,EnrollData2324,'2324 Jun 24 Enroll'!H$1,FALSE)='District Calculations'!$F$14,VLOOKUP($A150,EnrollData2324,'2324 Jun 24 Enroll'!H$1,FALSE),'District Calculations'!$F$14)*Apport_214A2425,3)</f>
        <v>1.875</v>
      </c>
      <c r="Q150">
        <f>ROUND(IF(VLOOKUP($A150,EnrollData2324,'2324 Jun 24 Enroll'!I$1,FALSE)+VLOOKUP($A150,EnrollData2324,'2324 Jun 24 Enroll'!M$1,FALSE)-VLOOKUP($A150,EnrollData2324,'2324 Jun 24 Enroll'!J$1,FALSE)='District Calculations'!$F$16+'District Calculations'!$F$25-'District Calculations'!$F$17,VLOOKUP($A150,EnrollData2324,'2324 Jun 24 Enroll'!I$1,FALSE)+VLOOKUP($A150,EnrollData2324,'2324 Jun 24 Enroll'!M$1,FALSE)-VLOOKUP($A150,EnrollData2324,'2324 Jun 24 Enroll'!J$1,FALSE),'District Calculations'!$F$16+'District Calculations'!$F$25-'District Calculations'!$F$17)*Apport_217A2425,3)</f>
        <v>4.7130000000000001</v>
      </c>
      <c r="R150">
        <f>ROUND(SUM(L150:Q150)/IF(VLOOKUP($A150,EnrollData2324,'2324 Jun 24 Enroll'!M$1,FALSE)+VLOOKUP($A150,EnrollData2324,'2324 Jun 24 Enroll'!D$1,FALSE)='District Calculations'!$F$25+'District Calculations'!$F$11,VLOOKUP($A150,EnrollData2324,'2324 Jun 24 Enroll'!M$1,FALSE)+VLOOKUP($A150,EnrollData2324,'2324 Jun 24 Enroll'!D$1,FALSE),'District Calculations'!$F$25+'District Calculations'!$F$11),5)</f>
        <v>4.1200000000000004E-3</v>
      </c>
      <c r="S150" s="11">
        <f t="shared" si="31"/>
        <v>1.8734299999999999E-2</v>
      </c>
      <c r="T150">
        <f>ROUND(IF(VLOOKUP($A150,EnrollData2324,'2324 Jun 24 Enroll'!D$1,FALSE)='District Calculations'!$F$11,VLOOKUP($A150,EnrollData2324,'2324 Jun 24 Enroll'!D$1,FALSE),'District Calculations'!$F$11)*S150,3)</f>
        <v>0</v>
      </c>
      <c r="U150">
        <f>ROUND(IF(VLOOKUP($A150,EnrollData2324,'2324 Jun 24 Enroll'!E$1,FALSE)='District Calculations'!$F$12,VLOOKUP($A150,EnrollData2324,'2324 Jun 24 Enroll'!E$1,FALSE),'District Calculations'!$F$12)*S150,3)</f>
        <v>15.183999999999999</v>
      </c>
      <c r="V150">
        <f>ROUND(IF(VLOOKUP($A150,EnrollData2324,'2324 Jun 24 Enroll'!F$1,FALSE)='District Calculations'!$F$13,VLOOKUP($A150,EnrollData2324,'2324 Jun 24 Enroll'!F$1,FALSE),'District Calculations'!$F$13)*Apport_224A2425,3)</f>
        <v>3.7109999999999999</v>
      </c>
      <c r="W150">
        <f>ROUND(IF(VLOOKUP($A150,EnrollData2324,'2324 Jun 24 Enroll'!G$1,FALSE)='District Calculations'!$F$14,VLOOKUP($A150,EnrollData2324,'2324 Jun 24 Enroll'!G$1,FALSE),'District Calculations'!$F$14)*Apport_212A2425,3)</f>
        <v>8.2279999999999998</v>
      </c>
      <c r="X150">
        <f>ROUND(IF(VLOOKUP($A150,EnrollData2324,'2324 Jun 24 Enroll'!H$1,FALSE)='District Calculations'!$F$14,VLOOKUP($A150,EnrollData2324,'2324 Jun 24 Enroll'!H$1,FALSE),'District Calculations'!$F$14)*Apport_215A2425,3)</f>
        <v>8.1180000000000003</v>
      </c>
      <c r="Y150">
        <f>ROUND(IF(VLOOKUP($A150,EnrollData2324,'2324 Jun 24 Enroll'!I$1,FALSE)+VLOOKUP($A150,EnrollData2324,'2324 Jun 24 Enroll'!M$1,FALSE)-VLOOKUP($A150,EnrollData2324,'2324 Jun 24 Enroll'!J$1,FALSE)='District Calculations'!$F$16+'District Calculations'!$F$25-'District Calculations'!$F$17,VLOOKUP($A150,EnrollData2324,'2324 Jun 24 Enroll'!I$1,FALSE)+VLOOKUP($A150,EnrollData2324,'2324 Jun 24 Enroll'!M$1,FALSE)-VLOOKUP($A150,EnrollData2324,'2324 Jun 24 Enroll'!J$1,FALSE),'District Calculations'!$F$16+'District Calculations'!$F$25-'District Calculations'!$F$17)*Apport_218A2425,3)</f>
        <v>20.257999999999999</v>
      </c>
      <c r="Z150">
        <f>ROUND(SUM(T150:Y150)/IF(VLOOKUP($A150,EnrollData2324,'2324 Jun 24 Enroll'!M$1,FALSE)+VLOOKUP($A150,EnrollData2324,'2324 Jun 24 Enroll'!D$1,FALSE)='District Calculations'!$F$25+'District Calculations'!$F$11,VLOOKUP($A150,EnrollData2324,'2324 Jun 24 Enroll'!M$1,FALSE)+VLOOKUP($A150,EnrollData2324,'2324 Jun 24 Enroll'!D$1,FALSE),'District Calculations'!$F$25+'District Calculations'!$F$11),5)</f>
        <v>1.7780000000000001E-2</v>
      </c>
      <c r="AA150" s="6">
        <f>ROUND($J150*CIS_Base_Salary2425*VLOOKUP($A150,EnrollData2324,'2324 Jun 24 Enroll'!AH$1,FALSE),2)</f>
        <v>5029.96</v>
      </c>
      <c r="AB150" s="6">
        <f>ROUND($J150*CIS_Inc_Salary2425*(VLOOKUP($A150,EnrollData2324,'2324 Jun 24 Enroll'!AI$1,FALSE)+VLOOKUP($A150,EnrollData2324,'2324 Jun 24 Enroll'!AJ$1,FALSE)),2)-AA150</f>
        <v>186.07999999999993</v>
      </c>
      <c r="AC150" s="6" cm="1">
        <f t="array" ref="AC150">ROUND($R150*CAS_Base_Salary2425*VLOOKUP($A150,EnrollData2324,'2324 Jun 24 Enroll'!AH$1,FALSE),2)</f>
        <v>544.26</v>
      </c>
      <c r="AD150" s="6">
        <f>ROUND($R150*CAS_Inc_Salary2425*VLOOKUP($A150,EnrollData2324,'2324 Jun 24 Enroll'!AI$1,FALSE),2)-AC150</f>
        <v>20.129999999999995</v>
      </c>
      <c r="AE150" s="6">
        <f>ROUND($Z150*CLS_Base_Salary2425*VLOOKUP($A150,EnrollData2324,'2324 Jun 24 Enroll'!AH$1,FALSE),2)</f>
        <v>1135.0999999999999</v>
      </c>
      <c r="AF150" s="6">
        <f>ROUND($Z150*CLS_Inc_Salary2425*VLOOKUP($A150,EnrollData2324,'2324 Jun 24 Enroll'!AI$1,FALSE),2)-AE150</f>
        <v>42.009999999999991</v>
      </c>
      <c r="AG150" cm="1">
        <f t="array" ref="AG150">ROUND(($J150+$R150)*Apport_124X2425,2)</f>
        <v>800.45</v>
      </c>
      <c r="AH150" s="69" cm="1">
        <f t="array" ref="AH150">ROUND(($J150+$R150)*Apport_621X2425*Apport_125XC2425,2)-AG150</f>
        <v>73.899999999999977</v>
      </c>
      <c r="AI150" cm="1">
        <f t="array" ref="AI150">ROUND($Z150*Apport_124X2425,2)</f>
        <v>234.7</v>
      </c>
      <c r="AJ150">
        <f t="shared" si="32"/>
        <v>124.71000000000004</v>
      </c>
      <c r="AK150">
        <f t="shared" si="33"/>
        <v>1011.72</v>
      </c>
      <c r="AL150">
        <f t="shared" si="34"/>
        <v>36.11</v>
      </c>
      <c r="AM150">
        <f t="shared" si="35"/>
        <v>245.86</v>
      </c>
      <c r="AN150">
        <f t="shared" si="36"/>
        <v>7.63</v>
      </c>
      <c r="AO150">
        <f>ROUND(($J150*CIS_Inc_Salary2425*(VLOOKUP($A150,EnrollData2324,'2324 Jun 24 Enroll'!AI$1,FALSE)+VLOOKUP($A150,EnrollData2324,'2324 Jun 24 Enroll'!AJ$1,FALSE))/Apport_613Xpd)*Apport_614Xpd,2)</f>
        <v>86.93</v>
      </c>
      <c r="AP150">
        <f t="shared" si="37"/>
        <v>15.22</v>
      </c>
      <c r="AQ150">
        <f t="shared" si="38"/>
        <v>31.48</v>
      </c>
      <c r="AR150" s="6">
        <f>ROUND((VLOOKUP($A150,EnrollData2324,'2324 Jun 24 Enroll'!D$1,FALSE)*Apport_M802425+VLOOKUP($A150,EnrollData2324,'2324 Jun 24 Enroll'!M$1,FALSE)*Apport_M802425+(VLOOKUP($A150,EnrollData2324,'2324 Jun 24 Enroll'!P$1,FALSE)+VLOOKUP($A150,EnrollData2324,'2324 Jun 24 Enroll'!Q$1,FALSE)+VLOOKUP($A150,EnrollData2324,'2324 Jun 24 Enroll'!R$1,FALSE)+VLOOKUP($A150,EnrollData2324,'2324 Jun 24 Enroll'!I$1,FALSE)+VLOOKUP($A150,EnrollData2324,'2324 Jun 24 Enroll'!N$1,FALSE)+VLOOKUP($A150,EnrollData2324,'2324 Jun 24 Enroll'!O$1,FALSE)+VLOOKUP($A150,EnrollData2324,'2324 Jun 24 Enroll'!K$1,FALSE)+VLOOKUP($A150,EnrollData2324,'2324 Jun 24 Enroll'!L$1,FALSE))*Apport_M812425)/(VLOOKUP($A150,EnrollData2324,'2324 Jun 24 Enroll'!M$1,FALSE)+VLOOKUP($A150,EnrollData2324,'2324 Jun 24 Enroll'!D$1,FALSE)),2)</f>
        <v>1533.02</v>
      </c>
      <c r="AS150" s="7">
        <f t="shared" si="39"/>
        <v>11159.27</v>
      </c>
    </row>
    <row r="151" spans="1:45">
      <c r="A151" s="40" t="s">
        <v>901</v>
      </c>
      <c r="B151" s="40" t="s">
        <v>902</v>
      </c>
      <c r="C151" s="11">
        <f>ROUND((IFERROR((1/IF(VLOOKUP($A151,EnrollData2324,28,FALSE)='District Calculations'!$F$10,VLOOKUP($A151,EnrollData2324,28,FALSE),'District Calculations'!$F$10))*(1+Apport_Z315),0))+Apport_201A2425,6)</f>
        <v>7.4580999999999995E-2</v>
      </c>
      <c r="D151">
        <f>ROUND(IF(VLOOKUP($A151,EnrollData2324,'2324 Jun 24 Enroll'!D$1,FALSE)='District Calculations'!$F$11,VLOOKUP($A151,EnrollData2324,'2324 Jun 24 Enroll'!D$1,FALSE),'District Calculations'!$F$11)*C151,3)</f>
        <v>0</v>
      </c>
      <c r="E151">
        <f>ROUND(IF(VLOOKUP($A151,EnrollData2324,'2324 Jun 24 Enroll'!E$1,FALSE)='District Calculations'!$F$12,VLOOKUP($A151,EnrollData2324,'2324 Jun 24 Enroll'!E$1,FALSE),'District Calculations'!$F$12)*C151,3)</f>
        <v>60.447000000000003</v>
      </c>
      <c r="F151">
        <f>ROUND(IF(VLOOKUP($A151,EnrollData2324,'2324 Jun 24 Enroll'!F$1,FALSE)='District Calculations'!$F$13,VLOOKUP($A151,EnrollData2324,'2324 Jun 24 Enroll'!F$1,FALSE),'District Calculations'!$F$13)*Apport_222A2425,3)</f>
        <v>10.337999999999999</v>
      </c>
      <c r="G151">
        <f>ROUND(IF(VLOOKUP($A151,EnrollData2324,'2324 Jun 24 Enroll'!G$1,FALSE)='District Calculations'!$F$14,VLOOKUP($A151,EnrollData2324,'2324 Jun 24 Enroll'!G$1,FALSE),'District Calculations'!$F$14)*Apport_210A2425,3)</f>
        <v>22.92</v>
      </c>
      <c r="H151">
        <f>ROUND(IF(VLOOKUP($A151,EnrollData2324,'2324 Jun 24 Enroll'!H$1,FALSE)='District Calculations'!$F$15,VLOOKUP($A151,EnrollData2324,'2324 Jun 24 Enroll'!H$1,FALSE),'District Calculations'!$F$15)*Apport_213A2425,3)</f>
        <v>23.619</v>
      </c>
      <c r="I151">
        <f>ROUND(IF(VLOOKUP($A151,EnrollData2324,'2324 Jun 24 Enroll'!I$1,FALSE)+VLOOKUP($A151,EnrollData2324,'2324 Jun 24 Enroll'!M$1,FALSE)-VLOOKUP($A151,EnrollData2324,'2324 Jun 24 Enroll'!J$1,FALSE)='District Calculations'!$F$16+'District Calculations'!$F$25-'District Calculations'!$F$17,VLOOKUP($A151,EnrollData2324,'2324 Jun 24 Enroll'!I$1,FALSE)+VLOOKUP($A151,EnrollData2324,'2324 Jun 24 Enroll'!M$1,FALSE)-VLOOKUP($A151,EnrollData2324,'2324 Jun 24 Enroll'!J$1,FALSE),'District Calculations'!$F$16+'District Calculations'!$F$25-'District Calculations'!$F$17)*Apport_216A2425,3)</f>
        <v>59.057000000000002</v>
      </c>
      <c r="J151">
        <f>ROUND(SUM(D151:I151)/(IF(VLOOKUP($A151,EnrollData2324,'2324 Jun 24 Enroll'!M$1,FALSE)='District Calculations'!$F$25,VLOOKUP($A151,EnrollData2324,'2324 Jun 24 Enroll'!M$1,FALSE),'District Calculations'!$F$25)+IF(VLOOKUP($A151,EnrollData2324,'2324 Jun 24 Enroll'!D$1,FALSE)='District Calculations'!$F$11,VLOOKUP($A151,EnrollData2324,'2324 Jun 24 Enroll'!D$1,FALSE),'District Calculations'!$F$11)),5)</f>
        <v>5.6520000000000001E-2</v>
      </c>
      <c r="K151" s="11">
        <f t="shared" si="30"/>
        <v>4.385E-3</v>
      </c>
      <c r="L151">
        <f>ROUND(IF(VLOOKUP($A151,EnrollData2324,'2324 Jun 24 Enroll'!D$1,FALSE)='District Calculations'!$F$11,VLOOKUP($A151,EnrollData2324,'2324 Jun 24 Enroll'!D$1,FALSE),'District Calculations'!$F$11)*K151,3)</f>
        <v>0</v>
      </c>
      <c r="M151">
        <f>ROUND(IF(VLOOKUP($A151,EnrollData2324,'2324 Jun 24 Enroll'!E$1,FALSE)='District Calculations'!$F$12,VLOOKUP($A151,EnrollData2324,'2324 Jun 24 Enroll'!E$1,FALSE),'District Calculations'!$F$12)*K151,3)</f>
        <v>3.5539999999999998</v>
      </c>
      <c r="N151">
        <f>ROUND(IF(VLOOKUP($A151,EnrollData2324,'2324 Jun 24 Enroll'!F$1,FALSE)='District Calculations'!$F$13,VLOOKUP($A151,EnrollData2324,'2324 Jun 24 Enroll'!F$1,FALSE),'District Calculations'!$F$13)*Apport_223A2425,3)</f>
        <v>0.84599999999999997</v>
      </c>
      <c r="O151">
        <f>ROUND(IF(VLOOKUP($A151,EnrollData2324,'2324 Jun 24 Enroll'!G$1,FALSE)='District Calculations'!$F$14,VLOOKUP($A151,EnrollData2324,'2324 Jun 24 Enroll'!G$1,FALSE),'District Calculations'!$F$14)*Apport_211A2425,3)</f>
        <v>1.877</v>
      </c>
      <c r="P151">
        <f>ROUND(IF(VLOOKUP($A151,EnrollData2324,'2324 Jun 24 Enroll'!H$1,FALSE)='District Calculations'!$F$14,VLOOKUP($A151,EnrollData2324,'2324 Jun 24 Enroll'!H$1,FALSE),'District Calculations'!$F$14)*Apport_214A2425,3)</f>
        <v>1.875</v>
      </c>
      <c r="Q151">
        <f>ROUND(IF(VLOOKUP($A151,EnrollData2324,'2324 Jun 24 Enroll'!I$1,FALSE)+VLOOKUP($A151,EnrollData2324,'2324 Jun 24 Enroll'!M$1,FALSE)-VLOOKUP($A151,EnrollData2324,'2324 Jun 24 Enroll'!J$1,FALSE)='District Calculations'!$F$16+'District Calculations'!$F$25-'District Calculations'!$F$17,VLOOKUP($A151,EnrollData2324,'2324 Jun 24 Enroll'!I$1,FALSE)+VLOOKUP($A151,EnrollData2324,'2324 Jun 24 Enroll'!M$1,FALSE)-VLOOKUP($A151,EnrollData2324,'2324 Jun 24 Enroll'!J$1,FALSE),'District Calculations'!$F$16+'District Calculations'!$F$25-'District Calculations'!$F$17)*Apport_217A2425,3)</f>
        <v>4.7130000000000001</v>
      </c>
      <c r="R151">
        <f>ROUND(SUM(L151:Q151)/IF(VLOOKUP($A151,EnrollData2324,'2324 Jun 24 Enroll'!M$1,FALSE)+VLOOKUP($A151,EnrollData2324,'2324 Jun 24 Enroll'!D$1,FALSE)='District Calculations'!$F$25+'District Calculations'!$F$11,VLOOKUP($A151,EnrollData2324,'2324 Jun 24 Enroll'!M$1,FALSE)+VLOOKUP($A151,EnrollData2324,'2324 Jun 24 Enroll'!D$1,FALSE),'District Calculations'!$F$25+'District Calculations'!$F$11),5)</f>
        <v>4.1200000000000004E-3</v>
      </c>
      <c r="S151" s="11">
        <f t="shared" si="31"/>
        <v>1.8734299999999999E-2</v>
      </c>
      <c r="T151">
        <f>ROUND(IF(VLOOKUP($A151,EnrollData2324,'2324 Jun 24 Enroll'!D$1,FALSE)='District Calculations'!$F$11,VLOOKUP($A151,EnrollData2324,'2324 Jun 24 Enroll'!D$1,FALSE),'District Calculations'!$F$11)*S151,3)</f>
        <v>0</v>
      </c>
      <c r="U151">
        <f>ROUND(IF(VLOOKUP($A151,EnrollData2324,'2324 Jun 24 Enroll'!E$1,FALSE)='District Calculations'!$F$12,VLOOKUP($A151,EnrollData2324,'2324 Jun 24 Enroll'!E$1,FALSE),'District Calculations'!$F$12)*S151,3)</f>
        <v>15.183999999999999</v>
      </c>
      <c r="V151">
        <f>ROUND(IF(VLOOKUP($A151,EnrollData2324,'2324 Jun 24 Enroll'!F$1,FALSE)='District Calculations'!$F$13,VLOOKUP($A151,EnrollData2324,'2324 Jun 24 Enroll'!F$1,FALSE),'District Calculations'!$F$13)*Apport_224A2425,3)</f>
        <v>3.7109999999999999</v>
      </c>
      <c r="W151">
        <f>ROUND(IF(VLOOKUP($A151,EnrollData2324,'2324 Jun 24 Enroll'!G$1,FALSE)='District Calculations'!$F$14,VLOOKUP($A151,EnrollData2324,'2324 Jun 24 Enroll'!G$1,FALSE),'District Calculations'!$F$14)*Apport_212A2425,3)</f>
        <v>8.2279999999999998</v>
      </c>
      <c r="X151">
        <f>ROUND(IF(VLOOKUP($A151,EnrollData2324,'2324 Jun 24 Enroll'!H$1,FALSE)='District Calculations'!$F$14,VLOOKUP($A151,EnrollData2324,'2324 Jun 24 Enroll'!H$1,FALSE),'District Calculations'!$F$14)*Apport_215A2425,3)</f>
        <v>8.1180000000000003</v>
      </c>
      <c r="Y151">
        <f>ROUND(IF(VLOOKUP($A151,EnrollData2324,'2324 Jun 24 Enroll'!I$1,FALSE)+VLOOKUP($A151,EnrollData2324,'2324 Jun 24 Enroll'!M$1,FALSE)-VLOOKUP($A151,EnrollData2324,'2324 Jun 24 Enroll'!J$1,FALSE)='District Calculations'!$F$16+'District Calculations'!$F$25-'District Calculations'!$F$17,VLOOKUP($A151,EnrollData2324,'2324 Jun 24 Enroll'!I$1,FALSE)+VLOOKUP($A151,EnrollData2324,'2324 Jun 24 Enroll'!M$1,FALSE)-VLOOKUP($A151,EnrollData2324,'2324 Jun 24 Enroll'!J$1,FALSE),'District Calculations'!$F$16+'District Calculations'!$F$25-'District Calculations'!$F$17)*Apport_218A2425,3)</f>
        <v>20.257999999999999</v>
      </c>
      <c r="Z151">
        <f>ROUND(SUM(T151:Y151)/IF(VLOOKUP($A151,EnrollData2324,'2324 Jun 24 Enroll'!M$1,FALSE)+VLOOKUP($A151,EnrollData2324,'2324 Jun 24 Enroll'!D$1,FALSE)='District Calculations'!$F$25+'District Calculations'!$F$11,VLOOKUP($A151,EnrollData2324,'2324 Jun 24 Enroll'!M$1,FALSE)+VLOOKUP($A151,EnrollData2324,'2324 Jun 24 Enroll'!D$1,FALSE),'District Calculations'!$F$25+'District Calculations'!$F$11),5)</f>
        <v>1.7780000000000001E-2</v>
      </c>
      <c r="AA151" s="6">
        <f>ROUND($J151*CIS_Base_Salary2425*VLOOKUP($A151,EnrollData2324,'2324 Jun 24 Enroll'!AH$1,FALSE),2)</f>
        <v>5029.96</v>
      </c>
      <c r="AB151" s="6">
        <f>ROUND($J151*CIS_Inc_Salary2425*(VLOOKUP($A151,EnrollData2324,'2324 Jun 24 Enroll'!AI$1,FALSE)+VLOOKUP($A151,EnrollData2324,'2324 Jun 24 Enroll'!AJ$1,FALSE)),2)-AA151</f>
        <v>186.07999999999993</v>
      </c>
      <c r="AC151" s="6" cm="1">
        <f t="array" ref="AC151">ROUND($R151*CAS_Base_Salary2425*VLOOKUP($A151,EnrollData2324,'2324 Jun 24 Enroll'!AH$1,FALSE),2)</f>
        <v>544.26</v>
      </c>
      <c r="AD151" s="6">
        <f>ROUND($R151*CAS_Inc_Salary2425*VLOOKUP($A151,EnrollData2324,'2324 Jun 24 Enroll'!AI$1,FALSE),2)-AC151</f>
        <v>20.129999999999995</v>
      </c>
      <c r="AE151" s="6">
        <f>ROUND($Z151*CLS_Base_Salary2425*VLOOKUP($A151,EnrollData2324,'2324 Jun 24 Enroll'!AH$1,FALSE),2)</f>
        <v>1135.0999999999999</v>
      </c>
      <c r="AF151" s="6">
        <f>ROUND($Z151*CLS_Inc_Salary2425*VLOOKUP($A151,EnrollData2324,'2324 Jun 24 Enroll'!AI$1,FALSE),2)-AE151</f>
        <v>42.009999999999991</v>
      </c>
      <c r="AG151" cm="1">
        <f t="array" ref="AG151">ROUND(($J151+$R151)*Apport_124X2425,2)</f>
        <v>800.45</v>
      </c>
      <c r="AH151" s="69" cm="1">
        <f t="array" ref="AH151">ROUND(($J151+$R151)*Apport_621X2425*Apport_125XC2425,2)-AG151</f>
        <v>73.899999999999977</v>
      </c>
      <c r="AI151" cm="1">
        <f t="array" ref="AI151">ROUND($Z151*Apport_124X2425,2)</f>
        <v>234.7</v>
      </c>
      <c r="AJ151">
        <f t="shared" si="32"/>
        <v>124.71000000000004</v>
      </c>
      <c r="AK151">
        <f t="shared" si="33"/>
        <v>1011.72</v>
      </c>
      <c r="AL151">
        <f t="shared" si="34"/>
        <v>36.11</v>
      </c>
      <c r="AM151">
        <f t="shared" si="35"/>
        <v>245.86</v>
      </c>
      <c r="AN151">
        <f t="shared" si="36"/>
        <v>7.63</v>
      </c>
      <c r="AO151">
        <f>ROUND(($J151*CIS_Inc_Salary2425*(VLOOKUP($A151,EnrollData2324,'2324 Jun 24 Enroll'!AI$1,FALSE)+VLOOKUP($A151,EnrollData2324,'2324 Jun 24 Enroll'!AJ$1,FALSE))/Apport_613Xpd)*Apport_614Xpd,2)</f>
        <v>86.93</v>
      </c>
      <c r="AP151">
        <f t="shared" si="37"/>
        <v>15.22</v>
      </c>
      <c r="AQ151">
        <f t="shared" si="38"/>
        <v>31.48</v>
      </c>
      <c r="AR151" s="6">
        <f>ROUND((VLOOKUP($A151,EnrollData2324,'2324 Jun 24 Enroll'!D$1,FALSE)*Apport_M802425+VLOOKUP($A151,EnrollData2324,'2324 Jun 24 Enroll'!M$1,FALSE)*Apport_M802425+(VLOOKUP($A151,EnrollData2324,'2324 Jun 24 Enroll'!P$1,FALSE)+VLOOKUP($A151,EnrollData2324,'2324 Jun 24 Enroll'!Q$1,FALSE)+VLOOKUP($A151,EnrollData2324,'2324 Jun 24 Enroll'!R$1,FALSE)+VLOOKUP($A151,EnrollData2324,'2324 Jun 24 Enroll'!I$1,FALSE)+VLOOKUP($A151,EnrollData2324,'2324 Jun 24 Enroll'!N$1,FALSE)+VLOOKUP($A151,EnrollData2324,'2324 Jun 24 Enroll'!O$1,FALSE)+VLOOKUP($A151,EnrollData2324,'2324 Jun 24 Enroll'!K$1,FALSE)+VLOOKUP($A151,EnrollData2324,'2324 Jun 24 Enroll'!L$1,FALSE))*Apport_M812425)/(VLOOKUP($A151,EnrollData2324,'2324 Jun 24 Enroll'!M$1,FALSE)+VLOOKUP($A151,EnrollData2324,'2324 Jun 24 Enroll'!D$1,FALSE)),2)</f>
        <v>1660.09</v>
      </c>
      <c r="AS151" s="7">
        <f t="shared" si="39"/>
        <v>11286.34</v>
      </c>
    </row>
    <row r="152" spans="1:45">
      <c r="A152" s="40" t="s">
        <v>420</v>
      </c>
      <c r="B152" s="40" t="s">
        <v>421</v>
      </c>
      <c r="C152" s="11">
        <f>ROUND((IFERROR((1/IF(VLOOKUP($A152,EnrollData2324,28,FALSE)='District Calculations'!$F$10,VLOOKUP($A152,EnrollData2324,28,FALSE),'District Calculations'!$F$10))*(1+Apport_Z315),0))+Apport_201A2425,6)</f>
        <v>7.4580999999999995E-2</v>
      </c>
      <c r="D152">
        <f>ROUND(IF(VLOOKUP($A152,EnrollData2324,'2324 Jun 24 Enroll'!D$1,FALSE)='District Calculations'!$F$11,VLOOKUP($A152,EnrollData2324,'2324 Jun 24 Enroll'!D$1,FALSE),'District Calculations'!$F$11)*C152,3)</f>
        <v>0</v>
      </c>
      <c r="E152">
        <f>ROUND(IF(VLOOKUP($A152,EnrollData2324,'2324 Jun 24 Enroll'!E$1,FALSE)='District Calculations'!$F$12,VLOOKUP($A152,EnrollData2324,'2324 Jun 24 Enroll'!E$1,FALSE),'District Calculations'!$F$12)*C152,3)</f>
        <v>60.447000000000003</v>
      </c>
      <c r="F152">
        <f>ROUND(IF(VLOOKUP($A152,EnrollData2324,'2324 Jun 24 Enroll'!F$1,FALSE)='District Calculations'!$F$13,VLOOKUP($A152,EnrollData2324,'2324 Jun 24 Enroll'!F$1,FALSE),'District Calculations'!$F$13)*Apport_222A2425,3)</f>
        <v>10.337999999999999</v>
      </c>
      <c r="G152">
        <f>ROUND(IF(VLOOKUP($A152,EnrollData2324,'2324 Jun 24 Enroll'!G$1,FALSE)='District Calculations'!$F$14,VLOOKUP($A152,EnrollData2324,'2324 Jun 24 Enroll'!G$1,FALSE),'District Calculations'!$F$14)*Apport_210A2425,3)</f>
        <v>22.92</v>
      </c>
      <c r="H152">
        <f>ROUND(IF(VLOOKUP($A152,EnrollData2324,'2324 Jun 24 Enroll'!H$1,FALSE)='District Calculations'!$F$15,VLOOKUP($A152,EnrollData2324,'2324 Jun 24 Enroll'!H$1,FALSE),'District Calculations'!$F$15)*Apport_213A2425,3)</f>
        <v>23.619</v>
      </c>
      <c r="I152">
        <f>ROUND(IF(VLOOKUP($A152,EnrollData2324,'2324 Jun 24 Enroll'!I$1,FALSE)+VLOOKUP($A152,EnrollData2324,'2324 Jun 24 Enroll'!M$1,FALSE)-VLOOKUP($A152,EnrollData2324,'2324 Jun 24 Enroll'!J$1,FALSE)='District Calculations'!$F$16+'District Calculations'!$F$25-'District Calculations'!$F$17,VLOOKUP($A152,EnrollData2324,'2324 Jun 24 Enroll'!I$1,FALSE)+VLOOKUP($A152,EnrollData2324,'2324 Jun 24 Enroll'!M$1,FALSE)-VLOOKUP($A152,EnrollData2324,'2324 Jun 24 Enroll'!J$1,FALSE),'District Calculations'!$F$16+'District Calculations'!$F$25-'District Calculations'!$F$17)*Apport_216A2425,3)</f>
        <v>59.057000000000002</v>
      </c>
      <c r="J152">
        <f>ROUND(SUM(D152:I152)/(IF(VLOOKUP($A152,EnrollData2324,'2324 Jun 24 Enroll'!M$1,FALSE)='District Calculations'!$F$25,VLOOKUP($A152,EnrollData2324,'2324 Jun 24 Enroll'!M$1,FALSE),'District Calculations'!$F$25)+IF(VLOOKUP($A152,EnrollData2324,'2324 Jun 24 Enroll'!D$1,FALSE)='District Calculations'!$F$11,VLOOKUP($A152,EnrollData2324,'2324 Jun 24 Enroll'!D$1,FALSE),'District Calculations'!$F$11)),5)</f>
        <v>5.6520000000000001E-2</v>
      </c>
      <c r="K152" s="11">
        <f t="shared" si="30"/>
        <v>4.385E-3</v>
      </c>
      <c r="L152">
        <f>ROUND(IF(VLOOKUP($A152,EnrollData2324,'2324 Jun 24 Enroll'!D$1,FALSE)='District Calculations'!$F$11,VLOOKUP($A152,EnrollData2324,'2324 Jun 24 Enroll'!D$1,FALSE),'District Calculations'!$F$11)*K152,3)</f>
        <v>0</v>
      </c>
      <c r="M152">
        <f>ROUND(IF(VLOOKUP($A152,EnrollData2324,'2324 Jun 24 Enroll'!E$1,FALSE)='District Calculations'!$F$12,VLOOKUP($A152,EnrollData2324,'2324 Jun 24 Enroll'!E$1,FALSE),'District Calculations'!$F$12)*K152,3)</f>
        <v>3.5539999999999998</v>
      </c>
      <c r="N152">
        <f>ROUND(IF(VLOOKUP($A152,EnrollData2324,'2324 Jun 24 Enroll'!F$1,FALSE)='District Calculations'!$F$13,VLOOKUP($A152,EnrollData2324,'2324 Jun 24 Enroll'!F$1,FALSE),'District Calculations'!$F$13)*Apport_223A2425,3)</f>
        <v>0.84599999999999997</v>
      </c>
      <c r="O152">
        <f>ROUND(IF(VLOOKUP($A152,EnrollData2324,'2324 Jun 24 Enroll'!G$1,FALSE)='District Calculations'!$F$14,VLOOKUP($A152,EnrollData2324,'2324 Jun 24 Enroll'!G$1,FALSE),'District Calculations'!$F$14)*Apport_211A2425,3)</f>
        <v>1.877</v>
      </c>
      <c r="P152">
        <f>ROUND(IF(VLOOKUP($A152,EnrollData2324,'2324 Jun 24 Enroll'!H$1,FALSE)='District Calculations'!$F$14,VLOOKUP($A152,EnrollData2324,'2324 Jun 24 Enroll'!H$1,FALSE),'District Calculations'!$F$14)*Apport_214A2425,3)</f>
        <v>1.875</v>
      </c>
      <c r="Q152">
        <f>ROUND(IF(VLOOKUP($A152,EnrollData2324,'2324 Jun 24 Enroll'!I$1,FALSE)+VLOOKUP($A152,EnrollData2324,'2324 Jun 24 Enroll'!M$1,FALSE)-VLOOKUP($A152,EnrollData2324,'2324 Jun 24 Enroll'!J$1,FALSE)='District Calculations'!$F$16+'District Calculations'!$F$25-'District Calculations'!$F$17,VLOOKUP($A152,EnrollData2324,'2324 Jun 24 Enroll'!I$1,FALSE)+VLOOKUP($A152,EnrollData2324,'2324 Jun 24 Enroll'!M$1,FALSE)-VLOOKUP($A152,EnrollData2324,'2324 Jun 24 Enroll'!J$1,FALSE),'District Calculations'!$F$16+'District Calculations'!$F$25-'District Calculations'!$F$17)*Apport_217A2425,3)</f>
        <v>4.7130000000000001</v>
      </c>
      <c r="R152">
        <f>ROUND(SUM(L152:Q152)/IF(VLOOKUP($A152,EnrollData2324,'2324 Jun 24 Enroll'!M$1,FALSE)+VLOOKUP($A152,EnrollData2324,'2324 Jun 24 Enroll'!D$1,FALSE)='District Calculations'!$F$25+'District Calculations'!$F$11,VLOOKUP($A152,EnrollData2324,'2324 Jun 24 Enroll'!M$1,FALSE)+VLOOKUP($A152,EnrollData2324,'2324 Jun 24 Enroll'!D$1,FALSE),'District Calculations'!$F$25+'District Calculations'!$F$11),5)</f>
        <v>4.1200000000000004E-3</v>
      </c>
      <c r="S152" s="11">
        <f t="shared" si="31"/>
        <v>1.8734299999999999E-2</v>
      </c>
      <c r="T152">
        <f>ROUND(IF(VLOOKUP($A152,EnrollData2324,'2324 Jun 24 Enroll'!D$1,FALSE)='District Calculations'!$F$11,VLOOKUP($A152,EnrollData2324,'2324 Jun 24 Enroll'!D$1,FALSE),'District Calculations'!$F$11)*S152,3)</f>
        <v>0</v>
      </c>
      <c r="U152">
        <f>ROUND(IF(VLOOKUP($A152,EnrollData2324,'2324 Jun 24 Enroll'!E$1,FALSE)='District Calculations'!$F$12,VLOOKUP($A152,EnrollData2324,'2324 Jun 24 Enroll'!E$1,FALSE),'District Calculations'!$F$12)*S152,3)</f>
        <v>15.183999999999999</v>
      </c>
      <c r="V152">
        <f>ROUND(IF(VLOOKUP($A152,EnrollData2324,'2324 Jun 24 Enroll'!F$1,FALSE)='District Calculations'!$F$13,VLOOKUP($A152,EnrollData2324,'2324 Jun 24 Enroll'!F$1,FALSE),'District Calculations'!$F$13)*Apport_224A2425,3)</f>
        <v>3.7109999999999999</v>
      </c>
      <c r="W152">
        <f>ROUND(IF(VLOOKUP($A152,EnrollData2324,'2324 Jun 24 Enroll'!G$1,FALSE)='District Calculations'!$F$14,VLOOKUP($A152,EnrollData2324,'2324 Jun 24 Enroll'!G$1,FALSE),'District Calculations'!$F$14)*Apport_212A2425,3)</f>
        <v>8.2279999999999998</v>
      </c>
      <c r="X152">
        <f>ROUND(IF(VLOOKUP($A152,EnrollData2324,'2324 Jun 24 Enroll'!H$1,FALSE)='District Calculations'!$F$14,VLOOKUP($A152,EnrollData2324,'2324 Jun 24 Enroll'!H$1,FALSE),'District Calculations'!$F$14)*Apport_215A2425,3)</f>
        <v>8.1180000000000003</v>
      </c>
      <c r="Y152">
        <f>ROUND(IF(VLOOKUP($A152,EnrollData2324,'2324 Jun 24 Enroll'!I$1,FALSE)+VLOOKUP($A152,EnrollData2324,'2324 Jun 24 Enroll'!M$1,FALSE)-VLOOKUP($A152,EnrollData2324,'2324 Jun 24 Enroll'!J$1,FALSE)='District Calculations'!$F$16+'District Calculations'!$F$25-'District Calculations'!$F$17,VLOOKUP($A152,EnrollData2324,'2324 Jun 24 Enroll'!I$1,FALSE)+VLOOKUP($A152,EnrollData2324,'2324 Jun 24 Enroll'!M$1,FALSE)-VLOOKUP($A152,EnrollData2324,'2324 Jun 24 Enroll'!J$1,FALSE),'District Calculations'!$F$16+'District Calculations'!$F$25-'District Calculations'!$F$17)*Apport_218A2425,3)</f>
        <v>20.257999999999999</v>
      </c>
      <c r="Z152">
        <f>ROUND(SUM(T152:Y152)/IF(VLOOKUP($A152,EnrollData2324,'2324 Jun 24 Enroll'!M$1,FALSE)+VLOOKUP($A152,EnrollData2324,'2324 Jun 24 Enroll'!D$1,FALSE)='District Calculations'!$F$25+'District Calculations'!$F$11,VLOOKUP($A152,EnrollData2324,'2324 Jun 24 Enroll'!M$1,FALSE)+VLOOKUP($A152,EnrollData2324,'2324 Jun 24 Enroll'!D$1,FALSE),'District Calculations'!$F$25+'District Calculations'!$F$11),5)</f>
        <v>1.7780000000000001E-2</v>
      </c>
      <c r="AA152" s="6">
        <f>ROUND($J152*CIS_Base_Salary2425*VLOOKUP($A152,EnrollData2324,'2324 Jun 24 Enroll'!AH$1,FALSE),2)</f>
        <v>4262.68</v>
      </c>
      <c r="AB152" s="6">
        <f>ROUND($J152*CIS_Inc_Salary2425*(VLOOKUP($A152,EnrollData2324,'2324 Jun 24 Enroll'!AI$1,FALSE)+VLOOKUP($A152,EnrollData2324,'2324 Jun 24 Enroll'!AJ$1,FALSE)),2)-AA152</f>
        <v>334.50999999999931</v>
      </c>
      <c r="AC152" s="6" cm="1">
        <f t="array" ref="AC152">ROUND($R152*CAS_Base_Salary2425*VLOOKUP($A152,EnrollData2324,'2324 Jun 24 Enroll'!AH$1,FALSE),2)</f>
        <v>461.23</v>
      </c>
      <c r="AD152" s="6">
        <f>ROUND($R152*CAS_Inc_Salary2425*VLOOKUP($A152,EnrollData2324,'2324 Jun 24 Enroll'!AI$1,FALSE),2)-AC152</f>
        <v>17.069999999999993</v>
      </c>
      <c r="AE152" s="6">
        <f>ROUND($Z152*CLS_Base_Salary2425*VLOOKUP($A152,EnrollData2324,'2324 Jun 24 Enroll'!AH$1,FALSE),2)</f>
        <v>961.95</v>
      </c>
      <c r="AF152" s="6">
        <f>ROUND($Z152*CLS_Inc_Salary2425*VLOOKUP($A152,EnrollData2324,'2324 Jun 24 Enroll'!AI$1,FALSE),2)-AE152</f>
        <v>35.599999999999909</v>
      </c>
      <c r="AG152" cm="1">
        <f t="array" ref="AG152">ROUND(($J152+$R152)*Apport_124X2425,2)</f>
        <v>800.45</v>
      </c>
      <c r="AH152" s="69" cm="1">
        <f t="array" ref="AH152">ROUND(($J152+$R152)*Apport_621X2425*Apport_125XC2425,2)-AG152</f>
        <v>73.899999999999977</v>
      </c>
      <c r="AI152" cm="1">
        <f t="array" ref="AI152">ROUND($Z152*Apport_124X2425,2)</f>
        <v>234.7</v>
      </c>
      <c r="AJ152">
        <f t="shared" si="32"/>
        <v>124.71000000000004</v>
      </c>
      <c r="AK152">
        <f t="shared" si="33"/>
        <v>857.39</v>
      </c>
      <c r="AL152">
        <f t="shared" si="34"/>
        <v>61.56</v>
      </c>
      <c r="AM152">
        <f t="shared" si="35"/>
        <v>208.36</v>
      </c>
      <c r="AN152">
        <f t="shared" si="36"/>
        <v>6.46</v>
      </c>
      <c r="AO152">
        <f>ROUND(($J152*CIS_Inc_Salary2425*(VLOOKUP($A152,EnrollData2324,'2324 Jun 24 Enroll'!AI$1,FALSE)+VLOOKUP($A152,EnrollData2324,'2324 Jun 24 Enroll'!AJ$1,FALSE))/Apport_613Xpd)*Apport_614Xpd,2)</f>
        <v>76.62</v>
      </c>
      <c r="AP152">
        <f t="shared" si="37"/>
        <v>13.42</v>
      </c>
      <c r="AQ152">
        <f t="shared" si="38"/>
        <v>31.48</v>
      </c>
      <c r="AR152" s="6">
        <f>ROUND((VLOOKUP($A152,EnrollData2324,'2324 Jun 24 Enroll'!D$1,FALSE)*Apport_M802425+VLOOKUP($A152,EnrollData2324,'2324 Jun 24 Enroll'!M$1,FALSE)*Apport_M802425+(VLOOKUP($A152,EnrollData2324,'2324 Jun 24 Enroll'!P$1,FALSE)+VLOOKUP($A152,EnrollData2324,'2324 Jun 24 Enroll'!Q$1,FALSE)+VLOOKUP($A152,EnrollData2324,'2324 Jun 24 Enroll'!R$1,FALSE)+VLOOKUP($A152,EnrollData2324,'2324 Jun 24 Enroll'!I$1,FALSE)+VLOOKUP($A152,EnrollData2324,'2324 Jun 24 Enroll'!N$1,FALSE)+VLOOKUP($A152,EnrollData2324,'2324 Jun 24 Enroll'!O$1,FALSE)+VLOOKUP($A152,EnrollData2324,'2324 Jun 24 Enroll'!K$1,FALSE)+VLOOKUP($A152,EnrollData2324,'2324 Jun 24 Enroll'!L$1,FALSE))*Apport_M812425)/(VLOOKUP($A152,EnrollData2324,'2324 Jun 24 Enroll'!M$1,FALSE)+VLOOKUP($A152,EnrollData2324,'2324 Jun 24 Enroll'!D$1,FALSE)),2)</f>
        <v>1533.02</v>
      </c>
      <c r="AS152" s="7">
        <f t="shared" si="39"/>
        <v>10095.109999999999</v>
      </c>
    </row>
    <row r="153" spans="1:45">
      <c r="A153" s="40" t="s">
        <v>440</v>
      </c>
      <c r="B153" s="40" t="s">
        <v>441</v>
      </c>
      <c r="C153" s="11">
        <f>ROUND((IFERROR((1/IF(VLOOKUP($A153,EnrollData2324,28,FALSE)='District Calculations'!$F$10,VLOOKUP($A153,EnrollData2324,28,FALSE),'District Calculations'!$F$10))*(1+Apport_Z315),0))+Apport_201A2425,6)</f>
        <v>7.4580999999999995E-2</v>
      </c>
      <c r="D153">
        <f>ROUND(IF(VLOOKUP($A153,EnrollData2324,'2324 Jun 24 Enroll'!D$1,FALSE)='District Calculations'!$F$11,VLOOKUP($A153,EnrollData2324,'2324 Jun 24 Enroll'!D$1,FALSE),'District Calculations'!$F$11)*C153,3)</f>
        <v>0</v>
      </c>
      <c r="E153">
        <f>ROUND(IF(VLOOKUP($A153,EnrollData2324,'2324 Jun 24 Enroll'!E$1,FALSE)='District Calculations'!$F$12,VLOOKUP($A153,EnrollData2324,'2324 Jun 24 Enroll'!E$1,FALSE),'District Calculations'!$F$12)*C153,3)</f>
        <v>60.447000000000003</v>
      </c>
      <c r="F153">
        <f>ROUND(IF(VLOOKUP($A153,EnrollData2324,'2324 Jun 24 Enroll'!F$1,FALSE)='District Calculations'!$F$13,VLOOKUP($A153,EnrollData2324,'2324 Jun 24 Enroll'!F$1,FALSE),'District Calculations'!$F$13)*Apport_222A2425,3)</f>
        <v>10.337999999999999</v>
      </c>
      <c r="G153">
        <f>ROUND(IF(VLOOKUP($A153,EnrollData2324,'2324 Jun 24 Enroll'!G$1,FALSE)='District Calculations'!$F$14,VLOOKUP($A153,EnrollData2324,'2324 Jun 24 Enroll'!G$1,FALSE),'District Calculations'!$F$14)*Apport_210A2425,3)</f>
        <v>22.92</v>
      </c>
      <c r="H153">
        <f>ROUND(IF(VLOOKUP($A153,EnrollData2324,'2324 Jun 24 Enroll'!H$1,FALSE)='District Calculations'!$F$15,VLOOKUP($A153,EnrollData2324,'2324 Jun 24 Enroll'!H$1,FALSE),'District Calculations'!$F$15)*Apport_213A2425,3)</f>
        <v>23.619</v>
      </c>
      <c r="I153">
        <f>ROUND(IF(VLOOKUP($A153,EnrollData2324,'2324 Jun 24 Enroll'!I$1,FALSE)+VLOOKUP($A153,EnrollData2324,'2324 Jun 24 Enroll'!M$1,FALSE)-VLOOKUP($A153,EnrollData2324,'2324 Jun 24 Enroll'!J$1,FALSE)='District Calculations'!$F$16+'District Calculations'!$F$25-'District Calculations'!$F$17,VLOOKUP($A153,EnrollData2324,'2324 Jun 24 Enroll'!I$1,FALSE)+VLOOKUP($A153,EnrollData2324,'2324 Jun 24 Enroll'!M$1,FALSE)-VLOOKUP($A153,EnrollData2324,'2324 Jun 24 Enroll'!J$1,FALSE),'District Calculations'!$F$16+'District Calculations'!$F$25-'District Calculations'!$F$17)*Apport_216A2425,3)</f>
        <v>59.057000000000002</v>
      </c>
      <c r="J153">
        <f>ROUND(SUM(D153:I153)/(IF(VLOOKUP($A153,EnrollData2324,'2324 Jun 24 Enroll'!M$1,FALSE)='District Calculations'!$F$25,VLOOKUP($A153,EnrollData2324,'2324 Jun 24 Enroll'!M$1,FALSE),'District Calculations'!$F$25)+IF(VLOOKUP($A153,EnrollData2324,'2324 Jun 24 Enroll'!D$1,FALSE)='District Calculations'!$F$11,VLOOKUP($A153,EnrollData2324,'2324 Jun 24 Enroll'!D$1,FALSE),'District Calculations'!$F$11)),5)</f>
        <v>5.6520000000000001E-2</v>
      </c>
      <c r="K153" s="11">
        <f t="shared" si="30"/>
        <v>4.385E-3</v>
      </c>
      <c r="L153">
        <f>ROUND(IF(VLOOKUP($A153,EnrollData2324,'2324 Jun 24 Enroll'!D$1,FALSE)='District Calculations'!$F$11,VLOOKUP($A153,EnrollData2324,'2324 Jun 24 Enroll'!D$1,FALSE),'District Calculations'!$F$11)*K153,3)</f>
        <v>0</v>
      </c>
      <c r="M153">
        <f>ROUND(IF(VLOOKUP($A153,EnrollData2324,'2324 Jun 24 Enroll'!E$1,FALSE)='District Calculations'!$F$12,VLOOKUP($A153,EnrollData2324,'2324 Jun 24 Enroll'!E$1,FALSE),'District Calculations'!$F$12)*K153,3)</f>
        <v>3.5539999999999998</v>
      </c>
      <c r="N153">
        <f>ROUND(IF(VLOOKUP($A153,EnrollData2324,'2324 Jun 24 Enroll'!F$1,FALSE)='District Calculations'!$F$13,VLOOKUP($A153,EnrollData2324,'2324 Jun 24 Enroll'!F$1,FALSE),'District Calculations'!$F$13)*Apport_223A2425,3)</f>
        <v>0.84599999999999997</v>
      </c>
      <c r="O153">
        <f>ROUND(IF(VLOOKUP($A153,EnrollData2324,'2324 Jun 24 Enroll'!G$1,FALSE)='District Calculations'!$F$14,VLOOKUP($A153,EnrollData2324,'2324 Jun 24 Enroll'!G$1,FALSE),'District Calculations'!$F$14)*Apport_211A2425,3)</f>
        <v>1.877</v>
      </c>
      <c r="P153">
        <f>ROUND(IF(VLOOKUP($A153,EnrollData2324,'2324 Jun 24 Enroll'!H$1,FALSE)='District Calculations'!$F$14,VLOOKUP($A153,EnrollData2324,'2324 Jun 24 Enroll'!H$1,FALSE),'District Calculations'!$F$14)*Apport_214A2425,3)</f>
        <v>1.875</v>
      </c>
      <c r="Q153">
        <f>ROUND(IF(VLOOKUP($A153,EnrollData2324,'2324 Jun 24 Enroll'!I$1,FALSE)+VLOOKUP($A153,EnrollData2324,'2324 Jun 24 Enroll'!M$1,FALSE)-VLOOKUP($A153,EnrollData2324,'2324 Jun 24 Enroll'!J$1,FALSE)='District Calculations'!$F$16+'District Calculations'!$F$25-'District Calculations'!$F$17,VLOOKUP($A153,EnrollData2324,'2324 Jun 24 Enroll'!I$1,FALSE)+VLOOKUP($A153,EnrollData2324,'2324 Jun 24 Enroll'!M$1,FALSE)-VLOOKUP($A153,EnrollData2324,'2324 Jun 24 Enroll'!J$1,FALSE),'District Calculations'!$F$16+'District Calculations'!$F$25-'District Calculations'!$F$17)*Apport_217A2425,3)</f>
        <v>4.7130000000000001</v>
      </c>
      <c r="R153">
        <f>ROUND(SUM(L153:Q153)/IF(VLOOKUP($A153,EnrollData2324,'2324 Jun 24 Enroll'!M$1,FALSE)+VLOOKUP($A153,EnrollData2324,'2324 Jun 24 Enroll'!D$1,FALSE)='District Calculations'!$F$25+'District Calculations'!$F$11,VLOOKUP($A153,EnrollData2324,'2324 Jun 24 Enroll'!M$1,FALSE)+VLOOKUP($A153,EnrollData2324,'2324 Jun 24 Enroll'!D$1,FALSE),'District Calculations'!$F$25+'District Calculations'!$F$11),5)</f>
        <v>4.1200000000000004E-3</v>
      </c>
      <c r="S153" s="11">
        <f t="shared" si="31"/>
        <v>1.8734299999999999E-2</v>
      </c>
      <c r="T153">
        <f>ROUND(IF(VLOOKUP($A153,EnrollData2324,'2324 Jun 24 Enroll'!D$1,FALSE)='District Calculations'!$F$11,VLOOKUP($A153,EnrollData2324,'2324 Jun 24 Enroll'!D$1,FALSE),'District Calculations'!$F$11)*S153,3)</f>
        <v>0</v>
      </c>
      <c r="U153">
        <f>ROUND(IF(VLOOKUP($A153,EnrollData2324,'2324 Jun 24 Enroll'!E$1,FALSE)='District Calculations'!$F$12,VLOOKUP($A153,EnrollData2324,'2324 Jun 24 Enroll'!E$1,FALSE),'District Calculations'!$F$12)*S153,3)</f>
        <v>15.183999999999999</v>
      </c>
      <c r="V153">
        <f>ROUND(IF(VLOOKUP($A153,EnrollData2324,'2324 Jun 24 Enroll'!F$1,FALSE)='District Calculations'!$F$13,VLOOKUP($A153,EnrollData2324,'2324 Jun 24 Enroll'!F$1,FALSE),'District Calculations'!$F$13)*Apport_224A2425,3)</f>
        <v>3.7109999999999999</v>
      </c>
      <c r="W153">
        <f>ROUND(IF(VLOOKUP($A153,EnrollData2324,'2324 Jun 24 Enroll'!G$1,FALSE)='District Calculations'!$F$14,VLOOKUP($A153,EnrollData2324,'2324 Jun 24 Enroll'!G$1,FALSE),'District Calculations'!$F$14)*Apport_212A2425,3)</f>
        <v>8.2279999999999998</v>
      </c>
      <c r="X153">
        <f>ROUND(IF(VLOOKUP($A153,EnrollData2324,'2324 Jun 24 Enroll'!H$1,FALSE)='District Calculations'!$F$14,VLOOKUP($A153,EnrollData2324,'2324 Jun 24 Enroll'!H$1,FALSE),'District Calculations'!$F$14)*Apport_215A2425,3)</f>
        <v>8.1180000000000003</v>
      </c>
      <c r="Y153">
        <f>ROUND(IF(VLOOKUP($A153,EnrollData2324,'2324 Jun 24 Enroll'!I$1,FALSE)+VLOOKUP($A153,EnrollData2324,'2324 Jun 24 Enroll'!M$1,FALSE)-VLOOKUP($A153,EnrollData2324,'2324 Jun 24 Enroll'!J$1,FALSE)='District Calculations'!$F$16+'District Calculations'!$F$25-'District Calculations'!$F$17,VLOOKUP($A153,EnrollData2324,'2324 Jun 24 Enroll'!I$1,FALSE)+VLOOKUP($A153,EnrollData2324,'2324 Jun 24 Enroll'!M$1,FALSE)-VLOOKUP($A153,EnrollData2324,'2324 Jun 24 Enroll'!J$1,FALSE),'District Calculations'!$F$16+'District Calculations'!$F$25-'District Calculations'!$F$17)*Apport_218A2425,3)</f>
        <v>20.257999999999999</v>
      </c>
      <c r="Z153">
        <f>ROUND(SUM(T153:Y153)/IF(VLOOKUP($A153,EnrollData2324,'2324 Jun 24 Enroll'!M$1,FALSE)+VLOOKUP($A153,EnrollData2324,'2324 Jun 24 Enroll'!D$1,FALSE)='District Calculations'!$F$25+'District Calculations'!$F$11,VLOOKUP($A153,EnrollData2324,'2324 Jun 24 Enroll'!M$1,FALSE)+VLOOKUP($A153,EnrollData2324,'2324 Jun 24 Enroll'!D$1,FALSE),'District Calculations'!$F$25+'District Calculations'!$F$11),5)</f>
        <v>1.7780000000000001E-2</v>
      </c>
      <c r="AA153" s="6">
        <f>ROUND($J153*CIS_Base_Salary2425*VLOOKUP($A153,EnrollData2324,'2324 Jun 24 Enroll'!AH$1,FALSE),2)</f>
        <v>4774.2</v>
      </c>
      <c r="AB153" s="6">
        <f>ROUND($J153*CIS_Inc_Salary2425*(VLOOKUP($A153,EnrollData2324,'2324 Jun 24 Enroll'!AI$1,FALSE)+VLOOKUP($A153,EnrollData2324,'2324 Jun 24 Enroll'!AJ$1,FALSE)),2)-AA153</f>
        <v>176.61999999999989</v>
      </c>
      <c r="AC153" s="6" cm="1">
        <f t="array" ref="AC153">ROUND($R153*CAS_Base_Salary2425*VLOOKUP($A153,EnrollData2324,'2324 Jun 24 Enroll'!AH$1,FALSE),2)</f>
        <v>516.58000000000004</v>
      </c>
      <c r="AD153" s="6">
        <f>ROUND($R153*CAS_Inc_Salary2425*VLOOKUP($A153,EnrollData2324,'2324 Jun 24 Enroll'!AI$1,FALSE),2)-AC153</f>
        <v>19.110000000000014</v>
      </c>
      <c r="AE153" s="6">
        <f>ROUND($Z153*CLS_Base_Salary2425*VLOOKUP($A153,EnrollData2324,'2324 Jun 24 Enroll'!AH$1,FALSE),2)</f>
        <v>1077.3900000000001</v>
      </c>
      <c r="AF153" s="6">
        <f>ROUND($Z153*CLS_Inc_Salary2425*VLOOKUP($A153,EnrollData2324,'2324 Jun 24 Enroll'!AI$1,FALSE),2)-AE153</f>
        <v>39.8599999999999</v>
      </c>
      <c r="AG153" cm="1">
        <f t="array" ref="AG153">ROUND(($J153+$R153)*Apport_124X2425,2)</f>
        <v>800.45</v>
      </c>
      <c r="AH153" s="69" cm="1">
        <f t="array" ref="AH153">ROUND(($J153+$R153)*Apport_621X2425*Apport_125XC2425,2)-AG153</f>
        <v>73.899999999999977</v>
      </c>
      <c r="AI153" cm="1">
        <f t="array" ref="AI153">ROUND($Z153*Apport_124X2425,2)</f>
        <v>234.7</v>
      </c>
      <c r="AJ153">
        <f t="shared" si="32"/>
        <v>124.71000000000004</v>
      </c>
      <c r="AK153">
        <f t="shared" si="33"/>
        <v>960.28</v>
      </c>
      <c r="AL153">
        <f t="shared" si="34"/>
        <v>34.270000000000003</v>
      </c>
      <c r="AM153">
        <f t="shared" si="35"/>
        <v>233.36</v>
      </c>
      <c r="AN153">
        <f t="shared" si="36"/>
        <v>7.24</v>
      </c>
      <c r="AO153">
        <f>ROUND(($J153*CIS_Inc_Salary2425*(VLOOKUP($A153,EnrollData2324,'2324 Jun 24 Enroll'!AI$1,FALSE)+VLOOKUP($A153,EnrollData2324,'2324 Jun 24 Enroll'!AJ$1,FALSE))/Apport_613Xpd)*Apport_614Xpd,2)</f>
        <v>82.51</v>
      </c>
      <c r="AP153">
        <f t="shared" si="37"/>
        <v>14.45</v>
      </c>
      <c r="AQ153">
        <f t="shared" si="38"/>
        <v>31.48</v>
      </c>
      <c r="AR153" s="6">
        <f>ROUND((VLOOKUP($A153,EnrollData2324,'2324 Jun 24 Enroll'!D$1,FALSE)*Apport_M802425+VLOOKUP($A153,EnrollData2324,'2324 Jun 24 Enroll'!M$1,FALSE)*Apport_M802425+(VLOOKUP($A153,EnrollData2324,'2324 Jun 24 Enroll'!P$1,FALSE)+VLOOKUP($A153,EnrollData2324,'2324 Jun 24 Enroll'!Q$1,FALSE)+VLOOKUP($A153,EnrollData2324,'2324 Jun 24 Enroll'!R$1,FALSE)+VLOOKUP($A153,EnrollData2324,'2324 Jun 24 Enroll'!I$1,FALSE)+VLOOKUP($A153,EnrollData2324,'2324 Jun 24 Enroll'!N$1,FALSE)+VLOOKUP($A153,EnrollData2324,'2324 Jun 24 Enroll'!O$1,FALSE)+VLOOKUP($A153,EnrollData2324,'2324 Jun 24 Enroll'!K$1,FALSE)+VLOOKUP($A153,EnrollData2324,'2324 Jun 24 Enroll'!L$1,FALSE))*Apport_M812425)/(VLOOKUP($A153,EnrollData2324,'2324 Jun 24 Enroll'!M$1,FALSE)+VLOOKUP($A153,EnrollData2324,'2324 Jun 24 Enroll'!D$1,FALSE)),2)</f>
        <v>1606.76</v>
      </c>
      <c r="AS153" s="7">
        <f t="shared" si="39"/>
        <v>10807.87</v>
      </c>
    </row>
    <row r="154" spans="1:45">
      <c r="A154" s="40" t="s">
        <v>819</v>
      </c>
      <c r="B154" s="40" t="s">
        <v>820</v>
      </c>
      <c r="C154" s="11">
        <f>ROUND((IFERROR((1/IF(VLOOKUP($A154,EnrollData2324,28,FALSE)='District Calculations'!$F$10,VLOOKUP($A154,EnrollData2324,28,FALSE),'District Calculations'!$F$10))*(1+Apport_Z315),0))+Apport_201A2425,6)</f>
        <v>7.4580999999999995E-2</v>
      </c>
      <c r="D154">
        <f>ROUND(IF(VLOOKUP($A154,EnrollData2324,'2324 Jun 24 Enroll'!D$1,FALSE)='District Calculations'!$F$11,VLOOKUP($A154,EnrollData2324,'2324 Jun 24 Enroll'!D$1,FALSE),'District Calculations'!$F$11)*C154,3)</f>
        <v>0</v>
      </c>
      <c r="E154">
        <f>ROUND(IF(VLOOKUP($A154,EnrollData2324,'2324 Jun 24 Enroll'!E$1,FALSE)='District Calculations'!$F$12,VLOOKUP($A154,EnrollData2324,'2324 Jun 24 Enroll'!E$1,FALSE),'District Calculations'!$F$12)*C154,3)</f>
        <v>60.447000000000003</v>
      </c>
      <c r="F154">
        <f>ROUND(IF(VLOOKUP($A154,EnrollData2324,'2324 Jun 24 Enroll'!F$1,FALSE)='District Calculations'!$F$13,VLOOKUP($A154,EnrollData2324,'2324 Jun 24 Enroll'!F$1,FALSE),'District Calculations'!$F$13)*Apport_222A2425,3)</f>
        <v>10.337999999999999</v>
      </c>
      <c r="G154">
        <f>ROUND(IF(VLOOKUP($A154,EnrollData2324,'2324 Jun 24 Enroll'!G$1,FALSE)='District Calculations'!$F$14,VLOOKUP($A154,EnrollData2324,'2324 Jun 24 Enroll'!G$1,FALSE),'District Calculations'!$F$14)*Apport_210A2425,3)</f>
        <v>22.92</v>
      </c>
      <c r="H154">
        <f>ROUND(IF(VLOOKUP($A154,EnrollData2324,'2324 Jun 24 Enroll'!H$1,FALSE)='District Calculations'!$F$15,VLOOKUP($A154,EnrollData2324,'2324 Jun 24 Enroll'!H$1,FALSE),'District Calculations'!$F$15)*Apport_213A2425,3)</f>
        <v>23.619</v>
      </c>
      <c r="I154">
        <f>ROUND(IF(VLOOKUP($A154,EnrollData2324,'2324 Jun 24 Enroll'!I$1,FALSE)+VLOOKUP($A154,EnrollData2324,'2324 Jun 24 Enroll'!M$1,FALSE)-VLOOKUP($A154,EnrollData2324,'2324 Jun 24 Enroll'!J$1,FALSE)='District Calculations'!$F$16+'District Calculations'!$F$25-'District Calculations'!$F$17,VLOOKUP($A154,EnrollData2324,'2324 Jun 24 Enroll'!I$1,FALSE)+VLOOKUP($A154,EnrollData2324,'2324 Jun 24 Enroll'!M$1,FALSE)-VLOOKUP($A154,EnrollData2324,'2324 Jun 24 Enroll'!J$1,FALSE),'District Calculations'!$F$16+'District Calculations'!$F$25-'District Calculations'!$F$17)*Apport_216A2425,3)</f>
        <v>59.057000000000002</v>
      </c>
      <c r="J154">
        <f>ROUND(SUM(D154:I154)/(IF(VLOOKUP($A154,EnrollData2324,'2324 Jun 24 Enroll'!M$1,FALSE)='District Calculations'!$F$25,VLOOKUP($A154,EnrollData2324,'2324 Jun 24 Enroll'!M$1,FALSE),'District Calculations'!$F$25)+IF(VLOOKUP($A154,EnrollData2324,'2324 Jun 24 Enroll'!D$1,FALSE)='District Calculations'!$F$11,VLOOKUP($A154,EnrollData2324,'2324 Jun 24 Enroll'!D$1,FALSE),'District Calculations'!$F$11)),5)</f>
        <v>5.6520000000000001E-2</v>
      </c>
      <c r="K154" s="11">
        <f t="shared" si="30"/>
        <v>4.385E-3</v>
      </c>
      <c r="L154">
        <f>ROUND(IF(VLOOKUP($A154,EnrollData2324,'2324 Jun 24 Enroll'!D$1,FALSE)='District Calculations'!$F$11,VLOOKUP($A154,EnrollData2324,'2324 Jun 24 Enroll'!D$1,FALSE),'District Calculations'!$F$11)*K154,3)</f>
        <v>0</v>
      </c>
      <c r="M154">
        <f>ROUND(IF(VLOOKUP($A154,EnrollData2324,'2324 Jun 24 Enroll'!E$1,FALSE)='District Calculations'!$F$12,VLOOKUP($A154,EnrollData2324,'2324 Jun 24 Enroll'!E$1,FALSE),'District Calculations'!$F$12)*K154,3)</f>
        <v>3.5539999999999998</v>
      </c>
      <c r="N154">
        <f>ROUND(IF(VLOOKUP($A154,EnrollData2324,'2324 Jun 24 Enroll'!F$1,FALSE)='District Calculations'!$F$13,VLOOKUP($A154,EnrollData2324,'2324 Jun 24 Enroll'!F$1,FALSE),'District Calculations'!$F$13)*Apport_223A2425,3)</f>
        <v>0.84599999999999997</v>
      </c>
      <c r="O154">
        <f>ROUND(IF(VLOOKUP($A154,EnrollData2324,'2324 Jun 24 Enroll'!G$1,FALSE)='District Calculations'!$F$14,VLOOKUP($A154,EnrollData2324,'2324 Jun 24 Enroll'!G$1,FALSE),'District Calculations'!$F$14)*Apport_211A2425,3)</f>
        <v>1.877</v>
      </c>
      <c r="P154">
        <f>ROUND(IF(VLOOKUP($A154,EnrollData2324,'2324 Jun 24 Enroll'!H$1,FALSE)='District Calculations'!$F$14,VLOOKUP($A154,EnrollData2324,'2324 Jun 24 Enroll'!H$1,FALSE),'District Calculations'!$F$14)*Apport_214A2425,3)</f>
        <v>1.875</v>
      </c>
      <c r="Q154">
        <f>ROUND(IF(VLOOKUP($A154,EnrollData2324,'2324 Jun 24 Enroll'!I$1,FALSE)+VLOOKUP($A154,EnrollData2324,'2324 Jun 24 Enroll'!M$1,FALSE)-VLOOKUP($A154,EnrollData2324,'2324 Jun 24 Enroll'!J$1,FALSE)='District Calculations'!$F$16+'District Calculations'!$F$25-'District Calculations'!$F$17,VLOOKUP($A154,EnrollData2324,'2324 Jun 24 Enroll'!I$1,FALSE)+VLOOKUP($A154,EnrollData2324,'2324 Jun 24 Enroll'!M$1,FALSE)-VLOOKUP($A154,EnrollData2324,'2324 Jun 24 Enroll'!J$1,FALSE),'District Calculations'!$F$16+'District Calculations'!$F$25-'District Calculations'!$F$17)*Apport_217A2425,3)</f>
        <v>4.7130000000000001</v>
      </c>
      <c r="R154">
        <f>ROUND(SUM(L154:Q154)/IF(VLOOKUP($A154,EnrollData2324,'2324 Jun 24 Enroll'!M$1,FALSE)+VLOOKUP($A154,EnrollData2324,'2324 Jun 24 Enroll'!D$1,FALSE)='District Calculations'!$F$25+'District Calculations'!$F$11,VLOOKUP($A154,EnrollData2324,'2324 Jun 24 Enroll'!M$1,FALSE)+VLOOKUP($A154,EnrollData2324,'2324 Jun 24 Enroll'!D$1,FALSE),'District Calculations'!$F$25+'District Calculations'!$F$11),5)</f>
        <v>4.1200000000000004E-3</v>
      </c>
      <c r="S154" s="11">
        <f t="shared" si="31"/>
        <v>1.8734299999999999E-2</v>
      </c>
      <c r="T154">
        <f>ROUND(IF(VLOOKUP($A154,EnrollData2324,'2324 Jun 24 Enroll'!D$1,FALSE)='District Calculations'!$F$11,VLOOKUP($A154,EnrollData2324,'2324 Jun 24 Enroll'!D$1,FALSE),'District Calculations'!$F$11)*S154,3)</f>
        <v>0</v>
      </c>
      <c r="U154">
        <f>ROUND(IF(VLOOKUP($A154,EnrollData2324,'2324 Jun 24 Enroll'!E$1,FALSE)='District Calculations'!$F$12,VLOOKUP($A154,EnrollData2324,'2324 Jun 24 Enroll'!E$1,FALSE),'District Calculations'!$F$12)*S154,3)</f>
        <v>15.183999999999999</v>
      </c>
      <c r="V154">
        <f>ROUND(IF(VLOOKUP($A154,EnrollData2324,'2324 Jun 24 Enroll'!F$1,FALSE)='District Calculations'!$F$13,VLOOKUP($A154,EnrollData2324,'2324 Jun 24 Enroll'!F$1,FALSE),'District Calculations'!$F$13)*Apport_224A2425,3)</f>
        <v>3.7109999999999999</v>
      </c>
      <c r="W154">
        <f>ROUND(IF(VLOOKUP($A154,EnrollData2324,'2324 Jun 24 Enroll'!G$1,FALSE)='District Calculations'!$F$14,VLOOKUP($A154,EnrollData2324,'2324 Jun 24 Enroll'!G$1,FALSE),'District Calculations'!$F$14)*Apport_212A2425,3)</f>
        <v>8.2279999999999998</v>
      </c>
      <c r="X154">
        <f>ROUND(IF(VLOOKUP($A154,EnrollData2324,'2324 Jun 24 Enroll'!H$1,FALSE)='District Calculations'!$F$14,VLOOKUP($A154,EnrollData2324,'2324 Jun 24 Enroll'!H$1,FALSE),'District Calculations'!$F$14)*Apport_215A2425,3)</f>
        <v>8.1180000000000003</v>
      </c>
      <c r="Y154">
        <f>ROUND(IF(VLOOKUP($A154,EnrollData2324,'2324 Jun 24 Enroll'!I$1,FALSE)+VLOOKUP($A154,EnrollData2324,'2324 Jun 24 Enroll'!M$1,FALSE)-VLOOKUP($A154,EnrollData2324,'2324 Jun 24 Enroll'!J$1,FALSE)='District Calculations'!$F$16+'District Calculations'!$F$25-'District Calculations'!$F$17,VLOOKUP($A154,EnrollData2324,'2324 Jun 24 Enroll'!I$1,FALSE)+VLOOKUP($A154,EnrollData2324,'2324 Jun 24 Enroll'!M$1,FALSE)-VLOOKUP($A154,EnrollData2324,'2324 Jun 24 Enroll'!J$1,FALSE),'District Calculations'!$F$16+'District Calculations'!$F$25-'District Calculations'!$F$17)*Apport_218A2425,3)</f>
        <v>20.257999999999999</v>
      </c>
      <c r="Z154">
        <f>ROUND(SUM(T154:Y154)/IF(VLOOKUP($A154,EnrollData2324,'2324 Jun 24 Enroll'!M$1,FALSE)+VLOOKUP($A154,EnrollData2324,'2324 Jun 24 Enroll'!D$1,FALSE)='District Calculations'!$F$25+'District Calculations'!$F$11,VLOOKUP($A154,EnrollData2324,'2324 Jun 24 Enroll'!M$1,FALSE)+VLOOKUP($A154,EnrollData2324,'2324 Jun 24 Enroll'!D$1,FALSE),'District Calculations'!$F$25+'District Calculations'!$F$11),5)</f>
        <v>1.7780000000000001E-2</v>
      </c>
      <c r="AA154" s="6">
        <f>ROUND($J154*CIS_Base_Salary2425*VLOOKUP($A154,EnrollData2324,'2324 Jun 24 Enroll'!AH$1,FALSE),2)</f>
        <v>4518.4399999999996</v>
      </c>
      <c r="AB154" s="6">
        <f>ROUND($J154*CIS_Inc_Salary2425*(VLOOKUP($A154,EnrollData2324,'2324 Jun 24 Enroll'!AI$1,FALSE)+VLOOKUP($A154,EnrollData2324,'2324 Jun 24 Enroll'!AJ$1,FALSE)),2)-AA154</f>
        <v>167.16000000000076</v>
      </c>
      <c r="AC154" s="6" cm="1">
        <f t="array" ref="AC154">ROUND($R154*CAS_Base_Salary2425*VLOOKUP($A154,EnrollData2324,'2324 Jun 24 Enroll'!AH$1,FALSE),2)</f>
        <v>488.91</v>
      </c>
      <c r="AD154" s="6">
        <f>ROUND($R154*CAS_Inc_Salary2425*VLOOKUP($A154,EnrollData2324,'2324 Jun 24 Enroll'!AI$1,FALSE),2)-AC154</f>
        <v>18.089999999999975</v>
      </c>
      <c r="AE154" s="6">
        <f>ROUND($Z154*CLS_Base_Salary2425*VLOOKUP($A154,EnrollData2324,'2324 Jun 24 Enroll'!AH$1,FALSE),2)</f>
        <v>1019.67</v>
      </c>
      <c r="AF154" s="6">
        <f>ROUND($Z154*CLS_Inc_Salary2425*VLOOKUP($A154,EnrollData2324,'2324 Jun 24 Enroll'!AI$1,FALSE),2)-AE154</f>
        <v>37.730000000000132</v>
      </c>
      <c r="AG154" cm="1">
        <f t="array" ref="AG154">ROUND(($J154+$R154)*Apport_124X2425,2)</f>
        <v>800.45</v>
      </c>
      <c r="AH154" s="69" cm="1">
        <f t="array" ref="AH154">ROUND(($J154+$R154)*Apport_621X2425*Apport_125XC2425,2)-AG154</f>
        <v>73.899999999999977</v>
      </c>
      <c r="AI154" cm="1">
        <f t="array" ref="AI154">ROUND($Z154*Apport_124X2425,2)</f>
        <v>234.7</v>
      </c>
      <c r="AJ154">
        <f t="shared" si="32"/>
        <v>124.71000000000004</v>
      </c>
      <c r="AK154">
        <f t="shared" si="33"/>
        <v>908.83</v>
      </c>
      <c r="AL154">
        <f t="shared" si="34"/>
        <v>32.44</v>
      </c>
      <c r="AM154">
        <f t="shared" si="35"/>
        <v>220.86</v>
      </c>
      <c r="AN154">
        <f t="shared" si="36"/>
        <v>6.85</v>
      </c>
      <c r="AO154">
        <f>ROUND(($J154*CIS_Inc_Salary2425*(VLOOKUP($A154,EnrollData2324,'2324 Jun 24 Enroll'!AI$1,FALSE)+VLOOKUP($A154,EnrollData2324,'2324 Jun 24 Enroll'!AJ$1,FALSE))/Apport_613Xpd)*Apport_614Xpd,2)</f>
        <v>78.09</v>
      </c>
      <c r="AP154">
        <f t="shared" si="37"/>
        <v>13.67</v>
      </c>
      <c r="AQ154">
        <f t="shared" si="38"/>
        <v>31.48</v>
      </c>
      <c r="AR154" s="6">
        <f>ROUND((VLOOKUP($A154,EnrollData2324,'2324 Jun 24 Enroll'!D$1,FALSE)*Apport_M802425+VLOOKUP($A154,EnrollData2324,'2324 Jun 24 Enroll'!M$1,FALSE)*Apport_M802425+(VLOOKUP($A154,EnrollData2324,'2324 Jun 24 Enroll'!P$1,FALSE)+VLOOKUP($A154,EnrollData2324,'2324 Jun 24 Enroll'!Q$1,FALSE)+VLOOKUP($A154,EnrollData2324,'2324 Jun 24 Enroll'!R$1,FALSE)+VLOOKUP($A154,EnrollData2324,'2324 Jun 24 Enroll'!I$1,FALSE)+VLOOKUP($A154,EnrollData2324,'2324 Jun 24 Enroll'!N$1,FALSE)+VLOOKUP($A154,EnrollData2324,'2324 Jun 24 Enroll'!O$1,FALSE)+VLOOKUP($A154,EnrollData2324,'2324 Jun 24 Enroll'!K$1,FALSE)+VLOOKUP($A154,EnrollData2324,'2324 Jun 24 Enroll'!L$1,FALSE))*Apport_M812425)/(VLOOKUP($A154,EnrollData2324,'2324 Jun 24 Enroll'!M$1,FALSE)+VLOOKUP($A154,EnrollData2324,'2324 Jun 24 Enroll'!D$1,FALSE)),2)</f>
        <v>1568.69</v>
      </c>
      <c r="AS154" s="7">
        <f t="shared" si="39"/>
        <v>10344.670000000002</v>
      </c>
    </row>
    <row r="155" spans="1:45">
      <c r="A155" s="40" t="s">
        <v>444</v>
      </c>
      <c r="B155" s="40" t="s">
        <v>445</v>
      </c>
      <c r="C155" s="11">
        <f>ROUND((IFERROR((1/IF(VLOOKUP($A155,EnrollData2324,28,FALSE)='District Calculations'!$F$10,VLOOKUP($A155,EnrollData2324,28,FALSE),'District Calculations'!$F$10))*(1+Apport_Z315),0))+Apport_201A2425,6)</f>
        <v>7.4580999999999995E-2</v>
      </c>
      <c r="D155">
        <f>ROUND(IF(VLOOKUP($A155,EnrollData2324,'2324 Jun 24 Enroll'!D$1,FALSE)='District Calculations'!$F$11,VLOOKUP($A155,EnrollData2324,'2324 Jun 24 Enroll'!D$1,FALSE),'District Calculations'!$F$11)*C155,3)</f>
        <v>0</v>
      </c>
      <c r="E155">
        <f>ROUND(IF(VLOOKUP($A155,EnrollData2324,'2324 Jun 24 Enroll'!E$1,FALSE)='District Calculations'!$F$12,VLOOKUP($A155,EnrollData2324,'2324 Jun 24 Enroll'!E$1,FALSE),'District Calculations'!$F$12)*C155,3)</f>
        <v>60.447000000000003</v>
      </c>
      <c r="F155">
        <f>ROUND(IF(VLOOKUP($A155,EnrollData2324,'2324 Jun 24 Enroll'!F$1,FALSE)='District Calculations'!$F$13,VLOOKUP($A155,EnrollData2324,'2324 Jun 24 Enroll'!F$1,FALSE),'District Calculations'!$F$13)*Apport_222A2425,3)</f>
        <v>10.337999999999999</v>
      </c>
      <c r="G155">
        <f>ROUND(IF(VLOOKUP($A155,EnrollData2324,'2324 Jun 24 Enroll'!G$1,FALSE)='District Calculations'!$F$14,VLOOKUP($A155,EnrollData2324,'2324 Jun 24 Enroll'!G$1,FALSE),'District Calculations'!$F$14)*Apport_210A2425,3)</f>
        <v>22.92</v>
      </c>
      <c r="H155">
        <f>ROUND(IF(VLOOKUP($A155,EnrollData2324,'2324 Jun 24 Enroll'!H$1,FALSE)='District Calculations'!$F$15,VLOOKUP($A155,EnrollData2324,'2324 Jun 24 Enroll'!H$1,FALSE),'District Calculations'!$F$15)*Apport_213A2425,3)</f>
        <v>23.619</v>
      </c>
      <c r="I155">
        <f>ROUND(IF(VLOOKUP($A155,EnrollData2324,'2324 Jun 24 Enroll'!I$1,FALSE)+VLOOKUP($A155,EnrollData2324,'2324 Jun 24 Enroll'!M$1,FALSE)-VLOOKUP($A155,EnrollData2324,'2324 Jun 24 Enroll'!J$1,FALSE)='District Calculations'!$F$16+'District Calculations'!$F$25-'District Calculations'!$F$17,VLOOKUP($A155,EnrollData2324,'2324 Jun 24 Enroll'!I$1,FALSE)+VLOOKUP($A155,EnrollData2324,'2324 Jun 24 Enroll'!M$1,FALSE)-VLOOKUP($A155,EnrollData2324,'2324 Jun 24 Enroll'!J$1,FALSE),'District Calculations'!$F$16+'District Calculations'!$F$25-'District Calculations'!$F$17)*Apport_216A2425,3)</f>
        <v>59.057000000000002</v>
      </c>
      <c r="J155">
        <f>ROUND(SUM(D155:I155)/(IF(VLOOKUP($A155,EnrollData2324,'2324 Jun 24 Enroll'!M$1,FALSE)='District Calculations'!$F$25,VLOOKUP($A155,EnrollData2324,'2324 Jun 24 Enroll'!M$1,FALSE),'District Calculations'!$F$25)+IF(VLOOKUP($A155,EnrollData2324,'2324 Jun 24 Enroll'!D$1,FALSE)='District Calculations'!$F$11,VLOOKUP($A155,EnrollData2324,'2324 Jun 24 Enroll'!D$1,FALSE),'District Calculations'!$F$11)),5)</f>
        <v>5.6520000000000001E-2</v>
      </c>
      <c r="K155" s="11">
        <f t="shared" si="30"/>
        <v>4.385E-3</v>
      </c>
      <c r="L155">
        <f>ROUND(IF(VLOOKUP($A155,EnrollData2324,'2324 Jun 24 Enroll'!D$1,FALSE)='District Calculations'!$F$11,VLOOKUP($A155,EnrollData2324,'2324 Jun 24 Enroll'!D$1,FALSE),'District Calculations'!$F$11)*K155,3)</f>
        <v>0</v>
      </c>
      <c r="M155">
        <f>ROUND(IF(VLOOKUP($A155,EnrollData2324,'2324 Jun 24 Enroll'!E$1,FALSE)='District Calculations'!$F$12,VLOOKUP($A155,EnrollData2324,'2324 Jun 24 Enroll'!E$1,FALSE),'District Calculations'!$F$12)*K155,3)</f>
        <v>3.5539999999999998</v>
      </c>
      <c r="N155">
        <f>ROUND(IF(VLOOKUP($A155,EnrollData2324,'2324 Jun 24 Enroll'!F$1,FALSE)='District Calculations'!$F$13,VLOOKUP($A155,EnrollData2324,'2324 Jun 24 Enroll'!F$1,FALSE),'District Calculations'!$F$13)*Apport_223A2425,3)</f>
        <v>0.84599999999999997</v>
      </c>
      <c r="O155">
        <f>ROUND(IF(VLOOKUP($A155,EnrollData2324,'2324 Jun 24 Enroll'!G$1,FALSE)='District Calculations'!$F$14,VLOOKUP($A155,EnrollData2324,'2324 Jun 24 Enroll'!G$1,FALSE),'District Calculations'!$F$14)*Apport_211A2425,3)</f>
        <v>1.877</v>
      </c>
      <c r="P155">
        <f>ROUND(IF(VLOOKUP($A155,EnrollData2324,'2324 Jun 24 Enroll'!H$1,FALSE)='District Calculations'!$F$14,VLOOKUP($A155,EnrollData2324,'2324 Jun 24 Enroll'!H$1,FALSE),'District Calculations'!$F$14)*Apport_214A2425,3)</f>
        <v>1.875</v>
      </c>
      <c r="Q155">
        <f>ROUND(IF(VLOOKUP($A155,EnrollData2324,'2324 Jun 24 Enroll'!I$1,FALSE)+VLOOKUP($A155,EnrollData2324,'2324 Jun 24 Enroll'!M$1,FALSE)-VLOOKUP($A155,EnrollData2324,'2324 Jun 24 Enroll'!J$1,FALSE)='District Calculations'!$F$16+'District Calculations'!$F$25-'District Calculations'!$F$17,VLOOKUP($A155,EnrollData2324,'2324 Jun 24 Enroll'!I$1,FALSE)+VLOOKUP($A155,EnrollData2324,'2324 Jun 24 Enroll'!M$1,FALSE)-VLOOKUP($A155,EnrollData2324,'2324 Jun 24 Enroll'!J$1,FALSE),'District Calculations'!$F$16+'District Calculations'!$F$25-'District Calculations'!$F$17)*Apport_217A2425,3)</f>
        <v>4.7130000000000001</v>
      </c>
      <c r="R155">
        <f>ROUND(SUM(L155:Q155)/IF(VLOOKUP($A155,EnrollData2324,'2324 Jun 24 Enroll'!M$1,FALSE)+VLOOKUP($A155,EnrollData2324,'2324 Jun 24 Enroll'!D$1,FALSE)='District Calculations'!$F$25+'District Calculations'!$F$11,VLOOKUP($A155,EnrollData2324,'2324 Jun 24 Enroll'!M$1,FALSE)+VLOOKUP($A155,EnrollData2324,'2324 Jun 24 Enroll'!D$1,FALSE),'District Calculations'!$F$25+'District Calculations'!$F$11),5)</f>
        <v>4.1200000000000004E-3</v>
      </c>
      <c r="S155" s="11">
        <f t="shared" si="31"/>
        <v>1.8734299999999999E-2</v>
      </c>
      <c r="T155">
        <f>ROUND(IF(VLOOKUP($A155,EnrollData2324,'2324 Jun 24 Enroll'!D$1,FALSE)='District Calculations'!$F$11,VLOOKUP($A155,EnrollData2324,'2324 Jun 24 Enroll'!D$1,FALSE),'District Calculations'!$F$11)*S155,3)</f>
        <v>0</v>
      </c>
      <c r="U155">
        <f>ROUND(IF(VLOOKUP($A155,EnrollData2324,'2324 Jun 24 Enroll'!E$1,FALSE)='District Calculations'!$F$12,VLOOKUP($A155,EnrollData2324,'2324 Jun 24 Enroll'!E$1,FALSE),'District Calculations'!$F$12)*S155,3)</f>
        <v>15.183999999999999</v>
      </c>
      <c r="V155">
        <f>ROUND(IF(VLOOKUP($A155,EnrollData2324,'2324 Jun 24 Enroll'!F$1,FALSE)='District Calculations'!$F$13,VLOOKUP($A155,EnrollData2324,'2324 Jun 24 Enroll'!F$1,FALSE),'District Calculations'!$F$13)*Apport_224A2425,3)</f>
        <v>3.7109999999999999</v>
      </c>
      <c r="W155">
        <f>ROUND(IF(VLOOKUP($A155,EnrollData2324,'2324 Jun 24 Enroll'!G$1,FALSE)='District Calculations'!$F$14,VLOOKUP($A155,EnrollData2324,'2324 Jun 24 Enroll'!G$1,FALSE),'District Calculations'!$F$14)*Apport_212A2425,3)</f>
        <v>8.2279999999999998</v>
      </c>
      <c r="X155">
        <f>ROUND(IF(VLOOKUP($A155,EnrollData2324,'2324 Jun 24 Enroll'!H$1,FALSE)='District Calculations'!$F$14,VLOOKUP($A155,EnrollData2324,'2324 Jun 24 Enroll'!H$1,FALSE),'District Calculations'!$F$14)*Apport_215A2425,3)</f>
        <v>8.1180000000000003</v>
      </c>
      <c r="Y155">
        <f>ROUND(IF(VLOOKUP($A155,EnrollData2324,'2324 Jun 24 Enroll'!I$1,FALSE)+VLOOKUP($A155,EnrollData2324,'2324 Jun 24 Enroll'!M$1,FALSE)-VLOOKUP($A155,EnrollData2324,'2324 Jun 24 Enroll'!J$1,FALSE)='District Calculations'!$F$16+'District Calculations'!$F$25-'District Calculations'!$F$17,VLOOKUP($A155,EnrollData2324,'2324 Jun 24 Enroll'!I$1,FALSE)+VLOOKUP($A155,EnrollData2324,'2324 Jun 24 Enroll'!M$1,FALSE)-VLOOKUP($A155,EnrollData2324,'2324 Jun 24 Enroll'!J$1,FALSE),'District Calculations'!$F$16+'District Calculations'!$F$25-'District Calculations'!$F$17)*Apport_218A2425,3)</f>
        <v>20.257999999999999</v>
      </c>
      <c r="Z155">
        <f>ROUND(SUM(T155:Y155)/IF(VLOOKUP($A155,EnrollData2324,'2324 Jun 24 Enroll'!M$1,FALSE)+VLOOKUP($A155,EnrollData2324,'2324 Jun 24 Enroll'!D$1,FALSE)='District Calculations'!$F$25+'District Calculations'!$F$11,VLOOKUP($A155,EnrollData2324,'2324 Jun 24 Enroll'!M$1,FALSE)+VLOOKUP($A155,EnrollData2324,'2324 Jun 24 Enroll'!D$1,FALSE),'District Calculations'!$F$25+'District Calculations'!$F$11),5)</f>
        <v>1.7780000000000001E-2</v>
      </c>
      <c r="AA155" s="6">
        <f>ROUND($J155*CIS_Base_Salary2425*VLOOKUP($A155,EnrollData2324,'2324 Jun 24 Enroll'!AH$1,FALSE),2)</f>
        <v>4262.68</v>
      </c>
      <c r="AB155" s="6">
        <f>ROUND($J155*CIS_Inc_Salary2425*(VLOOKUP($A155,EnrollData2324,'2324 Jun 24 Enroll'!AI$1,FALSE)+VLOOKUP($A155,EnrollData2324,'2324 Jun 24 Enroll'!AJ$1,FALSE)),2)-AA155</f>
        <v>157.6899999999996</v>
      </c>
      <c r="AC155" s="6" cm="1">
        <f t="array" ref="AC155">ROUND($R155*CAS_Base_Salary2425*VLOOKUP($A155,EnrollData2324,'2324 Jun 24 Enroll'!AH$1,FALSE),2)</f>
        <v>461.23</v>
      </c>
      <c r="AD155" s="6">
        <f>ROUND($R155*CAS_Inc_Salary2425*VLOOKUP($A155,EnrollData2324,'2324 Jun 24 Enroll'!AI$1,FALSE),2)-AC155</f>
        <v>17.069999999999993</v>
      </c>
      <c r="AE155" s="6">
        <f>ROUND($Z155*CLS_Base_Salary2425*VLOOKUP($A155,EnrollData2324,'2324 Jun 24 Enroll'!AH$1,FALSE),2)</f>
        <v>961.95</v>
      </c>
      <c r="AF155" s="6">
        <f>ROUND($Z155*CLS_Inc_Salary2425*VLOOKUP($A155,EnrollData2324,'2324 Jun 24 Enroll'!AI$1,FALSE),2)-AE155</f>
        <v>35.599999999999909</v>
      </c>
      <c r="AG155" cm="1">
        <f t="array" ref="AG155">ROUND(($J155+$R155)*Apport_124X2425,2)</f>
        <v>800.45</v>
      </c>
      <c r="AH155" s="69" cm="1">
        <f t="array" ref="AH155">ROUND(($J155+$R155)*Apport_621X2425*Apport_125XC2425,2)-AG155</f>
        <v>73.899999999999977</v>
      </c>
      <c r="AI155" cm="1">
        <f t="array" ref="AI155">ROUND($Z155*Apport_124X2425,2)</f>
        <v>234.7</v>
      </c>
      <c r="AJ155">
        <f t="shared" si="32"/>
        <v>124.71000000000004</v>
      </c>
      <c r="AK155">
        <f t="shared" si="33"/>
        <v>857.39</v>
      </c>
      <c r="AL155">
        <f t="shared" si="34"/>
        <v>30.6</v>
      </c>
      <c r="AM155">
        <f t="shared" si="35"/>
        <v>208.36</v>
      </c>
      <c r="AN155">
        <f t="shared" si="36"/>
        <v>6.46</v>
      </c>
      <c r="AO155">
        <f>ROUND(($J155*CIS_Inc_Salary2425*(VLOOKUP($A155,EnrollData2324,'2324 Jun 24 Enroll'!AI$1,FALSE)+VLOOKUP($A155,EnrollData2324,'2324 Jun 24 Enroll'!AJ$1,FALSE))/Apport_613Xpd)*Apport_614Xpd,2)</f>
        <v>73.67</v>
      </c>
      <c r="AP155">
        <f t="shared" si="37"/>
        <v>12.9</v>
      </c>
      <c r="AQ155">
        <f t="shared" si="38"/>
        <v>31.48</v>
      </c>
      <c r="AR155" s="6">
        <f>ROUND((VLOOKUP($A155,EnrollData2324,'2324 Jun 24 Enroll'!D$1,FALSE)*Apport_M802425+VLOOKUP($A155,EnrollData2324,'2324 Jun 24 Enroll'!M$1,FALSE)*Apport_M802425+(VLOOKUP($A155,EnrollData2324,'2324 Jun 24 Enroll'!P$1,FALSE)+VLOOKUP($A155,EnrollData2324,'2324 Jun 24 Enroll'!Q$1,FALSE)+VLOOKUP($A155,EnrollData2324,'2324 Jun 24 Enroll'!R$1,FALSE)+VLOOKUP($A155,EnrollData2324,'2324 Jun 24 Enroll'!I$1,FALSE)+VLOOKUP($A155,EnrollData2324,'2324 Jun 24 Enroll'!N$1,FALSE)+VLOOKUP($A155,EnrollData2324,'2324 Jun 24 Enroll'!O$1,FALSE)+VLOOKUP($A155,EnrollData2324,'2324 Jun 24 Enroll'!K$1,FALSE)+VLOOKUP($A155,EnrollData2324,'2324 Jun 24 Enroll'!L$1,FALSE))*Apport_M812425)/(VLOOKUP($A155,EnrollData2324,'2324 Jun 24 Enroll'!M$1,FALSE)+VLOOKUP($A155,EnrollData2324,'2324 Jun 24 Enroll'!D$1,FALSE)),2)</f>
        <v>1599.64</v>
      </c>
      <c r="AS155" s="7">
        <f t="shared" si="39"/>
        <v>9950.4799999999977</v>
      </c>
    </row>
    <row r="156" spans="1:45">
      <c r="A156" s="40" t="s">
        <v>532</v>
      </c>
      <c r="B156" s="40" t="s">
        <v>533</v>
      </c>
      <c r="C156" s="11">
        <f>ROUND((IFERROR((1/IF(VLOOKUP($A156,EnrollData2324,28,FALSE)='District Calculations'!$F$10,VLOOKUP($A156,EnrollData2324,28,FALSE),'District Calculations'!$F$10))*(1+Apport_Z315),0))+Apport_201A2425,6)</f>
        <v>7.4580999999999995E-2</v>
      </c>
      <c r="D156">
        <f>ROUND(IF(VLOOKUP($A156,EnrollData2324,'2324 Jun 24 Enroll'!D$1,FALSE)='District Calculations'!$F$11,VLOOKUP($A156,EnrollData2324,'2324 Jun 24 Enroll'!D$1,FALSE),'District Calculations'!$F$11)*C156,3)</f>
        <v>0</v>
      </c>
      <c r="E156">
        <f>ROUND(IF(VLOOKUP($A156,EnrollData2324,'2324 Jun 24 Enroll'!E$1,FALSE)='District Calculations'!$F$12,VLOOKUP($A156,EnrollData2324,'2324 Jun 24 Enroll'!E$1,FALSE),'District Calculations'!$F$12)*C156,3)</f>
        <v>60.447000000000003</v>
      </c>
      <c r="F156">
        <f>ROUND(IF(VLOOKUP($A156,EnrollData2324,'2324 Jun 24 Enroll'!F$1,FALSE)='District Calculations'!$F$13,VLOOKUP($A156,EnrollData2324,'2324 Jun 24 Enroll'!F$1,FALSE),'District Calculations'!$F$13)*Apport_222A2425,3)</f>
        <v>10.337999999999999</v>
      </c>
      <c r="G156">
        <f>ROUND(IF(VLOOKUP($A156,EnrollData2324,'2324 Jun 24 Enroll'!G$1,FALSE)='District Calculations'!$F$14,VLOOKUP($A156,EnrollData2324,'2324 Jun 24 Enroll'!G$1,FALSE),'District Calculations'!$F$14)*Apport_210A2425,3)</f>
        <v>22.92</v>
      </c>
      <c r="H156">
        <f>ROUND(IF(VLOOKUP($A156,EnrollData2324,'2324 Jun 24 Enroll'!H$1,FALSE)='District Calculations'!$F$15,VLOOKUP($A156,EnrollData2324,'2324 Jun 24 Enroll'!H$1,FALSE),'District Calculations'!$F$15)*Apport_213A2425,3)</f>
        <v>23.619</v>
      </c>
      <c r="I156">
        <f>ROUND(IF(VLOOKUP($A156,EnrollData2324,'2324 Jun 24 Enroll'!I$1,FALSE)+VLOOKUP($A156,EnrollData2324,'2324 Jun 24 Enroll'!M$1,FALSE)-VLOOKUP($A156,EnrollData2324,'2324 Jun 24 Enroll'!J$1,FALSE)='District Calculations'!$F$16+'District Calculations'!$F$25-'District Calculations'!$F$17,VLOOKUP($A156,EnrollData2324,'2324 Jun 24 Enroll'!I$1,FALSE)+VLOOKUP($A156,EnrollData2324,'2324 Jun 24 Enroll'!M$1,FALSE)-VLOOKUP($A156,EnrollData2324,'2324 Jun 24 Enroll'!J$1,FALSE),'District Calculations'!$F$16+'District Calculations'!$F$25-'District Calculations'!$F$17)*Apport_216A2425,3)</f>
        <v>59.057000000000002</v>
      </c>
      <c r="J156">
        <f>ROUND(SUM(D156:I156)/(IF(VLOOKUP($A156,EnrollData2324,'2324 Jun 24 Enroll'!M$1,FALSE)='District Calculations'!$F$25,VLOOKUP($A156,EnrollData2324,'2324 Jun 24 Enroll'!M$1,FALSE),'District Calculations'!$F$25)+IF(VLOOKUP($A156,EnrollData2324,'2324 Jun 24 Enroll'!D$1,FALSE)='District Calculations'!$F$11,VLOOKUP($A156,EnrollData2324,'2324 Jun 24 Enroll'!D$1,FALSE),'District Calculations'!$F$11)),5)</f>
        <v>5.6520000000000001E-2</v>
      </c>
      <c r="K156" s="11">
        <f t="shared" si="30"/>
        <v>4.385E-3</v>
      </c>
      <c r="L156">
        <f>ROUND(IF(VLOOKUP($A156,EnrollData2324,'2324 Jun 24 Enroll'!D$1,FALSE)='District Calculations'!$F$11,VLOOKUP($A156,EnrollData2324,'2324 Jun 24 Enroll'!D$1,FALSE),'District Calculations'!$F$11)*K156,3)</f>
        <v>0</v>
      </c>
      <c r="M156">
        <f>ROUND(IF(VLOOKUP($A156,EnrollData2324,'2324 Jun 24 Enroll'!E$1,FALSE)='District Calculations'!$F$12,VLOOKUP($A156,EnrollData2324,'2324 Jun 24 Enroll'!E$1,FALSE),'District Calculations'!$F$12)*K156,3)</f>
        <v>3.5539999999999998</v>
      </c>
      <c r="N156">
        <f>ROUND(IF(VLOOKUP($A156,EnrollData2324,'2324 Jun 24 Enroll'!F$1,FALSE)='District Calculations'!$F$13,VLOOKUP($A156,EnrollData2324,'2324 Jun 24 Enroll'!F$1,FALSE),'District Calculations'!$F$13)*Apport_223A2425,3)</f>
        <v>0.84599999999999997</v>
      </c>
      <c r="O156">
        <f>ROUND(IF(VLOOKUP($A156,EnrollData2324,'2324 Jun 24 Enroll'!G$1,FALSE)='District Calculations'!$F$14,VLOOKUP($A156,EnrollData2324,'2324 Jun 24 Enroll'!G$1,FALSE),'District Calculations'!$F$14)*Apport_211A2425,3)</f>
        <v>1.877</v>
      </c>
      <c r="P156">
        <f>ROUND(IF(VLOOKUP($A156,EnrollData2324,'2324 Jun 24 Enroll'!H$1,FALSE)='District Calculations'!$F$14,VLOOKUP($A156,EnrollData2324,'2324 Jun 24 Enroll'!H$1,FALSE),'District Calculations'!$F$14)*Apport_214A2425,3)</f>
        <v>1.875</v>
      </c>
      <c r="Q156">
        <f>ROUND(IF(VLOOKUP($A156,EnrollData2324,'2324 Jun 24 Enroll'!I$1,FALSE)+VLOOKUP($A156,EnrollData2324,'2324 Jun 24 Enroll'!M$1,FALSE)-VLOOKUP($A156,EnrollData2324,'2324 Jun 24 Enroll'!J$1,FALSE)='District Calculations'!$F$16+'District Calculations'!$F$25-'District Calculations'!$F$17,VLOOKUP($A156,EnrollData2324,'2324 Jun 24 Enroll'!I$1,FALSE)+VLOOKUP($A156,EnrollData2324,'2324 Jun 24 Enroll'!M$1,FALSE)-VLOOKUP($A156,EnrollData2324,'2324 Jun 24 Enroll'!J$1,FALSE),'District Calculations'!$F$16+'District Calculations'!$F$25-'District Calculations'!$F$17)*Apport_217A2425,3)</f>
        <v>4.7130000000000001</v>
      </c>
      <c r="R156">
        <f>ROUND(SUM(L156:Q156)/IF(VLOOKUP($A156,EnrollData2324,'2324 Jun 24 Enroll'!M$1,FALSE)+VLOOKUP($A156,EnrollData2324,'2324 Jun 24 Enroll'!D$1,FALSE)='District Calculations'!$F$25+'District Calculations'!$F$11,VLOOKUP($A156,EnrollData2324,'2324 Jun 24 Enroll'!M$1,FALSE)+VLOOKUP($A156,EnrollData2324,'2324 Jun 24 Enroll'!D$1,FALSE),'District Calculations'!$F$25+'District Calculations'!$F$11),5)</f>
        <v>4.1200000000000004E-3</v>
      </c>
      <c r="S156" s="11">
        <f t="shared" si="31"/>
        <v>1.8734299999999999E-2</v>
      </c>
      <c r="T156">
        <f>ROUND(IF(VLOOKUP($A156,EnrollData2324,'2324 Jun 24 Enroll'!D$1,FALSE)='District Calculations'!$F$11,VLOOKUP($A156,EnrollData2324,'2324 Jun 24 Enroll'!D$1,FALSE),'District Calculations'!$F$11)*S156,3)</f>
        <v>0</v>
      </c>
      <c r="U156">
        <f>ROUND(IF(VLOOKUP($A156,EnrollData2324,'2324 Jun 24 Enroll'!E$1,FALSE)='District Calculations'!$F$12,VLOOKUP($A156,EnrollData2324,'2324 Jun 24 Enroll'!E$1,FALSE),'District Calculations'!$F$12)*S156,3)</f>
        <v>15.183999999999999</v>
      </c>
      <c r="V156">
        <f>ROUND(IF(VLOOKUP($A156,EnrollData2324,'2324 Jun 24 Enroll'!F$1,FALSE)='District Calculations'!$F$13,VLOOKUP($A156,EnrollData2324,'2324 Jun 24 Enroll'!F$1,FALSE),'District Calculations'!$F$13)*Apport_224A2425,3)</f>
        <v>3.7109999999999999</v>
      </c>
      <c r="W156">
        <f>ROUND(IF(VLOOKUP($A156,EnrollData2324,'2324 Jun 24 Enroll'!G$1,FALSE)='District Calculations'!$F$14,VLOOKUP($A156,EnrollData2324,'2324 Jun 24 Enroll'!G$1,FALSE),'District Calculations'!$F$14)*Apport_212A2425,3)</f>
        <v>8.2279999999999998</v>
      </c>
      <c r="X156">
        <f>ROUND(IF(VLOOKUP($A156,EnrollData2324,'2324 Jun 24 Enroll'!H$1,FALSE)='District Calculations'!$F$14,VLOOKUP($A156,EnrollData2324,'2324 Jun 24 Enroll'!H$1,FALSE),'District Calculations'!$F$14)*Apport_215A2425,3)</f>
        <v>8.1180000000000003</v>
      </c>
      <c r="Y156">
        <f>ROUND(IF(VLOOKUP($A156,EnrollData2324,'2324 Jun 24 Enroll'!I$1,FALSE)+VLOOKUP($A156,EnrollData2324,'2324 Jun 24 Enroll'!M$1,FALSE)-VLOOKUP($A156,EnrollData2324,'2324 Jun 24 Enroll'!J$1,FALSE)='District Calculations'!$F$16+'District Calculations'!$F$25-'District Calculations'!$F$17,VLOOKUP($A156,EnrollData2324,'2324 Jun 24 Enroll'!I$1,FALSE)+VLOOKUP($A156,EnrollData2324,'2324 Jun 24 Enroll'!M$1,FALSE)-VLOOKUP($A156,EnrollData2324,'2324 Jun 24 Enroll'!J$1,FALSE),'District Calculations'!$F$16+'District Calculations'!$F$25-'District Calculations'!$F$17)*Apport_218A2425,3)</f>
        <v>20.257999999999999</v>
      </c>
      <c r="Z156">
        <f>ROUND(SUM(T156:Y156)/IF(VLOOKUP($A156,EnrollData2324,'2324 Jun 24 Enroll'!M$1,FALSE)+VLOOKUP($A156,EnrollData2324,'2324 Jun 24 Enroll'!D$1,FALSE)='District Calculations'!$F$25+'District Calculations'!$F$11,VLOOKUP($A156,EnrollData2324,'2324 Jun 24 Enroll'!M$1,FALSE)+VLOOKUP($A156,EnrollData2324,'2324 Jun 24 Enroll'!D$1,FALSE),'District Calculations'!$F$25+'District Calculations'!$F$11),5)</f>
        <v>1.7780000000000001E-2</v>
      </c>
      <c r="AA156" s="6">
        <f>ROUND($J156*CIS_Base_Salary2425*VLOOKUP($A156,EnrollData2324,'2324 Jun 24 Enroll'!AH$1,FALSE),2)</f>
        <v>4262.68</v>
      </c>
      <c r="AB156" s="6">
        <f>ROUND($J156*CIS_Inc_Salary2425*(VLOOKUP($A156,EnrollData2324,'2324 Jun 24 Enroll'!AI$1,FALSE)+VLOOKUP($A156,EnrollData2324,'2324 Jun 24 Enroll'!AJ$1,FALSE)),2)-AA156</f>
        <v>157.6899999999996</v>
      </c>
      <c r="AC156" s="6" cm="1">
        <f t="array" ref="AC156">ROUND($R156*CAS_Base_Salary2425*VLOOKUP($A156,EnrollData2324,'2324 Jun 24 Enroll'!AH$1,FALSE),2)</f>
        <v>461.23</v>
      </c>
      <c r="AD156" s="6">
        <f>ROUND($R156*CAS_Inc_Salary2425*VLOOKUP($A156,EnrollData2324,'2324 Jun 24 Enroll'!AI$1,FALSE),2)-AC156</f>
        <v>17.069999999999993</v>
      </c>
      <c r="AE156" s="6">
        <f>ROUND($Z156*CLS_Base_Salary2425*VLOOKUP($A156,EnrollData2324,'2324 Jun 24 Enroll'!AH$1,FALSE),2)</f>
        <v>961.95</v>
      </c>
      <c r="AF156" s="6">
        <f>ROUND($Z156*CLS_Inc_Salary2425*VLOOKUP($A156,EnrollData2324,'2324 Jun 24 Enroll'!AI$1,FALSE),2)-AE156</f>
        <v>35.599999999999909</v>
      </c>
      <c r="AG156" cm="1">
        <f t="array" ref="AG156">ROUND(($J156+$R156)*Apport_124X2425,2)</f>
        <v>800.45</v>
      </c>
      <c r="AH156" s="69" cm="1">
        <f t="array" ref="AH156">ROUND(($J156+$R156)*Apport_621X2425*Apport_125XC2425,2)-AG156</f>
        <v>73.899999999999977</v>
      </c>
      <c r="AI156" cm="1">
        <f t="array" ref="AI156">ROUND($Z156*Apport_124X2425,2)</f>
        <v>234.7</v>
      </c>
      <c r="AJ156">
        <f t="shared" si="32"/>
        <v>124.71000000000004</v>
      </c>
      <c r="AK156">
        <f t="shared" si="33"/>
        <v>857.39</v>
      </c>
      <c r="AL156">
        <f t="shared" si="34"/>
        <v>30.6</v>
      </c>
      <c r="AM156">
        <f t="shared" si="35"/>
        <v>208.36</v>
      </c>
      <c r="AN156">
        <f t="shared" si="36"/>
        <v>6.46</v>
      </c>
      <c r="AO156">
        <f>ROUND(($J156*CIS_Inc_Salary2425*(VLOOKUP($A156,EnrollData2324,'2324 Jun 24 Enroll'!AI$1,FALSE)+VLOOKUP($A156,EnrollData2324,'2324 Jun 24 Enroll'!AJ$1,FALSE))/Apport_613Xpd)*Apport_614Xpd,2)</f>
        <v>73.67</v>
      </c>
      <c r="AP156">
        <f t="shared" si="37"/>
        <v>12.9</v>
      </c>
      <c r="AQ156">
        <f t="shared" si="38"/>
        <v>31.48</v>
      </c>
      <c r="AR156" s="6">
        <f>ROUND((VLOOKUP($A156,EnrollData2324,'2324 Jun 24 Enroll'!D$1,FALSE)*Apport_M802425+VLOOKUP($A156,EnrollData2324,'2324 Jun 24 Enroll'!M$1,FALSE)*Apport_M802425+(VLOOKUP($A156,EnrollData2324,'2324 Jun 24 Enroll'!P$1,FALSE)+VLOOKUP($A156,EnrollData2324,'2324 Jun 24 Enroll'!Q$1,FALSE)+VLOOKUP($A156,EnrollData2324,'2324 Jun 24 Enroll'!R$1,FALSE)+VLOOKUP($A156,EnrollData2324,'2324 Jun 24 Enroll'!I$1,FALSE)+VLOOKUP($A156,EnrollData2324,'2324 Jun 24 Enroll'!N$1,FALSE)+VLOOKUP($A156,EnrollData2324,'2324 Jun 24 Enroll'!O$1,FALSE)+VLOOKUP($A156,EnrollData2324,'2324 Jun 24 Enroll'!K$1,FALSE)+VLOOKUP($A156,EnrollData2324,'2324 Jun 24 Enroll'!L$1,FALSE))*Apport_M812425)/(VLOOKUP($A156,EnrollData2324,'2324 Jun 24 Enroll'!M$1,FALSE)+VLOOKUP($A156,EnrollData2324,'2324 Jun 24 Enroll'!D$1,FALSE)),2)</f>
        <v>1598.29</v>
      </c>
      <c r="AS156" s="7">
        <f t="shared" si="39"/>
        <v>9949.1299999999974</v>
      </c>
    </row>
    <row r="157" spans="1:45">
      <c r="A157" s="40" t="s">
        <v>386</v>
      </c>
      <c r="B157" s="40" t="s">
        <v>387</v>
      </c>
      <c r="C157" s="11">
        <f>ROUND((IFERROR((1/IF(VLOOKUP($A157,EnrollData2324,28,FALSE)='District Calculations'!$F$10,VLOOKUP($A157,EnrollData2324,28,FALSE),'District Calculations'!$F$10))*(1+Apport_Z315),0))+Apport_201A2425,6)</f>
        <v>7.4580999999999995E-2</v>
      </c>
      <c r="D157">
        <f>ROUND(IF(VLOOKUP($A157,EnrollData2324,'2324 Jun 24 Enroll'!D$1,FALSE)='District Calculations'!$F$11,VLOOKUP($A157,EnrollData2324,'2324 Jun 24 Enroll'!D$1,FALSE),'District Calculations'!$F$11)*C157,3)</f>
        <v>0</v>
      </c>
      <c r="E157">
        <f>ROUND(IF(VLOOKUP($A157,EnrollData2324,'2324 Jun 24 Enroll'!E$1,FALSE)='District Calculations'!$F$12,VLOOKUP($A157,EnrollData2324,'2324 Jun 24 Enroll'!E$1,FALSE),'District Calculations'!$F$12)*C157,3)</f>
        <v>60.447000000000003</v>
      </c>
      <c r="F157">
        <f>ROUND(IF(VLOOKUP($A157,EnrollData2324,'2324 Jun 24 Enroll'!F$1,FALSE)='District Calculations'!$F$13,VLOOKUP($A157,EnrollData2324,'2324 Jun 24 Enroll'!F$1,FALSE),'District Calculations'!$F$13)*Apport_222A2425,3)</f>
        <v>10.337999999999999</v>
      </c>
      <c r="G157">
        <f>ROUND(IF(VLOOKUP($A157,EnrollData2324,'2324 Jun 24 Enroll'!G$1,FALSE)='District Calculations'!$F$14,VLOOKUP($A157,EnrollData2324,'2324 Jun 24 Enroll'!G$1,FALSE),'District Calculations'!$F$14)*Apport_210A2425,3)</f>
        <v>22.92</v>
      </c>
      <c r="H157">
        <f>ROUND(IF(VLOOKUP($A157,EnrollData2324,'2324 Jun 24 Enroll'!H$1,FALSE)='District Calculations'!$F$15,VLOOKUP($A157,EnrollData2324,'2324 Jun 24 Enroll'!H$1,FALSE),'District Calculations'!$F$15)*Apport_213A2425,3)</f>
        <v>23.619</v>
      </c>
      <c r="I157">
        <f>ROUND(IF(VLOOKUP($A157,EnrollData2324,'2324 Jun 24 Enroll'!I$1,FALSE)+VLOOKUP($A157,EnrollData2324,'2324 Jun 24 Enroll'!M$1,FALSE)-VLOOKUP($A157,EnrollData2324,'2324 Jun 24 Enroll'!J$1,FALSE)='District Calculations'!$F$16+'District Calculations'!$F$25-'District Calculations'!$F$17,VLOOKUP($A157,EnrollData2324,'2324 Jun 24 Enroll'!I$1,FALSE)+VLOOKUP($A157,EnrollData2324,'2324 Jun 24 Enroll'!M$1,FALSE)-VLOOKUP($A157,EnrollData2324,'2324 Jun 24 Enroll'!J$1,FALSE),'District Calculations'!$F$16+'District Calculations'!$F$25-'District Calculations'!$F$17)*Apport_216A2425,3)</f>
        <v>59.057000000000002</v>
      </c>
      <c r="J157">
        <f>ROUND(SUM(D157:I157)/(IF(VLOOKUP($A157,EnrollData2324,'2324 Jun 24 Enroll'!M$1,FALSE)='District Calculations'!$F$25,VLOOKUP($A157,EnrollData2324,'2324 Jun 24 Enroll'!M$1,FALSE),'District Calculations'!$F$25)+IF(VLOOKUP($A157,EnrollData2324,'2324 Jun 24 Enroll'!D$1,FALSE)='District Calculations'!$F$11,VLOOKUP($A157,EnrollData2324,'2324 Jun 24 Enroll'!D$1,FALSE),'District Calculations'!$F$11)),5)</f>
        <v>5.6520000000000001E-2</v>
      </c>
      <c r="K157" s="11">
        <f t="shared" si="30"/>
        <v>4.385E-3</v>
      </c>
      <c r="L157">
        <f>ROUND(IF(VLOOKUP($A157,EnrollData2324,'2324 Jun 24 Enroll'!D$1,FALSE)='District Calculations'!$F$11,VLOOKUP($A157,EnrollData2324,'2324 Jun 24 Enroll'!D$1,FALSE),'District Calculations'!$F$11)*K157,3)</f>
        <v>0</v>
      </c>
      <c r="M157">
        <f>ROUND(IF(VLOOKUP($A157,EnrollData2324,'2324 Jun 24 Enroll'!E$1,FALSE)='District Calculations'!$F$12,VLOOKUP($A157,EnrollData2324,'2324 Jun 24 Enroll'!E$1,FALSE),'District Calculations'!$F$12)*K157,3)</f>
        <v>3.5539999999999998</v>
      </c>
      <c r="N157">
        <f>ROUND(IF(VLOOKUP($A157,EnrollData2324,'2324 Jun 24 Enroll'!F$1,FALSE)='District Calculations'!$F$13,VLOOKUP($A157,EnrollData2324,'2324 Jun 24 Enroll'!F$1,FALSE),'District Calculations'!$F$13)*Apport_223A2425,3)</f>
        <v>0.84599999999999997</v>
      </c>
      <c r="O157">
        <f>ROUND(IF(VLOOKUP($A157,EnrollData2324,'2324 Jun 24 Enroll'!G$1,FALSE)='District Calculations'!$F$14,VLOOKUP($A157,EnrollData2324,'2324 Jun 24 Enroll'!G$1,FALSE),'District Calculations'!$F$14)*Apport_211A2425,3)</f>
        <v>1.877</v>
      </c>
      <c r="P157">
        <f>ROUND(IF(VLOOKUP($A157,EnrollData2324,'2324 Jun 24 Enroll'!H$1,FALSE)='District Calculations'!$F$14,VLOOKUP($A157,EnrollData2324,'2324 Jun 24 Enroll'!H$1,FALSE),'District Calculations'!$F$14)*Apport_214A2425,3)</f>
        <v>1.875</v>
      </c>
      <c r="Q157">
        <f>ROUND(IF(VLOOKUP($A157,EnrollData2324,'2324 Jun 24 Enroll'!I$1,FALSE)+VLOOKUP($A157,EnrollData2324,'2324 Jun 24 Enroll'!M$1,FALSE)-VLOOKUP($A157,EnrollData2324,'2324 Jun 24 Enroll'!J$1,FALSE)='District Calculations'!$F$16+'District Calculations'!$F$25-'District Calculations'!$F$17,VLOOKUP($A157,EnrollData2324,'2324 Jun 24 Enroll'!I$1,FALSE)+VLOOKUP($A157,EnrollData2324,'2324 Jun 24 Enroll'!M$1,FALSE)-VLOOKUP($A157,EnrollData2324,'2324 Jun 24 Enroll'!J$1,FALSE),'District Calculations'!$F$16+'District Calculations'!$F$25-'District Calculations'!$F$17)*Apport_217A2425,3)</f>
        <v>4.7130000000000001</v>
      </c>
      <c r="R157">
        <f>ROUND(SUM(L157:Q157)/IF(VLOOKUP($A157,EnrollData2324,'2324 Jun 24 Enroll'!M$1,FALSE)+VLOOKUP($A157,EnrollData2324,'2324 Jun 24 Enroll'!D$1,FALSE)='District Calculations'!$F$25+'District Calculations'!$F$11,VLOOKUP($A157,EnrollData2324,'2324 Jun 24 Enroll'!M$1,FALSE)+VLOOKUP($A157,EnrollData2324,'2324 Jun 24 Enroll'!D$1,FALSE),'District Calculations'!$F$25+'District Calculations'!$F$11),5)</f>
        <v>4.1200000000000004E-3</v>
      </c>
      <c r="S157" s="11">
        <f t="shared" si="31"/>
        <v>1.8734299999999999E-2</v>
      </c>
      <c r="T157">
        <f>ROUND(IF(VLOOKUP($A157,EnrollData2324,'2324 Jun 24 Enroll'!D$1,FALSE)='District Calculations'!$F$11,VLOOKUP($A157,EnrollData2324,'2324 Jun 24 Enroll'!D$1,FALSE),'District Calculations'!$F$11)*S157,3)</f>
        <v>0</v>
      </c>
      <c r="U157">
        <f>ROUND(IF(VLOOKUP($A157,EnrollData2324,'2324 Jun 24 Enroll'!E$1,FALSE)='District Calculations'!$F$12,VLOOKUP($A157,EnrollData2324,'2324 Jun 24 Enroll'!E$1,FALSE),'District Calculations'!$F$12)*S157,3)</f>
        <v>15.183999999999999</v>
      </c>
      <c r="V157">
        <f>ROUND(IF(VLOOKUP($A157,EnrollData2324,'2324 Jun 24 Enroll'!F$1,FALSE)='District Calculations'!$F$13,VLOOKUP($A157,EnrollData2324,'2324 Jun 24 Enroll'!F$1,FALSE),'District Calculations'!$F$13)*Apport_224A2425,3)</f>
        <v>3.7109999999999999</v>
      </c>
      <c r="W157">
        <f>ROUND(IF(VLOOKUP($A157,EnrollData2324,'2324 Jun 24 Enroll'!G$1,FALSE)='District Calculations'!$F$14,VLOOKUP($A157,EnrollData2324,'2324 Jun 24 Enroll'!G$1,FALSE),'District Calculations'!$F$14)*Apport_212A2425,3)</f>
        <v>8.2279999999999998</v>
      </c>
      <c r="X157">
        <f>ROUND(IF(VLOOKUP($A157,EnrollData2324,'2324 Jun 24 Enroll'!H$1,FALSE)='District Calculations'!$F$14,VLOOKUP($A157,EnrollData2324,'2324 Jun 24 Enroll'!H$1,FALSE),'District Calculations'!$F$14)*Apport_215A2425,3)</f>
        <v>8.1180000000000003</v>
      </c>
      <c r="Y157">
        <f>ROUND(IF(VLOOKUP($A157,EnrollData2324,'2324 Jun 24 Enroll'!I$1,FALSE)+VLOOKUP($A157,EnrollData2324,'2324 Jun 24 Enroll'!M$1,FALSE)-VLOOKUP($A157,EnrollData2324,'2324 Jun 24 Enroll'!J$1,FALSE)='District Calculations'!$F$16+'District Calculations'!$F$25-'District Calculations'!$F$17,VLOOKUP($A157,EnrollData2324,'2324 Jun 24 Enroll'!I$1,FALSE)+VLOOKUP($A157,EnrollData2324,'2324 Jun 24 Enroll'!M$1,FALSE)-VLOOKUP($A157,EnrollData2324,'2324 Jun 24 Enroll'!J$1,FALSE),'District Calculations'!$F$16+'District Calculations'!$F$25-'District Calculations'!$F$17)*Apport_218A2425,3)</f>
        <v>20.257999999999999</v>
      </c>
      <c r="Z157">
        <f>ROUND(SUM(T157:Y157)/IF(VLOOKUP($A157,EnrollData2324,'2324 Jun 24 Enroll'!M$1,FALSE)+VLOOKUP($A157,EnrollData2324,'2324 Jun 24 Enroll'!D$1,FALSE)='District Calculations'!$F$25+'District Calculations'!$F$11,VLOOKUP($A157,EnrollData2324,'2324 Jun 24 Enroll'!M$1,FALSE)+VLOOKUP($A157,EnrollData2324,'2324 Jun 24 Enroll'!D$1,FALSE),'District Calculations'!$F$25+'District Calculations'!$F$11),5)</f>
        <v>1.7780000000000001E-2</v>
      </c>
      <c r="AA157" s="6">
        <f>ROUND($J157*CIS_Base_Salary2425*VLOOKUP($A157,EnrollData2324,'2324 Jun 24 Enroll'!AH$1,FALSE),2)</f>
        <v>4518.4399999999996</v>
      </c>
      <c r="AB157" s="6">
        <f>ROUND($J157*CIS_Inc_Salary2425*(VLOOKUP($A157,EnrollData2324,'2324 Jun 24 Enroll'!AI$1,FALSE)+VLOOKUP($A157,EnrollData2324,'2324 Jun 24 Enroll'!AJ$1,FALSE)),2)-AA157</f>
        <v>167.16000000000076</v>
      </c>
      <c r="AC157" s="6" cm="1">
        <f t="array" ref="AC157">ROUND($R157*CAS_Base_Salary2425*VLOOKUP($A157,EnrollData2324,'2324 Jun 24 Enroll'!AH$1,FALSE),2)</f>
        <v>488.91</v>
      </c>
      <c r="AD157" s="6">
        <f>ROUND($R157*CAS_Inc_Salary2425*VLOOKUP($A157,EnrollData2324,'2324 Jun 24 Enroll'!AI$1,FALSE),2)-AC157</f>
        <v>18.089999999999975</v>
      </c>
      <c r="AE157" s="6">
        <f>ROUND($Z157*CLS_Base_Salary2425*VLOOKUP($A157,EnrollData2324,'2324 Jun 24 Enroll'!AH$1,FALSE),2)</f>
        <v>1019.67</v>
      </c>
      <c r="AF157" s="6">
        <f>ROUND($Z157*CLS_Inc_Salary2425*VLOOKUP($A157,EnrollData2324,'2324 Jun 24 Enroll'!AI$1,FALSE),2)-AE157</f>
        <v>37.730000000000132</v>
      </c>
      <c r="AG157" cm="1">
        <f t="array" ref="AG157">ROUND(($J157+$R157)*Apport_124X2425,2)</f>
        <v>800.45</v>
      </c>
      <c r="AH157" s="69" cm="1">
        <f t="array" ref="AH157">ROUND(($J157+$R157)*Apport_621X2425*Apport_125XC2425,2)-AG157</f>
        <v>73.899999999999977</v>
      </c>
      <c r="AI157" cm="1">
        <f t="array" ref="AI157">ROUND($Z157*Apport_124X2425,2)</f>
        <v>234.7</v>
      </c>
      <c r="AJ157">
        <f t="shared" si="32"/>
        <v>124.71000000000004</v>
      </c>
      <c r="AK157">
        <f t="shared" si="33"/>
        <v>908.83</v>
      </c>
      <c r="AL157">
        <f t="shared" si="34"/>
        <v>32.44</v>
      </c>
      <c r="AM157">
        <f t="shared" si="35"/>
        <v>220.86</v>
      </c>
      <c r="AN157">
        <f t="shared" si="36"/>
        <v>6.85</v>
      </c>
      <c r="AO157">
        <f>ROUND(($J157*CIS_Inc_Salary2425*(VLOOKUP($A157,EnrollData2324,'2324 Jun 24 Enroll'!AI$1,FALSE)+VLOOKUP($A157,EnrollData2324,'2324 Jun 24 Enroll'!AJ$1,FALSE))/Apport_613Xpd)*Apport_614Xpd,2)</f>
        <v>78.09</v>
      </c>
      <c r="AP157">
        <f t="shared" si="37"/>
        <v>13.67</v>
      </c>
      <c r="AQ157">
        <f t="shared" si="38"/>
        <v>31.48</v>
      </c>
      <c r="AR157" s="6">
        <f>ROUND((VLOOKUP($A157,EnrollData2324,'2324 Jun 24 Enroll'!D$1,FALSE)*Apport_M802425+VLOOKUP($A157,EnrollData2324,'2324 Jun 24 Enroll'!M$1,FALSE)*Apport_M802425+(VLOOKUP($A157,EnrollData2324,'2324 Jun 24 Enroll'!P$1,FALSE)+VLOOKUP($A157,EnrollData2324,'2324 Jun 24 Enroll'!Q$1,FALSE)+VLOOKUP($A157,EnrollData2324,'2324 Jun 24 Enroll'!R$1,FALSE)+VLOOKUP($A157,EnrollData2324,'2324 Jun 24 Enroll'!I$1,FALSE)+VLOOKUP($A157,EnrollData2324,'2324 Jun 24 Enroll'!N$1,FALSE)+VLOOKUP($A157,EnrollData2324,'2324 Jun 24 Enroll'!O$1,FALSE)+VLOOKUP($A157,EnrollData2324,'2324 Jun 24 Enroll'!K$1,FALSE)+VLOOKUP($A157,EnrollData2324,'2324 Jun 24 Enroll'!L$1,FALSE))*Apport_M812425)/(VLOOKUP($A157,EnrollData2324,'2324 Jun 24 Enroll'!M$1,FALSE)+VLOOKUP($A157,EnrollData2324,'2324 Jun 24 Enroll'!D$1,FALSE)),2)</f>
        <v>1596.88</v>
      </c>
      <c r="AS157" s="7">
        <f t="shared" si="39"/>
        <v>10372.86</v>
      </c>
    </row>
    <row r="158" spans="1:45">
      <c r="A158" s="40" t="s">
        <v>616</v>
      </c>
      <c r="B158" s="40" t="s">
        <v>617</v>
      </c>
      <c r="C158" s="11">
        <f>ROUND((IFERROR((1/IF(VLOOKUP($A158,EnrollData2324,28,FALSE)='District Calculations'!$F$10,VLOOKUP($A158,EnrollData2324,28,FALSE),'District Calculations'!$F$10))*(1+Apport_Z315),0))+Apport_201A2425,6)</f>
        <v>7.4580999999999995E-2</v>
      </c>
      <c r="D158">
        <f>ROUND(IF(VLOOKUP($A158,EnrollData2324,'2324 Jun 24 Enroll'!D$1,FALSE)='District Calculations'!$F$11,VLOOKUP($A158,EnrollData2324,'2324 Jun 24 Enroll'!D$1,FALSE),'District Calculations'!$F$11)*C158,3)</f>
        <v>0</v>
      </c>
      <c r="E158">
        <f>ROUND(IF(VLOOKUP($A158,EnrollData2324,'2324 Jun 24 Enroll'!E$1,FALSE)='District Calculations'!$F$12,VLOOKUP($A158,EnrollData2324,'2324 Jun 24 Enroll'!E$1,FALSE),'District Calculations'!$F$12)*C158,3)</f>
        <v>60.447000000000003</v>
      </c>
      <c r="F158">
        <f>ROUND(IF(VLOOKUP($A158,EnrollData2324,'2324 Jun 24 Enroll'!F$1,FALSE)='District Calculations'!$F$13,VLOOKUP($A158,EnrollData2324,'2324 Jun 24 Enroll'!F$1,FALSE),'District Calculations'!$F$13)*Apport_222A2425,3)</f>
        <v>10.337999999999999</v>
      </c>
      <c r="G158">
        <f>ROUND(IF(VLOOKUP($A158,EnrollData2324,'2324 Jun 24 Enroll'!G$1,FALSE)='District Calculations'!$F$14,VLOOKUP($A158,EnrollData2324,'2324 Jun 24 Enroll'!G$1,FALSE),'District Calculations'!$F$14)*Apport_210A2425,3)</f>
        <v>22.92</v>
      </c>
      <c r="H158">
        <f>ROUND(IF(VLOOKUP($A158,EnrollData2324,'2324 Jun 24 Enroll'!H$1,FALSE)='District Calculations'!$F$15,VLOOKUP($A158,EnrollData2324,'2324 Jun 24 Enroll'!H$1,FALSE),'District Calculations'!$F$15)*Apport_213A2425,3)</f>
        <v>23.619</v>
      </c>
      <c r="I158">
        <f>ROUND(IF(VLOOKUP($A158,EnrollData2324,'2324 Jun 24 Enroll'!I$1,FALSE)+VLOOKUP($A158,EnrollData2324,'2324 Jun 24 Enroll'!M$1,FALSE)-VLOOKUP($A158,EnrollData2324,'2324 Jun 24 Enroll'!J$1,FALSE)='District Calculations'!$F$16+'District Calculations'!$F$25-'District Calculations'!$F$17,VLOOKUP($A158,EnrollData2324,'2324 Jun 24 Enroll'!I$1,FALSE)+VLOOKUP($A158,EnrollData2324,'2324 Jun 24 Enroll'!M$1,FALSE)-VLOOKUP($A158,EnrollData2324,'2324 Jun 24 Enroll'!J$1,FALSE),'District Calculations'!$F$16+'District Calculations'!$F$25-'District Calculations'!$F$17)*Apport_216A2425,3)</f>
        <v>59.057000000000002</v>
      </c>
      <c r="J158">
        <f>ROUND(SUM(D158:I158)/(IF(VLOOKUP($A158,EnrollData2324,'2324 Jun 24 Enroll'!M$1,FALSE)='District Calculations'!$F$25,VLOOKUP($A158,EnrollData2324,'2324 Jun 24 Enroll'!M$1,FALSE),'District Calculations'!$F$25)+IF(VLOOKUP($A158,EnrollData2324,'2324 Jun 24 Enroll'!D$1,FALSE)='District Calculations'!$F$11,VLOOKUP($A158,EnrollData2324,'2324 Jun 24 Enroll'!D$1,FALSE),'District Calculations'!$F$11)),5)</f>
        <v>5.6520000000000001E-2</v>
      </c>
      <c r="K158" s="11">
        <f t="shared" si="30"/>
        <v>4.385E-3</v>
      </c>
      <c r="L158">
        <f>ROUND(IF(VLOOKUP($A158,EnrollData2324,'2324 Jun 24 Enroll'!D$1,FALSE)='District Calculations'!$F$11,VLOOKUP($A158,EnrollData2324,'2324 Jun 24 Enroll'!D$1,FALSE),'District Calculations'!$F$11)*K158,3)</f>
        <v>0</v>
      </c>
      <c r="M158">
        <f>ROUND(IF(VLOOKUP($A158,EnrollData2324,'2324 Jun 24 Enroll'!E$1,FALSE)='District Calculations'!$F$12,VLOOKUP($A158,EnrollData2324,'2324 Jun 24 Enroll'!E$1,FALSE),'District Calculations'!$F$12)*K158,3)</f>
        <v>3.5539999999999998</v>
      </c>
      <c r="N158">
        <f>ROUND(IF(VLOOKUP($A158,EnrollData2324,'2324 Jun 24 Enroll'!F$1,FALSE)='District Calculations'!$F$13,VLOOKUP($A158,EnrollData2324,'2324 Jun 24 Enroll'!F$1,FALSE),'District Calculations'!$F$13)*Apport_223A2425,3)</f>
        <v>0.84599999999999997</v>
      </c>
      <c r="O158">
        <f>ROUND(IF(VLOOKUP($A158,EnrollData2324,'2324 Jun 24 Enroll'!G$1,FALSE)='District Calculations'!$F$14,VLOOKUP($A158,EnrollData2324,'2324 Jun 24 Enroll'!G$1,FALSE),'District Calculations'!$F$14)*Apport_211A2425,3)</f>
        <v>1.877</v>
      </c>
      <c r="P158">
        <f>ROUND(IF(VLOOKUP($A158,EnrollData2324,'2324 Jun 24 Enroll'!H$1,FALSE)='District Calculations'!$F$14,VLOOKUP($A158,EnrollData2324,'2324 Jun 24 Enroll'!H$1,FALSE),'District Calculations'!$F$14)*Apport_214A2425,3)</f>
        <v>1.875</v>
      </c>
      <c r="Q158">
        <f>ROUND(IF(VLOOKUP($A158,EnrollData2324,'2324 Jun 24 Enroll'!I$1,FALSE)+VLOOKUP($A158,EnrollData2324,'2324 Jun 24 Enroll'!M$1,FALSE)-VLOOKUP($A158,EnrollData2324,'2324 Jun 24 Enroll'!J$1,FALSE)='District Calculations'!$F$16+'District Calculations'!$F$25-'District Calculations'!$F$17,VLOOKUP($A158,EnrollData2324,'2324 Jun 24 Enroll'!I$1,FALSE)+VLOOKUP($A158,EnrollData2324,'2324 Jun 24 Enroll'!M$1,FALSE)-VLOOKUP($A158,EnrollData2324,'2324 Jun 24 Enroll'!J$1,FALSE),'District Calculations'!$F$16+'District Calculations'!$F$25-'District Calculations'!$F$17)*Apport_217A2425,3)</f>
        <v>4.7130000000000001</v>
      </c>
      <c r="R158">
        <f>ROUND(SUM(L158:Q158)/IF(VLOOKUP($A158,EnrollData2324,'2324 Jun 24 Enroll'!M$1,FALSE)+VLOOKUP($A158,EnrollData2324,'2324 Jun 24 Enroll'!D$1,FALSE)='District Calculations'!$F$25+'District Calculations'!$F$11,VLOOKUP($A158,EnrollData2324,'2324 Jun 24 Enroll'!M$1,FALSE)+VLOOKUP($A158,EnrollData2324,'2324 Jun 24 Enroll'!D$1,FALSE),'District Calculations'!$F$25+'District Calculations'!$F$11),5)</f>
        <v>4.1200000000000004E-3</v>
      </c>
      <c r="S158" s="11">
        <f t="shared" si="31"/>
        <v>1.8734299999999999E-2</v>
      </c>
      <c r="T158">
        <f>ROUND(IF(VLOOKUP($A158,EnrollData2324,'2324 Jun 24 Enroll'!D$1,FALSE)='District Calculations'!$F$11,VLOOKUP($A158,EnrollData2324,'2324 Jun 24 Enroll'!D$1,FALSE),'District Calculations'!$F$11)*S158,3)</f>
        <v>0</v>
      </c>
      <c r="U158">
        <f>ROUND(IF(VLOOKUP($A158,EnrollData2324,'2324 Jun 24 Enroll'!E$1,FALSE)='District Calculations'!$F$12,VLOOKUP($A158,EnrollData2324,'2324 Jun 24 Enroll'!E$1,FALSE),'District Calculations'!$F$12)*S158,3)</f>
        <v>15.183999999999999</v>
      </c>
      <c r="V158">
        <f>ROUND(IF(VLOOKUP($A158,EnrollData2324,'2324 Jun 24 Enroll'!F$1,FALSE)='District Calculations'!$F$13,VLOOKUP($A158,EnrollData2324,'2324 Jun 24 Enroll'!F$1,FALSE),'District Calculations'!$F$13)*Apport_224A2425,3)</f>
        <v>3.7109999999999999</v>
      </c>
      <c r="W158">
        <f>ROUND(IF(VLOOKUP($A158,EnrollData2324,'2324 Jun 24 Enroll'!G$1,FALSE)='District Calculations'!$F$14,VLOOKUP($A158,EnrollData2324,'2324 Jun 24 Enroll'!G$1,FALSE),'District Calculations'!$F$14)*Apport_212A2425,3)</f>
        <v>8.2279999999999998</v>
      </c>
      <c r="X158">
        <f>ROUND(IF(VLOOKUP($A158,EnrollData2324,'2324 Jun 24 Enroll'!H$1,FALSE)='District Calculations'!$F$14,VLOOKUP($A158,EnrollData2324,'2324 Jun 24 Enroll'!H$1,FALSE),'District Calculations'!$F$14)*Apport_215A2425,3)</f>
        <v>8.1180000000000003</v>
      </c>
      <c r="Y158">
        <f>ROUND(IF(VLOOKUP($A158,EnrollData2324,'2324 Jun 24 Enroll'!I$1,FALSE)+VLOOKUP($A158,EnrollData2324,'2324 Jun 24 Enroll'!M$1,FALSE)-VLOOKUP($A158,EnrollData2324,'2324 Jun 24 Enroll'!J$1,FALSE)='District Calculations'!$F$16+'District Calculations'!$F$25-'District Calculations'!$F$17,VLOOKUP($A158,EnrollData2324,'2324 Jun 24 Enroll'!I$1,FALSE)+VLOOKUP($A158,EnrollData2324,'2324 Jun 24 Enroll'!M$1,FALSE)-VLOOKUP($A158,EnrollData2324,'2324 Jun 24 Enroll'!J$1,FALSE),'District Calculations'!$F$16+'District Calculations'!$F$25-'District Calculations'!$F$17)*Apport_218A2425,3)</f>
        <v>20.257999999999999</v>
      </c>
      <c r="Z158">
        <f>ROUND(SUM(T158:Y158)/IF(VLOOKUP($A158,EnrollData2324,'2324 Jun 24 Enroll'!M$1,FALSE)+VLOOKUP($A158,EnrollData2324,'2324 Jun 24 Enroll'!D$1,FALSE)='District Calculations'!$F$25+'District Calculations'!$F$11,VLOOKUP($A158,EnrollData2324,'2324 Jun 24 Enroll'!M$1,FALSE)+VLOOKUP($A158,EnrollData2324,'2324 Jun 24 Enroll'!D$1,FALSE),'District Calculations'!$F$25+'District Calculations'!$F$11),5)</f>
        <v>1.7780000000000001E-2</v>
      </c>
      <c r="AA158" s="6">
        <f>ROUND($J158*CIS_Base_Salary2425*VLOOKUP($A158,EnrollData2324,'2324 Jun 24 Enroll'!AH$1,FALSE),2)</f>
        <v>4262.68</v>
      </c>
      <c r="AB158" s="6">
        <f>ROUND($J158*CIS_Inc_Salary2425*(VLOOKUP($A158,EnrollData2324,'2324 Jun 24 Enroll'!AI$1,FALSE)+VLOOKUP($A158,EnrollData2324,'2324 Jun 24 Enroll'!AJ$1,FALSE)),2)-AA158</f>
        <v>157.6899999999996</v>
      </c>
      <c r="AC158" s="6" cm="1">
        <f t="array" ref="AC158">ROUND($R158*CAS_Base_Salary2425*VLOOKUP($A158,EnrollData2324,'2324 Jun 24 Enroll'!AH$1,FALSE),2)</f>
        <v>461.23</v>
      </c>
      <c r="AD158" s="6">
        <f>ROUND($R158*CAS_Inc_Salary2425*VLOOKUP($A158,EnrollData2324,'2324 Jun 24 Enroll'!AI$1,FALSE),2)-AC158</f>
        <v>17.069999999999993</v>
      </c>
      <c r="AE158" s="6">
        <f>ROUND($Z158*CLS_Base_Salary2425*VLOOKUP($A158,EnrollData2324,'2324 Jun 24 Enroll'!AH$1,FALSE),2)</f>
        <v>961.95</v>
      </c>
      <c r="AF158" s="6">
        <f>ROUND($Z158*CLS_Inc_Salary2425*VLOOKUP($A158,EnrollData2324,'2324 Jun 24 Enroll'!AI$1,FALSE),2)-AE158</f>
        <v>35.599999999999909</v>
      </c>
      <c r="AG158" cm="1">
        <f t="array" ref="AG158">ROUND(($J158+$R158)*Apport_124X2425,2)</f>
        <v>800.45</v>
      </c>
      <c r="AH158" s="69" cm="1">
        <f t="array" ref="AH158">ROUND(($J158+$R158)*Apport_621X2425*Apport_125XC2425,2)-AG158</f>
        <v>73.899999999999977</v>
      </c>
      <c r="AI158" cm="1">
        <f t="array" ref="AI158">ROUND($Z158*Apport_124X2425,2)</f>
        <v>234.7</v>
      </c>
      <c r="AJ158">
        <f t="shared" si="32"/>
        <v>124.71000000000004</v>
      </c>
      <c r="AK158">
        <f t="shared" si="33"/>
        <v>857.39</v>
      </c>
      <c r="AL158">
        <f t="shared" si="34"/>
        <v>30.6</v>
      </c>
      <c r="AM158">
        <f t="shared" si="35"/>
        <v>208.36</v>
      </c>
      <c r="AN158">
        <f t="shared" si="36"/>
        <v>6.46</v>
      </c>
      <c r="AO158">
        <f>ROUND(($J158*CIS_Inc_Salary2425*(VLOOKUP($A158,EnrollData2324,'2324 Jun 24 Enroll'!AI$1,FALSE)+VLOOKUP($A158,EnrollData2324,'2324 Jun 24 Enroll'!AJ$1,FALSE))/Apport_613Xpd)*Apport_614Xpd,2)</f>
        <v>73.67</v>
      </c>
      <c r="AP158">
        <f t="shared" si="37"/>
        <v>12.9</v>
      </c>
      <c r="AQ158">
        <f t="shared" si="38"/>
        <v>31.48</v>
      </c>
      <c r="AR158" s="6">
        <f>ROUND((VLOOKUP($A158,EnrollData2324,'2324 Jun 24 Enroll'!D$1,FALSE)*Apport_M802425+VLOOKUP($A158,EnrollData2324,'2324 Jun 24 Enroll'!M$1,FALSE)*Apport_M802425+(VLOOKUP($A158,EnrollData2324,'2324 Jun 24 Enroll'!P$1,FALSE)+VLOOKUP($A158,EnrollData2324,'2324 Jun 24 Enroll'!Q$1,FALSE)+VLOOKUP($A158,EnrollData2324,'2324 Jun 24 Enroll'!R$1,FALSE)+VLOOKUP($A158,EnrollData2324,'2324 Jun 24 Enroll'!I$1,FALSE)+VLOOKUP($A158,EnrollData2324,'2324 Jun 24 Enroll'!N$1,FALSE)+VLOOKUP($A158,EnrollData2324,'2324 Jun 24 Enroll'!O$1,FALSE)+VLOOKUP($A158,EnrollData2324,'2324 Jun 24 Enroll'!K$1,FALSE)+VLOOKUP($A158,EnrollData2324,'2324 Jun 24 Enroll'!L$1,FALSE))*Apport_M812425)/(VLOOKUP($A158,EnrollData2324,'2324 Jun 24 Enroll'!M$1,FALSE)+VLOOKUP($A158,EnrollData2324,'2324 Jun 24 Enroll'!D$1,FALSE)),2)</f>
        <v>1604.45</v>
      </c>
      <c r="AS158" s="7">
        <f t="shared" si="39"/>
        <v>9955.2899999999991</v>
      </c>
    </row>
    <row r="159" spans="1:45">
      <c r="A159" s="40" t="s">
        <v>456</v>
      </c>
      <c r="B159" s="40" t="s">
        <v>457</v>
      </c>
      <c r="C159" s="11">
        <f>ROUND((IFERROR((1/IF(VLOOKUP($A159,EnrollData2324,28,FALSE)='District Calculations'!$F$10,VLOOKUP($A159,EnrollData2324,28,FALSE),'District Calculations'!$F$10))*(1+Apport_Z315),0))+Apport_201A2425,6)</f>
        <v>7.4580999999999995E-2</v>
      </c>
      <c r="D159">
        <f>ROUND(IF(VLOOKUP($A159,EnrollData2324,'2324 Jun 24 Enroll'!D$1,FALSE)='District Calculations'!$F$11,VLOOKUP($A159,EnrollData2324,'2324 Jun 24 Enroll'!D$1,FALSE),'District Calculations'!$F$11)*C159,3)</f>
        <v>0</v>
      </c>
      <c r="E159">
        <f>ROUND(IF(VLOOKUP($A159,EnrollData2324,'2324 Jun 24 Enroll'!E$1,FALSE)='District Calculations'!$F$12,VLOOKUP($A159,EnrollData2324,'2324 Jun 24 Enroll'!E$1,FALSE),'District Calculations'!$F$12)*C159,3)</f>
        <v>60.447000000000003</v>
      </c>
      <c r="F159">
        <f>ROUND(IF(VLOOKUP($A159,EnrollData2324,'2324 Jun 24 Enroll'!F$1,FALSE)='District Calculations'!$F$13,VLOOKUP($A159,EnrollData2324,'2324 Jun 24 Enroll'!F$1,FALSE),'District Calculations'!$F$13)*Apport_222A2425,3)</f>
        <v>10.337999999999999</v>
      </c>
      <c r="G159">
        <f>ROUND(IF(VLOOKUP($A159,EnrollData2324,'2324 Jun 24 Enroll'!G$1,FALSE)='District Calculations'!$F$14,VLOOKUP($A159,EnrollData2324,'2324 Jun 24 Enroll'!G$1,FALSE),'District Calculations'!$F$14)*Apport_210A2425,3)</f>
        <v>22.92</v>
      </c>
      <c r="H159">
        <f>ROUND(IF(VLOOKUP($A159,EnrollData2324,'2324 Jun 24 Enroll'!H$1,FALSE)='District Calculations'!$F$15,VLOOKUP($A159,EnrollData2324,'2324 Jun 24 Enroll'!H$1,FALSE),'District Calculations'!$F$15)*Apport_213A2425,3)</f>
        <v>23.619</v>
      </c>
      <c r="I159">
        <f>ROUND(IF(VLOOKUP($A159,EnrollData2324,'2324 Jun 24 Enroll'!I$1,FALSE)+VLOOKUP($A159,EnrollData2324,'2324 Jun 24 Enroll'!M$1,FALSE)-VLOOKUP($A159,EnrollData2324,'2324 Jun 24 Enroll'!J$1,FALSE)='District Calculations'!$F$16+'District Calculations'!$F$25-'District Calculations'!$F$17,VLOOKUP($A159,EnrollData2324,'2324 Jun 24 Enroll'!I$1,FALSE)+VLOOKUP($A159,EnrollData2324,'2324 Jun 24 Enroll'!M$1,FALSE)-VLOOKUP($A159,EnrollData2324,'2324 Jun 24 Enroll'!J$1,FALSE),'District Calculations'!$F$16+'District Calculations'!$F$25-'District Calculations'!$F$17)*Apport_216A2425,3)</f>
        <v>59.057000000000002</v>
      </c>
      <c r="J159">
        <f>ROUND(SUM(D159:I159)/(IF(VLOOKUP($A159,EnrollData2324,'2324 Jun 24 Enroll'!M$1,FALSE)='District Calculations'!$F$25,VLOOKUP($A159,EnrollData2324,'2324 Jun 24 Enroll'!M$1,FALSE),'District Calculations'!$F$25)+IF(VLOOKUP($A159,EnrollData2324,'2324 Jun 24 Enroll'!D$1,FALSE)='District Calculations'!$F$11,VLOOKUP($A159,EnrollData2324,'2324 Jun 24 Enroll'!D$1,FALSE),'District Calculations'!$F$11)),5)</f>
        <v>5.6520000000000001E-2</v>
      </c>
      <c r="K159" s="11">
        <f t="shared" si="30"/>
        <v>4.385E-3</v>
      </c>
      <c r="L159">
        <f>ROUND(IF(VLOOKUP($A159,EnrollData2324,'2324 Jun 24 Enroll'!D$1,FALSE)='District Calculations'!$F$11,VLOOKUP($A159,EnrollData2324,'2324 Jun 24 Enroll'!D$1,FALSE),'District Calculations'!$F$11)*K159,3)</f>
        <v>0</v>
      </c>
      <c r="M159">
        <f>ROUND(IF(VLOOKUP($A159,EnrollData2324,'2324 Jun 24 Enroll'!E$1,FALSE)='District Calculations'!$F$12,VLOOKUP($A159,EnrollData2324,'2324 Jun 24 Enroll'!E$1,FALSE),'District Calculations'!$F$12)*K159,3)</f>
        <v>3.5539999999999998</v>
      </c>
      <c r="N159">
        <f>ROUND(IF(VLOOKUP($A159,EnrollData2324,'2324 Jun 24 Enroll'!F$1,FALSE)='District Calculations'!$F$13,VLOOKUP($A159,EnrollData2324,'2324 Jun 24 Enroll'!F$1,FALSE),'District Calculations'!$F$13)*Apport_223A2425,3)</f>
        <v>0.84599999999999997</v>
      </c>
      <c r="O159">
        <f>ROUND(IF(VLOOKUP($A159,EnrollData2324,'2324 Jun 24 Enroll'!G$1,FALSE)='District Calculations'!$F$14,VLOOKUP($A159,EnrollData2324,'2324 Jun 24 Enroll'!G$1,FALSE),'District Calculations'!$F$14)*Apport_211A2425,3)</f>
        <v>1.877</v>
      </c>
      <c r="P159">
        <f>ROUND(IF(VLOOKUP($A159,EnrollData2324,'2324 Jun 24 Enroll'!H$1,FALSE)='District Calculations'!$F$14,VLOOKUP($A159,EnrollData2324,'2324 Jun 24 Enroll'!H$1,FALSE),'District Calculations'!$F$14)*Apport_214A2425,3)</f>
        <v>1.875</v>
      </c>
      <c r="Q159">
        <f>ROUND(IF(VLOOKUP($A159,EnrollData2324,'2324 Jun 24 Enroll'!I$1,FALSE)+VLOOKUP($A159,EnrollData2324,'2324 Jun 24 Enroll'!M$1,FALSE)-VLOOKUP($A159,EnrollData2324,'2324 Jun 24 Enroll'!J$1,FALSE)='District Calculations'!$F$16+'District Calculations'!$F$25-'District Calculations'!$F$17,VLOOKUP($A159,EnrollData2324,'2324 Jun 24 Enroll'!I$1,FALSE)+VLOOKUP($A159,EnrollData2324,'2324 Jun 24 Enroll'!M$1,FALSE)-VLOOKUP($A159,EnrollData2324,'2324 Jun 24 Enroll'!J$1,FALSE),'District Calculations'!$F$16+'District Calculations'!$F$25-'District Calculations'!$F$17)*Apport_217A2425,3)</f>
        <v>4.7130000000000001</v>
      </c>
      <c r="R159">
        <f>ROUND(SUM(L159:Q159)/IF(VLOOKUP($A159,EnrollData2324,'2324 Jun 24 Enroll'!M$1,FALSE)+VLOOKUP($A159,EnrollData2324,'2324 Jun 24 Enroll'!D$1,FALSE)='District Calculations'!$F$25+'District Calculations'!$F$11,VLOOKUP($A159,EnrollData2324,'2324 Jun 24 Enroll'!M$1,FALSE)+VLOOKUP($A159,EnrollData2324,'2324 Jun 24 Enroll'!D$1,FALSE),'District Calculations'!$F$25+'District Calculations'!$F$11),5)</f>
        <v>4.1200000000000004E-3</v>
      </c>
      <c r="S159" s="11">
        <f t="shared" si="31"/>
        <v>1.8734299999999999E-2</v>
      </c>
      <c r="T159">
        <f>ROUND(IF(VLOOKUP($A159,EnrollData2324,'2324 Jun 24 Enroll'!D$1,FALSE)='District Calculations'!$F$11,VLOOKUP($A159,EnrollData2324,'2324 Jun 24 Enroll'!D$1,FALSE),'District Calculations'!$F$11)*S159,3)</f>
        <v>0</v>
      </c>
      <c r="U159">
        <f>ROUND(IF(VLOOKUP($A159,EnrollData2324,'2324 Jun 24 Enroll'!E$1,FALSE)='District Calculations'!$F$12,VLOOKUP($A159,EnrollData2324,'2324 Jun 24 Enroll'!E$1,FALSE),'District Calculations'!$F$12)*S159,3)</f>
        <v>15.183999999999999</v>
      </c>
      <c r="V159">
        <f>ROUND(IF(VLOOKUP($A159,EnrollData2324,'2324 Jun 24 Enroll'!F$1,FALSE)='District Calculations'!$F$13,VLOOKUP($A159,EnrollData2324,'2324 Jun 24 Enroll'!F$1,FALSE),'District Calculations'!$F$13)*Apport_224A2425,3)</f>
        <v>3.7109999999999999</v>
      </c>
      <c r="W159">
        <f>ROUND(IF(VLOOKUP($A159,EnrollData2324,'2324 Jun 24 Enroll'!G$1,FALSE)='District Calculations'!$F$14,VLOOKUP($A159,EnrollData2324,'2324 Jun 24 Enroll'!G$1,FALSE),'District Calculations'!$F$14)*Apport_212A2425,3)</f>
        <v>8.2279999999999998</v>
      </c>
      <c r="X159">
        <f>ROUND(IF(VLOOKUP($A159,EnrollData2324,'2324 Jun 24 Enroll'!H$1,FALSE)='District Calculations'!$F$14,VLOOKUP($A159,EnrollData2324,'2324 Jun 24 Enroll'!H$1,FALSE),'District Calculations'!$F$14)*Apport_215A2425,3)</f>
        <v>8.1180000000000003</v>
      </c>
      <c r="Y159">
        <f>ROUND(IF(VLOOKUP($A159,EnrollData2324,'2324 Jun 24 Enroll'!I$1,FALSE)+VLOOKUP($A159,EnrollData2324,'2324 Jun 24 Enroll'!M$1,FALSE)-VLOOKUP($A159,EnrollData2324,'2324 Jun 24 Enroll'!J$1,FALSE)='District Calculations'!$F$16+'District Calculations'!$F$25-'District Calculations'!$F$17,VLOOKUP($A159,EnrollData2324,'2324 Jun 24 Enroll'!I$1,FALSE)+VLOOKUP($A159,EnrollData2324,'2324 Jun 24 Enroll'!M$1,FALSE)-VLOOKUP($A159,EnrollData2324,'2324 Jun 24 Enroll'!J$1,FALSE),'District Calculations'!$F$16+'District Calculations'!$F$25-'District Calculations'!$F$17)*Apport_218A2425,3)</f>
        <v>20.257999999999999</v>
      </c>
      <c r="Z159">
        <f>ROUND(SUM(T159:Y159)/IF(VLOOKUP($A159,EnrollData2324,'2324 Jun 24 Enroll'!M$1,FALSE)+VLOOKUP($A159,EnrollData2324,'2324 Jun 24 Enroll'!D$1,FALSE)='District Calculations'!$F$25+'District Calculations'!$F$11,VLOOKUP($A159,EnrollData2324,'2324 Jun 24 Enroll'!M$1,FALSE)+VLOOKUP($A159,EnrollData2324,'2324 Jun 24 Enroll'!D$1,FALSE),'District Calculations'!$F$25+'District Calculations'!$F$11),5)</f>
        <v>1.7780000000000001E-2</v>
      </c>
      <c r="AA159" s="6">
        <f>ROUND($J159*CIS_Base_Salary2425*VLOOKUP($A159,EnrollData2324,'2324 Jun 24 Enroll'!AH$1,FALSE),2)</f>
        <v>4262.68</v>
      </c>
      <c r="AB159" s="6">
        <f>ROUND($J159*CIS_Inc_Salary2425*(VLOOKUP($A159,EnrollData2324,'2324 Jun 24 Enroll'!AI$1,FALSE)+VLOOKUP($A159,EnrollData2324,'2324 Jun 24 Enroll'!AJ$1,FALSE)),2)-AA159</f>
        <v>157.6899999999996</v>
      </c>
      <c r="AC159" s="6" cm="1">
        <f t="array" ref="AC159">ROUND($R159*CAS_Base_Salary2425*VLOOKUP($A159,EnrollData2324,'2324 Jun 24 Enroll'!AH$1,FALSE),2)</f>
        <v>461.23</v>
      </c>
      <c r="AD159" s="6">
        <f>ROUND($R159*CAS_Inc_Salary2425*VLOOKUP($A159,EnrollData2324,'2324 Jun 24 Enroll'!AI$1,FALSE),2)-AC159</f>
        <v>17.069999999999993</v>
      </c>
      <c r="AE159" s="6">
        <f>ROUND($Z159*CLS_Base_Salary2425*VLOOKUP($A159,EnrollData2324,'2324 Jun 24 Enroll'!AH$1,FALSE),2)</f>
        <v>961.95</v>
      </c>
      <c r="AF159" s="6">
        <f>ROUND($Z159*CLS_Inc_Salary2425*VLOOKUP($A159,EnrollData2324,'2324 Jun 24 Enroll'!AI$1,FALSE),2)-AE159</f>
        <v>35.599999999999909</v>
      </c>
      <c r="AG159" cm="1">
        <f t="array" ref="AG159">ROUND(($J159+$R159)*Apport_124X2425,2)</f>
        <v>800.45</v>
      </c>
      <c r="AH159" s="69" cm="1">
        <f t="array" ref="AH159">ROUND(($J159+$R159)*Apport_621X2425*Apport_125XC2425,2)-AG159</f>
        <v>73.899999999999977</v>
      </c>
      <c r="AI159" cm="1">
        <f t="array" ref="AI159">ROUND($Z159*Apport_124X2425,2)</f>
        <v>234.7</v>
      </c>
      <c r="AJ159">
        <f t="shared" si="32"/>
        <v>124.71000000000004</v>
      </c>
      <c r="AK159">
        <f t="shared" si="33"/>
        <v>857.39</v>
      </c>
      <c r="AL159">
        <f t="shared" si="34"/>
        <v>30.6</v>
      </c>
      <c r="AM159">
        <f t="shared" si="35"/>
        <v>208.36</v>
      </c>
      <c r="AN159">
        <f t="shared" si="36"/>
        <v>6.46</v>
      </c>
      <c r="AO159">
        <f>ROUND(($J159*CIS_Inc_Salary2425*(VLOOKUP($A159,EnrollData2324,'2324 Jun 24 Enroll'!AI$1,FALSE)+VLOOKUP($A159,EnrollData2324,'2324 Jun 24 Enroll'!AJ$1,FALSE))/Apport_613Xpd)*Apport_614Xpd,2)</f>
        <v>73.67</v>
      </c>
      <c r="AP159">
        <f t="shared" si="37"/>
        <v>12.9</v>
      </c>
      <c r="AQ159">
        <f t="shared" si="38"/>
        <v>31.48</v>
      </c>
      <c r="AR159" s="6">
        <f>ROUND((VLOOKUP($A159,EnrollData2324,'2324 Jun 24 Enroll'!D$1,FALSE)*Apport_M802425+VLOOKUP($A159,EnrollData2324,'2324 Jun 24 Enroll'!M$1,FALSE)*Apport_M802425+(VLOOKUP($A159,EnrollData2324,'2324 Jun 24 Enroll'!P$1,FALSE)+VLOOKUP($A159,EnrollData2324,'2324 Jun 24 Enroll'!Q$1,FALSE)+VLOOKUP($A159,EnrollData2324,'2324 Jun 24 Enroll'!R$1,FALSE)+VLOOKUP($A159,EnrollData2324,'2324 Jun 24 Enroll'!I$1,FALSE)+VLOOKUP($A159,EnrollData2324,'2324 Jun 24 Enroll'!N$1,FALSE)+VLOOKUP($A159,EnrollData2324,'2324 Jun 24 Enroll'!O$1,FALSE)+VLOOKUP($A159,EnrollData2324,'2324 Jun 24 Enroll'!K$1,FALSE)+VLOOKUP($A159,EnrollData2324,'2324 Jun 24 Enroll'!L$1,FALSE))*Apport_M812425)/(VLOOKUP($A159,EnrollData2324,'2324 Jun 24 Enroll'!M$1,FALSE)+VLOOKUP($A159,EnrollData2324,'2324 Jun 24 Enroll'!D$1,FALSE)),2)</f>
        <v>1533.02</v>
      </c>
      <c r="AS159" s="7">
        <f t="shared" si="39"/>
        <v>9883.8599999999988</v>
      </c>
    </row>
    <row r="160" spans="1:45">
      <c r="A160" s="40" t="s">
        <v>602</v>
      </c>
      <c r="B160" s="40" t="s">
        <v>603</v>
      </c>
      <c r="C160" s="11">
        <f>ROUND((IFERROR((1/IF(VLOOKUP($A160,EnrollData2324,28,FALSE)='District Calculations'!$F$10,VLOOKUP($A160,EnrollData2324,28,FALSE),'District Calculations'!$F$10))*(1+Apport_Z315),0))+Apport_201A2425,6)</f>
        <v>7.4580999999999995E-2</v>
      </c>
      <c r="D160">
        <f>ROUND(IF(VLOOKUP($A160,EnrollData2324,'2324 Jun 24 Enroll'!D$1,FALSE)='District Calculations'!$F$11,VLOOKUP($A160,EnrollData2324,'2324 Jun 24 Enroll'!D$1,FALSE),'District Calculations'!$F$11)*C160,3)</f>
        <v>0</v>
      </c>
      <c r="E160">
        <f>ROUND(IF(VLOOKUP($A160,EnrollData2324,'2324 Jun 24 Enroll'!E$1,FALSE)='District Calculations'!$F$12,VLOOKUP($A160,EnrollData2324,'2324 Jun 24 Enroll'!E$1,FALSE),'District Calculations'!$F$12)*C160,3)</f>
        <v>60.447000000000003</v>
      </c>
      <c r="F160">
        <f>ROUND(IF(VLOOKUP($A160,EnrollData2324,'2324 Jun 24 Enroll'!F$1,FALSE)='District Calculations'!$F$13,VLOOKUP($A160,EnrollData2324,'2324 Jun 24 Enroll'!F$1,FALSE),'District Calculations'!$F$13)*Apport_222A2425,3)</f>
        <v>10.337999999999999</v>
      </c>
      <c r="G160">
        <f>ROUND(IF(VLOOKUP($A160,EnrollData2324,'2324 Jun 24 Enroll'!G$1,FALSE)='District Calculations'!$F$14,VLOOKUP($A160,EnrollData2324,'2324 Jun 24 Enroll'!G$1,FALSE),'District Calculations'!$F$14)*Apport_210A2425,3)</f>
        <v>22.92</v>
      </c>
      <c r="H160">
        <f>ROUND(IF(VLOOKUP($A160,EnrollData2324,'2324 Jun 24 Enroll'!H$1,FALSE)='District Calculations'!$F$15,VLOOKUP($A160,EnrollData2324,'2324 Jun 24 Enroll'!H$1,FALSE),'District Calculations'!$F$15)*Apport_213A2425,3)</f>
        <v>23.619</v>
      </c>
      <c r="I160">
        <f>ROUND(IF(VLOOKUP($A160,EnrollData2324,'2324 Jun 24 Enroll'!I$1,FALSE)+VLOOKUP($A160,EnrollData2324,'2324 Jun 24 Enroll'!M$1,FALSE)-VLOOKUP($A160,EnrollData2324,'2324 Jun 24 Enroll'!J$1,FALSE)='District Calculations'!$F$16+'District Calculations'!$F$25-'District Calculations'!$F$17,VLOOKUP($A160,EnrollData2324,'2324 Jun 24 Enroll'!I$1,FALSE)+VLOOKUP($A160,EnrollData2324,'2324 Jun 24 Enroll'!M$1,FALSE)-VLOOKUP($A160,EnrollData2324,'2324 Jun 24 Enroll'!J$1,FALSE),'District Calculations'!$F$16+'District Calculations'!$F$25-'District Calculations'!$F$17)*Apport_216A2425,3)</f>
        <v>59.057000000000002</v>
      </c>
      <c r="J160">
        <f>ROUND(SUM(D160:I160)/(IF(VLOOKUP($A160,EnrollData2324,'2324 Jun 24 Enroll'!M$1,FALSE)='District Calculations'!$F$25,VLOOKUP($A160,EnrollData2324,'2324 Jun 24 Enroll'!M$1,FALSE),'District Calculations'!$F$25)+IF(VLOOKUP($A160,EnrollData2324,'2324 Jun 24 Enroll'!D$1,FALSE)='District Calculations'!$F$11,VLOOKUP($A160,EnrollData2324,'2324 Jun 24 Enroll'!D$1,FALSE),'District Calculations'!$F$11)),5)</f>
        <v>5.6520000000000001E-2</v>
      </c>
      <c r="K160" s="11">
        <f t="shared" si="30"/>
        <v>4.385E-3</v>
      </c>
      <c r="L160">
        <f>ROUND(IF(VLOOKUP($A160,EnrollData2324,'2324 Jun 24 Enroll'!D$1,FALSE)='District Calculations'!$F$11,VLOOKUP($A160,EnrollData2324,'2324 Jun 24 Enroll'!D$1,FALSE),'District Calculations'!$F$11)*K160,3)</f>
        <v>0</v>
      </c>
      <c r="M160">
        <f>ROUND(IF(VLOOKUP($A160,EnrollData2324,'2324 Jun 24 Enroll'!E$1,FALSE)='District Calculations'!$F$12,VLOOKUP($A160,EnrollData2324,'2324 Jun 24 Enroll'!E$1,FALSE),'District Calculations'!$F$12)*K160,3)</f>
        <v>3.5539999999999998</v>
      </c>
      <c r="N160">
        <f>ROUND(IF(VLOOKUP($A160,EnrollData2324,'2324 Jun 24 Enroll'!F$1,FALSE)='District Calculations'!$F$13,VLOOKUP($A160,EnrollData2324,'2324 Jun 24 Enroll'!F$1,FALSE),'District Calculations'!$F$13)*Apport_223A2425,3)</f>
        <v>0.84599999999999997</v>
      </c>
      <c r="O160">
        <f>ROUND(IF(VLOOKUP($A160,EnrollData2324,'2324 Jun 24 Enroll'!G$1,FALSE)='District Calculations'!$F$14,VLOOKUP($A160,EnrollData2324,'2324 Jun 24 Enroll'!G$1,FALSE),'District Calculations'!$F$14)*Apport_211A2425,3)</f>
        <v>1.877</v>
      </c>
      <c r="P160">
        <f>ROUND(IF(VLOOKUP($A160,EnrollData2324,'2324 Jun 24 Enroll'!H$1,FALSE)='District Calculations'!$F$14,VLOOKUP($A160,EnrollData2324,'2324 Jun 24 Enroll'!H$1,FALSE),'District Calculations'!$F$14)*Apport_214A2425,3)</f>
        <v>1.875</v>
      </c>
      <c r="Q160">
        <f>ROUND(IF(VLOOKUP($A160,EnrollData2324,'2324 Jun 24 Enroll'!I$1,FALSE)+VLOOKUP($A160,EnrollData2324,'2324 Jun 24 Enroll'!M$1,FALSE)-VLOOKUP($A160,EnrollData2324,'2324 Jun 24 Enroll'!J$1,FALSE)='District Calculations'!$F$16+'District Calculations'!$F$25-'District Calculations'!$F$17,VLOOKUP($A160,EnrollData2324,'2324 Jun 24 Enroll'!I$1,FALSE)+VLOOKUP($A160,EnrollData2324,'2324 Jun 24 Enroll'!M$1,FALSE)-VLOOKUP($A160,EnrollData2324,'2324 Jun 24 Enroll'!J$1,FALSE),'District Calculations'!$F$16+'District Calculations'!$F$25-'District Calculations'!$F$17)*Apport_217A2425,3)</f>
        <v>4.7130000000000001</v>
      </c>
      <c r="R160">
        <f>ROUND(SUM(L160:Q160)/IF(VLOOKUP($A160,EnrollData2324,'2324 Jun 24 Enroll'!M$1,FALSE)+VLOOKUP($A160,EnrollData2324,'2324 Jun 24 Enroll'!D$1,FALSE)='District Calculations'!$F$25+'District Calculations'!$F$11,VLOOKUP($A160,EnrollData2324,'2324 Jun 24 Enroll'!M$1,FALSE)+VLOOKUP($A160,EnrollData2324,'2324 Jun 24 Enroll'!D$1,FALSE),'District Calculations'!$F$25+'District Calculations'!$F$11),5)</f>
        <v>4.1200000000000004E-3</v>
      </c>
      <c r="S160" s="11">
        <f t="shared" si="31"/>
        <v>1.8734299999999999E-2</v>
      </c>
      <c r="T160">
        <f>ROUND(IF(VLOOKUP($A160,EnrollData2324,'2324 Jun 24 Enroll'!D$1,FALSE)='District Calculations'!$F$11,VLOOKUP($A160,EnrollData2324,'2324 Jun 24 Enroll'!D$1,FALSE),'District Calculations'!$F$11)*S160,3)</f>
        <v>0</v>
      </c>
      <c r="U160">
        <f>ROUND(IF(VLOOKUP($A160,EnrollData2324,'2324 Jun 24 Enroll'!E$1,FALSE)='District Calculations'!$F$12,VLOOKUP($A160,EnrollData2324,'2324 Jun 24 Enroll'!E$1,FALSE),'District Calculations'!$F$12)*S160,3)</f>
        <v>15.183999999999999</v>
      </c>
      <c r="V160">
        <f>ROUND(IF(VLOOKUP($A160,EnrollData2324,'2324 Jun 24 Enroll'!F$1,FALSE)='District Calculations'!$F$13,VLOOKUP($A160,EnrollData2324,'2324 Jun 24 Enroll'!F$1,FALSE),'District Calculations'!$F$13)*Apport_224A2425,3)</f>
        <v>3.7109999999999999</v>
      </c>
      <c r="W160">
        <f>ROUND(IF(VLOOKUP($A160,EnrollData2324,'2324 Jun 24 Enroll'!G$1,FALSE)='District Calculations'!$F$14,VLOOKUP($A160,EnrollData2324,'2324 Jun 24 Enroll'!G$1,FALSE),'District Calculations'!$F$14)*Apport_212A2425,3)</f>
        <v>8.2279999999999998</v>
      </c>
      <c r="X160">
        <f>ROUND(IF(VLOOKUP($A160,EnrollData2324,'2324 Jun 24 Enroll'!H$1,FALSE)='District Calculations'!$F$14,VLOOKUP($A160,EnrollData2324,'2324 Jun 24 Enroll'!H$1,FALSE),'District Calculations'!$F$14)*Apport_215A2425,3)</f>
        <v>8.1180000000000003</v>
      </c>
      <c r="Y160">
        <f>ROUND(IF(VLOOKUP($A160,EnrollData2324,'2324 Jun 24 Enroll'!I$1,FALSE)+VLOOKUP($A160,EnrollData2324,'2324 Jun 24 Enroll'!M$1,FALSE)-VLOOKUP($A160,EnrollData2324,'2324 Jun 24 Enroll'!J$1,FALSE)='District Calculations'!$F$16+'District Calculations'!$F$25-'District Calculations'!$F$17,VLOOKUP($A160,EnrollData2324,'2324 Jun 24 Enroll'!I$1,FALSE)+VLOOKUP($A160,EnrollData2324,'2324 Jun 24 Enroll'!M$1,FALSE)-VLOOKUP($A160,EnrollData2324,'2324 Jun 24 Enroll'!J$1,FALSE),'District Calculations'!$F$16+'District Calculations'!$F$25-'District Calculations'!$F$17)*Apport_218A2425,3)</f>
        <v>20.257999999999999</v>
      </c>
      <c r="Z160">
        <f>ROUND(SUM(T160:Y160)/IF(VLOOKUP($A160,EnrollData2324,'2324 Jun 24 Enroll'!M$1,FALSE)+VLOOKUP($A160,EnrollData2324,'2324 Jun 24 Enroll'!D$1,FALSE)='District Calculations'!$F$25+'District Calculations'!$F$11,VLOOKUP($A160,EnrollData2324,'2324 Jun 24 Enroll'!M$1,FALSE)+VLOOKUP($A160,EnrollData2324,'2324 Jun 24 Enroll'!D$1,FALSE),'District Calculations'!$F$25+'District Calculations'!$F$11),5)</f>
        <v>1.7780000000000001E-2</v>
      </c>
      <c r="AA160" s="6">
        <f>ROUND($J160*CIS_Base_Salary2425*VLOOKUP($A160,EnrollData2324,'2324 Jun 24 Enroll'!AH$1,FALSE),2)</f>
        <v>4262.68</v>
      </c>
      <c r="AB160" s="6">
        <f>ROUND($J160*CIS_Inc_Salary2425*(VLOOKUP($A160,EnrollData2324,'2324 Jun 24 Enroll'!AI$1,FALSE)+VLOOKUP($A160,EnrollData2324,'2324 Jun 24 Enroll'!AJ$1,FALSE)),2)-AA160</f>
        <v>157.6899999999996</v>
      </c>
      <c r="AC160" s="6" cm="1">
        <f t="array" ref="AC160">ROUND($R160*CAS_Base_Salary2425*VLOOKUP($A160,EnrollData2324,'2324 Jun 24 Enroll'!AH$1,FALSE),2)</f>
        <v>461.23</v>
      </c>
      <c r="AD160" s="6">
        <f>ROUND($R160*CAS_Inc_Salary2425*VLOOKUP($A160,EnrollData2324,'2324 Jun 24 Enroll'!AI$1,FALSE),2)-AC160</f>
        <v>17.069999999999993</v>
      </c>
      <c r="AE160" s="6">
        <f>ROUND($Z160*CLS_Base_Salary2425*VLOOKUP($A160,EnrollData2324,'2324 Jun 24 Enroll'!AH$1,FALSE),2)</f>
        <v>961.95</v>
      </c>
      <c r="AF160" s="6">
        <f>ROUND($Z160*CLS_Inc_Salary2425*VLOOKUP($A160,EnrollData2324,'2324 Jun 24 Enroll'!AI$1,FALSE),2)-AE160</f>
        <v>35.599999999999909</v>
      </c>
      <c r="AG160" cm="1">
        <f t="array" ref="AG160">ROUND(($J160+$R160)*Apport_124X2425,2)</f>
        <v>800.45</v>
      </c>
      <c r="AH160" s="69" cm="1">
        <f t="array" ref="AH160">ROUND(($J160+$R160)*Apport_621X2425*Apport_125XC2425,2)-AG160</f>
        <v>73.899999999999977</v>
      </c>
      <c r="AI160" cm="1">
        <f t="array" ref="AI160">ROUND($Z160*Apport_124X2425,2)</f>
        <v>234.7</v>
      </c>
      <c r="AJ160">
        <f t="shared" si="32"/>
        <v>124.71000000000004</v>
      </c>
      <c r="AK160">
        <f t="shared" si="33"/>
        <v>857.39</v>
      </c>
      <c r="AL160">
        <f t="shared" si="34"/>
        <v>30.6</v>
      </c>
      <c r="AM160">
        <f t="shared" si="35"/>
        <v>208.36</v>
      </c>
      <c r="AN160">
        <f t="shared" si="36"/>
        <v>6.46</v>
      </c>
      <c r="AO160">
        <f>ROUND(($J160*CIS_Inc_Salary2425*(VLOOKUP($A160,EnrollData2324,'2324 Jun 24 Enroll'!AI$1,FALSE)+VLOOKUP($A160,EnrollData2324,'2324 Jun 24 Enroll'!AJ$1,FALSE))/Apport_613Xpd)*Apport_614Xpd,2)</f>
        <v>73.67</v>
      </c>
      <c r="AP160">
        <f t="shared" si="37"/>
        <v>12.9</v>
      </c>
      <c r="AQ160">
        <f t="shared" si="38"/>
        <v>31.48</v>
      </c>
      <c r="AR160" s="6">
        <f>ROUND((VLOOKUP($A160,EnrollData2324,'2324 Jun 24 Enroll'!D$1,FALSE)*Apport_M802425+VLOOKUP($A160,EnrollData2324,'2324 Jun 24 Enroll'!M$1,FALSE)*Apport_M802425+(VLOOKUP($A160,EnrollData2324,'2324 Jun 24 Enroll'!P$1,FALSE)+VLOOKUP($A160,EnrollData2324,'2324 Jun 24 Enroll'!Q$1,FALSE)+VLOOKUP($A160,EnrollData2324,'2324 Jun 24 Enroll'!R$1,FALSE)+VLOOKUP($A160,EnrollData2324,'2324 Jun 24 Enroll'!I$1,FALSE)+VLOOKUP($A160,EnrollData2324,'2324 Jun 24 Enroll'!N$1,FALSE)+VLOOKUP($A160,EnrollData2324,'2324 Jun 24 Enroll'!O$1,FALSE)+VLOOKUP($A160,EnrollData2324,'2324 Jun 24 Enroll'!K$1,FALSE)+VLOOKUP($A160,EnrollData2324,'2324 Jun 24 Enroll'!L$1,FALSE))*Apport_M812425)/(VLOOKUP($A160,EnrollData2324,'2324 Jun 24 Enroll'!M$1,FALSE)+VLOOKUP($A160,EnrollData2324,'2324 Jun 24 Enroll'!D$1,FALSE)),2)</f>
        <v>1602.06</v>
      </c>
      <c r="AS160" s="7">
        <f t="shared" si="39"/>
        <v>9952.8999999999978</v>
      </c>
    </row>
    <row r="161" spans="1:45">
      <c r="A161" s="40" t="s">
        <v>598</v>
      </c>
      <c r="B161" s="40" t="s">
        <v>599</v>
      </c>
      <c r="C161" s="11">
        <f>ROUND((IFERROR((1/IF(VLOOKUP($A161,EnrollData2324,28,FALSE)='District Calculations'!$F$10,VLOOKUP($A161,EnrollData2324,28,FALSE),'District Calculations'!$F$10))*(1+Apport_Z315),0))+Apport_201A2425,6)</f>
        <v>7.4580999999999995E-2</v>
      </c>
      <c r="D161">
        <f>ROUND(IF(VLOOKUP($A161,EnrollData2324,'2324 Jun 24 Enroll'!D$1,FALSE)='District Calculations'!$F$11,VLOOKUP($A161,EnrollData2324,'2324 Jun 24 Enroll'!D$1,FALSE),'District Calculations'!$F$11)*C161,3)</f>
        <v>0</v>
      </c>
      <c r="E161">
        <f>ROUND(IF(VLOOKUP($A161,EnrollData2324,'2324 Jun 24 Enroll'!E$1,FALSE)='District Calculations'!$F$12,VLOOKUP($A161,EnrollData2324,'2324 Jun 24 Enroll'!E$1,FALSE),'District Calculations'!$F$12)*C161,3)</f>
        <v>60.447000000000003</v>
      </c>
      <c r="F161">
        <f>ROUND(IF(VLOOKUP($A161,EnrollData2324,'2324 Jun 24 Enroll'!F$1,FALSE)='District Calculations'!$F$13,VLOOKUP($A161,EnrollData2324,'2324 Jun 24 Enroll'!F$1,FALSE),'District Calculations'!$F$13)*Apport_222A2425,3)</f>
        <v>10.337999999999999</v>
      </c>
      <c r="G161">
        <f>ROUND(IF(VLOOKUP($A161,EnrollData2324,'2324 Jun 24 Enroll'!G$1,FALSE)='District Calculations'!$F$14,VLOOKUP($A161,EnrollData2324,'2324 Jun 24 Enroll'!G$1,FALSE),'District Calculations'!$F$14)*Apport_210A2425,3)</f>
        <v>22.92</v>
      </c>
      <c r="H161">
        <f>ROUND(IF(VLOOKUP($A161,EnrollData2324,'2324 Jun 24 Enroll'!H$1,FALSE)='District Calculations'!$F$15,VLOOKUP($A161,EnrollData2324,'2324 Jun 24 Enroll'!H$1,FALSE),'District Calculations'!$F$15)*Apport_213A2425,3)</f>
        <v>23.619</v>
      </c>
      <c r="I161">
        <f>ROUND(IF(VLOOKUP($A161,EnrollData2324,'2324 Jun 24 Enroll'!I$1,FALSE)+VLOOKUP($A161,EnrollData2324,'2324 Jun 24 Enroll'!M$1,FALSE)-VLOOKUP($A161,EnrollData2324,'2324 Jun 24 Enroll'!J$1,FALSE)='District Calculations'!$F$16+'District Calculations'!$F$25-'District Calculations'!$F$17,VLOOKUP($A161,EnrollData2324,'2324 Jun 24 Enroll'!I$1,FALSE)+VLOOKUP($A161,EnrollData2324,'2324 Jun 24 Enroll'!M$1,FALSE)-VLOOKUP($A161,EnrollData2324,'2324 Jun 24 Enroll'!J$1,FALSE),'District Calculations'!$F$16+'District Calculations'!$F$25-'District Calculations'!$F$17)*Apport_216A2425,3)</f>
        <v>59.057000000000002</v>
      </c>
      <c r="J161">
        <f>ROUND(SUM(D161:I161)/(IF(VLOOKUP($A161,EnrollData2324,'2324 Jun 24 Enroll'!M$1,FALSE)='District Calculations'!$F$25,VLOOKUP($A161,EnrollData2324,'2324 Jun 24 Enroll'!M$1,FALSE),'District Calculations'!$F$25)+IF(VLOOKUP($A161,EnrollData2324,'2324 Jun 24 Enroll'!D$1,FALSE)='District Calculations'!$F$11,VLOOKUP($A161,EnrollData2324,'2324 Jun 24 Enroll'!D$1,FALSE),'District Calculations'!$F$11)),5)</f>
        <v>5.6520000000000001E-2</v>
      </c>
      <c r="K161" s="11">
        <f t="shared" si="30"/>
        <v>4.385E-3</v>
      </c>
      <c r="L161">
        <f>ROUND(IF(VLOOKUP($A161,EnrollData2324,'2324 Jun 24 Enroll'!D$1,FALSE)='District Calculations'!$F$11,VLOOKUP($A161,EnrollData2324,'2324 Jun 24 Enroll'!D$1,FALSE),'District Calculations'!$F$11)*K161,3)</f>
        <v>0</v>
      </c>
      <c r="M161">
        <f>ROUND(IF(VLOOKUP($A161,EnrollData2324,'2324 Jun 24 Enroll'!E$1,FALSE)='District Calculations'!$F$12,VLOOKUP($A161,EnrollData2324,'2324 Jun 24 Enroll'!E$1,FALSE),'District Calculations'!$F$12)*K161,3)</f>
        <v>3.5539999999999998</v>
      </c>
      <c r="N161">
        <f>ROUND(IF(VLOOKUP($A161,EnrollData2324,'2324 Jun 24 Enroll'!F$1,FALSE)='District Calculations'!$F$13,VLOOKUP($A161,EnrollData2324,'2324 Jun 24 Enroll'!F$1,FALSE),'District Calculations'!$F$13)*Apport_223A2425,3)</f>
        <v>0.84599999999999997</v>
      </c>
      <c r="O161">
        <f>ROUND(IF(VLOOKUP($A161,EnrollData2324,'2324 Jun 24 Enroll'!G$1,FALSE)='District Calculations'!$F$14,VLOOKUP($A161,EnrollData2324,'2324 Jun 24 Enroll'!G$1,FALSE),'District Calculations'!$F$14)*Apport_211A2425,3)</f>
        <v>1.877</v>
      </c>
      <c r="P161">
        <f>ROUND(IF(VLOOKUP($A161,EnrollData2324,'2324 Jun 24 Enroll'!H$1,FALSE)='District Calculations'!$F$14,VLOOKUP($A161,EnrollData2324,'2324 Jun 24 Enroll'!H$1,FALSE),'District Calculations'!$F$14)*Apport_214A2425,3)</f>
        <v>1.875</v>
      </c>
      <c r="Q161">
        <f>ROUND(IF(VLOOKUP($A161,EnrollData2324,'2324 Jun 24 Enroll'!I$1,FALSE)+VLOOKUP($A161,EnrollData2324,'2324 Jun 24 Enroll'!M$1,FALSE)-VLOOKUP($A161,EnrollData2324,'2324 Jun 24 Enroll'!J$1,FALSE)='District Calculations'!$F$16+'District Calculations'!$F$25-'District Calculations'!$F$17,VLOOKUP($A161,EnrollData2324,'2324 Jun 24 Enroll'!I$1,FALSE)+VLOOKUP($A161,EnrollData2324,'2324 Jun 24 Enroll'!M$1,FALSE)-VLOOKUP($A161,EnrollData2324,'2324 Jun 24 Enroll'!J$1,FALSE),'District Calculations'!$F$16+'District Calculations'!$F$25-'District Calculations'!$F$17)*Apport_217A2425,3)</f>
        <v>4.7130000000000001</v>
      </c>
      <c r="R161">
        <f>ROUND(SUM(L161:Q161)/IF(VLOOKUP($A161,EnrollData2324,'2324 Jun 24 Enroll'!M$1,FALSE)+VLOOKUP($A161,EnrollData2324,'2324 Jun 24 Enroll'!D$1,FALSE)='District Calculations'!$F$25+'District Calculations'!$F$11,VLOOKUP($A161,EnrollData2324,'2324 Jun 24 Enroll'!M$1,FALSE)+VLOOKUP($A161,EnrollData2324,'2324 Jun 24 Enroll'!D$1,FALSE),'District Calculations'!$F$25+'District Calculations'!$F$11),5)</f>
        <v>4.1200000000000004E-3</v>
      </c>
      <c r="S161" s="11">
        <f t="shared" si="31"/>
        <v>1.8734299999999999E-2</v>
      </c>
      <c r="T161">
        <f>ROUND(IF(VLOOKUP($A161,EnrollData2324,'2324 Jun 24 Enroll'!D$1,FALSE)='District Calculations'!$F$11,VLOOKUP($A161,EnrollData2324,'2324 Jun 24 Enroll'!D$1,FALSE),'District Calculations'!$F$11)*S161,3)</f>
        <v>0</v>
      </c>
      <c r="U161">
        <f>ROUND(IF(VLOOKUP($A161,EnrollData2324,'2324 Jun 24 Enroll'!E$1,FALSE)='District Calculations'!$F$12,VLOOKUP($A161,EnrollData2324,'2324 Jun 24 Enroll'!E$1,FALSE),'District Calculations'!$F$12)*S161,3)</f>
        <v>15.183999999999999</v>
      </c>
      <c r="V161">
        <f>ROUND(IF(VLOOKUP($A161,EnrollData2324,'2324 Jun 24 Enroll'!F$1,FALSE)='District Calculations'!$F$13,VLOOKUP($A161,EnrollData2324,'2324 Jun 24 Enroll'!F$1,FALSE),'District Calculations'!$F$13)*Apport_224A2425,3)</f>
        <v>3.7109999999999999</v>
      </c>
      <c r="W161">
        <f>ROUND(IF(VLOOKUP($A161,EnrollData2324,'2324 Jun 24 Enroll'!G$1,FALSE)='District Calculations'!$F$14,VLOOKUP($A161,EnrollData2324,'2324 Jun 24 Enroll'!G$1,FALSE),'District Calculations'!$F$14)*Apport_212A2425,3)</f>
        <v>8.2279999999999998</v>
      </c>
      <c r="X161">
        <f>ROUND(IF(VLOOKUP($A161,EnrollData2324,'2324 Jun 24 Enroll'!H$1,FALSE)='District Calculations'!$F$14,VLOOKUP($A161,EnrollData2324,'2324 Jun 24 Enroll'!H$1,FALSE),'District Calculations'!$F$14)*Apport_215A2425,3)</f>
        <v>8.1180000000000003</v>
      </c>
      <c r="Y161">
        <f>ROUND(IF(VLOOKUP($A161,EnrollData2324,'2324 Jun 24 Enroll'!I$1,FALSE)+VLOOKUP($A161,EnrollData2324,'2324 Jun 24 Enroll'!M$1,FALSE)-VLOOKUP($A161,EnrollData2324,'2324 Jun 24 Enroll'!J$1,FALSE)='District Calculations'!$F$16+'District Calculations'!$F$25-'District Calculations'!$F$17,VLOOKUP($A161,EnrollData2324,'2324 Jun 24 Enroll'!I$1,FALSE)+VLOOKUP($A161,EnrollData2324,'2324 Jun 24 Enroll'!M$1,FALSE)-VLOOKUP($A161,EnrollData2324,'2324 Jun 24 Enroll'!J$1,FALSE),'District Calculations'!$F$16+'District Calculations'!$F$25-'District Calculations'!$F$17)*Apport_218A2425,3)</f>
        <v>20.257999999999999</v>
      </c>
      <c r="Z161">
        <f>ROUND(SUM(T161:Y161)/IF(VLOOKUP($A161,EnrollData2324,'2324 Jun 24 Enroll'!M$1,FALSE)+VLOOKUP($A161,EnrollData2324,'2324 Jun 24 Enroll'!D$1,FALSE)='District Calculations'!$F$25+'District Calculations'!$F$11,VLOOKUP($A161,EnrollData2324,'2324 Jun 24 Enroll'!M$1,FALSE)+VLOOKUP($A161,EnrollData2324,'2324 Jun 24 Enroll'!D$1,FALSE),'District Calculations'!$F$25+'District Calculations'!$F$11),5)</f>
        <v>1.7780000000000001E-2</v>
      </c>
      <c r="AA161" s="6">
        <f>ROUND($J161*CIS_Base_Salary2425*VLOOKUP($A161,EnrollData2324,'2324 Jun 24 Enroll'!AH$1,FALSE),2)</f>
        <v>4262.68</v>
      </c>
      <c r="AB161" s="6">
        <f>ROUND($J161*CIS_Inc_Salary2425*(VLOOKUP($A161,EnrollData2324,'2324 Jun 24 Enroll'!AI$1,FALSE)+VLOOKUP($A161,EnrollData2324,'2324 Jun 24 Enroll'!AJ$1,FALSE)),2)-AA161</f>
        <v>157.6899999999996</v>
      </c>
      <c r="AC161" s="6" cm="1">
        <f t="array" ref="AC161">ROUND($R161*CAS_Base_Salary2425*VLOOKUP($A161,EnrollData2324,'2324 Jun 24 Enroll'!AH$1,FALSE),2)</f>
        <v>461.23</v>
      </c>
      <c r="AD161" s="6">
        <f>ROUND($R161*CAS_Inc_Salary2425*VLOOKUP($A161,EnrollData2324,'2324 Jun 24 Enroll'!AI$1,FALSE),2)-AC161</f>
        <v>17.069999999999993</v>
      </c>
      <c r="AE161" s="6">
        <f>ROUND($Z161*CLS_Base_Salary2425*VLOOKUP($A161,EnrollData2324,'2324 Jun 24 Enroll'!AH$1,FALSE),2)</f>
        <v>961.95</v>
      </c>
      <c r="AF161" s="6">
        <f>ROUND($Z161*CLS_Inc_Salary2425*VLOOKUP($A161,EnrollData2324,'2324 Jun 24 Enroll'!AI$1,FALSE),2)-AE161</f>
        <v>35.599999999999909</v>
      </c>
      <c r="AG161" cm="1">
        <f t="array" ref="AG161">ROUND(($J161+$R161)*Apport_124X2425,2)</f>
        <v>800.45</v>
      </c>
      <c r="AH161" s="69" cm="1">
        <f t="array" ref="AH161">ROUND(($J161+$R161)*Apport_621X2425*Apport_125XC2425,2)-AG161</f>
        <v>73.899999999999977</v>
      </c>
      <c r="AI161" cm="1">
        <f t="array" ref="AI161">ROUND($Z161*Apport_124X2425,2)</f>
        <v>234.7</v>
      </c>
      <c r="AJ161">
        <f t="shared" si="32"/>
        <v>124.71000000000004</v>
      </c>
      <c r="AK161">
        <f t="shared" si="33"/>
        <v>857.39</v>
      </c>
      <c r="AL161">
        <f t="shared" si="34"/>
        <v>30.6</v>
      </c>
      <c r="AM161">
        <f t="shared" si="35"/>
        <v>208.36</v>
      </c>
      <c r="AN161">
        <f t="shared" si="36"/>
        <v>6.46</v>
      </c>
      <c r="AO161">
        <f>ROUND(($J161*CIS_Inc_Salary2425*(VLOOKUP($A161,EnrollData2324,'2324 Jun 24 Enroll'!AI$1,FALSE)+VLOOKUP($A161,EnrollData2324,'2324 Jun 24 Enroll'!AJ$1,FALSE))/Apport_613Xpd)*Apport_614Xpd,2)</f>
        <v>73.67</v>
      </c>
      <c r="AP161">
        <f t="shared" si="37"/>
        <v>12.9</v>
      </c>
      <c r="AQ161">
        <f t="shared" si="38"/>
        <v>31.48</v>
      </c>
      <c r="AR161" s="6">
        <f>ROUND((VLOOKUP($A161,EnrollData2324,'2324 Jun 24 Enroll'!D$1,FALSE)*Apport_M802425+VLOOKUP($A161,EnrollData2324,'2324 Jun 24 Enroll'!M$1,FALSE)*Apport_M802425+(VLOOKUP($A161,EnrollData2324,'2324 Jun 24 Enroll'!P$1,FALSE)+VLOOKUP($A161,EnrollData2324,'2324 Jun 24 Enroll'!Q$1,FALSE)+VLOOKUP($A161,EnrollData2324,'2324 Jun 24 Enroll'!R$1,FALSE)+VLOOKUP($A161,EnrollData2324,'2324 Jun 24 Enroll'!I$1,FALSE)+VLOOKUP($A161,EnrollData2324,'2324 Jun 24 Enroll'!N$1,FALSE)+VLOOKUP($A161,EnrollData2324,'2324 Jun 24 Enroll'!O$1,FALSE)+VLOOKUP($A161,EnrollData2324,'2324 Jun 24 Enroll'!K$1,FALSE)+VLOOKUP($A161,EnrollData2324,'2324 Jun 24 Enroll'!L$1,FALSE))*Apport_M812425)/(VLOOKUP($A161,EnrollData2324,'2324 Jun 24 Enroll'!M$1,FALSE)+VLOOKUP($A161,EnrollData2324,'2324 Jun 24 Enroll'!D$1,FALSE)),2)</f>
        <v>1593.29</v>
      </c>
      <c r="AS161" s="7">
        <f t="shared" si="39"/>
        <v>9944.1299999999974</v>
      </c>
    </row>
    <row r="162" spans="1:45">
      <c r="A162" s="40" t="s">
        <v>317</v>
      </c>
      <c r="B162" s="40" t="s">
        <v>318</v>
      </c>
      <c r="C162" s="11">
        <f>ROUND((IFERROR((1/IF(VLOOKUP($A162,EnrollData2324,28,FALSE)='District Calculations'!$F$10,VLOOKUP($A162,EnrollData2324,28,FALSE),'District Calculations'!$F$10))*(1+Apport_Z315),0))+Apport_201A2425,6)</f>
        <v>7.4580999999999995E-2</v>
      </c>
      <c r="D162">
        <f>ROUND(IF(VLOOKUP($A162,EnrollData2324,'2324 Jun 24 Enroll'!D$1,FALSE)='District Calculations'!$F$11,VLOOKUP($A162,EnrollData2324,'2324 Jun 24 Enroll'!D$1,FALSE),'District Calculations'!$F$11)*C162,3)</f>
        <v>0</v>
      </c>
      <c r="E162">
        <f>ROUND(IF(VLOOKUP($A162,EnrollData2324,'2324 Jun 24 Enroll'!E$1,FALSE)='District Calculations'!$F$12,VLOOKUP($A162,EnrollData2324,'2324 Jun 24 Enroll'!E$1,FALSE),'District Calculations'!$F$12)*C162,3)</f>
        <v>60.447000000000003</v>
      </c>
      <c r="F162">
        <f>ROUND(IF(VLOOKUP($A162,EnrollData2324,'2324 Jun 24 Enroll'!F$1,FALSE)='District Calculations'!$F$13,VLOOKUP($A162,EnrollData2324,'2324 Jun 24 Enroll'!F$1,FALSE),'District Calculations'!$F$13)*Apport_222A2425,3)</f>
        <v>10.337999999999999</v>
      </c>
      <c r="G162">
        <f>ROUND(IF(VLOOKUP($A162,EnrollData2324,'2324 Jun 24 Enroll'!G$1,FALSE)='District Calculations'!$F$14,VLOOKUP($A162,EnrollData2324,'2324 Jun 24 Enroll'!G$1,FALSE),'District Calculations'!$F$14)*Apport_210A2425,3)</f>
        <v>22.92</v>
      </c>
      <c r="H162">
        <f>ROUND(IF(VLOOKUP($A162,EnrollData2324,'2324 Jun 24 Enroll'!H$1,FALSE)='District Calculations'!$F$15,VLOOKUP($A162,EnrollData2324,'2324 Jun 24 Enroll'!H$1,FALSE),'District Calculations'!$F$15)*Apport_213A2425,3)</f>
        <v>23.619</v>
      </c>
      <c r="I162">
        <f>ROUND(IF(VLOOKUP($A162,EnrollData2324,'2324 Jun 24 Enroll'!I$1,FALSE)+VLOOKUP($A162,EnrollData2324,'2324 Jun 24 Enroll'!M$1,FALSE)-VLOOKUP($A162,EnrollData2324,'2324 Jun 24 Enroll'!J$1,FALSE)='District Calculations'!$F$16+'District Calculations'!$F$25-'District Calculations'!$F$17,VLOOKUP($A162,EnrollData2324,'2324 Jun 24 Enroll'!I$1,FALSE)+VLOOKUP($A162,EnrollData2324,'2324 Jun 24 Enroll'!M$1,FALSE)-VLOOKUP($A162,EnrollData2324,'2324 Jun 24 Enroll'!J$1,FALSE),'District Calculations'!$F$16+'District Calculations'!$F$25-'District Calculations'!$F$17)*Apport_216A2425,3)</f>
        <v>59.057000000000002</v>
      </c>
      <c r="J162">
        <f>ROUND(SUM(D162:I162)/(IF(VLOOKUP($A162,EnrollData2324,'2324 Jun 24 Enroll'!M$1,FALSE)='District Calculations'!$F$25,VLOOKUP($A162,EnrollData2324,'2324 Jun 24 Enroll'!M$1,FALSE),'District Calculations'!$F$25)+IF(VLOOKUP($A162,EnrollData2324,'2324 Jun 24 Enroll'!D$1,FALSE)='District Calculations'!$F$11,VLOOKUP($A162,EnrollData2324,'2324 Jun 24 Enroll'!D$1,FALSE),'District Calculations'!$F$11)),5)</f>
        <v>5.6520000000000001E-2</v>
      </c>
      <c r="K162" s="11">
        <f t="shared" si="30"/>
        <v>4.385E-3</v>
      </c>
      <c r="L162">
        <f>ROUND(IF(VLOOKUP($A162,EnrollData2324,'2324 Jun 24 Enroll'!D$1,FALSE)='District Calculations'!$F$11,VLOOKUP($A162,EnrollData2324,'2324 Jun 24 Enroll'!D$1,FALSE),'District Calculations'!$F$11)*K162,3)</f>
        <v>0</v>
      </c>
      <c r="M162">
        <f>ROUND(IF(VLOOKUP($A162,EnrollData2324,'2324 Jun 24 Enroll'!E$1,FALSE)='District Calculations'!$F$12,VLOOKUP($A162,EnrollData2324,'2324 Jun 24 Enroll'!E$1,FALSE),'District Calculations'!$F$12)*K162,3)</f>
        <v>3.5539999999999998</v>
      </c>
      <c r="N162">
        <f>ROUND(IF(VLOOKUP($A162,EnrollData2324,'2324 Jun 24 Enroll'!F$1,FALSE)='District Calculations'!$F$13,VLOOKUP($A162,EnrollData2324,'2324 Jun 24 Enroll'!F$1,FALSE),'District Calculations'!$F$13)*Apport_223A2425,3)</f>
        <v>0.84599999999999997</v>
      </c>
      <c r="O162">
        <f>ROUND(IF(VLOOKUP($A162,EnrollData2324,'2324 Jun 24 Enroll'!G$1,FALSE)='District Calculations'!$F$14,VLOOKUP($A162,EnrollData2324,'2324 Jun 24 Enroll'!G$1,FALSE),'District Calculations'!$F$14)*Apport_211A2425,3)</f>
        <v>1.877</v>
      </c>
      <c r="P162">
        <f>ROUND(IF(VLOOKUP($A162,EnrollData2324,'2324 Jun 24 Enroll'!H$1,FALSE)='District Calculations'!$F$14,VLOOKUP($A162,EnrollData2324,'2324 Jun 24 Enroll'!H$1,FALSE),'District Calculations'!$F$14)*Apport_214A2425,3)</f>
        <v>1.875</v>
      </c>
      <c r="Q162">
        <f>ROUND(IF(VLOOKUP($A162,EnrollData2324,'2324 Jun 24 Enroll'!I$1,FALSE)+VLOOKUP($A162,EnrollData2324,'2324 Jun 24 Enroll'!M$1,FALSE)-VLOOKUP($A162,EnrollData2324,'2324 Jun 24 Enroll'!J$1,FALSE)='District Calculations'!$F$16+'District Calculations'!$F$25-'District Calculations'!$F$17,VLOOKUP($A162,EnrollData2324,'2324 Jun 24 Enroll'!I$1,FALSE)+VLOOKUP($A162,EnrollData2324,'2324 Jun 24 Enroll'!M$1,FALSE)-VLOOKUP($A162,EnrollData2324,'2324 Jun 24 Enroll'!J$1,FALSE),'District Calculations'!$F$16+'District Calculations'!$F$25-'District Calculations'!$F$17)*Apport_217A2425,3)</f>
        <v>4.7130000000000001</v>
      </c>
      <c r="R162">
        <f>ROUND(SUM(L162:Q162)/IF(VLOOKUP($A162,EnrollData2324,'2324 Jun 24 Enroll'!M$1,FALSE)+VLOOKUP($A162,EnrollData2324,'2324 Jun 24 Enroll'!D$1,FALSE)='District Calculations'!$F$25+'District Calculations'!$F$11,VLOOKUP($A162,EnrollData2324,'2324 Jun 24 Enroll'!M$1,FALSE)+VLOOKUP($A162,EnrollData2324,'2324 Jun 24 Enroll'!D$1,FALSE),'District Calculations'!$F$25+'District Calculations'!$F$11),5)</f>
        <v>4.1200000000000004E-3</v>
      </c>
      <c r="S162" s="11">
        <f t="shared" si="31"/>
        <v>1.8734299999999999E-2</v>
      </c>
      <c r="T162">
        <f>ROUND(IF(VLOOKUP($A162,EnrollData2324,'2324 Jun 24 Enroll'!D$1,FALSE)='District Calculations'!$F$11,VLOOKUP($A162,EnrollData2324,'2324 Jun 24 Enroll'!D$1,FALSE),'District Calculations'!$F$11)*S162,3)</f>
        <v>0</v>
      </c>
      <c r="U162">
        <f>ROUND(IF(VLOOKUP($A162,EnrollData2324,'2324 Jun 24 Enroll'!E$1,FALSE)='District Calculations'!$F$12,VLOOKUP($A162,EnrollData2324,'2324 Jun 24 Enroll'!E$1,FALSE),'District Calculations'!$F$12)*S162,3)</f>
        <v>15.183999999999999</v>
      </c>
      <c r="V162">
        <f>ROUND(IF(VLOOKUP($A162,EnrollData2324,'2324 Jun 24 Enroll'!F$1,FALSE)='District Calculations'!$F$13,VLOOKUP($A162,EnrollData2324,'2324 Jun 24 Enroll'!F$1,FALSE),'District Calculations'!$F$13)*Apport_224A2425,3)</f>
        <v>3.7109999999999999</v>
      </c>
      <c r="W162">
        <f>ROUND(IF(VLOOKUP($A162,EnrollData2324,'2324 Jun 24 Enroll'!G$1,FALSE)='District Calculations'!$F$14,VLOOKUP($A162,EnrollData2324,'2324 Jun 24 Enroll'!G$1,FALSE),'District Calculations'!$F$14)*Apport_212A2425,3)</f>
        <v>8.2279999999999998</v>
      </c>
      <c r="X162">
        <f>ROUND(IF(VLOOKUP($A162,EnrollData2324,'2324 Jun 24 Enroll'!H$1,FALSE)='District Calculations'!$F$14,VLOOKUP($A162,EnrollData2324,'2324 Jun 24 Enroll'!H$1,FALSE),'District Calculations'!$F$14)*Apport_215A2425,3)</f>
        <v>8.1180000000000003</v>
      </c>
      <c r="Y162">
        <f>ROUND(IF(VLOOKUP($A162,EnrollData2324,'2324 Jun 24 Enroll'!I$1,FALSE)+VLOOKUP($A162,EnrollData2324,'2324 Jun 24 Enroll'!M$1,FALSE)-VLOOKUP($A162,EnrollData2324,'2324 Jun 24 Enroll'!J$1,FALSE)='District Calculations'!$F$16+'District Calculations'!$F$25-'District Calculations'!$F$17,VLOOKUP($A162,EnrollData2324,'2324 Jun 24 Enroll'!I$1,FALSE)+VLOOKUP($A162,EnrollData2324,'2324 Jun 24 Enroll'!M$1,FALSE)-VLOOKUP($A162,EnrollData2324,'2324 Jun 24 Enroll'!J$1,FALSE),'District Calculations'!$F$16+'District Calculations'!$F$25-'District Calculations'!$F$17)*Apport_218A2425,3)</f>
        <v>20.257999999999999</v>
      </c>
      <c r="Z162">
        <f>ROUND(SUM(T162:Y162)/IF(VLOOKUP($A162,EnrollData2324,'2324 Jun 24 Enroll'!M$1,FALSE)+VLOOKUP($A162,EnrollData2324,'2324 Jun 24 Enroll'!D$1,FALSE)='District Calculations'!$F$25+'District Calculations'!$F$11,VLOOKUP($A162,EnrollData2324,'2324 Jun 24 Enroll'!M$1,FALSE)+VLOOKUP($A162,EnrollData2324,'2324 Jun 24 Enroll'!D$1,FALSE),'District Calculations'!$F$25+'District Calculations'!$F$11),5)</f>
        <v>1.7780000000000001E-2</v>
      </c>
      <c r="AA162" s="6">
        <f>ROUND($J162*CIS_Base_Salary2425*VLOOKUP($A162,EnrollData2324,'2324 Jun 24 Enroll'!AH$1,FALSE),2)</f>
        <v>4262.68</v>
      </c>
      <c r="AB162" s="6">
        <f>ROUND($J162*CIS_Inc_Salary2425*(VLOOKUP($A162,EnrollData2324,'2324 Jun 24 Enroll'!AI$1,FALSE)+VLOOKUP($A162,EnrollData2324,'2324 Jun 24 Enroll'!AJ$1,FALSE)),2)-AA162</f>
        <v>334.50999999999931</v>
      </c>
      <c r="AC162" s="6" cm="1">
        <f t="array" ref="AC162">ROUND($R162*CAS_Base_Salary2425*VLOOKUP($A162,EnrollData2324,'2324 Jun 24 Enroll'!AH$1,FALSE),2)</f>
        <v>461.23</v>
      </c>
      <c r="AD162" s="6">
        <f>ROUND($R162*CAS_Inc_Salary2425*VLOOKUP($A162,EnrollData2324,'2324 Jun 24 Enroll'!AI$1,FALSE),2)-AC162</f>
        <v>17.069999999999993</v>
      </c>
      <c r="AE162" s="6">
        <f>ROUND($Z162*CLS_Base_Salary2425*VLOOKUP($A162,EnrollData2324,'2324 Jun 24 Enroll'!AH$1,FALSE),2)</f>
        <v>961.95</v>
      </c>
      <c r="AF162" s="6">
        <f>ROUND($Z162*CLS_Inc_Salary2425*VLOOKUP($A162,EnrollData2324,'2324 Jun 24 Enroll'!AI$1,FALSE),2)-AE162</f>
        <v>35.599999999999909</v>
      </c>
      <c r="AG162" cm="1">
        <f t="array" ref="AG162">ROUND(($J162+$R162)*Apport_124X2425,2)</f>
        <v>800.45</v>
      </c>
      <c r="AH162" s="69" cm="1">
        <f t="array" ref="AH162">ROUND(($J162+$R162)*Apport_621X2425*Apport_125XC2425,2)-AG162</f>
        <v>73.899999999999977</v>
      </c>
      <c r="AI162" cm="1">
        <f t="array" ref="AI162">ROUND($Z162*Apport_124X2425,2)</f>
        <v>234.7</v>
      </c>
      <c r="AJ162">
        <f t="shared" si="32"/>
        <v>124.71000000000004</v>
      </c>
      <c r="AK162">
        <f t="shared" si="33"/>
        <v>857.39</v>
      </c>
      <c r="AL162">
        <f t="shared" si="34"/>
        <v>61.56</v>
      </c>
      <c r="AM162">
        <f t="shared" si="35"/>
        <v>208.36</v>
      </c>
      <c r="AN162">
        <f t="shared" si="36"/>
        <v>6.46</v>
      </c>
      <c r="AO162">
        <f>ROUND(($J162*CIS_Inc_Salary2425*(VLOOKUP($A162,EnrollData2324,'2324 Jun 24 Enroll'!AI$1,FALSE)+VLOOKUP($A162,EnrollData2324,'2324 Jun 24 Enroll'!AJ$1,FALSE))/Apport_613Xpd)*Apport_614Xpd,2)</f>
        <v>76.62</v>
      </c>
      <c r="AP162">
        <f t="shared" si="37"/>
        <v>13.42</v>
      </c>
      <c r="AQ162">
        <f t="shared" si="38"/>
        <v>31.48</v>
      </c>
      <c r="AR162" s="6">
        <f>ROUND((VLOOKUP($A162,EnrollData2324,'2324 Jun 24 Enroll'!D$1,FALSE)*Apport_M802425+VLOOKUP($A162,EnrollData2324,'2324 Jun 24 Enroll'!M$1,FALSE)*Apport_M802425+(VLOOKUP($A162,EnrollData2324,'2324 Jun 24 Enroll'!P$1,FALSE)+VLOOKUP($A162,EnrollData2324,'2324 Jun 24 Enroll'!Q$1,FALSE)+VLOOKUP($A162,EnrollData2324,'2324 Jun 24 Enroll'!R$1,FALSE)+VLOOKUP($A162,EnrollData2324,'2324 Jun 24 Enroll'!I$1,FALSE)+VLOOKUP($A162,EnrollData2324,'2324 Jun 24 Enroll'!N$1,FALSE)+VLOOKUP($A162,EnrollData2324,'2324 Jun 24 Enroll'!O$1,FALSE)+VLOOKUP($A162,EnrollData2324,'2324 Jun 24 Enroll'!K$1,FALSE)+VLOOKUP($A162,EnrollData2324,'2324 Jun 24 Enroll'!L$1,FALSE))*Apport_M812425)/(VLOOKUP($A162,EnrollData2324,'2324 Jun 24 Enroll'!M$1,FALSE)+VLOOKUP($A162,EnrollData2324,'2324 Jun 24 Enroll'!D$1,FALSE)),2)</f>
        <v>1607.74</v>
      </c>
      <c r="AS162" s="7">
        <f t="shared" si="39"/>
        <v>10169.829999999998</v>
      </c>
    </row>
    <row r="163" spans="1:45">
      <c r="A163" s="40" t="s">
        <v>883</v>
      </c>
      <c r="B163" s="40" t="s">
        <v>884</v>
      </c>
      <c r="C163" s="11">
        <f>ROUND((IFERROR((1/IF(VLOOKUP($A163,EnrollData2324,28,FALSE)='District Calculations'!$F$10,VLOOKUP($A163,EnrollData2324,28,FALSE),'District Calculations'!$F$10))*(1+Apport_Z315),0))+Apport_201A2425,6)</f>
        <v>7.4580999999999995E-2</v>
      </c>
      <c r="D163">
        <f>ROUND(IF(VLOOKUP($A163,EnrollData2324,'2324 Jun 24 Enroll'!D$1,FALSE)='District Calculations'!$F$11,VLOOKUP($A163,EnrollData2324,'2324 Jun 24 Enroll'!D$1,FALSE),'District Calculations'!$F$11)*C163,3)</f>
        <v>0</v>
      </c>
      <c r="E163">
        <f>ROUND(IF(VLOOKUP($A163,EnrollData2324,'2324 Jun 24 Enroll'!E$1,FALSE)='District Calculations'!$F$12,VLOOKUP($A163,EnrollData2324,'2324 Jun 24 Enroll'!E$1,FALSE),'District Calculations'!$F$12)*C163,3)</f>
        <v>60.447000000000003</v>
      </c>
      <c r="F163">
        <f>ROUND(IF(VLOOKUP($A163,EnrollData2324,'2324 Jun 24 Enroll'!F$1,FALSE)='District Calculations'!$F$13,VLOOKUP($A163,EnrollData2324,'2324 Jun 24 Enroll'!F$1,FALSE),'District Calculations'!$F$13)*Apport_222A2425,3)</f>
        <v>10.337999999999999</v>
      </c>
      <c r="G163">
        <f>ROUND(IF(VLOOKUP($A163,EnrollData2324,'2324 Jun 24 Enroll'!G$1,FALSE)='District Calculations'!$F$14,VLOOKUP($A163,EnrollData2324,'2324 Jun 24 Enroll'!G$1,FALSE),'District Calculations'!$F$14)*Apport_210A2425,3)</f>
        <v>22.92</v>
      </c>
      <c r="H163">
        <f>ROUND(IF(VLOOKUP($A163,EnrollData2324,'2324 Jun 24 Enroll'!H$1,FALSE)='District Calculations'!$F$15,VLOOKUP($A163,EnrollData2324,'2324 Jun 24 Enroll'!H$1,FALSE),'District Calculations'!$F$15)*Apport_213A2425,3)</f>
        <v>23.619</v>
      </c>
      <c r="I163">
        <f>ROUND(IF(VLOOKUP($A163,EnrollData2324,'2324 Jun 24 Enroll'!I$1,FALSE)+VLOOKUP($A163,EnrollData2324,'2324 Jun 24 Enroll'!M$1,FALSE)-VLOOKUP($A163,EnrollData2324,'2324 Jun 24 Enroll'!J$1,FALSE)='District Calculations'!$F$16+'District Calculations'!$F$25-'District Calculations'!$F$17,VLOOKUP($A163,EnrollData2324,'2324 Jun 24 Enroll'!I$1,FALSE)+VLOOKUP($A163,EnrollData2324,'2324 Jun 24 Enroll'!M$1,FALSE)-VLOOKUP($A163,EnrollData2324,'2324 Jun 24 Enroll'!J$1,FALSE),'District Calculations'!$F$16+'District Calculations'!$F$25-'District Calculations'!$F$17)*Apport_216A2425,3)</f>
        <v>59.057000000000002</v>
      </c>
      <c r="J163">
        <f>ROUND(SUM(D163:I163)/(IF(VLOOKUP($A163,EnrollData2324,'2324 Jun 24 Enroll'!M$1,FALSE)='District Calculations'!$F$25,VLOOKUP($A163,EnrollData2324,'2324 Jun 24 Enroll'!M$1,FALSE),'District Calculations'!$F$25)+IF(VLOOKUP($A163,EnrollData2324,'2324 Jun 24 Enroll'!D$1,FALSE)='District Calculations'!$F$11,VLOOKUP($A163,EnrollData2324,'2324 Jun 24 Enroll'!D$1,FALSE),'District Calculations'!$F$11)),5)</f>
        <v>5.6520000000000001E-2</v>
      </c>
      <c r="K163" s="11">
        <f t="shared" ref="K163:K226" si="40">ROUND(((($C163+Apport_203A2425+Apport_202A2425)*Apport_557X)*Apport_558X)+Apport_202A2425,6)</f>
        <v>4.385E-3</v>
      </c>
      <c r="L163">
        <f>ROUND(IF(VLOOKUP($A163,EnrollData2324,'2324 Jun 24 Enroll'!D$1,FALSE)='District Calculations'!$F$11,VLOOKUP($A163,EnrollData2324,'2324 Jun 24 Enroll'!D$1,FALSE),'District Calculations'!$F$11)*K163,3)</f>
        <v>0</v>
      </c>
      <c r="M163">
        <f>ROUND(IF(VLOOKUP($A163,EnrollData2324,'2324 Jun 24 Enroll'!E$1,FALSE)='District Calculations'!$F$12,VLOOKUP($A163,EnrollData2324,'2324 Jun 24 Enroll'!E$1,FALSE),'District Calculations'!$F$12)*K163,3)</f>
        <v>3.5539999999999998</v>
      </c>
      <c r="N163">
        <f>ROUND(IF(VLOOKUP($A163,EnrollData2324,'2324 Jun 24 Enroll'!F$1,FALSE)='District Calculations'!$F$13,VLOOKUP($A163,EnrollData2324,'2324 Jun 24 Enroll'!F$1,FALSE),'District Calculations'!$F$13)*Apport_223A2425,3)</f>
        <v>0.84599999999999997</v>
      </c>
      <c r="O163">
        <f>ROUND(IF(VLOOKUP($A163,EnrollData2324,'2324 Jun 24 Enroll'!G$1,FALSE)='District Calculations'!$F$14,VLOOKUP($A163,EnrollData2324,'2324 Jun 24 Enroll'!G$1,FALSE),'District Calculations'!$F$14)*Apport_211A2425,3)</f>
        <v>1.877</v>
      </c>
      <c r="P163">
        <f>ROUND(IF(VLOOKUP($A163,EnrollData2324,'2324 Jun 24 Enroll'!H$1,FALSE)='District Calculations'!$F$14,VLOOKUP($A163,EnrollData2324,'2324 Jun 24 Enroll'!H$1,FALSE),'District Calculations'!$F$14)*Apport_214A2425,3)</f>
        <v>1.875</v>
      </c>
      <c r="Q163">
        <f>ROUND(IF(VLOOKUP($A163,EnrollData2324,'2324 Jun 24 Enroll'!I$1,FALSE)+VLOOKUP($A163,EnrollData2324,'2324 Jun 24 Enroll'!M$1,FALSE)-VLOOKUP($A163,EnrollData2324,'2324 Jun 24 Enroll'!J$1,FALSE)='District Calculations'!$F$16+'District Calculations'!$F$25-'District Calculations'!$F$17,VLOOKUP($A163,EnrollData2324,'2324 Jun 24 Enroll'!I$1,FALSE)+VLOOKUP($A163,EnrollData2324,'2324 Jun 24 Enroll'!M$1,FALSE)-VLOOKUP($A163,EnrollData2324,'2324 Jun 24 Enroll'!J$1,FALSE),'District Calculations'!$F$16+'District Calculations'!$F$25-'District Calculations'!$F$17)*Apport_217A2425,3)</f>
        <v>4.7130000000000001</v>
      </c>
      <c r="R163">
        <f>ROUND(SUM(L163:Q163)/IF(VLOOKUP($A163,EnrollData2324,'2324 Jun 24 Enroll'!M$1,FALSE)+VLOOKUP($A163,EnrollData2324,'2324 Jun 24 Enroll'!D$1,FALSE)='District Calculations'!$F$25+'District Calculations'!$F$11,VLOOKUP($A163,EnrollData2324,'2324 Jun 24 Enroll'!M$1,FALSE)+VLOOKUP($A163,EnrollData2324,'2324 Jun 24 Enroll'!D$1,FALSE),'District Calculations'!$F$25+'District Calculations'!$F$11),5)</f>
        <v>4.1200000000000004E-3</v>
      </c>
      <c r="S163" s="11">
        <f t="shared" ref="S163:S226" si="41">ROUND(((($C163+Apport_203A2425+Apport_202A2425)*Apport_557X)*Apport_559X)+Apport_203A2425,7)</f>
        <v>1.8734299999999999E-2</v>
      </c>
      <c r="T163">
        <f>ROUND(IF(VLOOKUP($A163,EnrollData2324,'2324 Jun 24 Enroll'!D$1,FALSE)='District Calculations'!$F$11,VLOOKUP($A163,EnrollData2324,'2324 Jun 24 Enroll'!D$1,FALSE),'District Calculations'!$F$11)*S163,3)</f>
        <v>0</v>
      </c>
      <c r="U163">
        <f>ROUND(IF(VLOOKUP($A163,EnrollData2324,'2324 Jun 24 Enroll'!E$1,FALSE)='District Calculations'!$F$12,VLOOKUP($A163,EnrollData2324,'2324 Jun 24 Enroll'!E$1,FALSE),'District Calculations'!$F$12)*S163,3)</f>
        <v>15.183999999999999</v>
      </c>
      <c r="V163">
        <f>ROUND(IF(VLOOKUP($A163,EnrollData2324,'2324 Jun 24 Enroll'!F$1,FALSE)='District Calculations'!$F$13,VLOOKUP($A163,EnrollData2324,'2324 Jun 24 Enroll'!F$1,FALSE),'District Calculations'!$F$13)*Apport_224A2425,3)</f>
        <v>3.7109999999999999</v>
      </c>
      <c r="W163">
        <f>ROUND(IF(VLOOKUP($A163,EnrollData2324,'2324 Jun 24 Enroll'!G$1,FALSE)='District Calculations'!$F$14,VLOOKUP($A163,EnrollData2324,'2324 Jun 24 Enroll'!G$1,FALSE),'District Calculations'!$F$14)*Apport_212A2425,3)</f>
        <v>8.2279999999999998</v>
      </c>
      <c r="X163">
        <f>ROUND(IF(VLOOKUP($A163,EnrollData2324,'2324 Jun 24 Enroll'!H$1,FALSE)='District Calculations'!$F$14,VLOOKUP($A163,EnrollData2324,'2324 Jun 24 Enroll'!H$1,FALSE),'District Calculations'!$F$14)*Apport_215A2425,3)</f>
        <v>8.1180000000000003</v>
      </c>
      <c r="Y163">
        <f>ROUND(IF(VLOOKUP($A163,EnrollData2324,'2324 Jun 24 Enroll'!I$1,FALSE)+VLOOKUP($A163,EnrollData2324,'2324 Jun 24 Enroll'!M$1,FALSE)-VLOOKUP($A163,EnrollData2324,'2324 Jun 24 Enroll'!J$1,FALSE)='District Calculations'!$F$16+'District Calculations'!$F$25-'District Calculations'!$F$17,VLOOKUP($A163,EnrollData2324,'2324 Jun 24 Enroll'!I$1,FALSE)+VLOOKUP($A163,EnrollData2324,'2324 Jun 24 Enroll'!M$1,FALSE)-VLOOKUP($A163,EnrollData2324,'2324 Jun 24 Enroll'!J$1,FALSE),'District Calculations'!$F$16+'District Calculations'!$F$25-'District Calculations'!$F$17)*Apport_218A2425,3)</f>
        <v>20.257999999999999</v>
      </c>
      <c r="Z163">
        <f>ROUND(SUM(T163:Y163)/IF(VLOOKUP($A163,EnrollData2324,'2324 Jun 24 Enroll'!M$1,FALSE)+VLOOKUP($A163,EnrollData2324,'2324 Jun 24 Enroll'!D$1,FALSE)='District Calculations'!$F$25+'District Calculations'!$F$11,VLOOKUP($A163,EnrollData2324,'2324 Jun 24 Enroll'!M$1,FALSE)+VLOOKUP($A163,EnrollData2324,'2324 Jun 24 Enroll'!D$1,FALSE),'District Calculations'!$F$25+'District Calculations'!$F$11),5)</f>
        <v>1.7780000000000001E-2</v>
      </c>
      <c r="AA163" s="6">
        <f>ROUND($J163*CIS_Base_Salary2425*VLOOKUP($A163,EnrollData2324,'2324 Jun 24 Enroll'!AH$1,FALSE),2)</f>
        <v>4262.68</v>
      </c>
      <c r="AB163" s="6">
        <f>ROUND($J163*CIS_Inc_Salary2425*(VLOOKUP($A163,EnrollData2324,'2324 Jun 24 Enroll'!AI$1,FALSE)+VLOOKUP($A163,EnrollData2324,'2324 Jun 24 Enroll'!AJ$1,FALSE)),2)-AA163</f>
        <v>201.89999999999964</v>
      </c>
      <c r="AC163" s="6" cm="1">
        <f t="array" ref="AC163">ROUND($R163*CAS_Base_Salary2425*VLOOKUP($A163,EnrollData2324,'2324 Jun 24 Enroll'!AH$1,FALSE),2)</f>
        <v>461.23</v>
      </c>
      <c r="AD163" s="6">
        <f>ROUND($R163*CAS_Inc_Salary2425*VLOOKUP($A163,EnrollData2324,'2324 Jun 24 Enroll'!AI$1,FALSE),2)-AC163</f>
        <v>17.069999999999993</v>
      </c>
      <c r="AE163" s="6">
        <f>ROUND($Z163*CLS_Base_Salary2425*VLOOKUP($A163,EnrollData2324,'2324 Jun 24 Enroll'!AH$1,FALSE),2)</f>
        <v>961.95</v>
      </c>
      <c r="AF163" s="6">
        <f>ROUND($Z163*CLS_Inc_Salary2425*VLOOKUP($A163,EnrollData2324,'2324 Jun 24 Enroll'!AI$1,FALSE),2)-AE163</f>
        <v>35.599999999999909</v>
      </c>
      <c r="AG163" cm="1">
        <f t="array" ref="AG163">ROUND(($J163+$R163)*Apport_124X2425,2)</f>
        <v>800.45</v>
      </c>
      <c r="AH163" s="69" cm="1">
        <f t="array" ref="AH163">ROUND(($J163+$R163)*Apport_621X2425*Apport_125XC2425,2)-AG163</f>
        <v>73.899999999999977</v>
      </c>
      <c r="AI163" cm="1">
        <f t="array" ref="AI163">ROUND($Z163*Apport_124X2425,2)</f>
        <v>234.7</v>
      </c>
      <c r="AJ163">
        <f t="shared" ref="AJ163:AJ226" si="42">ROUND($Z163*Apport_621X2425*Apport_125X2425,2)-AI163</f>
        <v>124.71000000000004</v>
      </c>
      <c r="AK163">
        <f t="shared" ref="AK163:AK226" si="43">ROUND((AA163+AC163)*Apport_126X2425,2)</f>
        <v>857.39</v>
      </c>
      <c r="AL163">
        <f t="shared" ref="AL163:AL226" si="44">ROUND((AB163+AD163)*Apport_127X2425,2)</f>
        <v>38.340000000000003</v>
      </c>
      <c r="AM163">
        <f t="shared" ref="AM163:AM226" si="45">ROUND(AE163*Apport_128X2425,2)</f>
        <v>208.36</v>
      </c>
      <c r="AN163">
        <f t="shared" ref="AN163:AN226" si="46">ROUND(AF163*Apport_129X2425,2)</f>
        <v>6.46</v>
      </c>
      <c r="AO163">
        <f>ROUND(($J163*CIS_Inc_Salary2425*(VLOOKUP($A163,EnrollData2324,'2324 Jun 24 Enroll'!AI$1,FALSE)+VLOOKUP($A163,EnrollData2324,'2324 Jun 24 Enroll'!AJ$1,FALSE))/Apport_613Xpd)*Apport_614Xpd,2)</f>
        <v>74.41</v>
      </c>
      <c r="AP163">
        <f t="shared" ref="AP163:AP226" si="47">ROUND(AO163*Apport_127X2425,2)</f>
        <v>13.03</v>
      </c>
      <c r="AQ163">
        <f t="shared" si="38"/>
        <v>31.48</v>
      </c>
      <c r="AR163" s="6">
        <f>ROUND((VLOOKUP($A163,EnrollData2324,'2324 Jun 24 Enroll'!D$1,FALSE)*Apport_M802425+VLOOKUP($A163,EnrollData2324,'2324 Jun 24 Enroll'!M$1,FALSE)*Apport_M802425+(VLOOKUP($A163,EnrollData2324,'2324 Jun 24 Enroll'!P$1,FALSE)+VLOOKUP($A163,EnrollData2324,'2324 Jun 24 Enroll'!Q$1,FALSE)+VLOOKUP($A163,EnrollData2324,'2324 Jun 24 Enroll'!R$1,FALSE)+VLOOKUP($A163,EnrollData2324,'2324 Jun 24 Enroll'!I$1,FALSE)+VLOOKUP($A163,EnrollData2324,'2324 Jun 24 Enroll'!N$1,FALSE)+VLOOKUP($A163,EnrollData2324,'2324 Jun 24 Enroll'!O$1,FALSE)+VLOOKUP($A163,EnrollData2324,'2324 Jun 24 Enroll'!K$1,FALSE)+VLOOKUP($A163,EnrollData2324,'2324 Jun 24 Enroll'!L$1,FALSE))*Apport_M812425)/(VLOOKUP($A163,EnrollData2324,'2324 Jun 24 Enroll'!M$1,FALSE)+VLOOKUP($A163,EnrollData2324,'2324 Jun 24 Enroll'!D$1,FALSE)),2)</f>
        <v>1594.54</v>
      </c>
      <c r="AS163" s="7">
        <f t="shared" si="39"/>
        <v>9998.1999999999971</v>
      </c>
    </row>
    <row r="164" spans="1:45">
      <c r="A164" s="40" t="s">
        <v>345</v>
      </c>
      <c r="B164" s="40" t="s">
        <v>346</v>
      </c>
      <c r="C164" s="11">
        <f>ROUND((IFERROR((1/IF(VLOOKUP($A164,EnrollData2324,28,FALSE)='District Calculations'!$F$10,VLOOKUP($A164,EnrollData2324,28,FALSE),'District Calculations'!$F$10))*(1+Apport_Z315),0))+Apport_201A2425,6)</f>
        <v>7.4580999999999995E-2</v>
      </c>
      <c r="D164">
        <f>ROUND(IF(VLOOKUP($A164,EnrollData2324,'2324 Jun 24 Enroll'!D$1,FALSE)='District Calculations'!$F$11,VLOOKUP($A164,EnrollData2324,'2324 Jun 24 Enroll'!D$1,FALSE),'District Calculations'!$F$11)*C164,3)</f>
        <v>0</v>
      </c>
      <c r="E164">
        <f>ROUND(IF(VLOOKUP($A164,EnrollData2324,'2324 Jun 24 Enroll'!E$1,FALSE)='District Calculations'!$F$12,VLOOKUP($A164,EnrollData2324,'2324 Jun 24 Enroll'!E$1,FALSE),'District Calculations'!$F$12)*C164,3)</f>
        <v>60.447000000000003</v>
      </c>
      <c r="F164">
        <f>ROUND(IF(VLOOKUP($A164,EnrollData2324,'2324 Jun 24 Enroll'!F$1,FALSE)='District Calculations'!$F$13,VLOOKUP($A164,EnrollData2324,'2324 Jun 24 Enroll'!F$1,FALSE),'District Calculations'!$F$13)*Apport_222A2425,3)</f>
        <v>10.337999999999999</v>
      </c>
      <c r="G164">
        <f>ROUND(IF(VLOOKUP($A164,EnrollData2324,'2324 Jun 24 Enroll'!G$1,FALSE)='District Calculations'!$F$14,VLOOKUP($A164,EnrollData2324,'2324 Jun 24 Enroll'!G$1,FALSE),'District Calculations'!$F$14)*Apport_210A2425,3)</f>
        <v>22.92</v>
      </c>
      <c r="H164">
        <f>ROUND(IF(VLOOKUP($A164,EnrollData2324,'2324 Jun 24 Enroll'!H$1,FALSE)='District Calculations'!$F$15,VLOOKUP($A164,EnrollData2324,'2324 Jun 24 Enroll'!H$1,FALSE),'District Calculations'!$F$15)*Apport_213A2425,3)</f>
        <v>23.619</v>
      </c>
      <c r="I164">
        <f>ROUND(IF(VLOOKUP($A164,EnrollData2324,'2324 Jun 24 Enroll'!I$1,FALSE)+VLOOKUP($A164,EnrollData2324,'2324 Jun 24 Enroll'!M$1,FALSE)-VLOOKUP($A164,EnrollData2324,'2324 Jun 24 Enroll'!J$1,FALSE)='District Calculations'!$F$16+'District Calculations'!$F$25-'District Calculations'!$F$17,VLOOKUP($A164,EnrollData2324,'2324 Jun 24 Enroll'!I$1,FALSE)+VLOOKUP($A164,EnrollData2324,'2324 Jun 24 Enroll'!M$1,FALSE)-VLOOKUP($A164,EnrollData2324,'2324 Jun 24 Enroll'!J$1,FALSE),'District Calculations'!$F$16+'District Calculations'!$F$25-'District Calculations'!$F$17)*Apport_216A2425,3)</f>
        <v>59.057000000000002</v>
      </c>
      <c r="J164">
        <f>ROUND(SUM(D164:I164)/(IF(VLOOKUP($A164,EnrollData2324,'2324 Jun 24 Enroll'!M$1,FALSE)='District Calculations'!$F$25,VLOOKUP($A164,EnrollData2324,'2324 Jun 24 Enroll'!M$1,FALSE),'District Calculations'!$F$25)+IF(VLOOKUP($A164,EnrollData2324,'2324 Jun 24 Enroll'!D$1,FALSE)='District Calculations'!$F$11,VLOOKUP($A164,EnrollData2324,'2324 Jun 24 Enroll'!D$1,FALSE),'District Calculations'!$F$11)),5)</f>
        <v>5.6520000000000001E-2</v>
      </c>
      <c r="K164" s="11">
        <f t="shared" si="40"/>
        <v>4.385E-3</v>
      </c>
      <c r="L164">
        <f>ROUND(IF(VLOOKUP($A164,EnrollData2324,'2324 Jun 24 Enroll'!D$1,FALSE)='District Calculations'!$F$11,VLOOKUP($A164,EnrollData2324,'2324 Jun 24 Enroll'!D$1,FALSE),'District Calculations'!$F$11)*K164,3)</f>
        <v>0</v>
      </c>
      <c r="M164">
        <f>ROUND(IF(VLOOKUP($A164,EnrollData2324,'2324 Jun 24 Enroll'!E$1,FALSE)='District Calculations'!$F$12,VLOOKUP($A164,EnrollData2324,'2324 Jun 24 Enroll'!E$1,FALSE),'District Calculations'!$F$12)*K164,3)</f>
        <v>3.5539999999999998</v>
      </c>
      <c r="N164">
        <f>ROUND(IF(VLOOKUP($A164,EnrollData2324,'2324 Jun 24 Enroll'!F$1,FALSE)='District Calculations'!$F$13,VLOOKUP($A164,EnrollData2324,'2324 Jun 24 Enroll'!F$1,FALSE),'District Calculations'!$F$13)*Apport_223A2425,3)</f>
        <v>0.84599999999999997</v>
      </c>
      <c r="O164">
        <f>ROUND(IF(VLOOKUP($A164,EnrollData2324,'2324 Jun 24 Enroll'!G$1,FALSE)='District Calculations'!$F$14,VLOOKUP($A164,EnrollData2324,'2324 Jun 24 Enroll'!G$1,FALSE),'District Calculations'!$F$14)*Apport_211A2425,3)</f>
        <v>1.877</v>
      </c>
      <c r="P164">
        <f>ROUND(IF(VLOOKUP($A164,EnrollData2324,'2324 Jun 24 Enroll'!H$1,FALSE)='District Calculations'!$F$14,VLOOKUP($A164,EnrollData2324,'2324 Jun 24 Enroll'!H$1,FALSE),'District Calculations'!$F$14)*Apport_214A2425,3)</f>
        <v>1.875</v>
      </c>
      <c r="Q164">
        <f>ROUND(IF(VLOOKUP($A164,EnrollData2324,'2324 Jun 24 Enroll'!I$1,FALSE)+VLOOKUP($A164,EnrollData2324,'2324 Jun 24 Enroll'!M$1,FALSE)-VLOOKUP($A164,EnrollData2324,'2324 Jun 24 Enroll'!J$1,FALSE)='District Calculations'!$F$16+'District Calculations'!$F$25-'District Calculations'!$F$17,VLOOKUP($A164,EnrollData2324,'2324 Jun 24 Enroll'!I$1,FALSE)+VLOOKUP($A164,EnrollData2324,'2324 Jun 24 Enroll'!M$1,FALSE)-VLOOKUP($A164,EnrollData2324,'2324 Jun 24 Enroll'!J$1,FALSE),'District Calculations'!$F$16+'District Calculations'!$F$25-'District Calculations'!$F$17)*Apport_217A2425,3)</f>
        <v>4.7130000000000001</v>
      </c>
      <c r="R164">
        <f>ROUND(SUM(L164:Q164)/IF(VLOOKUP($A164,EnrollData2324,'2324 Jun 24 Enroll'!M$1,FALSE)+VLOOKUP($A164,EnrollData2324,'2324 Jun 24 Enroll'!D$1,FALSE)='District Calculations'!$F$25+'District Calculations'!$F$11,VLOOKUP($A164,EnrollData2324,'2324 Jun 24 Enroll'!M$1,FALSE)+VLOOKUP($A164,EnrollData2324,'2324 Jun 24 Enroll'!D$1,FALSE),'District Calculations'!$F$25+'District Calculations'!$F$11),5)</f>
        <v>4.1200000000000004E-3</v>
      </c>
      <c r="S164" s="11">
        <f t="shared" si="41"/>
        <v>1.8734299999999999E-2</v>
      </c>
      <c r="T164">
        <f>ROUND(IF(VLOOKUP($A164,EnrollData2324,'2324 Jun 24 Enroll'!D$1,FALSE)='District Calculations'!$F$11,VLOOKUP($A164,EnrollData2324,'2324 Jun 24 Enroll'!D$1,FALSE),'District Calculations'!$F$11)*S164,3)</f>
        <v>0</v>
      </c>
      <c r="U164">
        <f>ROUND(IF(VLOOKUP($A164,EnrollData2324,'2324 Jun 24 Enroll'!E$1,FALSE)='District Calculations'!$F$12,VLOOKUP($A164,EnrollData2324,'2324 Jun 24 Enroll'!E$1,FALSE),'District Calculations'!$F$12)*S164,3)</f>
        <v>15.183999999999999</v>
      </c>
      <c r="V164">
        <f>ROUND(IF(VLOOKUP($A164,EnrollData2324,'2324 Jun 24 Enroll'!F$1,FALSE)='District Calculations'!$F$13,VLOOKUP($A164,EnrollData2324,'2324 Jun 24 Enroll'!F$1,FALSE),'District Calculations'!$F$13)*Apport_224A2425,3)</f>
        <v>3.7109999999999999</v>
      </c>
      <c r="W164">
        <f>ROUND(IF(VLOOKUP($A164,EnrollData2324,'2324 Jun 24 Enroll'!G$1,FALSE)='District Calculations'!$F$14,VLOOKUP($A164,EnrollData2324,'2324 Jun 24 Enroll'!G$1,FALSE),'District Calculations'!$F$14)*Apport_212A2425,3)</f>
        <v>8.2279999999999998</v>
      </c>
      <c r="X164">
        <f>ROUND(IF(VLOOKUP($A164,EnrollData2324,'2324 Jun 24 Enroll'!H$1,FALSE)='District Calculations'!$F$14,VLOOKUP($A164,EnrollData2324,'2324 Jun 24 Enroll'!H$1,FALSE),'District Calculations'!$F$14)*Apport_215A2425,3)</f>
        <v>8.1180000000000003</v>
      </c>
      <c r="Y164">
        <f>ROUND(IF(VLOOKUP($A164,EnrollData2324,'2324 Jun 24 Enroll'!I$1,FALSE)+VLOOKUP($A164,EnrollData2324,'2324 Jun 24 Enroll'!M$1,FALSE)-VLOOKUP($A164,EnrollData2324,'2324 Jun 24 Enroll'!J$1,FALSE)='District Calculations'!$F$16+'District Calculations'!$F$25-'District Calculations'!$F$17,VLOOKUP($A164,EnrollData2324,'2324 Jun 24 Enroll'!I$1,FALSE)+VLOOKUP($A164,EnrollData2324,'2324 Jun 24 Enroll'!M$1,FALSE)-VLOOKUP($A164,EnrollData2324,'2324 Jun 24 Enroll'!J$1,FALSE),'District Calculations'!$F$16+'District Calculations'!$F$25-'District Calculations'!$F$17)*Apport_218A2425,3)</f>
        <v>20.257999999999999</v>
      </c>
      <c r="Z164">
        <f>ROUND(SUM(T164:Y164)/IF(VLOOKUP($A164,EnrollData2324,'2324 Jun 24 Enroll'!M$1,FALSE)+VLOOKUP($A164,EnrollData2324,'2324 Jun 24 Enroll'!D$1,FALSE)='District Calculations'!$F$25+'District Calculations'!$F$11,VLOOKUP($A164,EnrollData2324,'2324 Jun 24 Enroll'!M$1,FALSE)+VLOOKUP($A164,EnrollData2324,'2324 Jun 24 Enroll'!D$1,FALSE),'District Calculations'!$F$25+'District Calculations'!$F$11),5)</f>
        <v>1.7780000000000001E-2</v>
      </c>
      <c r="AA164" s="6">
        <f>ROUND($J164*CIS_Base_Salary2425*VLOOKUP($A164,EnrollData2324,'2324 Jun 24 Enroll'!AH$1,FALSE),2)</f>
        <v>4262.68</v>
      </c>
      <c r="AB164" s="6">
        <f>ROUND($J164*CIS_Inc_Salary2425*(VLOOKUP($A164,EnrollData2324,'2324 Jun 24 Enroll'!AI$1,FALSE)+VLOOKUP($A164,EnrollData2324,'2324 Jun 24 Enroll'!AJ$1,FALSE)),2)-AA164</f>
        <v>157.6899999999996</v>
      </c>
      <c r="AC164" s="6" cm="1">
        <f t="array" ref="AC164">ROUND($R164*CAS_Base_Salary2425*VLOOKUP($A164,EnrollData2324,'2324 Jun 24 Enroll'!AH$1,FALSE),2)</f>
        <v>461.23</v>
      </c>
      <c r="AD164" s="6">
        <f>ROUND($R164*CAS_Inc_Salary2425*VLOOKUP($A164,EnrollData2324,'2324 Jun 24 Enroll'!AI$1,FALSE),2)-AC164</f>
        <v>17.069999999999993</v>
      </c>
      <c r="AE164" s="6">
        <f>ROUND($Z164*CLS_Base_Salary2425*VLOOKUP($A164,EnrollData2324,'2324 Jun 24 Enroll'!AH$1,FALSE),2)</f>
        <v>961.95</v>
      </c>
      <c r="AF164" s="6">
        <f>ROUND($Z164*CLS_Inc_Salary2425*VLOOKUP($A164,EnrollData2324,'2324 Jun 24 Enroll'!AI$1,FALSE),2)-AE164</f>
        <v>35.599999999999909</v>
      </c>
      <c r="AG164" cm="1">
        <f t="array" ref="AG164">ROUND(($J164+$R164)*Apport_124X2425,2)</f>
        <v>800.45</v>
      </c>
      <c r="AH164" s="69" cm="1">
        <f t="array" ref="AH164">ROUND(($J164+$R164)*Apport_621X2425*Apport_125XC2425,2)-AG164</f>
        <v>73.899999999999977</v>
      </c>
      <c r="AI164" cm="1">
        <f t="array" ref="AI164">ROUND($Z164*Apport_124X2425,2)</f>
        <v>234.7</v>
      </c>
      <c r="AJ164">
        <f t="shared" si="42"/>
        <v>124.71000000000004</v>
      </c>
      <c r="AK164">
        <f t="shared" si="43"/>
        <v>857.39</v>
      </c>
      <c r="AL164">
        <f t="shared" si="44"/>
        <v>30.6</v>
      </c>
      <c r="AM164">
        <f t="shared" si="45"/>
        <v>208.36</v>
      </c>
      <c r="AN164">
        <f t="shared" si="46"/>
        <v>6.46</v>
      </c>
      <c r="AO164">
        <f>ROUND(($J164*CIS_Inc_Salary2425*(VLOOKUP($A164,EnrollData2324,'2324 Jun 24 Enroll'!AI$1,FALSE)+VLOOKUP($A164,EnrollData2324,'2324 Jun 24 Enroll'!AJ$1,FALSE))/Apport_613Xpd)*Apport_614Xpd,2)</f>
        <v>73.67</v>
      </c>
      <c r="AP164">
        <f t="shared" si="47"/>
        <v>12.9</v>
      </c>
      <c r="AQ164">
        <f t="shared" si="38"/>
        <v>31.48</v>
      </c>
      <c r="AR164" s="6">
        <f>ROUND((VLOOKUP($A164,EnrollData2324,'2324 Jun 24 Enroll'!D$1,FALSE)*Apport_M802425+VLOOKUP($A164,EnrollData2324,'2324 Jun 24 Enroll'!M$1,FALSE)*Apport_M802425+(VLOOKUP($A164,EnrollData2324,'2324 Jun 24 Enroll'!P$1,FALSE)+VLOOKUP($A164,EnrollData2324,'2324 Jun 24 Enroll'!Q$1,FALSE)+VLOOKUP($A164,EnrollData2324,'2324 Jun 24 Enroll'!R$1,FALSE)+VLOOKUP($A164,EnrollData2324,'2324 Jun 24 Enroll'!I$1,FALSE)+VLOOKUP($A164,EnrollData2324,'2324 Jun 24 Enroll'!N$1,FALSE)+VLOOKUP($A164,EnrollData2324,'2324 Jun 24 Enroll'!O$1,FALSE)+VLOOKUP($A164,EnrollData2324,'2324 Jun 24 Enroll'!K$1,FALSE)+VLOOKUP($A164,EnrollData2324,'2324 Jun 24 Enroll'!L$1,FALSE))*Apport_M812425)/(VLOOKUP($A164,EnrollData2324,'2324 Jun 24 Enroll'!M$1,FALSE)+VLOOKUP($A164,EnrollData2324,'2324 Jun 24 Enroll'!D$1,FALSE)),2)</f>
        <v>1685.27</v>
      </c>
      <c r="AS164" s="7">
        <f t="shared" si="39"/>
        <v>10036.109999999999</v>
      </c>
    </row>
    <row r="165" spans="1:45">
      <c r="A165" s="40" t="s">
        <v>821</v>
      </c>
      <c r="B165" s="40" t="s">
        <v>822</v>
      </c>
      <c r="C165" s="11">
        <f>ROUND((IFERROR((1/IF(VLOOKUP($A165,EnrollData2324,28,FALSE)='District Calculations'!$F$10,VLOOKUP($A165,EnrollData2324,28,FALSE),'District Calculations'!$F$10))*(1+Apport_Z315),0))+Apport_201A2425,6)</f>
        <v>7.4580999999999995E-2</v>
      </c>
      <c r="D165">
        <f>ROUND(IF(VLOOKUP($A165,EnrollData2324,'2324 Jun 24 Enroll'!D$1,FALSE)='District Calculations'!$F$11,VLOOKUP($A165,EnrollData2324,'2324 Jun 24 Enroll'!D$1,FALSE),'District Calculations'!$F$11)*C165,3)</f>
        <v>0</v>
      </c>
      <c r="E165">
        <f>ROUND(IF(VLOOKUP($A165,EnrollData2324,'2324 Jun 24 Enroll'!E$1,FALSE)='District Calculations'!$F$12,VLOOKUP($A165,EnrollData2324,'2324 Jun 24 Enroll'!E$1,FALSE),'District Calculations'!$F$12)*C165,3)</f>
        <v>60.447000000000003</v>
      </c>
      <c r="F165">
        <f>ROUND(IF(VLOOKUP($A165,EnrollData2324,'2324 Jun 24 Enroll'!F$1,FALSE)='District Calculations'!$F$13,VLOOKUP($A165,EnrollData2324,'2324 Jun 24 Enroll'!F$1,FALSE),'District Calculations'!$F$13)*Apport_222A2425,3)</f>
        <v>10.337999999999999</v>
      </c>
      <c r="G165">
        <f>ROUND(IF(VLOOKUP($A165,EnrollData2324,'2324 Jun 24 Enroll'!G$1,FALSE)='District Calculations'!$F$14,VLOOKUP($A165,EnrollData2324,'2324 Jun 24 Enroll'!G$1,FALSE),'District Calculations'!$F$14)*Apport_210A2425,3)</f>
        <v>22.92</v>
      </c>
      <c r="H165">
        <f>ROUND(IF(VLOOKUP($A165,EnrollData2324,'2324 Jun 24 Enroll'!H$1,FALSE)='District Calculations'!$F$15,VLOOKUP($A165,EnrollData2324,'2324 Jun 24 Enroll'!H$1,FALSE),'District Calculations'!$F$15)*Apport_213A2425,3)</f>
        <v>23.619</v>
      </c>
      <c r="I165">
        <f>ROUND(IF(VLOOKUP($A165,EnrollData2324,'2324 Jun 24 Enroll'!I$1,FALSE)+VLOOKUP($A165,EnrollData2324,'2324 Jun 24 Enroll'!M$1,FALSE)-VLOOKUP($A165,EnrollData2324,'2324 Jun 24 Enroll'!J$1,FALSE)='District Calculations'!$F$16+'District Calculations'!$F$25-'District Calculations'!$F$17,VLOOKUP($A165,EnrollData2324,'2324 Jun 24 Enroll'!I$1,FALSE)+VLOOKUP($A165,EnrollData2324,'2324 Jun 24 Enroll'!M$1,FALSE)-VLOOKUP($A165,EnrollData2324,'2324 Jun 24 Enroll'!J$1,FALSE),'District Calculations'!$F$16+'District Calculations'!$F$25-'District Calculations'!$F$17)*Apport_216A2425,3)</f>
        <v>59.057000000000002</v>
      </c>
      <c r="J165">
        <f>ROUND(SUM(D165:I165)/(IF(VLOOKUP($A165,EnrollData2324,'2324 Jun 24 Enroll'!M$1,FALSE)='District Calculations'!$F$25,VLOOKUP($A165,EnrollData2324,'2324 Jun 24 Enroll'!M$1,FALSE),'District Calculations'!$F$25)+IF(VLOOKUP($A165,EnrollData2324,'2324 Jun 24 Enroll'!D$1,FALSE)='District Calculations'!$F$11,VLOOKUP($A165,EnrollData2324,'2324 Jun 24 Enroll'!D$1,FALSE),'District Calculations'!$F$11)),5)</f>
        <v>5.6520000000000001E-2</v>
      </c>
      <c r="K165" s="11">
        <f t="shared" si="40"/>
        <v>4.385E-3</v>
      </c>
      <c r="L165">
        <f>ROUND(IF(VLOOKUP($A165,EnrollData2324,'2324 Jun 24 Enroll'!D$1,FALSE)='District Calculations'!$F$11,VLOOKUP($A165,EnrollData2324,'2324 Jun 24 Enroll'!D$1,FALSE),'District Calculations'!$F$11)*K165,3)</f>
        <v>0</v>
      </c>
      <c r="M165">
        <f>ROUND(IF(VLOOKUP($A165,EnrollData2324,'2324 Jun 24 Enroll'!E$1,FALSE)='District Calculations'!$F$12,VLOOKUP($A165,EnrollData2324,'2324 Jun 24 Enroll'!E$1,FALSE),'District Calculations'!$F$12)*K165,3)</f>
        <v>3.5539999999999998</v>
      </c>
      <c r="N165">
        <f>ROUND(IF(VLOOKUP($A165,EnrollData2324,'2324 Jun 24 Enroll'!F$1,FALSE)='District Calculations'!$F$13,VLOOKUP($A165,EnrollData2324,'2324 Jun 24 Enroll'!F$1,FALSE),'District Calculations'!$F$13)*Apport_223A2425,3)</f>
        <v>0.84599999999999997</v>
      </c>
      <c r="O165">
        <f>ROUND(IF(VLOOKUP($A165,EnrollData2324,'2324 Jun 24 Enroll'!G$1,FALSE)='District Calculations'!$F$14,VLOOKUP($A165,EnrollData2324,'2324 Jun 24 Enroll'!G$1,FALSE),'District Calculations'!$F$14)*Apport_211A2425,3)</f>
        <v>1.877</v>
      </c>
      <c r="P165">
        <f>ROUND(IF(VLOOKUP($A165,EnrollData2324,'2324 Jun 24 Enroll'!H$1,FALSE)='District Calculations'!$F$14,VLOOKUP($A165,EnrollData2324,'2324 Jun 24 Enroll'!H$1,FALSE),'District Calculations'!$F$14)*Apport_214A2425,3)</f>
        <v>1.875</v>
      </c>
      <c r="Q165">
        <f>ROUND(IF(VLOOKUP($A165,EnrollData2324,'2324 Jun 24 Enroll'!I$1,FALSE)+VLOOKUP($A165,EnrollData2324,'2324 Jun 24 Enroll'!M$1,FALSE)-VLOOKUP($A165,EnrollData2324,'2324 Jun 24 Enroll'!J$1,FALSE)='District Calculations'!$F$16+'District Calculations'!$F$25-'District Calculations'!$F$17,VLOOKUP($A165,EnrollData2324,'2324 Jun 24 Enroll'!I$1,FALSE)+VLOOKUP($A165,EnrollData2324,'2324 Jun 24 Enroll'!M$1,FALSE)-VLOOKUP($A165,EnrollData2324,'2324 Jun 24 Enroll'!J$1,FALSE),'District Calculations'!$F$16+'District Calculations'!$F$25-'District Calculations'!$F$17)*Apport_217A2425,3)</f>
        <v>4.7130000000000001</v>
      </c>
      <c r="R165">
        <f>ROUND(SUM(L165:Q165)/IF(VLOOKUP($A165,EnrollData2324,'2324 Jun 24 Enroll'!M$1,FALSE)+VLOOKUP($A165,EnrollData2324,'2324 Jun 24 Enroll'!D$1,FALSE)='District Calculations'!$F$25+'District Calculations'!$F$11,VLOOKUP($A165,EnrollData2324,'2324 Jun 24 Enroll'!M$1,FALSE)+VLOOKUP($A165,EnrollData2324,'2324 Jun 24 Enroll'!D$1,FALSE),'District Calculations'!$F$25+'District Calculations'!$F$11),5)</f>
        <v>4.1200000000000004E-3</v>
      </c>
      <c r="S165" s="11">
        <f t="shared" si="41"/>
        <v>1.8734299999999999E-2</v>
      </c>
      <c r="T165">
        <f>ROUND(IF(VLOOKUP($A165,EnrollData2324,'2324 Jun 24 Enroll'!D$1,FALSE)='District Calculations'!$F$11,VLOOKUP($A165,EnrollData2324,'2324 Jun 24 Enroll'!D$1,FALSE),'District Calculations'!$F$11)*S165,3)</f>
        <v>0</v>
      </c>
      <c r="U165">
        <f>ROUND(IF(VLOOKUP($A165,EnrollData2324,'2324 Jun 24 Enroll'!E$1,FALSE)='District Calculations'!$F$12,VLOOKUP($A165,EnrollData2324,'2324 Jun 24 Enroll'!E$1,FALSE),'District Calculations'!$F$12)*S165,3)</f>
        <v>15.183999999999999</v>
      </c>
      <c r="V165">
        <f>ROUND(IF(VLOOKUP($A165,EnrollData2324,'2324 Jun 24 Enroll'!F$1,FALSE)='District Calculations'!$F$13,VLOOKUP($A165,EnrollData2324,'2324 Jun 24 Enroll'!F$1,FALSE),'District Calculations'!$F$13)*Apport_224A2425,3)</f>
        <v>3.7109999999999999</v>
      </c>
      <c r="W165">
        <f>ROUND(IF(VLOOKUP($A165,EnrollData2324,'2324 Jun 24 Enroll'!G$1,FALSE)='District Calculations'!$F$14,VLOOKUP($A165,EnrollData2324,'2324 Jun 24 Enroll'!G$1,FALSE),'District Calculations'!$F$14)*Apport_212A2425,3)</f>
        <v>8.2279999999999998</v>
      </c>
      <c r="X165">
        <f>ROUND(IF(VLOOKUP($A165,EnrollData2324,'2324 Jun 24 Enroll'!H$1,FALSE)='District Calculations'!$F$14,VLOOKUP($A165,EnrollData2324,'2324 Jun 24 Enroll'!H$1,FALSE),'District Calculations'!$F$14)*Apport_215A2425,3)</f>
        <v>8.1180000000000003</v>
      </c>
      <c r="Y165">
        <f>ROUND(IF(VLOOKUP($A165,EnrollData2324,'2324 Jun 24 Enroll'!I$1,FALSE)+VLOOKUP($A165,EnrollData2324,'2324 Jun 24 Enroll'!M$1,FALSE)-VLOOKUP($A165,EnrollData2324,'2324 Jun 24 Enroll'!J$1,FALSE)='District Calculations'!$F$16+'District Calculations'!$F$25-'District Calculations'!$F$17,VLOOKUP($A165,EnrollData2324,'2324 Jun 24 Enroll'!I$1,FALSE)+VLOOKUP($A165,EnrollData2324,'2324 Jun 24 Enroll'!M$1,FALSE)-VLOOKUP($A165,EnrollData2324,'2324 Jun 24 Enroll'!J$1,FALSE),'District Calculations'!$F$16+'District Calculations'!$F$25-'District Calculations'!$F$17)*Apport_218A2425,3)</f>
        <v>20.257999999999999</v>
      </c>
      <c r="Z165">
        <f>ROUND(SUM(T165:Y165)/IF(VLOOKUP($A165,EnrollData2324,'2324 Jun 24 Enroll'!M$1,FALSE)+VLOOKUP($A165,EnrollData2324,'2324 Jun 24 Enroll'!D$1,FALSE)='District Calculations'!$F$25+'District Calculations'!$F$11,VLOOKUP($A165,EnrollData2324,'2324 Jun 24 Enroll'!M$1,FALSE)+VLOOKUP($A165,EnrollData2324,'2324 Jun 24 Enroll'!D$1,FALSE),'District Calculations'!$F$25+'District Calculations'!$F$11),5)</f>
        <v>1.7780000000000001E-2</v>
      </c>
      <c r="AA165" s="6">
        <f>ROUND($J165*CIS_Base_Salary2425*VLOOKUP($A165,EnrollData2324,'2324 Jun 24 Enroll'!AH$1,FALSE),2)</f>
        <v>4262.68</v>
      </c>
      <c r="AB165" s="6">
        <f>ROUND($J165*CIS_Inc_Salary2425*(VLOOKUP($A165,EnrollData2324,'2324 Jun 24 Enroll'!AI$1,FALSE)+VLOOKUP($A165,EnrollData2324,'2324 Jun 24 Enroll'!AJ$1,FALSE)),2)-AA165</f>
        <v>201.89999999999964</v>
      </c>
      <c r="AC165" s="6" cm="1">
        <f t="array" ref="AC165">ROUND($R165*CAS_Base_Salary2425*VLOOKUP($A165,EnrollData2324,'2324 Jun 24 Enroll'!AH$1,FALSE),2)</f>
        <v>461.23</v>
      </c>
      <c r="AD165" s="6">
        <f>ROUND($R165*CAS_Inc_Salary2425*VLOOKUP($A165,EnrollData2324,'2324 Jun 24 Enroll'!AI$1,FALSE),2)-AC165</f>
        <v>17.069999999999993</v>
      </c>
      <c r="AE165" s="6">
        <f>ROUND($Z165*CLS_Base_Salary2425*VLOOKUP($A165,EnrollData2324,'2324 Jun 24 Enroll'!AH$1,FALSE),2)</f>
        <v>961.95</v>
      </c>
      <c r="AF165" s="6">
        <f>ROUND($Z165*CLS_Inc_Salary2425*VLOOKUP($A165,EnrollData2324,'2324 Jun 24 Enroll'!AI$1,FALSE),2)-AE165</f>
        <v>35.599999999999909</v>
      </c>
      <c r="AG165" cm="1">
        <f t="array" ref="AG165">ROUND(($J165+$R165)*Apport_124X2425,2)</f>
        <v>800.45</v>
      </c>
      <c r="AH165" s="69" cm="1">
        <f t="array" ref="AH165">ROUND(($J165+$R165)*Apport_621X2425*Apport_125XC2425,2)-AG165</f>
        <v>73.899999999999977</v>
      </c>
      <c r="AI165" cm="1">
        <f t="array" ref="AI165">ROUND($Z165*Apport_124X2425,2)</f>
        <v>234.7</v>
      </c>
      <c r="AJ165">
        <f t="shared" si="42"/>
        <v>124.71000000000004</v>
      </c>
      <c r="AK165">
        <f t="shared" si="43"/>
        <v>857.39</v>
      </c>
      <c r="AL165">
        <f t="shared" si="44"/>
        <v>38.340000000000003</v>
      </c>
      <c r="AM165">
        <f t="shared" si="45"/>
        <v>208.36</v>
      </c>
      <c r="AN165">
        <f t="shared" si="46"/>
        <v>6.46</v>
      </c>
      <c r="AO165">
        <f>ROUND(($J165*CIS_Inc_Salary2425*(VLOOKUP($A165,EnrollData2324,'2324 Jun 24 Enroll'!AI$1,FALSE)+VLOOKUP($A165,EnrollData2324,'2324 Jun 24 Enroll'!AJ$1,FALSE))/Apport_613Xpd)*Apport_614Xpd,2)</f>
        <v>74.41</v>
      </c>
      <c r="AP165">
        <f t="shared" si="47"/>
        <v>13.03</v>
      </c>
      <c r="AQ165">
        <f t="shared" si="38"/>
        <v>31.48</v>
      </c>
      <c r="AR165" s="6">
        <f>ROUND((VLOOKUP($A165,EnrollData2324,'2324 Jun 24 Enroll'!D$1,FALSE)*Apport_M802425+VLOOKUP($A165,EnrollData2324,'2324 Jun 24 Enroll'!M$1,FALSE)*Apport_M802425+(VLOOKUP($A165,EnrollData2324,'2324 Jun 24 Enroll'!P$1,FALSE)+VLOOKUP($A165,EnrollData2324,'2324 Jun 24 Enroll'!Q$1,FALSE)+VLOOKUP($A165,EnrollData2324,'2324 Jun 24 Enroll'!R$1,FALSE)+VLOOKUP($A165,EnrollData2324,'2324 Jun 24 Enroll'!I$1,FALSE)+VLOOKUP($A165,EnrollData2324,'2324 Jun 24 Enroll'!N$1,FALSE)+VLOOKUP($A165,EnrollData2324,'2324 Jun 24 Enroll'!O$1,FALSE)+VLOOKUP($A165,EnrollData2324,'2324 Jun 24 Enroll'!K$1,FALSE)+VLOOKUP($A165,EnrollData2324,'2324 Jun 24 Enroll'!L$1,FALSE))*Apport_M812425)/(VLOOKUP($A165,EnrollData2324,'2324 Jun 24 Enroll'!M$1,FALSE)+VLOOKUP($A165,EnrollData2324,'2324 Jun 24 Enroll'!D$1,FALSE)),2)</f>
        <v>1599.5</v>
      </c>
      <c r="AS165" s="7">
        <f t="shared" si="39"/>
        <v>10003.159999999998</v>
      </c>
    </row>
    <row r="166" spans="1:45">
      <c r="A166" s="40" t="s">
        <v>659</v>
      </c>
      <c r="B166" s="40" t="s">
        <v>660</v>
      </c>
      <c r="C166" s="11">
        <f>ROUND((IFERROR((1/IF(VLOOKUP($A166,EnrollData2324,28,FALSE)='District Calculations'!$F$10,VLOOKUP($A166,EnrollData2324,28,FALSE),'District Calculations'!$F$10))*(1+Apport_Z315),0))+Apport_201A2425,6)</f>
        <v>7.4580999999999995E-2</v>
      </c>
      <c r="D166">
        <f>ROUND(IF(VLOOKUP($A166,EnrollData2324,'2324 Jun 24 Enroll'!D$1,FALSE)='District Calculations'!$F$11,VLOOKUP($A166,EnrollData2324,'2324 Jun 24 Enroll'!D$1,FALSE),'District Calculations'!$F$11)*C166,3)</f>
        <v>0</v>
      </c>
      <c r="E166">
        <f>ROUND(IF(VLOOKUP($A166,EnrollData2324,'2324 Jun 24 Enroll'!E$1,FALSE)='District Calculations'!$F$12,VLOOKUP($A166,EnrollData2324,'2324 Jun 24 Enroll'!E$1,FALSE),'District Calculations'!$F$12)*C166,3)</f>
        <v>60.447000000000003</v>
      </c>
      <c r="F166">
        <f>ROUND(IF(VLOOKUP($A166,EnrollData2324,'2324 Jun 24 Enroll'!F$1,FALSE)='District Calculations'!$F$13,VLOOKUP($A166,EnrollData2324,'2324 Jun 24 Enroll'!F$1,FALSE),'District Calculations'!$F$13)*Apport_222A2425,3)</f>
        <v>10.337999999999999</v>
      </c>
      <c r="G166">
        <f>ROUND(IF(VLOOKUP($A166,EnrollData2324,'2324 Jun 24 Enroll'!G$1,FALSE)='District Calculations'!$F$14,VLOOKUP($A166,EnrollData2324,'2324 Jun 24 Enroll'!G$1,FALSE),'District Calculations'!$F$14)*Apport_210A2425,3)</f>
        <v>22.92</v>
      </c>
      <c r="H166">
        <f>ROUND(IF(VLOOKUP($A166,EnrollData2324,'2324 Jun 24 Enroll'!H$1,FALSE)='District Calculations'!$F$15,VLOOKUP($A166,EnrollData2324,'2324 Jun 24 Enroll'!H$1,FALSE),'District Calculations'!$F$15)*Apport_213A2425,3)</f>
        <v>23.619</v>
      </c>
      <c r="I166">
        <f>ROUND(IF(VLOOKUP($A166,EnrollData2324,'2324 Jun 24 Enroll'!I$1,FALSE)+VLOOKUP($A166,EnrollData2324,'2324 Jun 24 Enroll'!M$1,FALSE)-VLOOKUP($A166,EnrollData2324,'2324 Jun 24 Enroll'!J$1,FALSE)='District Calculations'!$F$16+'District Calculations'!$F$25-'District Calculations'!$F$17,VLOOKUP($A166,EnrollData2324,'2324 Jun 24 Enroll'!I$1,FALSE)+VLOOKUP($A166,EnrollData2324,'2324 Jun 24 Enroll'!M$1,FALSE)-VLOOKUP($A166,EnrollData2324,'2324 Jun 24 Enroll'!J$1,FALSE),'District Calculations'!$F$16+'District Calculations'!$F$25-'District Calculations'!$F$17)*Apport_216A2425,3)</f>
        <v>59.057000000000002</v>
      </c>
      <c r="J166">
        <f>ROUND(SUM(D166:I166)/(IF(VLOOKUP($A166,EnrollData2324,'2324 Jun 24 Enroll'!M$1,FALSE)='District Calculations'!$F$25,VLOOKUP($A166,EnrollData2324,'2324 Jun 24 Enroll'!M$1,FALSE),'District Calculations'!$F$25)+IF(VLOOKUP($A166,EnrollData2324,'2324 Jun 24 Enroll'!D$1,FALSE)='District Calculations'!$F$11,VLOOKUP($A166,EnrollData2324,'2324 Jun 24 Enroll'!D$1,FALSE),'District Calculations'!$F$11)),5)</f>
        <v>5.6520000000000001E-2</v>
      </c>
      <c r="K166" s="11">
        <f t="shared" si="40"/>
        <v>4.385E-3</v>
      </c>
      <c r="L166">
        <f>ROUND(IF(VLOOKUP($A166,EnrollData2324,'2324 Jun 24 Enroll'!D$1,FALSE)='District Calculations'!$F$11,VLOOKUP($A166,EnrollData2324,'2324 Jun 24 Enroll'!D$1,FALSE),'District Calculations'!$F$11)*K166,3)</f>
        <v>0</v>
      </c>
      <c r="M166">
        <f>ROUND(IF(VLOOKUP($A166,EnrollData2324,'2324 Jun 24 Enroll'!E$1,FALSE)='District Calculations'!$F$12,VLOOKUP($A166,EnrollData2324,'2324 Jun 24 Enroll'!E$1,FALSE),'District Calculations'!$F$12)*K166,3)</f>
        <v>3.5539999999999998</v>
      </c>
      <c r="N166">
        <f>ROUND(IF(VLOOKUP($A166,EnrollData2324,'2324 Jun 24 Enroll'!F$1,FALSE)='District Calculations'!$F$13,VLOOKUP($A166,EnrollData2324,'2324 Jun 24 Enroll'!F$1,FALSE),'District Calculations'!$F$13)*Apport_223A2425,3)</f>
        <v>0.84599999999999997</v>
      </c>
      <c r="O166">
        <f>ROUND(IF(VLOOKUP($A166,EnrollData2324,'2324 Jun 24 Enroll'!G$1,FALSE)='District Calculations'!$F$14,VLOOKUP($A166,EnrollData2324,'2324 Jun 24 Enroll'!G$1,FALSE),'District Calculations'!$F$14)*Apport_211A2425,3)</f>
        <v>1.877</v>
      </c>
      <c r="P166">
        <f>ROUND(IF(VLOOKUP($A166,EnrollData2324,'2324 Jun 24 Enroll'!H$1,FALSE)='District Calculations'!$F$14,VLOOKUP($A166,EnrollData2324,'2324 Jun 24 Enroll'!H$1,FALSE),'District Calculations'!$F$14)*Apport_214A2425,3)</f>
        <v>1.875</v>
      </c>
      <c r="Q166">
        <f>ROUND(IF(VLOOKUP($A166,EnrollData2324,'2324 Jun 24 Enroll'!I$1,FALSE)+VLOOKUP($A166,EnrollData2324,'2324 Jun 24 Enroll'!M$1,FALSE)-VLOOKUP($A166,EnrollData2324,'2324 Jun 24 Enroll'!J$1,FALSE)='District Calculations'!$F$16+'District Calculations'!$F$25-'District Calculations'!$F$17,VLOOKUP($A166,EnrollData2324,'2324 Jun 24 Enroll'!I$1,FALSE)+VLOOKUP($A166,EnrollData2324,'2324 Jun 24 Enroll'!M$1,FALSE)-VLOOKUP($A166,EnrollData2324,'2324 Jun 24 Enroll'!J$1,FALSE),'District Calculations'!$F$16+'District Calculations'!$F$25-'District Calculations'!$F$17)*Apport_217A2425,3)</f>
        <v>4.7130000000000001</v>
      </c>
      <c r="R166">
        <f>ROUND(SUM(L166:Q166)/IF(VLOOKUP($A166,EnrollData2324,'2324 Jun 24 Enroll'!M$1,FALSE)+VLOOKUP($A166,EnrollData2324,'2324 Jun 24 Enroll'!D$1,FALSE)='District Calculations'!$F$25+'District Calculations'!$F$11,VLOOKUP($A166,EnrollData2324,'2324 Jun 24 Enroll'!M$1,FALSE)+VLOOKUP($A166,EnrollData2324,'2324 Jun 24 Enroll'!D$1,FALSE),'District Calculations'!$F$25+'District Calculations'!$F$11),5)</f>
        <v>4.1200000000000004E-3</v>
      </c>
      <c r="S166" s="11">
        <f t="shared" si="41"/>
        <v>1.8734299999999999E-2</v>
      </c>
      <c r="T166">
        <f>ROUND(IF(VLOOKUP($A166,EnrollData2324,'2324 Jun 24 Enroll'!D$1,FALSE)='District Calculations'!$F$11,VLOOKUP($A166,EnrollData2324,'2324 Jun 24 Enroll'!D$1,FALSE),'District Calculations'!$F$11)*S166,3)</f>
        <v>0</v>
      </c>
      <c r="U166">
        <f>ROUND(IF(VLOOKUP($A166,EnrollData2324,'2324 Jun 24 Enroll'!E$1,FALSE)='District Calculations'!$F$12,VLOOKUP($A166,EnrollData2324,'2324 Jun 24 Enroll'!E$1,FALSE),'District Calculations'!$F$12)*S166,3)</f>
        <v>15.183999999999999</v>
      </c>
      <c r="V166">
        <f>ROUND(IF(VLOOKUP($A166,EnrollData2324,'2324 Jun 24 Enroll'!F$1,FALSE)='District Calculations'!$F$13,VLOOKUP($A166,EnrollData2324,'2324 Jun 24 Enroll'!F$1,FALSE),'District Calculations'!$F$13)*Apport_224A2425,3)</f>
        <v>3.7109999999999999</v>
      </c>
      <c r="W166">
        <f>ROUND(IF(VLOOKUP($A166,EnrollData2324,'2324 Jun 24 Enroll'!G$1,FALSE)='District Calculations'!$F$14,VLOOKUP($A166,EnrollData2324,'2324 Jun 24 Enroll'!G$1,FALSE),'District Calculations'!$F$14)*Apport_212A2425,3)</f>
        <v>8.2279999999999998</v>
      </c>
      <c r="X166">
        <f>ROUND(IF(VLOOKUP($A166,EnrollData2324,'2324 Jun 24 Enroll'!H$1,FALSE)='District Calculations'!$F$14,VLOOKUP($A166,EnrollData2324,'2324 Jun 24 Enroll'!H$1,FALSE),'District Calculations'!$F$14)*Apport_215A2425,3)</f>
        <v>8.1180000000000003</v>
      </c>
      <c r="Y166">
        <f>ROUND(IF(VLOOKUP($A166,EnrollData2324,'2324 Jun 24 Enroll'!I$1,FALSE)+VLOOKUP($A166,EnrollData2324,'2324 Jun 24 Enroll'!M$1,FALSE)-VLOOKUP($A166,EnrollData2324,'2324 Jun 24 Enroll'!J$1,FALSE)='District Calculations'!$F$16+'District Calculations'!$F$25-'District Calculations'!$F$17,VLOOKUP($A166,EnrollData2324,'2324 Jun 24 Enroll'!I$1,FALSE)+VLOOKUP($A166,EnrollData2324,'2324 Jun 24 Enroll'!M$1,FALSE)-VLOOKUP($A166,EnrollData2324,'2324 Jun 24 Enroll'!J$1,FALSE),'District Calculations'!$F$16+'District Calculations'!$F$25-'District Calculations'!$F$17)*Apport_218A2425,3)</f>
        <v>20.257999999999999</v>
      </c>
      <c r="Z166">
        <f>ROUND(SUM(T166:Y166)/IF(VLOOKUP($A166,EnrollData2324,'2324 Jun 24 Enroll'!M$1,FALSE)+VLOOKUP($A166,EnrollData2324,'2324 Jun 24 Enroll'!D$1,FALSE)='District Calculations'!$F$25+'District Calculations'!$F$11,VLOOKUP($A166,EnrollData2324,'2324 Jun 24 Enroll'!M$1,FALSE)+VLOOKUP($A166,EnrollData2324,'2324 Jun 24 Enroll'!D$1,FALSE),'District Calculations'!$F$25+'District Calculations'!$F$11),5)</f>
        <v>1.7780000000000001E-2</v>
      </c>
      <c r="AA166" s="6">
        <f>ROUND($J166*CIS_Base_Salary2425*VLOOKUP($A166,EnrollData2324,'2324 Jun 24 Enroll'!AH$1,FALSE),2)</f>
        <v>4262.68</v>
      </c>
      <c r="AB166" s="6">
        <f>ROUND($J166*CIS_Inc_Salary2425*(VLOOKUP($A166,EnrollData2324,'2324 Jun 24 Enroll'!AI$1,FALSE)+VLOOKUP($A166,EnrollData2324,'2324 Jun 24 Enroll'!AJ$1,FALSE)),2)-AA166</f>
        <v>157.6899999999996</v>
      </c>
      <c r="AC166" s="6" cm="1">
        <f t="array" ref="AC166">ROUND($R166*CAS_Base_Salary2425*VLOOKUP($A166,EnrollData2324,'2324 Jun 24 Enroll'!AH$1,FALSE),2)</f>
        <v>461.23</v>
      </c>
      <c r="AD166" s="6">
        <f>ROUND($R166*CAS_Inc_Salary2425*VLOOKUP($A166,EnrollData2324,'2324 Jun 24 Enroll'!AI$1,FALSE),2)-AC166</f>
        <v>17.069999999999993</v>
      </c>
      <c r="AE166" s="6">
        <f>ROUND($Z166*CLS_Base_Salary2425*VLOOKUP($A166,EnrollData2324,'2324 Jun 24 Enroll'!AH$1,FALSE),2)</f>
        <v>961.95</v>
      </c>
      <c r="AF166" s="6">
        <f>ROUND($Z166*CLS_Inc_Salary2425*VLOOKUP($A166,EnrollData2324,'2324 Jun 24 Enroll'!AI$1,FALSE),2)-AE166</f>
        <v>35.599999999999909</v>
      </c>
      <c r="AG166" cm="1">
        <f t="array" ref="AG166">ROUND(($J166+$R166)*Apport_124X2425,2)</f>
        <v>800.45</v>
      </c>
      <c r="AH166" s="69" cm="1">
        <f t="array" ref="AH166">ROUND(($J166+$R166)*Apport_621X2425*Apport_125XC2425,2)-AG166</f>
        <v>73.899999999999977</v>
      </c>
      <c r="AI166" cm="1">
        <f t="array" ref="AI166">ROUND($Z166*Apport_124X2425,2)</f>
        <v>234.7</v>
      </c>
      <c r="AJ166">
        <f t="shared" si="42"/>
        <v>124.71000000000004</v>
      </c>
      <c r="AK166">
        <f t="shared" si="43"/>
        <v>857.39</v>
      </c>
      <c r="AL166">
        <f t="shared" si="44"/>
        <v>30.6</v>
      </c>
      <c r="AM166">
        <f t="shared" si="45"/>
        <v>208.36</v>
      </c>
      <c r="AN166">
        <f t="shared" si="46"/>
        <v>6.46</v>
      </c>
      <c r="AO166">
        <f>ROUND(($J166*CIS_Inc_Salary2425*(VLOOKUP($A166,EnrollData2324,'2324 Jun 24 Enroll'!AI$1,FALSE)+VLOOKUP($A166,EnrollData2324,'2324 Jun 24 Enroll'!AJ$1,FALSE))/Apport_613Xpd)*Apport_614Xpd,2)</f>
        <v>73.67</v>
      </c>
      <c r="AP166">
        <f t="shared" si="47"/>
        <v>12.9</v>
      </c>
      <c r="AQ166">
        <f t="shared" si="38"/>
        <v>31.48</v>
      </c>
      <c r="AR166" s="6">
        <f>ROUND((VLOOKUP($A166,EnrollData2324,'2324 Jun 24 Enroll'!D$1,FALSE)*Apport_M802425+VLOOKUP($A166,EnrollData2324,'2324 Jun 24 Enroll'!M$1,FALSE)*Apport_M802425+(VLOOKUP($A166,EnrollData2324,'2324 Jun 24 Enroll'!P$1,FALSE)+VLOOKUP($A166,EnrollData2324,'2324 Jun 24 Enroll'!Q$1,FALSE)+VLOOKUP($A166,EnrollData2324,'2324 Jun 24 Enroll'!R$1,FALSE)+VLOOKUP($A166,EnrollData2324,'2324 Jun 24 Enroll'!I$1,FALSE)+VLOOKUP($A166,EnrollData2324,'2324 Jun 24 Enroll'!N$1,FALSE)+VLOOKUP($A166,EnrollData2324,'2324 Jun 24 Enroll'!O$1,FALSE)+VLOOKUP($A166,EnrollData2324,'2324 Jun 24 Enroll'!K$1,FALSE)+VLOOKUP($A166,EnrollData2324,'2324 Jun 24 Enroll'!L$1,FALSE))*Apport_M812425)/(VLOOKUP($A166,EnrollData2324,'2324 Jun 24 Enroll'!M$1,FALSE)+VLOOKUP($A166,EnrollData2324,'2324 Jun 24 Enroll'!D$1,FALSE)),2)</f>
        <v>1596.18</v>
      </c>
      <c r="AS166" s="7">
        <f t="shared" si="39"/>
        <v>9947.0199999999986</v>
      </c>
    </row>
    <row r="167" spans="1:45">
      <c r="A167" s="40" t="s">
        <v>687</v>
      </c>
      <c r="B167" s="40" t="s">
        <v>688</v>
      </c>
      <c r="C167" s="11">
        <f>ROUND((IFERROR((1/IF(VLOOKUP($A167,EnrollData2324,28,FALSE)='District Calculations'!$F$10,VLOOKUP($A167,EnrollData2324,28,FALSE),'District Calculations'!$F$10))*(1+Apport_Z315),0))+Apport_201A2425,6)</f>
        <v>7.4580999999999995E-2</v>
      </c>
      <c r="D167">
        <f>ROUND(IF(VLOOKUP($A167,EnrollData2324,'2324 Jun 24 Enroll'!D$1,FALSE)='District Calculations'!$F$11,VLOOKUP($A167,EnrollData2324,'2324 Jun 24 Enroll'!D$1,FALSE),'District Calculations'!$F$11)*C167,3)</f>
        <v>0</v>
      </c>
      <c r="E167">
        <f>ROUND(IF(VLOOKUP($A167,EnrollData2324,'2324 Jun 24 Enroll'!E$1,FALSE)='District Calculations'!$F$12,VLOOKUP($A167,EnrollData2324,'2324 Jun 24 Enroll'!E$1,FALSE),'District Calculations'!$F$12)*C167,3)</f>
        <v>60.447000000000003</v>
      </c>
      <c r="F167">
        <f>ROUND(IF(VLOOKUP($A167,EnrollData2324,'2324 Jun 24 Enroll'!F$1,FALSE)='District Calculations'!$F$13,VLOOKUP($A167,EnrollData2324,'2324 Jun 24 Enroll'!F$1,FALSE),'District Calculations'!$F$13)*Apport_222A2425,3)</f>
        <v>10.337999999999999</v>
      </c>
      <c r="G167">
        <f>ROUND(IF(VLOOKUP($A167,EnrollData2324,'2324 Jun 24 Enroll'!G$1,FALSE)='District Calculations'!$F$14,VLOOKUP($A167,EnrollData2324,'2324 Jun 24 Enroll'!G$1,FALSE),'District Calculations'!$F$14)*Apport_210A2425,3)</f>
        <v>22.92</v>
      </c>
      <c r="H167">
        <f>ROUND(IF(VLOOKUP($A167,EnrollData2324,'2324 Jun 24 Enroll'!H$1,FALSE)='District Calculations'!$F$15,VLOOKUP($A167,EnrollData2324,'2324 Jun 24 Enroll'!H$1,FALSE),'District Calculations'!$F$15)*Apport_213A2425,3)</f>
        <v>23.619</v>
      </c>
      <c r="I167">
        <f>ROUND(IF(VLOOKUP($A167,EnrollData2324,'2324 Jun 24 Enroll'!I$1,FALSE)+VLOOKUP($A167,EnrollData2324,'2324 Jun 24 Enroll'!M$1,FALSE)-VLOOKUP($A167,EnrollData2324,'2324 Jun 24 Enroll'!J$1,FALSE)='District Calculations'!$F$16+'District Calculations'!$F$25-'District Calculations'!$F$17,VLOOKUP($A167,EnrollData2324,'2324 Jun 24 Enroll'!I$1,FALSE)+VLOOKUP($A167,EnrollData2324,'2324 Jun 24 Enroll'!M$1,FALSE)-VLOOKUP($A167,EnrollData2324,'2324 Jun 24 Enroll'!J$1,FALSE),'District Calculations'!$F$16+'District Calculations'!$F$25-'District Calculations'!$F$17)*Apport_216A2425,3)</f>
        <v>59.057000000000002</v>
      </c>
      <c r="J167">
        <f>ROUND(SUM(D167:I167)/(IF(VLOOKUP($A167,EnrollData2324,'2324 Jun 24 Enroll'!M$1,FALSE)='District Calculations'!$F$25,VLOOKUP($A167,EnrollData2324,'2324 Jun 24 Enroll'!M$1,FALSE),'District Calculations'!$F$25)+IF(VLOOKUP($A167,EnrollData2324,'2324 Jun 24 Enroll'!D$1,FALSE)='District Calculations'!$F$11,VLOOKUP($A167,EnrollData2324,'2324 Jun 24 Enroll'!D$1,FALSE),'District Calculations'!$F$11)),5)</f>
        <v>5.6520000000000001E-2</v>
      </c>
      <c r="K167" s="11">
        <f t="shared" si="40"/>
        <v>4.385E-3</v>
      </c>
      <c r="L167">
        <f>ROUND(IF(VLOOKUP($A167,EnrollData2324,'2324 Jun 24 Enroll'!D$1,FALSE)='District Calculations'!$F$11,VLOOKUP($A167,EnrollData2324,'2324 Jun 24 Enroll'!D$1,FALSE),'District Calculations'!$F$11)*K167,3)</f>
        <v>0</v>
      </c>
      <c r="M167">
        <f>ROUND(IF(VLOOKUP($A167,EnrollData2324,'2324 Jun 24 Enroll'!E$1,FALSE)='District Calculations'!$F$12,VLOOKUP($A167,EnrollData2324,'2324 Jun 24 Enroll'!E$1,FALSE),'District Calculations'!$F$12)*K167,3)</f>
        <v>3.5539999999999998</v>
      </c>
      <c r="N167">
        <f>ROUND(IF(VLOOKUP($A167,EnrollData2324,'2324 Jun 24 Enroll'!F$1,FALSE)='District Calculations'!$F$13,VLOOKUP($A167,EnrollData2324,'2324 Jun 24 Enroll'!F$1,FALSE),'District Calculations'!$F$13)*Apport_223A2425,3)</f>
        <v>0.84599999999999997</v>
      </c>
      <c r="O167">
        <f>ROUND(IF(VLOOKUP($A167,EnrollData2324,'2324 Jun 24 Enroll'!G$1,FALSE)='District Calculations'!$F$14,VLOOKUP($A167,EnrollData2324,'2324 Jun 24 Enroll'!G$1,FALSE),'District Calculations'!$F$14)*Apport_211A2425,3)</f>
        <v>1.877</v>
      </c>
      <c r="P167">
        <f>ROUND(IF(VLOOKUP($A167,EnrollData2324,'2324 Jun 24 Enroll'!H$1,FALSE)='District Calculations'!$F$14,VLOOKUP($A167,EnrollData2324,'2324 Jun 24 Enroll'!H$1,FALSE),'District Calculations'!$F$14)*Apport_214A2425,3)</f>
        <v>1.875</v>
      </c>
      <c r="Q167">
        <f>ROUND(IF(VLOOKUP($A167,EnrollData2324,'2324 Jun 24 Enroll'!I$1,FALSE)+VLOOKUP($A167,EnrollData2324,'2324 Jun 24 Enroll'!M$1,FALSE)-VLOOKUP($A167,EnrollData2324,'2324 Jun 24 Enroll'!J$1,FALSE)='District Calculations'!$F$16+'District Calculations'!$F$25-'District Calculations'!$F$17,VLOOKUP($A167,EnrollData2324,'2324 Jun 24 Enroll'!I$1,FALSE)+VLOOKUP($A167,EnrollData2324,'2324 Jun 24 Enroll'!M$1,FALSE)-VLOOKUP($A167,EnrollData2324,'2324 Jun 24 Enroll'!J$1,FALSE),'District Calculations'!$F$16+'District Calculations'!$F$25-'District Calculations'!$F$17)*Apport_217A2425,3)</f>
        <v>4.7130000000000001</v>
      </c>
      <c r="R167">
        <f>ROUND(SUM(L167:Q167)/IF(VLOOKUP($A167,EnrollData2324,'2324 Jun 24 Enroll'!M$1,FALSE)+VLOOKUP($A167,EnrollData2324,'2324 Jun 24 Enroll'!D$1,FALSE)='District Calculations'!$F$25+'District Calculations'!$F$11,VLOOKUP($A167,EnrollData2324,'2324 Jun 24 Enroll'!M$1,FALSE)+VLOOKUP($A167,EnrollData2324,'2324 Jun 24 Enroll'!D$1,FALSE),'District Calculations'!$F$25+'District Calculations'!$F$11),5)</f>
        <v>4.1200000000000004E-3</v>
      </c>
      <c r="S167" s="11">
        <f t="shared" si="41"/>
        <v>1.8734299999999999E-2</v>
      </c>
      <c r="T167">
        <f>ROUND(IF(VLOOKUP($A167,EnrollData2324,'2324 Jun 24 Enroll'!D$1,FALSE)='District Calculations'!$F$11,VLOOKUP($A167,EnrollData2324,'2324 Jun 24 Enroll'!D$1,FALSE),'District Calculations'!$F$11)*S167,3)</f>
        <v>0</v>
      </c>
      <c r="U167">
        <f>ROUND(IF(VLOOKUP($A167,EnrollData2324,'2324 Jun 24 Enroll'!E$1,FALSE)='District Calculations'!$F$12,VLOOKUP($A167,EnrollData2324,'2324 Jun 24 Enroll'!E$1,FALSE),'District Calculations'!$F$12)*S167,3)</f>
        <v>15.183999999999999</v>
      </c>
      <c r="V167">
        <f>ROUND(IF(VLOOKUP($A167,EnrollData2324,'2324 Jun 24 Enroll'!F$1,FALSE)='District Calculations'!$F$13,VLOOKUP($A167,EnrollData2324,'2324 Jun 24 Enroll'!F$1,FALSE),'District Calculations'!$F$13)*Apport_224A2425,3)</f>
        <v>3.7109999999999999</v>
      </c>
      <c r="W167">
        <f>ROUND(IF(VLOOKUP($A167,EnrollData2324,'2324 Jun 24 Enroll'!G$1,FALSE)='District Calculations'!$F$14,VLOOKUP($A167,EnrollData2324,'2324 Jun 24 Enroll'!G$1,FALSE),'District Calculations'!$F$14)*Apport_212A2425,3)</f>
        <v>8.2279999999999998</v>
      </c>
      <c r="X167">
        <f>ROUND(IF(VLOOKUP($A167,EnrollData2324,'2324 Jun 24 Enroll'!H$1,FALSE)='District Calculations'!$F$14,VLOOKUP($A167,EnrollData2324,'2324 Jun 24 Enroll'!H$1,FALSE),'District Calculations'!$F$14)*Apport_215A2425,3)</f>
        <v>8.1180000000000003</v>
      </c>
      <c r="Y167">
        <f>ROUND(IF(VLOOKUP($A167,EnrollData2324,'2324 Jun 24 Enroll'!I$1,FALSE)+VLOOKUP($A167,EnrollData2324,'2324 Jun 24 Enroll'!M$1,FALSE)-VLOOKUP($A167,EnrollData2324,'2324 Jun 24 Enroll'!J$1,FALSE)='District Calculations'!$F$16+'District Calculations'!$F$25-'District Calculations'!$F$17,VLOOKUP($A167,EnrollData2324,'2324 Jun 24 Enroll'!I$1,FALSE)+VLOOKUP($A167,EnrollData2324,'2324 Jun 24 Enroll'!M$1,FALSE)-VLOOKUP($A167,EnrollData2324,'2324 Jun 24 Enroll'!J$1,FALSE),'District Calculations'!$F$16+'District Calculations'!$F$25-'District Calculations'!$F$17)*Apport_218A2425,3)</f>
        <v>20.257999999999999</v>
      </c>
      <c r="Z167">
        <f>ROUND(SUM(T167:Y167)/IF(VLOOKUP($A167,EnrollData2324,'2324 Jun 24 Enroll'!M$1,FALSE)+VLOOKUP($A167,EnrollData2324,'2324 Jun 24 Enroll'!D$1,FALSE)='District Calculations'!$F$25+'District Calculations'!$F$11,VLOOKUP($A167,EnrollData2324,'2324 Jun 24 Enroll'!M$1,FALSE)+VLOOKUP($A167,EnrollData2324,'2324 Jun 24 Enroll'!D$1,FALSE),'District Calculations'!$F$25+'District Calculations'!$F$11),5)</f>
        <v>1.7780000000000001E-2</v>
      </c>
      <c r="AA167" s="6">
        <f>ROUND($J167*CIS_Base_Salary2425*VLOOKUP($A167,EnrollData2324,'2324 Jun 24 Enroll'!AH$1,FALSE),2)</f>
        <v>4262.68</v>
      </c>
      <c r="AB167" s="6">
        <f>ROUND($J167*CIS_Inc_Salary2425*(VLOOKUP($A167,EnrollData2324,'2324 Jun 24 Enroll'!AI$1,FALSE)+VLOOKUP($A167,EnrollData2324,'2324 Jun 24 Enroll'!AJ$1,FALSE)),2)-AA167</f>
        <v>334.50999999999931</v>
      </c>
      <c r="AC167" s="6" cm="1">
        <f t="array" ref="AC167">ROUND($R167*CAS_Base_Salary2425*VLOOKUP($A167,EnrollData2324,'2324 Jun 24 Enroll'!AH$1,FALSE),2)</f>
        <v>461.23</v>
      </c>
      <c r="AD167" s="6">
        <f>ROUND($R167*CAS_Inc_Salary2425*VLOOKUP($A167,EnrollData2324,'2324 Jun 24 Enroll'!AI$1,FALSE),2)-AC167</f>
        <v>17.069999999999993</v>
      </c>
      <c r="AE167" s="6">
        <f>ROUND($Z167*CLS_Base_Salary2425*VLOOKUP($A167,EnrollData2324,'2324 Jun 24 Enroll'!AH$1,FALSE),2)</f>
        <v>961.95</v>
      </c>
      <c r="AF167" s="6">
        <f>ROUND($Z167*CLS_Inc_Salary2425*VLOOKUP($A167,EnrollData2324,'2324 Jun 24 Enroll'!AI$1,FALSE),2)-AE167</f>
        <v>35.599999999999909</v>
      </c>
      <c r="AG167" cm="1">
        <f t="array" ref="AG167">ROUND(($J167+$R167)*Apport_124X2425,2)</f>
        <v>800.45</v>
      </c>
      <c r="AH167" s="69" cm="1">
        <f t="array" ref="AH167">ROUND(($J167+$R167)*Apport_621X2425*Apport_125XC2425,2)-AG167</f>
        <v>73.899999999999977</v>
      </c>
      <c r="AI167" cm="1">
        <f t="array" ref="AI167">ROUND($Z167*Apport_124X2425,2)</f>
        <v>234.7</v>
      </c>
      <c r="AJ167">
        <f t="shared" si="42"/>
        <v>124.71000000000004</v>
      </c>
      <c r="AK167">
        <f t="shared" si="43"/>
        <v>857.39</v>
      </c>
      <c r="AL167">
        <f t="shared" si="44"/>
        <v>61.56</v>
      </c>
      <c r="AM167">
        <f t="shared" si="45"/>
        <v>208.36</v>
      </c>
      <c r="AN167">
        <f t="shared" si="46"/>
        <v>6.46</v>
      </c>
      <c r="AO167">
        <f>ROUND(($J167*CIS_Inc_Salary2425*(VLOOKUP($A167,EnrollData2324,'2324 Jun 24 Enroll'!AI$1,FALSE)+VLOOKUP($A167,EnrollData2324,'2324 Jun 24 Enroll'!AJ$1,FALSE))/Apport_613Xpd)*Apport_614Xpd,2)</f>
        <v>76.62</v>
      </c>
      <c r="AP167">
        <f t="shared" si="47"/>
        <v>13.42</v>
      </c>
      <c r="AQ167">
        <f t="shared" si="38"/>
        <v>31.48</v>
      </c>
      <c r="AR167" s="6">
        <f>ROUND((VLOOKUP($A167,EnrollData2324,'2324 Jun 24 Enroll'!D$1,FALSE)*Apport_M802425+VLOOKUP($A167,EnrollData2324,'2324 Jun 24 Enroll'!M$1,FALSE)*Apport_M802425+(VLOOKUP($A167,EnrollData2324,'2324 Jun 24 Enroll'!P$1,FALSE)+VLOOKUP($A167,EnrollData2324,'2324 Jun 24 Enroll'!Q$1,FALSE)+VLOOKUP($A167,EnrollData2324,'2324 Jun 24 Enroll'!R$1,FALSE)+VLOOKUP($A167,EnrollData2324,'2324 Jun 24 Enroll'!I$1,FALSE)+VLOOKUP($A167,EnrollData2324,'2324 Jun 24 Enroll'!N$1,FALSE)+VLOOKUP($A167,EnrollData2324,'2324 Jun 24 Enroll'!O$1,FALSE)+VLOOKUP($A167,EnrollData2324,'2324 Jun 24 Enroll'!K$1,FALSE)+VLOOKUP($A167,EnrollData2324,'2324 Jun 24 Enroll'!L$1,FALSE))*Apport_M812425)/(VLOOKUP($A167,EnrollData2324,'2324 Jun 24 Enroll'!M$1,FALSE)+VLOOKUP($A167,EnrollData2324,'2324 Jun 24 Enroll'!D$1,FALSE)),2)</f>
        <v>1589.68</v>
      </c>
      <c r="AS167" s="7">
        <f t="shared" si="39"/>
        <v>10151.769999999999</v>
      </c>
    </row>
    <row r="168" spans="1:45">
      <c r="A168" s="40" t="s">
        <v>376</v>
      </c>
      <c r="B168" s="40" t="s">
        <v>377</v>
      </c>
      <c r="C168" s="11">
        <f>ROUND((IFERROR((1/IF(VLOOKUP($A168,EnrollData2324,28,FALSE)='District Calculations'!$F$10,VLOOKUP($A168,EnrollData2324,28,FALSE),'District Calculations'!$F$10))*(1+Apport_Z315),0))+Apport_201A2425,6)</f>
        <v>7.4580999999999995E-2</v>
      </c>
      <c r="D168">
        <f>ROUND(IF(VLOOKUP($A168,EnrollData2324,'2324 Jun 24 Enroll'!D$1,FALSE)='District Calculations'!$F$11,VLOOKUP($A168,EnrollData2324,'2324 Jun 24 Enroll'!D$1,FALSE),'District Calculations'!$F$11)*C168,3)</f>
        <v>0</v>
      </c>
      <c r="E168">
        <f>ROUND(IF(VLOOKUP($A168,EnrollData2324,'2324 Jun 24 Enroll'!E$1,FALSE)='District Calculations'!$F$12,VLOOKUP($A168,EnrollData2324,'2324 Jun 24 Enroll'!E$1,FALSE),'District Calculations'!$F$12)*C168,3)</f>
        <v>60.447000000000003</v>
      </c>
      <c r="F168">
        <f>ROUND(IF(VLOOKUP($A168,EnrollData2324,'2324 Jun 24 Enroll'!F$1,FALSE)='District Calculations'!$F$13,VLOOKUP($A168,EnrollData2324,'2324 Jun 24 Enroll'!F$1,FALSE),'District Calculations'!$F$13)*Apport_222A2425,3)</f>
        <v>10.337999999999999</v>
      </c>
      <c r="G168">
        <f>ROUND(IF(VLOOKUP($A168,EnrollData2324,'2324 Jun 24 Enroll'!G$1,FALSE)='District Calculations'!$F$14,VLOOKUP($A168,EnrollData2324,'2324 Jun 24 Enroll'!G$1,FALSE),'District Calculations'!$F$14)*Apport_210A2425,3)</f>
        <v>22.92</v>
      </c>
      <c r="H168">
        <f>ROUND(IF(VLOOKUP($A168,EnrollData2324,'2324 Jun 24 Enroll'!H$1,FALSE)='District Calculations'!$F$15,VLOOKUP($A168,EnrollData2324,'2324 Jun 24 Enroll'!H$1,FALSE),'District Calculations'!$F$15)*Apport_213A2425,3)</f>
        <v>23.619</v>
      </c>
      <c r="I168">
        <f>ROUND(IF(VLOOKUP($A168,EnrollData2324,'2324 Jun 24 Enroll'!I$1,FALSE)+VLOOKUP($A168,EnrollData2324,'2324 Jun 24 Enroll'!M$1,FALSE)-VLOOKUP($A168,EnrollData2324,'2324 Jun 24 Enroll'!J$1,FALSE)='District Calculations'!$F$16+'District Calculations'!$F$25-'District Calculations'!$F$17,VLOOKUP($A168,EnrollData2324,'2324 Jun 24 Enroll'!I$1,FALSE)+VLOOKUP($A168,EnrollData2324,'2324 Jun 24 Enroll'!M$1,FALSE)-VLOOKUP($A168,EnrollData2324,'2324 Jun 24 Enroll'!J$1,FALSE),'District Calculations'!$F$16+'District Calculations'!$F$25-'District Calculations'!$F$17)*Apport_216A2425,3)</f>
        <v>59.057000000000002</v>
      </c>
      <c r="J168">
        <f>ROUND(SUM(D168:I168)/(IF(VLOOKUP($A168,EnrollData2324,'2324 Jun 24 Enroll'!M$1,FALSE)='District Calculations'!$F$25,VLOOKUP($A168,EnrollData2324,'2324 Jun 24 Enroll'!M$1,FALSE),'District Calculations'!$F$25)+IF(VLOOKUP($A168,EnrollData2324,'2324 Jun 24 Enroll'!D$1,FALSE)='District Calculations'!$F$11,VLOOKUP($A168,EnrollData2324,'2324 Jun 24 Enroll'!D$1,FALSE),'District Calculations'!$F$11)),5)</f>
        <v>5.6520000000000001E-2</v>
      </c>
      <c r="K168" s="11">
        <f t="shared" si="40"/>
        <v>4.385E-3</v>
      </c>
      <c r="L168">
        <f>ROUND(IF(VLOOKUP($A168,EnrollData2324,'2324 Jun 24 Enroll'!D$1,FALSE)='District Calculations'!$F$11,VLOOKUP($A168,EnrollData2324,'2324 Jun 24 Enroll'!D$1,FALSE),'District Calculations'!$F$11)*K168,3)</f>
        <v>0</v>
      </c>
      <c r="M168">
        <f>ROUND(IF(VLOOKUP($A168,EnrollData2324,'2324 Jun 24 Enroll'!E$1,FALSE)='District Calculations'!$F$12,VLOOKUP($A168,EnrollData2324,'2324 Jun 24 Enroll'!E$1,FALSE),'District Calculations'!$F$12)*K168,3)</f>
        <v>3.5539999999999998</v>
      </c>
      <c r="N168">
        <f>ROUND(IF(VLOOKUP($A168,EnrollData2324,'2324 Jun 24 Enroll'!F$1,FALSE)='District Calculations'!$F$13,VLOOKUP($A168,EnrollData2324,'2324 Jun 24 Enroll'!F$1,FALSE),'District Calculations'!$F$13)*Apport_223A2425,3)</f>
        <v>0.84599999999999997</v>
      </c>
      <c r="O168">
        <f>ROUND(IF(VLOOKUP($A168,EnrollData2324,'2324 Jun 24 Enroll'!G$1,FALSE)='District Calculations'!$F$14,VLOOKUP($A168,EnrollData2324,'2324 Jun 24 Enroll'!G$1,FALSE),'District Calculations'!$F$14)*Apport_211A2425,3)</f>
        <v>1.877</v>
      </c>
      <c r="P168">
        <f>ROUND(IF(VLOOKUP($A168,EnrollData2324,'2324 Jun 24 Enroll'!H$1,FALSE)='District Calculations'!$F$14,VLOOKUP($A168,EnrollData2324,'2324 Jun 24 Enroll'!H$1,FALSE),'District Calculations'!$F$14)*Apport_214A2425,3)</f>
        <v>1.875</v>
      </c>
      <c r="Q168">
        <f>ROUND(IF(VLOOKUP($A168,EnrollData2324,'2324 Jun 24 Enroll'!I$1,FALSE)+VLOOKUP($A168,EnrollData2324,'2324 Jun 24 Enroll'!M$1,FALSE)-VLOOKUP($A168,EnrollData2324,'2324 Jun 24 Enroll'!J$1,FALSE)='District Calculations'!$F$16+'District Calculations'!$F$25-'District Calculations'!$F$17,VLOOKUP($A168,EnrollData2324,'2324 Jun 24 Enroll'!I$1,FALSE)+VLOOKUP($A168,EnrollData2324,'2324 Jun 24 Enroll'!M$1,FALSE)-VLOOKUP($A168,EnrollData2324,'2324 Jun 24 Enroll'!J$1,FALSE),'District Calculations'!$F$16+'District Calculations'!$F$25-'District Calculations'!$F$17)*Apport_217A2425,3)</f>
        <v>4.7130000000000001</v>
      </c>
      <c r="R168">
        <f>ROUND(SUM(L168:Q168)/IF(VLOOKUP($A168,EnrollData2324,'2324 Jun 24 Enroll'!M$1,FALSE)+VLOOKUP($A168,EnrollData2324,'2324 Jun 24 Enroll'!D$1,FALSE)='District Calculations'!$F$25+'District Calculations'!$F$11,VLOOKUP($A168,EnrollData2324,'2324 Jun 24 Enroll'!M$1,FALSE)+VLOOKUP($A168,EnrollData2324,'2324 Jun 24 Enroll'!D$1,FALSE),'District Calculations'!$F$25+'District Calculations'!$F$11),5)</f>
        <v>4.1200000000000004E-3</v>
      </c>
      <c r="S168" s="11">
        <f t="shared" si="41"/>
        <v>1.8734299999999999E-2</v>
      </c>
      <c r="T168">
        <f>ROUND(IF(VLOOKUP($A168,EnrollData2324,'2324 Jun 24 Enroll'!D$1,FALSE)='District Calculations'!$F$11,VLOOKUP($A168,EnrollData2324,'2324 Jun 24 Enroll'!D$1,FALSE),'District Calculations'!$F$11)*S168,3)</f>
        <v>0</v>
      </c>
      <c r="U168">
        <f>ROUND(IF(VLOOKUP($A168,EnrollData2324,'2324 Jun 24 Enroll'!E$1,FALSE)='District Calculations'!$F$12,VLOOKUP($A168,EnrollData2324,'2324 Jun 24 Enroll'!E$1,FALSE),'District Calculations'!$F$12)*S168,3)</f>
        <v>15.183999999999999</v>
      </c>
      <c r="V168">
        <f>ROUND(IF(VLOOKUP($A168,EnrollData2324,'2324 Jun 24 Enroll'!F$1,FALSE)='District Calculations'!$F$13,VLOOKUP($A168,EnrollData2324,'2324 Jun 24 Enroll'!F$1,FALSE),'District Calculations'!$F$13)*Apport_224A2425,3)</f>
        <v>3.7109999999999999</v>
      </c>
      <c r="W168">
        <f>ROUND(IF(VLOOKUP($A168,EnrollData2324,'2324 Jun 24 Enroll'!G$1,FALSE)='District Calculations'!$F$14,VLOOKUP($A168,EnrollData2324,'2324 Jun 24 Enroll'!G$1,FALSE),'District Calculations'!$F$14)*Apport_212A2425,3)</f>
        <v>8.2279999999999998</v>
      </c>
      <c r="X168">
        <f>ROUND(IF(VLOOKUP($A168,EnrollData2324,'2324 Jun 24 Enroll'!H$1,FALSE)='District Calculations'!$F$14,VLOOKUP($A168,EnrollData2324,'2324 Jun 24 Enroll'!H$1,FALSE),'District Calculations'!$F$14)*Apport_215A2425,3)</f>
        <v>8.1180000000000003</v>
      </c>
      <c r="Y168">
        <f>ROUND(IF(VLOOKUP($A168,EnrollData2324,'2324 Jun 24 Enroll'!I$1,FALSE)+VLOOKUP($A168,EnrollData2324,'2324 Jun 24 Enroll'!M$1,FALSE)-VLOOKUP($A168,EnrollData2324,'2324 Jun 24 Enroll'!J$1,FALSE)='District Calculations'!$F$16+'District Calculations'!$F$25-'District Calculations'!$F$17,VLOOKUP($A168,EnrollData2324,'2324 Jun 24 Enroll'!I$1,FALSE)+VLOOKUP($A168,EnrollData2324,'2324 Jun 24 Enroll'!M$1,FALSE)-VLOOKUP($A168,EnrollData2324,'2324 Jun 24 Enroll'!J$1,FALSE),'District Calculations'!$F$16+'District Calculations'!$F$25-'District Calculations'!$F$17)*Apport_218A2425,3)</f>
        <v>20.257999999999999</v>
      </c>
      <c r="Z168">
        <f>ROUND(SUM(T168:Y168)/IF(VLOOKUP($A168,EnrollData2324,'2324 Jun 24 Enroll'!M$1,FALSE)+VLOOKUP($A168,EnrollData2324,'2324 Jun 24 Enroll'!D$1,FALSE)='District Calculations'!$F$25+'District Calculations'!$F$11,VLOOKUP($A168,EnrollData2324,'2324 Jun 24 Enroll'!M$1,FALSE)+VLOOKUP($A168,EnrollData2324,'2324 Jun 24 Enroll'!D$1,FALSE),'District Calculations'!$F$25+'District Calculations'!$F$11),5)</f>
        <v>1.7780000000000001E-2</v>
      </c>
      <c r="AA168" s="6">
        <f>ROUND($J168*CIS_Base_Salary2425*VLOOKUP($A168,EnrollData2324,'2324 Jun 24 Enroll'!AH$1,FALSE),2)</f>
        <v>4262.68</v>
      </c>
      <c r="AB168" s="6">
        <f>ROUND($J168*CIS_Inc_Salary2425*(VLOOKUP($A168,EnrollData2324,'2324 Jun 24 Enroll'!AI$1,FALSE)+VLOOKUP($A168,EnrollData2324,'2324 Jun 24 Enroll'!AJ$1,FALSE)),2)-AA168</f>
        <v>334.50999999999931</v>
      </c>
      <c r="AC168" s="6" cm="1">
        <f t="array" ref="AC168">ROUND($R168*CAS_Base_Salary2425*VLOOKUP($A168,EnrollData2324,'2324 Jun 24 Enroll'!AH$1,FALSE),2)</f>
        <v>461.23</v>
      </c>
      <c r="AD168" s="6">
        <f>ROUND($R168*CAS_Inc_Salary2425*VLOOKUP($A168,EnrollData2324,'2324 Jun 24 Enroll'!AI$1,FALSE),2)-AC168</f>
        <v>17.069999999999993</v>
      </c>
      <c r="AE168" s="6">
        <f>ROUND($Z168*CLS_Base_Salary2425*VLOOKUP($A168,EnrollData2324,'2324 Jun 24 Enroll'!AH$1,FALSE),2)</f>
        <v>961.95</v>
      </c>
      <c r="AF168" s="6">
        <f>ROUND($Z168*CLS_Inc_Salary2425*VLOOKUP($A168,EnrollData2324,'2324 Jun 24 Enroll'!AI$1,FALSE),2)-AE168</f>
        <v>35.599999999999909</v>
      </c>
      <c r="AG168" cm="1">
        <f t="array" ref="AG168">ROUND(($J168+$R168)*Apport_124X2425,2)</f>
        <v>800.45</v>
      </c>
      <c r="AH168" s="69" cm="1">
        <f t="array" ref="AH168">ROUND(($J168+$R168)*Apport_621X2425*Apport_125XC2425,2)-AG168</f>
        <v>73.899999999999977</v>
      </c>
      <c r="AI168" cm="1">
        <f t="array" ref="AI168">ROUND($Z168*Apport_124X2425,2)</f>
        <v>234.7</v>
      </c>
      <c r="AJ168">
        <f t="shared" si="42"/>
        <v>124.71000000000004</v>
      </c>
      <c r="AK168">
        <f t="shared" si="43"/>
        <v>857.39</v>
      </c>
      <c r="AL168">
        <f t="shared" si="44"/>
        <v>61.56</v>
      </c>
      <c r="AM168">
        <f t="shared" si="45"/>
        <v>208.36</v>
      </c>
      <c r="AN168">
        <f t="shared" si="46"/>
        <v>6.46</v>
      </c>
      <c r="AO168">
        <f>ROUND(($J168*CIS_Inc_Salary2425*(VLOOKUP($A168,EnrollData2324,'2324 Jun 24 Enroll'!AI$1,FALSE)+VLOOKUP($A168,EnrollData2324,'2324 Jun 24 Enroll'!AJ$1,FALSE))/Apport_613Xpd)*Apport_614Xpd,2)</f>
        <v>76.62</v>
      </c>
      <c r="AP168">
        <f t="shared" si="47"/>
        <v>13.42</v>
      </c>
      <c r="AQ168">
        <f t="shared" si="38"/>
        <v>31.48</v>
      </c>
      <c r="AR168" s="6">
        <f>ROUND((VLOOKUP($A168,EnrollData2324,'2324 Jun 24 Enroll'!D$1,FALSE)*Apport_M802425+VLOOKUP($A168,EnrollData2324,'2324 Jun 24 Enroll'!M$1,FALSE)*Apport_M802425+(VLOOKUP($A168,EnrollData2324,'2324 Jun 24 Enroll'!P$1,FALSE)+VLOOKUP($A168,EnrollData2324,'2324 Jun 24 Enroll'!Q$1,FALSE)+VLOOKUP($A168,EnrollData2324,'2324 Jun 24 Enroll'!R$1,FALSE)+VLOOKUP($A168,EnrollData2324,'2324 Jun 24 Enroll'!I$1,FALSE)+VLOOKUP($A168,EnrollData2324,'2324 Jun 24 Enroll'!N$1,FALSE)+VLOOKUP($A168,EnrollData2324,'2324 Jun 24 Enroll'!O$1,FALSE)+VLOOKUP($A168,EnrollData2324,'2324 Jun 24 Enroll'!K$1,FALSE)+VLOOKUP($A168,EnrollData2324,'2324 Jun 24 Enroll'!L$1,FALSE))*Apport_M812425)/(VLOOKUP($A168,EnrollData2324,'2324 Jun 24 Enroll'!M$1,FALSE)+VLOOKUP($A168,EnrollData2324,'2324 Jun 24 Enroll'!D$1,FALSE)),2)</f>
        <v>1602.82</v>
      </c>
      <c r="AS168" s="7">
        <f t="shared" si="39"/>
        <v>10164.909999999998</v>
      </c>
    </row>
    <row r="169" spans="1:45">
      <c r="A169" s="40" t="s">
        <v>871</v>
      </c>
      <c r="B169" s="40" t="s">
        <v>872</v>
      </c>
      <c r="C169" s="11">
        <f>ROUND((IFERROR((1/IF(VLOOKUP($A169,EnrollData2324,28,FALSE)='District Calculations'!$F$10,VLOOKUP($A169,EnrollData2324,28,FALSE),'District Calculations'!$F$10))*(1+Apport_Z315),0))+Apport_201A2425,6)</f>
        <v>7.4580999999999995E-2</v>
      </c>
      <c r="D169">
        <f>ROUND(IF(VLOOKUP($A169,EnrollData2324,'2324 Jun 24 Enroll'!D$1,FALSE)='District Calculations'!$F$11,VLOOKUP($A169,EnrollData2324,'2324 Jun 24 Enroll'!D$1,FALSE),'District Calculations'!$F$11)*C169,3)</f>
        <v>0</v>
      </c>
      <c r="E169">
        <f>ROUND(IF(VLOOKUP($A169,EnrollData2324,'2324 Jun 24 Enroll'!E$1,FALSE)='District Calculations'!$F$12,VLOOKUP($A169,EnrollData2324,'2324 Jun 24 Enroll'!E$1,FALSE),'District Calculations'!$F$12)*C169,3)</f>
        <v>60.447000000000003</v>
      </c>
      <c r="F169">
        <f>ROUND(IF(VLOOKUP($A169,EnrollData2324,'2324 Jun 24 Enroll'!F$1,FALSE)='District Calculations'!$F$13,VLOOKUP($A169,EnrollData2324,'2324 Jun 24 Enroll'!F$1,FALSE),'District Calculations'!$F$13)*Apport_222A2425,3)</f>
        <v>10.337999999999999</v>
      </c>
      <c r="G169">
        <f>ROUND(IF(VLOOKUP($A169,EnrollData2324,'2324 Jun 24 Enroll'!G$1,FALSE)='District Calculations'!$F$14,VLOOKUP($A169,EnrollData2324,'2324 Jun 24 Enroll'!G$1,FALSE),'District Calculations'!$F$14)*Apport_210A2425,3)</f>
        <v>22.92</v>
      </c>
      <c r="H169">
        <f>ROUND(IF(VLOOKUP($A169,EnrollData2324,'2324 Jun 24 Enroll'!H$1,FALSE)='District Calculations'!$F$15,VLOOKUP($A169,EnrollData2324,'2324 Jun 24 Enroll'!H$1,FALSE),'District Calculations'!$F$15)*Apport_213A2425,3)</f>
        <v>23.619</v>
      </c>
      <c r="I169">
        <f>ROUND(IF(VLOOKUP($A169,EnrollData2324,'2324 Jun 24 Enroll'!I$1,FALSE)+VLOOKUP($A169,EnrollData2324,'2324 Jun 24 Enroll'!M$1,FALSE)-VLOOKUP($A169,EnrollData2324,'2324 Jun 24 Enroll'!J$1,FALSE)='District Calculations'!$F$16+'District Calculations'!$F$25-'District Calculations'!$F$17,VLOOKUP($A169,EnrollData2324,'2324 Jun 24 Enroll'!I$1,FALSE)+VLOOKUP($A169,EnrollData2324,'2324 Jun 24 Enroll'!M$1,FALSE)-VLOOKUP($A169,EnrollData2324,'2324 Jun 24 Enroll'!J$1,FALSE),'District Calculations'!$F$16+'District Calculations'!$F$25-'District Calculations'!$F$17)*Apport_216A2425,3)</f>
        <v>59.057000000000002</v>
      </c>
      <c r="J169">
        <f>ROUND(SUM(D169:I169)/(IF(VLOOKUP($A169,EnrollData2324,'2324 Jun 24 Enroll'!M$1,FALSE)='District Calculations'!$F$25,VLOOKUP($A169,EnrollData2324,'2324 Jun 24 Enroll'!M$1,FALSE),'District Calculations'!$F$25)+IF(VLOOKUP($A169,EnrollData2324,'2324 Jun 24 Enroll'!D$1,FALSE)='District Calculations'!$F$11,VLOOKUP($A169,EnrollData2324,'2324 Jun 24 Enroll'!D$1,FALSE),'District Calculations'!$F$11)),5)</f>
        <v>5.6520000000000001E-2</v>
      </c>
      <c r="K169" s="11">
        <f t="shared" si="40"/>
        <v>4.385E-3</v>
      </c>
      <c r="L169">
        <f>ROUND(IF(VLOOKUP($A169,EnrollData2324,'2324 Jun 24 Enroll'!D$1,FALSE)='District Calculations'!$F$11,VLOOKUP($A169,EnrollData2324,'2324 Jun 24 Enroll'!D$1,FALSE),'District Calculations'!$F$11)*K169,3)</f>
        <v>0</v>
      </c>
      <c r="M169">
        <f>ROUND(IF(VLOOKUP($A169,EnrollData2324,'2324 Jun 24 Enroll'!E$1,FALSE)='District Calculations'!$F$12,VLOOKUP($A169,EnrollData2324,'2324 Jun 24 Enroll'!E$1,FALSE),'District Calculations'!$F$12)*K169,3)</f>
        <v>3.5539999999999998</v>
      </c>
      <c r="N169">
        <f>ROUND(IF(VLOOKUP($A169,EnrollData2324,'2324 Jun 24 Enroll'!F$1,FALSE)='District Calculations'!$F$13,VLOOKUP($A169,EnrollData2324,'2324 Jun 24 Enroll'!F$1,FALSE),'District Calculations'!$F$13)*Apport_223A2425,3)</f>
        <v>0.84599999999999997</v>
      </c>
      <c r="O169">
        <f>ROUND(IF(VLOOKUP($A169,EnrollData2324,'2324 Jun 24 Enroll'!G$1,FALSE)='District Calculations'!$F$14,VLOOKUP($A169,EnrollData2324,'2324 Jun 24 Enroll'!G$1,FALSE),'District Calculations'!$F$14)*Apport_211A2425,3)</f>
        <v>1.877</v>
      </c>
      <c r="P169">
        <f>ROUND(IF(VLOOKUP($A169,EnrollData2324,'2324 Jun 24 Enroll'!H$1,FALSE)='District Calculations'!$F$14,VLOOKUP($A169,EnrollData2324,'2324 Jun 24 Enroll'!H$1,FALSE),'District Calculations'!$F$14)*Apport_214A2425,3)</f>
        <v>1.875</v>
      </c>
      <c r="Q169">
        <f>ROUND(IF(VLOOKUP($A169,EnrollData2324,'2324 Jun 24 Enroll'!I$1,FALSE)+VLOOKUP($A169,EnrollData2324,'2324 Jun 24 Enroll'!M$1,FALSE)-VLOOKUP($A169,EnrollData2324,'2324 Jun 24 Enroll'!J$1,FALSE)='District Calculations'!$F$16+'District Calculations'!$F$25-'District Calculations'!$F$17,VLOOKUP($A169,EnrollData2324,'2324 Jun 24 Enroll'!I$1,FALSE)+VLOOKUP($A169,EnrollData2324,'2324 Jun 24 Enroll'!M$1,FALSE)-VLOOKUP($A169,EnrollData2324,'2324 Jun 24 Enroll'!J$1,FALSE),'District Calculations'!$F$16+'District Calculations'!$F$25-'District Calculations'!$F$17)*Apport_217A2425,3)</f>
        <v>4.7130000000000001</v>
      </c>
      <c r="R169">
        <f>ROUND(SUM(L169:Q169)/IF(VLOOKUP($A169,EnrollData2324,'2324 Jun 24 Enroll'!M$1,FALSE)+VLOOKUP($A169,EnrollData2324,'2324 Jun 24 Enroll'!D$1,FALSE)='District Calculations'!$F$25+'District Calculations'!$F$11,VLOOKUP($A169,EnrollData2324,'2324 Jun 24 Enroll'!M$1,FALSE)+VLOOKUP($A169,EnrollData2324,'2324 Jun 24 Enroll'!D$1,FALSE),'District Calculations'!$F$25+'District Calculations'!$F$11),5)</f>
        <v>4.1200000000000004E-3</v>
      </c>
      <c r="S169" s="11">
        <f t="shared" si="41"/>
        <v>1.8734299999999999E-2</v>
      </c>
      <c r="T169">
        <f>ROUND(IF(VLOOKUP($A169,EnrollData2324,'2324 Jun 24 Enroll'!D$1,FALSE)='District Calculations'!$F$11,VLOOKUP($A169,EnrollData2324,'2324 Jun 24 Enroll'!D$1,FALSE),'District Calculations'!$F$11)*S169,3)</f>
        <v>0</v>
      </c>
      <c r="U169">
        <f>ROUND(IF(VLOOKUP($A169,EnrollData2324,'2324 Jun 24 Enroll'!E$1,FALSE)='District Calculations'!$F$12,VLOOKUP($A169,EnrollData2324,'2324 Jun 24 Enroll'!E$1,FALSE),'District Calculations'!$F$12)*S169,3)</f>
        <v>15.183999999999999</v>
      </c>
      <c r="V169">
        <f>ROUND(IF(VLOOKUP($A169,EnrollData2324,'2324 Jun 24 Enroll'!F$1,FALSE)='District Calculations'!$F$13,VLOOKUP($A169,EnrollData2324,'2324 Jun 24 Enroll'!F$1,FALSE),'District Calculations'!$F$13)*Apport_224A2425,3)</f>
        <v>3.7109999999999999</v>
      </c>
      <c r="W169">
        <f>ROUND(IF(VLOOKUP($A169,EnrollData2324,'2324 Jun 24 Enroll'!G$1,FALSE)='District Calculations'!$F$14,VLOOKUP($A169,EnrollData2324,'2324 Jun 24 Enroll'!G$1,FALSE),'District Calculations'!$F$14)*Apport_212A2425,3)</f>
        <v>8.2279999999999998</v>
      </c>
      <c r="X169">
        <f>ROUND(IF(VLOOKUP($A169,EnrollData2324,'2324 Jun 24 Enroll'!H$1,FALSE)='District Calculations'!$F$14,VLOOKUP($A169,EnrollData2324,'2324 Jun 24 Enroll'!H$1,FALSE),'District Calculations'!$F$14)*Apport_215A2425,3)</f>
        <v>8.1180000000000003</v>
      </c>
      <c r="Y169">
        <f>ROUND(IF(VLOOKUP($A169,EnrollData2324,'2324 Jun 24 Enroll'!I$1,FALSE)+VLOOKUP($A169,EnrollData2324,'2324 Jun 24 Enroll'!M$1,FALSE)-VLOOKUP($A169,EnrollData2324,'2324 Jun 24 Enroll'!J$1,FALSE)='District Calculations'!$F$16+'District Calculations'!$F$25-'District Calculations'!$F$17,VLOOKUP($A169,EnrollData2324,'2324 Jun 24 Enroll'!I$1,FALSE)+VLOOKUP($A169,EnrollData2324,'2324 Jun 24 Enroll'!M$1,FALSE)-VLOOKUP($A169,EnrollData2324,'2324 Jun 24 Enroll'!J$1,FALSE),'District Calculations'!$F$16+'District Calculations'!$F$25-'District Calculations'!$F$17)*Apport_218A2425,3)</f>
        <v>20.257999999999999</v>
      </c>
      <c r="Z169">
        <f>ROUND(SUM(T169:Y169)/IF(VLOOKUP($A169,EnrollData2324,'2324 Jun 24 Enroll'!M$1,FALSE)+VLOOKUP($A169,EnrollData2324,'2324 Jun 24 Enroll'!D$1,FALSE)='District Calculations'!$F$25+'District Calculations'!$F$11,VLOOKUP($A169,EnrollData2324,'2324 Jun 24 Enroll'!M$1,FALSE)+VLOOKUP($A169,EnrollData2324,'2324 Jun 24 Enroll'!D$1,FALSE),'District Calculations'!$F$25+'District Calculations'!$F$11),5)</f>
        <v>1.7780000000000001E-2</v>
      </c>
      <c r="AA169" s="6">
        <f>ROUND($J169*CIS_Base_Salary2425*VLOOKUP($A169,EnrollData2324,'2324 Jun 24 Enroll'!AH$1,FALSE),2)</f>
        <v>4262.68</v>
      </c>
      <c r="AB169" s="6">
        <f>ROUND($J169*CIS_Inc_Salary2425*(VLOOKUP($A169,EnrollData2324,'2324 Jun 24 Enroll'!AI$1,FALSE)+VLOOKUP($A169,EnrollData2324,'2324 Jun 24 Enroll'!AJ$1,FALSE)),2)-AA169</f>
        <v>157.6899999999996</v>
      </c>
      <c r="AC169" s="6" cm="1">
        <f t="array" ref="AC169">ROUND($R169*CAS_Base_Salary2425*VLOOKUP($A169,EnrollData2324,'2324 Jun 24 Enroll'!AH$1,FALSE),2)</f>
        <v>461.23</v>
      </c>
      <c r="AD169" s="6">
        <f>ROUND($R169*CAS_Inc_Salary2425*VLOOKUP($A169,EnrollData2324,'2324 Jun 24 Enroll'!AI$1,FALSE),2)-AC169</f>
        <v>17.069999999999993</v>
      </c>
      <c r="AE169" s="6">
        <f>ROUND($Z169*CLS_Base_Salary2425*VLOOKUP($A169,EnrollData2324,'2324 Jun 24 Enroll'!AH$1,FALSE),2)</f>
        <v>961.95</v>
      </c>
      <c r="AF169" s="6">
        <f>ROUND($Z169*CLS_Inc_Salary2425*VLOOKUP($A169,EnrollData2324,'2324 Jun 24 Enroll'!AI$1,FALSE),2)-AE169</f>
        <v>35.599999999999909</v>
      </c>
      <c r="AG169" cm="1">
        <f t="array" ref="AG169">ROUND(($J169+$R169)*Apport_124X2425,2)</f>
        <v>800.45</v>
      </c>
      <c r="AH169" s="69" cm="1">
        <f t="array" ref="AH169">ROUND(($J169+$R169)*Apport_621X2425*Apport_125XC2425,2)-AG169</f>
        <v>73.899999999999977</v>
      </c>
      <c r="AI169" cm="1">
        <f t="array" ref="AI169">ROUND($Z169*Apport_124X2425,2)</f>
        <v>234.7</v>
      </c>
      <c r="AJ169">
        <f t="shared" si="42"/>
        <v>124.71000000000004</v>
      </c>
      <c r="AK169">
        <f t="shared" si="43"/>
        <v>857.39</v>
      </c>
      <c r="AL169">
        <f t="shared" si="44"/>
        <v>30.6</v>
      </c>
      <c r="AM169">
        <f t="shared" si="45"/>
        <v>208.36</v>
      </c>
      <c r="AN169">
        <f t="shared" si="46"/>
        <v>6.46</v>
      </c>
      <c r="AO169">
        <f>ROUND(($J169*CIS_Inc_Salary2425*(VLOOKUP($A169,EnrollData2324,'2324 Jun 24 Enroll'!AI$1,FALSE)+VLOOKUP($A169,EnrollData2324,'2324 Jun 24 Enroll'!AJ$1,FALSE))/Apport_613Xpd)*Apport_614Xpd,2)</f>
        <v>73.67</v>
      </c>
      <c r="AP169">
        <f t="shared" si="47"/>
        <v>12.9</v>
      </c>
      <c r="AQ169">
        <f t="shared" si="38"/>
        <v>31.48</v>
      </c>
      <c r="AR169" s="6">
        <f>ROUND((VLOOKUP($A169,EnrollData2324,'2324 Jun 24 Enroll'!D$1,FALSE)*Apport_M802425+VLOOKUP($A169,EnrollData2324,'2324 Jun 24 Enroll'!M$1,FALSE)*Apport_M802425+(VLOOKUP($A169,EnrollData2324,'2324 Jun 24 Enroll'!P$1,FALSE)+VLOOKUP($A169,EnrollData2324,'2324 Jun 24 Enroll'!Q$1,FALSE)+VLOOKUP($A169,EnrollData2324,'2324 Jun 24 Enroll'!R$1,FALSE)+VLOOKUP($A169,EnrollData2324,'2324 Jun 24 Enroll'!I$1,FALSE)+VLOOKUP($A169,EnrollData2324,'2324 Jun 24 Enroll'!N$1,FALSE)+VLOOKUP($A169,EnrollData2324,'2324 Jun 24 Enroll'!O$1,FALSE)+VLOOKUP($A169,EnrollData2324,'2324 Jun 24 Enroll'!K$1,FALSE)+VLOOKUP($A169,EnrollData2324,'2324 Jun 24 Enroll'!L$1,FALSE))*Apport_M812425)/(VLOOKUP($A169,EnrollData2324,'2324 Jun 24 Enroll'!M$1,FALSE)+VLOOKUP($A169,EnrollData2324,'2324 Jun 24 Enroll'!D$1,FALSE)),2)</f>
        <v>1592.58</v>
      </c>
      <c r="AS169" s="7">
        <f t="shared" si="39"/>
        <v>9943.4199999999983</v>
      </c>
    </row>
    <row r="170" spans="1:45">
      <c r="A170" s="40" t="s">
        <v>374</v>
      </c>
      <c r="B170" s="40" t="s">
        <v>375</v>
      </c>
      <c r="C170" s="11">
        <f>ROUND((IFERROR((1/IF(VLOOKUP($A170,EnrollData2324,28,FALSE)='District Calculations'!$F$10,VLOOKUP($A170,EnrollData2324,28,FALSE),'District Calculations'!$F$10))*(1+Apport_Z315),0))+Apport_201A2425,6)</f>
        <v>7.4580999999999995E-2</v>
      </c>
      <c r="D170">
        <f>ROUND(IF(VLOOKUP($A170,EnrollData2324,'2324 Jun 24 Enroll'!D$1,FALSE)='District Calculations'!$F$11,VLOOKUP($A170,EnrollData2324,'2324 Jun 24 Enroll'!D$1,FALSE),'District Calculations'!$F$11)*C170,3)</f>
        <v>0</v>
      </c>
      <c r="E170">
        <f>ROUND(IF(VLOOKUP($A170,EnrollData2324,'2324 Jun 24 Enroll'!E$1,FALSE)='District Calculations'!$F$12,VLOOKUP($A170,EnrollData2324,'2324 Jun 24 Enroll'!E$1,FALSE),'District Calculations'!$F$12)*C170,3)</f>
        <v>60.447000000000003</v>
      </c>
      <c r="F170">
        <f>ROUND(IF(VLOOKUP($A170,EnrollData2324,'2324 Jun 24 Enroll'!F$1,FALSE)='District Calculations'!$F$13,VLOOKUP($A170,EnrollData2324,'2324 Jun 24 Enroll'!F$1,FALSE),'District Calculations'!$F$13)*Apport_222A2425,3)</f>
        <v>10.337999999999999</v>
      </c>
      <c r="G170">
        <f>ROUND(IF(VLOOKUP($A170,EnrollData2324,'2324 Jun 24 Enroll'!G$1,FALSE)='District Calculations'!$F$14,VLOOKUP($A170,EnrollData2324,'2324 Jun 24 Enroll'!G$1,FALSE),'District Calculations'!$F$14)*Apport_210A2425,3)</f>
        <v>22.92</v>
      </c>
      <c r="H170">
        <f>ROUND(IF(VLOOKUP($A170,EnrollData2324,'2324 Jun 24 Enroll'!H$1,FALSE)='District Calculations'!$F$15,VLOOKUP($A170,EnrollData2324,'2324 Jun 24 Enroll'!H$1,FALSE),'District Calculations'!$F$15)*Apport_213A2425,3)</f>
        <v>23.619</v>
      </c>
      <c r="I170">
        <f>ROUND(IF(VLOOKUP($A170,EnrollData2324,'2324 Jun 24 Enroll'!I$1,FALSE)+VLOOKUP($A170,EnrollData2324,'2324 Jun 24 Enroll'!M$1,FALSE)-VLOOKUP($A170,EnrollData2324,'2324 Jun 24 Enroll'!J$1,FALSE)='District Calculations'!$F$16+'District Calculations'!$F$25-'District Calculations'!$F$17,VLOOKUP($A170,EnrollData2324,'2324 Jun 24 Enroll'!I$1,FALSE)+VLOOKUP($A170,EnrollData2324,'2324 Jun 24 Enroll'!M$1,FALSE)-VLOOKUP($A170,EnrollData2324,'2324 Jun 24 Enroll'!J$1,FALSE),'District Calculations'!$F$16+'District Calculations'!$F$25-'District Calculations'!$F$17)*Apport_216A2425,3)</f>
        <v>59.057000000000002</v>
      </c>
      <c r="J170">
        <f>ROUND(SUM(D170:I170)/(IF(VLOOKUP($A170,EnrollData2324,'2324 Jun 24 Enroll'!M$1,FALSE)='District Calculations'!$F$25,VLOOKUP($A170,EnrollData2324,'2324 Jun 24 Enroll'!M$1,FALSE),'District Calculations'!$F$25)+IF(VLOOKUP($A170,EnrollData2324,'2324 Jun 24 Enroll'!D$1,FALSE)='District Calculations'!$F$11,VLOOKUP($A170,EnrollData2324,'2324 Jun 24 Enroll'!D$1,FALSE),'District Calculations'!$F$11)),5)</f>
        <v>5.6520000000000001E-2</v>
      </c>
      <c r="K170" s="11">
        <f t="shared" si="40"/>
        <v>4.385E-3</v>
      </c>
      <c r="L170">
        <f>ROUND(IF(VLOOKUP($A170,EnrollData2324,'2324 Jun 24 Enroll'!D$1,FALSE)='District Calculations'!$F$11,VLOOKUP($A170,EnrollData2324,'2324 Jun 24 Enroll'!D$1,FALSE),'District Calculations'!$F$11)*K170,3)</f>
        <v>0</v>
      </c>
      <c r="M170">
        <f>ROUND(IF(VLOOKUP($A170,EnrollData2324,'2324 Jun 24 Enroll'!E$1,FALSE)='District Calculations'!$F$12,VLOOKUP($A170,EnrollData2324,'2324 Jun 24 Enroll'!E$1,FALSE),'District Calculations'!$F$12)*K170,3)</f>
        <v>3.5539999999999998</v>
      </c>
      <c r="N170">
        <f>ROUND(IF(VLOOKUP($A170,EnrollData2324,'2324 Jun 24 Enroll'!F$1,FALSE)='District Calculations'!$F$13,VLOOKUP($A170,EnrollData2324,'2324 Jun 24 Enroll'!F$1,FALSE),'District Calculations'!$F$13)*Apport_223A2425,3)</f>
        <v>0.84599999999999997</v>
      </c>
      <c r="O170">
        <f>ROUND(IF(VLOOKUP($A170,EnrollData2324,'2324 Jun 24 Enroll'!G$1,FALSE)='District Calculations'!$F$14,VLOOKUP($A170,EnrollData2324,'2324 Jun 24 Enroll'!G$1,FALSE),'District Calculations'!$F$14)*Apport_211A2425,3)</f>
        <v>1.877</v>
      </c>
      <c r="P170">
        <f>ROUND(IF(VLOOKUP($A170,EnrollData2324,'2324 Jun 24 Enroll'!H$1,FALSE)='District Calculations'!$F$14,VLOOKUP($A170,EnrollData2324,'2324 Jun 24 Enroll'!H$1,FALSE),'District Calculations'!$F$14)*Apport_214A2425,3)</f>
        <v>1.875</v>
      </c>
      <c r="Q170">
        <f>ROUND(IF(VLOOKUP($A170,EnrollData2324,'2324 Jun 24 Enroll'!I$1,FALSE)+VLOOKUP($A170,EnrollData2324,'2324 Jun 24 Enroll'!M$1,FALSE)-VLOOKUP($A170,EnrollData2324,'2324 Jun 24 Enroll'!J$1,FALSE)='District Calculations'!$F$16+'District Calculations'!$F$25-'District Calculations'!$F$17,VLOOKUP($A170,EnrollData2324,'2324 Jun 24 Enroll'!I$1,FALSE)+VLOOKUP($A170,EnrollData2324,'2324 Jun 24 Enroll'!M$1,FALSE)-VLOOKUP($A170,EnrollData2324,'2324 Jun 24 Enroll'!J$1,FALSE),'District Calculations'!$F$16+'District Calculations'!$F$25-'District Calculations'!$F$17)*Apport_217A2425,3)</f>
        <v>4.7130000000000001</v>
      </c>
      <c r="R170">
        <f>ROUND(SUM(L170:Q170)/IF(VLOOKUP($A170,EnrollData2324,'2324 Jun 24 Enroll'!M$1,FALSE)+VLOOKUP($A170,EnrollData2324,'2324 Jun 24 Enroll'!D$1,FALSE)='District Calculations'!$F$25+'District Calculations'!$F$11,VLOOKUP($A170,EnrollData2324,'2324 Jun 24 Enroll'!M$1,FALSE)+VLOOKUP($A170,EnrollData2324,'2324 Jun 24 Enroll'!D$1,FALSE),'District Calculations'!$F$25+'District Calculations'!$F$11),5)</f>
        <v>4.1200000000000004E-3</v>
      </c>
      <c r="S170" s="11">
        <f t="shared" si="41"/>
        <v>1.8734299999999999E-2</v>
      </c>
      <c r="T170">
        <f>ROUND(IF(VLOOKUP($A170,EnrollData2324,'2324 Jun 24 Enroll'!D$1,FALSE)='District Calculations'!$F$11,VLOOKUP($A170,EnrollData2324,'2324 Jun 24 Enroll'!D$1,FALSE),'District Calculations'!$F$11)*S170,3)</f>
        <v>0</v>
      </c>
      <c r="U170">
        <f>ROUND(IF(VLOOKUP($A170,EnrollData2324,'2324 Jun 24 Enroll'!E$1,FALSE)='District Calculations'!$F$12,VLOOKUP($A170,EnrollData2324,'2324 Jun 24 Enroll'!E$1,FALSE),'District Calculations'!$F$12)*S170,3)</f>
        <v>15.183999999999999</v>
      </c>
      <c r="V170">
        <f>ROUND(IF(VLOOKUP($A170,EnrollData2324,'2324 Jun 24 Enroll'!F$1,FALSE)='District Calculations'!$F$13,VLOOKUP($A170,EnrollData2324,'2324 Jun 24 Enroll'!F$1,FALSE),'District Calculations'!$F$13)*Apport_224A2425,3)</f>
        <v>3.7109999999999999</v>
      </c>
      <c r="W170">
        <f>ROUND(IF(VLOOKUP($A170,EnrollData2324,'2324 Jun 24 Enroll'!G$1,FALSE)='District Calculations'!$F$14,VLOOKUP($A170,EnrollData2324,'2324 Jun 24 Enroll'!G$1,FALSE),'District Calculations'!$F$14)*Apport_212A2425,3)</f>
        <v>8.2279999999999998</v>
      </c>
      <c r="X170">
        <f>ROUND(IF(VLOOKUP($A170,EnrollData2324,'2324 Jun 24 Enroll'!H$1,FALSE)='District Calculations'!$F$14,VLOOKUP($A170,EnrollData2324,'2324 Jun 24 Enroll'!H$1,FALSE),'District Calculations'!$F$14)*Apport_215A2425,3)</f>
        <v>8.1180000000000003</v>
      </c>
      <c r="Y170">
        <f>ROUND(IF(VLOOKUP($A170,EnrollData2324,'2324 Jun 24 Enroll'!I$1,FALSE)+VLOOKUP($A170,EnrollData2324,'2324 Jun 24 Enroll'!M$1,FALSE)-VLOOKUP($A170,EnrollData2324,'2324 Jun 24 Enroll'!J$1,FALSE)='District Calculations'!$F$16+'District Calculations'!$F$25-'District Calculations'!$F$17,VLOOKUP($A170,EnrollData2324,'2324 Jun 24 Enroll'!I$1,FALSE)+VLOOKUP($A170,EnrollData2324,'2324 Jun 24 Enroll'!M$1,FALSE)-VLOOKUP($A170,EnrollData2324,'2324 Jun 24 Enroll'!J$1,FALSE),'District Calculations'!$F$16+'District Calculations'!$F$25-'District Calculations'!$F$17)*Apport_218A2425,3)</f>
        <v>20.257999999999999</v>
      </c>
      <c r="Z170">
        <f>ROUND(SUM(T170:Y170)/IF(VLOOKUP($A170,EnrollData2324,'2324 Jun 24 Enroll'!M$1,FALSE)+VLOOKUP($A170,EnrollData2324,'2324 Jun 24 Enroll'!D$1,FALSE)='District Calculations'!$F$25+'District Calculations'!$F$11,VLOOKUP($A170,EnrollData2324,'2324 Jun 24 Enroll'!M$1,FALSE)+VLOOKUP($A170,EnrollData2324,'2324 Jun 24 Enroll'!D$1,FALSE),'District Calculations'!$F$25+'District Calculations'!$F$11),5)</f>
        <v>1.7780000000000001E-2</v>
      </c>
      <c r="AA170" s="6">
        <f>ROUND($J170*CIS_Base_Salary2425*VLOOKUP($A170,EnrollData2324,'2324 Jun 24 Enroll'!AH$1,FALSE),2)</f>
        <v>4262.68</v>
      </c>
      <c r="AB170" s="6">
        <f>ROUND($J170*CIS_Inc_Salary2425*(VLOOKUP($A170,EnrollData2324,'2324 Jun 24 Enroll'!AI$1,FALSE)+VLOOKUP($A170,EnrollData2324,'2324 Jun 24 Enroll'!AJ$1,FALSE)),2)-AA170</f>
        <v>157.6899999999996</v>
      </c>
      <c r="AC170" s="6" cm="1">
        <f t="array" ref="AC170">ROUND($R170*CAS_Base_Salary2425*VLOOKUP($A170,EnrollData2324,'2324 Jun 24 Enroll'!AH$1,FALSE),2)</f>
        <v>461.23</v>
      </c>
      <c r="AD170" s="6">
        <f>ROUND($R170*CAS_Inc_Salary2425*VLOOKUP($A170,EnrollData2324,'2324 Jun 24 Enroll'!AI$1,FALSE),2)-AC170</f>
        <v>17.069999999999993</v>
      </c>
      <c r="AE170" s="6">
        <f>ROUND($Z170*CLS_Base_Salary2425*VLOOKUP($A170,EnrollData2324,'2324 Jun 24 Enroll'!AH$1,FALSE),2)</f>
        <v>961.95</v>
      </c>
      <c r="AF170" s="6">
        <f>ROUND($Z170*CLS_Inc_Salary2425*VLOOKUP($A170,EnrollData2324,'2324 Jun 24 Enroll'!AI$1,FALSE),2)-AE170</f>
        <v>35.599999999999909</v>
      </c>
      <c r="AG170" cm="1">
        <f t="array" ref="AG170">ROUND(($J170+$R170)*Apport_124X2425,2)</f>
        <v>800.45</v>
      </c>
      <c r="AH170" s="69" cm="1">
        <f t="array" ref="AH170">ROUND(($J170+$R170)*Apport_621X2425*Apport_125XC2425,2)-AG170</f>
        <v>73.899999999999977</v>
      </c>
      <c r="AI170" cm="1">
        <f t="array" ref="AI170">ROUND($Z170*Apport_124X2425,2)</f>
        <v>234.7</v>
      </c>
      <c r="AJ170">
        <f t="shared" si="42"/>
        <v>124.71000000000004</v>
      </c>
      <c r="AK170">
        <f t="shared" si="43"/>
        <v>857.39</v>
      </c>
      <c r="AL170">
        <f t="shared" si="44"/>
        <v>30.6</v>
      </c>
      <c r="AM170">
        <f t="shared" si="45"/>
        <v>208.36</v>
      </c>
      <c r="AN170">
        <f t="shared" si="46"/>
        <v>6.46</v>
      </c>
      <c r="AO170">
        <f>ROUND(($J170*CIS_Inc_Salary2425*(VLOOKUP($A170,EnrollData2324,'2324 Jun 24 Enroll'!AI$1,FALSE)+VLOOKUP($A170,EnrollData2324,'2324 Jun 24 Enroll'!AJ$1,FALSE))/Apport_613Xpd)*Apport_614Xpd,2)</f>
        <v>73.67</v>
      </c>
      <c r="AP170">
        <f t="shared" si="47"/>
        <v>12.9</v>
      </c>
      <c r="AQ170">
        <f t="shared" si="38"/>
        <v>31.48</v>
      </c>
      <c r="AR170" s="6">
        <f>ROUND((VLOOKUP($A170,EnrollData2324,'2324 Jun 24 Enroll'!D$1,FALSE)*Apport_M802425+VLOOKUP($A170,EnrollData2324,'2324 Jun 24 Enroll'!M$1,FALSE)*Apport_M802425+(VLOOKUP($A170,EnrollData2324,'2324 Jun 24 Enroll'!P$1,FALSE)+VLOOKUP($A170,EnrollData2324,'2324 Jun 24 Enroll'!Q$1,FALSE)+VLOOKUP($A170,EnrollData2324,'2324 Jun 24 Enroll'!R$1,FALSE)+VLOOKUP($A170,EnrollData2324,'2324 Jun 24 Enroll'!I$1,FALSE)+VLOOKUP($A170,EnrollData2324,'2324 Jun 24 Enroll'!N$1,FALSE)+VLOOKUP($A170,EnrollData2324,'2324 Jun 24 Enroll'!O$1,FALSE)+VLOOKUP($A170,EnrollData2324,'2324 Jun 24 Enroll'!K$1,FALSE)+VLOOKUP($A170,EnrollData2324,'2324 Jun 24 Enroll'!L$1,FALSE))*Apport_M812425)/(VLOOKUP($A170,EnrollData2324,'2324 Jun 24 Enroll'!M$1,FALSE)+VLOOKUP($A170,EnrollData2324,'2324 Jun 24 Enroll'!D$1,FALSE)),2)</f>
        <v>1595.83</v>
      </c>
      <c r="AS170" s="7">
        <f t="shared" si="39"/>
        <v>9946.6699999999983</v>
      </c>
    </row>
    <row r="171" spans="1:45">
      <c r="A171" s="40" t="s">
        <v>783</v>
      </c>
      <c r="B171" s="40" t="s">
        <v>784</v>
      </c>
      <c r="C171" s="11">
        <f>ROUND((IFERROR((1/IF(VLOOKUP($A171,EnrollData2324,28,FALSE)='District Calculations'!$F$10,VLOOKUP($A171,EnrollData2324,28,FALSE),'District Calculations'!$F$10))*(1+Apport_Z315),0))+Apport_201A2425,6)</f>
        <v>7.4580999999999995E-2</v>
      </c>
      <c r="D171">
        <f>ROUND(IF(VLOOKUP($A171,EnrollData2324,'2324 Jun 24 Enroll'!D$1,FALSE)='District Calculations'!$F$11,VLOOKUP($A171,EnrollData2324,'2324 Jun 24 Enroll'!D$1,FALSE),'District Calculations'!$F$11)*C171,3)</f>
        <v>0</v>
      </c>
      <c r="E171">
        <f>ROUND(IF(VLOOKUP($A171,EnrollData2324,'2324 Jun 24 Enroll'!E$1,FALSE)='District Calculations'!$F$12,VLOOKUP($A171,EnrollData2324,'2324 Jun 24 Enroll'!E$1,FALSE),'District Calculations'!$F$12)*C171,3)</f>
        <v>60.447000000000003</v>
      </c>
      <c r="F171">
        <f>ROUND(IF(VLOOKUP($A171,EnrollData2324,'2324 Jun 24 Enroll'!F$1,FALSE)='District Calculations'!$F$13,VLOOKUP($A171,EnrollData2324,'2324 Jun 24 Enroll'!F$1,FALSE),'District Calculations'!$F$13)*Apport_222A2425,3)</f>
        <v>10.337999999999999</v>
      </c>
      <c r="G171">
        <f>ROUND(IF(VLOOKUP($A171,EnrollData2324,'2324 Jun 24 Enroll'!G$1,FALSE)='District Calculations'!$F$14,VLOOKUP($A171,EnrollData2324,'2324 Jun 24 Enroll'!G$1,FALSE),'District Calculations'!$F$14)*Apport_210A2425,3)</f>
        <v>22.92</v>
      </c>
      <c r="H171">
        <f>ROUND(IF(VLOOKUP($A171,EnrollData2324,'2324 Jun 24 Enroll'!H$1,FALSE)='District Calculations'!$F$15,VLOOKUP($A171,EnrollData2324,'2324 Jun 24 Enroll'!H$1,FALSE),'District Calculations'!$F$15)*Apport_213A2425,3)</f>
        <v>23.619</v>
      </c>
      <c r="I171">
        <f>ROUND(IF(VLOOKUP($A171,EnrollData2324,'2324 Jun 24 Enroll'!I$1,FALSE)+VLOOKUP($A171,EnrollData2324,'2324 Jun 24 Enroll'!M$1,FALSE)-VLOOKUP($A171,EnrollData2324,'2324 Jun 24 Enroll'!J$1,FALSE)='District Calculations'!$F$16+'District Calculations'!$F$25-'District Calculations'!$F$17,VLOOKUP($A171,EnrollData2324,'2324 Jun 24 Enroll'!I$1,FALSE)+VLOOKUP($A171,EnrollData2324,'2324 Jun 24 Enroll'!M$1,FALSE)-VLOOKUP($A171,EnrollData2324,'2324 Jun 24 Enroll'!J$1,FALSE),'District Calculations'!$F$16+'District Calculations'!$F$25-'District Calculations'!$F$17)*Apport_216A2425,3)</f>
        <v>59.057000000000002</v>
      </c>
      <c r="J171">
        <f>ROUND(SUM(D171:I171)/(IF(VLOOKUP($A171,EnrollData2324,'2324 Jun 24 Enroll'!M$1,FALSE)='District Calculations'!$F$25,VLOOKUP($A171,EnrollData2324,'2324 Jun 24 Enroll'!M$1,FALSE),'District Calculations'!$F$25)+IF(VLOOKUP($A171,EnrollData2324,'2324 Jun 24 Enroll'!D$1,FALSE)='District Calculations'!$F$11,VLOOKUP($A171,EnrollData2324,'2324 Jun 24 Enroll'!D$1,FALSE),'District Calculations'!$F$11)),5)</f>
        <v>5.6520000000000001E-2</v>
      </c>
      <c r="K171" s="11">
        <f t="shared" si="40"/>
        <v>4.385E-3</v>
      </c>
      <c r="L171">
        <f>ROUND(IF(VLOOKUP($A171,EnrollData2324,'2324 Jun 24 Enroll'!D$1,FALSE)='District Calculations'!$F$11,VLOOKUP($A171,EnrollData2324,'2324 Jun 24 Enroll'!D$1,FALSE),'District Calculations'!$F$11)*K171,3)</f>
        <v>0</v>
      </c>
      <c r="M171">
        <f>ROUND(IF(VLOOKUP($A171,EnrollData2324,'2324 Jun 24 Enroll'!E$1,FALSE)='District Calculations'!$F$12,VLOOKUP($A171,EnrollData2324,'2324 Jun 24 Enroll'!E$1,FALSE),'District Calculations'!$F$12)*K171,3)</f>
        <v>3.5539999999999998</v>
      </c>
      <c r="N171">
        <f>ROUND(IF(VLOOKUP($A171,EnrollData2324,'2324 Jun 24 Enroll'!F$1,FALSE)='District Calculations'!$F$13,VLOOKUP($A171,EnrollData2324,'2324 Jun 24 Enroll'!F$1,FALSE),'District Calculations'!$F$13)*Apport_223A2425,3)</f>
        <v>0.84599999999999997</v>
      </c>
      <c r="O171">
        <f>ROUND(IF(VLOOKUP($A171,EnrollData2324,'2324 Jun 24 Enroll'!G$1,FALSE)='District Calculations'!$F$14,VLOOKUP($A171,EnrollData2324,'2324 Jun 24 Enroll'!G$1,FALSE),'District Calculations'!$F$14)*Apport_211A2425,3)</f>
        <v>1.877</v>
      </c>
      <c r="P171">
        <f>ROUND(IF(VLOOKUP($A171,EnrollData2324,'2324 Jun 24 Enroll'!H$1,FALSE)='District Calculations'!$F$14,VLOOKUP($A171,EnrollData2324,'2324 Jun 24 Enroll'!H$1,FALSE),'District Calculations'!$F$14)*Apport_214A2425,3)</f>
        <v>1.875</v>
      </c>
      <c r="Q171">
        <f>ROUND(IF(VLOOKUP($A171,EnrollData2324,'2324 Jun 24 Enroll'!I$1,FALSE)+VLOOKUP($A171,EnrollData2324,'2324 Jun 24 Enroll'!M$1,FALSE)-VLOOKUP($A171,EnrollData2324,'2324 Jun 24 Enroll'!J$1,FALSE)='District Calculations'!$F$16+'District Calculations'!$F$25-'District Calculations'!$F$17,VLOOKUP($A171,EnrollData2324,'2324 Jun 24 Enroll'!I$1,FALSE)+VLOOKUP($A171,EnrollData2324,'2324 Jun 24 Enroll'!M$1,FALSE)-VLOOKUP($A171,EnrollData2324,'2324 Jun 24 Enroll'!J$1,FALSE),'District Calculations'!$F$16+'District Calculations'!$F$25-'District Calculations'!$F$17)*Apport_217A2425,3)</f>
        <v>4.7130000000000001</v>
      </c>
      <c r="R171">
        <f>ROUND(SUM(L171:Q171)/IF(VLOOKUP($A171,EnrollData2324,'2324 Jun 24 Enroll'!M$1,FALSE)+VLOOKUP($A171,EnrollData2324,'2324 Jun 24 Enroll'!D$1,FALSE)='District Calculations'!$F$25+'District Calculations'!$F$11,VLOOKUP($A171,EnrollData2324,'2324 Jun 24 Enroll'!M$1,FALSE)+VLOOKUP($A171,EnrollData2324,'2324 Jun 24 Enroll'!D$1,FALSE),'District Calculations'!$F$25+'District Calculations'!$F$11),5)</f>
        <v>4.1200000000000004E-3</v>
      </c>
      <c r="S171" s="11">
        <f t="shared" si="41"/>
        <v>1.8734299999999999E-2</v>
      </c>
      <c r="T171">
        <f>ROUND(IF(VLOOKUP($A171,EnrollData2324,'2324 Jun 24 Enroll'!D$1,FALSE)='District Calculations'!$F$11,VLOOKUP($A171,EnrollData2324,'2324 Jun 24 Enroll'!D$1,FALSE),'District Calculations'!$F$11)*S171,3)</f>
        <v>0</v>
      </c>
      <c r="U171">
        <f>ROUND(IF(VLOOKUP($A171,EnrollData2324,'2324 Jun 24 Enroll'!E$1,FALSE)='District Calculations'!$F$12,VLOOKUP($A171,EnrollData2324,'2324 Jun 24 Enroll'!E$1,FALSE),'District Calculations'!$F$12)*S171,3)</f>
        <v>15.183999999999999</v>
      </c>
      <c r="V171">
        <f>ROUND(IF(VLOOKUP($A171,EnrollData2324,'2324 Jun 24 Enroll'!F$1,FALSE)='District Calculations'!$F$13,VLOOKUP($A171,EnrollData2324,'2324 Jun 24 Enroll'!F$1,FALSE),'District Calculations'!$F$13)*Apport_224A2425,3)</f>
        <v>3.7109999999999999</v>
      </c>
      <c r="W171">
        <f>ROUND(IF(VLOOKUP($A171,EnrollData2324,'2324 Jun 24 Enroll'!G$1,FALSE)='District Calculations'!$F$14,VLOOKUP($A171,EnrollData2324,'2324 Jun 24 Enroll'!G$1,FALSE),'District Calculations'!$F$14)*Apport_212A2425,3)</f>
        <v>8.2279999999999998</v>
      </c>
      <c r="X171">
        <f>ROUND(IF(VLOOKUP($A171,EnrollData2324,'2324 Jun 24 Enroll'!H$1,FALSE)='District Calculations'!$F$14,VLOOKUP($A171,EnrollData2324,'2324 Jun 24 Enroll'!H$1,FALSE),'District Calculations'!$F$14)*Apport_215A2425,3)</f>
        <v>8.1180000000000003</v>
      </c>
      <c r="Y171">
        <f>ROUND(IF(VLOOKUP($A171,EnrollData2324,'2324 Jun 24 Enroll'!I$1,FALSE)+VLOOKUP($A171,EnrollData2324,'2324 Jun 24 Enroll'!M$1,FALSE)-VLOOKUP($A171,EnrollData2324,'2324 Jun 24 Enroll'!J$1,FALSE)='District Calculations'!$F$16+'District Calculations'!$F$25-'District Calculations'!$F$17,VLOOKUP($A171,EnrollData2324,'2324 Jun 24 Enroll'!I$1,FALSE)+VLOOKUP($A171,EnrollData2324,'2324 Jun 24 Enroll'!M$1,FALSE)-VLOOKUP($A171,EnrollData2324,'2324 Jun 24 Enroll'!J$1,FALSE),'District Calculations'!$F$16+'District Calculations'!$F$25-'District Calculations'!$F$17)*Apport_218A2425,3)</f>
        <v>20.257999999999999</v>
      </c>
      <c r="Z171">
        <f>ROUND(SUM(T171:Y171)/IF(VLOOKUP($A171,EnrollData2324,'2324 Jun 24 Enroll'!M$1,FALSE)+VLOOKUP($A171,EnrollData2324,'2324 Jun 24 Enroll'!D$1,FALSE)='District Calculations'!$F$25+'District Calculations'!$F$11,VLOOKUP($A171,EnrollData2324,'2324 Jun 24 Enroll'!M$1,FALSE)+VLOOKUP($A171,EnrollData2324,'2324 Jun 24 Enroll'!D$1,FALSE),'District Calculations'!$F$25+'District Calculations'!$F$11),5)</f>
        <v>1.7780000000000001E-2</v>
      </c>
      <c r="AA171" s="6">
        <f>ROUND($J171*CIS_Base_Salary2425*VLOOKUP($A171,EnrollData2324,'2324 Jun 24 Enroll'!AH$1,FALSE),2)</f>
        <v>4262.68</v>
      </c>
      <c r="AB171" s="6">
        <f>ROUND($J171*CIS_Inc_Salary2425*(VLOOKUP($A171,EnrollData2324,'2324 Jun 24 Enroll'!AI$1,FALSE)+VLOOKUP($A171,EnrollData2324,'2324 Jun 24 Enroll'!AJ$1,FALSE)),2)-AA171</f>
        <v>157.6899999999996</v>
      </c>
      <c r="AC171" s="6" cm="1">
        <f t="array" ref="AC171">ROUND($R171*CAS_Base_Salary2425*VLOOKUP($A171,EnrollData2324,'2324 Jun 24 Enroll'!AH$1,FALSE),2)</f>
        <v>461.23</v>
      </c>
      <c r="AD171" s="6">
        <f>ROUND($R171*CAS_Inc_Salary2425*VLOOKUP($A171,EnrollData2324,'2324 Jun 24 Enroll'!AI$1,FALSE),2)-AC171</f>
        <v>17.069999999999993</v>
      </c>
      <c r="AE171" s="6">
        <f>ROUND($Z171*CLS_Base_Salary2425*VLOOKUP($A171,EnrollData2324,'2324 Jun 24 Enroll'!AH$1,FALSE),2)</f>
        <v>961.95</v>
      </c>
      <c r="AF171" s="6">
        <f>ROUND($Z171*CLS_Inc_Salary2425*VLOOKUP($A171,EnrollData2324,'2324 Jun 24 Enroll'!AI$1,FALSE),2)-AE171</f>
        <v>35.599999999999909</v>
      </c>
      <c r="AG171" cm="1">
        <f t="array" ref="AG171">ROUND(($J171+$R171)*Apport_124X2425,2)</f>
        <v>800.45</v>
      </c>
      <c r="AH171" s="69" cm="1">
        <f t="array" ref="AH171">ROUND(($J171+$R171)*Apport_621X2425*Apport_125XC2425,2)-AG171</f>
        <v>73.899999999999977</v>
      </c>
      <c r="AI171" cm="1">
        <f t="array" ref="AI171">ROUND($Z171*Apport_124X2425,2)</f>
        <v>234.7</v>
      </c>
      <c r="AJ171">
        <f t="shared" si="42"/>
        <v>124.71000000000004</v>
      </c>
      <c r="AK171">
        <f t="shared" si="43"/>
        <v>857.39</v>
      </c>
      <c r="AL171">
        <f t="shared" si="44"/>
        <v>30.6</v>
      </c>
      <c r="AM171">
        <f t="shared" si="45"/>
        <v>208.36</v>
      </c>
      <c r="AN171">
        <f t="shared" si="46"/>
        <v>6.46</v>
      </c>
      <c r="AO171">
        <f>ROUND(($J171*CIS_Inc_Salary2425*(VLOOKUP($A171,EnrollData2324,'2324 Jun 24 Enroll'!AI$1,FALSE)+VLOOKUP($A171,EnrollData2324,'2324 Jun 24 Enroll'!AJ$1,FALSE))/Apport_613Xpd)*Apport_614Xpd,2)</f>
        <v>73.67</v>
      </c>
      <c r="AP171">
        <f t="shared" si="47"/>
        <v>12.9</v>
      </c>
      <c r="AQ171">
        <f t="shared" si="38"/>
        <v>31.48</v>
      </c>
      <c r="AR171" s="6">
        <f>ROUND((VLOOKUP($A171,EnrollData2324,'2324 Jun 24 Enroll'!D$1,FALSE)*Apport_M802425+VLOOKUP($A171,EnrollData2324,'2324 Jun 24 Enroll'!M$1,FALSE)*Apport_M802425+(VLOOKUP($A171,EnrollData2324,'2324 Jun 24 Enroll'!P$1,FALSE)+VLOOKUP($A171,EnrollData2324,'2324 Jun 24 Enroll'!Q$1,FALSE)+VLOOKUP($A171,EnrollData2324,'2324 Jun 24 Enroll'!R$1,FALSE)+VLOOKUP($A171,EnrollData2324,'2324 Jun 24 Enroll'!I$1,FALSE)+VLOOKUP($A171,EnrollData2324,'2324 Jun 24 Enroll'!N$1,FALSE)+VLOOKUP($A171,EnrollData2324,'2324 Jun 24 Enroll'!O$1,FALSE)+VLOOKUP($A171,EnrollData2324,'2324 Jun 24 Enroll'!K$1,FALSE)+VLOOKUP($A171,EnrollData2324,'2324 Jun 24 Enroll'!L$1,FALSE))*Apport_M812425)/(VLOOKUP($A171,EnrollData2324,'2324 Jun 24 Enroll'!M$1,FALSE)+VLOOKUP($A171,EnrollData2324,'2324 Jun 24 Enroll'!D$1,FALSE)),2)</f>
        <v>1617.56</v>
      </c>
      <c r="AS171" s="7">
        <f t="shared" si="39"/>
        <v>9968.3999999999978</v>
      </c>
    </row>
    <row r="172" spans="1:45">
      <c r="A172" s="40" t="s">
        <v>719</v>
      </c>
      <c r="B172" s="40" t="s">
        <v>720</v>
      </c>
      <c r="C172" s="11">
        <f>ROUND((IFERROR((1/IF(VLOOKUP($A172,EnrollData2324,28,FALSE)='District Calculations'!$F$10,VLOOKUP($A172,EnrollData2324,28,FALSE),'District Calculations'!$F$10))*(1+Apport_Z315),0))+Apport_201A2425,6)</f>
        <v>7.4580999999999995E-2</v>
      </c>
      <c r="D172">
        <f>ROUND(IF(VLOOKUP($A172,EnrollData2324,'2324 Jun 24 Enroll'!D$1,FALSE)='District Calculations'!$F$11,VLOOKUP($A172,EnrollData2324,'2324 Jun 24 Enroll'!D$1,FALSE),'District Calculations'!$F$11)*C172,3)</f>
        <v>0</v>
      </c>
      <c r="E172">
        <f>ROUND(IF(VLOOKUP($A172,EnrollData2324,'2324 Jun 24 Enroll'!E$1,FALSE)='District Calculations'!$F$12,VLOOKUP($A172,EnrollData2324,'2324 Jun 24 Enroll'!E$1,FALSE),'District Calculations'!$F$12)*C172,3)</f>
        <v>60.447000000000003</v>
      </c>
      <c r="F172">
        <f>ROUND(IF(VLOOKUP($A172,EnrollData2324,'2324 Jun 24 Enroll'!F$1,FALSE)='District Calculations'!$F$13,VLOOKUP($A172,EnrollData2324,'2324 Jun 24 Enroll'!F$1,FALSE),'District Calculations'!$F$13)*Apport_222A2425,3)</f>
        <v>10.337999999999999</v>
      </c>
      <c r="G172">
        <f>ROUND(IF(VLOOKUP($A172,EnrollData2324,'2324 Jun 24 Enroll'!G$1,FALSE)='District Calculations'!$F$14,VLOOKUP($A172,EnrollData2324,'2324 Jun 24 Enroll'!G$1,FALSE),'District Calculations'!$F$14)*Apport_210A2425,3)</f>
        <v>22.92</v>
      </c>
      <c r="H172">
        <f>ROUND(IF(VLOOKUP($A172,EnrollData2324,'2324 Jun 24 Enroll'!H$1,FALSE)='District Calculations'!$F$15,VLOOKUP($A172,EnrollData2324,'2324 Jun 24 Enroll'!H$1,FALSE),'District Calculations'!$F$15)*Apport_213A2425,3)</f>
        <v>23.619</v>
      </c>
      <c r="I172">
        <f>ROUND(IF(VLOOKUP($A172,EnrollData2324,'2324 Jun 24 Enroll'!I$1,FALSE)+VLOOKUP($A172,EnrollData2324,'2324 Jun 24 Enroll'!M$1,FALSE)-VLOOKUP($A172,EnrollData2324,'2324 Jun 24 Enroll'!J$1,FALSE)='District Calculations'!$F$16+'District Calculations'!$F$25-'District Calculations'!$F$17,VLOOKUP($A172,EnrollData2324,'2324 Jun 24 Enroll'!I$1,FALSE)+VLOOKUP($A172,EnrollData2324,'2324 Jun 24 Enroll'!M$1,FALSE)-VLOOKUP($A172,EnrollData2324,'2324 Jun 24 Enroll'!J$1,FALSE),'District Calculations'!$F$16+'District Calculations'!$F$25-'District Calculations'!$F$17)*Apport_216A2425,3)</f>
        <v>59.057000000000002</v>
      </c>
      <c r="J172">
        <f>ROUND(SUM(D172:I172)/(IF(VLOOKUP($A172,EnrollData2324,'2324 Jun 24 Enroll'!M$1,FALSE)='District Calculations'!$F$25,VLOOKUP($A172,EnrollData2324,'2324 Jun 24 Enroll'!M$1,FALSE),'District Calculations'!$F$25)+IF(VLOOKUP($A172,EnrollData2324,'2324 Jun 24 Enroll'!D$1,FALSE)='District Calculations'!$F$11,VLOOKUP($A172,EnrollData2324,'2324 Jun 24 Enroll'!D$1,FALSE),'District Calculations'!$F$11)),5)</f>
        <v>5.6520000000000001E-2</v>
      </c>
      <c r="K172" s="11">
        <f t="shared" si="40"/>
        <v>4.385E-3</v>
      </c>
      <c r="L172">
        <f>ROUND(IF(VLOOKUP($A172,EnrollData2324,'2324 Jun 24 Enroll'!D$1,FALSE)='District Calculations'!$F$11,VLOOKUP($A172,EnrollData2324,'2324 Jun 24 Enroll'!D$1,FALSE),'District Calculations'!$F$11)*K172,3)</f>
        <v>0</v>
      </c>
      <c r="M172">
        <f>ROUND(IF(VLOOKUP($A172,EnrollData2324,'2324 Jun 24 Enroll'!E$1,FALSE)='District Calculations'!$F$12,VLOOKUP($A172,EnrollData2324,'2324 Jun 24 Enroll'!E$1,FALSE),'District Calculations'!$F$12)*K172,3)</f>
        <v>3.5539999999999998</v>
      </c>
      <c r="N172">
        <f>ROUND(IF(VLOOKUP($A172,EnrollData2324,'2324 Jun 24 Enroll'!F$1,FALSE)='District Calculations'!$F$13,VLOOKUP($A172,EnrollData2324,'2324 Jun 24 Enroll'!F$1,FALSE),'District Calculations'!$F$13)*Apport_223A2425,3)</f>
        <v>0.84599999999999997</v>
      </c>
      <c r="O172">
        <f>ROUND(IF(VLOOKUP($A172,EnrollData2324,'2324 Jun 24 Enroll'!G$1,FALSE)='District Calculations'!$F$14,VLOOKUP($A172,EnrollData2324,'2324 Jun 24 Enroll'!G$1,FALSE),'District Calculations'!$F$14)*Apport_211A2425,3)</f>
        <v>1.877</v>
      </c>
      <c r="P172">
        <f>ROUND(IF(VLOOKUP($A172,EnrollData2324,'2324 Jun 24 Enroll'!H$1,FALSE)='District Calculations'!$F$14,VLOOKUP($A172,EnrollData2324,'2324 Jun 24 Enroll'!H$1,FALSE),'District Calculations'!$F$14)*Apport_214A2425,3)</f>
        <v>1.875</v>
      </c>
      <c r="Q172">
        <f>ROUND(IF(VLOOKUP($A172,EnrollData2324,'2324 Jun 24 Enroll'!I$1,FALSE)+VLOOKUP($A172,EnrollData2324,'2324 Jun 24 Enroll'!M$1,FALSE)-VLOOKUP($A172,EnrollData2324,'2324 Jun 24 Enroll'!J$1,FALSE)='District Calculations'!$F$16+'District Calculations'!$F$25-'District Calculations'!$F$17,VLOOKUP($A172,EnrollData2324,'2324 Jun 24 Enroll'!I$1,FALSE)+VLOOKUP($A172,EnrollData2324,'2324 Jun 24 Enroll'!M$1,FALSE)-VLOOKUP($A172,EnrollData2324,'2324 Jun 24 Enroll'!J$1,FALSE),'District Calculations'!$F$16+'District Calculations'!$F$25-'District Calculations'!$F$17)*Apport_217A2425,3)</f>
        <v>4.7130000000000001</v>
      </c>
      <c r="R172">
        <f>ROUND(SUM(L172:Q172)/IF(VLOOKUP($A172,EnrollData2324,'2324 Jun 24 Enroll'!M$1,FALSE)+VLOOKUP($A172,EnrollData2324,'2324 Jun 24 Enroll'!D$1,FALSE)='District Calculations'!$F$25+'District Calculations'!$F$11,VLOOKUP($A172,EnrollData2324,'2324 Jun 24 Enroll'!M$1,FALSE)+VLOOKUP($A172,EnrollData2324,'2324 Jun 24 Enroll'!D$1,FALSE),'District Calculations'!$F$25+'District Calculations'!$F$11),5)</f>
        <v>4.1200000000000004E-3</v>
      </c>
      <c r="S172" s="11">
        <f t="shared" si="41"/>
        <v>1.8734299999999999E-2</v>
      </c>
      <c r="T172">
        <f>ROUND(IF(VLOOKUP($A172,EnrollData2324,'2324 Jun 24 Enroll'!D$1,FALSE)='District Calculations'!$F$11,VLOOKUP($A172,EnrollData2324,'2324 Jun 24 Enroll'!D$1,FALSE),'District Calculations'!$F$11)*S172,3)</f>
        <v>0</v>
      </c>
      <c r="U172">
        <f>ROUND(IF(VLOOKUP($A172,EnrollData2324,'2324 Jun 24 Enroll'!E$1,FALSE)='District Calculations'!$F$12,VLOOKUP($A172,EnrollData2324,'2324 Jun 24 Enroll'!E$1,FALSE),'District Calculations'!$F$12)*S172,3)</f>
        <v>15.183999999999999</v>
      </c>
      <c r="V172">
        <f>ROUND(IF(VLOOKUP($A172,EnrollData2324,'2324 Jun 24 Enroll'!F$1,FALSE)='District Calculations'!$F$13,VLOOKUP($A172,EnrollData2324,'2324 Jun 24 Enroll'!F$1,FALSE),'District Calculations'!$F$13)*Apport_224A2425,3)</f>
        <v>3.7109999999999999</v>
      </c>
      <c r="W172">
        <f>ROUND(IF(VLOOKUP($A172,EnrollData2324,'2324 Jun 24 Enroll'!G$1,FALSE)='District Calculations'!$F$14,VLOOKUP($A172,EnrollData2324,'2324 Jun 24 Enroll'!G$1,FALSE),'District Calculations'!$F$14)*Apport_212A2425,3)</f>
        <v>8.2279999999999998</v>
      </c>
      <c r="X172">
        <f>ROUND(IF(VLOOKUP($A172,EnrollData2324,'2324 Jun 24 Enroll'!H$1,FALSE)='District Calculations'!$F$14,VLOOKUP($A172,EnrollData2324,'2324 Jun 24 Enroll'!H$1,FALSE),'District Calculations'!$F$14)*Apport_215A2425,3)</f>
        <v>8.1180000000000003</v>
      </c>
      <c r="Y172">
        <f>ROUND(IF(VLOOKUP($A172,EnrollData2324,'2324 Jun 24 Enroll'!I$1,FALSE)+VLOOKUP($A172,EnrollData2324,'2324 Jun 24 Enroll'!M$1,FALSE)-VLOOKUP($A172,EnrollData2324,'2324 Jun 24 Enroll'!J$1,FALSE)='District Calculations'!$F$16+'District Calculations'!$F$25-'District Calculations'!$F$17,VLOOKUP($A172,EnrollData2324,'2324 Jun 24 Enroll'!I$1,FALSE)+VLOOKUP($A172,EnrollData2324,'2324 Jun 24 Enroll'!M$1,FALSE)-VLOOKUP($A172,EnrollData2324,'2324 Jun 24 Enroll'!J$1,FALSE),'District Calculations'!$F$16+'District Calculations'!$F$25-'District Calculations'!$F$17)*Apport_218A2425,3)</f>
        <v>20.257999999999999</v>
      </c>
      <c r="Z172">
        <f>ROUND(SUM(T172:Y172)/IF(VLOOKUP($A172,EnrollData2324,'2324 Jun 24 Enroll'!M$1,FALSE)+VLOOKUP($A172,EnrollData2324,'2324 Jun 24 Enroll'!D$1,FALSE)='District Calculations'!$F$25+'District Calculations'!$F$11,VLOOKUP($A172,EnrollData2324,'2324 Jun 24 Enroll'!M$1,FALSE)+VLOOKUP($A172,EnrollData2324,'2324 Jun 24 Enroll'!D$1,FALSE),'District Calculations'!$F$25+'District Calculations'!$F$11),5)</f>
        <v>1.7780000000000001E-2</v>
      </c>
      <c r="AA172" s="6">
        <f>ROUND($J172*CIS_Base_Salary2425*VLOOKUP($A172,EnrollData2324,'2324 Jun 24 Enroll'!AH$1,FALSE),2)</f>
        <v>4262.68</v>
      </c>
      <c r="AB172" s="6">
        <f>ROUND($J172*CIS_Inc_Salary2425*(VLOOKUP($A172,EnrollData2324,'2324 Jun 24 Enroll'!AI$1,FALSE)+VLOOKUP($A172,EnrollData2324,'2324 Jun 24 Enroll'!AJ$1,FALSE)),2)-AA172</f>
        <v>157.6899999999996</v>
      </c>
      <c r="AC172" s="6" cm="1">
        <f t="array" ref="AC172">ROUND($R172*CAS_Base_Salary2425*VLOOKUP($A172,EnrollData2324,'2324 Jun 24 Enroll'!AH$1,FALSE),2)</f>
        <v>461.23</v>
      </c>
      <c r="AD172" s="6">
        <f>ROUND($R172*CAS_Inc_Salary2425*VLOOKUP($A172,EnrollData2324,'2324 Jun 24 Enroll'!AI$1,FALSE),2)-AC172</f>
        <v>17.069999999999993</v>
      </c>
      <c r="AE172" s="6">
        <f>ROUND($Z172*CLS_Base_Salary2425*VLOOKUP($A172,EnrollData2324,'2324 Jun 24 Enroll'!AH$1,FALSE),2)</f>
        <v>961.95</v>
      </c>
      <c r="AF172" s="6">
        <f>ROUND($Z172*CLS_Inc_Salary2425*VLOOKUP($A172,EnrollData2324,'2324 Jun 24 Enroll'!AI$1,FALSE),2)-AE172</f>
        <v>35.599999999999909</v>
      </c>
      <c r="AG172" cm="1">
        <f t="array" ref="AG172">ROUND(($J172+$R172)*Apport_124X2425,2)</f>
        <v>800.45</v>
      </c>
      <c r="AH172" s="69" cm="1">
        <f t="array" ref="AH172">ROUND(($J172+$R172)*Apport_621X2425*Apport_125XC2425,2)-AG172</f>
        <v>73.899999999999977</v>
      </c>
      <c r="AI172" cm="1">
        <f t="array" ref="AI172">ROUND($Z172*Apport_124X2425,2)</f>
        <v>234.7</v>
      </c>
      <c r="AJ172">
        <f t="shared" si="42"/>
        <v>124.71000000000004</v>
      </c>
      <c r="AK172">
        <f t="shared" si="43"/>
        <v>857.39</v>
      </c>
      <c r="AL172">
        <f t="shared" si="44"/>
        <v>30.6</v>
      </c>
      <c r="AM172">
        <f t="shared" si="45"/>
        <v>208.36</v>
      </c>
      <c r="AN172">
        <f t="shared" si="46"/>
        <v>6.46</v>
      </c>
      <c r="AO172">
        <f>ROUND(($J172*CIS_Inc_Salary2425*(VLOOKUP($A172,EnrollData2324,'2324 Jun 24 Enroll'!AI$1,FALSE)+VLOOKUP($A172,EnrollData2324,'2324 Jun 24 Enroll'!AJ$1,FALSE))/Apport_613Xpd)*Apport_614Xpd,2)</f>
        <v>73.67</v>
      </c>
      <c r="AP172">
        <f t="shared" si="47"/>
        <v>12.9</v>
      </c>
      <c r="AQ172">
        <f t="shared" si="38"/>
        <v>31.48</v>
      </c>
      <c r="AR172" s="6">
        <f>ROUND((VLOOKUP($A172,EnrollData2324,'2324 Jun 24 Enroll'!D$1,FALSE)*Apport_M802425+VLOOKUP($A172,EnrollData2324,'2324 Jun 24 Enroll'!M$1,FALSE)*Apport_M802425+(VLOOKUP($A172,EnrollData2324,'2324 Jun 24 Enroll'!P$1,FALSE)+VLOOKUP($A172,EnrollData2324,'2324 Jun 24 Enroll'!Q$1,FALSE)+VLOOKUP($A172,EnrollData2324,'2324 Jun 24 Enroll'!R$1,FALSE)+VLOOKUP($A172,EnrollData2324,'2324 Jun 24 Enroll'!I$1,FALSE)+VLOOKUP($A172,EnrollData2324,'2324 Jun 24 Enroll'!N$1,FALSE)+VLOOKUP($A172,EnrollData2324,'2324 Jun 24 Enroll'!O$1,FALSE)+VLOOKUP($A172,EnrollData2324,'2324 Jun 24 Enroll'!K$1,FALSE)+VLOOKUP($A172,EnrollData2324,'2324 Jun 24 Enroll'!L$1,FALSE))*Apport_M812425)/(VLOOKUP($A172,EnrollData2324,'2324 Jun 24 Enroll'!M$1,FALSE)+VLOOKUP($A172,EnrollData2324,'2324 Jun 24 Enroll'!D$1,FALSE)),2)</f>
        <v>1605.59</v>
      </c>
      <c r="AS172" s="7">
        <f t="shared" si="39"/>
        <v>9956.4299999999985</v>
      </c>
    </row>
    <row r="173" spans="1:45">
      <c r="A173" s="40" t="s">
        <v>319</v>
      </c>
      <c r="B173" s="40" t="s">
        <v>320</v>
      </c>
      <c r="C173" s="11">
        <f>ROUND((IFERROR((1/IF(VLOOKUP($A173,EnrollData2324,28,FALSE)='District Calculations'!$F$10,VLOOKUP($A173,EnrollData2324,28,FALSE),'District Calculations'!$F$10))*(1+Apport_Z315),0))+Apport_201A2425,6)</f>
        <v>7.4580999999999995E-2</v>
      </c>
      <c r="D173">
        <f>ROUND(IF(VLOOKUP($A173,EnrollData2324,'2324 Jun 24 Enroll'!D$1,FALSE)='District Calculations'!$F$11,VLOOKUP($A173,EnrollData2324,'2324 Jun 24 Enroll'!D$1,FALSE),'District Calculations'!$F$11)*C173,3)</f>
        <v>0</v>
      </c>
      <c r="E173">
        <f>ROUND(IF(VLOOKUP($A173,EnrollData2324,'2324 Jun 24 Enroll'!E$1,FALSE)='District Calculations'!$F$12,VLOOKUP($A173,EnrollData2324,'2324 Jun 24 Enroll'!E$1,FALSE),'District Calculations'!$F$12)*C173,3)</f>
        <v>60.447000000000003</v>
      </c>
      <c r="F173">
        <f>ROUND(IF(VLOOKUP($A173,EnrollData2324,'2324 Jun 24 Enroll'!F$1,FALSE)='District Calculations'!$F$13,VLOOKUP($A173,EnrollData2324,'2324 Jun 24 Enroll'!F$1,FALSE),'District Calculations'!$F$13)*Apport_222A2425,3)</f>
        <v>10.337999999999999</v>
      </c>
      <c r="G173">
        <f>ROUND(IF(VLOOKUP($A173,EnrollData2324,'2324 Jun 24 Enroll'!G$1,FALSE)='District Calculations'!$F$14,VLOOKUP($A173,EnrollData2324,'2324 Jun 24 Enroll'!G$1,FALSE),'District Calculations'!$F$14)*Apport_210A2425,3)</f>
        <v>22.92</v>
      </c>
      <c r="H173">
        <f>ROUND(IF(VLOOKUP($A173,EnrollData2324,'2324 Jun 24 Enroll'!H$1,FALSE)='District Calculations'!$F$15,VLOOKUP($A173,EnrollData2324,'2324 Jun 24 Enroll'!H$1,FALSE),'District Calculations'!$F$15)*Apport_213A2425,3)</f>
        <v>23.619</v>
      </c>
      <c r="I173">
        <f>ROUND(IF(VLOOKUP($A173,EnrollData2324,'2324 Jun 24 Enroll'!I$1,FALSE)+VLOOKUP($A173,EnrollData2324,'2324 Jun 24 Enroll'!M$1,FALSE)-VLOOKUP($A173,EnrollData2324,'2324 Jun 24 Enroll'!J$1,FALSE)='District Calculations'!$F$16+'District Calculations'!$F$25-'District Calculations'!$F$17,VLOOKUP($A173,EnrollData2324,'2324 Jun 24 Enroll'!I$1,FALSE)+VLOOKUP($A173,EnrollData2324,'2324 Jun 24 Enroll'!M$1,FALSE)-VLOOKUP($A173,EnrollData2324,'2324 Jun 24 Enroll'!J$1,FALSE),'District Calculations'!$F$16+'District Calculations'!$F$25-'District Calculations'!$F$17)*Apport_216A2425,3)</f>
        <v>59.057000000000002</v>
      </c>
      <c r="J173">
        <f>ROUND(SUM(D173:I173)/(IF(VLOOKUP($A173,EnrollData2324,'2324 Jun 24 Enroll'!M$1,FALSE)='District Calculations'!$F$25,VLOOKUP($A173,EnrollData2324,'2324 Jun 24 Enroll'!M$1,FALSE),'District Calculations'!$F$25)+IF(VLOOKUP($A173,EnrollData2324,'2324 Jun 24 Enroll'!D$1,FALSE)='District Calculations'!$F$11,VLOOKUP($A173,EnrollData2324,'2324 Jun 24 Enroll'!D$1,FALSE),'District Calculations'!$F$11)),5)</f>
        <v>5.6520000000000001E-2</v>
      </c>
      <c r="K173" s="11">
        <f t="shared" si="40"/>
        <v>4.385E-3</v>
      </c>
      <c r="L173">
        <f>ROUND(IF(VLOOKUP($A173,EnrollData2324,'2324 Jun 24 Enroll'!D$1,FALSE)='District Calculations'!$F$11,VLOOKUP($A173,EnrollData2324,'2324 Jun 24 Enroll'!D$1,FALSE),'District Calculations'!$F$11)*K173,3)</f>
        <v>0</v>
      </c>
      <c r="M173">
        <f>ROUND(IF(VLOOKUP($A173,EnrollData2324,'2324 Jun 24 Enroll'!E$1,FALSE)='District Calculations'!$F$12,VLOOKUP($A173,EnrollData2324,'2324 Jun 24 Enroll'!E$1,FALSE),'District Calculations'!$F$12)*K173,3)</f>
        <v>3.5539999999999998</v>
      </c>
      <c r="N173">
        <f>ROUND(IF(VLOOKUP($A173,EnrollData2324,'2324 Jun 24 Enroll'!F$1,FALSE)='District Calculations'!$F$13,VLOOKUP($A173,EnrollData2324,'2324 Jun 24 Enroll'!F$1,FALSE),'District Calculations'!$F$13)*Apport_223A2425,3)</f>
        <v>0.84599999999999997</v>
      </c>
      <c r="O173">
        <f>ROUND(IF(VLOOKUP($A173,EnrollData2324,'2324 Jun 24 Enroll'!G$1,FALSE)='District Calculations'!$F$14,VLOOKUP($A173,EnrollData2324,'2324 Jun 24 Enroll'!G$1,FALSE),'District Calculations'!$F$14)*Apport_211A2425,3)</f>
        <v>1.877</v>
      </c>
      <c r="P173">
        <f>ROUND(IF(VLOOKUP($A173,EnrollData2324,'2324 Jun 24 Enroll'!H$1,FALSE)='District Calculations'!$F$14,VLOOKUP($A173,EnrollData2324,'2324 Jun 24 Enroll'!H$1,FALSE),'District Calculations'!$F$14)*Apport_214A2425,3)</f>
        <v>1.875</v>
      </c>
      <c r="Q173">
        <f>ROUND(IF(VLOOKUP($A173,EnrollData2324,'2324 Jun 24 Enroll'!I$1,FALSE)+VLOOKUP($A173,EnrollData2324,'2324 Jun 24 Enroll'!M$1,FALSE)-VLOOKUP($A173,EnrollData2324,'2324 Jun 24 Enroll'!J$1,FALSE)='District Calculations'!$F$16+'District Calculations'!$F$25-'District Calculations'!$F$17,VLOOKUP($A173,EnrollData2324,'2324 Jun 24 Enroll'!I$1,FALSE)+VLOOKUP($A173,EnrollData2324,'2324 Jun 24 Enroll'!M$1,FALSE)-VLOOKUP($A173,EnrollData2324,'2324 Jun 24 Enroll'!J$1,FALSE),'District Calculations'!$F$16+'District Calculations'!$F$25-'District Calculations'!$F$17)*Apport_217A2425,3)</f>
        <v>4.7130000000000001</v>
      </c>
      <c r="R173">
        <f>ROUND(SUM(L173:Q173)/IF(VLOOKUP($A173,EnrollData2324,'2324 Jun 24 Enroll'!M$1,FALSE)+VLOOKUP($A173,EnrollData2324,'2324 Jun 24 Enroll'!D$1,FALSE)='District Calculations'!$F$25+'District Calculations'!$F$11,VLOOKUP($A173,EnrollData2324,'2324 Jun 24 Enroll'!M$1,FALSE)+VLOOKUP($A173,EnrollData2324,'2324 Jun 24 Enroll'!D$1,FALSE),'District Calculations'!$F$25+'District Calculations'!$F$11),5)</f>
        <v>4.1200000000000004E-3</v>
      </c>
      <c r="S173" s="11">
        <f t="shared" si="41"/>
        <v>1.8734299999999999E-2</v>
      </c>
      <c r="T173">
        <f>ROUND(IF(VLOOKUP($A173,EnrollData2324,'2324 Jun 24 Enroll'!D$1,FALSE)='District Calculations'!$F$11,VLOOKUP($A173,EnrollData2324,'2324 Jun 24 Enroll'!D$1,FALSE),'District Calculations'!$F$11)*S173,3)</f>
        <v>0</v>
      </c>
      <c r="U173">
        <f>ROUND(IF(VLOOKUP($A173,EnrollData2324,'2324 Jun 24 Enroll'!E$1,FALSE)='District Calculations'!$F$12,VLOOKUP($A173,EnrollData2324,'2324 Jun 24 Enroll'!E$1,FALSE),'District Calculations'!$F$12)*S173,3)</f>
        <v>15.183999999999999</v>
      </c>
      <c r="V173">
        <f>ROUND(IF(VLOOKUP($A173,EnrollData2324,'2324 Jun 24 Enroll'!F$1,FALSE)='District Calculations'!$F$13,VLOOKUP($A173,EnrollData2324,'2324 Jun 24 Enroll'!F$1,FALSE),'District Calculations'!$F$13)*Apport_224A2425,3)</f>
        <v>3.7109999999999999</v>
      </c>
      <c r="W173">
        <f>ROUND(IF(VLOOKUP($A173,EnrollData2324,'2324 Jun 24 Enroll'!G$1,FALSE)='District Calculations'!$F$14,VLOOKUP($A173,EnrollData2324,'2324 Jun 24 Enroll'!G$1,FALSE),'District Calculations'!$F$14)*Apport_212A2425,3)</f>
        <v>8.2279999999999998</v>
      </c>
      <c r="X173">
        <f>ROUND(IF(VLOOKUP($A173,EnrollData2324,'2324 Jun 24 Enroll'!H$1,FALSE)='District Calculations'!$F$14,VLOOKUP($A173,EnrollData2324,'2324 Jun 24 Enroll'!H$1,FALSE),'District Calculations'!$F$14)*Apport_215A2425,3)</f>
        <v>8.1180000000000003</v>
      </c>
      <c r="Y173">
        <f>ROUND(IF(VLOOKUP($A173,EnrollData2324,'2324 Jun 24 Enroll'!I$1,FALSE)+VLOOKUP($A173,EnrollData2324,'2324 Jun 24 Enroll'!M$1,FALSE)-VLOOKUP($A173,EnrollData2324,'2324 Jun 24 Enroll'!J$1,FALSE)='District Calculations'!$F$16+'District Calculations'!$F$25-'District Calculations'!$F$17,VLOOKUP($A173,EnrollData2324,'2324 Jun 24 Enroll'!I$1,FALSE)+VLOOKUP($A173,EnrollData2324,'2324 Jun 24 Enroll'!M$1,FALSE)-VLOOKUP($A173,EnrollData2324,'2324 Jun 24 Enroll'!J$1,FALSE),'District Calculations'!$F$16+'District Calculations'!$F$25-'District Calculations'!$F$17)*Apport_218A2425,3)</f>
        <v>20.257999999999999</v>
      </c>
      <c r="Z173">
        <f>ROUND(SUM(T173:Y173)/IF(VLOOKUP($A173,EnrollData2324,'2324 Jun 24 Enroll'!M$1,FALSE)+VLOOKUP($A173,EnrollData2324,'2324 Jun 24 Enroll'!D$1,FALSE)='District Calculations'!$F$25+'District Calculations'!$F$11,VLOOKUP($A173,EnrollData2324,'2324 Jun 24 Enroll'!M$1,FALSE)+VLOOKUP($A173,EnrollData2324,'2324 Jun 24 Enroll'!D$1,FALSE),'District Calculations'!$F$25+'District Calculations'!$F$11),5)</f>
        <v>1.7780000000000001E-2</v>
      </c>
      <c r="AA173" s="6">
        <f>ROUND($J173*CIS_Base_Salary2425*VLOOKUP($A173,EnrollData2324,'2324 Jun 24 Enroll'!AH$1,FALSE),2)</f>
        <v>4262.68</v>
      </c>
      <c r="AB173" s="6">
        <f>ROUND($J173*CIS_Inc_Salary2425*(VLOOKUP($A173,EnrollData2324,'2324 Jun 24 Enroll'!AI$1,FALSE)+VLOOKUP($A173,EnrollData2324,'2324 Jun 24 Enroll'!AJ$1,FALSE)),2)-AA173</f>
        <v>201.89999999999964</v>
      </c>
      <c r="AC173" s="6" cm="1">
        <f t="array" ref="AC173">ROUND($R173*CAS_Base_Salary2425*VLOOKUP($A173,EnrollData2324,'2324 Jun 24 Enroll'!AH$1,FALSE),2)</f>
        <v>461.23</v>
      </c>
      <c r="AD173" s="6">
        <f>ROUND($R173*CAS_Inc_Salary2425*VLOOKUP($A173,EnrollData2324,'2324 Jun 24 Enroll'!AI$1,FALSE),2)-AC173</f>
        <v>17.069999999999993</v>
      </c>
      <c r="AE173" s="6">
        <f>ROUND($Z173*CLS_Base_Salary2425*VLOOKUP($A173,EnrollData2324,'2324 Jun 24 Enroll'!AH$1,FALSE),2)</f>
        <v>961.95</v>
      </c>
      <c r="AF173" s="6">
        <f>ROUND($Z173*CLS_Inc_Salary2425*VLOOKUP($A173,EnrollData2324,'2324 Jun 24 Enroll'!AI$1,FALSE),2)-AE173</f>
        <v>35.599999999999909</v>
      </c>
      <c r="AG173" cm="1">
        <f t="array" ref="AG173">ROUND(($J173+$R173)*Apport_124X2425,2)</f>
        <v>800.45</v>
      </c>
      <c r="AH173" s="69" cm="1">
        <f t="array" ref="AH173">ROUND(($J173+$R173)*Apport_621X2425*Apport_125XC2425,2)-AG173</f>
        <v>73.899999999999977</v>
      </c>
      <c r="AI173" cm="1">
        <f t="array" ref="AI173">ROUND($Z173*Apport_124X2425,2)</f>
        <v>234.7</v>
      </c>
      <c r="AJ173">
        <f t="shared" si="42"/>
        <v>124.71000000000004</v>
      </c>
      <c r="AK173">
        <f t="shared" si="43"/>
        <v>857.39</v>
      </c>
      <c r="AL173">
        <f t="shared" si="44"/>
        <v>38.340000000000003</v>
      </c>
      <c r="AM173">
        <f t="shared" si="45"/>
        <v>208.36</v>
      </c>
      <c r="AN173">
        <f t="shared" si="46"/>
        <v>6.46</v>
      </c>
      <c r="AO173">
        <f>ROUND(($J173*CIS_Inc_Salary2425*(VLOOKUP($A173,EnrollData2324,'2324 Jun 24 Enroll'!AI$1,FALSE)+VLOOKUP($A173,EnrollData2324,'2324 Jun 24 Enroll'!AJ$1,FALSE))/Apport_613Xpd)*Apport_614Xpd,2)</f>
        <v>74.41</v>
      </c>
      <c r="AP173">
        <f t="shared" si="47"/>
        <v>13.03</v>
      </c>
      <c r="AQ173">
        <f t="shared" si="38"/>
        <v>31.48</v>
      </c>
      <c r="AR173" s="6">
        <f>ROUND((VLOOKUP($A173,EnrollData2324,'2324 Jun 24 Enroll'!D$1,FALSE)*Apport_M802425+VLOOKUP($A173,EnrollData2324,'2324 Jun 24 Enroll'!M$1,FALSE)*Apport_M802425+(VLOOKUP($A173,EnrollData2324,'2324 Jun 24 Enroll'!P$1,FALSE)+VLOOKUP($A173,EnrollData2324,'2324 Jun 24 Enroll'!Q$1,FALSE)+VLOOKUP($A173,EnrollData2324,'2324 Jun 24 Enroll'!R$1,FALSE)+VLOOKUP($A173,EnrollData2324,'2324 Jun 24 Enroll'!I$1,FALSE)+VLOOKUP($A173,EnrollData2324,'2324 Jun 24 Enroll'!N$1,FALSE)+VLOOKUP($A173,EnrollData2324,'2324 Jun 24 Enroll'!O$1,FALSE)+VLOOKUP($A173,EnrollData2324,'2324 Jun 24 Enroll'!K$1,FALSE)+VLOOKUP($A173,EnrollData2324,'2324 Jun 24 Enroll'!L$1,FALSE))*Apport_M812425)/(VLOOKUP($A173,EnrollData2324,'2324 Jun 24 Enroll'!M$1,FALSE)+VLOOKUP($A173,EnrollData2324,'2324 Jun 24 Enroll'!D$1,FALSE)),2)</f>
        <v>1580.75</v>
      </c>
      <c r="AS173" s="7">
        <f t="shared" si="39"/>
        <v>9984.409999999998</v>
      </c>
    </row>
    <row r="174" spans="1:45">
      <c r="A174" s="40" t="s">
        <v>414</v>
      </c>
      <c r="B174" s="40" t="s">
        <v>415</v>
      </c>
      <c r="C174" s="11">
        <f>ROUND((IFERROR((1/IF(VLOOKUP($A174,EnrollData2324,28,FALSE)='District Calculations'!$F$10,VLOOKUP($A174,EnrollData2324,28,FALSE),'District Calculations'!$F$10))*(1+Apport_Z315),0))+Apport_201A2425,6)</f>
        <v>7.4580999999999995E-2</v>
      </c>
      <c r="D174">
        <f>ROUND(IF(VLOOKUP($A174,EnrollData2324,'2324 Jun 24 Enroll'!D$1,FALSE)='District Calculations'!$F$11,VLOOKUP($A174,EnrollData2324,'2324 Jun 24 Enroll'!D$1,FALSE),'District Calculations'!$F$11)*C174,3)</f>
        <v>0</v>
      </c>
      <c r="E174">
        <f>ROUND(IF(VLOOKUP($A174,EnrollData2324,'2324 Jun 24 Enroll'!E$1,FALSE)='District Calculations'!$F$12,VLOOKUP($A174,EnrollData2324,'2324 Jun 24 Enroll'!E$1,FALSE),'District Calculations'!$F$12)*C174,3)</f>
        <v>60.447000000000003</v>
      </c>
      <c r="F174">
        <f>ROUND(IF(VLOOKUP($A174,EnrollData2324,'2324 Jun 24 Enroll'!F$1,FALSE)='District Calculations'!$F$13,VLOOKUP($A174,EnrollData2324,'2324 Jun 24 Enroll'!F$1,FALSE),'District Calculations'!$F$13)*Apport_222A2425,3)</f>
        <v>10.337999999999999</v>
      </c>
      <c r="G174">
        <f>ROUND(IF(VLOOKUP($A174,EnrollData2324,'2324 Jun 24 Enroll'!G$1,FALSE)='District Calculations'!$F$14,VLOOKUP($A174,EnrollData2324,'2324 Jun 24 Enroll'!G$1,FALSE),'District Calculations'!$F$14)*Apport_210A2425,3)</f>
        <v>22.92</v>
      </c>
      <c r="H174">
        <f>ROUND(IF(VLOOKUP($A174,EnrollData2324,'2324 Jun 24 Enroll'!H$1,FALSE)='District Calculations'!$F$15,VLOOKUP($A174,EnrollData2324,'2324 Jun 24 Enroll'!H$1,FALSE),'District Calculations'!$F$15)*Apport_213A2425,3)</f>
        <v>23.619</v>
      </c>
      <c r="I174">
        <f>ROUND(IF(VLOOKUP($A174,EnrollData2324,'2324 Jun 24 Enroll'!I$1,FALSE)+VLOOKUP($A174,EnrollData2324,'2324 Jun 24 Enroll'!M$1,FALSE)-VLOOKUP($A174,EnrollData2324,'2324 Jun 24 Enroll'!J$1,FALSE)='District Calculations'!$F$16+'District Calculations'!$F$25-'District Calculations'!$F$17,VLOOKUP($A174,EnrollData2324,'2324 Jun 24 Enroll'!I$1,FALSE)+VLOOKUP($A174,EnrollData2324,'2324 Jun 24 Enroll'!M$1,FALSE)-VLOOKUP($A174,EnrollData2324,'2324 Jun 24 Enroll'!J$1,FALSE),'District Calculations'!$F$16+'District Calculations'!$F$25-'District Calculations'!$F$17)*Apport_216A2425,3)</f>
        <v>59.057000000000002</v>
      </c>
      <c r="J174">
        <f>ROUND(SUM(D174:I174)/(IF(VLOOKUP($A174,EnrollData2324,'2324 Jun 24 Enroll'!M$1,FALSE)='District Calculations'!$F$25,VLOOKUP($A174,EnrollData2324,'2324 Jun 24 Enroll'!M$1,FALSE),'District Calculations'!$F$25)+IF(VLOOKUP($A174,EnrollData2324,'2324 Jun 24 Enroll'!D$1,FALSE)='District Calculations'!$F$11,VLOOKUP($A174,EnrollData2324,'2324 Jun 24 Enroll'!D$1,FALSE),'District Calculations'!$F$11)),5)</f>
        <v>5.6520000000000001E-2</v>
      </c>
      <c r="K174" s="11">
        <f t="shared" si="40"/>
        <v>4.385E-3</v>
      </c>
      <c r="L174">
        <f>ROUND(IF(VLOOKUP($A174,EnrollData2324,'2324 Jun 24 Enroll'!D$1,FALSE)='District Calculations'!$F$11,VLOOKUP($A174,EnrollData2324,'2324 Jun 24 Enroll'!D$1,FALSE),'District Calculations'!$F$11)*K174,3)</f>
        <v>0</v>
      </c>
      <c r="M174">
        <f>ROUND(IF(VLOOKUP($A174,EnrollData2324,'2324 Jun 24 Enroll'!E$1,FALSE)='District Calculations'!$F$12,VLOOKUP($A174,EnrollData2324,'2324 Jun 24 Enroll'!E$1,FALSE),'District Calculations'!$F$12)*K174,3)</f>
        <v>3.5539999999999998</v>
      </c>
      <c r="N174">
        <f>ROUND(IF(VLOOKUP($A174,EnrollData2324,'2324 Jun 24 Enroll'!F$1,FALSE)='District Calculations'!$F$13,VLOOKUP($A174,EnrollData2324,'2324 Jun 24 Enroll'!F$1,FALSE),'District Calculations'!$F$13)*Apport_223A2425,3)</f>
        <v>0.84599999999999997</v>
      </c>
      <c r="O174">
        <f>ROUND(IF(VLOOKUP($A174,EnrollData2324,'2324 Jun 24 Enroll'!G$1,FALSE)='District Calculations'!$F$14,VLOOKUP($A174,EnrollData2324,'2324 Jun 24 Enroll'!G$1,FALSE),'District Calculations'!$F$14)*Apport_211A2425,3)</f>
        <v>1.877</v>
      </c>
      <c r="P174">
        <f>ROUND(IF(VLOOKUP($A174,EnrollData2324,'2324 Jun 24 Enroll'!H$1,FALSE)='District Calculations'!$F$14,VLOOKUP($A174,EnrollData2324,'2324 Jun 24 Enroll'!H$1,FALSE),'District Calculations'!$F$14)*Apport_214A2425,3)</f>
        <v>1.875</v>
      </c>
      <c r="Q174">
        <f>ROUND(IF(VLOOKUP($A174,EnrollData2324,'2324 Jun 24 Enroll'!I$1,FALSE)+VLOOKUP($A174,EnrollData2324,'2324 Jun 24 Enroll'!M$1,FALSE)-VLOOKUP($A174,EnrollData2324,'2324 Jun 24 Enroll'!J$1,FALSE)='District Calculations'!$F$16+'District Calculations'!$F$25-'District Calculations'!$F$17,VLOOKUP($A174,EnrollData2324,'2324 Jun 24 Enroll'!I$1,FALSE)+VLOOKUP($A174,EnrollData2324,'2324 Jun 24 Enroll'!M$1,FALSE)-VLOOKUP($A174,EnrollData2324,'2324 Jun 24 Enroll'!J$1,FALSE),'District Calculations'!$F$16+'District Calculations'!$F$25-'District Calculations'!$F$17)*Apport_217A2425,3)</f>
        <v>4.7130000000000001</v>
      </c>
      <c r="R174">
        <f>ROUND(SUM(L174:Q174)/IF(VLOOKUP($A174,EnrollData2324,'2324 Jun 24 Enroll'!M$1,FALSE)+VLOOKUP($A174,EnrollData2324,'2324 Jun 24 Enroll'!D$1,FALSE)='District Calculations'!$F$25+'District Calculations'!$F$11,VLOOKUP($A174,EnrollData2324,'2324 Jun 24 Enroll'!M$1,FALSE)+VLOOKUP($A174,EnrollData2324,'2324 Jun 24 Enroll'!D$1,FALSE),'District Calculations'!$F$25+'District Calculations'!$F$11),5)</f>
        <v>4.1200000000000004E-3</v>
      </c>
      <c r="S174" s="11">
        <f t="shared" si="41"/>
        <v>1.8734299999999999E-2</v>
      </c>
      <c r="T174">
        <f>ROUND(IF(VLOOKUP($A174,EnrollData2324,'2324 Jun 24 Enroll'!D$1,FALSE)='District Calculations'!$F$11,VLOOKUP($A174,EnrollData2324,'2324 Jun 24 Enroll'!D$1,FALSE),'District Calculations'!$F$11)*S174,3)</f>
        <v>0</v>
      </c>
      <c r="U174">
        <f>ROUND(IF(VLOOKUP($A174,EnrollData2324,'2324 Jun 24 Enroll'!E$1,FALSE)='District Calculations'!$F$12,VLOOKUP($A174,EnrollData2324,'2324 Jun 24 Enroll'!E$1,FALSE),'District Calculations'!$F$12)*S174,3)</f>
        <v>15.183999999999999</v>
      </c>
      <c r="V174">
        <f>ROUND(IF(VLOOKUP($A174,EnrollData2324,'2324 Jun 24 Enroll'!F$1,FALSE)='District Calculations'!$F$13,VLOOKUP($A174,EnrollData2324,'2324 Jun 24 Enroll'!F$1,FALSE),'District Calculations'!$F$13)*Apport_224A2425,3)</f>
        <v>3.7109999999999999</v>
      </c>
      <c r="W174">
        <f>ROUND(IF(VLOOKUP($A174,EnrollData2324,'2324 Jun 24 Enroll'!G$1,FALSE)='District Calculations'!$F$14,VLOOKUP($A174,EnrollData2324,'2324 Jun 24 Enroll'!G$1,FALSE),'District Calculations'!$F$14)*Apport_212A2425,3)</f>
        <v>8.2279999999999998</v>
      </c>
      <c r="X174">
        <f>ROUND(IF(VLOOKUP($A174,EnrollData2324,'2324 Jun 24 Enroll'!H$1,FALSE)='District Calculations'!$F$14,VLOOKUP($A174,EnrollData2324,'2324 Jun 24 Enroll'!H$1,FALSE),'District Calculations'!$F$14)*Apport_215A2425,3)</f>
        <v>8.1180000000000003</v>
      </c>
      <c r="Y174">
        <f>ROUND(IF(VLOOKUP($A174,EnrollData2324,'2324 Jun 24 Enroll'!I$1,FALSE)+VLOOKUP($A174,EnrollData2324,'2324 Jun 24 Enroll'!M$1,FALSE)-VLOOKUP($A174,EnrollData2324,'2324 Jun 24 Enroll'!J$1,FALSE)='District Calculations'!$F$16+'District Calculations'!$F$25-'District Calculations'!$F$17,VLOOKUP($A174,EnrollData2324,'2324 Jun 24 Enroll'!I$1,FALSE)+VLOOKUP($A174,EnrollData2324,'2324 Jun 24 Enroll'!M$1,FALSE)-VLOOKUP($A174,EnrollData2324,'2324 Jun 24 Enroll'!J$1,FALSE),'District Calculations'!$F$16+'District Calculations'!$F$25-'District Calculations'!$F$17)*Apport_218A2425,3)</f>
        <v>20.257999999999999</v>
      </c>
      <c r="Z174">
        <f>ROUND(SUM(T174:Y174)/IF(VLOOKUP($A174,EnrollData2324,'2324 Jun 24 Enroll'!M$1,FALSE)+VLOOKUP($A174,EnrollData2324,'2324 Jun 24 Enroll'!D$1,FALSE)='District Calculations'!$F$25+'District Calculations'!$F$11,VLOOKUP($A174,EnrollData2324,'2324 Jun 24 Enroll'!M$1,FALSE)+VLOOKUP($A174,EnrollData2324,'2324 Jun 24 Enroll'!D$1,FALSE),'District Calculations'!$F$25+'District Calculations'!$F$11),5)</f>
        <v>1.7780000000000001E-2</v>
      </c>
      <c r="AA174" s="6">
        <f>ROUND($J174*CIS_Base_Salary2425*VLOOKUP($A174,EnrollData2324,'2324 Jun 24 Enroll'!AH$1,FALSE),2)</f>
        <v>4262.68</v>
      </c>
      <c r="AB174" s="6">
        <f>ROUND($J174*CIS_Inc_Salary2425*(VLOOKUP($A174,EnrollData2324,'2324 Jun 24 Enroll'!AI$1,FALSE)+VLOOKUP($A174,EnrollData2324,'2324 Jun 24 Enroll'!AJ$1,FALSE)),2)-AA174</f>
        <v>201.89999999999964</v>
      </c>
      <c r="AC174" s="6" cm="1">
        <f t="array" ref="AC174">ROUND($R174*CAS_Base_Salary2425*VLOOKUP($A174,EnrollData2324,'2324 Jun 24 Enroll'!AH$1,FALSE),2)</f>
        <v>461.23</v>
      </c>
      <c r="AD174" s="6">
        <f>ROUND($R174*CAS_Inc_Salary2425*VLOOKUP($A174,EnrollData2324,'2324 Jun 24 Enroll'!AI$1,FALSE),2)-AC174</f>
        <v>17.069999999999993</v>
      </c>
      <c r="AE174" s="6">
        <f>ROUND($Z174*CLS_Base_Salary2425*VLOOKUP($A174,EnrollData2324,'2324 Jun 24 Enroll'!AH$1,FALSE),2)</f>
        <v>961.95</v>
      </c>
      <c r="AF174" s="6">
        <f>ROUND($Z174*CLS_Inc_Salary2425*VLOOKUP($A174,EnrollData2324,'2324 Jun 24 Enroll'!AI$1,FALSE),2)-AE174</f>
        <v>35.599999999999909</v>
      </c>
      <c r="AG174" cm="1">
        <f t="array" ref="AG174">ROUND(($J174+$R174)*Apport_124X2425,2)</f>
        <v>800.45</v>
      </c>
      <c r="AH174" s="69" cm="1">
        <f t="array" ref="AH174">ROUND(($J174+$R174)*Apport_621X2425*Apport_125XC2425,2)-AG174</f>
        <v>73.899999999999977</v>
      </c>
      <c r="AI174" cm="1">
        <f t="array" ref="AI174">ROUND($Z174*Apport_124X2425,2)</f>
        <v>234.7</v>
      </c>
      <c r="AJ174">
        <f t="shared" si="42"/>
        <v>124.71000000000004</v>
      </c>
      <c r="AK174">
        <f t="shared" si="43"/>
        <v>857.39</v>
      </c>
      <c r="AL174">
        <f t="shared" si="44"/>
        <v>38.340000000000003</v>
      </c>
      <c r="AM174">
        <f t="shared" si="45"/>
        <v>208.36</v>
      </c>
      <c r="AN174">
        <f t="shared" si="46"/>
        <v>6.46</v>
      </c>
      <c r="AO174">
        <f>ROUND(($J174*CIS_Inc_Salary2425*(VLOOKUP($A174,EnrollData2324,'2324 Jun 24 Enroll'!AI$1,FALSE)+VLOOKUP($A174,EnrollData2324,'2324 Jun 24 Enroll'!AJ$1,FALSE))/Apport_613Xpd)*Apport_614Xpd,2)</f>
        <v>74.41</v>
      </c>
      <c r="AP174">
        <f t="shared" si="47"/>
        <v>13.03</v>
      </c>
      <c r="AQ174">
        <f t="shared" si="38"/>
        <v>31.48</v>
      </c>
      <c r="AR174" s="6">
        <f>ROUND((VLOOKUP($A174,EnrollData2324,'2324 Jun 24 Enroll'!D$1,FALSE)*Apport_M802425+VLOOKUP($A174,EnrollData2324,'2324 Jun 24 Enroll'!M$1,FALSE)*Apport_M802425+(VLOOKUP($A174,EnrollData2324,'2324 Jun 24 Enroll'!P$1,FALSE)+VLOOKUP($A174,EnrollData2324,'2324 Jun 24 Enroll'!Q$1,FALSE)+VLOOKUP($A174,EnrollData2324,'2324 Jun 24 Enroll'!R$1,FALSE)+VLOOKUP($A174,EnrollData2324,'2324 Jun 24 Enroll'!I$1,FALSE)+VLOOKUP($A174,EnrollData2324,'2324 Jun 24 Enroll'!N$1,FALSE)+VLOOKUP($A174,EnrollData2324,'2324 Jun 24 Enroll'!O$1,FALSE)+VLOOKUP($A174,EnrollData2324,'2324 Jun 24 Enroll'!K$1,FALSE)+VLOOKUP($A174,EnrollData2324,'2324 Jun 24 Enroll'!L$1,FALSE))*Apport_M812425)/(VLOOKUP($A174,EnrollData2324,'2324 Jun 24 Enroll'!M$1,FALSE)+VLOOKUP($A174,EnrollData2324,'2324 Jun 24 Enroll'!D$1,FALSE)),2)</f>
        <v>1602.89</v>
      </c>
      <c r="AS174" s="7">
        <f t="shared" si="39"/>
        <v>10006.549999999997</v>
      </c>
    </row>
    <row r="175" spans="1:45">
      <c r="A175" s="40" t="s">
        <v>653</v>
      </c>
      <c r="B175" s="40" t="s">
        <v>654</v>
      </c>
      <c r="C175" s="11">
        <f>ROUND((IFERROR((1/IF(VLOOKUP($A175,EnrollData2324,28,FALSE)='District Calculations'!$F$10,VLOOKUP($A175,EnrollData2324,28,FALSE),'District Calculations'!$F$10))*(1+Apport_Z315),0))+Apport_201A2425,6)</f>
        <v>7.4580999999999995E-2</v>
      </c>
      <c r="D175">
        <f>ROUND(IF(VLOOKUP($A175,EnrollData2324,'2324 Jun 24 Enroll'!D$1,FALSE)='District Calculations'!$F$11,VLOOKUP($A175,EnrollData2324,'2324 Jun 24 Enroll'!D$1,FALSE),'District Calculations'!$F$11)*C175,3)</f>
        <v>0</v>
      </c>
      <c r="E175">
        <f>ROUND(IF(VLOOKUP($A175,EnrollData2324,'2324 Jun 24 Enroll'!E$1,FALSE)='District Calculations'!$F$12,VLOOKUP($A175,EnrollData2324,'2324 Jun 24 Enroll'!E$1,FALSE),'District Calculations'!$F$12)*C175,3)</f>
        <v>60.447000000000003</v>
      </c>
      <c r="F175">
        <f>ROUND(IF(VLOOKUP($A175,EnrollData2324,'2324 Jun 24 Enroll'!F$1,FALSE)='District Calculations'!$F$13,VLOOKUP($A175,EnrollData2324,'2324 Jun 24 Enroll'!F$1,FALSE),'District Calculations'!$F$13)*Apport_222A2425,3)</f>
        <v>10.337999999999999</v>
      </c>
      <c r="G175">
        <f>ROUND(IF(VLOOKUP($A175,EnrollData2324,'2324 Jun 24 Enroll'!G$1,FALSE)='District Calculations'!$F$14,VLOOKUP($A175,EnrollData2324,'2324 Jun 24 Enroll'!G$1,FALSE),'District Calculations'!$F$14)*Apport_210A2425,3)</f>
        <v>22.92</v>
      </c>
      <c r="H175">
        <f>ROUND(IF(VLOOKUP($A175,EnrollData2324,'2324 Jun 24 Enroll'!H$1,FALSE)='District Calculations'!$F$15,VLOOKUP($A175,EnrollData2324,'2324 Jun 24 Enroll'!H$1,FALSE),'District Calculations'!$F$15)*Apport_213A2425,3)</f>
        <v>23.619</v>
      </c>
      <c r="I175">
        <f>ROUND(IF(VLOOKUP($A175,EnrollData2324,'2324 Jun 24 Enroll'!I$1,FALSE)+VLOOKUP($A175,EnrollData2324,'2324 Jun 24 Enroll'!M$1,FALSE)-VLOOKUP($A175,EnrollData2324,'2324 Jun 24 Enroll'!J$1,FALSE)='District Calculations'!$F$16+'District Calculations'!$F$25-'District Calculations'!$F$17,VLOOKUP($A175,EnrollData2324,'2324 Jun 24 Enroll'!I$1,FALSE)+VLOOKUP($A175,EnrollData2324,'2324 Jun 24 Enroll'!M$1,FALSE)-VLOOKUP($A175,EnrollData2324,'2324 Jun 24 Enroll'!J$1,FALSE),'District Calculations'!$F$16+'District Calculations'!$F$25-'District Calculations'!$F$17)*Apport_216A2425,3)</f>
        <v>59.057000000000002</v>
      </c>
      <c r="J175">
        <f>ROUND(SUM(D175:I175)/(IF(VLOOKUP($A175,EnrollData2324,'2324 Jun 24 Enroll'!M$1,FALSE)='District Calculations'!$F$25,VLOOKUP($A175,EnrollData2324,'2324 Jun 24 Enroll'!M$1,FALSE),'District Calculations'!$F$25)+IF(VLOOKUP($A175,EnrollData2324,'2324 Jun 24 Enroll'!D$1,FALSE)='District Calculations'!$F$11,VLOOKUP($A175,EnrollData2324,'2324 Jun 24 Enroll'!D$1,FALSE),'District Calculations'!$F$11)),5)</f>
        <v>5.6520000000000001E-2</v>
      </c>
      <c r="K175" s="11">
        <f t="shared" si="40"/>
        <v>4.385E-3</v>
      </c>
      <c r="L175">
        <f>ROUND(IF(VLOOKUP($A175,EnrollData2324,'2324 Jun 24 Enroll'!D$1,FALSE)='District Calculations'!$F$11,VLOOKUP($A175,EnrollData2324,'2324 Jun 24 Enroll'!D$1,FALSE),'District Calculations'!$F$11)*K175,3)</f>
        <v>0</v>
      </c>
      <c r="M175">
        <f>ROUND(IF(VLOOKUP($A175,EnrollData2324,'2324 Jun 24 Enroll'!E$1,FALSE)='District Calculations'!$F$12,VLOOKUP($A175,EnrollData2324,'2324 Jun 24 Enroll'!E$1,FALSE),'District Calculations'!$F$12)*K175,3)</f>
        <v>3.5539999999999998</v>
      </c>
      <c r="N175">
        <f>ROUND(IF(VLOOKUP($A175,EnrollData2324,'2324 Jun 24 Enroll'!F$1,FALSE)='District Calculations'!$F$13,VLOOKUP($A175,EnrollData2324,'2324 Jun 24 Enroll'!F$1,FALSE),'District Calculations'!$F$13)*Apport_223A2425,3)</f>
        <v>0.84599999999999997</v>
      </c>
      <c r="O175">
        <f>ROUND(IF(VLOOKUP($A175,EnrollData2324,'2324 Jun 24 Enroll'!G$1,FALSE)='District Calculations'!$F$14,VLOOKUP($A175,EnrollData2324,'2324 Jun 24 Enroll'!G$1,FALSE),'District Calculations'!$F$14)*Apport_211A2425,3)</f>
        <v>1.877</v>
      </c>
      <c r="P175">
        <f>ROUND(IF(VLOOKUP($A175,EnrollData2324,'2324 Jun 24 Enroll'!H$1,FALSE)='District Calculations'!$F$14,VLOOKUP($A175,EnrollData2324,'2324 Jun 24 Enroll'!H$1,FALSE),'District Calculations'!$F$14)*Apport_214A2425,3)</f>
        <v>1.875</v>
      </c>
      <c r="Q175">
        <f>ROUND(IF(VLOOKUP($A175,EnrollData2324,'2324 Jun 24 Enroll'!I$1,FALSE)+VLOOKUP($A175,EnrollData2324,'2324 Jun 24 Enroll'!M$1,FALSE)-VLOOKUP($A175,EnrollData2324,'2324 Jun 24 Enroll'!J$1,FALSE)='District Calculations'!$F$16+'District Calculations'!$F$25-'District Calculations'!$F$17,VLOOKUP($A175,EnrollData2324,'2324 Jun 24 Enroll'!I$1,FALSE)+VLOOKUP($A175,EnrollData2324,'2324 Jun 24 Enroll'!M$1,FALSE)-VLOOKUP($A175,EnrollData2324,'2324 Jun 24 Enroll'!J$1,FALSE),'District Calculations'!$F$16+'District Calculations'!$F$25-'District Calculations'!$F$17)*Apport_217A2425,3)</f>
        <v>4.7130000000000001</v>
      </c>
      <c r="R175">
        <f>ROUND(SUM(L175:Q175)/IF(VLOOKUP($A175,EnrollData2324,'2324 Jun 24 Enroll'!M$1,FALSE)+VLOOKUP($A175,EnrollData2324,'2324 Jun 24 Enroll'!D$1,FALSE)='District Calculations'!$F$25+'District Calculations'!$F$11,VLOOKUP($A175,EnrollData2324,'2324 Jun 24 Enroll'!M$1,FALSE)+VLOOKUP($A175,EnrollData2324,'2324 Jun 24 Enroll'!D$1,FALSE),'District Calculations'!$F$25+'District Calculations'!$F$11),5)</f>
        <v>4.1200000000000004E-3</v>
      </c>
      <c r="S175" s="11">
        <f t="shared" si="41"/>
        <v>1.8734299999999999E-2</v>
      </c>
      <c r="T175">
        <f>ROUND(IF(VLOOKUP($A175,EnrollData2324,'2324 Jun 24 Enroll'!D$1,FALSE)='District Calculations'!$F$11,VLOOKUP($A175,EnrollData2324,'2324 Jun 24 Enroll'!D$1,FALSE),'District Calculations'!$F$11)*S175,3)</f>
        <v>0</v>
      </c>
      <c r="U175">
        <f>ROUND(IF(VLOOKUP($A175,EnrollData2324,'2324 Jun 24 Enroll'!E$1,FALSE)='District Calculations'!$F$12,VLOOKUP($A175,EnrollData2324,'2324 Jun 24 Enroll'!E$1,FALSE),'District Calculations'!$F$12)*S175,3)</f>
        <v>15.183999999999999</v>
      </c>
      <c r="V175">
        <f>ROUND(IF(VLOOKUP($A175,EnrollData2324,'2324 Jun 24 Enroll'!F$1,FALSE)='District Calculations'!$F$13,VLOOKUP($A175,EnrollData2324,'2324 Jun 24 Enroll'!F$1,FALSE),'District Calculations'!$F$13)*Apport_224A2425,3)</f>
        <v>3.7109999999999999</v>
      </c>
      <c r="W175">
        <f>ROUND(IF(VLOOKUP($A175,EnrollData2324,'2324 Jun 24 Enroll'!G$1,FALSE)='District Calculations'!$F$14,VLOOKUP($A175,EnrollData2324,'2324 Jun 24 Enroll'!G$1,FALSE),'District Calculations'!$F$14)*Apport_212A2425,3)</f>
        <v>8.2279999999999998</v>
      </c>
      <c r="X175">
        <f>ROUND(IF(VLOOKUP($A175,EnrollData2324,'2324 Jun 24 Enroll'!H$1,FALSE)='District Calculations'!$F$14,VLOOKUP($A175,EnrollData2324,'2324 Jun 24 Enroll'!H$1,FALSE),'District Calculations'!$F$14)*Apport_215A2425,3)</f>
        <v>8.1180000000000003</v>
      </c>
      <c r="Y175">
        <f>ROUND(IF(VLOOKUP($A175,EnrollData2324,'2324 Jun 24 Enroll'!I$1,FALSE)+VLOOKUP($A175,EnrollData2324,'2324 Jun 24 Enroll'!M$1,FALSE)-VLOOKUP($A175,EnrollData2324,'2324 Jun 24 Enroll'!J$1,FALSE)='District Calculations'!$F$16+'District Calculations'!$F$25-'District Calculations'!$F$17,VLOOKUP($A175,EnrollData2324,'2324 Jun 24 Enroll'!I$1,FALSE)+VLOOKUP($A175,EnrollData2324,'2324 Jun 24 Enroll'!M$1,FALSE)-VLOOKUP($A175,EnrollData2324,'2324 Jun 24 Enroll'!J$1,FALSE),'District Calculations'!$F$16+'District Calculations'!$F$25-'District Calculations'!$F$17)*Apport_218A2425,3)</f>
        <v>20.257999999999999</v>
      </c>
      <c r="Z175">
        <f>ROUND(SUM(T175:Y175)/IF(VLOOKUP($A175,EnrollData2324,'2324 Jun 24 Enroll'!M$1,FALSE)+VLOOKUP($A175,EnrollData2324,'2324 Jun 24 Enroll'!D$1,FALSE)='District Calculations'!$F$25+'District Calculations'!$F$11,VLOOKUP($A175,EnrollData2324,'2324 Jun 24 Enroll'!M$1,FALSE)+VLOOKUP($A175,EnrollData2324,'2324 Jun 24 Enroll'!D$1,FALSE),'District Calculations'!$F$25+'District Calculations'!$F$11),5)</f>
        <v>1.7780000000000001E-2</v>
      </c>
      <c r="AA175" s="6">
        <f>ROUND($J175*CIS_Base_Salary2425*VLOOKUP($A175,EnrollData2324,'2324 Jun 24 Enroll'!AH$1,FALSE),2)</f>
        <v>4262.68</v>
      </c>
      <c r="AB175" s="6">
        <f>ROUND($J175*CIS_Inc_Salary2425*(VLOOKUP($A175,EnrollData2324,'2324 Jun 24 Enroll'!AI$1,FALSE)+VLOOKUP($A175,EnrollData2324,'2324 Jun 24 Enroll'!AJ$1,FALSE)),2)-AA175</f>
        <v>334.50999999999931</v>
      </c>
      <c r="AC175" s="6" cm="1">
        <f t="array" ref="AC175">ROUND($R175*CAS_Base_Salary2425*VLOOKUP($A175,EnrollData2324,'2324 Jun 24 Enroll'!AH$1,FALSE),2)</f>
        <v>461.23</v>
      </c>
      <c r="AD175" s="6">
        <f>ROUND($R175*CAS_Inc_Salary2425*VLOOKUP($A175,EnrollData2324,'2324 Jun 24 Enroll'!AI$1,FALSE),2)-AC175</f>
        <v>17.069999999999993</v>
      </c>
      <c r="AE175" s="6">
        <f>ROUND($Z175*CLS_Base_Salary2425*VLOOKUP($A175,EnrollData2324,'2324 Jun 24 Enroll'!AH$1,FALSE),2)</f>
        <v>961.95</v>
      </c>
      <c r="AF175" s="6">
        <f>ROUND($Z175*CLS_Inc_Salary2425*VLOOKUP($A175,EnrollData2324,'2324 Jun 24 Enroll'!AI$1,FALSE),2)-AE175</f>
        <v>35.599999999999909</v>
      </c>
      <c r="AG175" cm="1">
        <f t="array" ref="AG175">ROUND(($J175+$R175)*Apport_124X2425,2)</f>
        <v>800.45</v>
      </c>
      <c r="AH175" s="69" cm="1">
        <f t="array" ref="AH175">ROUND(($J175+$R175)*Apport_621X2425*Apport_125XC2425,2)-AG175</f>
        <v>73.899999999999977</v>
      </c>
      <c r="AI175" cm="1">
        <f t="array" ref="AI175">ROUND($Z175*Apport_124X2425,2)</f>
        <v>234.7</v>
      </c>
      <c r="AJ175">
        <f t="shared" si="42"/>
        <v>124.71000000000004</v>
      </c>
      <c r="AK175">
        <f t="shared" si="43"/>
        <v>857.39</v>
      </c>
      <c r="AL175">
        <f t="shared" si="44"/>
        <v>61.56</v>
      </c>
      <c r="AM175">
        <f t="shared" si="45"/>
        <v>208.36</v>
      </c>
      <c r="AN175">
        <f t="shared" si="46"/>
        <v>6.46</v>
      </c>
      <c r="AO175">
        <f>ROUND(($J175*CIS_Inc_Salary2425*(VLOOKUP($A175,EnrollData2324,'2324 Jun 24 Enroll'!AI$1,FALSE)+VLOOKUP($A175,EnrollData2324,'2324 Jun 24 Enroll'!AJ$1,FALSE))/Apport_613Xpd)*Apport_614Xpd,2)</f>
        <v>76.62</v>
      </c>
      <c r="AP175">
        <f t="shared" si="47"/>
        <v>13.42</v>
      </c>
      <c r="AQ175">
        <f t="shared" si="38"/>
        <v>31.48</v>
      </c>
      <c r="AR175" s="6">
        <f>ROUND((VLOOKUP($A175,EnrollData2324,'2324 Jun 24 Enroll'!D$1,FALSE)*Apport_M802425+VLOOKUP($A175,EnrollData2324,'2324 Jun 24 Enroll'!M$1,FALSE)*Apport_M802425+(VLOOKUP($A175,EnrollData2324,'2324 Jun 24 Enroll'!P$1,FALSE)+VLOOKUP($A175,EnrollData2324,'2324 Jun 24 Enroll'!Q$1,FALSE)+VLOOKUP($A175,EnrollData2324,'2324 Jun 24 Enroll'!R$1,FALSE)+VLOOKUP($A175,EnrollData2324,'2324 Jun 24 Enroll'!I$1,FALSE)+VLOOKUP($A175,EnrollData2324,'2324 Jun 24 Enroll'!N$1,FALSE)+VLOOKUP($A175,EnrollData2324,'2324 Jun 24 Enroll'!O$1,FALSE)+VLOOKUP($A175,EnrollData2324,'2324 Jun 24 Enroll'!K$1,FALSE)+VLOOKUP($A175,EnrollData2324,'2324 Jun 24 Enroll'!L$1,FALSE))*Apport_M812425)/(VLOOKUP($A175,EnrollData2324,'2324 Jun 24 Enroll'!M$1,FALSE)+VLOOKUP($A175,EnrollData2324,'2324 Jun 24 Enroll'!D$1,FALSE)),2)</f>
        <v>1597.28</v>
      </c>
      <c r="AS175" s="7">
        <f t="shared" si="39"/>
        <v>10159.369999999999</v>
      </c>
    </row>
    <row r="176" spans="1:45">
      <c r="A176" s="40" t="s">
        <v>877</v>
      </c>
      <c r="B176" s="40" t="s">
        <v>878</v>
      </c>
      <c r="C176" s="11">
        <f>ROUND((IFERROR((1/IF(VLOOKUP($A176,EnrollData2324,28,FALSE)='District Calculations'!$F$10,VLOOKUP($A176,EnrollData2324,28,FALSE),'District Calculations'!$F$10))*(1+Apport_Z315),0))+Apport_201A2425,6)</f>
        <v>7.4580999999999995E-2</v>
      </c>
      <c r="D176">
        <f>ROUND(IF(VLOOKUP($A176,EnrollData2324,'2324 Jun 24 Enroll'!D$1,FALSE)='District Calculations'!$F$11,VLOOKUP($A176,EnrollData2324,'2324 Jun 24 Enroll'!D$1,FALSE),'District Calculations'!$F$11)*C176,3)</f>
        <v>0</v>
      </c>
      <c r="E176">
        <f>ROUND(IF(VLOOKUP($A176,EnrollData2324,'2324 Jun 24 Enroll'!E$1,FALSE)='District Calculations'!$F$12,VLOOKUP($A176,EnrollData2324,'2324 Jun 24 Enroll'!E$1,FALSE),'District Calculations'!$F$12)*C176,3)</f>
        <v>60.447000000000003</v>
      </c>
      <c r="F176">
        <f>ROUND(IF(VLOOKUP($A176,EnrollData2324,'2324 Jun 24 Enroll'!F$1,FALSE)='District Calculations'!$F$13,VLOOKUP($A176,EnrollData2324,'2324 Jun 24 Enroll'!F$1,FALSE),'District Calculations'!$F$13)*Apport_222A2425,3)</f>
        <v>10.337999999999999</v>
      </c>
      <c r="G176">
        <f>ROUND(IF(VLOOKUP($A176,EnrollData2324,'2324 Jun 24 Enroll'!G$1,FALSE)='District Calculations'!$F$14,VLOOKUP($A176,EnrollData2324,'2324 Jun 24 Enroll'!G$1,FALSE),'District Calculations'!$F$14)*Apport_210A2425,3)</f>
        <v>22.92</v>
      </c>
      <c r="H176">
        <f>ROUND(IF(VLOOKUP($A176,EnrollData2324,'2324 Jun 24 Enroll'!H$1,FALSE)='District Calculations'!$F$15,VLOOKUP($A176,EnrollData2324,'2324 Jun 24 Enroll'!H$1,FALSE),'District Calculations'!$F$15)*Apport_213A2425,3)</f>
        <v>23.619</v>
      </c>
      <c r="I176">
        <f>ROUND(IF(VLOOKUP($A176,EnrollData2324,'2324 Jun 24 Enroll'!I$1,FALSE)+VLOOKUP($A176,EnrollData2324,'2324 Jun 24 Enroll'!M$1,FALSE)-VLOOKUP($A176,EnrollData2324,'2324 Jun 24 Enroll'!J$1,FALSE)='District Calculations'!$F$16+'District Calculations'!$F$25-'District Calculations'!$F$17,VLOOKUP($A176,EnrollData2324,'2324 Jun 24 Enroll'!I$1,FALSE)+VLOOKUP($A176,EnrollData2324,'2324 Jun 24 Enroll'!M$1,FALSE)-VLOOKUP($A176,EnrollData2324,'2324 Jun 24 Enroll'!J$1,FALSE),'District Calculations'!$F$16+'District Calculations'!$F$25-'District Calculations'!$F$17)*Apport_216A2425,3)</f>
        <v>59.057000000000002</v>
      </c>
      <c r="J176">
        <f>ROUND(SUM(D176:I176)/(IF(VLOOKUP($A176,EnrollData2324,'2324 Jun 24 Enroll'!M$1,FALSE)='District Calculations'!$F$25,VLOOKUP($A176,EnrollData2324,'2324 Jun 24 Enroll'!M$1,FALSE),'District Calculations'!$F$25)+IF(VLOOKUP($A176,EnrollData2324,'2324 Jun 24 Enroll'!D$1,FALSE)='District Calculations'!$F$11,VLOOKUP($A176,EnrollData2324,'2324 Jun 24 Enroll'!D$1,FALSE),'District Calculations'!$F$11)),5)</f>
        <v>5.6520000000000001E-2</v>
      </c>
      <c r="K176" s="11">
        <f t="shared" si="40"/>
        <v>4.385E-3</v>
      </c>
      <c r="L176">
        <f>ROUND(IF(VLOOKUP($A176,EnrollData2324,'2324 Jun 24 Enroll'!D$1,FALSE)='District Calculations'!$F$11,VLOOKUP($A176,EnrollData2324,'2324 Jun 24 Enroll'!D$1,FALSE),'District Calculations'!$F$11)*K176,3)</f>
        <v>0</v>
      </c>
      <c r="M176">
        <f>ROUND(IF(VLOOKUP($A176,EnrollData2324,'2324 Jun 24 Enroll'!E$1,FALSE)='District Calculations'!$F$12,VLOOKUP($A176,EnrollData2324,'2324 Jun 24 Enroll'!E$1,FALSE),'District Calculations'!$F$12)*K176,3)</f>
        <v>3.5539999999999998</v>
      </c>
      <c r="N176">
        <f>ROUND(IF(VLOOKUP($A176,EnrollData2324,'2324 Jun 24 Enroll'!F$1,FALSE)='District Calculations'!$F$13,VLOOKUP($A176,EnrollData2324,'2324 Jun 24 Enroll'!F$1,FALSE),'District Calculations'!$F$13)*Apport_223A2425,3)</f>
        <v>0.84599999999999997</v>
      </c>
      <c r="O176">
        <f>ROUND(IF(VLOOKUP($A176,EnrollData2324,'2324 Jun 24 Enroll'!G$1,FALSE)='District Calculations'!$F$14,VLOOKUP($A176,EnrollData2324,'2324 Jun 24 Enroll'!G$1,FALSE),'District Calculations'!$F$14)*Apport_211A2425,3)</f>
        <v>1.877</v>
      </c>
      <c r="P176">
        <f>ROUND(IF(VLOOKUP($A176,EnrollData2324,'2324 Jun 24 Enroll'!H$1,FALSE)='District Calculations'!$F$14,VLOOKUP($A176,EnrollData2324,'2324 Jun 24 Enroll'!H$1,FALSE),'District Calculations'!$F$14)*Apport_214A2425,3)</f>
        <v>1.875</v>
      </c>
      <c r="Q176">
        <f>ROUND(IF(VLOOKUP($A176,EnrollData2324,'2324 Jun 24 Enroll'!I$1,FALSE)+VLOOKUP($A176,EnrollData2324,'2324 Jun 24 Enroll'!M$1,FALSE)-VLOOKUP($A176,EnrollData2324,'2324 Jun 24 Enroll'!J$1,FALSE)='District Calculations'!$F$16+'District Calculations'!$F$25-'District Calculations'!$F$17,VLOOKUP($A176,EnrollData2324,'2324 Jun 24 Enroll'!I$1,FALSE)+VLOOKUP($A176,EnrollData2324,'2324 Jun 24 Enroll'!M$1,FALSE)-VLOOKUP($A176,EnrollData2324,'2324 Jun 24 Enroll'!J$1,FALSE),'District Calculations'!$F$16+'District Calculations'!$F$25-'District Calculations'!$F$17)*Apport_217A2425,3)</f>
        <v>4.7130000000000001</v>
      </c>
      <c r="R176">
        <f>ROUND(SUM(L176:Q176)/IF(VLOOKUP($A176,EnrollData2324,'2324 Jun 24 Enroll'!M$1,FALSE)+VLOOKUP($A176,EnrollData2324,'2324 Jun 24 Enroll'!D$1,FALSE)='District Calculations'!$F$25+'District Calculations'!$F$11,VLOOKUP($A176,EnrollData2324,'2324 Jun 24 Enroll'!M$1,FALSE)+VLOOKUP($A176,EnrollData2324,'2324 Jun 24 Enroll'!D$1,FALSE),'District Calculations'!$F$25+'District Calculations'!$F$11),5)</f>
        <v>4.1200000000000004E-3</v>
      </c>
      <c r="S176" s="11">
        <f t="shared" si="41"/>
        <v>1.8734299999999999E-2</v>
      </c>
      <c r="T176">
        <f>ROUND(IF(VLOOKUP($A176,EnrollData2324,'2324 Jun 24 Enroll'!D$1,FALSE)='District Calculations'!$F$11,VLOOKUP($A176,EnrollData2324,'2324 Jun 24 Enroll'!D$1,FALSE),'District Calculations'!$F$11)*S176,3)</f>
        <v>0</v>
      </c>
      <c r="U176">
        <f>ROUND(IF(VLOOKUP($A176,EnrollData2324,'2324 Jun 24 Enroll'!E$1,FALSE)='District Calculations'!$F$12,VLOOKUP($A176,EnrollData2324,'2324 Jun 24 Enroll'!E$1,FALSE),'District Calculations'!$F$12)*S176,3)</f>
        <v>15.183999999999999</v>
      </c>
      <c r="V176">
        <f>ROUND(IF(VLOOKUP($A176,EnrollData2324,'2324 Jun 24 Enroll'!F$1,FALSE)='District Calculations'!$F$13,VLOOKUP($A176,EnrollData2324,'2324 Jun 24 Enroll'!F$1,FALSE),'District Calculations'!$F$13)*Apport_224A2425,3)</f>
        <v>3.7109999999999999</v>
      </c>
      <c r="W176">
        <f>ROUND(IF(VLOOKUP($A176,EnrollData2324,'2324 Jun 24 Enroll'!G$1,FALSE)='District Calculations'!$F$14,VLOOKUP($A176,EnrollData2324,'2324 Jun 24 Enroll'!G$1,FALSE),'District Calculations'!$F$14)*Apport_212A2425,3)</f>
        <v>8.2279999999999998</v>
      </c>
      <c r="X176">
        <f>ROUND(IF(VLOOKUP($A176,EnrollData2324,'2324 Jun 24 Enroll'!H$1,FALSE)='District Calculations'!$F$14,VLOOKUP($A176,EnrollData2324,'2324 Jun 24 Enroll'!H$1,FALSE),'District Calculations'!$F$14)*Apport_215A2425,3)</f>
        <v>8.1180000000000003</v>
      </c>
      <c r="Y176">
        <f>ROUND(IF(VLOOKUP($A176,EnrollData2324,'2324 Jun 24 Enroll'!I$1,FALSE)+VLOOKUP($A176,EnrollData2324,'2324 Jun 24 Enroll'!M$1,FALSE)-VLOOKUP($A176,EnrollData2324,'2324 Jun 24 Enroll'!J$1,FALSE)='District Calculations'!$F$16+'District Calculations'!$F$25-'District Calculations'!$F$17,VLOOKUP($A176,EnrollData2324,'2324 Jun 24 Enroll'!I$1,FALSE)+VLOOKUP($A176,EnrollData2324,'2324 Jun 24 Enroll'!M$1,FALSE)-VLOOKUP($A176,EnrollData2324,'2324 Jun 24 Enroll'!J$1,FALSE),'District Calculations'!$F$16+'District Calculations'!$F$25-'District Calculations'!$F$17)*Apport_218A2425,3)</f>
        <v>20.257999999999999</v>
      </c>
      <c r="Z176">
        <f>ROUND(SUM(T176:Y176)/IF(VLOOKUP($A176,EnrollData2324,'2324 Jun 24 Enroll'!M$1,FALSE)+VLOOKUP($A176,EnrollData2324,'2324 Jun 24 Enroll'!D$1,FALSE)='District Calculations'!$F$25+'District Calculations'!$F$11,VLOOKUP($A176,EnrollData2324,'2324 Jun 24 Enroll'!M$1,FALSE)+VLOOKUP($A176,EnrollData2324,'2324 Jun 24 Enroll'!D$1,FALSE),'District Calculations'!$F$25+'District Calculations'!$F$11),5)</f>
        <v>1.7780000000000001E-2</v>
      </c>
      <c r="AA176" s="6">
        <f>ROUND($J176*CIS_Base_Salary2425*VLOOKUP($A176,EnrollData2324,'2324 Jun 24 Enroll'!AH$1,FALSE),2)</f>
        <v>4262.68</v>
      </c>
      <c r="AB176" s="6">
        <f>ROUND($J176*CIS_Inc_Salary2425*(VLOOKUP($A176,EnrollData2324,'2324 Jun 24 Enroll'!AI$1,FALSE)+VLOOKUP($A176,EnrollData2324,'2324 Jun 24 Enroll'!AJ$1,FALSE)),2)-AA176</f>
        <v>157.6899999999996</v>
      </c>
      <c r="AC176" s="6" cm="1">
        <f t="array" ref="AC176">ROUND($R176*CAS_Base_Salary2425*VLOOKUP($A176,EnrollData2324,'2324 Jun 24 Enroll'!AH$1,FALSE),2)</f>
        <v>461.23</v>
      </c>
      <c r="AD176" s="6">
        <f>ROUND($R176*CAS_Inc_Salary2425*VLOOKUP($A176,EnrollData2324,'2324 Jun 24 Enroll'!AI$1,FALSE),2)-AC176</f>
        <v>17.069999999999993</v>
      </c>
      <c r="AE176" s="6">
        <f>ROUND($Z176*CLS_Base_Salary2425*VLOOKUP($A176,EnrollData2324,'2324 Jun 24 Enroll'!AH$1,FALSE),2)</f>
        <v>961.95</v>
      </c>
      <c r="AF176" s="6">
        <f>ROUND($Z176*CLS_Inc_Salary2425*VLOOKUP($A176,EnrollData2324,'2324 Jun 24 Enroll'!AI$1,FALSE),2)-AE176</f>
        <v>35.599999999999909</v>
      </c>
      <c r="AG176" cm="1">
        <f t="array" ref="AG176">ROUND(($J176+$R176)*Apport_124X2425,2)</f>
        <v>800.45</v>
      </c>
      <c r="AH176" s="69" cm="1">
        <f t="array" ref="AH176">ROUND(($J176+$R176)*Apport_621X2425*Apport_125XC2425,2)-AG176</f>
        <v>73.899999999999977</v>
      </c>
      <c r="AI176" cm="1">
        <f t="array" ref="AI176">ROUND($Z176*Apport_124X2425,2)</f>
        <v>234.7</v>
      </c>
      <c r="AJ176">
        <f t="shared" si="42"/>
        <v>124.71000000000004</v>
      </c>
      <c r="AK176">
        <f t="shared" si="43"/>
        <v>857.39</v>
      </c>
      <c r="AL176">
        <f t="shared" si="44"/>
        <v>30.6</v>
      </c>
      <c r="AM176">
        <f t="shared" si="45"/>
        <v>208.36</v>
      </c>
      <c r="AN176">
        <f t="shared" si="46"/>
        <v>6.46</v>
      </c>
      <c r="AO176">
        <f>ROUND(($J176*CIS_Inc_Salary2425*(VLOOKUP($A176,EnrollData2324,'2324 Jun 24 Enroll'!AI$1,FALSE)+VLOOKUP($A176,EnrollData2324,'2324 Jun 24 Enroll'!AJ$1,FALSE))/Apport_613Xpd)*Apport_614Xpd,2)</f>
        <v>73.67</v>
      </c>
      <c r="AP176">
        <f t="shared" si="47"/>
        <v>12.9</v>
      </c>
      <c r="AQ176">
        <f t="shared" si="38"/>
        <v>31.48</v>
      </c>
      <c r="AR176" s="6">
        <f>ROUND((VLOOKUP($A176,EnrollData2324,'2324 Jun 24 Enroll'!D$1,FALSE)*Apport_M802425+VLOOKUP($A176,EnrollData2324,'2324 Jun 24 Enroll'!M$1,FALSE)*Apport_M802425+(VLOOKUP($A176,EnrollData2324,'2324 Jun 24 Enroll'!P$1,FALSE)+VLOOKUP($A176,EnrollData2324,'2324 Jun 24 Enroll'!Q$1,FALSE)+VLOOKUP($A176,EnrollData2324,'2324 Jun 24 Enroll'!R$1,FALSE)+VLOOKUP($A176,EnrollData2324,'2324 Jun 24 Enroll'!I$1,FALSE)+VLOOKUP($A176,EnrollData2324,'2324 Jun 24 Enroll'!N$1,FALSE)+VLOOKUP($A176,EnrollData2324,'2324 Jun 24 Enroll'!O$1,FALSE)+VLOOKUP($A176,EnrollData2324,'2324 Jun 24 Enroll'!K$1,FALSE)+VLOOKUP($A176,EnrollData2324,'2324 Jun 24 Enroll'!L$1,FALSE))*Apport_M812425)/(VLOOKUP($A176,EnrollData2324,'2324 Jun 24 Enroll'!M$1,FALSE)+VLOOKUP($A176,EnrollData2324,'2324 Jun 24 Enroll'!D$1,FALSE)),2)</f>
        <v>1609.85</v>
      </c>
      <c r="AS176" s="7">
        <f t="shared" si="39"/>
        <v>9960.6899999999987</v>
      </c>
    </row>
    <row r="177" spans="1:45">
      <c r="A177" s="40" t="s">
        <v>498</v>
      </c>
      <c r="B177" s="40" t="s">
        <v>499</v>
      </c>
      <c r="C177" s="11">
        <f>ROUND((IFERROR((1/IF(VLOOKUP($A177,EnrollData2324,28,FALSE)='District Calculations'!$F$10,VLOOKUP($A177,EnrollData2324,28,FALSE),'District Calculations'!$F$10))*(1+Apport_Z315),0))+Apport_201A2425,6)</f>
        <v>7.4580999999999995E-2</v>
      </c>
      <c r="D177">
        <f>ROUND(IF(VLOOKUP($A177,EnrollData2324,'2324 Jun 24 Enroll'!D$1,FALSE)='District Calculations'!$F$11,VLOOKUP($A177,EnrollData2324,'2324 Jun 24 Enroll'!D$1,FALSE),'District Calculations'!$F$11)*C177,3)</f>
        <v>0</v>
      </c>
      <c r="E177">
        <f>ROUND(IF(VLOOKUP($A177,EnrollData2324,'2324 Jun 24 Enroll'!E$1,FALSE)='District Calculations'!$F$12,VLOOKUP($A177,EnrollData2324,'2324 Jun 24 Enroll'!E$1,FALSE),'District Calculations'!$F$12)*C177,3)</f>
        <v>60.447000000000003</v>
      </c>
      <c r="F177">
        <f>ROUND(IF(VLOOKUP($A177,EnrollData2324,'2324 Jun 24 Enroll'!F$1,FALSE)='District Calculations'!$F$13,VLOOKUP($A177,EnrollData2324,'2324 Jun 24 Enroll'!F$1,FALSE),'District Calculations'!$F$13)*Apport_222A2425,3)</f>
        <v>10.337999999999999</v>
      </c>
      <c r="G177">
        <f>ROUND(IF(VLOOKUP($A177,EnrollData2324,'2324 Jun 24 Enroll'!G$1,FALSE)='District Calculations'!$F$14,VLOOKUP($A177,EnrollData2324,'2324 Jun 24 Enroll'!G$1,FALSE),'District Calculations'!$F$14)*Apport_210A2425,3)</f>
        <v>22.92</v>
      </c>
      <c r="H177">
        <f>ROUND(IF(VLOOKUP($A177,EnrollData2324,'2324 Jun 24 Enroll'!H$1,FALSE)='District Calculations'!$F$15,VLOOKUP($A177,EnrollData2324,'2324 Jun 24 Enroll'!H$1,FALSE),'District Calculations'!$F$15)*Apport_213A2425,3)</f>
        <v>23.619</v>
      </c>
      <c r="I177">
        <f>ROUND(IF(VLOOKUP($A177,EnrollData2324,'2324 Jun 24 Enroll'!I$1,FALSE)+VLOOKUP($A177,EnrollData2324,'2324 Jun 24 Enroll'!M$1,FALSE)-VLOOKUP($A177,EnrollData2324,'2324 Jun 24 Enroll'!J$1,FALSE)='District Calculations'!$F$16+'District Calculations'!$F$25-'District Calculations'!$F$17,VLOOKUP($A177,EnrollData2324,'2324 Jun 24 Enroll'!I$1,FALSE)+VLOOKUP($A177,EnrollData2324,'2324 Jun 24 Enroll'!M$1,FALSE)-VLOOKUP($A177,EnrollData2324,'2324 Jun 24 Enroll'!J$1,FALSE),'District Calculations'!$F$16+'District Calculations'!$F$25-'District Calculations'!$F$17)*Apport_216A2425,3)</f>
        <v>59.057000000000002</v>
      </c>
      <c r="J177">
        <f>ROUND(SUM(D177:I177)/(IF(VLOOKUP($A177,EnrollData2324,'2324 Jun 24 Enroll'!M$1,FALSE)='District Calculations'!$F$25,VLOOKUP($A177,EnrollData2324,'2324 Jun 24 Enroll'!M$1,FALSE),'District Calculations'!$F$25)+IF(VLOOKUP($A177,EnrollData2324,'2324 Jun 24 Enroll'!D$1,FALSE)='District Calculations'!$F$11,VLOOKUP($A177,EnrollData2324,'2324 Jun 24 Enroll'!D$1,FALSE),'District Calculations'!$F$11)),5)</f>
        <v>5.6520000000000001E-2</v>
      </c>
      <c r="K177" s="11">
        <f t="shared" si="40"/>
        <v>4.385E-3</v>
      </c>
      <c r="L177">
        <f>ROUND(IF(VLOOKUP($A177,EnrollData2324,'2324 Jun 24 Enroll'!D$1,FALSE)='District Calculations'!$F$11,VLOOKUP($A177,EnrollData2324,'2324 Jun 24 Enroll'!D$1,FALSE),'District Calculations'!$F$11)*K177,3)</f>
        <v>0</v>
      </c>
      <c r="M177">
        <f>ROUND(IF(VLOOKUP($A177,EnrollData2324,'2324 Jun 24 Enroll'!E$1,FALSE)='District Calculations'!$F$12,VLOOKUP($A177,EnrollData2324,'2324 Jun 24 Enroll'!E$1,FALSE),'District Calculations'!$F$12)*K177,3)</f>
        <v>3.5539999999999998</v>
      </c>
      <c r="N177">
        <f>ROUND(IF(VLOOKUP($A177,EnrollData2324,'2324 Jun 24 Enroll'!F$1,FALSE)='District Calculations'!$F$13,VLOOKUP($A177,EnrollData2324,'2324 Jun 24 Enroll'!F$1,FALSE),'District Calculations'!$F$13)*Apport_223A2425,3)</f>
        <v>0.84599999999999997</v>
      </c>
      <c r="O177">
        <f>ROUND(IF(VLOOKUP($A177,EnrollData2324,'2324 Jun 24 Enroll'!G$1,FALSE)='District Calculations'!$F$14,VLOOKUP($A177,EnrollData2324,'2324 Jun 24 Enroll'!G$1,FALSE),'District Calculations'!$F$14)*Apport_211A2425,3)</f>
        <v>1.877</v>
      </c>
      <c r="P177">
        <f>ROUND(IF(VLOOKUP($A177,EnrollData2324,'2324 Jun 24 Enroll'!H$1,FALSE)='District Calculations'!$F$14,VLOOKUP($A177,EnrollData2324,'2324 Jun 24 Enroll'!H$1,FALSE),'District Calculations'!$F$14)*Apport_214A2425,3)</f>
        <v>1.875</v>
      </c>
      <c r="Q177">
        <f>ROUND(IF(VLOOKUP($A177,EnrollData2324,'2324 Jun 24 Enroll'!I$1,FALSE)+VLOOKUP($A177,EnrollData2324,'2324 Jun 24 Enroll'!M$1,FALSE)-VLOOKUP($A177,EnrollData2324,'2324 Jun 24 Enroll'!J$1,FALSE)='District Calculations'!$F$16+'District Calculations'!$F$25-'District Calculations'!$F$17,VLOOKUP($A177,EnrollData2324,'2324 Jun 24 Enroll'!I$1,FALSE)+VLOOKUP($A177,EnrollData2324,'2324 Jun 24 Enroll'!M$1,FALSE)-VLOOKUP($A177,EnrollData2324,'2324 Jun 24 Enroll'!J$1,FALSE),'District Calculations'!$F$16+'District Calculations'!$F$25-'District Calculations'!$F$17)*Apport_217A2425,3)</f>
        <v>4.7130000000000001</v>
      </c>
      <c r="R177">
        <f>ROUND(SUM(L177:Q177)/IF(VLOOKUP($A177,EnrollData2324,'2324 Jun 24 Enroll'!M$1,FALSE)+VLOOKUP($A177,EnrollData2324,'2324 Jun 24 Enroll'!D$1,FALSE)='District Calculations'!$F$25+'District Calculations'!$F$11,VLOOKUP($A177,EnrollData2324,'2324 Jun 24 Enroll'!M$1,FALSE)+VLOOKUP($A177,EnrollData2324,'2324 Jun 24 Enroll'!D$1,FALSE),'District Calculations'!$F$25+'District Calculations'!$F$11),5)</f>
        <v>4.1200000000000004E-3</v>
      </c>
      <c r="S177" s="11">
        <f t="shared" si="41"/>
        <v>1.8734299999999999E-2</v>
      </c>
      <c r="T177">
        <f>ROUND(IF(VLOOKUP($A177,EnrollData2324,'2324 Jun 24 Enroll'!D$1,FALSE)='District Calculations'!$F$11,VLOOKUP($A177,EnrollData2324,'2324 Jun 24 Enroll'!D$1,FALSE),'District Calculations'!$F$11)*S177,3)</f>
        <v>0</v>
      </c>
      <c r="U177">
        <f>ROUND(IF(VLOOKUP($A177,EnrollData2324,'2324 Jun 24 Enroll'!E$1,FALSE)='District Calculations'!$F$12,VLOOKUP($A177,EnrollData2324,'2324 Jun 24 Enroll'!E$1,FALSE),'District Calculations'!$F$12)*S177,3)</f>
        <v>15.183999999999999</v>
      </c>
      <c r="V177">
        <f>ROUND(IF(VLOOKUP($A177,EnrollData2324,'2324 Jun 24 Enroll'!F$1,FALSE)='District Calculations'!$F$13,VLOOKUP($A177,EnrollData2324,'2324 Jun 24 Enroll'!F$1,FALSE),'District Calculations'!$F$13)*Apport_224A2425,3)</f>
        <v>3.7109999999999999</v>
      </c>
      <c r="W177">
        <f>ROUND(IF(VLOOKUP($A177,EnrollData2324,'2324 Jun 24 Enroll'!G$1,FALSE)='District Calculations'!$F$14,VLOOKUP($A177,EnrollData2324,'2324 Jun 24 Enroll'!G$1,FALSE),'District Calculations'!$F$14)*Apport_212A2425,3)</f>
        <v>8.2279999999999998</v>
      </c>
      <c r="X177">
        <f>ROUND(IF(VLOOKUP($A177,EnrollData2324,'2324 Jun 24 Enroll'!H$1,FALSE)='District Calculations'!$F$14,VLOOKUP($A177,EnrollData2324,'2324 Jun 24 Enroll'!H$1,FALSE),'District Calculations'!$F$14)*Apport_215A2425,3)</f>
        <v>8.1180000000000003</v>
      </c>
      <c r="Y177">
        <f>ROUND(IF(VLOOKUP($A177,EnrollData2324,'2324 Jun 24 Enroll'!I$1,FALSE)+VLOOKUP($A177,EnrollData2324,'2324 Jun 24 Enroll'!M$1,FALSE)-VLOOKUP($A177,EnrollData2324,'2324 Jun 24 Enroll'!J$1,FALSE)='District Calculations'!$F$16+'District Calculations'!$F$25-'District Calculations'!$F$17,VLOOKUP($A177,EnrollData2324,'2324 Jun 24 Enroll'!I$1,FALSE)+VLOOKUP($A177,EnrollData2324,'2324 Jun 24 Enroll'!M$1,FALSE)-VLOOKUP($A177,EnrollData2324,'2324 Jun 24 Enroll'!J$1,FALSE),'District Calculations'!$F$16+'District Calculations'!$F$25-'District Calculations'!$F$17)*Apport_218A2425,3)</f>
        <v>20.257999999999999</v>
      </c>
      <c r="Z177">
        <f>ROUND(SUM(T177:Y177)/IF(VLOOKUP($A177,EnrollData2324,'2324 Jun 24 Enroll'!M$1,FALSE)+VLOOKUP($A177,EnrollData2324,'2324 Jun 24 Enroll'!D$1,FALSE)='District Calculations'!$F$25+'District Calculations'!$F$11,VLOOKUP($A177,EnrollData2324,'2324 Jun 24 Enroll'!M$1,FALSE)+VLOOKUP($A177,EnrollData2324,'2324 Jun 24 Enroll'!D$1,FALSE),'District Calculations'!$F$25+'District Calculations'!$F$11),5)</f>
        <v>1.7780000000000001E-2</v>
      </c>
      <c r="AA177" s="6">
        <f>ROUND($J177*CIS_Base_Salary2425*VLOOKUP($A177,EnrollData2324,'2324 Jun 24 Enroll'!AH$1,FALSE),2)</f>
        <v>4262.68</v>
      </c>
      <c r="AB177" s="6">
        <f>ROUND($J177*CIS_Inc_Salary2425*(VLOOKUP($A177,EnrollData2324,'2324 Jun 24 Enroll'!AI$1,FALSE)+VLOOKUP($A177,EnrollData2324,'2324 Jun 24 Enroll'!AJ$1,FALSE)),2)-AA177</f>
        <v>334.50999999999931</v>
      </c>
      <c r="AC177" s="6" cm="1">
        <f t="array" ref="AC177">ROUND($R177*CAS_Base_Salary2425*VLOOKUP($A177,EnrollData2324,'2324 Jun 24 Enroll'!AH$1,FALSE),2)</f>
        <v>461.23</v>
      </c>
      <c r="AD177" s="6">
        <f>ROUND($R177*CAS_Inc_Salary2425*VLOOKUP($A177,EnrollData2324,'2324 Jun 24 Enroll'!AI$1,FALSE),2)-AC177</f>
        <v>17.069999999999993</v>
      </c>
      <c r="AE177" s="6">
        <f>ROUND($Z177*CLS_Base_Salary2425*VLOOKUP($A177,EnrollData2324,'2324 Jun 24 Enroll'!AH$1,FALSE),2)</f>
        <v>961.95</v>
      </c>
      <c r="AF177" s="6">
        <f>ROUND($Z177*CLS_Inc_Salary2425*VLOOKUP($A177,EnrollData2324,'2324 Jun 24 Enroll'!AI$1,FALSE),2)-AE177</f>
        <v>35.599999999999909</v>
      </c>
      <c r="AG177" cm="1">
        <f t="array" ref="AG177">ROUND(($J177+$R177)*Apport_124X2425,2)</f>
        <v>800.45</v>
      </c>
      <c r="AH177" s="69" cm="1">
        <f t="array" ref="AH177">ROUND(($J177+$R177)*Apport_621X2425*Apport_125XC2425,2)-AG177</f>
        <v>73.899999999999977</v>
      </c>
      <c r="AI177" cm="1">
        <f t="array" ref="AI177">ROUND($Z177*Apport_124X2425,2)</f>
        <v>234.7</v>
      </c>
      <c r="AJ177">
        <f t="shared" si="42"/>
        <v>124.71000000000004</v>
      </c>
      <c r="AK177">
        <f t="shared" si="43"/>
        <v>857.39</v>
      </c>
      <c r="AL177">
        <f t="shared" si="44"/>
        <v>61.56</v>
      </c>
      <c r="AM177">
        <f t="shared" si="45"/>
        <v>208.36</v>
      </c>
      <c r="AN177">
        <f t="shared" si="46"/>
        <v>6.46</v>
      </c>
      <c r="AO177">
        <f>ROUND(($J177*CIS_Inc_Salary2425*(VLOOKUP($A177,EnrollData2324,'2324 Jun 24 Enroll'!AI$1,FALSE)+VLOOKUP($A177,EnrollData2324,'2324 Jun 24 Enroll'!AJ$1,FALSE))/Apport_613Xpd)*Apport_614Xpd,2)</f>
        <v>76.62</v>
      </c>
      <c r="AP177">
        <f t="shared" si="47"/>
        <v>13.42</v>
      </c>
      <c r="AQ177">
        <f t="shared" si="38"/>
        <v>31.48</v>
      </c>
      <c r="AR177" s="6">
        <f>ROUND((VLOOKUP($A177,EnrollData2324,'2324 Jun 24 Enroll'!D$1,FALSE)*Apport_M802425+VLOOKUP($A177,EnrollData2324,'2324 Jun 24 Enroll'!M$1,FALSE)*Apport_M802425+(VLOOKUP($A177,EnrollData2324,'2324 Jun 24 Enroll'!P$1,FALSE)+VLOOKUP($A177,EnrollData2324,'2324 Jun 24 Enroll'!Q$1,FALSE)+VLOOKUP($A177,EnrollData2324,'2324 Jun 24 Enroll'!R$1,FALSE)+VLOOKUP($A177,EnrollData2324,'2324 Jun 24 Enroll'!I$1,FALSE)+VLOOKUP($A177,EnrollData2324,'2324 Jun 24 Enroll'!N$1,FALSE)+VLOOKUP($A177,EnrollData2324,'2324 Jun 24 Enroll'!O$1,FALSE)+VLOOKUP($A177,EnrollData2324,'2324 Jun 24 Enroll'!K$1,FALSE)+VLOOKUP($A177,EnrollData2324,'2324 Jun 24 Enroll'!L$1,FALSE))*Apport_M812425)/(VLOOKUP($A177,EnrollData2324,'2324 Jun 24 Enroll'!M$1,FALSE)+VLOOKUP($A177,EnrollData2324,'2324 Jun 24 Enroll'!D$1,FALSE)),2)</f>
        <v>1575.52</v>
      </c>
      <c r="AS177" s="7">
        <f t="shared" si="39"/>
        <v>10137.609999999999</v>
      </c>
    </row>
    <row r="178" spans="1:45">
      <c r="A178" s="40" t="s">
        <v>424</v>
      </c>
      <c r="B178" s="40" t="s">
        <v>425</v>
      </c>
      <c r="C178" s="11">
        <f>ROUND((IFERROR((1/IF(VLOOKUP($A178,EnrollData2324,28,FALSE)='District Calculations'!$F$10,VLOOKUP($A178,EnrollData2324,28,FALSE),'District Calculations'!$F$10))*(1+Apport_Z315),0))+Apport_201A2425,6)</f>
        <v>7.4580999999999995E-2</v>
      </c>
      <c r="D178">
        <f>ROUND(IF(VLOOKUP($A178,EnrollData2324,'2324 Jun 24 Enroll'!D$1,FALSE)='District Calculations'!$F$11,VLOOKUP($A178,EnrollData2324,'2324 Jun 24 Enroll'!D$1,FALSE),'District Calculations'!$F$11)*C178,3)</f>
        <v>0</v>
      </c>
      <c r="E178">
        <f>ROUND(IF(VLOOKUP($A178,EnrollData2324,'2324 Jun 24 Enroll'!E$1,FALSE)='District Calculations'!$F$12,VLOOKUP($A178,EnrollData2324,'2324 Jun 24 Enroll'!E$1,FALSE),'District Calculations'!$F$12)*C178,3)</f>
        <v>60.447000000000003</v>
      </c>
      <c r="F178">
        <f>ROUND(IF(VLOOKUP($A178,EnrollData2324,'2324 Jun 24 Enroll'!F$1,FALSE)='District Calculations'!$F$13,VLOOKUP($A178,EnrollData2324,'2324 Jun 24 Enroll'!F$1,FALSE),'District Calculations'!$F$13)*Apport_222A2425,3)</f>
        <v>10.337999999999999</v>
      </c>
      <c r="G178">
        <f>ROUND(IF(VLOOKUP($A178,EnrollData2324,'2324 Jun 24 Enroll'!G$1,FALSE)='District Calculations'!$F$14,VLOOKUP($A178,EnrollData2324,'2324 Jun 24 Enroll'!G$1,FALSE),'District Calculations'!$F$14)*Apport_210A2425,3)</f>
        <v>22.92</v>
      </c>
      <c r="H178">
        <f>ROUND(IF(VLOOKUP($A178,EnrollData2324,'2324 Jun 24 Enroll'!H$1,FALSE)='District Calculations'!$F$15,VLOOKUP($A178,EnrollData2324,'2324 Jun 24 Enroll'!H$1,FALSE),'District Calculations'!$F$15)*Apport_213A2425,3)</f>
        <v>23.619</v>
      </c>
      <c r="I178">
        <f>ROUND(IF(VLOOKUP($A178,EnrollData2324,'2324 Jun 24 Enroll'!I$1,FALSE)+VLOOKUP($A178,EnrollData2324,'2324 Jun 24 Enroll'!M$1,FALSE)-VLOOKUP($A178,EnrollData2324,'2324 Jun 24 Enroll'!J$1,FALSE)='District Calculations'!$F$16+'District Calculations'!$F$25-'District Calculations'!$F$17,VLOOKUP($A178,EnrollData2324,'2324 Jun 24 Enroll'!I$1,FALSE)+VLOOKUP($A178,EnrollData2324,'2324 Jun 24 Enroll'!M$1,FALSE)-VLOOKUP($A178,EnrollData2324,'2324 Jun 24 Enroll'!J$1,FALSE),'District Calculations'!$F$16+'District Calculations'!$F$25-'District Calculations'!$F$17)*Apport_216A2425,3)</f>
        <v>59.057000000000002</v>
      </c>
      <c r="J178">
        <f>ROUND(SUM(D178:I178)/(IF(VLOOKUP($A178,EnrollData2324,'2324 Jun 24 Enroll'!M$1,FALSE)='District Calculations'!$F$25,VLOOKUP($A178,EnrollData2324,'2324 Jun 24 Enroll'!M$1,FALSE),'District Calculations'!$F$25)+IF(VLOOKUP($A178,EnrollData2324,'2324 Jun 24 Enroll'!D$1,FALSE)='District Calculations'!$F$11,VLOOKUP($A178,EnrollData2324,'2324 Jun 24 Enroll'!D$1,FALSE),'District Calculations'!$F$11)),5)</f>
        <v>5.6520000000000001E-2</v>
      </c>
      <c r="K178" s="11">
        <f t="shared" si="40"/>
        <v>4.385E-3</v>
      </c>
      <c r="L178">
        <f>ROUND(IF(VLOOKUP($A178,EnrollData2324,'2324 Jun 24 Enroll'!D$1,FALSE)='District Calculations'!$F$11,VLOOKUP($A178,EnrollData2324,'2324 Jun 24 Enroll'!D$1,FALSE),'District Calculations'!$F$11)*K178,3)</f>
        <v>0</v>
      </c>
      <c r="M178">
        <f>ROUND(IF(VLOOKUP($A178,EnrollData2324,'2324 Jun 24 Enroll'!E$1,FALSE)='District Calculations'!$F$12,VLOOKUP($A178,EnrollData2324,'2324 Jun 24 Enroll'!E$1,FALSE),'District Calculations'!$F$12)*K178,3)</f>
        <v>3.5539999999999998</v>
      </c>
      <c r="N178">
        <f>ROUND(IF(VLOOKUP($A178,EnrollData2324,'2324 Jun 24 Enroll'!F$1,FALSE)='District Calculations'!$F$13,VLOOKUP($A178,EnrollData2324,'2324 Jun 24 Enroll'!F$1,FALSE),'District Calculations'!$F$13)*Apport_223A2425,3)</f>
        <v>0.84599999999999997</v>
      </c>
      <c r="O178">
        <f>ROUND(IF(VLOOKUP($A178,EnrollData2324,'2324 Jun 24 Enroll'!G$1,FALSE)='District Calculations'!$F$14,VLOOKUP($A178,EnrollData2324,'2324 Jun 24 Enroll'!G$1,FALSE),'District Calculations'!$F$14)*Apport_211A2425,3)</f>
        <v>1.877</v>
      </c>
      <c r="P178">
        <f>ROUND(IF(VLOOKUP($A178,EnrollData2324,'2324 Jun 24 Enroll'!H$1,FALSE)='District Calculations'!$F$14,VLOOKUP($A178,EnrollData2324,'2324 Jun 24 Enroll'!H$1,FALSE),'District Calculations'!$F$14)*Apport_214A2425,3)</f>
        <v>1.875</v>
      </c>
      <c r="Q178">
        <f>ROUND(IF(VLOOKUP($A178,EnrollData2324,'2324 Jun 24 Enroll'!I$1,FALSE)+VLOOKUP($A178,EnrollData2324,'2324 Jun 24 Enroll'!M$1,FALSE)-VLOOKUP($A178,EnrollData2324,'2324 Jun 24 Enroll'!J$1,FALSE)='District Calculations'!$F$16+'District Calculations'!$F$25-'District Calculations'!$F$17,VLOOKUP($A178,EnrollData2324,'2324 Jun 24 Enroll'!I$1,FALSE)+VLOOKUP($A178,EnrollData2324,'2324 Jun 24 Enroll'!M$1,FALSE)-VLOOKUP($A178,EnrollData2324,'2324 Jun 24 Enroll'!J$1,FALSE),'District Calculations'!$F$16+'District Calculations'!$F$25-'District Calculations'!$F$17)*Apport_217A2425,3)</f>
        <v>4.7130000000000001</v>
      </c>
      <c r="R178">
        <f>ROUND(SUM(L178:Q178)/IF(VLOOKUP($A178,EnrollData2324,'2324 Jun 24 Enroll'!M$1,FALSE)+VLOOKUP($A178,EnrollData2324,'2324 Jun 24 Enroll'!D$1,FALSE)='District Calculations'!$F$25+'District Calculations'!$F$11,VLOOKUP($A178,EnrollData2324,'2324 Jun 24 Enroll'!M$1,FALSE)+VLOOKUP($A178,EnrollData2324,'2324 Jun 24 Enroll'!D$1,FALSE),'District Calculations'!$F$25+'District Calculations'!$F$11),5)</f>
        <v>4.1200000000000004E-3</v>
      </c>
      <c r="S178" s="11">
        <f t="shared" si="41"/>
        <v>1.8734299999999999E-2</v>
      </c>
      <c r="T178">
        <f>ROUND(IF(VLOOKUP($A178,EnrollData2324,'2324 Jun 24 Enroll'!D$1,FALSE)='District Calculations'!$F$11,VLOOKUP($A178,EnrollData2324,'2324 Jun 24 Enroll'!D$1,FALSE),'District Calculations'!$F$11)*S178,3)</f>
        <v>0</v>
      </c>
      <c r="U178">
        <f>ROUND(IF(VLOOKUP($A178,EnrollData2324,'2324 Jun 24 Enroll'!E$1,FALSE)='District Calculations'!$F$12,VLOOKUP($A178,EnrollData2324,'2324 Jun 24 Enroll'!E$1,FALSE),'District Calculations'!$F$12)*S178,3)</f>
        <v>15.183999999999999</v>
      </c>
      <c r="V178">
        <f>ROUND(IF(VLOOKUP($A178,EnrollData2324,'2324 Jun 24 Enroll'!F$1,FALSE)='District Calculations'!$F$13,VLOOKUP($A178,EnrollData2324,'2324 Jun 24 Enroll'!F$1,FALSE),'District Calculations'!$F$13)*Apport_224A2425,3)</f>
        <v>3.7109999999999999</v>
      </c>
      <c r="W178">
        <f>ROUND(IF(VLOOKUP($A178,EnrollData2324,'2324 Jun 24 Enroll'!G$1,FALSE)='District Calculations'!$F$14,VLOOKUP($A178,EnrollData2324,'2324 Jun 24 Enroll'!G$1,FALSE),'District Calculations'!$F$14)*Apport_212A2425,3)</f>
        <v>8.2279999999999998</v>
      </c>
      <c r="X178">
        <f>ROUND(IF(VLOOKUP($A178,EnrollData2324,'2324 Jun 24 Enroll'!H$1,FALSE)='District Calculations'!$F$14,VLOOKUP($A178,EnrollData2324,'2324 Jun 24 Enroll'!H$1,FALSE),'District Calculations'!$F$14)*Apport_215A2425,3)</f>
        <v>8.1180000000000003</v>
      </c>
      <c r="Y178">
        <f>ROUND(IF(VLOOKUP($A178,EnrollData2324,'2324 Jun 24 Enroll'!I$1,FALSE)+VLOOKUP($A178,EnrollData2324,'2324 Jun 24 Enroll'!M$1,FALSE)-VLOOKUP($A178,EnrollData2324,'2324 Jun 24 Enroll'!J$1,FALSE)='District Calculations'!$F$16+'District Calculations'!$F$25-'District Calculations'!$F$17,VLOOKUP($A178,EnrollData2324,'2324 Jun 24 Enroll'!I$1,FALSE)+VLOOKUP($A178,EnrollData2324,'2324 Jun 24 Enroll'!M$1,FALSE)-VLOOKUP($A178,EnrollData2324,'2324 Jun 24 Enroll'!J$1,FALSE),'District Calculations'!$F$16+'District Calculations'!$F$25-'District Calculations'!$F$17)*Apport_218A2425,3)</f>
        <v>20.257999999999999</v>
      </c>
      <c r="Z178">
        <f>ROUND(SUM(T178:Y178)/IF(VLOOKUP($A178,EnrollData2324,'2324 Jun 24 Enroll'!M$1,FALSE)+VLOOKUP($A178,EnrollData2324,'2324 Jun 24 Enroll'!D$1,FALSE)='District Calculations'!$F$25+'District Calculations'!$F$11,VLOOKUP($A178,EnrollData2324,'2324 Jun 24 Enroll'!M$1,FALSE)+VLOOKUP($A178,EnrollData2324,'2324 Jun 24 Enroll'!D$1,FALSE),'District Calculations'!$F$25+'District Calculations'!$F$11),5)</f>
        <v>1.7780000000000001E-2</v>
      </c>
      <c r="AA178" s="6">
        <f>ROUND($J178*CIS_Base_Salary2425*VLOOKUP($A178,EnrollData2324,'2324 Jun 24 Enroll'!AH$1,FALSE),2)</f>
        <v>4262.68</v>
      </c>
      <c r="AB178" s="6">
        <f>ROUND($J178*CIS_Inc_Salary2425*(VLOOKUP($A178,EnrollData2324,'2324 Jun 24 Enroll'!AI$1,FALSE)+VLOOKUP($A178,EnrollData2324,'2324 Jun 24 Enroll'!AJ$1,FALSE)),2)-AA178</f>
        <v>157.6899999999996</v>
      </c>
      <c r="AC178" s="6" cm="1">
        <f t="array" ref="AC178">ROUND($R178*CAS_Base_Salary2425*VLOOKUP($A178,EnrollData2324,'2324 Jun 24 Enroll'!AH$1,FALSE),2)</f>
        <v>461.23</v>
      </c>
      <c r="AD178" s="6">
        <f>ROUND($R178*CAS_Inc_Salary2425*VLOOKUP($A178,EnrollData2324,'2324 Jun 24 Enroll'!AI$1,FALSE),2)-AC178</f>
        <v>17.069999999999993</v>
      </c>
      <c r="AE178" s="6">
        <f>ROUND($Z178*CLS_Base_Salary2425*VLOOKUP($A178,EnrollData2324,'2324 Jun 24 Enroll'!AH$1,FALSE),2)</f>
        <v>961.95</v>
      </c>
      <c r="AF178" s="6">
        <f>ROUND($Z178*CLS_Inc_Salary2425*VLOOKUP($A178,EnrollData2324,'2324 Jun 24 Enroll'!AI$1,FALSE),2)-AE178</f>
        <v>35.599999999999909</v>
      </c>
      <c r="AG178" cm="1">
        <f t="array" ref="AG178">ROUND(($J178+$R178)*Apport_124X2425,2)</f>
        <v>800.45</v>
      </c>
      <c r="AH178" s="69" cm="1">
        <f t="array" ref="AH178">ROUND(($J178+$R178)*Apport_621X2425*Apport_125XC2425,2)-AG178</f>
        <v>73.899999999999977</v>
      </c>
      <c r="AI178" cm="1">
        <f t="array" ref="AI178">ROUND($Z178*Apport_124X2425,2)</f>
        <v>234.7</v>
      </c>
      <c r="AJ178">
        <f t="shared" si="42"/>
        <v>124.71000000000004</v>
      </c>
      <c r="AK178">
        <f t="shared" si="43"/>
        <v>857.39</v>
      </c>
      <c r="AL178">
        <f t="shared" si="44"/>
        <v>30.6</v>
      </c>
      <c r="AM178">
        <f t="shared" si="45"/>
        <v>208.36</v>
      </c>
      <c r="AN178">
        <f t="shared" si="46"/>
        <v>6.46</v>
      </c>
      <c r="AO178">
        <f>ROUND(($J178*CIS_Inc_Salary2425*(VLOOKUP($A178,EnrollData2324,'2324 Jun 24 Enroll'!AI$1,FALSE)+VLOOKUP($A178,EnrollData2324,'2324 Jun 24 Enroll'!AJ$1,FALSE))/Apport_613Xpd)*Apport_614Xpd,2)</f>
        <v>73.67</v>
      </c>
      <c r="AP178">
        <f t="shared" si="47"/>
        <v>12.9</v>
      </c>
      <c r="AQ178">
        <f t="shared" si="38"/>
        <v>31.48</v>
      </c>
      <c r="AR178" s="6">
        <f>ROUND((VLOOKUP($A178,EnrollData2324,'2324 Jun 24 Enroll'!D$1,FALSE)*Apport_M802425+VLOOKUP($A178,EnrollData2324,'2324 Jun 24 Enroll'!M$1,FALSE)*Apport_M802425+(VLOOKUP($A178,EnrollData2324,'2324 Jun 24 Enroll'!P$1,FALSE)+VLOOKUP($A178,EnrollData2324,'2324 Jun 24 Enroll'!Q$1,FALSE)+VLOOKUP($A178,EnrollData2324,'2324 Jun 24 Enroll'!R$1,FALSE)+VLOOKUP($A178,EnrollData2324,'2324 Jun 24 Enroll'!I$1,FALSE)+VLOOKUP($A178,EnrollData2324,'2324 Jun 24 Enroll'!N$1,FALSE)+VLOOKUP($A178,EnrollData2324,'2324 Jun 24 Enroll'!O$1,FALSE)+VLOOKUP($A178,EnrollData2324,'2324 Jun 24 Enroll'!K$1,FALSE)+VLOOKUP($A178,EnrollData2324,'2324 Jun 24 Enroll'!L$1,FALSE))*Apport_M812425)/(VLOOKUP($A178,EnrollData2324,'2324 Jun 24 Enroll'!M$1,FALSE)+VLOOKUP($A178,EnrollData2324,'2324 Jun 24 Enroll'!D$1,FALSE)),2)</f>
        <v>1594.58</v>
      </c>
      <c r="AS178" s="7">
        <f t="shared" si="39"/>
        <v>9945.4199999999983</v>
      </c>
    </row>
    <row r="179" spans="1:45">
      <c r="A179" s="40" t="s">
        <v>779</v>
      </c>
      <c r="B179" s="40" t="s">
        <v>780</v>
      </c>
      <c r="C179" s="11">
        <f>ROUND((IFERROR((1/IF(VLOOKUP($A179,EnrollData2324,28,FALSE)='District Calculations'!$F$10,VLOOKUP($A179,EnrollData2324,28,FALSE),'District Calculations'!$F$10))*(1+Apport_Z315),0))+Apport_201A2425,6)</f>
        <v>7.4580999999999995E-2</v>
      </c>
      <c r="D179">
        <f>ROUND(IF(VLOOKUP($A179,EnrollData2324,'2324 Jun 24 Enroll'!D$1,FALSE)='District Calculations'!$F$11,VLOOKUP($A179,EnrollData2324,'2324 Jun 24 Enroll'!D$1,FALSE),'District Calculations'!$F$11)*C179,3)</f>
        <v>0</v>
      </c>
      <c r="E179">
        <f>ROUND(IF(VLOOKUP($A179,EnrollData2324,'2324 Jun 24 Enroll'!E$1,FALSE)='District Calculations'!$F$12,VLOOKUP($A179,EnrollData2324,'2324 Jun 24 Enroll'!E$1,FALSE),'District Calculations'!$F$12)*C179,3)</f>
        <v>60.447000000000003</v>
      </c>
      <c r="F179">
        <f>ROUND(IF(VLOOKUP($A179,EnrollData2324,'2324 Jun 24 Enroll'!F$1,FALSE)='District Calculations'!$F$13,VLOOKUP($A179,EnrollData2324,'2324 Jun 24 Enroll'!F$1,FALSE),'District Calculations'!$F$13)*Apport_222A2425,3)</f>
        <v>10.337999999999999</v>
      </c>
      <c r="G179">
        <f>ROUND(IF(VLOOKUP($A179,EnrollData2324,'2324 Jun 24 Enroll'!G$1,FALSE)='District Calculations'!$F$14,VLOOKUP($A179,EnrollData2324,'2324 Jun 24 Enroll'!G$1,FALSE),'District Calculations'!$F$14)*Apport_210A2425,3)</f>
        <v>22.92</v>
      </c>
      <c r="H179">
        <f>ROUND(IF(VLOOKUP($A179,EnrollData2324,'2324 Jun 24 Enroll'!H$1,FALSE)='District Calculations'!$F$15,VLOOKUP($A179,EnrollData2324,'2324 Jun 24 Enroll'!H$1,FALSE),'District Calculations'!$F$15)*Apport_213A2425,3)</f>
        <v>23.619</v>
      </c>
      <c r="I179">
        <f>ROUND(IF(VLOOKUP($A179,EnrollData2324,'2324 Jun 24 Enroll'!I$1,FALSE)+VLOOKUP($A179,EnrollData2324,'2324 Jun 24 Enroll'!M$1,FALSE)-VLOOKUP($A179,EnrollData2324,'2324 Jun 24 Enroll'!J$1,FALSE)='District Calculations'!$F$16+'District Calculations'!$F$25-'District Calculations'!$F$17,VLOOKUP($A179,EnrollData2324,'2324 Jun 24 Enroll'!I$1,FALSE)+VLOOKUP($A179,EnrollData2324,'2324 Jun 24 Enroll'!M$1,FALSE)-VLOOKUP($A179,EnrollData2324,'2324 Jun 24 Enroll'!J$1,FALSE),'District Calculations'!$F$16+'District Calculations'!$F$25-'District Calculations'!$F$17)*Apport_216A2425,3)</f>
        <v>59.057000000000002</v>
      </c>
      <c r="J179">
        <f>ROUND(SUM(D179:I179)/(IF(VLOOKUP($A179,EnrollData2324,'2324 Jun 24 Enroll'!M$1,FALSE)='District Calculations'!$F$25,VLOOKUP($A179,EnrollData2324,'2324 Jun 24 Enroll'!M$1,FALSE),'District Calculations'!$F$25)+IF(VLOOKUP($A179,EnrollData2324,'2324 Jun 24 Enroll'!D$1,FALSE)='District Calculations'!$F$11,VLOOKUP($A179,EnrollData2324,'2324 Jun 24 Enroll'!D$1,FALSE),'District Calculations'!$F$11)),5)</f>
        <v>5.6520000000000001E-2</v>
      </c>
      <c r="K179" s="11">
        <f t="shared" si="40"/>
        <v>4.385E-3</v>
      </c>
      <c r="L179">
        <f>ROUND(IF(VLOOKUP($A179,EnrollData2324,'2324 Jun 24 Enroll'!D$1,FALSE)='District Calculations'!$F$11,VLOOKUP($A179,EnrollData2324,'2324 Jun 24 Enroll'!D$1,FALSE),'District Calculations'!$F$11)*K179,3)</f>
        <v>0</v>
      </c>
      <c r="M179">
        <f>ROUND(IF(VLOOKUP($A179,EnrollData2324,'2324 Jun 24 Enroll'!E$1,FALSE)='District Calculations'!$F$12,VLOOKUP($A179,EnrollData2324,'2324 Jun 24 Enroll'!E$1,FALSE),'District Calculations'!$F$12)*K179,3)</f>
        <v>3.5539999999999998</v>
      </c>
      <c r="N179">
        <f>ROUND(IF(VLOOKUP($A179,EnrollData2324,'2324 Jun 24 Enroll'!F$1,FALSE)='District Calculations'!$F$13,VLOOKUP($A179,EnrollData2324,'2324 Jun 24 Enroll'!F$1,FALSE),'District Calculations'!$F$13)*Apport_223A2425,3)</f>
        <v>0.84599999999999997</v>
      </c>
      <c r="O179">
        <f>ROUND(IF(VLOOKUP($A179,EnrollData2324,'2324 Jun 24 Enroll'!G$1,FALSE)='District Calculations'!$F$14,VLOOKUP($A179,EnrollData2324,'2324 Jun 24 Enroll'!G$1,FALSE),'District Calculations'!$F$14)*Apport_211A2425,3)</f>
        <v>1.877</v>
      </c>
      <c r="P179">
        <f>ROUND(IF(VLOOKUP($A179,EnrollData2324,'2324 Jun 24 Enroll'!H$1,FALSE)='District Calculations'!$F$14,VLOOKUP($A179,EnrollData2324,'2324 Jun 24 Enroll'!H$1,FALSE),'District Calculations'!$F$14)*Apport_214A2425,3)</f>
        <v>1.875</v>
      </c>
      <c r="Q179">
        <f>ROUND(IF(VLOOKUP($A179,EnrollData2324,'2324 Jun 24 Enroll'!I$1,FALSE)+VLOOKUP($A179,EnrollData2324,'2324 Jun 24 Enroll'!M$1,FALSE)-VLOOKUP($A179,EnrollData2324,'2324 Jun 24 Enroll'!J$1,FALSE)='District Calculations'!$F$16+'District Calculations'!$F$25-'District Calculations'!$F$17,VLOOKUP($A179,EnrollData2324,'2324 Jun 24 Enroll'!I$1,FALSE)+VLOOKUP($A179,EnrollData2324,'2324 Jun 24 Enroll'!M$1,FALSE)-VLOOKUP($A179,EnrollData2324,'2324 Jun 24 Enroll'!J$1,FALSE),'District Calculations'!$F$16+'District Calculations'!$F$25-'District Calculations'!$F$17)*Apport_217A2425,3)</f>
        <v>4.7130000000000001</v>
      </c>
      <c r="R179">
        <f>ROUND(SUM(L179:Q179)/IF(VLOOKUP($A179,EnrollData2324,'2324 Jun 24 Enroll'!M$1,FALSE)+VLOOKUP($A179,EnrollData2324,'2324 Jun 24 Enroll'!D$1,FALSE)='District Calculations'!$F$25+'District Calculations'!$F$11,VLOOKUP($A179,EnrollData2324,'2324 Jun 24 Enroll'!M$1,FALSE)+VLOOKUP($A179,EnrollData2324,'2324 Jun 24 Enroll'!D$1,FALSE),'District Calculations'!$F$25+'District Calculations'!$F$11),5)</f>
        <v>4.1200000000000004E-3</v>
      </c>
      <c r="S179" s="11">
        <f t="shared" si="41"/>
        <v>1.8734299999999999E-2</v>
      </c>
      <c r="T179">
        <f>ROUND(IF(VLOOKUP($A179,EnrollData2324,'2324 Jun 24 Enroll'!D$1,FALSE)='District Calculations'!$F$11,VLOOKUP($A179,EnrollData2324,'2324 Jun 24 Enroll'!D$1,FALSE),'District Calculations'!$F$11)*S179,3)</f>
        <v>0</v>
      </c>
      <c r="U179">
        <f>ROUND(IF(VLOOKUP($A179,EnrollData2324,'2324 Jun 24 Enroll'!E$1,FALSE)='District Calculations'!$F$12,VLOOKUP($A179,EnrollData2324,'2324 Jun 24 Enroll'!E$1,FALSE),'District Calculations'!$F$12)*S179,3)</f>
        <v>15.183999999999999</v>
      </c>
      <c r="V179">
        <f>ROUND(IF(VLOOKUP($A179,EnrollData2324,'2324 Jun 24 Enroll'!F$1,FALSE)='District Calculations'!$F$13,VLOOKUP($A179,EnrollData2324,'2324 Jun 24 Enroll'!F$1,FALSE),'District Calculations'!$F$13)*Apport_224A2425,3)</f>
        <v>3.7109999999999999</v>
      </c>
      <c r="W179">
        <f>ROUND(IF(VLOOKUP($A179,EnrollData2324,'2324 Jun 24 Enroll'!G$1,FALSE)='District Calculations'!$F$14,VLOOKUP($A179,EnrollData2324,'2324 Jun 24 Enroll'!G$1,FALSE),'District Calculations'!$F$14)*Apport_212A2425,3)</f>
        <v>8.2279999999999998</v>
      </c>
      <c r="X179">
        <f>ROUND(IF(VLOOKUP($A179,EnrollData2324,'2324 Jun 24 Enroll'!H$1,FALSE)='District Calculations'!$F$14,VLOOKUP($A179,EnrollData2324,'2324 Jun 24 Enroll'!H$1,FALSE),'District Calculations'!$F$14)*Apport_215A2425,3)</f>
        <v>8.1180000000000003</v>
      </c>
      <c r="Y179">
        <f>ROUND(IF(VLOOKUP($A179,EnrollData2324,'2324 Jun 24 Enroll'!I$1,FALSE)+VLOOKUP($A179,EnrollData2324,'2324 Jun 24 Enroll'!M$1,FALSE)-VLOOKUP($A179,EnrollData2324,'2324 Jun 24 Enroll'!J$1,FALSE)='District Calculations'!$F$16+'District Calculations'!$F$25-'District Calculations'!$F$17,VLOOKUP($A179,EnrollData2324,'2324 Jun 24 Enroll'!I$1,FALSE)+VLOOKUP($A179,EnrollData2324,'2324 Jun 24 Enroll'!M$1,FALSE)-VLOOKUP($A179,EnrollData2324,'2324 Jun 24 Enroll'!J$1,FALSE),'District Calculations'!$F$16+'District Calculations'!$F$25-'District Calculations'!$F$17)*Apport_218A2425,3)</f>
        <v>20.257999999999999</v>
      </c>
      <c r="Z179">
        <f>ROUND(SUM(T179:Y179)/IF(VLOOKUP($A179,EnrollData2324,'2324 Jun 24 Enroll'!M$1,FALSE)+VLOOKUP($A179,EnrollData2324,'2324 Jun 24 Enroll'!D$1,FALSE)='District Calculations'!$F$25+'District Calculations'!$F$11,VLOOKUP($A179,EnrollData2324,'2324 Jun 24 Enroll'!M$1,FALSE)+VLOOKUP($A179,EnrollData2324,'2324 Jun 24 Enroll'!D$1,FALSE),'District Calculations'!$F$25+'District Calculations'!$F$11),5)</f>
        <v>1.7780000000000001E-2</v>
      </c>
      <c r="AA179" s="6">
        <f>ROUND($J179*CIS_Base_Salary2425*VLOOKUP($A179,EnrollData2324,'2324 Jun 24 Enroll'!AH$1,FALSE),2)</f>
        <v>4262.68</v>
      </c>
      <c r="AB179" s="6">
        <f>ROUND($J179*CIS_Inc_Salary2425*(VLOOKUP($A179,EnrollData2324,'2324 Jun 24 Enroll'!AI$1,FALSE)+VLOOKUP($A179,EnrollData2324,'2324 Jun 24 Enroll'!AJ$1,FALSE)),2)-AA179</f>
        <v>157.6899999999996</v>
      </c>
      <c r="AC179" s="6" cm="1">
        <f t="array" ref="AC179">ROUND($R179*CAS_Base_Salary2425*VLOOKUP($A179,EnrollData2324,'2324 Jun 24 Enroll'!AH$1,FALSE),2)</f>
        <v>461.23</v>
      </c>
      <c r="AD179" s="6">
        <f>ROUND($R179*CAS_Inc_Salary2425*VLOOKUP($A179,EnrollData2324,'2324 Jun 24 Enroll'!AI$1,FALSE),2)-AC179</f>
        <v>17.069999999999993</v>
      </c>
      <c r="AE179" s="6">
        <f>ROUND($Z179*CLS_Base_Salary2425*VLOOKUP($A179,EnrollData2324,'2324 Jun 24 Enroll'!AH$1,FALSE),2)</f>
        <v>961.95</v>
      </c>
      <c r="AF179" s="6">
        <f>ROUND($Z179*CLS_Inc_Salary2425*VLOOKUP($A179,EnrollData2324,'2324 Jun 24 Enroll'!AI$1,FALSE),2)-AE179</f>
        <v>35.599999999999909</v>
      </c>
      <c r="AG179" cm="1">
        <f t="array" ref="AG179">ROUND(($J179+$R179)*Apport_124X2425,2)</f>
        <v>800.45</v>
      </c>
      <c r="AH179" s="69" cm="1">
        <f t="array" ref="AH179">ROUND(($J179+$R179)*Apport_621X2425*Apport_125XC2425,2)-AG179</f>
        <v>73.899999999999977</v>
      </c>
      <c r="AI179" cm="1">
        <f t="array" ref="AI179">ROUND($Z179*Apport_124X2425,2)</f>
        <v>234.7</v>
      </c>
      <c r="AJ179">
        <f t="shared" si="42"/>
        <v>124.71000000000004</v>
      </c>
      <c r="AK179">
        <f t="shared" si="43"/>
        <v>857.39</v>
      </c>
      <c r="AL179">
        <f t="shared" si="44"/>
        <v>30.6</v>
      </c>
      <c r="AM179">
        <f t="shared" si="45"/>
        <v>208.36</v>
      </c>
      <c r="AN179">
        <f t="shared" si="46"/>
        <v>6.46</v>
      </c>
      <c r="AO179">
        <f>ROUND(($J179*CIS_Inc_Salary2425*(VLOOKUP($A179,EnrollData2324,'2324 Jun 24 Enroll'!AI$1,FALSE)+VLOOKUP($A179,EnrollData2324,'2324 Jun 24 Enroll'!AJ$1,FALSE))/Apport_613Xpd)*Apport_614Xpd,2)</f>
        <v>73.67</v>
      </c>
      <c r="AP179">
        <f t="shared" si="47"/>
        <v>12.9</v>
      </c>
      <c r="AQ179">
        <f t="shared" si="38"/>
        <v>31.48</v>
      </c>
      <c r="AR179" s="6">
        <f>ROUND((VLOOKUP($A179,EnrollData2324,'2324 Jun 24 Enroll'!D$1,FALSE)*Apport_M802425+VLOOKUP($A179,EnrollData2324,'2324 Jun 24 Enroll'!M$1,FALSE)*Apport_M802425+(VLOOKUP($A179,EnrollData2324,'2324 Jun 24 Enroll'!P$1,FALSE)+VLOOKUP($A179,EnrollData2324,'2324 Jun 24 Enroll'!Q$1,FALSE)+VLOOKUP($A179,EnrollData2324,'2324 Jun 24 Enroll'!R$1,FALSE)+VLOOKUP($A179,EnrollData2324,'2324 Jun 24 Enroll'!I$1,FALSE)+VLOOKUP($A179,EnrollData2324,'2324 Jun 24 Enroll'!N$1,FALSE)+VLOOKUP($A179,EnrollData2324,'2324 Jun 24 Enroll'!O$1,FALSE)+VLOOKUP($A179,EnrollData2324,'2324 Jun 24 Enroll'!K$1,FALSE)+VLOOKUP($A179,EnrollData2324,'2324 Jun 24 Enroll'!L$1,FALSE))*Apport_M812425)/(VLOOKUP($A179,EnrollData2324,'2324 Jun 24 Enroll'!M$1,FALSE)+VLOOKUP($A179,EnrollData2324,'2324 Jun 24 Enroll'!D$1,FALSE)),2)</f>
        <v>1533.02</v>
      </c>
      <c r="AS179" s="7">
        <f t="shared" si="39"/>
        <v>9883.8599999999988</v>
      </c>
    </row>
    <row r="180" spans="1:45">
      <c r="A180" s="40" t="s">
        <v>490</v>
      </c>
      <c r="B180" s="40" t="s">
        <v>491</v>
      </c>
      <c r="C180" s="11">
        <f>ROUND((IFERROR((1/IF(VLOOKUP($A180,EnrollData2324,28,FALSE)='District Calculations'!$F$10,VLOOKUP($A180,EnrollData2324,28,FALSE),'District Calculations'!$F$10))*(1+Apport_Z315),0))+Apport_201A2425,6)</f>
        <v>7.4580999999999995E-2</v>
      </c>
      <c r="D180">
        <f>ROUND(IF(VLOOKUP($A180,EnrollData2324,'2324 Jun 24 Enroll'!D$1,FALSE)='District Calculations'!$F$11,VLOOKUP($A180,EnrollData2324,'2324 Jun 24 Enroll'!D$1,FALSE),'District Calculations'!$F$11)*C180,3)</f>
        <v>0</v>
      </c>
      <c r="E180">
        <f>ROUND(IF(VLOOKUP($A180,EnrollData2324,'2324 Jun 24 Enroll'!E$1,FALSE)='District Calculations'!$F$12,VLOOKUP($A180,EnrollData2324,'2324 Jun 24 Enroll'!E$1,FALSE),'District Calculations'!$F$12)*C180,3)</f>
        <v>60.447000000000003</v>
      </c>
      <c r="F180">
        <f>ROUND(IF(VLOOKUP($A180,EnrollData2324,'2324 Jun 24 Enroll'!F$1,FALSE)='District Calculations'!$F$13,VLOOKUP($A180,EnrollData2324,'2324 Jun 24 Enroll'!F$1,FALSE),'District Calculations'!$F$13)*Apport_222A2425,3)</f>
        <v>10.337999999999999</v>
      </c>
      <c r="G180">
        <f>ROUND(IF(VLOOKUP($A180,EnrollData2324,'2324 Jun 24 Enroll'!G$1,FALSE)='District Calculations'!$F$14,VLOOKUP($A180,EnrollData2324,'2324 Jun 24 Enroll'!G$1,FALSE),'District Calculations'!$F$14)*Apport_210A2425,3)</f>
        <v>22.92</v>
      </c>
      <c r="H180">
        <f>ROUND(IF(VLOOKUP($A180,EnrollData2324,'2324 Jun 24 Enroll'!H$1,FALSE)='District Calculations'!$F$15,VLOOKUP($A180,EnrollData2324,'2324 Jun 24 Enroll'!H$1,FALSE),'District Calculations'!$F$15)*Apport_213A2425,3)</f>
        <v>23.619</v>
      </c>
      <c r="I180">
        <f>ROUND(IF(VLOOKUP($A180,EnrollData2324,'2324 Jun 24 Enroll'!I$1,FALSE)+VLOOKUP($A180,EnrollData2324,'2324 Jun 24 Enroll'!M$1,FALSE)-VLOOKUP($A180,EnrollData2324,'2324 Jun 24 Enroll'!J$1,FALSE)='District Calculations'!$F$16+'District Calculations'!$F$25-'District Calculations'!$F$17,VLOOKUP($A180,EnrollData2324,'2324 Jun 24 Enroll'!I$1,FALSE)+VLOOKUP($A180,EnrollData2324,'2324 Jun 24 Enroll'!M$1,FALSE)-VLOOKUP($A180,EnrollData2324,'2324 Jun 24 Enroll'!J$1,FALSE),'District Calculations'!$F$16+'District Calculations'!$F$25-'District Calculations'!$F$17)*Apport_216A2425,3)</f>
        <v>59.057000000000002</v>
      </c>
      <c r="J180">
        <f>ROUND(SUM(D180:I180)/(IF(VLOOKUP($A180,EnrollData2324,'2324 Jun 24 Enroll'!M$1,FALSE)='District Calculations'!$F$25,VLOOKUP($A180,EnrollData2324,'2324 Jun 24 Enroll'!M$1,FALSE),'District Calculations'!$F$25)+IF(VLOOKUP($A180,EnrollData2324,'2324 Jun 24 Enroll'!D$1,FALSE)='District Calculations'!$F$11,VLOOKUP($A180,EnrollData2324,'2324 Jun 24 Enroll'!D$1,FALSE),'District Calculations'!$F$11)),5)</f>
        <v>5.6520000000000001E-2</v>
      </c>
      <c r="K180" s="11">
        <f t="shared" si="40"/>
        <v>4.385E-3</v>
      </c>
      <c r="L180">
        <f>ROUND(IF(VLOOKUP($A180,EnrollData2324,'2324 Jun 24 Enroll'!D$1,FALSE)='District Calculations'!$F$11,VLOOKUP($A180,EnrollData2324,'2324 Jun 24 Enroll'!D$1,FALSE),'District Calculations'!$F$11)*K180,3)</f>
        <v>0</v>
      </c>
      <c r="M180">
        <f>ROUND(IF(VLOOKUP($A180,EnrollData2324,'2324 Jun 24 Enroll'!E$1,FALSE)='District Calculations'!$F$12,VLOOKUP($A180,EnrollData2324,'2324 Jun 24 Enroll'!E$1,FALSE),'District Calculations'!$F$12)*K180,3)</f>
        <v>3.5539999999999998</v>
      </c>
      <c r="N180">
        <f>ROUND(IF(VLOOKUP($A180,EnrollData2324,'2324 Jun 24 Enroll'!F$1,FALSE)='District Calculations'!$F$13,VLOOKUP($A180,EnrollData2324,'2324 Jun 24 Enroll'!F$1,FALSE),'District Calculations'!$F$13)*Apport_223A2425,3)</f>
        <v>0.84599999999999997</v>
      </c>
      <c r="O180">
        <f>ROUND(IF(VLOOKUP($A180,EnrollData2324,'2324 Jun 24 Enroll'!G$1,FALSE)='District Calculations'!$F$14,VLOOKUP($A180,EnrollData2324,'2324 Jun 24 Enroll'!G$1,FALSE),'District Calculations'!$F$14)*Apport_211A2425,3)</f>
        <v>1.877</v>
      </c>
      <c r="P180">
        <f>ROUND(IF(VLOOKUP($A180,EnrollData2324,'2324 Jun 24 Enroll'!H$1,FALSE)='District Calculations'!$F$14,VLOOKUP($A180,EnrollData2324,'2324 Jun 24 Enroll'!H$1,FALSE),'District Calculations'!$F$14)*Apport_214A2425,3)</f>
        <v>1.875</v>
      </c>
      <c r="Q180">
        <f>ROUND(IF(VLOOKUP($A180,EnrollData2324,'2324 Jun 24 Enroll'!I$1,FALSE)+VLOOKUP($A180,EnrollData2324,'2324 Jun 24 Enroll'!M$1,FALSE)-VLOOKUP($A180,EnrollData2324,'2324 Jun 24 Enroll'!J$1,FALSE)='District Calculations'!$F$16+'District Calculations'!$F$25-'District Calculations'!$F$17,VLOOKUP($A180,EnrollData2324,'2324 Jun 24 Enroll'!I$1,FALSE)+VLOOKUP($A180,EnrollData2324,'2324 Jun 24 Enroll'!M$1,FALSE)-VLOOKUP($A180,EnrollData2324,'2324 Jun 24 Enroll'!J$1,FALSE),'District Calculations'!$F$16+'District Calculations'!$F$25-'District Calculations'!$F$17)*Apport_217A2425,3)</f>
        <v>4.7130000000000001</v>
      </c>
      <c r="R180">
        <f>ROUND(SUM(L180:Q180)/IF(VLOOKUP($A180,EnrollData2324,'2324 Jun 24 Enroll'!M$1,FALSE)+VLOOKUP($A180,EnrollData2324,'2324 Jun 24 Enroll'!D$1,FALSE)='District Calculations'!$F$25+'District Calculations'!$F$11,VLOOKUP($A180,EnrollData2324,'2324 Jun 24 Enroll'!M$1,FALSE)+VLOOKUP($A180,EnrollData2324,'2324 Jun 24 Enroll'!D$1,FALSE),'District Calculations'!$F$25+'District Calculations'!$F$11),5)</f>
        <v>4.1200000000000004E-3</v>
      </c>
      <c r="S180" s="11">
        <f t="shared" si="41"/>
        <v>1.8734299999999999E-2</v>
      </c>
      <c r="T180">
        <f>ROUND(IF(VLOOKUP($A180,EnrollData2324,'2324 Jun 24 Enroll'!D$1,FALSE)='District Calculations'!$F$11,VLOOKUP($A180,EnrollData2324,'2324 Jun 24 Enroll'!D$1,FALSE),'District Calculations'!$F$11)*S180,3)</f>
        <v>0</v>
      </c>
      <c r="U180">
        <f>ROUND(IF(VLOOKUP($A180,EnrollData2324,'2324 Jun 24 Enroll'!E$1,FALSE)='District Calculations'!$F$12,VLOOKUP($A180,EnrollData2324,'2324 Jun 24 Enroll'!E$1,FALSE),'District Calculations'!$F$12)*S180,3)</f>
        <v>15.183999999999999</v>
      </c>
      <c r="V180">
        <f>ROUND(IF(VLOOKUP($A180,EnrollData2324,'2324 Jun 24 Enroll'!F$1,FALSE)='District Calculations'!$F$13,VLOOKUP($A180,EnrollData2324,'2324 Jun 24 Enroll'!F$1,FALSE),'District Calculations'!$F$13)*Apport_224A2425,3)</f>
        <v>3.7109999999999999</v>
      </c>
      <c r="W180">
        <f>ROUND(IF(VLOOKUP($A180,EnrollData2324,'2324 Jun 24 Enroll'!G$1,FALSE)='District Calculations'!$F$14,VLOOKUP($A180,EnrollData2324,'2324 Jun 24 Enroll'!G$1,FALSE),'District Calculations'!$F$14)*Apport_212A2425,3)</f>
        <v>8.2279999999999998</v>
      </c>
      <c r="X180">
        <f>ROUND(IF(VLOOKUP($A180,EnrollData2324,'2324 Jun 24 Enroll'!H$1,FALSE)='District Calculations'!$F$14,VLOOKUP($A180,EnrollData2324,'2324 Jun 24 Enroll'!H$1,FALSE),'District Calculations'!$F$14)*Apport_215A2425,3)</f>
        <v>8.1180000000000003</v>
      </c>
      <c r="Y180">
        <f>ROUND(IF(VLOOKUP($A180,EnrollData2324,'2324 Jun 24 Enroll'!I$1,FALSE)+VLOOKUP($A180,EnrollData2324,'2324 Jun 24 Enroll'!M$1,FALSE)-VLOOKUP($A180,EnrollData2324,'2324 Jun 24 Enroll'!J$1,FALSE)='District Calculations'!$F$16+'District Calculations'!$F$25-'District Calculations'!$F$17,VLOOKUP($A180,EnrollData2324,'2324 Jun 24 Enroll'!I$1,FALSE)+VLOOKUP($A180,EnrollData2324,'2324 Jun 24 Enroll'!M$1,FALSE)-VLOOKUP($A180,EnrollData2324,'2324 Jun 24 Enroll'!J$1,FALSE),'District Calculations'!$F$16+'District Calculations'!$F$25-'District Calculations'!$F$17)*Apport_218A2425,3)</f>
        <v>20.257999999999999</v>
      </c>
      <c r="Z180">
        <f>ROUND(SUM(T180:Y180)/IF(VLOOKUP($A180,EnrollData2324,'2324 Jun 24 Enroll'!M$1,FALSE)+VLOOKUP($A180,EnrollData2324,'2324 Jun 24 Enroll'!D$1,FALSE)='District Calculations'!$F$25+'District Calculations'!$F$11,VLOOKUP($A180,EnrollData2324,'2324 Jun 24 Enroll'!M$1,FALSE)+VLOOKUP($A180,EnrollData2324,'2324 Jun 24 Enroll'!D$1,FALSE),'District Calculations'!$F$25+'District Calculations'!$F$11),5)</f>
        <v>1.7780000000000001E-2</v>
      </c>
      <c r="AA180" s="6">
        <f>ROUND($J180*CIS_Base_Salary2425*VLOOKUP($A180,EnrollData2324,'2324 Jun 24 Enroll'!AH$1,FALSE),2)</f>
        <v>4518.4399999999996</v>
      </c>
      <c r="AB180" s="6">
        <f>ROUND($J180*CIS_Inc_Salary2425*(VLOOKUP($A180,EnrollData2324,'2324 Jun 24 Enroll'!AI$1,FALSE)+VLOOKUP($A180,EnrollData2324,'2324 Jun 24 Enroll'!AJ$1,FALSE)),2)-AA180</f>
        <v>167.16000000000076</v>
      </c>
      <c r="AC180" s="6" cm="1">
        <f t="array" ref="AC180">ROUND($R180*CAS_Base_Salary2425*VLOOKUP($A180,EnrollData2324,'2324 Jun 24 Enroll'!AH$1,FALSE),2)</f>
        <v>488.91</v>
      </c>
      <c r="AD180" s="6">
        <f>ROUND($R180*CAS_Inc_Salary2425*VLOOKUP($A180,EnrollData2324,'2324 Jun 24 Enroll'!AI$1,FALSE),2)-AC180</f>
        <v>18.089999999999975</v>
      </c>
      <c r="AE180" s="6">
        <f>ROUND($Z180*CLS_Base_Salary2425*VLOOKUP($A180,EnrollData2324,'2324 Jun 24 Enroll'!AH$1,FALSE),2)</f>
        <v>1019.67</v>
      </c>
      <c r="AF180" s="6">
        <f>ROUND($Z180*CLS_Inc_Salary2425*VLOOKUP($A180,EnrollData2324,'2324 Jun 24 Enroll'!AI$1,FALSE),2)-AE180</f>
        <v>37.730000000000132</v>
      </c>
      <c r="AG180" cm="1">
        <f t="array" ref="AG180">ROUND(($J180+$R180)*Apport_124X2425,2)</f>
        <v>800.45</v>
      </c>
      <c r="AH180" s="69" cm="1">
        <f t="array" ref="AH180">ROUND(($J180+$R180)*Apport_621X2425*Apport_125XC2425,2)-AG180</f>
        <v>73.899999999999977</v>
      </c>
      <c r="AI180" cm="1">
        <f t="array" ref="AI180">ROUND($Z180*Apport_124X2425,2)</f>
        <v>234.7</v>
      </c>
      <c r="AJ180">
        <f t="shared" si="42"/>
        <v>124.71000000000004</v>
      </c>
      <c r="AK180">
        <f t="shared" si="43"/>
        <v>908.83</v>
      </c>
      <c r="AL180">
        <f t="shared" si="44"/>
        <v>32.44</v>
      </c>
      <c r="AM180">
        <f t="shared" si="45"/>
        <v>220.86</v>
      </c>
      <c r="AN180">
        <f t="shared" si="46"/>
        <v>6.85</v>
      </c>
      <c r="AO180">
        <f>ROUND(($J180*CIS_Inc_Salary2425*(VLOOKUP($A180,EnrollData2324,'2324 Jun 24 Enroll'!AI$1,FALSE)+VLOOKUP($A180,EnrollData2324,'2324 Jun 24 Enroll'!AJ$1,FALSE))/Apport_613Xpd)*Apport_614Xpd,2)</f>
        <v>78.09</v>
      </c>
      <c r="AP180">
        <f t="shared" si="47"/>
        <v>13.67</v>
      </c>
      <c r="AQ180">
        <f t="shared" si="38"/>
        <v>31.48</v>
      </c>
      <c r="AR180" s="6">
        <f>ROUND((VLOOKUP($A180,EnrollData2324,'2324 Jun 24 Enroll'!D$1,FALSE)*Apport_M802425+VLOOKUP($A180,EnrollData2324,'2324 Jun 24 Enroll'!M$1,FALSE)*Apport_M802425+(VLOOKUP($A180,EnrollData2324,'2324 Jun 24 Enroll'!P$1,FALSE)+VLOOKUP($A180,EnrollData2324,'2324 Jun 24 Enroll'!Q$1,FALSE)+VLOOKUP($A180,EnrollData2324,'2324 Jun 24 Enroll'!R$1,FALSE)+VLOOKUP($A180,EnrollData2324,'2324 Jun 24 Enroll'!I$1,FALSE)+VLOOKUP($A180,EnrollData2324,'2324 Jun 24 Enroll'!N$1,FALSE)+VLOOKUP($A180,EnrollData2324,'2324 Jun 24 Enroll'!O$1,FALSE)+VLOOKUP($A180,EnrollData2324,'2324 Jun 24 Enroll'!K$1,FALSE)+VLOOKUP($A180,EnrollData2324,'2324 Jun 24 Enroll'!L$1,FALSE))*Apport_M812425)/(VLOOKUP($A180,EnrollData2324,'2324 Jun 24 Enroll'!M$1,FALSE)+VLOOKUP($A180,EnrollData2324,'2324 Jun 24 Enroll'!D$1,FALSE)),2)</f>
        <v>1533.02</v>
      </c>
      <c r="AS180" s="7">
        <f t="shared" si="39"/>
        <v>10309.000000000002</v>
      </c>
    </row>
    <row r="181" spans="1:45">
      <c r="A181" s="40" t="s">
        <v>759</v>
      </c>
      <c r="B181" s="40" t="s">
        <v>760</v>
      </c>
      <c r="C181" s="11">
        <f>ROUND((IFERROR((1/IF(VLOOKUP($A181,EnrollData2324,28,FALSE)='District Calculations'!$F$10,VLOOKUP($A181,EnrollData2324,28,FALSE),'District Calculations'!$F$10))*(1+Apport_Z315),0))+Apport_201A2425,6)</f>
        <v>7.4580999999999995E-2</v>
      </c>
      <c r="D181">
        <f>ROUND(IF(VLOOKUP($A181,EnrollData2324,'2324 Jun 24 Enroll'!D$1,FALSE)='District Calculations'!$F$11,VLOOKUP($A181,EnrollData2324,'2324 Jun 24 Enroll'!D$1,FALSE),'District Calculations'!$F$11)*C181,3)</f>
        <v>0</v>
      </c>
      <c r="E181">
        <f>ROUND(IF(VLOOKUP($A181,EnrollData2324,'2324 Jun 24 Enroll'!E$1,FALSE)='District Calculations'!$F$12,VLOOKUP($A181,EnrollData2324,'2324 Jun 24 Enroll'!E$1,FALSE),'District Calculations'!$F$12)*C181,3)</f>
        <v>60.447000000000003</v>
      </c>
      <c r="F181">
        <f>ROUND(IF(VLOOKUP($A181,EnrollData2324,'2324 Jun 24 Enroll'!F$1,FALSE)='District Calculations'!$F$13,VLOOKUP($A181,EnrollData2324,'2324 Jun 24 Enroll'!F$1,FALSE),'District Calculations'!$F$13)*Apport_222A2425,3)</f>
        <v>10.337999999999999</v>
      </c>
      <c r="G181">
        <f>ROUND(IF(VLOOKUP($A181,EnrollData2324,'2324 Jun 24 Enroll'!G$1,FALSE)='District Calculations'!$F$14,VLOOKUP($A181,EnrollData2324,'2324 Jun 24 Enroll'!G$1,FALSE),'District Calculations'!$F$14)*Apport_210A2425,3)</f>
        <v>22.92</v>
      </c>
      <c r="H181">
        <f>ROUND(IF(VLOOKUP($A181,EnrollData2324,'2324 Jun 24 Enroll'!H$1,FALSE)='District Calculations'!$F$15,VLOOKUP($A181,EnrollData2324,'2324 Jun 24 Enroll'!H$1,FALSE),'District Calculations'!$F$15)*Apport_213A2425,3)</f>
        <v>23.619</v>
      </c>
      <c r="I181">
        <f>ROUND(IF(VLOOKUP($A181,EnrollData2324,'2324 Jun 24 Enroll'!I$1,FALSE)+VLOOKUP($A181,EnrollData2324,'2324 Jun 24 Enroll'!M$1,FALSE)-VLOOKUP($A181,EnrollData2324,'2324 Jun 24 Enroll'!J$1,FALSE)='District Calculations'!$F$16+'District Calculations'!$F$25-'District Calculations'!$F$17,VLOOKUP($A181,EnrollData2324,'2324 Jun 24 Enroll'!I$1,FALSE)+VLOOKUP($A181,EnrollData2324,'2324 Jun 24 Enroll'!M$1,FALSE)-VLOOKUP($A181,EnrollData2324,'2324 Jun 24 Enroll'!J$1,FALSE),'District Calculations'!$F$16+'District Calculations'!$F$25-'District Calculations'!$F$17)*Apport_216A2425,3)</f>
        <v>59.057000000000002</v>
      </c>
      <c r="J181">
        <f>ROUND(SUM(D181:I181)/(IF(VLOOKUP($A181,EnrollData2324,'2324 Jun 24 Enroll'!M$1,FALSE)='District Calculations'!$F$25,VLOOKUP($A181,EnrollData2324,'2324 Jun 24 Enroll'!M$1,FALSE),'District Calculations'!$F$25)+IF(VLOOKUP($A181,EnrollData2324,'2324 Jun 24 Enroll'!D$1,FALSE)='District Calculations'!$F$11,VLOOKUP($A181,EnrollData2324,'2324 Jun 24 Enroll'!D$1,FALSE),'District Calculations'!$F$11)),5)</f>
        <v>5.6520000000000001E-2</v>
      </c>
      <c r="K181" s="11">
        <f t="shared" si="40"/>
        <v>4.385E-3</v>
      </c>
      <c r="L181">
        <f>ROUND(IF(VLOOKUP($A181,EnrollData2324,'2324 Jun 24 Enroll'!D$1,FALSE)='District Calculations'!$F$11,VLOOKUP($A181,EnrollData2324,'2324 Jun 24 Enroll'!D$1,FALSE),'District Calculations'!$F$11)*K181,3)</f>
        <v>0</v>
      </c>
      <c r="M181">
        <f>ROUND(IF(VLOOKUP($A181,EnrollData2324,'2324 Jun 24 Enroll'!E$1,FALSE)='District Calculations'!$F$12,VLOOKUP($A181,EnrollData2324,'2324 Jun 24 Enroll'!E$1,FALSE),'District Calculations'!$F$12)*K181,3)</f>
        <v>3.5539999999999998</v>
      </c>
      <c r="N181">
        <f>ROUND(IF(VLOOKUP($A181,EnrollData2324,'2324 Jun 24 Enroll'!F$1,FALSE)='District Calculations'!$F$13,VLOOKUP($A181,EnrollData2324,'2324 Jun 24 Enroll'!F$1,FALSE),'District Calculations'!$F$13)*Apport_223A2425,3)</f>
        <v>0.84599999999999997</v>
      </c>
      <c r="O181">
        <f>ROUND(IF(VLOOKUP($A181,EnrollData2324,'2324 Jun 24 Enroll'!G$1,FALSE)='District Calculations'!$F$14,VLOOKUP($A181,EnrollData2324,'2324 Jun 24 Enroll'!G$1,FALSE),'District Calculations'!$F$14)*Apport_211A2425,3)</f>
        <v>1.877</v>
      </c>
      <c r="P181">
        <f>ROUND(IF(VLOOKUP($A181,EnrollData2324,'2324 Jun 24 Enroll'!H$1,FALSE)='District Calculations'!$F$14,VLOOKUP($A181,EnrollData2324,'2324 Jun 24 Enroll'!H$1,FALSE),'District Calculations'!$F$14)*Apport_214A2425,3)</f>
        <v>1.875</v>
      </c>
      <c r="Q181">
        <f>ROUND(IF(VLOOKUP($A181,EnrollData2324,'2324 Jun 24 Enroll'!I$1,FALSE)+VLOOKUP($A181,EnrollData2324,'2324 Jun 24 Enroll'!M$1,FALSE)-VLOOKUP($A181,EnrollData2324,'2324 Jun 24 Enroll'!J$1,FALSE)='District Calculations'!$F$16+'District Calculations'!$F$25-'District Calculations'!$F$17,VLOOKUP($A181,EnrollData2324,'2324 Jun 24 Enroll'!I$1,FALSE)+VLOOKUP($A181,EnrollData2324,'2324 Jun 24 Enroll'!M$1,FALSE)-VLOOKUP($A181,EnrollData2324,'2324 Jun 24 Enroll'!J$1,FALSE),'District Calculations'!$F$16+'District Calculations'!$F$25-'District Calculations'!$F$17)*Apport_217A2425,3)</f>
        <v>4.7130000000000001</v>
      </c>
      <c r="R181">
        <f>ROUND(SUM(L181:Q181)/IF(VLOOKUP($A181,EnrollData2324,'2324 Jun 24 Enroll'!M$1,FALSE)+VLOOKUP($A181,EnrollData2324,'2324 Jun 24 Enroll'!D$1,FALSE)='District Calculations'!$F$25+'District Calculations'!$F$11,VLOOKUP($A181,EnrollData2324,'2324 Jun 24 Enroll'!M$1,FALSE)+VLOOKUP($A181,EnrollData2324,'2324 Jun 24 Enroll'!D$1,FALSE),'District Calculations'!$F$25+'District Calculations'!$F$11),5)</f>
        <v>4.1200000000000004E-3</v>
      </c>
      <c r="S181" s="11">
        <f t="shared" si="41"/>
        <v>1.8734299999999999E-2</v>
      </c>
      <c r="T181">
        <f>ROUND(IF(VLOOKUP($A181,EnrollData2324,'2324 Jun 24 Enroll'!D$1,FALSE)='District Calculations'!$F$11,VLOOKUP($A181,EnrollData2324,'2324 Jun 24 Enroll'!D$1,FALSE),'District Calculations'!$F$11)*S181,3)</f>
        <v>0</v>
      </c>
      <c r="U181">
        <f>ROUND(IF(VLOOKUP($A181,EnrollData2324,'2324 Jun 24 Enroll'!E$1,FALSE)='District Calculations'!$F$12,VLOOKUP($A181,EnrollData2324,'2324 Jun 24 Enroll'!E$1,FALSE),'District Calculations'!$F$12)*S181,3)</f>
        <v>15.183999999999999</v>
      </c>
      <c r="V181">
        <f>ROUND(IF(VLOOKUP($A181,EnrollData2324,'2324 Jun 24 Enroll'!F$1,FALSE)='District Calculations'!$F$13,VLOOKUP($A181,EnrollData2324,'2324 Jun 24 Enroll'!F$1,FALSE),'District Calculations'!$F$13)*Apport_224A2425,3)</f>
        <v>3.7109999999999999</v>
      </c>
      <c r="W181">
        <f>ROUND(IF(VLOOKUP($A181,EnrollData2324,'2324 Jun 24 Enroll'!G$1,FALSE)='District Calculations'!$F$14,VLOOKUP($A181,EnrollData2324,'2324 Jun 24 Enroll'!G$1,FALSE),'District Calculations'!$F$14)*Apport_212A2425,3)</f>
        <v>8.2279999999999998</v>
      </c>
      <c r="X181">
        <f>ROUND(IF(VLOOKUP($A181,EnrollData2324,'2324 Jun 24 Enroll'!H$1,FALSE)='District Calculations'!$F$14,VLOOKUP($A181,EnrollData2324,'2324 Jun 24 Enroll'!H$1,FALSE),'District Calculations'!$F$14)*Apport_215A2425,3)</f>
        <v>8.1180000000000003</v>
      </c>
      <c r="Y181">
        <f>ROUND(IF(VLOOKUP($A181,EnrollData2324,'2324 Jun 24 Enroll'!I$1,FALSE)+VLOOKUP($A181,EnrollData2324,'2324 Jun 24 Enroll'!M$1,FALSE)-VLOOKUP($A181,EnrollData2324,'2324 Jun 24 Enroll'!J$1,FALSE)='District Calculations'!$F$16+'District Calculations'!$F$25-'District Calculations'!$F$17,VLOOKUP($A181,EnrollData2324,'2324 Jun 24 Enroll'!I$1,FALSE)+VLOOKUP($A181,EnrollData2324,'2324 Jun 24 Enroll'!M$1,FALSE)-VLOOKUP($A181,EnrollData2324,'2324 Jun 24 Enroll'!J$1,FALSE),'District Calculations'!$F$16+'District Calculations'!$F$25-'District Calculations'!$F$17)*Apport_218A2425,3)</f>
        <v>20.257999999999999</v>
      </c>
      <c r="Z181">
        <f>ROUND(SUM(T181:Y181)/IF(VLOOKUP($A181,EnrollData2324,'2324 Jun 24 Enroll'!M$1,FALSE)+VLOOKUP($A181,EnrollData2324,'2324 Jun 24 Enroll'!D$1,FALSE)='District Calculations'!$F$25+'District Calculations'!$F$11,VLOOKUP($A181,EnrollData2324,'2324 Jun 24 Enroll'!M$1,FALSE)+VLOOKUP($A181,EnrollData2324,'2324 Jun 24 Enroll'!D$1,FALSE),'District Calculations'!$F$25+'District Calculations'!$F$11),5)</f>
        <v>1.7780000000000001E-2</v>
      </c>
      <c r="AA181" s="6">
        <f>ROUND($J181*CIS_Base_Salary2425*VLOOKUP($A181,EnrollData2324,'2324 Jun 24 Enroll'!AH$1,FALSE),2)</f>
        <v>4262.68</v>
      </c>
      <c r="AB181" s="6">
        <f>ROUND($J181*CIS_Inc_Salary2425*(VLOOKUP($A181,EnrollData2324,'2324 Jun 24 Enroll'!AI$1,FALSE)+VLOOKUP($A181,EnrollData2324,'2324 Jun 24 Enroll'!AJ$1,FALSE)),2)-AA181</f>
        <v>157.6899999999996</v>
      </c>
      <c r="AC181" s="6" cm="1">
        <f t="array" ref="AC181">ROUND($R181*CAS_Base_Salary2425*VLOOKUP($A181,EnrollData2324,'2324 Jun 24 Enroll'!AH$1,FALSE),2)</f>
        <v>461.23</v>
      </c>
      <c r="AD181" s="6">
        <f>ROUND($R181*CAS_Inc_Salary2425*VLOOKUP($A181,EnrollData2324,'2324 Jun 24 Enroll'!AI$1,FALSE),2)-AC181</f>
        <v>17.069999999999993</v>
      </c>
      <c r="AE181" s="6">
        <f>ROUND($Z181*CLS_Base_Salary2425*VLOOKUP($A181,EnrollData2324,'2324 Jun 24 Enroll'!AH$1,FALSE),2)</f>
        <v>961.95</v>
      </c>
      <c r="AF181" s="6">
        <f>ROUND($Z181*CLS_Inc_Salary2425*VLOOKUP($A181,EnrollData2324,'2324 Jun 24 Enroll'!AI$1,FALSE),2)-AE181</f>
        <v>35.599999999999909</v>
      </c>
      <c r="AG181" cm="1">
        <f t="array" ref="AG181">ROUND(($J181+$R181)*Apport_124X2425,2)</f>
        <v>800.45</v>
      </c>
      <c r="AH181" s="69" cm="1">
        <f t="array" ref="AH181">ROUND(($J181+$R181)*Apport_621X2425*Apport_125XC2425,2)-AG181</f>
        <v>73.899999999999977</v>
      </c>
      <c r="AI181" cm="1">
        <f t="array" ref="AI181">ROUND($Z181*Apport_124X2425,2)</f>
        <v>234.7</v>
      </c>
      <c r="AJ181">
        <f t="shared" si="42"/>
        <v>124.71000000000004</v>
      </c>
      <c r="AK181">
        <f t="shared" si="43"/>
        <v>857.39</v>
      </c>
      <c r="AL181">
        <f t="shared" si="44"/>
        <v>30.6</v>
      </c>
      <c r="AM181">
        <f t="shared" si="45"/>
        <v>208.36</v>
      </c>
      <c r="AN181">
        <f t="shared" si="46"/>
        <v>6.46</v>
      </c>
      <c r="AO181">
        <f>ROUND(($J181*CIS_Inc_Salary2425*(VLOOKUP($A181,EnrollData2324,'2324 Jun 24 Enroll'!AI$1,FALSE)+VLOOKUP($A181,EnrollData2324,'2324 Jun 24 Enroll'!AJ$1,FALSE))/Apport_613Xpd)*Apport_614Xpd,2)</f>
        <v>73.67</v>
      </c>
      <c r="AP181">
        <f t="shared" si="47"/>
        <v>12.9</v>
      </c>
      <c r="AQ181">
        <f t="shared" si="38"/>
        <v>31.48</v>
      </c>
      <c r="AR181" s="6">
        <f>ROUND((VLOOKUP($A181,EnrollData2324,'2324 Jun 24 Enroll'!D$1,FALSE)*Apport_M802425+VLOOKUP($A181,EnrollData2324,'2324 Jun 24 Enroll'!M$1,FALSE)*Apport_M802425+(VLOOKUP($A181,EnrollData2324,'2324 Jun 24 Enroll'!P$1,FALSE)+VLOOKUP($A181,EnrollData2324,'2324 Jun 24 Enroll'!Q$1,FALSE)+VLOOKUP($A181,EnrollData2324,'2324 Jun 24 Enroll'!R$1,FALSE)+VLOOKUP($A181,EnrollData2324,'2324 Jun 24 Enroll'!I$1,FALSE)+VLOOKUP($A181,EnrollData2324,'2324 Jun 24 Enroll'!N$1,FALSE)+VLOOKUP($A181,EnrollData2324,'2324 Jun 24 Enroll'!O$1,FALSE)+VLOOKUP($A181,EnrollData2324,'2324 Jun 24 Enroll'!K$1,FALSE)+VLOOKUP($A181,EnrollData2324,'2324 Jun 24 Enroll'!L$1,FALSE))*Apport_M812425)/(VLOOKUP($A181,EnrollData2324,'2324 Jun 24 Enroll'!M$1,FALSE)+VLOOKUP($A181,EnrollData2324,'2324 Jun 24 Enroll'!D$1,FALSE)),2)</f>
        <v>1615.59</v>
      </c>
      <c r="AS181" s="7">
        <f t="shared" si="39"/>
        <v>9966.4299999999985</v>
      </c>
    </row>
    <row r="182" spans="1:45">
      <c r="A182" s="40" t="s">
        <v>574</v>
      </c>
      <c r="B182" s="40" t="s">
        <v>575</v>
      </c>
      <c r="C182" s="11">
        <f>ROUND((IFERROR((1/IF(VLOOKUP($A182,EnrollData2324,28,FALSE)='District Calculations'!$F$10,VLOOKUP($A182,EnrollData2324,28,FALSE),'District Calculations'!$F$10))*(1+Apport_Z315),0))+Apport_201A2425,6)</f>
        <v>7.4580999999999995E-2</v>
      </c>
      <c r="D182">
        <f>ROUND(IF(VLOOKUP($A182,EnrollData2324,'2324 Jun 24 Enroll'!D$1,FALSE)='District Calculations'!$F$11,VLOOKUP($A182,EnrollData2324,'2324 Jun 24 Enroll'!D$1,FALSE),'District Calculations'!$F$11)*C182,3)</f>
        <v>0</v>
      </c>
      <c r="E182">
        <f>ROUND(IF(VLOOKUP($A182,EnrollData2324,'2324 Jun 24 Enroll'!E$1,FALSE)='District Calculations'!$F$12,VLOOKUP($A182,EnrollData2324,'2324 Jun 24 Enroll'!E$1,FALSE),'District Calculations'!$F$12)*C182,3)</f>
        <v>60.447000000000003</v>
      </c>
      <c r="F182">
        <f>ROUND(IF(VLOOKUP($A182,EnrollData2324,'2324 Jun 24 Enroll'!F$1,FALSE)='District Calculations'!$F$13,VLOOKUP($A182,EnrollData2324,'2324 Jun 24 Enroll'!F$1,FALSE),'District Calculations'!$F$13)*Apport_222A2425,3)</f>
        <v>10.337999999999999</v>
      </c>
      <c r="G182">
        <f>ROUND(IF(VLOOKUP($A182,EnrollData2324,'2324 Jun 24 Enroll'!G$1,FALSE)='District Calculations'!$F$14,VLOOKUP($A182,EnrollData2324,'2324 Jun 24 Enroll'!G$1,FALSE),'District Calculations'!$F$14)*Apport_210A2425,3)</f>
        <v>22.92</v>
      </c>
      <c r="H182">
        <f>ROUND(IF(VLOOKUP($A182,EnrollData2324,'2324 Jun 24 Enroll'!H$1,FALSE)='District Calculations'!$F$15,VLOOKUP($A182,EnrollData2324,'2324 Jun 24 Enroll'!H$1,FALSE),'District Calculations'!$F$15)*Apport_213A2425,3)</f>
        <v>23.619</v>
      </c>
      <c r="I182">
        <f>ROUND(IF(VLOOKUP($A182,EnrollData2324,'2324 Jun 24 Enroll'!I$1,FALSE)+VLOOKUP($A182,EnrollData2324,'2324 Jun 24 Enroll'!M$1,FALSE)-VLOOKUP($A182,EnrollData2324,'2324 Jun 24 Enroll'!J$1,FALSE)='District Calculations'!$F$16+'District Calculations'!$F$25-'District Calculations'!$F$17,VLOOKUP($A182,EnrollData2324,'2324 Jun 24 Enroll'!I$1,FALSE)+VLOOKUP($A182,EnrollData2324,'2324 Jun 24 Enroll'!M$1,FALSE)-VLOOKUP($A182,EnrollData2324,'2324 Jun 24 Enroll'!J$1,FALSE),'District Calculations'!$F$16+'District Calculations'!$F$25-'District Calculations'!$F$17)*Apport_216A2425,3)</f>
        <v>59.057000000000002</v>
      </c>
      <c r="J182">
        <f>ROUND(SUM(D182:I182)/(IF(VLOOKUP($A182,EnrollData2324,'2324 Jun 24 Enroll'!M$1,FALSE)='District Calculations'!$F$25,VLOOKUP($A182,EnrollData2324,'2324 Jun 24 Enroll'!M$1,FALSE),'District Calculations'!$F$25)+IF(VLOOKUP($A182,EnrollData2324,'2324 Jun 24 Enroll'!D$1,FALSE)='District Calculations'!$F$11,VLOOKUP($A182,EnrollData2324,'2324 Jun 24 Enroll'!D$1,FALSE),'District Calculations'!$F$11)),5)</f>
        <v>5.6520000000000001E-2</v>
      </c>
      <c r="K182" s="11">
        <f t="shared" si="40"/>
        <v>4.385E-3</v>
      </c>
      <c r="L182">
        <f>ROUND(IF(VLOOKUP($A182,EnrollData2324,'2324 Jun 24 Enroll'!D$1,FALSE)='District Calculations'!$F$11,VLOOKUP($A182,EnrollData2324,'2324 Jun 24 Enroll'!D$1,FALSE),'District Calculations'!$F$11)*K182,3)</f>
        <v>0</v>
      </c>
      <c r="M182">
        <f>ROUND(IF(VLOOKUP($A182,EnrollData2324,'2324 Jun 24 Enroll'!E$1,FALSE)='District Calculations'!$F$12,VLOOKUP($A182,EnrollData2324,'2324 Jun 24 Enroll'!E$1,FALSE),'District Calculations'!$F$12)*K182,3)</f>
        <v>3.5539999999999998</v>
      </c>
      <c r="N182">
        <f>ROUND(IF(VLOOKUP($A182,EnrollData2324,'2324 Jun 24 Enroll'!F$1,FALSE)='District Calculations'!$F$13,VLOOKUP($A182,EnrollData2324,'2324 Jun 24 Enroll'!F$1,FALSE),'District Calculations'!$F$13)*Apport_223A2425,3)</f>
        <v>0.84599999999999997</v>
      </c>
      <c r="O182">
        <f>ROUND(IF(VLOOKUP($A182,EnrollData2324,'2324 Jun 24 Enroll'!G$1,FALSE)='District Calculations'!$F$14,VLOOKUP($A182,EnrollData2324,'2324 Jun 24 Enroll'!G$1,FALSE),'District Calculations'!$F$14)*Apport_211A2425,3)</f>
        <v>1.877</v>
      </c>
      <c r="P182">
        <f>ROUND(IF(VLOOKUP($A182,EnrollData2324,'2324 Jun 24 Enroll'!H$1,FALSE)='District Calculations'!$F$14,VLOOKUP($A182,EnrollData2324,'2324 Jun 24 Enroll'!H$1,FALSE),'District Calculations'!$F$14)*Apport_214A2425,3)</f>
        <v>1.875</v>
      </c>
      <c r="Q182">
        <f>ROUND(IF(VLOOKUP($A182,EnrollData2324,'2324 Jun 24 Enroll'!I$1,FALSE)+VLOOKUP($A182,EnrollData2324,'2324 Jun 24 Enroll'!M$1,FALSE)-VLOOKUP($A182,EnrollData2324,'2324 Jun 24 Enroll'!J$1,FALSE)='District Calculations'!$F$16+'District Calculations'!$F$25-'District Calculations'!$F$17,VLOOKUP($A182,EnrollData2324,'2324 Jun 24 Enroll'!I$1,FALSE)+VLOOKUP($A182,EnrollData2324,'2324 Jun 24 Enroll'!M$1,FALSE)-VLOOKUP($A182,EnrollData2324,'2324 Jun 24 Enroll'!J$1,FALSE),'District Calculations'!$F$16+'District Calculations'!$F$25-'District Calculations'!$F$17)*Apport_217A2425,3)</f>
        <v>4.7130000000000001</v>
      </c>
      <c r="R182">
        <f>ROUND(SUM(L182:Q182)/IF(VLOOKUP($A182,EnrollData2324,'2324 Jun 24 Enroll'!M$1,FALSE)+VLOOKUP($A182,EnrollData2324,'2324 Jun 24 Enroll'!D$1,FALSE)='District Calculations'!$F$25+'District Calculations'!$F$11,VLOOKUP($A182,EnrollData2324,'2324 Jun 24 Enroll'!M$1,FALSE)+VLOOKUP($A182,EnrollData2324,'2324 Jun 24 Enroll'!D$1,FALSE),'District Calculations'!$F$25+'District Calculations'!$F$11),5)</f>
        <v>4.1200000000000004E-3</v>
      </c>
      <c r="S182" s="11">
        <f t="shared" si="41"/>
        <v>1.8734299999999999E-2</v>
      </c>
      <c r="T182">
        <f>ROUND(IF(VLOOKUP($A182,EnrollData2324,'2324 Jun 24 Enroll'!D$1,FALSE)='District Calculations'!$F$11,VLOOKUP($A182,EnrollData2324,'2324 Jun 24 Enroll'!D$1,FALSE),'District Calculations'!$F$11)*S182,3)</f>
        <v>0</v>
      </c>
      <c r="U182">
        <f>ROUND(IF(VLOOKUP($A182,EnrollData2324,'2324 Jun 24 Enroll'!E$1,FALSE)='District Calculations'!$F$12,VLOOKUP($A182,EnrollData2324,'2324 Jun 24 Enroll'!E$1,FALSE),'District Calculations'!$F$12)*S182,3)</f>
        <v>15.183999999999999</v>
      </c>
      <c r="V182">
        <f>ROUND(IF(VLOOKUP($A182,EnrollData2324,'2324 Jun 24 Enroll'!F$1,FALSE)='District Calculations'!$F$13,VLOOKUP($A182,EnrollData2324,'2324 Jun 24 Enroll'!F$1,FALSE),'District Calculations'!$F$13)*Apport_224A2425,3)</f>
        <v>3.7109999999999999</v>
      </c>
      <c r="W182">
        <f>ROUND(IF(VLOOKUP($A182,EnrollData2324,'2324 Jun 24 Enroll'!G$1,FALSE)='District Calculations'!$F$14,VLOOKUP($A182,EnrollData2324,'2324 Jun 24 Enroll'!G$1,FALSE),'District Calculations'!$F$14)*Apport_212A2425,3)</f>
        <v>8.2279999999999998</v>
      </c>
      <c r="X182">
        <f>ROUND(IF(VLOOKUP($A182,EnrollData2324,'2324 Jun 24 Enroll'!H$1,FALSE)='District Calculations'!$F$14,VLOOKUP($A182,EnrollData2324,'2324 Jun 24 Enroll'!H$1,FALSE),'District Calculations'!$F$14)*Apport_215A2425,3)</f>
        <v>8.1180000000000003</v>
      </c>
      <c r="Y182">
        <f>ROUND(IF(VLOOKUP($A182,EnrollData2324,'2324 Jun 24 Enroll'!I$1,FALSE)+VLOOKUP($A182,EnrollData2324,'2324 Jun 24 Enroll'!M$1,FALSE)-VLOOKUP($A182,EnrollData2324,'2324 Jun 24 Enroll'!J$1,FALSE)='District Calculations'!$F$16+'District Calculations'!$F$25-'District Calculations'!$F$17,VLOOKUP($A182,EnrollData2324,'2324 Jun 24 Enroll'!I$1,FALSE)+VLOOKUP($A182,EnrollData2324,'2324 Jun 24 Enroll'!M$1,FALSE)-VLOOKUP($A182,EnrollData2324,'2324 Jun 24 Enroll'!J$1,FALSE),'District Calculations'!$F$16+'District Calculations'!$F$25-'District Calculations'!$F$17)*Apport_218A2425,3)</f>
        <v>20.257999999999999</v>
      </c>
      <c r="Z182">
        <f>ROUND(SUM(T182:Y182)/IF(VLOOKUP($A182,EnrollData2324,'2324 Jun 24 Enroll'!M$1,FALSE)+VLOOKUP($A182,EnrollData2324,'2324 Jun 24 Enroll'!D$1,FALSE)='District Calculations'!$F$25+'District Calculations'!$F$11,VLOOKUP($A182,EnrollData2324,'2324 Jun 24 Enroll'!M$1,FALSE)+VLOOKUP($A182,EnrollData2324,'2324 Jun 24 Enroll'!D$1,FALSE),'District Calculations'!$F$25+'District Calculations'!$F$11),5)</f>
        <v>1.7780000000000001E-2</v>
      </c>
      <c r="AA182" s="6">
        <f>ROUND($J182*CIS_Base_Salary2425*VLOOKUP($A182,EnrollData2324,'2324 Jun 24 Enroll'!AH$1,FALSE),2)</f>
        <v>4262.68</v>
      </c>
      <c r="AB182" s="6">
        <f>ROUND($J182*CIS_Inc_Salary2425*(VLOOKUP($A182,EnrollData2324,'2324 Jun 24 Enroll'!AI$1,FALSE)+VLOOKUP($A182,EnrollData2324,'2324 Jun 24 Enroll'!AJ$1,FALSE)),2)-AA182</f>
        <v>157.6899999999996</v>
      </c>
      <c r="AC182" s="6" cm="1">
        <f t="array" ref="AC182">ROUND($R182*CAS_Base_Salary2425*VLOOKUP($A182,EnrollData2324,'2324 Jun 24 Enroll'!AH$1,FALSE),2)</f>
        <v>461.23</v>
      </c>
      <c r="AD182" s="6">
        <f>ROUND($R182*CAS_Inc_Salary2425*VLOOKUP($A182,EnrollData2324,'2324 Jun 24 Enroll'!AI$1,FALSE),2)-AC182</f>
        <v>17.069999999999993</v>
      </c>
      <c r="AE182" s="6">
        <f>ROUND($Z182*CLS_Base_Salary2425*VLOOKUP($A182,EnrollData2324,'2324 Jun 24 Enroll'!AH$1,FALSE),2)</f>
        <v>961.95</v>
      </c>
      <c r="AF182" s="6">
        <f>ROUND($Z182*CLS_Inc_Salary2425*VLOOKUP($A182,EnrollData2324,'2324 Jun 24 Enroll'!AI$1,FALSE),2)-AE182</f>
        <v>35.599999999999909</v>
      </c>
      <c r="AG182" cm="1">
        <f t="array" ref="AG182">ROUND(($J182+$R182)*Apport_124X2425,2)</f>
        <v>800.45</v>
      </c>
      <c r="AH182" s="69" cm="1">
        <f t="array" ref="AH182">ROUND(($J182+$R182)*Apport_621X2425*Apport_125XC2425,2)-AG182</f>
        <v>73.899999999999977</v>
      </c>
      <c r="AI182" cm="1">
        <f t="array" ref="AI182">ROUND($Z182*Apport_124X2425,2)</f>
        <v>234.7</v>
      </c>
      <c r="AJ182">
        <f t="shared" si="42"/>
        <v>124.71000000000004</v>
      </c>
      <c r="AK182">
        <f t="shared" si="43"/>
        <v>857.39</v>
      </c>
      <c r="AL182">
        <f t="shared" si="44"/>
        <v>30.6</v>
      </c>
      <c r="AM182">
        <f t="shared" si="45"/>
        <v>208.36</v>
      </c>
      <c r="AN182">
        <f t="shared" si="46"/>
        <v>6.46</v>
      </c>
      <c r="AO182">
        <f>ROUND(($J182*CIS_Inc_Salary2425*(VLOOKUP($A182,EnrollData2324,'2324 Jun 24 Enroll'!AI$1,FALSE)+VLOOKUP($A182,EnrollData2324,'2324 Jun 24 Enroll'!AJ$1,FALSE))/Apport_613Xpd)*Apport_614Xpd,2)</f>
        <v>73.67</v>
      </c>
      <c r="AP182">
        <f t="shared" si="47"/>
        <v>12.9</v>
      </c>
      <c r="AQ182">
        <f t="shared" ref="AQ182:AQ245" si="48">ROUND((J182*Apport_581X)*(Apport_116X*Apport_132X),2)</f>
        <v>31.48</v>
      </c>
      <c r="AR182" s="6">
        <f>ROUND((VLOOKUP($A182,EnrollData2324,'2324 Jun 24 Enroll'!D$1,FALSE)*Apport_M802425+VLOOKUP($A182,EnrollData2324,'2324 Jun 24 Enroll'!M$1,FALSE)*Apport_M802425+(VLOOKUP($A182,EnrollData2324,'2324 Jun 24 Enroll'!P$1,FALSE)+VLOOKUP($A182,EnrollData2324,'2324 Jun 24 Enroll'!Q$1,FALSE)+VLOOKUP($A182,EnrollData2324,'2324 Jun 24 Enroll'!R$1,FALSE)+VLOOKUP($A182,EnrollData2324,'2324 Jun 24 Enroll'!I$1,FALSE)+VLOOKUP($A182,EnrollData2324,'2324 Jun 24 Enroll'!N$1,FALSE)+VLOOKUP($A182,EnrollData2324,'2324 Jun 24 Enroll'!O$1,FALSE)+VLOOKUP($A182,EnrollData2324,'2324 Jun 24 Enroll'!K$1,FALSE)+VLOOKUP($A182,EnrollData2324,'2324 Jun 24 Enroll'!L$1,FALSE))*Apport_M812425)/(VLOOKUP($A182,EnrollData2324,'2324 Jun 24 Enroll'!M$1,FALSE)+VLOOKUP($A182,EnrollData2324,'2324 Jun 24 Enroll'!D$1,FALSE)),2)</f>
        <v>1706.32</v>
      </c>
      <c r="AS182" s="7">
        <f t="shared" si="39"/>
        <v>10057.159999999998</v>
      </c>
    </row>
    <row r="183" spans="1:45">
      <c r="A183" s="40" t="s">
        <v>691</v>
      </c>
      <c r="B183" s="40" t="s">
        <v>692</v>
      </c>
      <c r="C183" s="11">
        <f>ROUND((IFERROR((1/IF(VLOOKUP($A183,EnrollData2324,28,FALSE)='District Calculations'!$F$10,VLOOKUP($A183,EnrollData2324,28,FALSE),'District Calculations'!$F$10))*(1+Apport_Z315),0))+Apport_201A2425,6)</f>
        <v>7.4580999999999995E-2</v>
      </c>
      <c r="D183">
        <f>ROUND(IF(VLOOKUP($A183,EnrollData2324,'2324 Jun 24 Enroll'!D$1,FALSE)='District Calculations'!$F$11,VLOOKUP($A183,EnrollData2324,'2324 Jun 24 Enroll'!D$1,FALSE),'District Calculations'!$F$11)*C183,3)</f>
        <v>0</v>
      </c>
      <c r="E183">
        <f>ROUND(IF(VLOOKUP($A183,EnrollData2324,'2324 Jun 24 Enroll'!E$1,FALSE)='District Calculations'!$F$12,VLOOKUP($A183,EnrollData2324,'2324 Jun 24 Enroll'!E$1,FALSE),'District Calculations'!$F$12)*C183,3)</f>
        <v>60.447000000000003</v>
      </c>
      <c r="F183">
        <f>ROUND(IF(VLOOKUP($A183,EnrollData2324,'2324 Jun 24 Enroll'!F$1,FALSE)='District Calculations'!$F$13,VLOOKUP($A183,EnrollData2324,'2324 Jun 24 Enroll'!F$1,FALSE),'District Calculations'!$F$13)*Apport_222A2425,3)</f>
        <v>10.337999999999999</v>
      </c>
      <c r="G183">
        <f>ROUND(IF(VLOOKUP($A183,EnrollData2324,'2324 Jun 24 Enroll'!G$1,FALSE)='District Calculations'!$F$14,VLOOKUP($A183,EnrollData2324,'2324 Jun 24 Enroll'!G$1,FALSE),'District Calculations'!$F$14)*Apport_210A2425,3)</f>
        <v>22.92</v>
      </c>
      <c r="H183">
        <f>ROUND(IF(VLOOKUP($A183,EnrollData2324,'2324 Jun 24 Enroll'!H$1,FALSE)='District Calculations'!$F$15,VLOOKUP($A183,EnrollData2324,'2324 Jun 24 Enroll'!H$1,FALSE),'District Calculations'!$F$15)*Apport_213A2425,3)</f>
        <v>23.619</v>
      </c>
      <c r="I183">
        <f>ROUND(IF(VLOOKUP($A183,EnrollData2324,'2324 Jun 24 Enroll'!I$1,FALSE)+VLOOKUP($A183,EnrollData2324,'2324 Jun 24 Enroll'!M$1,FALSE)-VLOOKUP($A183,EnrollData2324,'2324 Jun 24 Enroll'!J$1,FALSE)='District Calculations'!$F$16+'District Calculations'!$F$25-'District Calculations'!$F$17,VLOOKUP($A183,EnrollData2324,'2324 Jun 24 Enroll'!I$1,FALSE)+VLOOKUP($A183,EnrollData2324,'2324 Jun 24 Enroll'!M$1,FALSE)-VLOOKUP($A183,EnrollData2324,'2324 Jun 24 Enroll'!J$1,FALSE),'District Calculations'!$F$16+'District Calculations'!$F$25-'District Calculations'!$F$17)*Apport_216A2425,3)</f>
        <v>59.057000000000002</v>
      </c>
      <c r="J183">
        <f>ROUND(SUM(D183:I183)/(IF(VLOOKUP($A183,EnrollData2324,'2324 Jun 24 Enroll'!M$1,FALSE)='District Calculations'!$F$25,VLOOKUP($A183,EnrollData2324,'2324 Jun 24 Enroll'!M$1,FALSE),'District Calculations'!$F$25)+IF(VLOOKUP($A183,EnrollData2324,'2324 Jun 24 Enroll'!D$1,FALSE)='District Calculations'!$F$11,VLOOKUP($A183,EnrollData2324,'2324 Jun 24 Enroll'!D$1,FALSE),'District Calculations'!$F$11)),5)</f>
        <v>5.6520000000000001E-2</v>
      </c>
      <c r="K183" s="11">
        <f t="shared" si="40"/>
        <v>4.385E-3</v>
      </c>
      <c r="L183">
        <f>ROUND(IF(VLOOKUP($A183,EnrollData2324,'2324 Jun 24 Enroll'!D$1,FALSE)='District Calculations'!$F$11,VLOOKUP($A183,EnrollData2324,'2324 Jun 24 Enroll'!D$1,FALSE),'District Calculations'!$F$11)*K183,3)</f>
        <v>0</v>
      </c>
      <c r="M183">
        <f>ROUND(IF(VLOOKUP($A183,EnrollData2324,'2324 Jun 24 Enroll'!E$1,FALSE)='District Calculations'!$F$12,VLOOKUP($A183,EnrollData2324,'2324 Jun 24 Enroll'!E$1,FALSE),'District Calculations'!$F$12)*K183,3)</f>
        <v>3.5539999999999998</v>
      </c>
      <c r="N183">
        <f>ROUND(IF(VLOOKUP($A183,EnrollData2324,'2324 Jun 24 Enroll'!F$1,FALSE)='District Calculations'!$F$13,VLOOKUP($A183,EnrollData2324,'2324 Jun 24 Enroll'!F$1,FALSE),'District Calculations'!$F$13)*Apport_223A2425,3)</f>
        <v>0.84599999999999997</v>
      </c>
      <c r="O183">
        <f>ROUND(IF(VLOOKUP($A183,EnrollData2324,'2324 Jun 24 Enroll'!G$1,FALSE)='District Calculations'!$F$14,VLOOKUP($A183,EnrollData2324,'2324 Jun 24 Enroll'!G$1,FALSE),'District Calculations'!$F$14)*Apport_211A2425,3)</f>
        <v>1.877</v>
      </c>
      <c r="P183">
        <f>ROUND(IF(VLOOKUP($A183,EnrollData2324,'2324 Jun 24 Enroll'!H$1,FALSE)='District Calculations'!$F$14,VLOOKUP($A183,EnrollData2324,'2324 Jun 24 Enroll'!H$1,FALSE),'District Calculations'!$F$14)*Apport_214A2425,3)</f>
        <v>1.875</v>
      </c>
      <c r="Q183">
        <f>ROUND(IF(VLOOKUP($A183,EnrollData2324,'2324 Jun 24 Enroll'!I$1,FALSE)+VLOOKUP($A183,EnrollData2324,'2324 Jun 24 Enroll'!M$1,FALSE)-VLOOKUP($A183,EnrollData2324,'2324 Jun 24 Enroll'!J$1,FALSE)='District Calculations'!$F$16+'District Calculations'!$F$25-'District Calculations'!$F$17,VLOOKUP($A183,EnrollData2324,'2324 Jun 24 Enroll'!I$1,FALSE)+VLOOKUP($A183,EnrollData2324,'2324 Jun 24 Enroll'!M$1,FALSE)-VLOOKUP($A183,EnrollData2324,'2324 Jun 24 Enroll'!J$1,FALSE),'District Calculations'!$F$16+'District Calculations'!$F$25-'District Calculations'!$F$17)*Apport_217A2425,3)</f>
        <v>4.7130000000000001</v>
      </c>
      <c r="R183">
        <f>ROUND(SUM(L183:Q183)/IF(VLOOKUP($A183,EnrollData2324,'2324 Jun 24 Enroll'!M$1,FALSE)+VLOOKUP($A183,EnrollData2324,'2324 Jun 24 Enroll'!D$1,FALSE)='District Calculations'!$F$25+'District Calculations'!$F$11,VLOOKUP($A183,EnrollData2324,'2324 Jun 24 Enroll'!M$1,FALSE)+VLOOKUP($A183,EnrollData2324,'2324 Jun 24 Enroll'!D$1,FALSE),'District Calculations'!$F$25+'District Calculations'!$F$11),5)</f>
        <v>4.1200000000000004E-3</v>
      </c>
      <c r="S183" s="11">
        <f t="shared" si="41"/>
        <v>1.8734299999999999E-2</v>
      </c>
      <c r="T183">
        <f>ROUND(IF(VLOOKUP($A183,EnrollData2324,'2324 Jun 24 Enroll'!D$1,FALSE)='District Calculations'!$F$11,VLOOKUP($A183,EnrollData2324,'2324 Jun 24 Enroll'!D$1,FALSE),'District Calculations'!$F$11)*S183,3)</f>
        <v>0</v>
      </c>
      <c r="U183">
        <f>ROUND(IF(VLOOKUP($A183,EnrollData2324,'2324 Jun 24 Enroll'!E$1,FALSE)='District Calculations'!$F$12,VLOOKUP($A183,EnrollData2324,'2324 Jun 24 Enroll'!E$1,FALSE),'District Calculations'!$F$12)*S183,3)</f>
        <v>15.183999999999999</v>
      </c>
      <c r="V183">
        <f>ROUND(IF(VLOOKUP($A183,EnrollData2324,'2324 Jun 24 Enroll'!F$1,FALSE)='District Calculations'!$F$13,VLOOKUP($A183,EnrollData2324,'2324 Jun 24 Enroll'!F$1,FALSE),'District Calculations'!$F$13)*Apport_224A2425,3)</f>
        <v>3.7109999999999999</v>
      </c>
      <c r="W183">
        <f>ROUND(IF(VLOOKUP($A183,EnrollData2324,'2324 Jun 24 Enroll'!G$1,FALSE)='District Calculations'!$F$14,VLOOKUP($A183,EnrollData2324,'2324 Jun 24 Enroll'!G$1,FALSE),'District Calculations'!$F$14)*Apport_212A2425,3)</f>
        <v>8.2279999999999998</v>
      </c>
      <c r="X183">
        <f>ROUND(IF(VLOOKUP($A183,EnrollData2324,'2324 Jun 24 Enroll'!H$1,FALSE)='District Calculations'!$F$14,VLOOKUP($A183,EnrollData2324,'2324 Jun 24 Enroll'!H$1,FALSE),'District Calculations'!$F$14)*Apport_215A2425,3)</f>
        <v>8.1180000000000003</v>
      </c>
      <c r="Y183">
        <f>ROUND(IF(VLOOKUP($A183,EnrollData2324,'2324 Jun 24 Enroll'!I$1,FALSE)+VLOOKUP($A183,EnrollData2324,'2324 Jun 24 Enroll'!M$1,FALSE)-VLOOKUP($A183,EnrollData2324,'2324 Jun 24 Enroll'!J$1,FALSE)='District Calculations'!$F$16+'District Calculations'!$F$25-'District Calculations'!$F$17,VLOOKUP($A183,EnrollData2324,'2324 Jun 24 Enroll'!I$1,FALSE)+VLOOKUP($A183,EnrollData2324,'2324 Jun 24 Enroll'!M$1,FALSE)-VLOOKUP($A183,EnrollData2324,'2324 Jun 24 Enroll'!J$1,FALSE),'District Calculations'!$F$16+'District Calculations'!$F$25-'District Calculations'!$F$17)*Apport_218A2425,3)</f>
        <v>20.257999999999999</v>
      </c>
      <c r="Z183">
        <f>ROUND(SUM(T183:Y183)/IF(VLOOKUP($A183,EnrollData2324,'2324 Jun 24 Enroll'!M$1,FALSE)+VLOOKUP($A183,EnrollData2324,'2324 Jun 24 Enroll'!D$1,FALSE)='District Calculations'!$F$25+'District Calculations'!$F$11,VLOOKUP($A183,EnrollData2324,'2324 Jun 24 Enroll'!M$1,FALSE)+VLOOKUP($A183,EnrollData2324,'2324 Jun 24 Enroll'!D$1,FALSE),'District Calculations'!$F$25+'District Calculations'!$F$11),5)</f>
        <v>1.7780000000000001E-2</v>
      </c>
      <c r="AA183" s="6">
        <f>ROUND($J183*CIS_Base_Salary2425*VLOOKUP($A183,EnrollData2324,'2324 Jun 24 Enroll'!AH$1,FALSE),2)</f>
        <v>4518.4399999999996</v>
      </c>
      <c r="AB183" s="6">
        <f>ROUND($J183*CIS_Inc_Salary2425*(VLOOKUP($A183,EnrollData2324,'2324 Jun 24 Enroll'!AI$1,FALSE)+VLOOKUP($A183,EnrollData2324,'2324 Jun 24 Enroll'!AJ$1,FALSE)),2)-AA183</f>
        <v>167.16000000000076</v>
      </c>
      <c r="AC183" s="6" cm="1">
        <f t="array" ref="AC183">ROUND($R183*CAS_Base_Salary2425*VLOOKUP($A183,EnrollData2324,'2324 Jun 24 Enroll'!AH$1,FALSE),2)</f>
        <v>488.91</v>
      </c>
      <c r="AD183" s="6">
        <f>ROUND($R183*CAS_Inc_Salary2425*VLOOKUP($A183,EnrollData2324,'2324 Jun 24 Enroll'!AI$1,FALSE),2)-AC183</f>
        <v>18.089999999999975</v>
      </c>
      <c r="AE183" s="6">
        <f>ROUND($Z183*CLS_Base_Salary2425*VLOOKUP($A183,EnrollData2324,'2324 Jun 24 Enroll'!AH$1,FALSE),2)</f>
        <v>1019.67</v>
      </c>
      <c r="AF183" s="6">
        <f>ROUND($Z183*CLS_Inc_Salary2425*VLOOKUP($A183,EnrollData2324,'2324 Jun 24 Enroll'!AI$1,FALSE),2)-AE183</f>
        <v>37.730000000000132</v>
      </c>
      <c r="AG183" cm="1">
        <f t="array" ref="AG183">ROUND(($J183+$R183)*Apport_124X2425,2)</f>
        <v>800.45</v>
      </c>
      <c r="AH183" s="69" cm="1">
        <f t="array" ref="AH183">ROUND(($J183+$R183)*Apport_621X2425*Apport_125XC2425,2)-AG183</f>
        <v>73.899999999999977</v>
      </c>
      <c r="AI183" cm="1">
        <f t="array" ref="AI183">ROUND($Z183*Apport_124X2425,2)</f>
        <v>234.7</v>
      </c>
      <c r="AJ183">
        <f t="shared" si="42"/>
        <v>124.71000000000004</v>
      </c>
      <c r="AK183">
        <f t="shared" si="43"/>
        <v>908.83</v>
      </c>
      <c r="AL183">
        <f t="shared" si="44"/>
        <v>32.44</v>
      </c>
      <c r="AM183">
        <f t="shared" si="45"/>
        <v>220.86</v>
      </c>
      <c r="AN183">
        <f t="shared" si="46"/>
        <v>6.85</v>
      </c>
      <c r="AO183">
        <f>ROUND(($J183*CIS_Inc_Salary2425*(VLOOKUP($A183,EnrollData2324,'2324 Jun 24 Enroll'!AI$1,FALSE)+VLOOKUP($A183,EnrollData2324,'2324 Jun 24 Enroll'!AJ$1,FALSE))/Apport_613Xpd)*Apport_614Xpd,2)</f>
        <v>78.09</v>
      </c>
      <c r="AP183">
        <f t="shared" si="47"/>
        <v>13.67</v>
      </c>
      <c r="AQ183">
        <f t="shared" si="48"/>
        <v>31.48</v>
      </c>
      <c r="AR183" s="6">
        <f>ROUND((VLOOKUP($A183,EnrollData2324,'2324 Jun 24 Enroll'!D$1,FALSE)*Apport_M802425+VLOOKUP($A183,EnrollData2324,'2324 Jun 24 Enroll'!M$1,FALSE)*Apport_M802425+(VLOOKUP($A183,EnrollData2324,'2324 Jun 24 Enroll'!P$1,FALSE)+VLOOKUP($A183,EnrollData2324,'2324 Jun 24 Enroll'!Q$1,FALSE)+VLOOKUP($A183,EnrollData2324,'2324 Jun 24 Enroll'!R$1,FALSE)+VLOOKUP($A183,EnrollData2324,'2324 Jun 24 Enroll'!I$1,FALSE)+VLOOKUP($A183,EnrollData2324,'2324 Jun 24 Enroll'!N$1,FALSE)+VLOOKUP($A183,EnrollData2324,'2324 Jun 24 Enroll'!O$1,FALSE)+VLOOKUP($A183,EnrollData2324,'2324 Jun 24 Enroll'!K$1,FALSE)+VLOOKUP($A183,EnrollData2324,'2324 Jun 24 Enroll'!L$1,FALSE))*Apport_M812425)/(VLOOKUP($A183,EnrollData2324,'2324 Jun 24 Enroll'!M$1,FALSE)+VLOOKUP($A183,EnrollData2324,'2324 Jun 24 Enroll'!D$1,FALSE)),2)</f>
        <v>1533.02</v>
      </c>
      <c r="AS183" s="7">
        <f t="shared" ref="AS183:AS247" si="49">SUM(AA183:AR183)</f>
        <v>10309.000000000002</v>
      </c>
    </row>
    <row r="184" spans="1:45">
      <c r="A184" s="40" t="s">
        <v>633</v>
      </c>
      <c r="B184" s="40" t="s">
        <v>634</v>
      </c>
      <c r="C184" s="11">
        <f>ROUND((IFERROR((1/IF(VLOOKUP($A184,EnrollData2324,28,FALSE)='District Calculations'!$F$10,VLOOKUP($A184,EnrollData2324,28,FALSE),'District Calculations'!$F$10))*(1+Apport_Z315),0))+Apport_201A2425,6)</f>
        <v>7.4580999999999995E-2</v>
      </c>
      <c r="D184">
        <f>ROUND(IF(VLOOKUP($A184,EnrollData2324,'2324 Jun 24 Enroll'!D$1,FALSE)='District Calculations'!$F$11,VLOOKUP($A184,EnrollData2324,'2324 Jun 24 Enroll'!D$1,FALSE),'District Calculations'!$F$11)*C184,3)</f>
        <v>0</v>
      </c>
      <c r="E184">
        <f>ROUND(IF(VLOOKUP($A184,EnrollData2324,'2324 Jun 24 Enroll'!E$1,FALSE)='District Calculations'!$F$12,VLOOKUP($A184,EnrollData2324,'2324 Jun 24 Enroll'!E$1,FALSE),'District Calculations'!$F$12)*C184,3)</f>
        <v>60.447000000000003</v>
      </c>
      <c r="F184">
        <f>ROUND(IF(VLOOKUP($A184,EnrollData2324,'2324 Jun 24 Enroll'!F$1,FALSE)='District Calculations'!$F$13,VLOOKUP($A184,EnrollData2324,'2324 Jun 24 Enroll'!F$1,FALSE),'District Calculations'!$F$13)*Apport_222A2425,3)</f>
        <v>10.337999999999999</v>
      </c>
      <c r="G184">
        <f>ROUND(IF(VLOOKUP($A184,EnrollData2324,'2324 Jun 24 Enroll'!G$1,FALSE)='District Calculations'!$F$14,VLOOKUP($A184,EnrollData2324,'2324 Jun 24 Enroll'!G$1,FALSE),'District Calculations'!$F$14)*Apport_210A2425,3)</f>
        <v>22.92</v>
      </c>
      <c r="H184">
        <f>ROUND(IF(VLOOKUP($A184,EnrollData2324,'2324 Jun 24 Enroll'!H$1,FALSE)='District Calculations'!$F$15,VLOOKUP($A184,EnrollData2324,'2324 Jun 24 Enroll'!H$1,FALSE),'District Calculations'!$F$15)*Apport_213A2425,3)</f>
        <v>23.619</v>
      </c>
      <c r="I184">
        <f>ROUND(IF(VLOOKUP($A184,EnrollData2324,'2324 Jun 24 Enroll'!I$1,FALSE)+VLOOKUP($A184,EnrollData2324,'2324 Jun 24 Enroll'!M$1,FALSE)-VLOOKUP($A184,EnrollData2324,'2324 Jun 24 Enroll'!J$1,FALSE)='District Calculations'!$F$16+'District Calculations'!$F$25-'District Calculations'!$F$17,VLOOKUP($A184,EnrollData2324,'2324 Jun 24 Enroll'!I$1,FALSE)+VLOOKUP($A184,EnrollData2324,'2324 Jun 24 Enroll'!M$1,FALSE)-VLOOKUP($A184,EnrollData2324,'2324 Jun 24 Enroll'!J$1,FALSE),'District Calculations'!$F$16+'District Calculations'!$F$25-'District Calculations'!$F$17)*Apport_216A2425,3)</f>
        <v>59.057000000000002</v>
      </c>
      <c r="J184">
        <f>ROUND(SUM(D184:I184)/(IF(VLOOKUP($A184,EnrollData2324,'2324 Jun 24 Enroll'!M$1,FALSE)='District Calculations'!$F$25,VLOOKUP($A184,EnrollData2324,'2324 Jun 24 Enroll'!M$1,FALSE),'District Calculations'!$F$25)+IF(VLOOKUP($A184,EnrollData2324,'2324 Jun 24 Enroll'!D$1,FALSE)='District Calculations'!$F$11,VLOOKUP($A184,EnrollData2324,'2324 Jun 24 Enroll'!D$1,FALSE),'District Calculations'!$F$11)),5)</f>
        <v>5.6520000000000001E-2</v>
      </c>
      <c r="K184" s="11">
        <f t="shared" si="40"/>
        <v>4.385E-3</v>
      </c>
      <c r="L184">
        <f>ROUND(IF(VLOOKUP($A184,EnrollData2324,'2324 Jun 24 Enroll'!D$1,FALSE)='District Calculations'!$F$11,VLOOKUP($A184,EnrollData2324,'2324 Jun 24 Enroll'!D$1,FALSE),'District Calculations'!$F$11)*K184,3)</f>
        <v>0</v>
      </c>
      <c r="M184">
        <f>ROUND(IF(VLOOKUP($A184,EnrollData2324,'2324 Jun 24 Enroll'!E$1,FALSE)='District Calculations'!$F$12,VLOOKUP($A184,EnrollData2324,'2324 Jun 24 Enroll'!E$1,FALSE),'District Calculations'!$F$12)*K184,3)</f>
        <v>3.5539999999999998</v>
      </c>
      <c r="N184">
        <f>ROUND(IF(VLOOKUP($A184,EnrollData2324,'2324 Jun 24 Enroll'!F$1,FALSE)='District Calculations'!$F$13,VLOOKUP($A184,EnrollData2324,'2324 Jun 24 Enroll'!F$1,FALSE),'District Calculations'!$F$13)*Apport_223A2425,3)</f>
        <v>0.84599999999999997</v>
      </c>
      <c r="O184">
        <f>ROUND(IF(VLOOKUP($A184,EnrollData2324,'2324 Jun 24 Enroll'!G$1,FALSE)='District Calculations'!$F$14,VLOOKUP($A184,EnrollData2324,'2324 Jun 24 Enroll'!G$1,FALSE),'District Calculations'!$F$14)*Apport_211A2425,3)</f>
        <v>1.877</v>
      </c>
      <c r="P184">
        <f>ROUND(IF(VLOOKUP($A184,EnrollData2324,'2324 Jun 24 Enroll'!H$1,FALSE)='District Calculations'!$F$14,VLOOKUP($A184,EnrollData2324,'2324 Jun 24 Enroll'!H$1,FALSE),'District Calculations'!$F$14)*Apport_214A2425,3)</f>
        <v>1.875</v>
      </c>
      <c r="Q184">
        <f>ROUND(IF(VLOOKUP($A184,EnrollData2324,'2324 Jun 24 Enroll'!I$1,FALSE)+VLOOKUP($A184,EnrollData2324,'2324 Jun 24 Enroll'!M$1,FALSE)-VLOOKUP($A184,EnrollData2324,'2324 Jun 24 Enroll'!J$1,FALSE)='District Calculations'!$F$16+'District Calculations'!$F$25-'District Calculations'!$F$17,VLOOKUP($A184,EnrollData2324,'2324 Jun 24 Enroll'!I$1,FALSE)+VLOOKUP($A184,EnrollData2324,'2324 Jun 24 Enroll'!M$1,FALSE)-VLOOKUP($A184,EnrollData2324,'2324 Jun 24 Enroll'!J$1,FALSE),'District Calculations'!$F$16+'District Calculations'!$F$25-'District Calculations'!$F$17)*Apport_217A2425,3)</f>
        <v>4.7130000000000001</v>
      </c>
      <c r="R184">
        <f>ROUND(SUM(L184:Q184)/IF(VLOOKUP($A184,EnrollData2324,'2324 Jun 24 Enroll'!M$1,FALSE)+VLOOKUP($A184,EnrollData2324,'2324 Jun 24 Enroll'!D$1,FALSE)='District Calculations'!$F$25+'District Calculations'!$F$11,VLOOKUP($A184,EnrollData2324,'2324 Jun 24 Enroll'!M$1,FALSE)+VLOOKUP($A184,EnrollData2324,'2324 Jun 24 Enroll'!D$1,FALSE),'District Calculations'!$F$25+'District Calculations'!$F$11),5)</f>
        <v>4.1200000000000004E-3</v>
      </c>
      <c r="S184" s="11">
        <f t="shared" si="41"/>
        <v>1.8734299999999999E-2</v>
      </c>
      <c r="T184">
        <f>ROUND(IF(VLOOKUP($A184,EnrollData2324,'2324 Jun 24 Enroll'!D$1,FALSE)='District Calculations'!$F$11,VLOOKUP($A184,EnrollData2324,'2324 Jun 24 Enroll'!D$1,FALSE),'District Calculations'!$F$11)*S184,3)</f>
        <v>0</v>
      </c>
      <c r="U184">
        <f>ROUND(IF(VLOOKUP($A184,EnrollData2324,'2324 Jun 24 Enroll'!E$1,FALSE)='District Calculations'!$F$12,VLOOKUP($A184,EnrollData2324,'2324 Jun 24 Enroll'!E$1,FALSE),'District Calculations'!$F$12)*S184,3)</f>
        <v>15.183999999999999</v>
      </c>
      <c r="V184">
        <f>ROUND(IF(VLOOKUP($A184,EnrollData2324,'2324 Jun 24 Enroll'!F$1,FALSE)='District Calculations'!$F$13,VLOOKUP($A184,EnrollData2324,'2324 Jun 24 Enroll'!F$1,FALSE),'District Calculations'!$F$13)*Apport_224A2425,3)</f>
        <v>3.7109999999999999</v>
      </c>
      <c r="W184">
        <f>ROUND(IF(VLOOKUP($A184,EnrollData2324,'2324 Jun 24 Enroll'!G$1,FALSE)='District Calculations'!$F$14,VLOOKUP($A184,EnrollData2324,'2324 Jun 24 Enroll'!G$1,FALSE),'District Calculations'!$F$14)*Apport_212A2425,3)</f>
        <v>8.2279999999999998</v>
      </c>
      <c r="X184">
        <f>ROUND(IF(VLOOKUP($A184,EnrollData2324,'2324 Jun 24 Enroll'!H$1,FALSE)='District Calculations'!$F$14,VLOOKUP($A184,EnrollData2324,'2324 Jun 24 Enroll'!H$1,FALSE),'District Calculations'!$F$14)*Apport_215A2425,3)</f>
        <v>8.1180000000000003</v>
      </c>
      <c r="Y184">
        <f>ROUND(IF(VLOOKUP($A184,EnrollData2324,'2324 Jun 24 Enroll'!I$1,FALSE)+VLOOKUP($A184,EnrollData2324,'2324 Jun 24 Enroll'!M$1,FALSE)-VLOOKUP($A184,EnrollData2324,'2324 Jun 24 Enroll'!J$1,FALSE)='District Calculations'!$F$16+'District Calculations'!$F$25-'District Calculations'!$F$17,VLOOKUP($A184,EnrollData2324,'2324 Jun 24 Enroll'!I$1,FALSE)+VLOOKUP($A184,EnrollData2324,'2324 Jun 24 Enroll'!M$1,FALSE)-VLOOKUP($A184,EnrollData2324,'2324 Jun 24 Enroll'!J$1,FALSE),'District Calculations'!$F$16+'District Calculations'!$F$25-'District Calculations'!$F$17)*Apport_218A2425,3)</f>
        <v>20.257999999999999</v>
      </c>
      <c r="Z184">
        <f>ROUND(SUM(T184:Y184)/IF(VLOOKUP($A184,EnrollData2324,'2324 Jun 24 Enroll'!M$1,FALSE)+VLOOKUP($A184,EnrollData2324,'2324 Jun 24 Enroll'!D$1,FALSE)='District Calculations'!$F$25+'District Calculations'!$F$11,VLOOKUP($A184,EnrollData2324,'2324 Jun 24 Enroll'!M$1,FALSE)+VLOOKUP($A184,EnrollData2324,'2324 Jun 24 Enroll'!D$1,FALSE),'District Calculations'!$F$25+'District Calculations'!$F$11),5)</f>
        <v>1.7780000000000001E-2</v>
      </c>
      <c r="AA184" s="6">
        <f>ROUND($J184*CIS_Base_Salary2425*VLOOKUP($A184,EnrollData2324,'2324 Jun 24 Enroll'!AH$1,FALSE),2)</f>
        <v>4774.2</v>
      </c>
      <c r="AB184" s="6">
        <f>ROUND($J184*CIS_Inc_Salary2425*(VLOOKUP($A184,EnrollData2324,'2324 Jun 24 Enroll'!AI$1,FALSE)+VLOOKUP($A184,EnrollData2324,'2324 Jun 24 Enroll'!AJ$1,FALSE)),2)-AA184</f>
        <v>176.61999999999989</v>
      </c>
      <c r="AC184" s="6" cm="1">
        <f t="array" ref="AC184">ROUND($R184*CAS_Base_Salary2425*VLOOKUP($A184,EnrollData2324,'2324 Jun 24 Enroll'!AH$1,FALSE),2)</f>
        <v>516.58000000000004</v>
      </c>
      <c r="AD184" s="6">
        <f>ROUND($R184*CAS_Inc_Salary2425*VLOOKUP($A184,EnrollData2324,'2324 Jun 24 Enroll'!AI$1,FALSE),2)-AC184</f>
        <v>19.110000000000014</v>
      </c>
      <c r="AE184" s="6">
        <f>ROUND($Z184*CLS_Base_Salary2425*VLOOKUP($A184,EnrollData2324,'2324 Jun 24 Enroll'!AH$1,FALSE),2)</f>
        <v>1077.3900000000001</v>
      </c>
      <c r="AF184" s="6">
        <f>ROUND($Z184*CLS_Inc_Salary2425*VLOOKUP($A184,EnrollData2324,'2324 Jun 24 Enroll'!AI$1,FALSE),2)-AE184</f>
        <v>39.8599999999999</v>
      </c>
      <c r="AG184" cm="1">
        <f t="array" ref="AG184">ROUND(($J184+$R184)*Apport_124X2425,2)</f>
        <v>800.45</v>
      </c>
      <c r="AH184" s="69" cm="1">
        <f t="array" ref="AH184">ROUND(($J184+$R184)*Apport_621X2425*Apport_125XC2425,2)-AG184</f>
        <v>73.899999999999977</v>
      </c>
      <c r="AI184" cm="1">
        <f t="array" ref="AI184">ROUND($Z184*Apport_124X2425,2)</f>
        <v>234.7</v>
      </c>
      <c r="AJ184">
        <f t="shared" si="42"/>
        <v>124.71000000000004</v>
      </c>
      <c r="AK184">
        <f t="shared" si="43"/>
        <v>960.28</v>
      </c>
      <c r="AL184">
        <f t="shared" si="44"/>
        <v>34.270000000000003</v>
      </c>
      <c r="AM184">
        <f t="shared" si="45"/>
        <v>233.36</v>
      </c>
      <c r="AN184">
        <f t="shared" si="46"/>
        <v>7.24</v>
      </c>
      <c r="AO184">
        <f>ROUND(($J184*CIS_Inc_Salary2425*(VLOOKUP($A184,EnrollData2324,'2324 Jun 24 Enroll'!AI$1,FALSE)+VLOOKUP($A184,EnrollData2324,'2324 Jun 24 Enroll'!AJ$1,FALSE))/Apport_613Xpd)*Apport_614Xpd,2)</f>
        <v>82.51</v>
      </c>
      <c r="AP184">
        <f t="shared" si="47"/>
        <v>14.45</v>
      </c>
      <c r="AQ184">
        <f t="shared" si="48"/>
        <v>31.48</v>
      </c>
      <c r="AR184" s="6">
        <f>ROUND((VLOOKUP($A184,EnrollData2324,'2324 Jun 24 Enroll'!D$1,FALSE)*Apport_M802425+VLOOKUP($A184,EnrollData2324,'2324 Jun 24 Enroll'!M$1,FALSE)*Apport_M802425+(VLOOKUP($A184,EnrollData2324,'2324 Jun 24 Enroll'!P$1,FALSE)+VLOOKUP($A184,EnrollData2324,'2324 Jun 24 Enroll'!Q$1,FALSE)+VLOOKUP($A184,EnrollData2324,'2324 Jun 24 Enroll'!R$1,FALSE)+VLOOKUP($A184,EnrollData2324,'2324 Jun 24 Enroll'!I$1,FALSE)+VLOOKUP($A184,EnrollData2324,'2324 Jun 24 Enroll'!N$1,FALSE)+VLOOKUP($A184,EnrollData2324,'2324 Jun 24 Enroll'!O$1,FALSE)+VLOOKUP($A184,EnrollData2324,'2324 Jun 24 Enroll'!K$1,FALSE)+VLOOKUP($A184,EnrollData2324,'2324 Jun 24 Enroll'!L$1,FALSE))*Apport_M812425)/(VLOOKUP($A184,EnrollData2324,'2324 Jun 24 Enroll'!M$1,FALSE)+VLOOKUP($A184,EnrollData2324,'2324 Jun 24 Enroll'!D$1,FALSE)),2)</f>
        <v>1606.91</v>
      </c>
      <c r="AS184" s="7">
        <f t="shared" si="49"/>
        <v>10808.02</v>
      </c>
    </row>
    <row r="185" spans="1:45">
      <c r="A185" s="40" t="s">
        <v>506</v>
      </c>
      <c r="B185" s="40" t="s">
        <v>507</v>
      </c>
      <c r="C185" s="11">
        <f>ROUND((IFERROR((1/IF(VLOOKUP($A185,EnrollData2324,28,FALSE)='District Calculations'!$F$10,VLOOKUP($A185,EnrollData2324,28,FALSE),'District Calculations'!$F$10))*(1+Apport_Z315),0))+Apport_201A2425,6)</f>
        <v>7.4580999999999995E-2</v>
      </c>
      <c r="D185">
        <f>ROUND(IF(VLOOKUP($A185,EnrollData2324,'2324 Jun 24 Enroll'!D$1,FALSE)='District Calculations'!$F$11,VLOOKUP($A185,EnrollData2324,'2324 Jun 24 Enroll'!D$1,FALSE),'District Calculations'!$F$11)*C185,3)</f>
        <v>0</v>
      </c>
      <c r="E185">
        <f>ROUND(IF(VLOOKUP($A185,EnrollData2324,'2324 Jun 24 Enroll'!E$1,FALSE)='District Calculations'!$F$12,VLOOKUP($A185,EnrollData2324,'2324 Jun 24 Enroll'!E$1,FALSE),'District Calculations'!$F$12)*C185,3)</f>
        <v>60.447000000000003</v>
      </c>
      <c r="F185">
        <f>ROUND(IF(VLOOKUP($A185,EnrollData2324,'2324 Jun 24 Enroll'!F$1,FALSE)='District Calculations'!$F$13,VLOOKUP($A185,EnrollData2324,'2324 Jun 24 Enroll'!F$1,FALSE),'District Calculations'!$F$13)*Apport_222A2425,3)</f>
        <v>10.337999999999999</v>
      </c>
      <c r="G185">
        <f>ROUND(IF(VLOOKUP($A185,EnrollData2324,'2324 Jun 24 Enroll'!G$1,FALSE)='District Calculations'!$F$14,VLOOKUP($A185,EnrollData2324,'2324 Jun 24 Enroll'!G$1,FALSE),'District Calculations'!$F$14)*Apport_210A2425,3)</f>
        <v>22.92</v>
      </c>
      <c r="H185">
        <f>ROUND(IF(VLOOKUP($A185,EnrollData2324,'2324 Jun 24 Enroll'!H$1,FALSE)='District Calculations'!$F$15,VLOOKUP($A185,EnrollData2324,'2324 Jun 24 Enroll'!H$1,FALSE),'District Calculations'!$F$15)*Apport_213A2425,3)</f>
        <v>23.619</v>
      </c>
      <c r="I185">
        <f>ROUND(IF(VLOOKUP($A185,EnrollData2324,'2324 Jun 24 Enroll'!I$1,FALSE)+VLOOKUP($A185,EnrollData2324,'2324 Jun 24 Enroll'!M$1,FALSE)-VLOOKUP($A185,EnrollData2324,'2324 Jun 24 Enroll'!J$1,FALSE)='District Calculations'!$F$16+'District Calculations'!$F$25-'District Calculations'!$F$17,VLOOKUP($A185,EnrollData2324,'2324 Jun 24 Enroll'!I$1,FALSE)+VLOOKUP($A185,EnrollData2324,'2324 Jun 24 Enroll'!M$1,FALSE)-VLOOKUP($A185,EnrollData2324,'2324 Jun 24 Enroll'!J$1,FALSE),'District Calculations'!$F$16+'District Calculations'!$F$25-'District Calculations'!$F$17)*Apport_216A2425,3)</f>
        <v>59.057000000000002</v>
      </c>
      <c r="J185">
        <f>ROUND(SUM(D185:I185)/(IF(VLOOKUP($A185,EnrollData2324,'2324 Jun 24 Enroll'!M$1,FALSE)='District Calculations'!$F$25,VLOOKUP($A185,EnrollData2324,'2324 Jun 24 Enroll'!M$1,FALSE),'District Calculations'!$F$25)+IF(VLOOKUP($A185,EnrollData2324,'2324 Jun 24 Enroll'!D$1,FALSE)='District Calculations'!$F$11,VLOOKUP($A185,EnrollData2324,'2324 Jun 24 Enroll'!D$1,FALSE),'District Calculations'!$F$11)),5)</f>
        <v>5.6520000000000001E-2</v>
      </c>
      <c r="K185" s="11">
        <f t="shared" si="40"/>
        <v>4.385E-3</v>
      </c>
      <c r="L185">
        <f>ROUND(IF(VLOOKUP($A185,EnrollData2324,'2324 Jun 24 Enroll'!D$1,FALSE)='District Calculations'!$F$11,VLOOKUP($A185,EnrollData2324,'2324 Jun 24 Enroll'!D$1,FALSE),'District Calculations'!$F$11)*K185,3)</f>
        <v>0</v>
      </c>
      <c r="M185">
        <f>ROUND(IF(VLOOKUP($A185,EnrollData2324,'2324 Jun 24 Enroll'!E$1,FALSE)='District Calculations'!$F$12,VLOOKUP($A185,EnrollData2324,'2324 Jun 24 Enroll'!E$1,FALSE),'District Calculations'!$F$12)*K185,3)</f>
        <v>3.5539999999999998</v>
      </c>
      <c r="N185">
        <f>ROUND(IF(VLOOKUP($A185,EnrollData2324,'2324 Jun 24 Enroll'!F$1,FALSE)='District Calculations'!$F$13,VLOOKUP($A185,EnrollData2324,'2324 Jun 24 Enroll'!F$1,FALSE),'District Calculations'!$F$13)*Apport_223A2425,3)</f>
        <v>0.84599999999999997</v>
      </c>
      <c r="O185">
        <f>ROUND(IF(VLOOKUP($A185,EnrollData2324,'2324 Jun 24 Enroll'!G$1,FALSE)='District Calculations'!$F$14,VLOOKUP($A185,EnrollData2324,'2324 Jun 24 Enroll'!G$1,FALSE),'District Calculations'!$F$14)*Apport_211A2425,3)</f>
        <v>1.877</v>
      </c>
      <c r="P185">
        <f>ROUND(IF(VLOOKUP($A185,EnrollData2324,'2324 Jun 24 Enroll'!H$1,FALSE)='District Calculations'!$F$14,VLOOKUP($A185,EnrollData2324,'2324 Jun 24 Enroll'!H$1,FALSE),'District Calculations'!$F$14)*Apport_214A2425,3)</f>
        <v>1.875</v>
      </c>
      <c r="Q185">
        <f>ROUND(IF(VLOOKUP($A185,EnrollData2324,'2324 Jun 24 Enroll'!I$1,FALSE)+VLOOKUP($A185,EnrollData2324,'2324 Jun 24 Enroll'!M$1,FALSE)-VLOOKUP($A185,EnrollData2324,'2324 Jun 24 Enroll'!J$1,FALSE)='District Calculations'!$F$16+'District Calculations'!$F$25-'District Calculations'!$F$17,VLOOKUP($A185,EnrollData2324,'2324 Jun 24 Enroll'!I$1,FALSE)+VLOOKUP($A185,EnrollData2324,'2324 Jun 24 Enroll'!M$1,FALSE)-VLOOKUP($A185,EnrollData2324,'2324 Jun 24 Enroll'!J$1,FALSE),'District Calculations'!$F$16+'District Calculations'!$F$25-'District Calculations'!$F$17)*Apport_217A2425,3)</f>
        <v>4.7130000000000001</v>
      </c>
      <c r="R185">
        <f>ROUND(SUM(L185:Q185)/IF(VLOOKUP($A185,EnrollData2324,'2324 Jun 24 Enroll'!M$1,FALSE)+VLOOKUP($A185,EnrollData2324,'2324 Jun 24 Enroll'!D$1,FALSE)='District Calculations'!$F$25+'District Calculations'!$F$11,VLOOKUP($A185,EnrollData2324,'2324 Jun 24 Enroll'!M$1,FALSE)+VLOOKUP($A185,EnrollData2324,'2324 Jun 24 Enroll'!D$1,FALSE),'District Calculations'!$F$25+'District Calculations'!$F$11),5)</f>
        <v>4.1200000000000004E-3</v>
      </c>
      <c r="S185" s="11">
        <f t="shared" si="41"/>
        <v>1.8734299999999999E-2</v>
      </c>
      <c r="T185">
        <f>ROUND(IF(VLOOKUP($A185,EnrollData2324,'2324 Jun 24 Enroll'!D$1,FALSE)='District Calculations'!$F$11,VLOOKUP($A185,EnrollData2324,'2324 Jun 24 Enroll'!D$1,FALSE),'District Calculations'!$F$11)*S185,3)</f>
        <v>0</v>
      </c>
      <c r="U185">
        <f>ROUND(IF(VLOOKUP($A185,EnrollData2324,'2324 Jun 24 Enroll'!E$1,FALSE)='District Calculations'!$F$12,VLOOKUP($A185,EnrollData2324,'2324 Jun 24 Enroll'!E$1,FALSE),'District Calculations'!$F$12)*S185,3)</f>
        <v>15.183999999999999</v>
      </c>
      <c r="V185">
        <f>ROUND(IF(VLOOKUP($A185,EnrollData2324,'2324 Jun 24 Enroll'!F$1,FALSE)='District Calculations'!$F$13,VLOOKUP($A185,EnrollData2324,'2324 Jun 24 Enroll'!F$1,FALSE),'District Calculations'!$F$13)*Apport_224A2425,3)</f>
        <v>3.7109999999999999</v>
      </c>
      <c r="W185">
        <f>ROUND(IF(VLOOKUP($A185,EnrollData2324,'2324 Jun 24 Enroll'!G$1,FALSE)='District Calculations'!$F$14,VLOOKUP($A185,EnrollData2324,'2324 Jun 24 Enroll'!G$1,FALSE),'District Calculations'!$F$14)*Apport_212A2425,3)</f>
        <v>8.2279999999999998</v>
      </c>
      <c r="X185">
        <f>ROUND(IF(VLOOKUP($A185,EnrollData2324,'2324 Jun 24 Enroll'!H$1,FALSE)='District Calculations'!$F$14,VLOOKUP($A185,EnrollData2324,'2324 Jun 24 Enroll'!H$1,FALSE),'District Calculations'!$F$14)*Apport_215A2425,3)</f>
        <v>8.1180000000000003</v>
      </c>
      <c r="Y185">
        <f>ROUND(IF(VLOOKUP($A185,EnrollData2324,'2324 Jun 24 Enroll'!I$1,FALSE)+VLOOKUP($A185,EnrollData2324,'2324 Jun 24 Enroll'!M$1,FALSE)-VLOOKUP($A185,EnrollData2324,'2324 Jun 24 Enroll'!J$1,FALSE)='District Calculations'!$F$16+'District Calculations'!$F$25-'District Calculations'!$F$17,VLOOKUP($A185,EnrollData2324,'2324 Jun 24 Enroll'!I$1,FALSE)+VLOOKUP($A185,EnrollData2324,'2324 Jun 24 Enroll'!M$1,FALSE)-VLOOKUP($A185,EnrollData2324,'2324 Jun 24 Enroll'!J$1,FALSE),'District Calculations'!$F$16+'District Calculations'!$F$25-'District Calculations'!$F$17)*Apport_218A2425,3)</f>
        <v>20.257999999999999</v>
      </c>
      <c r="Z185">
        <f>ROUND(SUM(T185:Y185)/IF(VLOOKUP($A185,EnrollData2324,'2324 Jun 24 Enroll'!M$1,FALSE)+VLOOKUP($A185,EnrollData2324,'2324 Jun 24 Enroll'!D$1,FALSE)='District Calculations'!$F$25+'District Calculations'!$F$11,VLOOKUP($A185,EnrollData2324,'2324 Jun 24 Enroll'!M$1,FALSE)+VLOOKUP($A185,EnrollData2324,'2324 Jun 24 Enroll'!D$1,FALSE),'District Calculations'!$F$25+'District Calculations'!$F$11),5)</f>
        <v>1.7780000000000001E-2</v>
      </c>
      <c r="AA185" s="6">
        <f>ROUND($J185*CIS_Base_Salary2425*VLOOKUP($A185,EnrollData2324,'2324 Jun 24 Enroll'!AH$1,FALSE),2)</f>
        <v>4262.68</v>
      </c>
      <c r="AB185" s="6">
        <f>ROUND($J185*CIS_Inc_Salary2425*(VLOOKUP($A185,EnrollData2324,'2324 Jun 24 Enroll'!AI$1,FALSE)+VLOOKUP($A185,EnrollData2324,'2324 Jun 24 Enroll'!AJ$1,FALSE)),2)-AA185</f>
        <v>157.6899999999996</v>
      </c>
      <c r="AC185" s="6" cm="1">
        <f t="array" ref="AC185">ROUND($R185*CAS_Base_Salary2425*VLOOKUP($A185,EnrollData2324,'2324 Jun 24 Enroll'!AH$1,FALSE),2)</f>
        <v>461.23</v>
      </c>
      <c r="AD185" s="6">
        <f>ROUND($R185*CAS_Inc_Salary2425*VLOOKUP($A185,EnrollData2324,'2324 Jun 24 Enroll'!AI$1,FALSE),2)-AC185</f>
        <v>17.069999999999993</v>
      </c>
      <c r="AE185" s="6">
        <f>ROUND($Z185*CLS_Base_Salary2425*VLOOKUP($A185,EnrollData2324,'2324 Jun 24 Enroll'!AH$1,FALSE),2)</f>
        <v>961.95</v>
      </c>
      <c r="AF185" s="6">
        <f>ROUND($Z185*CLS_Inc_Salary2425*VLOOKUP($A185,EnrollData2324,'2324 Jun 24 Enroll'!AI$1,FALSE),2)-AE185</f>
        <v>35.599999999999909</v>
      </c>
      <c r="AG185" cm="1">
        <f t="array" ref="AG185">ROUND(($J185+$R185)*Apport_124X2425,2)</f>
        <v>800.45</v>
      </c>
      <c r="AH185" s="69" cm="1">
        <f t="array" ref="AH185">ROUND(($J185+$R185)*Apport_621X2425*Apport_125XC2425,2)-AG185</f>
        <v>73.899999999999977</v>
      </c>
      <c r="AI185" cm="1">
        <f t="array" ref="AI185">ROUND($Z185*Apport_124X2425,2)</f>
        <v>234.7</v>
      </c>
      <c r="AJ185">
        <f t="shared" si="42"/>
        <v>124.71000000000004</v>
      </c>
      <c r="AK185">
        <f t="shared" si="43"/>
        <v>857.39</v>
      </c>
      <c r="AL185">
        <f t="shared" si="44"/>
        <v>30.6</v>
      </c>
      <c r="AM185">
        <f t="shared" si="45"/>
        <v>208.36</v>
      </c>
      <c r="AN185">
        <f t="shared" si="46"/>
        <v>6.46</v>
      </c>
      <c r="AO185">
        <f>ROUND(($J185*CIS_Inc_Salary2425*(VLOOKUP($A185,EnrollData2324,'2324 Jun 24 Enroll'!AI$1,FALSE)+VLOOKUP($A185,EnrollData2324,'2324 Jun 24 Enroll'!AJ$1,FALSE))/Apport_613Xpd)*Apport_614Xpd,2)</f>
        <v>73.67</v>
      </c>
      <c r="AP185">
        <f t="shared" si="47"/>
        <v>12.9</v>
      </c>
      <c r="AQ185">
        <f t="shared" si="48"/>
        <v>31.48</v>
      </c>
      <c r="AR185" s="6">
        <f>ROUND((VLOOKUP($A185,EnrollData2324,'2324 Jun 24 Enroll'!D$1,FALSE)*Apport_M802425+VLOOKUP($A185,EnrollData2324,'2324 Jun 24 Enroll'!M$1,FALSE)*Apport_M802425+(VLOOKUP($A185,EnrollData2324,'2324 Jun 24 Enroll'!P$1,FALSE)+VLOOKUP($A185,EnrollData2324,'2324 Jun 24 Enroll'!Q$1,FALSE)+VLOOKUP($A185,EnrollData2324,'2324 Jun 24 Enroll'!R$1,FALSE)+VLOOKUP($A185,EnrollData2324,'2324 Jun 24 Enroll'!I$1,FALSE)+VLOOKUP($A185,EnrollData2324,'2324 Jun 24 Enroll'!N$1,FALSE)+VLOOKUP($A185,EnrollData2324,'2324 Jun 24 Enroll'!O$1,FALSE)+VLOOKUP($A185,EnrollData2324,'2324 Jun 24 Enroll'!K$1,FALSE)+VLOOKUP($A185,EnrollData2324,'2324 Jun 24 Enroll'!L$1,FALSE))*Apport_M812425)/(VLOOKUP($A185,EnrollData2324,'2324 Jun 24 Enroll'!M$1,FALSE)+VLOOKUP($A185,EnrollData2324,'2324 Jun 24 Enroll'!D$1,FALSE)),2)</f>
        <v>1533.02</v>
      </c>
      <c r="AS185" s="7">
        <f t="shared" si="49"/>
        <v>9883.8599999999988</v>
      </c>
    </row>
    <row r="186" spans="1:45">
      <c r="A186" s="40" t="s">
        <v>620</v>
      </c>
      <c r="B186" s="40" t="s">
        <v>1032</v>
      </c>
      <c r="C186" s="11">
        <f>ROUND((IFERROR((1/IF(VLOOKUP($A186,EnrollData2324,28,FALSE)='District Calculations'!$F$10,VLOOKUP($A186,EnrollData2324,28,FALSE),'District Calculations'!$F$10))*(1+Apport_Z315),0))+Apport_201A2425,6)</f>
        <v>7.4580999999999995E-2</v>
      </c>
      <c r="D186">
        <f>ROUND(IF(VLOOKUP($A186,EnrollData2324,'2324 Jun 24 Enroll'!D$1,FALSE)='District Calculations'!$F$11,VLOOKUP($A186,EnrollData2324,'2324 Jun 24 Enroll'!D$1,FALSE),'District Calculations'!$F$11)*C186,3)</f>
        <v>0</v>
      </c>
      <c r="E186">
        <f>ROUND(IF(VLOOKUP($A186,EnrollData2324,'2324 Jun 24 Enroll'!E$1,FALSE)='District Calculations'!$F$12,VLOOKUP($A186,EnrollData2324,'2324 Jun 24 Enroll'!E$1,FALSE),'District Calculations'!$F$12)*C186,3)</f>
        <v>60.447000000000003</v>
      </c>
      <c r="F186">
        <f>ROUND(IF(VLOOKUP($A186,EnrollData2324,'2324 Jun 24 Enroll'!F$1,FALSE)='District Calculations'!$F$13,VLOOKUP($A186,EnrollData2324,'2324 Jun 24 Enroll'!F$1,FALSE),'District Calculations'!$F$13)*Apport_222A2425,3)</f>
        <v>10.337999999999999</v>
      </c>
      <c r="G186">
        <f>ROUND(IF(VLOOKUP($A186,EnrollData2324,'2324 Jun 24 Enroll'!G$1,FALSE)='District Calculations'!$F$14,VLOOKUP($A186,EnrollData2324,'2324 Jun 24 Enroll'!G$1,FALSE),'District Calculations'!$F$14)*Apport_210A2425,3)</f>
        <v>22.92</v>
      </c>
      <c r="H186">
        <f>ROUND(IF(VLOOKUP($A186,EnrollData2324,'2324 Jun 24 Enroll'!H$1,FALSE)='District Calculations'!$F$15,VLOOKUP($A186,EnrollData2324,'2324 Jun 24 Enroll'!H$1,FALSE),'District Calculations'!$F$15)*Apport_213A2425,3)</f>
        <v>23.619</v>
      </c>
      <c r="I186">
        <f>ROUND(IF(VLOOKUP($A186,EnrollData2324,'2324 Jun 24 Enroll'!I$1,FALSE)+VLOOKUP($A186,EnrollData2324,'2324 Jun 24 Enroll'!M$1,FALSE)-VLOOKUP($A186,EnrollData2324,'2324 Jun 24 Enroll'!J$1,FALSE)='District Calculations'!$F$16+'District Calculations'!$F$25-'District Calculations'!$F$17,VLOOKUP($A186,EnrollData2324,'2324 Jun 24 Enroll'!I$1,FALSE)+VLOOKUP($A186,EnrollData2324,'2324 Jun 24 Enroll'!M$1,FALSE)-VLOOKUP($A186,EnrollData2324,'2324 Jun 24 Enroll'!J$1,FALSE),'District Calculations'!$F$16+'District Calculations'!$F$25-'District Calculations'!$F$17)*Apport_216A2425,3)</f>
        <v>59.057000000000002</v>
      </c>
      <c r="J186">
        <f>ROUND(SUM(D186:I186)/(IF(VLOOKUP($A186,EnrollData2324,'2324 Jun 24 Enroll'!M$1,FALSE)='District Calculations'!$F$25,VLOOKUP($A186,EnrollData2324,'2324 Jun 24 Enroll'!M$1,FALSE),'District Calculations'!$F$25)+IF(VLOOKUP($A186,EnrollData2324,'2324 Jun 24 Enroll'!D$1,FALSE)='District Calculations'!$F$11,VLOOKUP($A186,EnrollData2324,'2324 Jun 24 Enroll'!D$1,FALSE),'District Calculations'!$F$11)),5)</f>
        <v>5.6520000000000001E-2</v>
      </c>
      <c r="K186" s="11">
        <f t="shared" si="40"/>
        <v>4.385E-3</v>
      </c>
      <c r="L186">
        <f>ROUND(IF(VLOOKUP($A186,EnrollData2324,'2324 Jun 24 Enroll'!D$1,FALSE)='District Calculations'!$F$11,VLOOKUP($A186,EnrollData2324,'2324 Jun 24 Enroll'!D$1,FALSE),'District Calculations'!$F$11)*K186,3)</f>
        <v>0</v>
      </c>
      <c r="M186">
        <f>ROUND(IF(VLOOKUP($A186,EnrollData2324,'2324 Jun 24 Enroll'!E$1,FALSE)='District Calculations'!$F$12,VLOOKUP($A186,EnrollData2324,'2324 Jun 24 Enroll'!E$1,FALSE),'District Calculations'!$F$12)*K186,3)</f>
        <v>3.5539999999999998</v>
      </c>
      <c r="N186">
        <f>ROUND(IF(VLOOKUP($A186,EnrollData2324,'2324 Jun 24 Enroll'!F$1,FALSE)='District Calculations'!$F$13,VLOOKUP($A186,EnrollData2324,'2324 Jun 24 Enroll'!F$1,FALSE),'District Calculations'!$F$13)*Apport_223A2425,3)</f>
        <v>0.84599999999999997</v>
      </c>
      <c r="O186">
        <f>ROUND(IF(VLOOKUP($A186,EnrollData2324,'2324 Jun 24 Enroll'!G$1,FALSE)='District Calculations'!$F$14,VLOOKUP($A186,EnrollData2324,'2324 Jun 24 Enroll'!G$1,FALSE),'District Calculations'!$F$14)*Apport_211A2425,3)</f>
        <v>1.877</v>
      </c>
      <c r="P186">
        <f>ROUND(IF(VLOOKUP($A186,EnrollData2324,'2324 Jun 24 Enroll'!H$1,FALSE)='District Calculations'!$F$14,VLOOKUP($A186,EnrollData2324,'2324 Jun 24 Enroll'!H$1,FALSE),'District Calculations'!$F$14)*Apport_214A2425,3)</f>
        <v>1.875</v>
      </c>
      <c r="Q186">
        <f>ROUND(IF(VLOOKUP($A186,EnrollData2324,'2324 Jun 24 Enroll'!I$1,FALSE)+VLOOKUP($A186,EnrollData2324,'2324 Jun 24 Enroll'!M$1,FALSE)-VLOOKUP($A186,EnrollData2324,'2324 Jun 24 Enroll'!J$1,FALSE)='District Calculations'!$F$16+'District Calculations'!$F$25-'District Calculations'!$F$17,VLOOKUP($A186,EnrollData2324,'2324 Jun 24 Enroll'!I$1,FALSE)+VLOOKUP($A186,EnrollData2324,'2324 Jun 24 Enroll'!M$1,FALSE)-VLOOKUP($A186,EnrollData2324,'2324 Jun 24 Enroll'!J$1,FALSE),'District Calculations'!$F$16+'District Calculations'!$F$25-'District Calculations'!$F$17)*Apport_217A2425,3)</f>
        <v>4.7130000000000001</v>
      </c>
      <c r="R186">
        <f>ROUND(SUM(L186:Q186)/IF(VLOOKUP($A186,EnrollData2324,'2324 Jun 24 Enroll'!M$1,FALSE)+VLOOKUP($A186,EnrollData2324,'2324 Jun 24 Enroll'!D$1,FALSE)='District Calculations'!$F$25+'District Calculations'!$F$11,VLOOKUP($A186,EnrollData2324,'2324 Jun 24 Enroll'!M$1,FALSE)+VLOOKUP($A186,EnrollData2324,'2324 Jun 24 Enroll'!D$1,FALSE),'District Calculations'!$F$25+'District Calculations'!$F$11),5)</f>
        <v>4.1200000000000004E-3</v>
      </c>
      <c r="S186" s="11">
        <f t="shared" si="41"/>
        <v>1.8734299999999999E-2</v>
      </c>
      <c r="T186">
        <f>ROUND(IF(VLOOKUP($A186,EnrollData2324,'2324 Jun 24 Enroll'!D$1,FALSE)='District Calculations'!$F$11,VLOOKUP($A186,EnrollData2324,'2324 Jun 24 Enroll'!D$1,FALSE),'District Calculations'!$F$11)*S186,3)</f>
        <v>0</v>
      </c>
      <c r="U186">
        <f>ROUND(IF(VLOOKUP($A186,EnrollData2324,'2324 Jun 24 Enroll'!E$1,FALSE)='District Calculations'!$F$12,VLOOKUP($A186,EnrollData2324,'2324 Jun 24 Enroll'!E$1,FALSE),'District Calculations'!$F$12)*S186,3)</f>
        <v>15.183999999999999</v>
      </c>
      <c r="V186">
        <f>ROUND(IF(VLOOKUP($A186,EnrollData2324,'2324 Jun 24 Enroll'!F$1,FALSE)='District Calculations'!$F$13,VLOOKUP($A186,EnrollData2324,'2324 Jun 24 Enroll'!F$1,FALSE),'District Calculations'!$F$13)*Apport_224A2425,3)</f>
        <v>3.7109999999999999</v>
      </c>
      <c r="W186">
        <f>ROUND(IF(VLOOKUP($A186,EnrollData2324,'2324 Jun 24 Enroll'!G$1,FALSE)='District Calculations'!$F$14,VLOOKUP($A186,EnrollData2324,'2324 Jun 24 Enroll'!G$1,FALSE),'District Calculations'!$F$14)*Apport_212A2425,3)</f>
        <v>8.2279999999999998</v>
      </c>
      <c r="X186">
        <f>ROUND(IF(VLOOKUP($A186,EnrollData2324,'2324 Jun 24 Enroll'!H$1,FALSE)='District Calculations'!$F$14,VLOOKUP($A186,EnrollData2324,'2324 Jun 24 Enroll'!H$1,FALSE),'District Calculations'!$F$14)*Apport_215A2425,3)</f>
        <v>8.1180000000000003</v>
      </c>
      <c r="Y186">
        <f>ROUND(IF(VLOOKUP($A186,EnrollData2324,'2324 Jun 24 Enroll'!I$1,FALSE)+VLOOKUP($A186,EnrollData2324,'2324 Jun 24 Enroll'!M$1,FALSE)-VLOOKUP($A186,EnrollData2324,'2324 Jun 24 Enroll'!J$1,FALSE)='District Calculations'!$F$16+'District Calculations'!$F$25-'District Calculations'!$F$17,VLOOKUP($A186,EnrollData2324,'2324 Jun 24 Enroll'!I$1,FALSE)+VLOOKUP($A186,EnrollData2324,'2324 Jun 24 Enroll'!M$1,FALSE)-VLOOKUP($A186,EnrollData2324,'2324 Jun 24 Enroll'!J$1,FALSE),'District Calculations'!$F$16+'District Calculations'!$F$25-'District Calculations'!$F$17)*Apport_218A2425,3)</f>
        <v>20.257999999999999</v>
      </c>
      <c r="Z186">
        <f>ROUND(SUM(T186:Y186)/IF(VLOOKUP($A186,EnrollData2324,'2324 Jun 24 Enroll'!M$1,FALSE)+VLOOKUP($A186,EnrollData2324,'2324 Jun 24 Enroll'!D$1,FALSE)='District Calculations'!$F$25+'District Calculations'!$F$11,VLOOKUP($A186,EnrollData2324,'2324 Jun 24 Enroll'!M$1,FALSE)+VLOOKUP($A186,EnrollData2324,'2324 Jun 24 Enroll'!D$1,FALSE),'District Calculations'!$F$25+'District Calculations'!$F$11),5)</f>
        <v>1.7780000000000001E-2</v>
      </c>
      <c r="AA186" s="6">
        <f>ROUND($J186*CIS_Base_Salary2425*VLOOKUP($A186,EnrollData2324,'2324 Jun 24 Enroll'!AH$1,FALSE),2)</f>
        <v>4262.68</v>
      </c>
      <c r="AB186" s="6">
        <f>ROUND($J186*CIS_Inc_Salary2425*(VLOOKUP($A186,EnrollData2324,'2324 Jun 24 Enroll'!AI$1,FALSE)+VLOOKUP($A186,EnrollData2324,'2324 Jun 24 Enroll'!AJ$1,FALSE)),2)-AA186</f>
        <v>157.6899999999996</v>
      </c>
      <c r="AC186" s="6" cm="1">
        <f t="array" ref="AC186">ROUND($R186*CAS_Base_Salary2425*VLOOKUP($A186,EnrollData2324,'2324 Jun 24 Enroll'!AH$1,FALSE),2)</f>
        <v>461.23</v>
      </c>
      <c r="AD186" s="6">
        <f>ROUND($R186*CAS_Inc_Salary2425*VLOOKUP($A186,EnrollData2324,'2324 Jun 24 Enroll'!AI$1,FALSE),2)-AC186</f>
        <v>17.069999999999993</v>
      </c>
      <c r="AE186" s="6">
        <f>ROUND($Z186*CLS_Base_Salary2425*VLOOKUP($A186,EnrollData2324,'2324 Jun 24 Enroll'!AH$1,FALSE),2)</f>
        <v>961.95</v>
      </c>
      <c r="AF186" s="6">
        <f>ROUND($Z186*CLS_Inc_Salary2425*VLOOKUP($A186,EnrollData2324,'2324 Jun 24 Enroll'!AI$1,FALSE),2)-AE186</f>
        <v>35.599999999999909</v>
      </c>
      <c r="AG186" cm="1">
        <f t="array" ref="AG186">ROUND(($J186+$R186)*Apport_124X2425,2)</f>
        <v>800.45</v>
      </c>
      <c r="AH186" s="69" cm="1">
        <f t="array" ref="AH186">ROUND(($J186+$R186)*Apport_621X2425*Apport_125XC2425,2)-AG186</f>
        <v>73.899999999999977</v>
      </c>
      <c r="AI186" cm="1">
        <f t="array" ref="AI186">ROUND($Z186*Apport_124X2425,2)</f>
        <v>234.7</v>
      </c>
      <c r="AJ186">
        <f t="shared" si="42"/>
        <v>124.71000000000004</v>
      </c>
      <c r="AK186">
        <f t="shared" si="43"/>
        <v>857.39</v>
      </c>
      <c r="AL186">
        <f t="shared" si="44"/>
        <v>30.6</v>
      </c>
      <c r="AM186">
        <f t="shared" si="45"/>
        <v>208.36</v>
      </c>
      <c r="AN186">
        <f t="shared" si="46"/>
        <v>6.46</v>
      </c>
      <c r="AO186">
        <f>ROUND(($J186*CIS_Inc_Salary2425*(VLOOKUP($A186,EnrollData2324,'2324 Jun 24 Enroll'!AI$1,FALSE)+VLOOKUP($A186,EnrollData2324,'2324 Jun 24 Enroll'!AJ$1,FALSE))/Apport_613Xpd)*Apport_614Xpd,2)</f>
        <v>73.67</v>
      </c>
      <c r="AP186">
        <f t="shared" si="47"/>
        <v>12.9</v>
      </c>
      <c r="AQ186">
        <f t="shared" si="48"/>
        <v>31.48</v>
      </c>
      <c r="AR186" s="6">
        <f>ROUND((VLOOKUP($A186,EnrollData2324,'2324 Jun 24 Enroll'!D$1,FALSE)*Apport_M802425+VLOOKUP($A186,EnrollData2324,'2324 Jun 24 Enroll'!M$1,FALSE)*Apport_M802425+(VLOOKUP($A186,EnrollData2324,'2324 Jun 24 Enroll'!P$1,FALSE)+VLOOKUP($A186,EnrollData2324,'2324 Jun 24 Enroll'!Q$1,FALSE)+VLOOKUP($A186,EnrollData2324,'2324 Jun 24 Enroll'!R$1,FALSE)+VLOOKUP($A186,EnrollData2324,'2324 Jun 24 Enroll'!I$1,FALSE)+VLOOKUP($A186,EnrollData2324,'2324 Jun 24 Enroll'!N$1,FALSE)+VLOOKUP($A186,EnrollData2324,'2324 Jun 24 Enroll'!O$1,FALSE)+VLOOKUP($A186,EnrollData2324,'2324 Jun 24 Enroll'!K$1,FALSE)+VLOOKUP($A186,EnrollData2324,'2324 Jun 24 Enroll'!L$1,FALSE))*Apport_M812425)/(VLOOKUP($A186,EnrollData2324,'2324 Jun 24 Enroll'!M$1,FALSE)+VLOOKUP($A186,EnrollData2324,'2324 Jun 24 Enroll'!D$1,FALSE)),2)</f>
        <v>1545.53</v>
      </c>
      <c r="AS186" s="7">
        <f t="shared" si="49"/>
        <v>9896.369999999999</v>
      </c>
    </row>
    <row r="187" spans="1:45">
      <c r="A187" s="40" t="s">
        <v>657</v>
      </c>
      <c r="B187" s="40" t="s">
        <v>658</v>
      </c>
      <c r="C187" s="11">
        <f>ROUND((IFERROR((1/IF(VLOOKUP($A187,EnrollData2324,28,FALSE)='District Calculations'!$F$10,VLOOKUP($A187,EnrollData2324,28,FALSE),'District Calculations'!$F$10))*(1+Apport_Z315),0))+Apport_201A2425,6)</f>
        <v>7.4580999999999995E-2</v>
      </c>
      <c r="D187">
        <f>ROUND(IF(VLOOKUP($A187,EnrollData2324,'2324 Jun 24 Enroll'!D$1,FALSE)='District Calculations'!$F$11,VLOOKUP($A187,EnrollData2324,'2324 Jun 24 Enroll'!D$1,FALSE),'District Calculations'!$F$11)*C187,3)</f>
        <v>0</v>
      </c>
      <c r="E187">
        <f>ROUND(IF(VLOOKUP($A187,EnrollData2324,'2324 Jun 24 Enroll'!E$1,FALSE)='District Calculations'!$F$12,VLOOKUP($A187,EnrollData2324,'2324 Jun 24 Enroll'!E$1,FALSE),'District Calculations'!$F$12)*C187,3)</f>
        <v>60.447000000000003</v>
      </c>
      <c r="F187">
        <f>ROUND(IF(VLOOKUP($A187,EnrollData2324,'2324 Jun 24 Enroll'!F$1,FALSE)='District Calculations'!$F$13,VLOOKUP($A187,EnrollData2324,'2324 Jun 24 Enroll'!F$1,FALSE),'District Calculations'!$F$13)*Apport_222A2425,3)</f>
        <v>10.337999999999999</v>
      </c>
      <c r="G187">
        <f>ROUND(IF(VLOOKUP($A187,EnrollData2324,'2324 Jun 24 Enroll'!G$1,FALSE)='District Calculations'!$F$14,VLOOKUP($A187,EnrollData2324,'2324 Jun 24 Enroll'!G$1,FALSE),'District Calculations'!$F$14)*Apport_210A2425,3)</f>
        <v>22.92</v>
      </c>
      <c r="H187">
        <f>ROUND(IF(VLOOKUP($A187,EnrollData2324,'2324 Jun 24 Enroll'!H$1,FALSE)='District Calculations'!$F$15,VLOOKUP($A187,EnrollData2324,'2324 Jun 24 Enroll'!H$1,FALSE),'District Calculations'!$F$15)*Apport_213A2425,3)</f>
        <v>23.619</v>
      </c>
      <c r="I187">
        <f>ROUND(IF(VLOOKUP($A187,EnrollData2324,'2324 Jun 24 Enroll'!I$1,FALSE)+VLOOKUP($A187,EnrollData2324,'2324 Jun 24 Enroll'!M$1,FALSE)-VLOOKUP($A187,EnrollData2324,'2324 Jun 24 Enroll'!J$1,FALSE)='District Calculations'!$F$16+'District Calculations'!$F$25-'District Calculations'!$F$17,VLOOKUP($A187,EnrollData2324,'2324 Jun 24 Enroll'!I$1,FALSE)+VLOOKUP($A187,EnrollData2324,'2324 Jun 24 Enroll'!M$1,FALSE)-VLOOKUP($A187,EnrollData2324,'2324 Jun 24 Enroll'!J$1,FALSE),'District Calculations'!$F$16+'District Calculations'!$F$25-'District Calculations'!$F$17)*Apport_216A2425,3)</f>
        <v>59.057000000000002</v>
      </c>
      <c r="J187">
        <f>ROUND(SUM(D187:I187)/(IF(VLOOKUP($A187,EnrollData2324,'2324 Jun 24 Enroll'!M$1,FALSE)='District Calculations'!$F$25,VLOOKUP($A187,EnrollData2324,'2324 Jun 24 Enroll'!M$1,FALSE),'District Calculations'!$F$25)+IF(VLOOKUP($A187,EnrollData2324,'2324 Jun 24 Enroll'!D$1,FALSE)='District Calculations'!$F$11,VLOOKUP($A187,EnrollData2324,'2324 Jun 24 Enroll'!D$1,FALSE),'District Calculations'!$F$11)),5)</f>
        <v>5.6520000000000001E-2</v>
      </c>
      <c r="K187" s="11">
        <f t="shared" si="40"/>
        <v>4.385E-3</v>
      </c>
      <c r="L187">
        <f>ROUND(IF(VLOOKUP($A187,EnrollData2324,'2324 Jun 24 Enroll'!D$1,FALSE)='District Calculations'!$F$11,VLOOKUP($A187,EnrollData2324,'2324 Jun 24 Enroll'!D$1,FALSE),'District Calculations'!$F$11)*K187,3)</f>
        <v>0</v>
      </c>
      <c r="M187">
        <f>ROUND(IF(VLOOKUP($A187,EnrollData2324,'2324 Jun 24 Enroll'!E$1,FALSE)='District Calculations'!$F$12,VLOOKUP($A187,EnrollData2324,'2324 Jun 24 Enroll'!E$1,FALSE),'District Calculations'!$F$12)*K187,3)</f>
        <v>3.5539999999999998</v>
      </c>
      <c r="N187">
        <f>ROUND(IF(VLOOKUP($A187,EnrollData2324,'2324 Jun 24 Enroll'!F$1,FALSE)='District Calculations'!$F$13,VLOOKUP($A187,EnrollData2324,'2324 Jun 24 Enroll'!F$1,FALSE),'District Calculations'!$F$13)*Apport_223A2425,3)</f>
        <v>0.84599999999999997</v>
      </c>
      <c r="O187">
        <f>ROUND(IF(VLOOKUP($A187,EnrollData2324,'2324 Jun 24 Enroll'!G$1,FALSE)='District Calculations'!$F$14,VLOOKUP($A187,EnrollData2324,'2324 Jun 24 Enroll'!G$1,FALSE),'District Calculations'!$F$14)*Apport_211A2425,3)</f>
        <v>1.877</v>
      </c>
      <c r="P187">
        <f>ROUND(IF(VLOOKUP($A187,EnrollData2324,'2324 Jun 24 Enroll'!H$1,FALSE)='District Calculations'!$F$14,VLOOKUP($A187,EnrollData2324,'2324 Jun 24 Enroll'!H$1,FALSE),'District Calculations'!$F$14)*Apport_214A2425,3)</f>
        <v>1.875</v>
      </c>
      <c r="Q187">
        <f>ROUND(IF(VLOOKUP($A187,EnrollData2324,'2324 Jun 24 Enroll'!I$1,FALSE)+VLOOKUP($A187,EnrollData2324,'2324 Jun 24 Enroll'!M$1,FALSE)-VLOOKUP($A187,EnrollData2324,'2324 Jun 24 Enroll'!J$1,FALSE)='District Calculations'!$F$16+'District Calculations'!$F$25-'District Calculations'!$F$17,VLOOKUP($A187,EnrollData2324,'2324 Jun 24 Enroll'!I$1,FALSE)+VLOOKUP($A187,EnrollData2324,'2324 Jun 24 Enroll'!M$1,FALSE)-VLOOKUP($A187,EnrollData2324,'2324 Jun 24 Enroll'!J$1,FALSE),'District Calculations'!$F$16+'District Calculations'!$F$25-'District Calculations'!$F$17)*Apport_217A2425,3)</f>
        <v>4.7130000000000001</v>
      </c>
      <c r="R187">
        <f>ROUND(SUM(L187:Q187)/IF(VLOOKUP($A187,EnrollData2324,'2324 Jun 24 Enroll'!M$1,FALSE)+VLOOKUP($A187,EnrollData2324,'2324 Jun 24 Enroll'!D$1,FALSE)='District Calculations'!$F$25+'District Calculations'!$F$11,VLOOKUP($A187,EnrollData2324,'2324 Jun 24 Enroll'!M$1,FALSE)+VLOOKUP($A187,EnrollData2324,'2324 Jun 24 Enroll'!D$1,FALSE),'District Calculations'!$F$25+'District Calculations'!$F$11),5)</f>
        <v>4.1200000000000004E-3</v>
      </c>
      <c r="S187" s="11">
        <f t="shared" si="41"/>
        <v>1.8734299999999999E-2</v>
      </c>
      <c r="T187">
        <f>ROUND(IF(VLOOKUP($A187,EnrollData2324,'2324 Jun 24 Enroll'!D$1,FALSE)='District Calculations'!$F$11,VLOOKUP($A187,EnrollData2324,'2324 Jun 24 Enroll'!D$1,FALSE),'District Calculations'!$F$11)*S187,3)</f>
        <v>0</v>
      </c>
      <c r="U187">
        <f>ROUND(IF(VLOOKUP($A187,EnrollData2324,'2324 Jun 24 Enroll'!E$1,FALSE)='District Calculations'!$F$12,VLOOKUP($A187,EnrollData2324,'2324 Jun 24 Enroll'!E$1,FALSE),'District Calculations'!$F$12)*S187,3)</f>
        <v>15.183999999999999</v>
      </c>
      <c r="V187">
        <f>ROUND(IF(VLOOKUP($A187,EnrollData2324,'2324 Jun 24 Enroll'!F$1,FALSE)='District Calculations'!$F$13,VLOOKUP($A187,EnrollData2324,'2324 Jun 24 Enroll'!F$1,FALSE),'District Calculations'!$F$13)*Apport_224A2425,3)</f>
        <v>3.7109999999999999</v>
      </c>
      <c r="W187">
        <f>ROUND(IF(VLOOKUP($A187,EnrollData2324,'2324 Jun 24 Enroll'!G$1,FALSE)='District Calculations'!$F$14,VLOOKUP($A187,EnrollData2324,'2324 Jun 24 Enroll'!G$1,FALSE),'District Calculations'!$F$14)*Apport_212A2425,3)</f>
        <v>8.2279999999999998</v>
      </c>
      <c r="X187">
        <f>ROUND(IF(VLOOKUP($A187,EnrollData2324,'2324 Jun 24 Enroll'!H$1,FALSE)='District Calculations'!$F$14,VLOOKUP($A187,EnrollData2324,'2324 Jun 24 Enroll'!H$1,FALSE),'District Calculations'!$F$14)*Apport_215A2425,3)</f>
        <v>8.1180000000000003</v>
      </c>
      <c r="Y187">
        <f>ROUND(IF(VLOOKUP($A187,EnrollData2324,'2324 Jun 24 Enroll'!I$1,FALSE)+VLOOKUP($A187,EnrollData2324,'2324 Jun 24 Enroll'!M$1,FALSE)-VLOOKUP($A187,EnrollData2324,'2324 Jun 24 Enroll'!J$1,FALSE)='District Calculations'!$F$16+'District Calculations'!$F$25-'District Calculations'!$F$17,VLOOKUP($A187,EnrollData2324,'2324 Jun 24 Enroll'!I$1,FALSE)+VLOOKUP($A187,EnrollData2324,'2324 Jun 24 Enroll'!M$1,FALSE)-VLOOKUP($A187,EnrollData2324,'2324 Jun 24 Enroll'!J$1,FALSE),'District Calculations'!$F$16+'District Calculations'!$F$25-'District Calculations'!$F$17)*Apport_218A2425,3)</f>
        <v>20.257999999999999</v>
      </c>
      <c r="Z187">
        <f>ROUND(SUM(T187:Y187)/IF(VLOOKUP($A187,EnrollData2324,'2324 Jun 24 Enroll'!M$1,FALSE)+VLOOKUP($A187,EnrollData2324,'2324 Jun 24 Enroll'!D$1,FALSE)='District Calculations'!$F$25+'District Calculations'!$F$11,VLOOKUP($A187,EnrollData2324,'2324 Jun 24 Enroll'!M$1,FALSE)+VLOOKUP($A187,EnrollData2324,'2324 Jun 24 Enroll'!D$1,FALSE),'District Calculations'!$F$25+'District Calculations'!$F$11),5)</f>
        <v>1.7780000000000001E-2</v>
      </c>
      <c r="AA187" s="6">
        <f>ROUND($J187*CIS_Base_Salary2425*VLOOKUP($A187,EnrollData2324,'2324 Jun 24 Enroll'!AH$1,FALSE),2)</f>
        <v>4262.68</v>
      </c>
      <c r="AB187" s="6">
        <f>ROUND($J187*CIS_Inc_Salary2425*(VLOOKUP($A187,EnrollData2324,'2324 Jun 24 Enroll'!AI$1,FALSE)+VLOOKUP($A187,EnrollData2324,'2324 Jun 24 Enroll'!AJ$1,FALSE)),2)-AA187</f>
        <v>157.6899999999996</v>
      </c>
      <c r="AC187" s="6" cm="1">
        <f t="array" ref="AC187">ROUND($R187*CAS_Base_Salary2425*VLOOKUP($A187,EnrollData2324,'2324 Jun 24 Enroll'!AH$1,FALSE),2)</f>
        <v>461.23</v>
      </c>
      <c r="AD187" s="6">
        <f>ROUND($R187*CAS_Inc_Salary2425*VLOOKUP($A187,EnrollData2324,'2324 Jun 24 Enroll'!AI$1,FALSE),2)-AC187</f>
        <v>17.069999999999993</v>
      </c>
      <c r="AE187" s="6">
        <f>ROUND($Z187*CLS_Base_Salary2425*VLOOKUP($A187,EnrollData2324,'2324 Jun 24 Enroll'!AH$1,FALSE),2)</f>
        <v>961.95</v>
      </c>
      <c r="AF187" s="6">
        <f>ROUND($Z187*CLS_Inc_Salary2425*VLOOKUP($A187,EnrollData2324,'2324 Jun 24 Enroll'!AI$1,FALSE),2)-AE187</f>
        <v>35.599999999999909</v>
      </c>
      <c r="AG187" cm="1">
        <f t="array" ref="AG187">ROUND(($J187+$R187)*Apport_124X2425,2)</f>
        <v>800.45</v>
      </c>
      <c r="AH187" s="69" cm="1">
        <f t="array" ref="AH187">ROUND(($J187+$R187)*Apport_621X2425*Apport_125XC2425,2)-AG187</f>
        <v>73.899999999999977</v>
      </c>
      <c r="AI187" cm="1">
        <f t="array" ref="AI187">ROUND($Z187*Apport_124X2425,2)</f>
        <v>234.7</v>
      </c>
      <c r="AJ187">
        <f t="shared" si="42"/>
        <v>124.71000000000004</v>
      </c>
      <c r="AK187">
        <f t="shared" si="43"/>
        <v>857.39</v>
      </c>
      <c r="AL187">
        <f t="shared" si="44"/>
        <v>30.6</v>
      </c>
      <c r="AM187">
        <f t="shared" si="45"/>
        <v>208.36</v>
      </c>
      <c r="AN187">
        <f t="shared" si="46"/>
        <v>6.46</v>
      </c>
      <c r="AO187">
        <f>ROUND(($J187*CIS_Inc_Salary2425*(VLOOKUP($A187,EnrollData2324,'2324 Jun 24 Enroll'!AI$1,FALSE)+VLOOKUP($A187,EnrollData2324,'2324 Jun 24 Enroll'!AJ$1,FALSE))/Apport_613Xpd)*Apport_614Xpd,2)</f>
        <v>73.67</v>
      </c>
      <c r="AP187">
        <f t="shared" si="47"/>
        <v>12.9</v>
      </c>
      <c r="AQ187">
        <f t="shared" si="48"/>
        <v>31.48</v>
      </c>
      <c r="AR187" s="6">
        <f>ROUND((VLOOKUP($A187,EnrollData2324,'2324 Jun 24 Enroll'!D$1,FALSE)*Apport_M802425+VLOOKUP($A187,EnrollData2324,'2324 Jun 24 Enroll'!M$1,FALSE)*Apport_M802425+(VLOOKUP($A187,EnrollData2324,'2324 Jun 24 Enroll'!P$1,FALSE)+VLOOKUP($A187,EnrollData2324,'2324 Jun 24 Enroll'!Q$1,FALSE)+VLOOKUP($A187,EnrollData2324,'2324 Jun 24 Enroll'!R$1,FALSE)+VLOOKUP($A187,EnrollData2324,'2324 Jun 24 Enroll'!I$1,FALSE)+VLOOKUP($A187,EnrollData2324,'2324 Jun 24 Enroll'!N$1,FALSE)+VLOOKUP($A187,EnrollData2324,'2324 Jun 24 Enroll'!O$1,FALSE)+VLOOKUP($A187,EnrollData2324,'2324 Jun 24 Enroll'!K$1,FALSE)+VLOOKUP($A187,EnrollData2324,'2324 Jun 24 Enroll'!L$1,FALSE))*Apport_M812425)/(VLOOKUP($A187,EnrollData2324,'2324 Jun 24 Enroll'!M$1,FALSE)+VLOOKUP($A187,EnrollData2324,'2324 Jun 24 Enroll'!D$1,FALSE)),2)</f>
        <v>1701.72</v>
      </c>
      <c r="AS187" s="7">
        <f t="shared" si="49"/>
        <v>10052.559999999998</v>
      </c>
    </row>
    <row r="188" spans="1:45">
      <c r="A188" s="40" t="s">
        <v>655</v>
      </c>
      <c r="B188" s="40" t="s">
        <v>656</v>
      </c>
      <c r="C188" s="11">
        <f>ROUND((IFERROR((1/IF(VLOOKUP($A188,EnrollData2324,28,FALSE)='District Calculations'!$F$10,VLOOKUP($A188,EnrollData2324,28,FALSE),'District Calculations'!$F$10))*(1+Apport_Z315),0))+Apport_201A2425,6)</f>
        <v>7.4580999999999995E-2</v>
      </c>
      <c r="D188">
        <f>ROUND(IF(VLOOKUP($A188,EnrollData2324,'2324 Jun 24 Enroll'!D$1,FALSE)='District Calculations'!$F$11,VLOOKUP($A188,EnrollData2324,'2324 Jun 24 Enroll'!D$1,FALSE),'District Calculations'!$F$11)*C188,3)</f>
        <v>0</v>
      </c>
      <c r="E188">
        <f>ROUND(IF(VLOOKUP($A188,EnrollData2324,'2324 Jun 24 Enroll'!E$1,FALSE)='District Calculations'!$F$12,VLOOKUP($A188,EnrollData2324,'2324 Jun 24 Enroll'!E$1,FALSE),'District Calculations'!$F$12)*C188,3)</f>
        <v>60.447000000000003</v>
      </c>
      <c r="F188">
        <f>ROUND(IF(VLOOKUP($A188,EnrollData2324,'2324 Jun 24 Enroll'!F$1,FALSE)='District Calculations'!$F$13,VLOOKUP($A188,EnrollData2324,'2324 Jun 24 Enroll'!F$1,FALSE),'District Calculations'!$F$13)*Apport_222A2425,3)</f>
        <v>10.337999999999999</v>
      </c>
      <c r="G188">
        <f>ROUND(IF(VLOOKUP($A188,EnrollData2324,'2324 Jun 24 Enroll'!G$1,FALSE)='District Calculations'!$F$14,VLOOKUP($A188,EnrollData2324,'2324 Jun 24 Enroll'!G$1,FALSE),'District Calculations'!$F$14)*Apport_210A2425,3)</f>
        <v>22.92</v>
      </c>
      <c r="H188">
        <f>ROUND(IF(VLOOKUP($A188,EnrollData2324,'2324 Jun 24 Enroll'!H$1,FALSE)='District Calculations'!$F$15,VLOOKUP($A188,EnrollData2324,'2324 Jun 24 Enroll'!H$1,FALSE),'District Calculations'!$F$15)*Apport_213A2425,3)</f>
        <v>23.619</v>
      </c>
      <c r="I188">
        <f>ROUND(IF(VLOOKUP($A188,EnrollData2324,'2324 Jun 24 Enroll'!I$1,FALSE)+VLOOKUP($A188,EnrollData2324,'2324 Jun 24 Enroll'!M$1,FALSE)-VLOOKUP($A188,EnrollData2324,'2324 Jun 24 Enroll'!J$1,FALSE)='District Calculations'!$F$16+'District Calculations'!$F$25-'District Calculations'!$F$17,VLOOKUP($A188,EnrollData2324,'2324 Jun 24 Enroll'!I$1,FALSE)+VLOOKUP($A188,EnrollData2324,'2324 Jun 24 Enroll'!M$1,FALSE)-VLOOKUP($A188,EnrollData2324,'2324 Jun 24 Enroll'!J$1,FALSE),'District Calculations'!$F$16+'District Calculations'!$F$25-'District Calculations'!$F$17)*Apport_216A2425,3)</f>
        <v>59.057000000000002</v>
      </c>
      <c r="J188">
        <f>ROUND(SUM(D188:I188)/(IF(VLOOKUP($A188,EnrollData2324,'2324 Jun 24 Enroll'!M$1,FALSE)='District Calculations'!$F$25,VLOOKUP($A188,EnrollData2324,'2324 Jun 24 Enroll'!M$1,FALSE),'District Calculations'!$F$25)+IF(VLOOKUP($A188,EnrollData2324,'2324 Jun 24 Enroll'!D$1,FALSE)='District Calculations'!$F$11,VLOOKUP($A188,EnrollData2324,'2324 Jun 24 Enroll'!D$1,FALSE),'District Calculations'!$F$11)),5)</f>
        <v>5.6520000000000001E-2</v>
      </c>
      <c r="K188" s="11">
        <f t="shared" si="40"/>
        <v>4.385E-3</v>
      </c>
      <c r="L188">
        <f>ROUND(IF(VLOOKUP($A188,EnrollData2324,'2324 Jun 24 Enroll'!D$1,FALSE)='District Calculations'!$F$11,VLOOKUP($A188,EnrollData2324,'2324 Jun 24 Enroll'!D$1,FALSE),'District Calculations'!$F$11)*K188,3)</f>
        <v>0</v>
      </c>
      <c r="M188">
        <f>ROUND(IF(VLOOKUP($A188,EnrollData2324,'2324 Jun 24 Enroll'!E$1,FALSE)='District Calculations'!$F$12,VLOOKUP($A188,EnrollData2324,'2324 Jun 24 Enroll'!E$1,FALSE),'District Calculations'!$F$12)*K188,3)</f>
        <v>3.5539999999999998</v>
      </c>
      <c r="N188">
        <f>ROUND(IF(VLOOKUP($A188,EnrollData2324,'2324 Jun 24 Enroll'!F$1,FALSE)='District Calculations'!$F$13,VLOOKUP($A188,EnrollData2324,'2324 Jun 24 Enroll'!F$1,FALSE),'District Calculations'!$F$13)*Apport_223A2425,3)</f>
        <v>0.84599999999999997</v>
      </c>
      <c r="O188">
        <f>ROUND(IF(VLOOKUP($A188,EnrollData2324,'2324 Jun 24 Enroll'!G$1,FALSE)='District Calculations'!$F$14,VLOOKUP($A188,EnrollData2324,'2324 Jun 24 Enroll'!G$1,FALSE),'District Calculations'!$F$14)*Apport_211A2425,3)</f>
        <v>1.877</v>
      </c>
      <c r="P188">
        <f>ROUND(IF(VLOOKUP($A188,EnrollData2324,'2324 Jun 24 Enroll'!H$1,FALSE)='District Calculations'!$F$14,VLOOKUP($A188,EnrollData2324,'2324 Jun 24 Enroll'!H$1,FALSE),'District Calculations'!$F$14)*Apport_214A2425,3)</f>
        <v>1.875</v>
      </c>
      <c r="Q188">
        <f>ROUND(IF(VLOOKUP($A188,EnrollData2324,'2324 Jun 24 Enroll'!I$1,FALSE)+VLOOKUP($A188,EnrollData2324,'2324 Jun 24 Enroll'!M$1,FALSE)-VLOOKUP($A188,EnrollData2324,'2324 Jun 24 Enroll'!J$1,FALSE)='District Calculations'!$F$16+'District Calculations'!$F$25-'District Calculations'!$F$17,VLOOKUP($A188,EnrollData2324,'2324 Jun 24 Enroll'!I$1,FALSE)+VLOOKUP($A188,EnrollData2324,'2324 Jun 24 Enroll'!M$1,FALSE)-VLOOKUP($A188,EnrollData2324,'2324 Jun 24 Enroll'!J$1,FALSE),'District Calculations'!$F$16+'District Calculations'!$F$25-'District Calculations'!$F$17)*Apport_217A2425,3)</f>
        <v>4.7130000000000001</v>
      </c>
      <c r="R188">
        <f>ROUND(SUM(L188:Q188)/IF(VLOOKUP($A188,EnrollData2324,'2324 Jun 24 Enroll'!M$1,FALSE)+VLOOKUP($A188,EnrollData2324,'2324 Jun 24 Enroll'!D$1,FALSE)='District Calculations'!$F$25+'District Calculations'!$F$11,VLOOKUP($A188,EnrollData2324,'2324 Jun 24 Enroll'!M$1,FALSE)+VLOOKUP($A188,EnrollData2324,'2324 Jun 24 Enroll'!D$1,FALSE),'District Calculations'!$F$25+'District Calculations'!$F$11),5)</f>
        <v>4.1200000000000004E-3</v>
      </c>
      <c r="S188" s="11">
        <f t="shared" si="41"/>
        <v>1.8734299999999999E-2</v>
      </c>
      <c r="T188">
        <f>ROUND(IF(VLOOKUP($A188,EnrollData2324,'2324 Jun 24 Enroll'!D$1,FALSE)='District Calculations'!$F$11,VLOOKUP($A188,EnrollData2324,'2324 Jun 24 Enroll'!D$1,FALSE),'District Calculations'!$F$11)*S188,3)</f>
        <v>0</v>
      </c>
      <c r="U188">
        <f>ROUND(IF(VLOOKUP($A188,EnrollData2324,'2324 Jun 24 Enroll'!E$1,FALSE)='District Calculations'!$F$12,VLOOKUP($A188,EnrollData2324,'2324 Jun 24 Enroll'!E$1,FALSE),'District Calculations'!$F$12)*S188,3)</f>
        <v>15.183999999999999</v>
      </c>
      <c r="V188">
        <f>ROUND(IF(VLOOKUP($A188,EnrollData2324,'2324 Jun 24 Enroll'!F$1,FALSE)='District Calculations'!$F$13,VLOOKUP($A188,EnrollData2324,'2324 Jun 24 Enroll'!F$1,FALSE),'District Calculations'!$F$13)*Apport_224A2425,3)</f>
        <v>3.7109999999999999</v>
      </c>
      <c r="W188">
        <f>ROUND(IF(VLOOKUP($A188,EnrollData2324,'2324 Jun 24 Enroll'!G$1,FALSE)='District Calculations'!$F$14,VLOOKUP($A188,EnrollData2324,'2324 Jun 24 Enroll'!G$1,FALSE),'District Calculations'!$F$14)*Apport_212A2425,3)</f>
        <v>8.2279999999999998</v>
      </c>
      <c r="X188">
        <f>ROUND(IF(VLOOKUP($A188,EnrollData2324,'2324 Jun 24 Enroll'!H$1,FALSE)='District Calculations'!$F$14,VLOOKUP($A188,EnrollData2324,'2324 Jun 24 Enroll'!H$1,FALSE),'District Calculations'!$F$14)*Apport_215A2425,3)</f>
        <v>8.1180000000000003</v>
      </c>
      <c r="Y188">
        <f>ROUND(IF(VLOOKUP($A188,EnrollData2324,'2324 Jun 24 Enroll'!I$1,FALSE)+VLOOKUP($A188,EnrollData2324,'2324 Jun 24 Enroll'!M$1,FALSE)-VLOOKUP($A188,EnrollData2324,'2324 Jun 24 Enroll'!J$1,FALSE)='District Calculations'!$F$16+'District Calculations'!$F$25-'District Calculations'!$F$17,VLOOKUP($A188,EnrollData2324,'2324 Jun 24 Enroll'!I$1,FALSE)+VLOOKUP($A188,EnrollData2324,'2324 Jun 24 Enroll'!M$1,FALSE)-VLOOKUP($A188,EnrollData2324,'2324 Jun 24 Enroll'!J$1,FALSE),'District Calculations'!$F$16+'District Calculations'!$F$25-'District Calculations'!$F$17)*Apport_218A2425,3)</f>
        <v>20.257999999999999</v>
      </c>
      <c r="Z188">
        <f>ROUND(SUM(T188:Y188)/IF(VLOOKUP($A188,EnrollData2324,'2324 Jun 24 Enroll'!M$1,FALSE)+VLOOKUP($A188,EnrollData2324,'2324 Jun 24 Enroll'!D$1,FALSE)='District Calculations'!$F$25+'District Calculations'!$F$11,VLOOKUP($A188,EnrollData2324,'2324 Jun 24 Enroll'!M$1,FALSE)+VLOOKUP($A188,EnrollData2324,'2324 Jun 24 Enroll'!D$1,FALSE),'District Calculations'!$F$25+'District Calculations'!$F$11),5)</f>
        <v>1.7780000000000001E-2</v>
      </c>
      <c r="AA188" s="6">
        <f>ROUND($J188*CIS_Base_Salary2425*VLOOKUP($A188,EnrollData2324,'2324 Jun 24 Enroll'!AH$1,FALSE),2)</f>
        <v>4262.68</v>
      </c>
      <c r="AB188" s="6">
        <f>ROUND($J188*CIS_Inc_Salary2425*(VLOOKUP($A188,EnrollData2324,'2324 Jun 24 Enroll'!AI$1,FALSE)+VLOOKUP($A188,EnrollData2324,'2324 Jun 24 Enroll'!AJ$1,FALSE)),2)-AA188</f>
        <v>201.89999999999964</v>
      </c>
      <c r="AC188" s="6" cm="1">
        <f t="array" ref="AC188">ROUND($R188*CAS_Base_Salary2425*VLOOKUP($A188,EnrollData2324,'2324 Jun 24 Enroll'!AH$1,FALSE),2)</f>
        <v>461.23</v>
      </c>
      <c r="AD188" s="6">
        <f>ROUND($R188*CAS_Inc_Salary2425*VLOOKUP($A188,EnrollData2324,'2324 Jun 24 Enroll'!AI$1,FALSE),2)-AC188</f>
        <v>17.069999999999993</v>
      </c>
      <c r="AE188" s="6">
        <f>ROUND($Z188*CLS_Base_Salary2425*VLOOKUP($A188,EnrollData2324,'2324 Jun 24 Enroll'!AH$1,FALSE),2)</f>
        <v>961.95</v>
      </c>
      <c r="AF188" s="6">
        <f>ROUND($Z188*CLS_Inc_Salary2425*VLOOKUP($A188,EnrollData2324,'2324 Jun 24 Enroll'!AI$1,FALSE),2)-AE188</f>
        <v>35.599999999999909</v>
      </c>
      <c r="AG188" cm="1">
        <f t="array" ref="AG188">ROUND(($J188+$R188)*Apport_124X2425,2)</f>
        <v>800.45</v>
      </c>
      <c r="AH188" s="69" cm="1">
        <f t="array" ref="AH188">ROUND(($J188+$R188)*Apport_621X2425*Apport_125XC2425,2)-AG188</f>
        <v>73.899999999999977</v>
      </c>
      <c r="AI188" cm="1">
        <f t="array" ref="AI188">ROUND($Z188*Apport_124X2425,2)</f>
        <v>234.7</v>
      </c>
      <c r="AJ188">
        <f t="shared" si="42"/>
        <v>124.71000000000004</v>
      </c>
      <c r="AK188">
        <f t="shared" si="43"/>
        <v>857.39</v>
      </c>
      <c r="AL188">
        <f t="shared" si="44"/>
        <v>38.340000000000003</v>
      </c>
      <c r="AM188">
        <f t="shared" si="45"/>
        <v>208.36</v>
      </c>
      <c r="AN188">
        <f t="shared" si="46"/>
        <v>6.46</v>
      </c>
      <c r="AO188">
        <f>ROUND(($J188*CIS_Inc_Salary2425*(VLOOKUP($A188,EnrollData2324,'2324 Jun 24 Enroll'!AI$1,FALSE)+VLOOKUP($A188,EnrollData2324,'2324 Jun 24 Enroll'!AJ$1,FALSE))/Apport_613Xpd)*Apport_614Xpd,2)</f>
        <v>74.41</v>
      </c>
      <c r="AP188">
        <f t="shared" si="47"/>
        <v>13.03</v>
      </c>
      <c r="AQ188">
        <f t="shared" si="48"/>
        <v>31.48</v>
      </c>
      <c r="AR188" s="6">
        <f>ROUND((VLOOKUP($A188,EnrollData2324,'2324 Jun 24 Enroll'!D$1,FALSE)*Apport_M802425+VLOOKUP($A188,EnrollData2324,'2324 Jun 24 Enroll'!M$1,FALSE)*Apport_M802425+(VLOOKUP($A188,EnrollData2324,'2324 Jun 24 Enroll'!P$1,FALSE)+VLOOKUP($A188,EnrollData2324,'2324 Jun 24 Enroll'!Q$1,FALSE)+VLOOKUP($A188,EnrollData2324,'2324 Jun 24 Enroll'!R$1,FALSE)+VLOOKUP($A188,EnrollData2324,'2324 Jun 24 Enroll'!I$1,FALSE)+VLOOKUP($A188,EnrollData2324,'2324 Jun 24 Enroll'!N$1,FALSE)+VLOOKUP($A188,EnrollData2324,'2324 Jun 24 Enroll'!O$1,FALSE)+VLOOKUP($A188,EnrollData2324,'2324 Jun 24 Enroll'!K$1,FALSE)+VLOOKUP($A188,EnrollData2324,'2324 Jun 24 Enroll'!L$1,FALSE))*Apport_M812425)/(VLOOKUP($A188,EnrollData2324,'2324 Jun 24 Enroll'!M$1,FALSE)+VLOOKUP($A188,EnrollData2324,'2324 Jun 24 Enroll'!D$1,FALSE)),2)</f>
        <v>1609.48</v>
      </c>
      <c r="AS188" s="7">
        <f t="shared" si="49"/>
        <v>10013.139999999998</v>
      </c>
    </row>
    <row r="189" spans="1:45">
      <c r="A189" s="40" t="s">
        <v>349</v>
      </c>
      <c r="B189" s="40" t="s">
        <v>350</v>
      </c>
      <c r="C189" s="11">
        <f>ROUND((IFERROR((1/IF(VLOOKUP($A189,EnrollData2324,28,FALSE)='District Calculations'!$F$10,VLOOKUP($A189,EnrollData2324,28,FALSE),'District Calculations'!$F$10))*(1+Apport_Z315),0))+Apport_201A2425,6)</f>
        <v>7.4580999999999995E-2</v>
      </c>
      <c r="D189">
        <f>ROUND(IF(VLOOKUP($A189,EnrollData2324,'2324 Jun 24 Enroll'!D$1,FALSE)='District Calculations'!$F$11,VLOOKUP($A189,EnrollData2324,'2324 Jun 24 Enroll'!D$1,FALSE),'District Calculations'!$F$11)*C189,3)</f>
        <v>0</v>
      </c>
      <c r="E189">
        <f>ROUND(IF(VLOOKUP($A189,EnrollData2324,'2324 Jun 24 Enroll'!E$1,FALSE)='District Calculations'!$F$12,VLOOKUP($A189,EnrollData2324,'2324 Jun 24 Enroll'!E$1,FALSE),'District Calculations'!$F$12)*C189,3)</f>
        <v>60.447000000000003</v>
      </c>
      <c r="F189">
        <f>ROUND(IF(VLOOKUP($A189,EnrollData2324,'2324 Jun 24 Enroll'!F$1,FALSE)='District Calculations'!$F$13,VLOOKUP($A189,EnrollData2324,'2324 Jun 24 Enroll'!F$1,FALSE),'District Calculations'!$F$13)*Apport_222A2425,3)</f>
        <v>10.337999999999999</v>
      </c>
      <c r="G189">
        <f>ROUND(IF(VLOOKUP($A189,EnrollData2324,'2324 Jun 24 Enroll'!G$1,FALSE)='District Calculations'!$F$14,VLOOKUP($A189,EnrollData2324,'2324 Jun 24 Enroll'!G$1,FALSE),'District Calculations'!$F$14)*Apport_210A2425,3)</f>
        <v>22.92</v>
      </c>
      <c r="H189">
        <f>ROUND(IF(VLOOKUP($A189,EnrollData2324,'2324 Jun 24 Enroll'!H$1,FALSE)='District Calculations'!$F$15,VLOOKUP($A189,EnrollData2324,'2324 Jun 24 Enroll'!H$1,FALSE),'District Calculations'!$F$15)*Apport_213A2425,3)</f>
        <v>23.619</v>
      </c>
      <c r="I189">
        <f>ROUND(IF(VLOOKUP($A189,EnrollData2324,'2324 Jun 24 Enroll'!I$1,FALSE)+VLOOKUP($A189,EnrollData2324,'2324 Jun 24 Enroll'!M$1,FALSE)-VLOOKUP($A189,EnrollData2324,'2324 Jun 24 Enroll'!J$1,FALSE)='District Calculations'!$F$16+'District Calculations'!$F$25-'District Calculations'!$F$17,VLOOKUP($A189,EnrollData2324,'2324 Jun 24 Enroll'!I$1,FALSE)+VLOOKUP($A189,EnrollData2324,'2324 Jun 24 Enroll'!M$1,FALSE)-VLOOKUP($A189,EnrollData2324,'2324 Jun 24 Enroll'!J$1,FALSE),'District Calculations'!$F$16+'District Calculations'!$F$25-'District Calculations'!$F$17)*Apport_216A2425,3)</f>
        <v>59.057000000000002</v>
      </c>
      <c r="J189">
        <f>ROUND(SUM(D189:I189)/(IF(VLOOKUP($A189,EnrollData2324,'2324 Jun 24 Enroll'!M$1,FALSE)='District Calculations'!$F$25,VLOOKUP($A189,EnrollData2324,'2324 Jun 24 Enroll'!M$1,FALSE),'District Calculations'!$F$25)+IF(VLOOKUP($A189,EnrollData2324,'2324 Jun 24 Enroll'!D$1,FALSE)='District Calculations'!$F$11,VLOOKUP($A189,EnrollData2324,'2324 Jun 24 Enroll'!D$1,FALSE),'District Calculations'!$F$11)),5)</f>
        <v>5.6520000000000001E-2</v>
      </c>
      <c r="K189" s="11">
        <f t="shared" si="40"/>
        <v>4.385E-3</v>
      </c>
      <c r="L189">
        <f>ROUND(IF(VLOOKUP($A189,EnrollData2324,'2324 Jun 24 Enroll'!D$1,FALSE)='District Calculations'!$F$11,VLOOKUP($A189,EnrollData2324,'2324 Jun 24 Enroll'!D$1,FALSE),'District Calculations'!$F$11)*K189,3)</f>
        <v>0</v>
      </c>
      <c r="M189">
        <f>ROUND(IF(VLOOKUP($A189,EnrollData2324,'2324 Jun 24 Enroll'!E$1,FALSE)='District Calculations'!$F$12,VLOOKUP($A189,EnrollData2324,'2324 Jun 24 Enroll'!E$1,FALSE),'District Calculations'!$F$12)*K189,3)</f>
        <v>3.5539999999999998</v>
      </c>
      <c r="N189">
        <f>ROUND(IF(VLOOKUP($A189,EnrollData2324,'2324 Jun 24 Enroll'!F$1,FALSE)='District Calculations'!$F$13,VLOOKUP($A189,EnrollData2324,'2324 Jun 24 Enroll'!F$1,FALSE),'District Calculations'!$F$13)*Apport_223A2425,3)</f>
        <v>0.84599999999999997</v>
      </c>
      <c r="O189">
        <f>ROUND(IF(VLOOKUP($A189,EnrollData2324,'2324 Jun 24 Enroll'!G$1,FALSE)='District Calculations'!$F$14,VLOOKUP($A189,EnrollData2324,'2324 Jun 24 Enroll'!G$1,FALSE),'District Calculations'!$F$14)*Apport_211A2425,3)</f>
        <v>1.877</v>
      </c>
      <c r="P189">
        <f>ROUND(IF(VLOOKUP($A189,EnrollData2324,'2324 Jun 24 Enroll'!H$1,FALSE)='District Calculations'!$F$14,VLOOKUP($A189,EnrollData2324,'2324 Jun 24 Enroll'!H$1,FALSE),'District Calculations'!$F$14)*Apport_214A2425,3)</f>
        <v>1.875</v>
      </c>
      <c r="Q189">
        <f>ROUND(IF(VLOOKUP($A189,EnrollData2324,'2324 Jun 24 Enroll'!I$1,FALSE)+VLOOKUP($A189,EnrollData2324,'2324 Jun 24 Enroll'!M$1,FALSE)-VLOOKUP($A189,EnrollData2324,'2324 Jun 24 Enroll'!J$1,FALSE)='District Calculations'!$F$16+'District Calculations'!$F$25-'District Calculations'!$F$17,VLOOKUP($A189,EnrollData2324,'2324 Jun 24 Enroll'!I$1,FALSE)+VLOOKUP($A189,EnrollData2324,'2324 Jun 24 Enroll'!M$1,FALSE)-VLOOKUP($A189,EnrollData2324,'2324 Jun 24 Enroll'!J$1,FALSE),'District Calculations'!$F$16+'District Calculations'!$F$25-'District Calculations'!$F$17)*Apport_217A2425,3)</f>
        <v>4.7130000000000001</v>
      </c>
      <c r="R189">
        <f>ROUND(SUM(L189:Q189)/IF(VLOOKUP($A189,EnrollData2324,'2324 Jun 24 Enroll'!M$1,FALSE)+VLOOKUP($A189,EnrollData2324,'2324 Jun 24 Enroll'!D$1,FALSE)='District Calculations'!$F$25+'District Calculations'!$F$11,VLOOKUP($A189,EnrollData2324,'2324 Jun 24 Enroll'!M$1,FALSE)+VLOOKUP($A189,EnrollData2324,'2324 Jun 24 Enroll'!D$1,FALSE),'District Calculations'!$F$25+'District Calculations'!$F$11),5)</f>
        <v>4.1200000000000004E-3</v>
      </c>
      <c r="S189" s="11">
        <f t="shared" si="41"/>
        <v>1.8734299999999999E-2</v>
      </c>
      <c r="T189">
        <f>ROUND(IF(VLOOKUP($A189,EnrollData2324,'2324 Jun 24 Enroll'!D$1,FALSE)='District Calculations'!$F$11,VLOOKUP($A189,EnrollData2324,'2324 Jun 24 Enroll'!D$1,FALSE),'District Calculations'!$F$11)*S189,3)</f>
        <v>0</v>
      </c>
      <c r="U189">
        <f>ROUND(IF(VLOOKUP($A189,EnrollData2324,'2324 Jun 24 Enroll'!E$1,FALSE)='District Calculations'!$F$12,VLOOKUP($A189,EnrollData2324,'2324 Jun 24 Enroll'!E$1,FALSE),'District Calculations'!$F$12)*S189,3)</f>
        <v>15.183999999999999</v>
      </c>
      <c r="V189">
        <f>ROUND(IF(VLOOKUP($A189,EnrollData2324,'2324 Jun 24 Enroll'!F$1,FALSE)='District Calculations'!$F$13,VLOOKUP($A189,EnrollData2324,'2324 Jun 24 Enroll'!F$1,FALSE),'District Calculations'!$F$13)*Apport_224A2425,3)</f>
        <v>3.7109999999999999</v>
      </c>
      <c r="W189">
        <f>ROUND(IF(VLOOKUP($A189,EnrollData2324,'2324 Jun 24 Enroll'!G$1,FALSE)='District Calculations'!$F$14,VLOOKUP($A189,EnrollData2324,'2324 Jun 24 Enroll'!G$1,FALSE),'District Calculations'!$F$14)*Apport_212A2425,3)</f>
        <v>8.2279999999999998</v>
      </c>
      <c r="X189">
        <f>ROUND(IF(VLOOKUP($A189,EnrollData2324,'2324 Jun 24 Enroll'!H$1,FALSE)='District Calculations'!$F$14,VLOOKUP($A189,EnrollData2324,'2324 Jun 24 Enroll'!H$1,FALSE),'District Calculations'!$F$14)*Apport_215A2425,3)</f>
        <v>8.1180000000000003</v>
      </c>
      <c r="Y189">
        <f>ROUND(IF(VLOOKUP($A189,EnrollData2324,'2324 Jun 24 Enroll'!I$1,FALSE)+VLOOKUP($A189,EnrollData2324,'2324 Jun 24 Enroll'!M$1,FALSE)-VLOOKUP($A189,EnrollData2324,'2324 Jun 24 Enroll'!J$1,FALSE)='District Calculations'!$F$16+'District Calculations'!$F$25-'District Calculations'!$F$17,VLOOKUP($A189,EnrollData2324,'2324 Jun 24 Enroll'!I$1,FALSE)+VLOOKUP($A189,EnrollData2324,'2324 Jun 24 Enroll'!M$1,FALSE)-VLOOKUP($A189,EnrollData2324,'2324 Jun 24 Enroll'!J$1,FALSE),'District Calculations'!$F$16+'District Calculations'!$F$25-'District Calculations'!$F$17)*Apport_218A2425,3)</f>
        <v>20.257999999999999</v>
      </c>
      <c r="Z189">
        <f>ROUND(SUM(T189:Y189)/IF(VLOOKUP($A189,EnrollData2324,'2324 Jun 24 Enroll'!M$1,FALSE)+VLOOKUP($A189,EnrollData2324,'2324 Jun 24 Enroll'!D$1,FALSE)='District Calculations'!$F$25+'District Calculations'!$F$11,VLOOKUP($A189,EnrollData2324,'2324 Jun 24 Enroll'!M$1,FALSE)+VLOOKUP($A189,EnrollData2324,'2324 Jun 24 Enroll'!D$1,FALSE),'District Calculations'!$F$25+'District Calculations'!$F$11),5)</f>
        <v>1.7780000000000001E-2</v>
      </c>
      <c r="AA189" s="6">
        <f>ROUND($J189*CIS_Base_Salary2425*VLOOKUP($A189,EnrollData2324,'2324 Jun 24 Enroll'!AH$1,FALSE),2)</f>
        <v>4262.68</v>
      </c>
      <c r="AB189" s="6">
        <f>ROUND($J189*CIS_Inc_Salary2425*(VLOOKUP($A189,EnrollData2324,'2324 Jun 24 Enroll'!AI$1,FALSE)+VLOOKUP($A189,EnrollData2324,'2324 Jun 24 Enroll'!AJ$1,FALSE)),2)-AA189</f>
        <v>157.6899999999996</v>
      </c>
      <c r="AC189" s="6" cm="1">
        <f t="array" ref="AC189">ROUND($R189*CAS_Base_Salary2425*VLOOKUP($A189,EnrollData2324,'2324 Jun 24 Enroll'!AH$1,FALSE),2)</f>
        <v>461.23</v>
      </c>
      <c r="AD189" s="6">
        <f>ROUND($R189*CAS_Inc_Salary2425*VLOOKUP($A189,EnrollData2324,'2324 Jun 24 Enroll'!AI$1,FALSE),2)-AC189</f>
        <v>17.069999999999993</v>
      </c>
      <c r="AE189" s="6">
        <f>ROUND($Z189*CLS_Base_Salary2425*VLOOKUP($A189,EnrollData2324,'2324 Jun 24 Enroll'!AH$1,FALSE),2)</f>
        <v>961.95</v>
      </c>
      <c r="AF189" s="6">
        <f>ROUND($Z189*CLS_Inc_Salary2425*VLOOKUP($A189,EnrollData2324,'2324 Jun 24 Enroll'!AI$1,FALSE),2)-AE189</f>
        <v>35.599999999999909</v>
      </c>
      <c r="AG189" cm="1">
        <f t="array" ref="AG189">ROUND(($J189+$R189)*Apport_124X2425,2)</f>
        <v>800.45</v>
      </c>
      <c r="AH189" s="69" cm="1">
        <f t="array" ref="AH189">ROUND(($J189+$R189)*Apport_621X2425*Apport_125XC2425,2)-AG189</f>
        <v>73.899999999999977</v>
      </c>
      <c r="AI189" cm="1">
        <f t="array" ref="AI189">ROUND($Z189*Apport_124X2425,2)</f>
        <v>234.7</v>
      </c>
      <c r="AJ189">
        <f t="shared" si="42"/>
        <v>124.71000000000004</v>
      </c>
      <c r="AK189">
        <f t="shared" si="43"/>
        <v>857.39</v>
      </c>
      <c r="AL189">
        <f t="shared" si="44"/>
        <v>30.6</v>
      </c>
      <c r="AM189">
        <f t="shared" si="45"/>
        <v>208.36</v>
      </c>
      <c r="AN189">
        <f t="shared" si="46"/>
        <v>6.46</v>
      </c>
      <c r="AO189">
        <f>ROUND(($J189*CIS_Inc_Salary2425*(VLOOKUP($A189,EnrollData2324,'2324 Jun 24 Enroll'!AI$1,FALSE)+VLOOKUP($A189,EnrollData2324,'2324 Jun 24 Enroll'!AJ$1,FALSE))/Apport_613Xpd)*Apport_614Xpd,2)</f>
        <v>73.67</v>
      </c>
      <c r="AP189">
        <f t="shared" si="47"/>
        <v>12.9</v>
      </c>
      <c r="AQ189">
        <f t="shared" si="48"/>
        <v>31.48</v>
      </c>
      <c r="AR189" s="6">
        <f>ROUND((VLOOKUP($A189,EnrollData2324,'2324 Jun 24 Enroll'!D$1,FALSE)*Apport_M802425+VLOOKUP($A189,EnrollData2324,'2324 Jun 24 Enroll'!M$1,FALSE)*Apport_M802425+(VLOOKUP($A189,EnrollData2324,'2324 Jun 24 Enroll'!P$1,FALSE)+VLOOKUP($A189,EnrollData2324,'2324 Jun 24 Enroll'!Q$1,FALSE)+VLOOKUP($A189,EnrollData2324,'2324 Jun 24 Enroll'!R$1,FALSE)+VLOOKUP($A189,EnrollData2324,'2324 Jun 24 Enroll'!I$1,FALSE)+VLOOKUP($A189,EnrollData2324,'2324 Jun 24 Enroll'!N$1,FALSE)+VLOOKUP($A189,EnrollData2324,'2324 Jun 24 Enroll'!O$1,FALSE)+VLOOKUP($A189,EnrollData2324,'2324 Jun 24 Enroll'!K$1,FALSE)+VLOOKUP($A189,EnrollData2324,'2324 Jun 24 Enroll'!L$1,FALSE))*Apport_M812425)/(VLOOKUP($A189,EnrollData2324,'2324 Jun 24 Enroll'!M$1,FALSE)+VLOOKUP($A189,EnrollData2324,'2324 Jun 24 Enroll'!D$1,FALSE)),2)</f>
        <v>1603.61</v>
      </c>
      <c r="AS189" s="7">
        <f t="shared" si="49"/>
        <v>9954.4499999999989</v>
      </c>
    </row>
    <row r="190" spans="1:45">
      <c r="A190" s="40" t="s">
        <v>683</v>
      </c>
      <c r="B190" s="40" t="s">
        <v>684</v>
      </c>
      <c r="C190" s="11">
        <f>ROUND((IFERROR((1/IF(VLOOKUP($A190,EnrollData2324,28,FALSE)='District Calculations'!$F$10,VLOOKUP($A190,EnrollData2324,28,FALSE),'District Calculations'!$F$10))*(1+Apport_Z315),0))+Apport_201A2425,6)</f>
        <v>7.4580999999999995E-2</v>
      </c>
      <c r="D190">
        <f>ROUND(IF(VLOOKUP($A190,EnrollData2324,'2324 Jun 24 Enroll'!D$1,FALSE)='District Calculations'!$F$11,VLOOKUP($A190,EnrollData2324,'2324 Jun 24 Enroll'!D$1,FALSE),'District Calculations'!$F$11)*C190,3)</f>
        <v>0</v>
      </c>
      <c r="E190">
        <f>ROUND(IF(VLOOKUP($A190,EnrollData2324,'2324 Jun 24 Enroll'!E$1,FALSE)='District Calculations'!$F$12,VLOOKUP($A190,EnrollData2324,'2324 Jun 24 Enroll'!E$1,FALSE),'District Calculations'!$F$12)*C190,3)</f>
        <v>60.447000000000003</v>
      </c>
      <c r="F190">
        <f>ROUND(IF(VLOOKUP($A190,EnrollData2324,'2324 Jun 24 Enroll'!F$1,FALSE)='District Calculations'!$F$13,VLOOKUP($A190,EnrollData2324,'2324 Jun 24 Enroll'!F$1,FALSE),'District Calculations'!$F$13)*Apport_222A2425,3)</f>
        <v>10.337999999999999</v>
      </c>
      <c r="G190">
        <f>ROUND(IF(VLOOKUP($A190,EnrollData2324,'2324 Jun 24 Enroll'!G$1,FALSE)='District Calculations'!$F$14,VLOOKUP($A190,EnrollData2324,'2324 Jun 24 Enroll'!G$1,FALSE),'District Calculations'!$F$14)*Apport_210A2425,3)</f>
        <v>22.92</v>
      </c>
      <c r="H190">
        <f>ROUND(IF(VLOOKUP($A190,EnrollData2324,'2324 Jun 24 Enroll'!H$1,FALSE)='District Calculations'!$F$15,VLOOKUP($A190,EnrollData2324,'2324 Jun 24 Enroll'!H$1,FALSE),'District Calculations'!$F$15)*Apport_213A2425,3)</f>
        <v>23.619</v>
      </c>
      <c r="I190">
        <f>ROUND(IF(VLOOKUP($A190,EnrollData2324,'2324 Jun 24 Enroll'!I$1,FALSE)+VLOOKUP($A190,EnrollData2324,'2324 Jun 24 Enroll'!M$1,FALSE)-VLOOKUP($A190,EnrollData2324,'2324 Jun 24 Enroll'!J$1,FALSE)='District Calculations'!$F$16+'District Calculations'!$F$25-'District Calculations'!$F$17,VLOOKUP($A190,EnrollData2324,'2324 Jun 24 Enroll'!I$1,FALSE)+VLOOKUP($A190,EnrollData2324,'2324 Jun 24 Enroll'!M$1,FALSE)-VLOOKUP($A190,EnrollData2324,'2324 Jun 24 Enroll'!J$1,FALSE),'District Calculations'!$F$16+'District Calculations'!$F$25-'District Calculations'!$F$17)*Apport_216A2425,3)</f>
        <v>59.057000000000002</v>
      </c>
      <c r="J190">
        <f>ROUND(SUM(D190:I190)/(IF(VLOOKUP($A190,EnrollData2324,'2324 Jun 24 Enroll'!M$1,FALSE)='District Calculations'!$F$25,VLOOKUP($A190,EnrollData2324,'2324 Jun 24 Enroll'!M$1,FALSE),'District Calculations'!$F$25)+IF(VLOOKUP($A190,EnrollData2324,'2324 Jun 24 Enroll'!D$1,FALSE)='District Calculations'!$F$11,VLOOKUP($A190,EnrollData2324,'2324 Jun 24 Enroll'!D$1,FALSE),'District Calculations'!$F$11)),5)</f>
        <v>5.6520000000000001E-2</v>
      </c>
      <c r="K190" s="11">
        <f t="shared" si="40"/>
        <v>4.385E-3</v>
      </c>
      <c r="L190">
        <f>ROUND(IF(VLOOKUP($A190,EnrollData2324,'2324 Jun 24 Enroll'!D$1,FALSE)='District Calculations'!$F$11,VLOOKUP($A190,EnrollData2324,'2324 Jun 24 Enroll'!D$1,FALSE),'District Calculations'!$F$11)*K190,3)</f>
        <v>0</v>
      </c>
      <c r="M190">
        <f>ROUND(IF(VLOOKUP($A190,EnrollData2324,'2324 Jun 24 Enroll'!E$1,FALSE)='District Calculations'!$F$12,VLOOKUP($A190,EnrollData2324,'2324 Jun 24 Enroll'!E$1,FALSE),'District Calculations'!$F$12)*K190,3)</f>
        <v>3.5539999999999998</v>
      </c>
      <c r="N190">
        <f>ROUND(IF(VLOOKUP($A190,EnrollData2324,'2324 Jun 24 Enroll'!F$1,FALSE)='District Calculations'!$F$13,VLOOKUP($A190,EnrollData2324,'2324 Jun 24 Enroll'!F$1,FALSE),'District Calculations'!$F$13)*Apport_223A2425,3)</f>
        <v>0.84599999999999997</v>
      </c>
      <c r="O190">
        <f>ROUND(IF(VLOOKUP($A190,EnrollData2324,'2324 Jun 24 Enroll'!G$1,FALSE)='District Calculations'!$F$14,VLOOKUP($A190,EnrollData2324,'2324 Jun 24 Enroll'!G$1,FALSE),'District Calculations'!$F$14)*Apport_211A2425,3)</f>
        <v>1.877</v>
      </c>
      <c r="P190">
        <f>ROUND(IF(VLOOKUP($A190,EnrollData2324,'2324 Jun 24 Enroll'!H$1,FALSE)='District Calculations'!$F$14,VLOOKUP($A190,EnrollData2324,'2324 Jun 24 Enroll'!H$1,FALSE),'District Calculations'!$F$14)*Apport_214A2425,3)</f>
        <v>1.875</v>
      </c>
      <c r="Q190">
        <f>ROUND(IF(VLOOKUP($A190,EnrollData2324,'2324 Jun 24 Enroll'!I$1,FALSE)+VLOOKUP($A190,EnrollData2324,'2324 Jun 24 Enroll'!M$1,FALSE)-VLOOKUP($A190,EnrollData2324,'2324 Jun 24 Enroll'!J$1,FALSE)='District Calculations'!$F$16+'District Calculations'!$F$25-'District Calculations'!$F$17,VLOOKUP($A190,EnrollData2324,'2324 Jun 24 Enroll'!I$1,FALSE)+VLOOKUP($A190,EnrollData2324,'2324 Jun 24 Enroll'!M$1,FALSE)-VLOOKUP($A190,EnrollData2324,'2324 Jun 24 Enroll'!J$1,FALSE),'District Calculations'!$F$16+'District Calculations'!$F$25-'District Calculations'!$F$17)*Apport_217A2425,3)</f>
        <v>4.7130000000000001</v>
      </c>
      <c r="R190">
        <f>ROUND(SUM(L190:Q190)/IF(VLOOKUP($A190,EnrollData2324,'2324 Jun 24 Enroll'!M$1,FALSE)+VLOOKUP($A190,EnrollData2324,'2324 Jun 24 Enroll'!D$1,FALSE)='District Calculations'!$F$25+'District Calculations'!$F$11,VLOOKUP($A190,EnrollData2324,'2324 Jun 24 Enroll'!M$1,FALSE)+VLOOKUP($A190,EnrollData2324,'2324 Jun 24 Enroll'!D$1,FALSE),'District Calculations'!$F$25+'District Calculations'!$F$11),5)</f>
        <v>4.1200000000000004E-3</v>
      </c>
      <c r="S190" s="11">
        <f t="shared" si="41"/>
        <v>1.8734299999999999E-2</v>
      </c>
      <c r="T190">
        <f>ROUND(IF(VLOOKUP($A190,EnrollData2324,'2324 Jun 24 Enroll'!D$1,FALSE)='District Calculations'!$F$11,VLOOKUP($A190,EnrollData2324,'2324 Jun 24 Enroll'!D$1,FALSE),'District Calculations'!$F$11)*S190,3)</f>
        <v>0</v>
      </c>
      <c r="U190">
        <f>ROUND(IF(VLOOKUP($A190,EnrollData2324,'2324 Jun 24 Enroll'!E$1,FALSE)='District Calculations'!$F$12,VLOOKUP($A190,EnrollData2324,'2324 Jun 24 Enroll'!E$1,FALSE),'District Calculations'!$F$12)*S190,3)</f>
        <v>15.183999999999999</v>
      </c>
      <c r="V190">
        <f>ROUND(IF(VLOOKUP($A190,EnrollData2324,'2324 Jun 24 Enroll'!F$1,FALSE)='District Calculations'!$F$13,VLOOKUP($A190,EnrollData2324,'2324 Jun 24 Enroll'!F$1,FALSE),'District Calculations'!$F$13)*Apport_224A2425,3)</f>
        <v>3.7109999999999999</v>
      </c>
      <c r="W190">
        <f>ROUND(IF(VLOOKUP($A190,EnrollData2324,'2324 Jun 24 Enroll'!G$1,FALSE)='District Calculations'!$F$14,VLOOKUP($A190,EnrollData2324,'2324 Jun 24 Enroll'!G$1,FALSE),'District Calculations'!$F$14)*Apport_212A2425,3)</f>
        <v>8.2279999999999998</v>
      </c>
      <c r="X190">
        <f>ROUND(IF(VLOOKUP($A190,EnrollData2324,'2324 Jun 24 Enroll'!H$1,FALSE)='District Calculations'!$F$14,VLOOKUP($A190,EnrollData2324,'2324 Jun 24 Enroll'!H$1,FALSE),'District Calculations'!$F$14)*Apport_215A2425,3)</f>
        <v>8.1180000000000003</v>
      </c>
      <c r="Y190">
        <f>ROUND(IF(VLOOKUP($A190,EnrollData2324,'2324 Jun 24 Enroll'!I$1,FALSE)+VLOOKUP($A190,EnrollData2324,'2324 Jun 24 Enroll'!M$1,FALSE)-VLOOKUP($A190,EnrollData2324,'2324 Jun 24 Enroll'!J$1,FALSE)='District Calculations'!$F$16+'District Calculations'!$F$25-'District Calculations'!$F$17,VLOOKUP($A190,EnrollData2324,'2324 Jun 24 Enroll'!I$1,FALSE)+VLOOKUP($A190,EnrollData2324,'2324 Jun 24 Enroll'!M$1,FALSE)-VLOOKUP($A190,EnrollData2324,'2324 Jun 24 Enroll'!J$1,FALSE),'District Calculations'!$F$16+'District Calculations'!$F$25-'District Calculations'!$F$17)*Apport_218A2425,3)</f>
        <v>20.257999999999999</v>
      </c>
      <c r="Z190">
        <f>ROUND(SUM(T190:Y190)/IF(VLOOKUP($A190,EnrollData2324,'2324 Jun 24 Enroll'!M$1,FALSE)+VLOOKUP($A190,EnrollData2324,'2324 Jun 24 Enroll'!D$1,FALSE)='District Calculations'!$F$25+'District Calculations'!$F$11,VLOOKUP($A190,EnrollData2324,'2324 Jun 24 Enroll'!M$1,FALSE)+VLOOKUP($A190,EnrollData2324,'2324 Jun 24 Enroll'!D$1,FALSE),'District Calculations'!$F$25+'District Calculations'!$F$11),5)</f>
        <v>1.7780000000000001E-2</v>
      </c>
      <c r="AA190" s="6">
        <f>ROUND($J190*CIS_Base_Salary2425*VLOOKUP($A190,EnrollData2324,'2324 Jun 24 Enroll'!AH$1,FALSE),2)</f>
        <v>4262.68</v>
      </c>
      <c r="AB190" s="6">
        <f>ROUND($J190*CIS_Inc_Salary2425*(VLOOKUP($A190,EnrollData2324,'2324 Jun 24 Enroll'!AI$1,FALSE)+VLOOKUP($A190,EnrollData2324,'2324 Jun 24 Enroll'!AJ$1,FALSE)),2)-AA190</f>
        <v>201.89999999999964</v>
      </c>
      <c r="AC190" s="6" cm="1">
        <f t="array" ref="AC190">ROUND($R190*CAS_Base_Salary2425*VLOOKUP($A190,EnrollData2324,'2324 Jun 24 Enroll'!AH$1,FALSE),2)</f>
        <v>461.23</v>
      </c>
      <c r="AD190" s="6">
        <f>ROUND($R190*CAS_Inc_Salary2425*VLOOKUP($A190,EnrollData2324,'2324 Jun 24 Enroll'!AI$1,FALSE),2)-AC190</f>
        <v>17.069999999999993</v>
      </c>
      <c r="AE190" s="6">
        <f>ROUND($Z190*CLS_Base_Salary2425*VLOOKUP($A190,EnrollData2324,'2324 Jun 24 Enroll'!AH$1,FALSE),2)</f>
        <v>961.95</v>
      </c>
      <c r="AF190" s="6">
        <f>ROUND($Z190*CLS_Inc_Salary2425*VLOOKUP($A190,EnrollData2324,'2324 Jun 24 Enroll'!AI$1,FALSE),2)-AE190</f>
        <v>35.599999999999909</v>
      </c>
      <c r="AG190" cm="1">
        <f t="array" ref="AG190">ROUND(($J190+$R190)*Apport_124X2425,2)</f>
        <v>800.45</v>
      </c>
      <c r="AH190" s="69" cm="1">
        <f t="array" ref="AH190">ROUND(($J190+$R190)*Apport_621X2425*Apport_125XC2425,2)-AG190</f>
        <v>73.899999999999977</v>
      </c>
      <c r="AI190" cm="1">
        <f t="array" ref="AI190">ROUND($Z190*Apport_124X2425,2)</f>
        <v>234.7</v>
      </c>
      <c r="AJ190">
        <f t="shared" si="42"/>
        <v>124.71000000000004</v>
      </c>
      <c r="AK190">
        <f t="shared" si="43"/>
        <v>857.39</v>
      </c>
      <c r="AL190">
        <f t="shared" si="44"/>
        <v>38.340000000000003</v>
      </c>
      <c r="AM190">
        <f t="shared" si="45"/>
        <v>208.36</v>
      </c>
      <c r="AN190">
        <f t="shared" si="46"/>
        <v>6.46</v>
      </c>
      <c r="AO190">
        <f>ROUND(($J190*CIS_Inc_Salary2425*(VLOOKUP($A190,EnrollData2324,'2324 Jun 24 Enroll'!AI$1,FALSE)+VLOOKUP($A190,EnrollData2324,'2324 Jun 24 Enroll'!AJ$1,FALSE))/Apport_613Xpd)*Apport_614Xpd,2)</f>
        <v>74.41</v>
      </c>
      <c r="AP190">
        <f t="shared" si="47"/>
        <v>13.03</v>
      </c>
      <c r="AQ190">
        <f t="shared" si="48"/>
        <v>31.48</v>
      </c>
      <c r="AR190" s="6">
        <f>ROUND((VLOOKUP($A190,EnrollData2324,'2324 Jun 24 Enroll'!D$1,FALSE)*Apport_M802425+VLOOKUP($A190,EnrollData2324,'2324 Jun 24 Enroll'!M$1,FALSE)*Apport_M802425+(VLOOKUP($A190,EnrollData2324,'2324 Jun 24 Enroll'!P$1,FALSE)+VLOOKUP($A190,EnrollData2324,'2324 Jun 24 Enroll'!Q$1,FALSE)+VLOOKUP($A190,EnrollData2324,'2324 Jun 24 Enroll'!R$1,FALSE)+VLOOKUP($A190,EnrollData2324,'2324 Jun 24 Enroll'!I$1,FALSE)+VLOOKUP($A190,EnrollData2324,'2324 Jun 24 Enroll'!N$1,FALSE)+VLOOKUP($A190,EnrollData2324,'2324 Jun 24 Enroll'!O$1,FALSE)+VLOOKUP($A190,EnrollData2324,'2324 Jun 24 Enroll'!K$1,FALSE)+VLOOKUP($A190,EnrollData2324,'2324 Jun 24 Enroll'!L$1,FALSE))*Apport_M812425)/(VLOOKUP($A190,EnrollData2324,'2324 Jun 24 Enroll'!M$1,FALSE)+VLOOKUP($A190,EnrollData2324,'2324 Jun 24 Enroll'!D$1,FALSE)),2)</f>
        <v>1597.85</v>
      </c>
      <c r="AS190" s="7">
        <f t="shared" si="49"/>
        <v>10001.509999999998</v>
      </c>
    </row>
    <row r="191" spans="1:45">
      <c r="A191" s="40" t="s">
        <v>823</v>
      </c>
      <c r="B191" s="40" t="s">
        <v>824</v>
      </c>
      <c r="C191" s="11">
        <f>ROUND((IFERROR((1/IF(VLOOKUP($A191,EnrollData2324,28,FALSE)='District Calculations'!$F$10,VLOOKUP($A191,EnrollData2324,28,FALSE),'District Calculations'!$F$10))*(1+Apport_Z315),0))+Apport_201A2425,6)</f>
        <v>7.4580999999999995E-2</v>
      </c>
      <c r="D191">
        <f>ROUND(IF(VLOOKUP($A191,EnrollData2324,'2324 Jun 24 Enroll'!D$1,FALSE)='District Calculations'!$F$11,VLOOKUP($A191,EnrollData2324,'2324 Jun 24 Enroll'!D$1,FALSE),'District Calculations'!$F$11)*C191,3)</f>
        <v>0</v>
      </c>
      <c r="E191">
        <f>ROUND(IF(VLOOKUP($A191,EnrollData2324,'2324 Jun 24 Enroll'!E$1,FALSE)='District Calculations'!$F$12,VLOOKUP($A191,EnrollData2324,'2324 Jun 24 Enroll'!E$1,FALSE),'District Calculations'!$F$12)*C191,3)</f>
        <v>60.447000000000003</v>
      </c>
      <c r="F191">
        <f>ROUND(IF(VLOOKUP($A191,EnrollData2324,'2324 Jun 24 Enroll'!F$1,FALSE)='District Calculations'!$F$13,VLOOKUP($A191,EnrollData2324,'2324 Jun 24 Enroll'!F$1,FALSE),'District Calculations'!$F$13)*Apport_222A2425,3)</f>
        <v>10.337999999999999</v>
      </c>
      <c r="G191">
        <f>ROUND(IF(VLOOKUP($A191,EnrollData2324,'2324 Jun 24 Enroll'!G$1,FALSE)='District Calculations'!$F$14,VLOOKUP($A191,EnrollData2324,'2324 Jun 24 Enroll'!G$1,FALSE),'District Calculations'!$F$14)*Apport_210A2425,3)</f>
        <v>22.92</v>
      </c>
      <c r="H191">
        <f>ROUND(IF(VLOOKUP($A191,EnrollData2324,'2324 Jun 24 Enroll'!H$1,FALSE)='District Calculations'!$F$15,VLOOKUP($A191,EnrollData2324,'2324 Jun 24 Enroll'!H$1,FALSE),'District Calculations'!$F$15)*Apport_213A2425,3)</f>
        <v>23.619</v>
      </c>
      <c r="I191">
        <f>ROUND(IF(VLOOKUP($A191,EnrollData2324,'2324 Jun 24 Enroll'!I$1,FALSE)+VLOOKUP($A191,EnrollData2324,'2324 Jun 24 Enroll'!M$1,FALSE)-VLOOKUP($A191,EnrollData2324,'2324 Jun 24 Enroll'!J$1,FALSE)='District Calculations'!$F$16+'District Calculations'!$F$25-'District Calculations'!$F$17,VLOOKUP($A191,EnrollData2324,'2324 Jun 24 Enroll'!I$1,FALSE)+VLOOKUP($A191,EnrollData2324,'2324 Jun 24 Enroll'!M$1,FALSE)-VLOOKUP($A191,EnrollData2324,'2324 Jun 24 Enroll'!J$1,FALSE),'District Calculations'!$F$16+'District Calculations'!$F$25-'District Calculations'!$F$17)*Apport_216A2425,3)</f>
        <v>59.057000000000002</v>
      </c>
      <c r="J191">
        <f>ROUND(SUM(D191:I191)/(IF(VLOOKUP($A191,EnrollData2324,'2324 Jun 24 Enroll'!M$1,FALSE)='District Calculations'!$F$25,VLOOKUP($A191,EnrollData2324,'2324 Jun 24 Enroll'!M$1,FALSE),'District Calculations'!$F$25)+IF(VLOOKUP($A191,EnrollData2324,'2324 Jun 24 Enroll'!D$1,FALSE)='District Calculations'!$F$11,VLOOKUP($A191,EnrollData2324,'2324 Jun 24 Enroll'!D$1,FALSE),'District Calculations'!$F$11)),5)</f>
        <v>5.6520000000000001E-2</v>
      </c>
      <c r="K191" s="11">
        <f t="shared" si="40"/>
        <v>4.385E-3</v>
      </c>
      <c r="L191">
        <f>ROUND(IF(VLOOKUP($A191,EnrollData2324,'2324 Jun 24 Enroll'!D$1,FALSE)='District Calculations'!$F$11,VLOOKUP($A191,EnrollData2324,'2324 Jun 24 Enroll'!D$1,FALSE),'District Calculations'!$F$11)*K191,3)</f>
        <v>0</v>
      </c>
      <c r="M191">
        <f>ROUND(IF(VLOOKUP($A191,EnrollData2324,'2324 Jun 24 Enroll'!E$1,FALSE)='District Calculations'!$F$12,VLOOKUP($A191,EnrollData2324,'2324 Jun 24 Enroll'!E$1,FALSE),'District Calculations'!$F$12)*K191,3)</f>
        <v>3.5539999999999998</v>
      </c>
      <c r="N191">
        <f>ROUND(IF(VLOOKUP($A191,EnrollData2324,'2324 Jun 24 Enroll'!F$1,FALSE)='District Calculations'!$F$13,VLOOKUP($A191,EnrollData2324,'2324 Jun 24 Enroll'!F$1,FALSE),'District Calculations'!$F$13)*Apport_223A2425,3)</f>
        <v>0.84599999999999997</v>
      </c>
      <c r="O191">
        <f>ROUND(IF(VLOOKUP($A191,EnrollData2324,'2324 Jun 24 Enroll'!G$1,FALSE)='District Calculations'!$F$14,VLOOKUP($A191,EnrollData2324,'2324 Jun 24 Enroll'!G$1,FALSE),'District Calculations'!$F$14)*Apport_211A2425,3)</f>
        <v>1.877</v>
      </c>
      <c r="P191">
        <f>ROUND(IF(VLOOKUP($A191,EnrollData2324,'2324 Jun 24 Enroll'!H$1,FALSE)='District Calculations'!$F$14,VLOOKUP($A191,EnrollData2324,'2324 Jun 24 Enroll'!H$1,FALSE),'District Calculations'!$F$14)*Apport_214A2425,3)</f>
        <v>1.875</v>
      </c>
      <c r="Q191">
        <f>ROUND(IF(VLOOKUP($A191,EnrollData2324,'2324 Jun 24 Enroll'!I$1,FALSE)+VLOOKUP($A191,EnrollData2324,'2324 Jun 24 Enroll'!M$1,FALSE)-VLOOKUP($A191,EnrollData2324,'2324 Jun 24 Enroll'!J$1,FALSE)='District Calculations'!$F$16+'District Calculations'!$F$25-'District Calculations'!$F$17,VLOOKUP($A191,EnrollData2324,'2324 Jun 24 Enroll'!I$1,FALSE)+VLOOKUP($A191,EnrollData2324,'2324 Jun 24 Enroll'!M$1,FALSE)-VLOOKUP($A191,EnrollData2324,'2324 Jun 24 Enroll'!J$1,FALSE),'District Calculations'!$F$16+'District Calculations'!$F$25-'District Calculations'!$F$17)*Apport_217A2425,3)</f>
        <v>4.7130000000000001</v>
      </c>
      <c r="R191">
        <f>ROUND(SUM(L191:Q191)/IF(VLOOKUP($A191,EnrollData2324,'2324 Jun 24 Enroll'!M$1,FALSE)+VLOOKUP($A191,EnrollData2324,'2324 Jun 24 Enroll'!D$1,FALSE)='District Calculations'!$F$25+'District Calculations'!$F$11,VLOOKUP($A191,EnrollData2324,'2324 Jun 24 Enroll'!M$1,FALSE)+VLOOKUP($A191,EnrollData2324,'2324 Jun 24 Enroll'!D$1,FALSE),'District Calculations'!$F$25+'District Calculations'!$F$11),5)</f>
        <v>4.1200000000000004E-3</v>
      </c>
      <c r="S191" s="11">
        <f t="shared" si="41"/>
        <v>1.8734299999999999E-2</v>
      </c>
      <c r="T191">
        <f>ROUND(IF(VLOOKUP($A191,EnrollData2324,'2324 Jun 24 Enroll'!D$1,FALSE)='District Calculations'!$F$11,VLOOKUP($A191,EnrollData2324,'2324 Jun 24 Enroll'!D$1,FALSE),'District Calculations'!$F$11)*S191,3)</f>
        <v>0</v>
      </c>
      <c r="U191">
        <f>ROUND(IF(VLOOKUP($A191,EnrollData2324,'2324 Jun 24 Enroll'!E$1,FALSE)='District Calculations'!$F$12,VLOOKUP($A191,EnrollData2324,'2324 Jun 24 Enroll'!E$1,FALSE),'District Calculations'!$F$12)*S191,3)</f>
        <v>15.183999999999999</v>
      </c>
      <c r="V191">
        <f>ROUND(IF(VLOOKUP($A191,EnrollData2324,'2324 Jun 24 Enroll'!F$1,FALSE)='District Calculations'!$F$13,VLOOKUP($A191,EnrollData2324,'2324 Jun 24 Enroll'!F$1,FALSE),'District Calculations'!$F$13)*Apport_224A2425,3)</f>
        <v>3.7109999999999999</v>
      </c>
      <c r="W191">
        <f>ROUND(IF(VLOOKUP($A191,EnrollData2324,'2324 Jun 24 Enroll'!G$1,FALSE)='District Calculations'!$F$14,VLOOKUP($A191,EnrollData2324,'2324 Jun 24 Enroll'!G$1,FALSE),'District Calculations'!$F$14)*Apport_212A2425,3)</f>
        <v>8.2279999999999998</v>
      </c>
      <c r="X191">
        <f>ROUND(IF(VLOOKUP($A191,EnrollData2324,'2324 Jun 24 Enroll'!H$1,FALSE)='District Calculations'!$F$14,VLOOKUP($A191,EnrollData2324,'2324 Jun 24 Enroll'!H$1,FALSE),'District Calculations'!$F$14)*Apport_215A2425,3)</f>
        <v>8.1180000000000003</v>
      </c>
      <c r="Y191">
        <f>ROUND(IF(VLOOKUP($A191,EnrollData2324,'2324 Jun 24 Enroll'!I$1,FALSE)+VLOOKUP($A191,EnrollData2324,'2324 Jun 24 Enroll'!M$1,FALSE)-VLOOKUP($A191,EnrollData2324,'2324 Jun 24 Enroll'!J$1,FALSE)='District Calculations'!$F$16+'District Calculations'!$F$25-'District Calculations'!$F$17,VLOOKUP($A191,EnrollData2324,'2324 Jun 24 Enroll'!I$1,FALSE)+VLOOKUP($A191,EnrollData2324,'2324 Jun 24 Enroll'!M$1,FALSE)-VLOOKUP($A191,EnrollData2324,'2324 Jun 24 Enroll'!J$1,FALSE),'District Calculations'!$F$16+'District Calculations'!$F$25-'District Calculations'!$F$17)*Apport_218A2425,3)</f>
        <v>20.257999999999999</v>
      </c>
      <c r="Z191">
        <f>ROUND(SUM(T191:Y191)/IF(VLOOKUP($A191,EnrollData2324,'2324 Jun 24 Enroll'!M$1,FALSE)+VLOOKUP($A191,EnrollData2324,'2324 Jun 24 Enroll'!D$1,FALSE)='District Calculations'!$F$25+'District Calculations'!$F$11,VLOOKUP($A191,EnrollData2324,'2324 Jun 24 Enroll'!M$1,FALSE)+VLOOKUP($A191,EnrollData2324,'2324 Jun 24 Enroll'!D$1,FALSE),'District Calculations'!$F$25+'District Calculations'!$F$11),5)</f>
        <v>1.7780000000000001E-2</v>
      </c>
      <c r="AA191" s="6">
        <f>ROUND($J191*CIS_Base_Salary2425*VLOOKUP($A191,EnrollData2324,'2324 Jun 24 Enroll'!AH$1,FALSE),2)</f>
        <v>4262.68</v>
      </c>
      <c r="AB191" s="6">
        <f>ROUND($J191*CIS_Inc_Salary2425*(VLOOKUP($A191,EnrollData2324,'2324 Jun 24 Enroll'!AI$1,FALSE)+VLOOKUP($A191,EnrollData2324,'2324 Jun 24 Enroll'!AJ$1,FALSE)),2)-AA191</f>
        <v>157.6899999999996</v>
      </c>
      <c r="AC191" s="6" cm="1">
        <f t="array" ref="AC191">ROUND($R191*CAS_Base_Salary2425*VLOOKUP($A191,EnrollData2324,'2324 Jun 24 Enroll'!AH$1,FALSE),2)</f>
        <v>461.23</v>
      </c>
      <c r="AD191" s="6">
        <f>ROUND($R191*CAS_Inc_Salary2425*VLOOKUP($A191,EnrollData2324,'2324 Jun 24 Enroll'!AI$1,FALSE),2)-AC191</f>
        <v>17.069999999999993</v>
      </c>
      <c r="AE191" s="6">
        <f>ROUND($Z191*CLS_Base_Salary2425*VLOOKUP($A191,EnrollData2324,'2324 Jun 24 Enroll'!AH$1,FALSE),2)</f>
        <v>961.95</v>
      </c>
      <c r="AF191" s="6">
        <f>ROUND($Z191*CLS_Inc_Salary2425*VLOOKUP($A191,EnrollData2324,'2324 Jun 24 Enroll'!AI$1,FALSE),2)-AE191</f>
        <v>35.599999999999909</v>
      </c>
      <c r="AG191" cm="1">
        <f t="array" ref="AG191">ROUND(($J191+$R191)*Apport_124X2425,2)</f>
        <v>800.45</v>
      </c>
      <c r="AH191" s="69" cm="1">
        <f t="array" ref="AH191">ROUND(($J191+$R191)*Apport_621X2425*Apport_125XC2425,2)-AG191</f>
        <v>73.899999999999977</v>
      </c>
      <c r="AI191" cm="1">
        <f t="array" ref="AI191">ROUND($Z191*Apport_124X2425,2)</f>
        <v>234.7</v>
      </c>
      <c r="AJ191">
        <f t="shared" si="42"/>
        <v>124.71000000000004</v>
      </c>
      <c r="AK191">
        <f t="shared" si="43"/>
        <v>857.39</v>
      </c>
      <c r="AL191">
        <f t="shared" si="44"/>
        <v>30.6</v>
      </c>
      <c r="AM191">
        <f t="shared" si="45"/>
        <v>208.36</v>
      </c>
      <c r="AN191">
        <f t="shared" si="46"/>
        <v>6.46</v>
      </c>
      <c r="AO191">
        <f>ROUND(($J191*CIS_Inc_Salary2425*(VLOOKUP($A191,EnrollData2324,'2324 Jun 24 Enroll'!AI$1,FALSE)+VLOOKUP($A191,EnrollData2324,'2324 Jun 24 Enroll'!AJ$1,FALSE))/Apport_613Xpd)*Apport_614Xpd,2)</f>
        <v>73.67</v>
      </c>
      <c r="AP191">
        <f t="shared" si="47"/>
        <v>12.9</v>
      </c>
      <c r="AQ191">
        <f t="shared" si="48"/>
        <v>31.48</v>
      </c>
      <c r="AR191" s="6">
        <f>ROUND((VLOOKUP($A191,EnrollData2324,'2324 Jun 24 Enroll'!D$1,FALSE)*Apport_M802425+VLOOKUP($A191,EnrollData2324,'2324 Jun 24 Enroll'!M$1,FALSE)*Apport_M802425+(VLOOKUP($A191,EnrollData2324,'2324 Jun 24 Enroll'!P$1,FALSE)+VLOOKUP($A191,EnrollData2324,'2324 Jun 24 Enroll'!Q$1,FALSE)+VLOOKUP($A191,EnrollData2324,'2324 Jun 24 Enroll'!R$1,FALSE)+VLOOKUP($A191,EnrollData2324,'2324 Jun 24 Enroll'!I$1,FALSE)+VLOOKUP($A191,EnrollData2324,'2324 Jun 24 Enroll'!N$1,FALSE)+VLOOKUP($A191,EnrollData2324,'2324 Jun 24 Enroll'!O$1,FALSE)+VLOOKUP($A191,EnrollData2324,'2324 Jun 24 Enroll'!K$1,FALSE)+VLOOKUP($A191,EnrollData2324,'2324 Jun 24 Enroll'!L$1,FALSE))*Apport_M812425)/(VLOOKUP($A191,EnrollData2324,'2324 Jun 24 Enroll'!M$1,FALSE)+VLOOKUP($A191,EnrollData2324,'2324 Jun 24 Enroll'!D$1,FALSE)),2)</f>
        <v>1613.45</v>
      </c>
      <c r="AS191" s="7">
        <f t="shared" si="49"/>
        <v>9964.2899999999991</v>
      </c>
    </row>
    <row r="192" spans="1:45">
      <c r="A192" s="40" t="s">
        <v>671</v>
      </c>
      <c r="B192" s="40" t="s">
        <v>672</v>
      </c>
      <c r="C192" s="11">
        <f>ROUND((IFERROR((1/IF(VLOOKUP($A192,EnrollData2324,28,FALSE)='District Calculations'!$F$10,VLOOKUP($A192,EnrollData2324,28,FALSE),'District Calculations'!$F$10))*(1+Apport_Z315),0))+Apport_201A2425,6)</f>
        <v>7.4580999999999995E-2</v>
      </c>
      <c r="D192">
        <f>ROUND(IF(VLOOKUP($A192,EnrollData2324,'2324 Jun 24 Enroll'!D$1,FALSE)='District Calculations'!$F$11,VLOOKUP($A192,EnrollData2324,'2324 Jun 24 Enroll'!D$1,FALSE),'District Calculations'!$F$11)*C192,3)</f>
        <v>0</v>
      </c>
      <c r="E192">
        <f>ROUND(IF(VLOOKUP($A192,EnrollData2324,'2324 Jun 24 Enroll'!E$1,FALSE)='District Calculations'!$F$12,VLOOKUP($A192,EnrollData2324,'2324 Jun 24 Enroll'!E$1,FALSE),'District Calculations'!$F$12)*C192,3)</f>
        <v>60.447000000000003</v>
      </c>
      <c r="F192">
        <f>ROUND(IF(VLOOKUP($A192,EnrollData2324,'2324 Jun 24 Enroll'!F$1,FALSE)='District Calculations'!$F$13,VLOOKUP($A192,EnrollData2324,'2324 Jun 24 Enroll'!F$1,FALSE),'District Calculations'!$F$13)*Apport_222A2425,3)</f>
        <v>10.337999999999999</v>
      </c>
      <c r="G192">
        <f>ROUND(IF(VLOOKUP($A192,EnrollData2324,'2324 Jun 24 Enroll'!G$1,FALSE)='District Calculations'!$F$14,VLOOKUP($A192,EnrollData2324,'2324 Jun 24 Enroll'!G$1,FALSE),'District Calculations'!$F$14)*Apport_210A2425,3)</f>
        <v>22.92</v>
      </c>
      <c r="H192">
        <f>ROUND(IF(VLOOKUP($A192,EnrollData2324,'2324 Jun 24 Enroll'!H$1,FALSE)='District Calculations'!$F$15,VLOOKUP($A192,EnrollData2324,'2324 Jun 24 Enroll'!H$1,FALSE),'District Calculations'!$F$15)*Apport_213A2425,3)</f>
        <v>23.619</v>
      </c>
      <c r="I192">
        <f>ROUND(IF(VLOOKUP($A192,EnrollData2324,'2324 Jun 24 Enroll'!I$1,FALSE)+VLOOKUP($A192,EnrollData2324,'2324 Jun 24 Enroll'!M$1,FALSE)-VLOOKUP($A192,EnrollData2324,'2324 Jun 24 Enroll'!J$1,FALSE)='District Calculations'!$F$16+'District Calculations'!$F$25-'District Calculations'!$F$17,VLOOKUP($A192,EnrollData2324,'2324 Jun 24 Enroll'!I$1,FALSE)+VLOOKUP($A192,EnrollData2324,'2324 Jun 24 Enroll'!M$1,FALSE)-VLOOKUP($A192,EnrollData2324,'2324 Jun 24 Enroll'!J$1,FALSE),'District Calculations'!$F$16+'District Calculations'!$F$25-'District Calculations'!$F$17)*Apport_216A2425,3)</f>
        <v>59.057000000000002</v>
      </c>
      <c r="J192">
        <f>ROUND(SUM(D192:I192)/(IF(VLOOKUP($A192,EnrollData2324,'2324 Jun 24 Enroll'!M$1,FALSE)='District Calculations'!$F$25,VLOOKUP($A192,EnrollData2324,'2324 Jun 24 Enroll'!M$1,FALSE),'District Calculations'!$F$25)+IF(VLOOKUP($A192,EnrollData2324,'2324 Jun 24 Enroll'!D$1,FALSE)='District Calculations'!$F$11,VLOOKUP($A192,EnrollData2324,'2324 Jun 24 Enroll'!D$1,FALSE),'District Calculations'!$F$11)),5)</f>
        <v>5.6520000000000001E-2</v>
      </c>
      <c r="K192" s="11">
        <f t="shared" si="40"/>
        <v>4.385E-3</v>
      </c>
      <c r="L192">
        <f>ROUND(IF(VLOOKUP($A192,EnrollData2324,'2324 Jun 24 Enroll'!D$1,FALSE)='District Calculations'!$F$11,VLOOKUP($A192,EnrollData2324,'2324 Jun 24 Enroll'!D$1,FALSE),'District Calculations'!$F$11)*K192,3)</f>
        <v>0</v>
      </c>
      <c r="M192">
        <f>ROUND(IF(VLOOKUP($A192,EnrollData2324,'2324 Jun 24 Enroll'!E$1,FALSE)='District Calculations'!$F$12,VLOOKUP($A192,EnrollData2324,'2324 Jun 24 Enroll'!E$1,FALSE),'District Calculations'!$F$12)*K192,3)</f>
        <v>3.5539999999999998</v>
      </c>
      <c r="N192">
        <f>ROUND(IF(VLOOKUP($A192,EnrollData2324,'2324 Jun 24 Enroll'!F$1,FALSE)='District Calculations'!$F$13,VLOOKUP($A192,EnrollData2324,'2324 Jun 24 Enroll'!F$1,FALSE),'District Calculations'!$F$13)*Apport_223A2425,3)</f>
        <v>0.84599999999999997</v>
      </c>
      <c r="O192">
        <f>ROUND(IF(VLOOKUP($A192,EnrollData2324,'2324 Jun 24 Enroll'!G$1,FALSE)='District Calculations'!$F$14,VLOOKUP($A192,EnrollData2324,'2324 Jun 24 Enroll'!G$1,FALSE),'District Calculations'!$F$14)*Apport_211A2425,3)</f>
        <v>1.877</v>
      </c>
      <c r="P192">
        <f>ROUND(IF(VLOOKUP($A192,EnrollData2324,'2324 Jun 24 Enroll'!H$1,FALSE)='District Calculations'!$F$14,VLOOKUP($A192,EnrollData2324,'2324 Jun 24 Enroll'!H$1,FALSE),'District Calculations'!$F$14)*Apport_214A2425,3)</f>
        <v>1.875</v>
      </c>
      <c r="Q192">
        <f>ROUND(IF(VLOOKUP($A192,EnrollData2324,'2324 Jun 24 Enroll'!I$1,FALSE)+VLOOKUP($A192,EnrollData2324,'2324 Jun 24 Enroll'!M$1,FALSE)-VLOOKUP($A192,EnrollData2324,'2324 Jun 24 Enroll'!J$1,FALSE)='District Calculations'!$F$16+'District Calculations'!$F$25-'District Calculations'!$F$17,VLOOKUP($A192,EnrollData2324,'2324 Jun 24 Enroll'!I$1,FALSE)+VLOOKUP($A192,EnrollData2324,'2324 Jun 24 Enroll'!M$1,FALSE)-VLOOKUP($A192,EnrollData2324,'2324 Jun 24 Enroll'!J$1,FALSE),'District Calculations'!$F$16+'District Calculations'!$F$25-'District Calculations'!$F$17)*Apport_217A2425,3)</f>
        <v>4.7130000000000001</v>
      </c>
      <c r="R192">
        <f>ROUND(SUM(L192:Q192)/IF(VLOOKUP($A192,EnrollData2324,'2324 Jun 24 Enroll'!M$1,FALSE)+VLOOKUP($A192,EnrollData2324,'2324 Jun 24 Enroll'!D$1,FALSE)='District Calculations'!$F$25+'District Calculations'!$F$11,VLOOKUP($A192,EnrollData2324,'2324 Jun 24 Enroll'!M$1,FALSE)+VLOOKUP($A192,EnrollData2324,'2324 Jun 24 Enroll'!D$1,FALSE),'District Calculations'!$F$25+'District Calculations'!$F$11),5)</f>
        <v>4.1200000000000004E-3</v>
      </c>
      <c r="S192" s="11">
        <f t="shared" si="41"/>
        <v>1.8734299999999999E-2</v>
      </c>
      <c r="T192">
        <f>ROUND(IF(VLOOKUP($A192,EnrollData2324,'2324 Jun 24 Enroll'!D$1,FALSE)='District Calculations'!$F$11,VLOOKUP($A192,EnrollData2324,'2324 Jun 24 Enroll'!D$1,FALSE),'District Calculations'!$F$11)*S192,3)</f>
        <v>0</v>
      </c>
      <c r="U192">
        <f>ROUND(IF(VLOOKUP($A192,EnrollData2324,'2324 Jun 24 Enroll'!E$1,FALSE)='District Calculations'!$F$12,VLOOKUP($A192,EnrollData2324,'2324 Jun 24 Enroll'!E$1,FALSE),'District Calculations'!$F$12)*S192,3)</f>
        <v>15.183999999999999</v>
      </c>
      <c r="V192">
        <f>ROUND(IF(VLOOKUP($A192,EnrollData2324,'2324 Jun 24 Enroll'!F$1,FALSE)='District Calculations'!$F$13,VLOOKUP($A192,EnrollData2324,'2324 Jun 24 Enroll'!F$1,FALSE),'District Calculations'!$F$13)*Apport_224A2425,3)</f>
        <v>3.7109999999999999</v>
      </c>
      <c r="W192">
        <f>ROUND(IF(VLOOKUP($A192,EnrollData2324,'2324 Jun 24 Enroll'!G$1,FALSE)='District Calculations'!$F$14,VLOOKUP($A192,EnrollData2324,'2324 Jun 24 Enroll'!G$1,FALSE),'District Calculations'!$F$14)*Apport_212A2425,3)</f>
        <v>8.2279999999999998</v>
      </c>
      <c r="X192">
        <f>ROUND(IF(VLOOKUP($A192,EnrollData2324,'2324 Jun 24 Enroll'!H$1,FALSE)='District Calculations'!$F$14,VLOOKUP($A192,EnrollData2324,'2324 Jun 24 Enroll'!H$1,FALSE),'District Calculations'!$F$14)*Apport_215A2425,3)</f>
        <v>8.1180000000000003</v>
      </c>
      <c r="Y192">
        <f>ROUND(IF(VLOOKUP($A192,EnrollData2324,'2324 Jun 24 Enroll'!I$1,FALSE)+VLOOKUP($A192,EnrollData2324,'2324 Jun 24 Enroll'!M$1,FALSE)-VLOOKUP($A192,EnrollData2324,'2324 Jun 24 Enroll'!J$1,FALSE)='District Calculations'!$F$16+'District Calculations'!$F$25-'District Calculations'!$F$17,VLOOKUP($A192,EnrollData2324,'2324 Jun 24 Enroll'!I$1,FALSE)+VLOOKUP($A192,EnrollData2324,'2324 Jun 24 Enroll'!M$1,FALSE)-VLOOKUP($A192,EnrollData2324,'2324 Jun 24 Enroll'!J$1,FALSE),'District Calculations'!$F$16+'District Calculations'!$F$25-'District Calculations'!$F$17)*Apport_218A2425,3)</f>
        <v>20.257999999999999</v>
      </c>
      <c r="Z192">
        <f>ROUND(SUM(T192:Y192)/IF(VLOOKUP($A192,EnrollData2324,'2324 Jun 24 Enroll'!M$1,FALSE)+VLOOKUP($A192,EnrollData2324,'2324 Jun 24 Enroll'!D$1,FALSE)='District Calculations'!$F$25+'District Calculations'!$F$11,VLOOKUP($A192,EnrollData2324,'2324 Jun 24 Enroll'!M$1,FALSE)+VLOOKUP($A192,EnrollData2324,'2324 Jun 24 Enroll'!D$1,FALSE),'District Calculations'!$F$25+'District Calculations'!$F$11),5)</f>
        <v>1.7780000000000001E-2</v>
      </c>
      <c r="AA192" s="6">
        <f>ROUND($J192*CIS_Base_Salary2425*VLOOKUP($A192,EnrollData2324,'2324 Jun 24 Enroll'!AH$1,FALSE),2)</f>
        <v>4262.68</v>
      </c>
      <c r="AB192" s="6">
        <f>ROUND($J192*CIS_Inc_Salary2425*(VLOOKUP($A192,EnrollData2324,'2324 Jun 24 Enroll'!AI$1,FALSE)+VLOOKUP($A192,EnrollData2324,'2324 Jun 24 Enroll'!AJ$1,FALSE)),2)-AA192</f>
        <v>157.6899999999996</v>
      </c>
      <c r="AC192" s="6" cm="1">
        <f t="array" ref="AC192">ROUND($R192*CAS_Base_Salary2425*VLOOKUP($A192,EnrollData2324,'2324 Jun 24 Enroll'!AH$1,FALSE),2)</f>
        <v>461.23</v>
      </c>
      <c r="AD192" s="6">
        <f>ROUND($R192*CAS_Inc_Salary2425*VLOOKUP($A192,EnrollData2324,'2324 Jun 24 Enroll'!AI$1,FALSE),2)-AC192</f>
        <v>17.069999999999993</v>
      </c>
      <c r="AE192" s="6">
        <f>ROUND($Z192*CLS_Base_Salary2425*VLOOKUP($A192,EnrollData2324,'2324 Jun 24 Enroll'!AH$1,FALSE),2)</f>
        <v>961.95</v>
      </c>
      <c r="AF192" s="6">
        <f>ROUND($Z192*CLS_Inc_Salary2425*VLOOKUP($A192,EnrollData2324,'2324 Jun 24 Enroll'!AI$1,FALSE),2)-AE192</f>
        <v>35.599999999999909</v>
      </c>
      <c r="AG192" cm="1">
        <f t="array" ref="AG192">ROUND(($J192+$R192)*Apport_124X2425,2)</f>
        <v>800.45</v>
      </c>
      <c r="AH192" s="69" cm="1">
        <f t="array" ref="AH192">ROUND(($J192+$R192)*Apport_621X2425*Apport_125XC2425,2)-AG192</f>
        <v>73.899999999999977</v>
      </c>
      <c r="AI192" cm="1">
        <f t="array" ref="AI192">ROUND($Z192*Apport_124X2425,2)</f>
        <v>234.7</v>
      </c>
      <c r="AJ192">
        <f t="shared" si="42"/>
        <v>124.71000000000004</v>
      </c>
      <c r="AK192">
        <f t="shared" si="43"/>
        <v>857.39</v>
      </c>
      <c r="AL192">
        <f t="shared" si="44"/>
        <v>30.6</v>
      </c>
      <c r="AM192">
        <f t="shared" si="45"/>
        <v>208.36</v>
      </c>
      <c r="AN192">
        <f t="shared" si="46"/>
        <v>6.46</v>
      </c>
      <c r="AO192">
        <f>ROUND(($J192*CIS_Inc_Salary2425*(VLOOKUP($A192,EnrollData2324,'2324 Jun 24 Enroll'!AI$1,FALSE)+VLOOKUP($A192,EnrollData2324,'2324 Jun 24 Enroll'!AJ$1,FALSE))/Apport_613Xpd)*Apport_614Xpd,2)</f>
        <v>73.67</v>
      </c>
      <c r="AP192">
        <f t="shared" si="47"/>
        <v>12.9</v>
      </c>
      <c r="AQ192">
        <f t="shared" si="48"/>
        <v>31.48</v>
      </c>
      <c r="AR192" s="6">
        <f>ROUND((VLOOKUP($A192,EnrollData2324,'2324 Jun 24 Enroll'!D$1,FALSE)*Apport_M802425+VLOOKUP($A192,EnrollData2324,'2324 Jun 24 Enroll'!M$1,FALSE)*Apport_M802425+(VLOOKUP($A192,EnrollData2324,'2324 Jun 24 Enroll'!P$1,FALSE)+VLOOKUP($A192,EnrollData2324,'2324 Jun 24 Enroll'!Q$1,FALSE)+VLOOKUP($A192,EnrollData2324,'2324 Jun 24 Enroll'!R$1,FALSE)+VLOOKUP($A192,EnrollData2324,'2324 Jun 24 Enroll'!I$1,FALSE)+VLOOKUP($A192,EnrollData2324,'2324 Jun 24 Enroll'!N$1,FALSE)+VLOOKUP($A192,EnrollData2324,'2324 Jun 24 Enroll'!O$1,FALSE)+VLOOKUP($A192,EnrollData2324,'2324 Jun 24 Enroll'!K$1,FALSE)+VLOOKUP($A192,EnrollData2324,'2324 Jun 24 Enroll'!L$1,FALSE))*Apport_M812425)/(VLOOKUP($A192,EnrollData2324,'2324 Jun 24 Enroll'!M$1,FALSE)+VLOOKUP($A192,EnrollData2324,'2324 Jun 24 Enroll'!D$1,FALSE)),2)</f>
        <v>1595.57</v>
      </c>
      <c r="AS192" s="7">
        <f t="shared" si="49"/>
        <v>9946.409999999998</v>
      </c>
    </row>
    <row r="193" spans="1:48">
      <c r="A193" t="s">
        <v>1093</v>
      </c>
      <c r="B193" t="s">
        <v>1094</v>
      </c>
      <c r="C193" s="11">
        <f>ROUND((IFERROR((1/IF(VLOOKUP($A193,EnrollData2324,28,FALSE)='District Calculations'!$F$10,VLOOKUP($A193,EnrollData2324,28,FALSE),'District Calculations'!$F$10))*(1+Apport_Z315),0))+Apport_201A2425,6)</f>
        <v>7.4580999999999995E-2</v>
      </c>
      <c r="D193">
        <f>ROUND(IF(VLOOKUP($A193,EnrollData2324,'2324 Jun 24 Enroll'!D$1,FALSE)='District Calculations'!$F$11,VLOOKUP($A193,EnrollData2324,'2324 Jun 24 Enroll'!D$1,FALSE),'District Calculations'!$F$11)*C193,3)</f>
        <v>0</v>
      </c>
      <c r="E193">
        <f>ROUND(IF(VLOOKUP($A193,EnrollData2324,'2324 Jun 24 Enroll'!E$1,FALSE)='District Calculations'!$F$12,VLOOKUP($A193,EnrollData2324,'2324 Jun 24 Enroll'!E$1,FALSE),'District Calculations'!$F$12)*C193,3)</f>
        <v>60.447000000000003</v>
      </c>
      <c r="F193">
        <f>ROUND(IF(VLOOKUP($A193,EnrollData2324,'2324 Jun 24 Enroll'!F$1,FALSE)='District Calculations'!$F$13,VLOOKUP($A193,EnrollData2324,'2324 Jun 24 Enroll'!F$1,FALSE),'District Calculations'!$F$13)*Apport_222A2425,3)</f>
        <v>10.337999999999999</v>
      </c>
      <c r="G193">
        <f>ROUND(IF(VLOOKUP($A193,EnrollData2324,'2324 Jun 24 Enroll'!G$1,FALSE)='District Calculations'!$F$14,VLOOKUP($A193,EnrollData2324,'2324 Jun 24 Enroll'!G$1,FALSE),'District Calculations'!$F$14)*Apport_210A2425,3)</f>
        <v>22.92</v>
      </c>
      <c r="H193">
        <f>ROUND(IF(VLOOKUP($A193,EnrollData2324,'2324 Jun 24 Enroll'!H$1,FALSE)='District Calculations'!$F$15,VLOOKUP($A193,EnrollData2324,'2324 Jun 24 Enroll'!H$1,FALSE),'District Calculations'!$F$15)*Apport_213A2425,3)</f>
        <v>23.619</v>
      </c>
      <c r="I193">
        <f>ROUND(IF(VLOOKUP($A193,EnrollData2324,'2324 Jun 24 Enroll'!I$1,FALSE)+VLOOKUP($A193,EnrollData2324,'2324 Jun 24 Enroll'!M$1,FALSE)-VLOOKUP($A193,EnrollData2324,'2324 Jun 24 Enroll'!J$1,FALSE)='District Calculations'!$F$16+'District Calculations'!$F$25-'District Calculations'!$F$17,VLOOKUP($A193,EnrollData2324,'2324 Jun 24 Enroll'!I$1,FALSE)+VLOOKUP($A193,EnrollData2324,'2324 Jun 24 Enroll'!M$1,FALSE)-VLOOKUP($A193,EnrollData2324,'2324 Jun 24 Enroll'!J$1,FALSE),'District Calculations'!$F$16+'District Calculations'!$F$25-'District Calculations'!$F$17)*Apport_216A2425,3)</f>
        <v>59.057000000000002</v>
      </c>
      <c r="J193">
        <f>ROUND(SUM(D193:I193)/(IF(VLOOKUP($A193,EnrollData2324,'2324 Jun 24 Enroll'!M$1,FALSE)='District Calculations'!$F$25,VLOOKUP($A193,EnrollData2324,'2324 Jun 24 Enroll'!M$1,FALSE),'District Calculations'!$F$25)+IF(VLOOKUP($A193,EnrollData2324,'2324 Jun 24 Enroll'!D$1,FALSE)='District Calculations'!$F$11,VLOOKUP($A193,EnrollData2324,'2324 Jun 24 Enroll'!D$1,FALSE),'District Calculations'!$F$11)),5)</f>
        <v>5.6520000000000001E-2</v>
      </c>
      <c r="K193" s="11">
        <f t="shared" si="40"/>
        <v>4.385E-3</v>
      </c>
      <c r="L193">
        <f>ROUND(IF(VLOOKUP($A193,EnrollData2324,'2324 Jun 24 Enroll'!D$1,FALSE)='District Calculations'!$F$11,VLOOKUP($A193,EnrollData2324,'2324 Jun 24 Enroll'!D$1,FALSE),'District Calculations'!$F$11)*K193,3)</f>
        <v>0</v>
      </c>
      <c r="M193">
        <f>ROUND(IF(VLOOKUP($A193,EnrollData2324,'2324 Jun 24 Enroll'!E$1,FALSE)='District Calculations'!$F$12,VLOOKUP($A193,EnrollData2324,'2324 Jun 24 Enroll'!E$1,FALSE),'District Calculations'!$F$12)*K193,3)</f>
        <v>3.5539999999999998</v>
      </c>
      <c r="N193">
        <f>ROUND(IF(VLOOKUP($A193,EnrollData2324,'2324 Jun 24 Enroll'!F$1,FALSE)='District Calculations'!$F$13,VLOOKUP($A193,EnrollData2324,'2324 Jun 24 Enroll'!F$1,FALSE),'District Calculations'!$F$13)*Apport_223A2425,3)</f>
        <v>0.84599999999999997</v>
      </c>
      <c r="O193">
        <f>ROUND(IF(VLOOKUP($A193,EnrollData2324,'2324 Jun 24 Enroll'!G$1,FALSE)='District Calculations'!$F$14,VLOOKUP($A193,EnrollData2324,'2324 Jun 24 Enroll'!G$1,FALSE),'District Calculations'!$F$14)*Apport_211A2425,3)</f>
        <v>1.877</v>
      </c>
      <c r="P193">
        <f>ROUND(IF(VLOOKUP($A193,EnrollData2324,'2324 Jun 24 Enroll'!H$1,FALSE)='District Calculations'!$F$14,VLOOKUP($A193,EnrollData2324,'2324 Jun 24 Enroll'!H$1,FALSE),'District Calculations'!$F$14)*Apport_214A2425,3)</f>
        <v>1.875</v>
      </c>
      <c r="Q193">
        <f>ROUND(IF(VLOOKUP($A193,EnrollData2324,'2324 Jun 24 Enroll'!I$1,FALSE)+VLOOKUP($A193,EnrollData2324,'2324 Jun 24 Enroll'!M$1,FALSE)-VLOOKUP($A193,EnrollData2324,'2324 Jun 24 Enroll'!J$1,FALSE)='District Calculations'!$F$16+'District Calculations'!$F$25-'District Calculations'!$F$17,VLOOKUP($A193,EnrollData2324,'2324 Jun 24 Enroll'!I$1,FALSE)+VLOOKUP($A193,EnrollData2324,'2324 Jun 24 Enroll'!M$1,FALSE)-VLOOKUP($A193,EnrollData2324,'2324 Jun 24 Enroll'!J$1,FALSE),'District Calculations'!$F$16+'District Calculations'!$F$25-'District Calculations'!$F$17)*Apport_217A2425,3)</f>
        <v>4.7130000000000001</v>
      </c>
      <c r="R193">
        <f>ROUND(SUM(L193:Q193)/IF(VLOOKUP($A193,EnrollData2324,'2324 Jun 24 Enroll'!M$1,FALSE)+VLOOKUP($A193,EnrollData2324,'2324 Jun 24 Enroll'!D$1,FALSE)='District Calculations'!$F$25+'District Calculations'!$F$11,VLOOKUP($A193,EnrollData2324,'2324 Jun 24 Enroll'!M$1,FALSE)+VLOOKUP($A193,EnrollData2324,'2324 Jun 24 Enroll'!D$1,FALSE),'District Calculations'!$F$25+'District Calculations'!$F$11),5)</f>
        <v>4.1200000000000004E-3</v>
      </c>
      <c r="S193" s="11">
        <f t="shared" si="41"/>
        <v>1.8734299999999999E-2</v>
      </c>
      <c r="T193">
        <f>ROUND(IF(VLOOKUP($A193,EnrollData2324,'2324 Jun 24 Enroll'!D$1,FALSE)='District Calculations'!$F$11,VLOOKUP($A193,EnrollData2324,'2324 Jun 24 Enroll'!D$1,FALSE),'District Calculations'!$F$11)*S193,3)</f>
        <v>0</v>
      </c>
      <c r="U193">
        <f>ROUND(IF(VLOOKUP($A193,EnrollData2324,'2324 Jun 24 Enroll'!E$1,FALSE)='District Calculations'!$F$12,VLOOKUP($A193,EnrollData2324,'2324 Jun 24 Enroll'!E$1,FALSE),'District Calculations'!$F$12)*S193,3)</f>
        <v>15.183999999999999</v>
      </c>
      <c r="V193">
        <f>ROUND(IF(VLOOKUP($A193,EnrollData2324,'2324 Jun 24 Enroll'!F$1,FALSE)='District Calculations'!$F$13,VLOOKUP($A193,EnrollData2324,'2324 Jun 24 Enroll'!F$1,FALSE),'District Calculations'!$F$13)*Apport_224A2425,3)</f>
        <v>3.7109999999999999</v>
      </c>
      <c r="W193">
        <f>ROUND(IF(VLOOKUP($A193,EnrollData2324,'2324 Jun 24 Enroll'!G$1,FALSE)='District Calculations'!$F$14,VLOOKUP($A193,EnrollData2324,'2324 Jun 24 Enroll'!G$1,FALSE),'District Calculations'!$F$14)*Apport_212A2425,3)</f>
        <v>8.2279999999999998</v>
      </c>
      <c r="X193">
        <f>ROUND(IF(VLOOKUP($A193,EnrollData2324,'2324 Jun 24 Enroll'!H$1,FALSE)='District Calculations'!$F$14,VLOOKUP($A193,EnrollData2324,'2324 Jun 24 Enroll'!H$1,FALSE),'District Calculations'!$F$14)*Apport_215A2425,3)</f>
        <v>8.1180000000000003</v>
      </c>
      <c r="Y193">
        <f>ROUND(IF(VLOOKUP($A193,EnrollData2324,'2324 Jun 24 Enroll'!I$1,FALSE)+VLOOKUP($A193,EnrollData2324,'2324 Jun 24 Enroll'!M$1,FALSE)-VLOOKUP($A193,EnrollData2324,'2324 Jun 24 Enroll'!J$1,FALSE)='District Calculations'!$F$16+'District Calculations'!$F$25-'District Calculations'!$F$17,VLOOKUP($A193,EnrollData2324,'2324 Jun 24 Enroll'!I$1,FALSE)+VLOOKUP($A193,EnrollData2324,'2324 Jun 24 Enroll'!M$1,FALSE)-VLOOKUP($A193,EnrollData2324,'2324 Jun 24 Enroll'!J$1,FALSE),'District Calculations'!$F$16+'District Calculations'!$F$25-'District Calculations'!$F$17)*Apport_218A2425,3)</f>
        <v>20.257999999999999</v>
      </c>
      <c r="Z193">
        <f>ROUND(SUM(T193:Y193)/IF(VLOOKUP($A193,EnrollData2324,'2324 Jun 24 Enroll'!M$1,FALSE)+VLOOKUP($A193,EnrollData2324,'2324 Jun 24 Enroll'!D$1,FALSE)='District Calculations'!$F$25+'District Calculations'!$F$11,VLOOKUP($A193,EnrollData2324,'2324 Jun 24 Enroll'!M$1,FALSE)+VLOOKUP($A193,EnrollData2324,'2324 Jun 24 Enroll'!D$1,FALSE),'District Calculations'!$F$25+'District Calculations'!$F$11),5)</f>
        <v>1.7780000000000001E-2</v>
      </c>
      <c r="AA193" s="6">
        <f>ROUND($J193*CIS_Base_Salary2425*VLOOKUP($A193,EnrollData2324,'2324 Jun 24 Enroll'!AH$1,FALSE),2)</f>
        <v>4262.68</v>
      </c>
      <c r="AB193" s="6">
        <f>ROUND($J193*CIS_Inc_Salary2425*(VLOOKUP($A193,EnrollData2324,'2324 Jun 24 Enroll'!AI$1,FALSE)+VLOOKUP($A193,EnrollData2324,'2324 Jun 24 Enroll'!AJ$1,FALSE)),2)-AA193</f>
        <v>157.6899999999996</v>
      </c>
      <c r="AC193" s="6" cm="1">
        <f t="array" ref="AC193">ROUND($R193*CAS_Base_Salary2425*VLOOKUP($A193,EnrollData2324,'2324 Jun 24 Enroll'!AH$1,FALSE),2)</f>
        <v>461.23</v>
      </c>
      <c r="AD193" s="6">
        <f>ROUND($R193*CAS_Inc_Salary2425*VLOOKUP($A193,EnrollData2324,'2324 Jun 24 Enroll'!AI$1,FALSE),2)-AC193</f>
        <v>17.069999999999993</v>
      </c>
      <c r="AE193" s="6">
        <f>ROUND($Z193*CLS_Base_Salary2425*VLOOKUP($A193,EnrollData2324,'2324 Jun 24 Enroll'!AH$1,FALSE),2)</f>
        <v>961.95</v>
      </c>
      <c r="AF193" s="6">
        <f>ROUND($Z193*CLS_Inc_Salary2425*VLOOKUP($A193,EnrollData2324,'2324 Jun 24 Enroll'!AI$1,FALSE),2)-AE193</f>
        <v>35.599999999999909</v>
      </c>
      <c r="AG193" cm="1">
        <f t="array" ref="AG193">ROUND(($J193+$R193)*Apport_124X2425,2)</f>
        <v>800.45</v>
      </c>
      <c r="AH193" s="69" cm="1">
        <f t="array" ref="AH193">ROUND(($J193+$R193)*Apport_621X2425*Apport_125XC2425,2)-AG193</f>
        <v>73.899999999999977</v>
      </c>
      <c r="AI193" cm="1">
        <f t="array" ref="AI193">ROUND($Z193*Apport_124X2425,2)</f>
        <v>234.7</v>
      </c>
      <c r="AJ193">
        <f t="shared" si="42"/>
        <v>124.71000000000004</v>
      </c>
      <c r="AK193">
        <f t="shared" si="43"/>
        <v>857.39</v>
      </c>
      <c r="AL193">
        <f t="shared" si="44"/>
        <v>30.6</v>
      </c>
      <c r="AM193">
        <f t="shared" si="45"/>
        <v>208.36</v>
      </c>
      <c r="AN193">
        <f t="shared" si="46"/>
        <v>6.46</v>
      </c>
      <c r="AO193">
        <f>ROUND(($J193*CIS_Inc_Salary2425*(VLOOKUP($A193,EnrollData2324,'2324 Jun 24 Enroll'!AI$1,FALSE)+VLOOKUP($A193,EnrollData2324,'2324 Jun 24 Enroll'!AJ$1,FALSE))/Apport_613Xpd)*Apport_614Xpd,2)</f>
        <v>73.67</v>
      </c>
      <c r="AP193">
        <f t="shared" si="47"/>
        <v>12.9</v>
      </c>
      <c r="AQ193">
        <f t="shared" si="48"/>
        <v>31.48</v>
      </c>
      <c r="AR193" s="6">
        <f>ROUND((VLOOKUP($A193,EnrollData2324,'2324 Jun 24 Enroll'!D$1,FALSE)*Apport_M802425+VLOOKUP($A193,EnrollData2324,'2324 Jun 24 Enroll'!M$1,FALSE)*Apport_M802425+(VLOOKUP($A193,EnrollData2324,'2324 Jun 24 Enroll'!P$1,FALSE)+VLOOKUP($A193,EnrollData2324,'2324 Jun 24 Enroll'!Q$1,FALSE)+VLOOKUP($A193,EnrollData2324,'2324 Jun 24 Enroll'!R$1,FALSE)+VLOOKUP($A193,EnrollData2324,'2324 Jun 24 Enroll'!I$1,FALSE)+VLOOKUP($A193,EnrollData2324,'2324 Jun 24 Enroll'!N$1,FALSE)+VLOOKUP($A193,EnrollData2324,'2324 Jun 24 Enroll'!O$1,FALSE)+VLOOKUP($A193,EnrollData2324,'2324 Jun 24 Enroll'!K$1,FALSE)+VLOOKUP($A193,EnrollData2324,'2324 Jun 24 Enroll'!L$1,FALSE))*Apport_M812425)/(VLOOKUP($A193,EnrollData2324,'2324 Jun 24 Enroll'!M$1,FALSE)+VLOOKUP($A193,EnrollData2324,'2324 Jun 24 Enroll'!D$1,FALSE)),2)</f>
        <v>1546.38</v>
      </c>
      <c r="AS193" s="7">
        <f t="shared" si="49"/>
        <v>9897.2199999999975</v>
      </c>
      <c r="AT193" s="6"/>
      <c r="AU193"/>
      <c r="AV193"/>
    </row>
    <row r="194" spans="1:48">
      <c r="A194" s="40" t="s">
        <v>717</v>
      </c>
      <c r="B194" s="40" t="s">
        <v>718</v>
      </c>
      <c r="C194" s="11">
        <f>ROUND((IFERROR((1/IF(VLOOKUP($A194,EnrollData2324,28,FALSE)='District Calculations'!$F$10,VLOOKUP($A194,EnrollData2324,28,FALSE),'District Calculations'!$F$10))*(1+Apport_Z315),0))+Apport_201A2425,6)</f>
        <v>7.4580999999999995E-2</v>
      </c>
      <c r="D194">
        <f>ROUND(IF(VLOOKUP($A194,EnrollData2324,'2324 Jun 24 Enroll'!D$1,FALSE)='District Calculations'!$F$11,VLOOKUP($A194,EnrollData2324,'2324 Jun 24 Enroll'!D$1,FALSE),'District Calculations'!$F$11)*C194,3)</f>
        <v>0</v>
      </c>
      <c r="E194">
        <f>ROUND(IF(VLOOKUP($A194,EnrollData2324,'2324 Jun 24 Enroll'!E$1,FALSE)='District Calculations'!$F$12,VLOOKUP($A194,EnrollData2324,'2324 Jun 24 Enroll'!E$1,FALSE),'District Calculations'!$F$12)*C194,3)</f>
        <v>60.447000000000003</v>
      </c>
      <c r="F194">
        <f>ROUND(IF(VLOOKUP($A194,EnrollData2324,'2324 Jun 24 Enroll'!F$1,FALSE)='District Calculations'!$F$13,VLOOKUP($A194,EnrollData2324,'2324 Jun 24 Enroll'!F$1,FALSE),'District Calculations'!$F$13)*Apport_222A2425,3)</f>
        <v>10.337999999999999</v>
      </c>
      <c r="G194">
        <f>ROUND(IF(VLOOKUP($A194,EnrollData2324,'2324 Jun 24 Enroll'!G$1,FALSE)='District Calculations'!$F$14,VLOOKUP($A194,EnrollData2324,'2324 Jun 24 Enroll'!G$1,FALSE),'District Calculations'!$F$14)*Apport_210A2425,3)</f>
        <v>22.92</v>
      </c>
      <c r="H194">
        <f>ROUND(IF(VLOOKUP($A194,EnrollData2324,'2324 Jun 24 Enroll'!H$1,FALSE)='District Calculations'!$F$15,VLOOKUP($A194,EnrollData2324,'2324 Jun 24 Enroll'!H$1,FALSE),'District Calculations'!$F$15)*Apport_213A2425,3)</f>
        <v>23.619</v>
      </c>
      <c r="I194">
        <f>ROUND(IF(VLOOKUP($A194,EnrollData2324,'2324 Jun 24 Enroll'!I$1,FALSE)+VLOOKUP($A194,EnrollData2324,'2324 Jun 24 Enroll'!M$1,FALSE)-VLOOKUP($A194,EnrollData2324,'2324 Jun 24 Enroll'!J$1,FALSE)='District Calculations'!$F$16+'District Calculations'!$F$25-'District Calculations'!$F$17,VLOOKUP($A194,EnrollData2324,'2324 Jun 24 Enroll'!I$1,FALSE)+VLOOKUP($A194,EnrollData2324,'2324 Jun 24 Enroll'!M$1,FALSE)-VLOOKUP($A194,EnrollData2324,'2324 Jun 24 Enroll'!J$1,FALSE),'District Calculations'!$F$16+'District Calculations'!$F$25-'District Calculations'!$F$17)*Apport_216A2425,3)</f>
        <v>59.057000000000002</v>
      </c>
      <c r="J194">
        <f>ROUND(SUM(D194:I194)/(IF(VLOOKUP($A194,EnrollData2324,'2324 Jun 24 Enroll'!M$1,FALSE)='District Calculations'!$F$25,VLOOKUP($A194,EnrollData2324,'2324 Jun 24 Enroll'!M$1,FALSE),'District Calculations'!$F$25)+IF(VLOOKUP($A194,EnrollData2324,'2324 Jun 24 Enroll'!D$1,FALSE)='District Calculations'!$F$11,VLOOKUP($A194,EnrollData2324,'2324 Jun 24 Enroll'!D$1,FALSE),'District Calculations'!$F$11)),5)</f>
        <v>5.6520000000000001E-2</v>
      </c>
      <c r="K194" s="11">
        <f t="shared" si="40"/>
        <v>4.385E-3</v>
      </c>
      <c r="L194">
        <f>ROUND(IF(VLOOKUP($A194,EnrollData2324,'2324 Jun 24 Enroll'!D$1,FALSE)='District Calculations'!$F$11,VLOOKUP($A194,EnrollData2324,'2324 Jun 24 Enroll'!D$1,FALSE),'District Calculations'!$F$11)*K194,3)</f>
        <v>0</v>
      </c>
      <c r="M194">
        <f>ROUND(IF(VLOOKUP($A194,EnrollData2324,'2324 Jun 24 Enroll'!E$1,FALSE)='District Calculations'!$F$12,VLOOKUP($A194,EnrollData2324,'2324 Jun 24 Enroll'!E$1,FALSE),'District Calculations'!$F$12)*K194,3)</f>
        <v>3.5539999999999998</v>
      </c>
      <c r="N194">
        <f>ROUND(IF(VLOOKUP($A194,EnrollData2324,'2324 Jun 24 Enroll'!F$1,FALSE)='District Calculations'!$F$13,VLOOKUP($A194,EnrollData2324,'2324 Jun 24 Enroll'!F$1,FALSE),'District Calculations'!$F$13)*Apport_223A2425,3)</f>
        <v>0.84599999999999997</v>
      </c>
      <c r="O194">
        <f>ROUND(IF(VLOOKUP($A194,EnrollData2324,'2324 Jun 24 Enroll'!G$1,FALSE)='District Calculations'!$F$14,VLOOKUP($A194,EnrollData2324,'2324 Jun 24 Enroll'!G$1,FALSE),'District Calculations'!$F$14)*Apport_211A2425,3)</f>
        <v>1.877</v>
      </c>
      <c r="P194">
        <f>ROUND(IF(VLOOKUP($A194,EnrollData2324,'2324 Jun 24 Enroll'!H$1,FALSE)='District Calculations'!$F$14,VLOOKUP($A194,EnrollData2324,'2324 Jun 24 Enroll'!H$1,FALSE),'District Calculations'!$F$14)*Apport_214A2425,3)</f>
        <v>1.875</v>
      </c>
      <c r="Q194">
        <f>ROUND(IF(VLOOKUP($A194,EnrollData2324,'2324 Jun 24 Enroll'!I$1,FALSE)+VLOOKUP($A194,EnrollData2324,'2324 Jun 24 Enroll'!M$1,FALSE)-VLOOKUP($A194,EnrollData2324,'2324 Jun 24 Enroll'!J$1,FALSE)='District Calculations'!$F$16+'District Calculations'!$F$25-'District Calculations'!$F$17,VLOOKUP($A194,EnrollData2324,'2324 Jun 24 Enroll'!I$1,FALSE)+VLOOKUP($A194,EnrollData2324,'2324 Jun 24 Enroll'!M$1,FALSE)-VLOOKUP($A194,EnrollData2324,'2324 Jun 24 Enroll'!J$1,FALSE),'District Calculations'!$F$16+'District Calculations'!$F$25-'District Calculations'!$F$17)*Apport_217A2425,3)</f>
        <v>4.7130000000000001</v>
      </c>
      <c r="R194">
        <f>ROUND(SUM(L194:Q194)/IF(VLOOKUP($A194,EnrollData2324,'2324 Jun 24 Enroll'!M$1,FALSE)+VLOOKUP($A194,EnrollData2324,'2324 Jun 24 Enroll'!D$1,FALSE)='District Calculations'!$F$25+'District Calculations'!$F$11,VLOOKUP($A194,EnrollData2324,'2324 Jun 24 Enroll'!M$1,FALSE)+VLOOKUP($A194,EnrollData2324,'2324 Jun 24 Enroll'!D$1,FALSE),'District Calculations'!$F$25+'District Calculations'!$F$11),5)</f>
        <v>4.1200000000000004E-3</v>
      </c>
      <c r="S194" s="11">
        <f t="shared" si="41"/>
        <v>1.8734299999999999E-2</v>
      </c>
      <c r="T194">
        <f>ROUND(IF(VLOOKUP($A194,EnrollData2324,'2324 Jun 24 Enroll'!D$1,FALSE)='District Calculations'!$F$11,VLOOKUP($A194,EnrollData2324,'2324 Jun 24 Enroll'!D$1,FALSE),'District Calculations'!$F$11)*S194,3)</f>
        <v>0</v>
      </c>
      <c r="U194">
        <f>ROUND(IF(VLOOKUP($A194,EnrollData2324,'2324 Jun 24 Enroll'!E$1,FALSE)='District Calculations'!$F$12,VLOOKUP($A194,EnrollData2324,'2324 Jun 24 Enroll'!E$1,FALSE),'District Calculations'!$F$12)*S194,3)</f>
        <v>15.183999999999999</v>
      </c>
      <c r="V194">
        <f>ROUND(IF(VLOOKUP($A194,EnrollData2324,'2324 Jun 24 Enroll'!F$1,FALSE)='District Calculations'!$F$13,VLOOKUP($A194,EnrollData2324,'2324 Jun 24 Enroll'!F$1,FALSE),'District Calculations'!$F$13)*Apport_224A2425,3)</f>
        <v>3.7109999999999999</v>
      </c>
      <c r="W194">
        <f>ROUND(IF(VLOOKUP($A194,EnrollData2324,'2324 Jun 24 Enroll'!G$1,FALSE)='District Calculations'!$F$14,VLOOKUP($A194,EnrollData2324,'2324 Jun 24 Enroll'!G$1,FALSE),'District Calculations'!$F$14)*Apport_212A2425,3)</f>
        <v>8.2279999999999998</v>
      </c>
      <c r="X194">
        <f>ROUND(IF(VLOOKUP($A194,EnrollData2324,'2324 Jun 24 Enroll'!H$1,FALSE)='District Calculations'!$F$14,VLOOKUP($A194,EnrollData2324,'2324 Jun 24 Enroll'!H$1,FALSE),'District Calculations'!$F$14)*Apport_215A2425,3)</f>
        <v>8.1180000000000003</v>
      </c>
      <c r="Y194">
        <f>ROUND(IF(VLOOKUP($A194,EnrollData2324,'2324 Jun 24 Enroll'!I$1,FALSE)+VLOOKUP($A194,EnrollData2324,'2324 Jun 24 Enroll'!M$1,FALSE)-VLOOKUP($A194,EnrollData2324,'2324 Jun 24 Enroll'!J$1,FALSE)='District Calculations'!$F$16+'District Calculations'!$F$25-'District Calculations'!$F$17,VLOOKUP($A194,EnrollData2324,'2324 Jun 24 Enroll'!I$1,FALSE)+VLOOKUP($A194,EnrollData2324,'2324 Jun 24 Enroll'!M$1,FALSE)-VLOOKUP($A194,EnrollData2324,'2324 Jun 24 Enroll'!J$1,FALSE),'District Calculations'!$F$16+'District Calculations'!$F$25-'District Calculations'!$F$17)*Apport_218A2425,3)</f>
        <v>20.257999999999999</v>
      </c>
      <c r="Z194">
        <f>ROUND(SUM(T194:Y194)/IF(VLOOKUP($A194,EnrollData2324,'2324 Jun 24 Enroll'!M$1,FALSE)+VLOOKUP($A194,EnrollData2324,'2324 Jun 24 Enroll'!D$1,FALSE)='District Calculations'!$F$25+'District Calculations'!$F$11,VLOOKUP($A194,EnrollData2324,'2324 Jun 24 Enroll'!M$1,FALSE)+VLOOKUP($A194,EnrollData2324,'2324 Jun 24 Enroll'!D$1,FALSE),'District Calculations'!$F$25+'District Calculations'!$F$11),5)</f>
        <v>1.7780000000000001E-2</v>
      </c>
      <c r="AA194" s="6">
        <f>ROUND($J194*CIS_Base_Salary2425*VLOOKUP($A194,EnrollData2324,'2324 Jun 24 Enroll'!AH$1,FALSE),2)</f>
        <v>4262.68</v>
      </c>
      <c r="AB194" s="6">
        <f>ROUND($J194*CIS_Inc_Salary2425*(VLOOKUP($A194,EnrollData2324,'2324 Jun 24 Enroll'!AI$1,FALSE)+VLOOKUP($A194,EnrollData2324,'2324 Jun 24 Enroll'!AJ$1,FALSE)),2)-AA194</f>
        <v>157.6899999999996</v>
      </c>
      <c r="AC194" s="6" cm="1">
        <f t="array" ref="AC194">ROUND($R194*CAS_Base_Salary2425*VLOOKUP($A194,EnrollData2324,'2324 Jun 24 Enroll'!AH$1,FALSE),2)</f>
        <v>461.23</v>
      </c>
      <c r="AD194" s="6">
        <f>ROUND($R194*CAS_Inc_Salary2425*VLOOKUP($A194,EnrollData2324,'2324 Jun 24 Enroll'!AI$1,FALSE),2)-AC194</f>
        <v>17.069999999999993</v>
      </c>
      <c r="AE194" s="6">
        <f>ROUND($Z194*CLS_Base_Salary2425*VLOOKUP($A194,EnrollData2324,'2324 Jun 24 Enroll'!AH$1,FALSE),2)</f>
        <v>961.95</v>
      </c>
      <c r="AF194" s="6">
        <f>ROUND($Z194*CLS_Inc_Salary2425*VLOOKUP($A194,EnrollData2324,'2324 Jun 24 Enroll'!AI$1,FALSE),2)-AE194</f>
        <v>35.599999999999909</v>
      </c>
      <c r="AG194" cm="1">
        <f t="array" ref="AG194">ROUND(($J194+$R194)*Apport_124X2425,2)</f>
        <v>800.45</v>
      </c>
      <c r="AH194" s="69" cm="1">
        <f t="array" ref="AH194">ROUND(($J194+$R194)*Apport_621X2425*Apport_125XC2425,2)-AG194</f>
        <v>73.899999999999977</v>
      </c>
      <c r="AI194" cm="1">
        <f t="array" ref="AI194">ROUND($Z194*Apport_124X2425,2)</f>
        <v>234.7</v>
      </c>
      <c r="AJ194">
        <f t="shared" si="42"/>
        <v>124.71000000000004</v>
      </c>
      <c r="AK194">
        <f t="shared" si="43"/>
        <v>857.39</v>
      </c>
      <c r="AL194">
        <f t="shared" si="44"/>
        <v>30.6</v>
      </c>
      <c r="AM194">
        <f t="shared" si="45"/>
        <v>208.36</v>
      </c>
      <c r="AN194">
        <f t="shared" si="46"/>
        <v>6.46</v>
      </c>
      <c r="AO194">
        <f>ROUND(($J194*CIS_Inc_Salary2425*(VLOOKUP($A194,EnrollData2324,'2324 Jun 24 Enroll'!AI$1,FALSE)+VLOOKUP($A194,EnrollData2324,'2324 Jun 24 Enroll'!AJ$1,FALSE))/Apport_613Xpd)*Apport_614Xpd,2)</f>
        <v>73.67</v>
      </c>
      <c r="AP194">
        <f t="shared" si="47"/>
        <v>12.9</v>
      </c>
      <c r="AQ194">
        <f t="shared" si="48"/>
        <v>31.48</v>
      </c>
      <c r="AR194" s="6">
        <f>ROUND((VLOOKUP($A194,EnrollData2324,'2324 Jun 24 Enroll'!D$1,FALSE)*Apport_M802425+VLOOKUP($A194,EnrollData2324,'2324 Jun 24 Enroll'!M$1,FALSE)*Apport_M802425+(VLOOKUP($A194,EnrollData2324,'2324 Jun 24 Enroll'!P$1,FALSE)+VLOOKUP($A194,EnrollData2324,'2324 Jun 24 Enroll'!Q$1,FALSE)+VLOOKUP($A194,EnrollData2324,'2324 Jun 24 Enroll'!R$1,FALSE)+VLOOKUP($A194,EnrollData2324,'2324 Jun 24 Enroll'!I$1,FALSE)+VLOOKUP($A194,EnrollData2324,'2324 Jun 24 Enroll'!N$1,FALSE)+VLOOKUP($A194,EnrollData2324,'2324 Jun 24 Enroll'!O$1,FALSE)+VLOOKUP($A194,EnrollData2324,'2324 Jun 24 Enroll'!K$1,FALSE)+VLOOKUP($A194,EnrollData2324,'2324 Jun 24 Enroll'!L$1,FALSE))*Apport_M812425)/(VLOOKUP($A194,EnrollData2324,'2324 Jun 24 Enroll'!M$1,FALSE)+VLOOKUP($A194,EnrollData2324,'2324 Jun 24 Enroll'!D$1,FALSE)),2)</f>
        <v>1604.46</v>
      </c>
      <c r="AS194" s="7">
        <f t="shared" si="49"/>
        <v>9955.2999999999993</v>
      </c>
      <c r="AT194" s="6"/>
    </row>
    <row r="195" spans="1:48">
      <c r="A195" s="40" t="s">
        <v>773</v>
      </c>
      <c r="B195" s="40" t="s">
        <v>774</v>
      </c>
      <c r="C195" s="11">
        <f>ROUND((IFERROR((1/IF(VLOOKUP($A195,EnrollData2324,28,FALSE)='District Calculations'!$F$10,VLOOKUP($A195,EnrollData2324,28,FALSE),'District Calculations'!$F$10))*(1+Apport_Z315),0))+Apport_201A2425,6)</f>
        <v>7.4580999999999995E-2</v>
      </c>
      <c r="D195">
        <f>ROUND(IF(VLOOKUP($A195,EnrollData2324,'2324 Jun 24 Enroll'!D$1,FALSE)='District Calculations'!$F$11,VLOOKUP($A195,EnrollData2324,'2324 Jun 24 Enroll'!D$1,FALSE),'District Calculations'!$F$11)*C195,3)</f>
        <v>0</v>
      </c>
      <c r="E195">
        <f>ROUND(IF(VLOOKUP($A195,EnrollData2324,'2324 Jun 24 Enroll'!E$1,FALSE)='District Calculations'!$F$12,VLOOKUP($A195,EnrollData2324,'2324 Jun 24 Enroll'!E$1,FALSE),'District Calculations'!$F$12)*C195,3)</f>
        <v>60.447000000000003</v>
      </c>
      <c r="F195">
        <f>ROUND(IF(VLOOKUP($A195,EnrollData2324,'2324 Jun 24 Enroll'!F$1,FALSE)='District Calculations'!$F$13,VLOOKUP($A195,EnrollData2324,'2324 Jun 24 Enroll'!F$1,FALSE),'District Calculations'!$F$13)*Apport_222A2425,3)</f>
        <v>10.337999999999999</v>
      </c>
      <c r="G195">
        <f>ROUND(IF(VLOOKUP($A195,EnrollData2324,'2324 Jun 24 Enroll'!G$1,FALSE)='District Calculations'!$F$14,VLOOKUP($A195,EnrollData2324,'2324 Jun 24 Enroll'!G$1,FALSE),'District Calculations'!$F$14)*Apport_210A2425,3)</f>
        <v>22.92</v>
      </c>
      <c r="H195">
        <f>ROUND(IF(VLOOKUP($A195,EnrollData2324,'2324 Jun 24 Enroll'!H$1,FALSE)='District Calculations'!$F$15,VLOOKUP($A195,EnrollData2324,'2324 Jun 24 Enroll'!H$1,FALSE),'District Calculations'!$F$15)*Apport_213A2425,3)</f>
        <v>23.619</v>
      </c>
      <c r="I195">
        <f>ROUND(IF(VLOOKUP($A195,EnrollData2324,'2324 Jun 24 Enroll'!I$1,FALSE)+VLOOKUP($A195,EnrollData2324,'2324 Jun 24 Enroll'!M$1,FALSE)-VLOOKUP($A195,EnrollData2324,'2324 Jun 24 Enroll'!J$1,FALSE)='District Calculations'!$F$16+'District Calculations'!$F$25-'District Calculations'!$F$17,VLOOKUP($A195,EnrollData2324,'2324 Jun 24 Enroll'!I$1,FALSE)+VLOOKUP($A195,EnrollData2324,'2324 Jun 24 Enroll'!M$1,FALSE)-VLOOKUP($A195,EnrollData2324,'2324 Jun 24 Enroll'!J$1,FALSE),'District Calculations'!$F$16+'District Calculations'!$F$25-'District Calculations'!$F$17)*Apport_216A2425,3)</f>
        <v>59.057000000000002</v>
      </c>
      <c r="J195">
        <f>ROUND(SUM(D195:I195)/(IF(VLOOKUP($A195,EnrollData2324,'2324 Jun 24 Enroll'!M$1,FALSE)='District Calculations'!$F$25,VLOOKUP($A195,EnrollData2324,'2324 Jun 24 Enroll'!M$1,FALSE),'District Calculations'!$F$25)+IF(VLOOKUP($A195,EnrollData2324,'2324 Jun 24 Enroll'!D$1,FALSE)='District Calculations'!$F$11,VLOOKUP($A195,EnrollData2324,'2324 Jun 24 Enroll'!D$1,FALSE),'District Calculations'!$F$11)),5)</f>
        <v>5.6520000000000001E-2</v>
      </c>
      <c r="K195" s="11">
        <f t="shared" si="40"/>
        <v>4.385E-3</v>
      </c>
      <c r="L195">
        <f>ROUND(IF(VLOOKUP($A195,EnrollData2324,'2324 Jun 24 Enroll'!D$1,FALSE)='District Calculations'!$F$11,VLOOKUP($A195,EnrollData2324,'2324 Jun 24 Enroll'!D$1,FALSE),'District Calculations'!$F$11)*K195,3)</f>
        <v>0</v>
      </c>
      <c r="M195">
        <f>ROUND(IF(VLOOKUP($A195,EnrollData2324,'2324 Jun 24 Enroll'!E$1,FALSE)='District Calculations'!$F$12,VLOOKUP($A195,EnrollData2324,'2324 Jun 24 Enroll'!E$1,FALSE),'District Calculations'!$F$12)*K195,3)</f>
        <v>3.5539999999999998</v>
      </c>
      <c r="N195">
        <f>ROUND(IF(VLOOKUP($A195,EnrollData2324,'2324 Jun 24 Enroll'!F$1,FALSE)='District Calculations'!$F$13,VLOOKUP($A195,EnrollData2324,'2324 Jun 24 Enroll'!F$1,FALSE),'District Calculations'!$F$13)*Apport_223A2425,3)</f>
        <v>0.84599999999999997</v>
      </c>
      <c r="O195">
        <f>ROUND(IF(VLOOKUP($A195,EnrollData2324,'2324 Jun 24 Enroll'!G$1,FALSE)='District Calculations'!$F$14,VLOOKUP($A195,EnrollData2324,'2324 Jun 24 Enroll'!G$1,FALSE),'District Calculations'!$F$14)*Apport_211A2425,3)</f>
        <v>1.877</v>
      </c>
      <c r="P195">
        <f>ROUND(IF(VLOOKUP($A195,EnrollData2324,'2324 Jun 24 Enroll'!H$1,FALSE)='District Calculations'!$F$14,VLOOKUP($A195,EnrollData2324,'2324 Jun 24 Enroll'!H$1,FALSE),'District Calculations'!$F$14)*Apport_214A2425,3)</f>
        <v>1.875</v>
      </c>
      <c r="Q195">
        <f>ROUND(IF(VLOOKUP($A195,EnrollData2324,'2324 Jun 24 Enroll'!I$1,FALSE)+VLOOKUP($A195,EnrollData2324,'2324 Jun 24 Enroll'!M$1,FALSE)-VLOOKUP($A195,EnrollData2324,'2324 Jun 24 Enroll'!J$1,FALSE)='District Calculations'!$F$16+'District Calculations'!$F$25-'District Calculations'!$F$17,VLOOKUP($A195,EnrollData2324,'2324 Jun 24 Enroll'!I$1,FALSE)+VLOOKUP($A195,EnrollData2324,'2324 Jun 24 Enroll'!M$1,FALSE)-VLOOKUP($A195,EnrollData2324,'2324 Jun 24 Enroll'!J$1,FALSE),'District Calculations'!$F$16+'District Calculations'!$F$25-'District Calculations'!$F$17)*Apport_217A2425,3)</f>
        <v>4.7130000000000001</v>
      </c>
      <c r="R195">
        <f>ROUND(SUM(L195:Q195)/IF(VLOOKUP($A195,EnrollData2324,'2324 Jun 24 Enroll'!M$1,FALSE)+VLOOKUP($A195,EnrollData2324,'2324 Jun 24 Enroll'!D$1,FALSE)='District Calculations'!$F$25+'District Calculations'!$F$11,VLOOKUP($A195,EnrollData2324,'2324 Jun 24 Enroll'!M$1,FALSE)+VLOOKUP($A195,EnrollData2324,'2324 Jun 24 Enroll'!D$1,FALSE),'District Calculations'!$F$25+'District Calculations'!$F$11),5)</f>
        <v>4.1200000000000004E-3</v>
      </c>
      <c r="S195" s="11">
        <f t="shared" si="41"/>
        <v>1.8734299999999999E-2</v>
      </c>
      <c r="T195">
        <f>ROUND(IF(VLOOKUP($A195,EnrollData2324,'2324 Jun 24 Enroll'!D$1,FALSE)='District Calculations'!$F$11,VLOOKUP($A195,EnrollData2324,'2324 Jun 24 Enroll'!D$1,FALSE),'District Calculations'!$F$11)*S195,3)</f>
        <v>0</v>
      </c>
      <c r="U195">
        <f>ROUND(IF(VLOOKUP($A195,EnrollData2324,'2324 Jun 24 Enroll'!E$1,FALSE)='District Calculations'!$F$12,VLOOKUP($A195,EnrollData2324,'2324 Jun 24 Enroll'!E$1,FALSE),'District Calculations'!$F$12)*S195,3)</f>
        <v>15.183999999999999</v>
      </c>
      <c r="V195">
        <f>ROUND(IF(VLOOKUP($A195,EnrollData2324,'2324 Jun 24 Enroll'!F$1,FALSE)='District Calculations'!$F$13,VLOOKUP($A195,EnrollData2324,'2324 Jun 24 Enroll'!F$1,FALSE),'District Calculations'!$F$13)*Apport_224A2425,3)</f>
        <v>3.7109999999999999</v>
      </c>
      <c r="W195">
        <f>ROUND(IF(VLOOKUP($A195,EnrollData2324,'2324 Jun 24 Enroll'!G$1,FALSE)='District Calculations'!$F$14,VLOOKUP($A195,EnrollData2324,'2324 Jun 24 Enroll'!G$1,FALSE),'District Calculations'!$F$14)*Apport_212A2425,3)</f>
        <v>8.2279999999999998</v>
      </c>
      <c r="X195">
        <f>ROUND(IF(VLOOKUP($A195,EnrollData2324,'2324 Jun 24 Enroll'!H$1,FALSE)='District Calculations'!$F$14,VLOOKUP($A195,EnrollData2324,'2324 Jun 24 Enroll'!H$1,FALSE),'District Calculations'!$F$14)*Apport_215A2425,3)</f>
        <v>8.1180000000000003</v>
      </c>
      <c r="Y195">
        <f>ROUND(IF(VLOOKUP($A195,EnrollData2324,'2324 Jun 24 Enroll'!I$1,FALSE)+VLOOKUP($A195,EnrollData2324,'2324 Jun 24 Enroll'!M$1,FALSE)-VLOOKUP($A195,EnrollData2324,'2324 Jun 24 Enroll'!J$1,FALSE)='District Calculations'!$F$16+'District Calculations'!$F$25-'District Calculations'!$F$17,VLOOKUP($A195,EnrollData2324,'2324 Jun 24 Enroll'!I$1,FALSE)+VLOOKUP($A195,EnrollData2324,'2324 Jun 24 Enroll'!M$1,FALSE)-VLOOKUP($A195,EnrollData2324,'2324 Jun 24 Enroll'!J$1,FALSE),'District Calculations'!$F$16+'District Calculations'!$F$25-'District Calculations'!$F$17)*Apport_218A2425,3)</f>
        <v>20.257999999999999</v>
      </c>
      <c r="Z195">
        <f>ROUND(SUM(T195:Y195)/IF(VLOOKUP($A195,EnrollData2324,'2324 Jun 24 Enroll'!M$1,FALSE)+VLOOKUP($A195,EnrollData2324,'2324 Jun 24 Enroll'!D$1,FALSE)='District Calculations'!$F$25+'District Calculations'!$F$11,VLOOKUP($A195,EnrollData2324,'2324 Jun 24 Enroll'!M$1,FALSE)+VLOOKUP($A195,EnrollData2324,'2324 Jun 24 Enroll'!D$1,FALSE),'District Calculations'!$F$25+'District Calculations'!$F$11),5)</f>
        <v>1.7780000000000001E-2</v>
      </c>
      <c r="AA195" s="6">
        <f>ROUND($J195*CIS_Base_Salary2425*VLOOKUP($A195,EnrollData2324,'2324 Jun 24 Enroll'!AH$1,FALSE),2)</f>
        <v>4262.68</v>
      </c>
      <c r="AB195" s="6">
        <f>ROUND($J195*CIS_Inc_Salary2425*(VLOOKUP($A195,EnrollData2324,'2324 Jun 24 Enroll'!AI$1,FALSE)+VLOOKUP($A195,EnrollData2324,'2324 Jun 24 Enroll'!AJ$1,FALSE)),2)-AA195</f>
        <v>157.6899999999996</v>
      </c>
      <c r="AC195" s="6" cm="1">
        <f t="array" ref="AC195">ROUND($R195*CAS_Base_Salary2425*VLOOKUP($A195,EnrollData2324,'2324 Jun 24 Enroll'!AH$1,FALSE),2)</f>
        <v>461.23</v>
      </c>
      <c r="AD195" s="6">
        <f>ROUND($R195*CAS_Inc_Salary2425*VLOOKUP($A195,EnrollData2324,'2324 Jun 24 Enroll'!AI$1,FALSE),2)-AC195</f>
        <v>17.069999999999993</v>
      </c>
      <c r="AE195" s="6">
        <f>ROUND($Z195*CLS_Base_Salary2425*VLOOKUP($A195,EnrollData2324,'2324 Jun 24 Enroll'!AH$1,FALSE),2)</f>
        <v>961.95</v>
      </c>
      <c r="AF195" s="6">
        <f>ROUND($Z195*CLS_Inc_Salary2425*VLOOKUP($A195,EnrollData2324,'2324 Jun 24 Enroll'!AI$1,FALSE),2)-AE195</f>
        <v>35.599999999999909</v>
      </c>
      <c r="AG195" cm="1">
        <f t="array" ref="AG195">ROUND(($J195+$R195)*Apport_124X2425,2)</f>
        <v>800.45</v>
      </c>
      <c r="AH195" s="69" cm="1">
        <f t="array" ref="AH195">ROUND(($J195+$R195)*Apport_621X2425*Apport_125XC2425,2)-AG195</f>
        <v>73.899999999999977</v>
      </c>
      <c r="AI195" cm="1">
        <f t="array" ref="AI195">ROUND($Z195*Apport_124X2425,2)</f>
        <v>234.7</v>
      </c>
      <c r="AJ195">
        <f t="shared" si="42"/>
        <v>124.71000000000004</v>
      </c>
      <c r="AK195">
        <f t="shared" si="43"/>
        <v>857.39</v>
      </c>
      <c r="AL195">
        <f t="shared" si="44"/>
        <v>30.6</v>
      </c>
      <c r="AM195">
        <f t="shared" si="45"/>
        <v>208.36</v>
      </c>
      <c r="AN195">
        <f t="shared" si="46"/>
        <v>6.46</v>
      </c>
      <c r="AO195">
        <f>ROUND(($J195*CIS_Inc_Salary2425*(VLOOKUP($A195,EnrollData2324,'2324 Jun 24 Enroll'!AI$1,FALSE)+VLOOKUP($A195,EnrollData2324,'2324 Jun 24 Enroll'!AJ$1,FALSE))/Apport_613Xpd)*Apport_614Xpd,2)</f>
        <v>73.67</v>
      </c>
      <c r="AP195">
        <f t="shared" si="47"/>
        <v>12.9</v>
      </c>
      <c r="AQ195">
        <f t="shared" si="48"/>
        <v>31.48</v>
      </c>
      <c r="AR195" s="6">
        <f>ROUND((VLOOKUP($A195,EnrollData2324,'2324 Jun 24 Enroll'!D$1,FALSE)*Apport_M802425+VLOOKUP($A195,EnrollData2324,'2324 Jun 24 Enroll'!M$1,FALSE)*Apport_M802425+(VLOOKUP($A195,EnrollData2324,'2324 Jun 24 Enroll'!P$1,FALSE)+VLOOKUP($A195,EnrollData2324,'2324 Jun 24 Enroll'!Q$1,FALSE)+VLOOKUP($A195,EnrollData2324,'2324 Jun 24 Enroll'!R$1,FALSE)+VLOOKUP($A195,EnrollData2324,'2324 Jun 24 Enroll'!I$1,FALSE)+VLOOKUP($A195,EnrollData2324,'2324 Jun 24 Enroll'!N$1,FALSE)+VLOOKUP($A195,EnrollData2324,'2324 Jun 24 Enroll'!O$1,FALSE)+VLOOKUP($A195,EnrollData2324,'2324 Jun 24 Enroll'!K$1,FALSE)+VLOOKUP($A195,EnrollData2324,'2324 Jun 24 Enroll'!L$1,FALSE))*Apport_M812425)/(VLOOKUP($A195,EnrollData2324,'2324 Jun 24 Enroll'!M$1,FALSE)+VLOOKUP($A195,EnrollData2324,'2324 Jun 24 Enroll'!D$1,FALSE)),2)</f>
        <v>1601.64</v>
      </c>
      <c r="AS195" s="7">
        <f t="shared" si="49"/>
        <v>9952.4799999999977</v>
      </c>
    </row>
    <row r="196" spans="1:48">
      <c r="A196" s="40" t="s">
        <v>879</v>
      </c>
      <c r="B196" s="40" t="s">
        <v>880</v>
      </c>
      <c r="C196" s="11">
        <f>ROUND((IFERROR((1/IF(VLOOKUP($A196,EnrollData2324,28,FALSE)='District Calculations'!$F$10,VLOOKUP($A196,EnrollData2324,28,FALSE),'District Calculations'!$F$10))*(1+Apport_Z315),0))+Apport_201A2425,6)</f>
        <v>7.4580999999999995E-2</v>
      </c>
      <c r="D196">
        <f>ROUND(IF(VLOOKUP($A196,EnrollData2324,'2324 Jun 24 Enroll'!D$1,FALSE)='District Calculations'!$F$11,VLOOKUP($A196,EnrollData2324,'2324 Jun 24 Enroll'!D$1,FALSE),'District Calculations'!$F$11)*C196,3)</f>
        <v>0</v>
      </c>
      <c r="E196">
        <f>ROUND(IF(VLOOKUP($A196,EnrollData2324,'2324 Jun 24 Enroll'!E$1,FALSE)='District Calculations'!$F$12,VLOOKUP($A196,EnrollData2324,'2324 Jun 24 Enroll'!E$1,FALSE),'District Calculations'!$F$12)*C196,3)</f>
        <v>60.447000000000003</v>
      </c>
      <c r="F196">
        <f>ROUND(IF(VLOOKUP($A196,EnrollData2324,'2324 Jun 24 Enroll'!F$1,FALSE)='District Calculations'!$F$13,VLOOKUP($A196,EnrollData2324,'2324 Jun 24 Enroll'!F$1,FALSE),'District Calculations'!$F$13)*Apport_222A2425,3)</f>
        <v>10.337999999999999</v>
      </c>
      <c r="G196">
        <f>ROUND(IF(VLOOKUP($A196,EnrollData2324,'2324 Jun 24 Enroll'!G$1,FALSE)='District Calculations'!$F$14,VLOOKUP($A196,EnrollData2324,'2324 Jun 24 Enroll'!G$1,FALSE),'District Calculations'!$F$14)*Apport_210A2425,3)</f>
        <v>22.92</v>
      </c>
      <c r="H196">
        <f>ROUND(IF(VLOOKUP($A196,EnrollData2324,'2324 Jun 24 Enroll'!H$1,FALSE)='District Calculations'!$F$15,VLOOKUP($A196,EnrollData2324,'2324 Jun 24 Enroll'!H$1,FALSE),'District Calculations'!$F$15)*Apport_213A2425,3)</f>
        <v>23.619</v>
      </c>
      <c r="I196">
        <f>ROUND(IF(VLOOKUP($A196,EnrollData2324,'2324 Jun 24 Enroll'!I$1,FALSE)+VLOOKUP($A196,EnrollData2324,'2324 Jun 24 Enroll'!M$1,FALSE)-VLOOKUP($A196,EnrollData2324,'2324 Jun 24 Enroll'!J$1,FALSE)='District Calculations'!$F$16+'District Calculations'!$F$25-'District Calculations'!$F$17,VLOOKUP($A196,EnrollData2324,'2324 Jun 24 Enroll'!I$1,FALSE)+VLOOKUP($A196,EnrollData2324,'2324 Jun 24 Enroll'!M$1,FALSE)-VLOOKUP($A196,EnrollData2324,'2324 Jun 24 Enroll'!J$1,FALSE),'District Calculations'!$F$16+'District Calculations'!$F$25-'District Calculations'!$F$17)*Apport_216A2425,3)</f>
        <v>59.057000000000002</v>
      </c>
      <c r="J196">
        <f>ROUND(SUM(D196:I196)/(IF(VLOOKUP($A196,EnrollData2324,'2324 Jun 24 Enroll'!M$1,FALSE)='District Calculations'!$F$25,VLOOKUP($A196,EnrollData2324,'2324 Jun 24 Enroll'!M$1,FALSE),'District Calculations'!$F$25)+IF(VLOOKUP($A196,EnrollData2324,'2324 Jun 24 Enroll'!D$1,FALSE)='District Calculations'!$F$11,VLOOKUP($A196,EnrollData2324,'2324 Jun 24 Enroll'!D$1,FALSE),'District Calculations'!$F$11)),5)</f>
        <v>5.6520000000000001E-2</v>
      </c>
      <c r="K196" s="11">
        <f t="shared" si="40"/>
        <v>4.385E-3</v>
      </c>
      <c r="L196">
        <f>ROUND(IF(VLOOKUP($A196,EnrollData2324,'2324 Jun 24 Enroll'!D$1,FALSE)='District Calculations'!$F$11,VLOOKUP($A196,EnrollData2324,'2324 Jun 24 Enroll'!D$1,FALSE),'District Calculations'!$F$11)*K196,3)</f>
        <v>0</v>
      </c>
      <c r="M196">
        <f>ROUND(IF(VLOOKUP($A196,EnrollData2324,'2324 Jun 24 Enroll'!E$1,FALSE)='District Calculations'!$F$12,VLOOKUP($A196,EnrollData2324,'2324 Jun 24 Enroll'!E$1,FALSE),'District Calculations'!$F$12)*K196,3)</f>
        <v>3.5539999999999998</v>
      </c>
      <c r="N196">
        <f>ROUND(IF(VLOOKUP($A196,EnrollData2324,'2324 Jun 24 Enroll'!F$1,FALSE)='District Calculations'!$F$13,VLOOKUP($A196,EnrollData2324,'2324 Jun 24 Enroll'!F$1,FALSE),'District Calculations'!$F$13)*Apport_223A2425,3)</f>
        <v>0.84599999999999997</v>
      </c>
      <c r="O196">
        <f>ROUND(IF(VLOOKUP($A196,EnrollData2324,'2324 Jun 24 Enroll'!G$1,FALSE)='District Calculations'!$F$14,VLOOKUP($A196,EnrollData2324,'2324 Jun 24 Enroll'!G$1,FALSE),'District Calculations'!$F$14)*Apport_211A2425,3)</f>
        <v>1.877</v>
      </c>
      <c r="P196">
        <f>ROUND(IF(VLOOKUP($A196,EnrollData2324,'2324 Jun 24 Enroll'!H$1,FALSE)='District Calculations'!$F$14,VLOOKUP($A196,EnrollData2324,'2324 Jun 24 Enroll'!H$1,FALSE),'District Calculations'!$F$14)*Apport_214A2425,3)</f>
        <v>1.875</v>
      </c>
      <c r="Q196">
        <f>ROUND(IF(VLOOKUP($A196,EnrollData2324,'2324 Jun 24 Enroll'!I$1,FALSE)+VLOOKUP($A196,EnrollData2324,'2324 Jun 24 Enroll'!M$1,FALSE)-VLOOKUP($A196,EnrollData2324,'2324 Jun 24 Enroll'!J$1,FALSE)='District Calculations'!$F$16+'District Calculations'!$F$25-'District Calculations'!$F$17,VLOOKUP($A196,EnrollData2324,'2324 Jun 24 Enroll'!I$1,FALSE)+VLOOKUP($A196,EnrollData2324,'2324 Jun 24 Enroll'!M$1,FALSE)-VLOOKUP($A196,EnrollData2324,'2324 Jun 24 Enroll'!J$1,FALSE),'District Calculations'!$F$16+'District Calculations'!$F$25-'District Calculations'!$F$17)*Apport_217A2425,3)</f>
        <v>4.7130000000000001</v>
      </c>
      <c r="R196">
        <f>ROUND(SUM(L196:Q196)/IF(VLOOKUP($A196,EnrollData2324,'2324 Jun 24 Enroll'!M$1,FALSE)+VLOOKUP($A196,EnrollData2324,'2324 Jun 24 Enroll'!D$1,FALSE)='District Calculations'!$F$25+'District Calculations'!$F$11,VLOOKUP($A196,EnrollData2324,'2324 Jun 24 Enroll'!M$1,FALSE)+VLOOKUP($A196,EnrollData2324,'2324 Jun 24 Enroll'!D$1,FALSE),'District Calculations'!$F$25+'District Calculations'!$F$11),5)</f>
        <v>4.1200000000000004E-3</v>
      </c>
      <c r="S196" s="11">
        <f t="shared" si="41"/>
        <v>1.8734299999999999E-2</v>
      </c>
      <c r="T196">
        <f>ROUND(IF(VLOOKUP($A196,EnrollData2324,'2324 Jun 24 Enroll'!D$1,FALSE)='District Calculations'!$F$11,VLOOKUP($A196,EnrollData2324,'2324 Jun 24 Enroll'!D$1,FALSE),'District Calculations'!$F$11)*S196,3)</f>
        <v>0</v>
      </c>
      <c r="U196">
        <f>ROUND(IF(VLOOKUP($A196,EnrollData2324,'2324 Jun 24 Enroll'!E$1,FALSE)='District Calculations'!$F$12,VLOOKUP($A196,EnrollData2324,'2324 Jun 24 Enroll'!E$1,FALSE),'District Calculations'!$F$12)*S196,3)</f>
        <v>15.183999999999999</v>
      </c>
      <c r="V196">
        <f>ROUND(IF(VLOOKUP($A196,EnrollData2324,'2324 Jun 24 Enroll'!F$1,FALSE)='District Calculations'!$F$13,VLOOKUP($A196,EnrollData2324,'2324 Jun 24 Enroll'!F$1,FALSE),'District Calculations'!$F$13)*Apport_224A2425,3)</f>
        <v>3.7109999999999999</v>
      </c>
      <c r="W196">
        <f>ROUND(IF(VLOOKUP($A196,EnrollData2324,'2324 Jun 24 Enroll'!G$1,FALSE)='District Calculations'!$F$14,VLOOKUP($A196,EnrollData2324,'2324 Jun 24 Enroll'!G$1,FALSE),'District Calculations'!$F$14)*Apport_212A2425,3)</f>
        <v>8.2279999999999998</v>
      </c>
      <c r="X196">
        <f>ROUND(IF(VLOOKUP($A196,EnrollData2324,'2324 Jun 24 Enroll'!H$1,FALSE)='District Calculations'!$F$14,VLOOKUP($A196,EnrollData2324,'2324 Jun 24 Enroll'!H$1,FALSE),'District Calculations'!$F$14)*Apport_215A2425,3)</f>
        <v>8.1180000000000003</v>
      </c>
      <c r="Y196">
        <f>ROUND(IF(VLOOKUP($A196,EnrollData2324,'2324 Jun 24 Enroll'!I$1,FALSE)+VLOOKUP($A196,EnrollData2324,'2324 Jun 24 Enroll'!M$1,FALSE)-VLOOKUP($A196,EnrollData2324,'2324 Jun 24 Enroll'!J$1,FALSE)='District Calculations'!$F$16+'District Calculations'!$F$25-'District Calculations'!$F$17,VLOOKUP($A196,EnrollData2324,'2324 Jun 24 Enroll'!I$1,FALSE)+VLOOKUP($A196,EnrollData2324,'2324 Jun 24 Enroll'!M$1,FALSE)-VLOOKUP($A196,EnrollData2324,'2324 Jun 24 Enroll'!J$1,FALSE),'District Calculations'!$F$16+'District Calculations'!$F$25-'District Calculations'!$F$17)*Apport_218A2425,3)</f>
        <v>20.257999999999999</v>
      </c>
      <c r="Z196">
        <f>ROUND(SUM(T196:Y196)/IF(VLOOKUP($A196,EnrollData2324,'2324 Jun 24 Enroll'!M$1,FALSE)+VLOOKUP($A196,EnrollData2324,'2324 Jun 24 Enroll'!D$1,FALSE)='District Calculations'!$F$25+'District Calculations'!$F$11,VLOOKUP($A196,EnrollData2324,'2324 Jun 24 Enroll'!M$1,FALSE)+VLOOKUP($A196,EnrollData2324,'2324 Jun 24 Enroll'!D$1,FALSE),'District Calculations'!$F$25+'District Calculations'!$F$11),5)</f>
        <v>1.7780000000000001E-2</v>
      </c>
      <c r="AA196" s="6">
        <f>ROUND($J196*CIS_Base_Salary2425*VLOOKUP($A196,EnrollData2324,'2324 Jun 24 Enroll'!AH$1,FALSE),2)</f>
        <v>4262.68</v>
      </c>
      <c r="AB196" s="6">
        <f>ROUND($J196*CIS_Inc_Salary2425*(VLOOKUP($A196,EnrollData2324,'2324 Jun 24 Enroll'!AI$1,FALSE)+VLOOKUP($A196,EnrollData2324,'2324 Jun 24 Enroll'!AJ$1,FALSE)),2)-AA196</f>
        <v>157.6899999999996</v>
      </c>
      <c r="AC196" s="6" cm="1">
        <f t="array" ref="AC196">ROUND($R196*CAS_Base_Salary2425*VLOOKUP($A196,EnrollData2324,'2324 Jun 24 Enroll'!AH$1,FALSE),2)</f>
        <v>461.23</v>
      </c>
      <c r="AD196" s="6">
        <f>ROUND($R196*CAS_Inc_Salary2425*VLOOKUP($A196,EnrollData2324,'2324 Jun 24 Enroll'!AI$1,FALSE),2)-AC196</f>
        <v>17.069999999999993</v>
      </c>
      <c r="AE196" s="6">
        <f>ROUND($Z196*CLS_Base_Salary2425*VLOOKUP($A196,EnrollData2324,'2324 Jun 24 Enroll'!AH$1,FALSE),2)</f>
        <v>961.95</v>
      </c>
      <c r="AF196" s="6">
        <f>ROUND($Z196*CLS_Inc_Salary2425*VLOOKUP($A196,EnrollData2324,'2324 Jun 24 Enroll'!AI$1,FALSE),2)-AE196</f>
        <v>35.599999999999909</v>
      </c>
      <c r="AG196" cm="1">
        <f t="array" ref="AG196">ROUND(($J196+$R196)*Apport_124X2425,2)</f>
        <v>800.45</v>
      </c>
      <c r="AH196" s="69" cm="1">
        <f t="array" ref="AH196">ROUND(($J196+$R196)*Apport_621X2425*Apport_125XC2425,2)-AG196</f>
        <v>73.899999999999977</v>
      </c>
      <c r="AI196" cm="1">
        <f t="array" ref="AI196">ROUND($Z196*Apport_124X2425,2)</f>
        <v>234.7</v>
      </c>
      <c r="AJ196">
        <f t="shared" si="42"/>
        <v>124.71000000000004</v>
      </c>
      <c r="AK196">
        <f t="shared" si="43"/>
        <v>857.39</v>
      </c>
      <c r="AL196">
        <f t="shared" si="44"/>
        <v>30.6</v>
      </c>
      <c r="AM196">
        <f t="shared" si="45"/>
        <v>208.36</v>
      </c>
      <c r="AN196">
        <f t="shared" si="46"/>
        <v>6.46</v>
      </c>
      <c r="AO196">
        <f>ROUND(($J196*CIS_Inc_Salary2425*(VLOOKUP($A196,EnrollData2324,'2324 Jun 24 Enroll'!AI$1,FALSE)+VLOOKUP($A196,EnrollData2324,'2324 Jun 24 Enroll'!AJ$1,FALSE))/Apport_613Xpd)*Apport_614Xpd,2)</f>
        <v>73.67</v>
      </c>
      <c r="AP196">
        <f t="shared" si="47"/>
        <v>12.9</v>
      </c>
      <c r="AQ196">
        <f t="shared" si="48"/>
        <v>31.48</v>
      </c>
      <c r="AR196" s="6">
        <f>ROUND((VLOOKUP($A196,EnrollData2324,'2324 Jun 24 Enroll'!D$1,FALSE)*Apport_M802425+VLOOKUP($A196,EnrollData2324,'2324 Jun 24 Enroll'!M$1,FALSE)*Apport_M802425+(VLOOKUP($A196,EnrollData2324,'2324 Jun 24 Enroll'!P$1,FALSE)+VLOOKUP($A196,EnrollData2324,'2324 Jun 24 Enroll'!Q$1,FALSE)+VLOOKUP($A196,EnrollData2324,'2324 Jun 24 Enroll'!R$1,FALSE)+VLOOKUP($A196,EnrollData2324,'2324 Jun 24 Enroll'!I$1,FALSE)+VLOOKUP($A196,EnrollData2324,'2324 Jun 24 Enroll'!N$1,FALSE)+VLOOKUP($A196,EnrollData2324,'2324 Jun 24 Enroll'!O$1,FALSE)+VLOOKUP($A196,EnrollData2324,'2324 Jun 24 Enroll'!K$1,FALSE)+VLOOKUP($A196,EnrollData2324,'2324 Jun 24 Enroll'!L$1,FALSE))*Apport_M812425)/(VLOOKUP($A196,EnrollData2324,'2324 Jun 24 Enroll'!M$1,FALSE)+VLOOKUP($A196,EnrollData2324,'2324 Jun 24 Enroll'!D$1,FALSE)),2)</f>
        <v>1597.95</v>
      </c>
      <c r="AS196" s="7">
        <f t="shared" si="49"/>
        <v>9948.7899999999991</v>
      </c>
    </row>
    <row r="197" spans="1:48">
      <c r="A197" s="40" t="s">
        <v>635</v>
      </c>
      <c r="B197" s="40" t="s">
        <v>636</v>
      </c>
      <c r="C197" s="11">
        <f>ROUND((IFERROR((1/IF(VLOOKUP($A197,EnrollData2324,28,FALSE)='District Calculations'!$F$10,VLOOKUP($A197,EnrollData2324,28,FALSE),'District Calculations'!$F$10))*(1+Apport_Z315),0))+Apport_201A2425,6)</f>
        <v>7.4580999999999995E-2</v>
      </c>
      <c r="D197">
        <f>ROUND(IF(VLOOKUP($A197,EnrollData2324,'2324 Jun 24 Enroll'!D$1,FALSE)='District Calculations'!$F$11,VLOOKUP($A197,EnrollData2324,'2324 Jun 24 Enroll'!D$1,FALSE),'District Calculations'!$F$11)*C197,3)</f>
        <v>0</v>
      </c>
      <c r="E197">
        <f>ROUND(IF(VLOOKUP($A197,EnrollData2324,'2324 Jun 24 Enroll'!E$1,FALSE)='District Calculations'!$F$12,VLOOKUP($A197,EnrollData2324,'2324 Jun 24 Enroll'!E$1,FALSE),'District Calculations'!$F$12)*C197,3)</f>
        <v>60.447000000000003</v>
      </c>
      <c r="F197">
        <f>ROUND(IF(VLOOKUP($A197,EnrollData2324,'2324 Jun 24 Enroll'!F$1,FALSE)='District Calculations'!$F$13,VLOOKUP($A197,EnrollData2324,'2324 Jun 24 Enroll'!F$1,FALSE),'District Calculations'!$F$13)*Apport_222A2425,3)</f>
        <v>10.337999999999999</v>
      </c>
      <c r="G197">
        <f>ROUND(IF(VLOOKUP($A197,EnrollData2324,'2324 Jun 24 Enroll'!G$1,FALSE)='District Calculations'!$F$14,VLOOKUP($A197,EnrollData2324,'2324 Jun 24 Enroll'!G$1,FALSE),'District Calculations'!$F$14)*Apport_210A2425,3)</f>
        <v>22.92</v>
      </c>
      <c r="H197">
        <f>ROUND(IF(VLOOKUP($A197,EnrollData2324,'2324 Jun 24 Enroll'!H$1,FALSE)='District Calculations'!$F$15,VLOOKUP($A197,EnrollData2324,'2324 Jun 24 Enroll'!H$1,FALSE),'District Calculations'!$F$15)*Apport_213A2425,3)</f>
        <v>23.619</v>
      </c>
      <c r="I197">
        <f>ROUND(IF(VLOOKUP($A197,EnrollData2324,'2324 Jun 24 Enroll'!I$1,FALSE)+VLOOKUP($A197,EnrollData2324,'2324 Jun 24 Enroll'!M$1,FALSE)-VLOOKUP($A197,EnrollData2324,'2324 Jun 24 Enroll'!J$1,FALSE)='District Calculations'!$F$16+'District Calculations'!$F$25-'District Calculations'!$F$17,VLOOKUP($A197,EnrollData2324,'2324 Jun 24 Enroll'!I$1,FALSE)+VLOOKUP($A197,EnrollData2324,'2324 Jun 24 Enroll'!M$1,FALSE)-VLOOKUP($A197,EnrollData2324,'2324 Jun 24 Enroll'!J$1,FALSE),'District Calculations'!$F$16+'District Calculations'!$F$25-'District Calculations'!$F$17)*Apport_216A2425,3)</f>
        <v>59.057000000000002</v>
      </c>
      <c r="J197">
        <f>ROUND(SUM(D197:I197)/(IF(VLOOKUP($A197,EnrollData2324,'2324 Jun 24 Enroll'!M$1,FALSE)='District Calculations'!$F$25,VLOOKUP($A197,EnrollData2324,'2324 Jun 24 Enroll'!M$1,FALSE),'District Calculations'!$F$25)+IF(VLOOKUP($A197,EnrollData2324,'2324 Jun 24 Enroll'!D$1,FALSE)='District Calculations'!$F$11,VLOOKUP($A197,EnrollData2324,'2324 Jun 24 Enroll'!D$1,FALSE),'District Calculations'!$F$11)),5)</f>
        <v>5.6520000000000001E-2</v>
      </c>
      <c r="K197" s="11">
        <f t="shared" si="40"/>
        <v>4.385E-3</v>
      </c>
      <c r="L197">
        <f>ROUND(IF(VLOOKUP($A197,EnrollData2324,'2324 Jun 24 Enroll'!D$1,FALSE)='District Calculations'!$F$11,VLOOKUP($A197,EnrollData2324,'2324 Jun 24 Enroll'!D$1,FALSE),'District Calculations'!$F$11)*K197,3)</f>
        <v>0</v>
      </c>
      <c r="M197">
        <f>ROUND(IF(VLOOKUP($A197,EnrollData2324,'2324 Jun 24 Enroll'!E$1,FALSE)='District Calculations'!$F$12,VLOOKUP($A197,EnrollData2324,'2324 Jun 24 Enroll'!E$1,FALSE),'District Calculations'!$F$12)*K197,3)</f>
        <v>3.5539999999999998</v>
      </c>
      <c r="N197">
        <f>ROUND(IF(VLOOKUP($A197,EnrollData2324,'2324 Jun 24 Enroll'!F$1,FALSE)='District Calculations'!$F$13,VLOOKUP($A197,EnrollData2324,'2324 Jun 24 Enroll'!F$1,FALSE),'District Calculations'!$F$13)*Apport_223A2425,3)</f>
        <v>0.84599999999999997</v>
      </c>
      <c r="O197">
        <f>ROUND(IF(VLOOKUP($A197,EnrollData2324,'2324 Jun 24 Enroll'!G$1,FALSE)='District Calculations'!$F$14,VLOOKUP($A197,EnrollData2324,'2324 Jun 24 Enroll'!G$1,FALSE),'District Calculations'!$F$14)*Apport_211A2425,3)</f>
        <v>1.877</v>
      </c>
      <c r="P197">
        <f>ROUND(IF(VLOOKUP($A197,EnrollData2324,'2324 Jun 24 Enroll'!H$1,FALSE)='District Calculations'!$F$14,VLOOKUP($A197,EnrollData2324,'2324 Jun 24 Enroll'!H$1,FALSE),'District Calculations'!$F$14)*Apport_214A2425,3)</f>
        <v>1.875</v>
      </c>
      <c r="Q197">
        <f>ROUND(IF(VLOOKUP($A197,EnrollData2324,'2324 Jun 24 Enroll'!I$1,FALSE)+VLOOKUP($A197,EnrollData2324,'2324 Jun 24 Enroll'!M$1,FALSE)-VLOOKUP($A197,EnrollData2324,'2324 Jun 24 Enroll'!J$1,FALSE)='District Calculations'!$F$16+'District Calculations'!$F$25-'District Calculations'!$F$17,VLOOKUP($A197,EnrollData2324,'2324 Jun 24 Enroll'!I$1,FALSE)+VLOOKUP($A197,EnrollData2324,'2324 Jun 24 Enroll'!M$1,FALSE)-VLOOKUP($A197,EnrollData2324,'2324 Jun 24 Enroll'!J$1,FALSE),'District Calculations'!$F$16+'District Calculations'!$F$25-'District Calculations'!$F$17)*Apport_217A2425,3)</f>
        <v>4.7130000000000001</v>
      </c>
      <c r="R197">
        <f>ROUND(SUM(L197:Q197)/IF(VLOOKUP($A197,EnrollData2324,'2324 Jun 24 Enroll'!M$1,FALSE)+VLOOKUP($A197,EnrollData2324,'2324 Jun 24 Enroll'!D$1,FALSE)='District Calculations'!$F$25+'District Calculations'!$F$11,VLOOKUP($A197,EnrollData2324,'2324 Jun 24 Enroll'!M$1,FALSE)+VLOOKUP($A197,EnrollData2324,'2324 Jun 24 Enroll'!D$1,FALSE),'District Calculations'!$F$25+'District Calculations'!$F$11),5)</f>
        <v>4.1200000000000004E-3</v>
      </c>
      <c r="S197" s="11">
        <f t="shared" si="41"/>
        <v>1.8734299999999999E-2</v>
      </c>
      <c r="T197">
        <f>ROUND(IF(VLOOKUP($A197,EnrollData2324,'2324 Jun 24 Enroll'!D$1,FALSE)='District Calculations'!$F$11,VLOOKUP($A197,EnrollData2324,'2324 Jun 24 Enroll'!D$1,FALSE),'District Calculations'!$F$11)*S197,3)</f>
        <v>0</v>
      </c>
      <c r="U197">
        <f>ROUND(IF(VLOOKUP($A197,EnrollData2324,'2324 Jun 24 Enroll'!E$1,FALSE)='District Calculations'!$F$12,VLOOKUP($A197,EnrollData2324,'2324 Jun 24 Enroll'!E$1,FALSE),'District Calculations'!$F$12)*S197,3)</f>
        <v>15.183999999999999</v>
      </c>
      <c r="V197">
        <f>ROUND(IF(VLOOKUP($A197,EnrollData2324,'2324 Jun 24 Enroll'!F$1,FALSE)='District Calculations'!$F$13,VLOOKUP($A197,EnrollData2324,'2324 Jun 24 Enroll'!F$1,FALSE),'District Calculations'!$F$13)*Apport_224A2425,3)</f>
        <v>3.7109999999999999</v>
      </c>
      <c r="W197">
        <f>ROUND(IF(VLOOKUP($A197,EnrollData2324,'2324 Jun 24 Enroll'!G$1,FALSE)='District Calculations'!$F$14,VLOOKUP($A197,EnrollData2324,'2324 Jun 24 Enroll'!G$1,FALSE),'District Calculations'!$F$14)*Apport_212A2425,3)</f>
        <v>8.2279999999999998</v>
      </c>
      <c r="X197">
        <f>ROUND(IF(VLOOKUP($A197,EnrollData2324,'2324 Jun 24 Enroll'!H$1,FALSE)='District Calculations'!$F$14,VLOOKUP($A197,EnrollData2324,'2324 Jun 24 Enroll'!H$1,FALSE),'District Calculations'!$F$14)*Apport_215A2425,3)</f>
        <v>8.1180000000000003</v>
      </c>
      <c r="Y197">
        <f>ROUND(IF(VLOOKUP($A197,EnrollData2324,'2324 Jun 24 Enroll'!I$1,FALSE)+VLOOKUP($A197,EnrollData2324,'2324 Jun 24 Enroll'!M$1,FALSE)-VLOOKUP($A197,EnrollData2324,'2324 Jun 24 Enroll'!J$1,FALSE)='District Calculations'!$F$16+'District Calculations'!$F$25-'District Calculations'!$F$17,VLOOKUP($A197,EnrollData2324,'2324 Jun 24 Enroll'!I$1,FALSE)+VLOOKUP($A197,EnrollData2324,'2324 Jun 24 Enroll'!M$1,FALSE)-VLOOKUP($A197,EnrollData2324,'2324 Jun 24 Enroll'!J$1,FALSE),'District Calculations'!$F$16+'District Calculations'!$F$25-'District Calculations'!$F$17)*Apport_218A2425,3)</f>
        <v>20.257999999999999</v>
      </c>
      <c r="Z197">
        <f>ROUND(SUM(T197:Y197)/IF(VLOOKUP($A197,EnrollData2324,'2324 Jun 24 Enroll'!M$1,FALSE)+VLOOKUP($A197,EnrollData2324,'2324 Jun 24 Enroll'!D$1,FALSE)='District Calculations'!$F$25+'District Calculations'!$F$11,VLOOKUP($A197,EnrollData2324,'2324 Jun 24 Enroll'!M$1,FALSE)+VLOOKUP($A197,EnrollData2324,'2324 Jun 24 Enroll'!D$1,FALSE),'District Calculations'!$F$25+'District Calculations'!$F$11),5)</f>
        <v>1.7780000000000001E-2</v>
      </c>
      <c r="AA197" s="6">
        <f>ROUND($J197*CIS_Base_Salary2425*VLOOKUP($A197,EnrollData2324,'2324 Jun 24 Enroll'!AH$1,FALSE),2)</f>
        <v>4262.68</v>
      </c>
      <c r="AB197" s="6">
        <f>ROUND($J197*CIS_Inc_Salary2425*(VLOOKUP($A197,EnrollData2324,'2324 Jun 24 Enroll'!AI$1,FALSE)+VLOOKUP($A197,EnrollData2324,'2324 Jun 24 Enroll'!AJ$1,FALSE)),2)-AA197</f>
        <v>157.6899999999996</v>
      </c>
      <c r="AC197" s="6" cm="1">
        <f t="array" ref="AC197">ROUND($R197*CAS_Base_Salary2425*VLOOKUP($A197,EnrollData2324,'2324 Jun 24 Enroll'!AH$1,FALSE),2)</f>
        <v>461.23</v>
      </c>
      <c r="AD197" s="6">
        <f>ROUND($R197*CAS_Inc_Salary2425*VLOOKUP($A197,EnrollData2324,'2324 Jun 24 Enroll'!AI$1,FALSE),2)-AC197</f>
        <v>17.069999999999993</v>
      </c>
      <c r="AE197" s="6">
        <f>ROUND($Z197*CLS_Base_Salary2425*VLOOKUP($A197,EnrollData2324,'2324 Jun 24 Enroll'!AH$1,FALSE),2)</f>
        <v>961.95</v>
      </c>
      <c r="AF197" s="6">
        <f>ROUND($Z197*CLS_Inc_Salary2425*VLOOKUP($A197,EnrollData2324,'2324 Jun 24 Enroll'!AI$1,FALSE),2)-AE197</f>
        <v>35.599999999999909</v>
      </c>
      <c r="AG197" cm="1">
        <f t="array" ref="AG197">ROUND(($J197+$R197)*Apport_124X2425,2)</f>
        <v>800.45</v>
      </c>
      <c r="AH197" s="69" cm="1">
        <f t="array" ref="AH197">ROUND(($J197+$R197)*Apport_621X2425*Apport_125XC2425,2)-AG197</f>
        <v>73.899999999999977</v>
      </c>
      <c r="AI197" cm="1">
        <f t="array" ref="AI197">ROUND($Z197*Apport_124X2425,2)</f>
        <v>234.7</v>
      </c>
      <c r="AJ197">
        <f t="shared" si="42"/>
        <v>124.71000000000004</v>
      </c>
      <c r="AK197">
        <f t="shared" si="43"/>
        <v>857.39</v>
      </c>
      <c r="AL197">
        <f t="shared" si="44"/>
        <v>30.6</v>
      </c>
      <c r="AM197">
        <f t="shared" si="45"/>
        <v>208.36</v>
      </c>
      <c r="AN197">
        <f t="shared" si="46"/>
        <v>6.46</v>
      </c>
      <c r="AO197">
        <f>ROUND(($J197*CIS_Inc_Salary2425*(VLOOKUP($A197,EnrollData2324,'2324 Jun 24 Enroll'!AI$1,FALSE)+VLOOKUP($A197,EnrollData2324,'2324 Jun 24 Enroll'!AJ$1,FALSE))/Apport_613Xpd)*Apport_614Xpd,2)</f>
        <v>73.67</v>
      </c>
      <c r="AP197">
        <f t="shared" si="47"/>
        <v>12.9</v>
      </c>
      <c r="AQ197">
        <f t="shared" si="48"/>
        <v>31.48</v>
      </c>
      <c r="AR197" s="6">
        <f>ROUND((VLOOKUP($A197,EnrollData2324,'2324 Jun 24 Enroll'!D$1,FALSE)*Apport_M802425+VLOOKUP($A197,EnrollData2324,'2324 Jun 24 Enroll'!M$1,FALSE)*Apport_M802425+(VLOOKUP($A197,EnrollData2324,'2324 Jun 24 Enroll'!P$1,FALSE)+VLOOKUP($A197,EnrollData2324,'2324 Jun 24 Enroll'!Q$1,FALSE)+VLOOKUP($A197,EnrollData2324,'2324 Jun 24 Enroll'!R$1,FALSE)+VLOOKUP($A197,EnrollData2324,'2324 Jun 24 Enroll'!I$1,FALSE)+VLOOKUP($A197,EnrollData2324,'2324 Jun 24 Enroll'!N$1,FALSE)+VLOOKUP($A197,EnrollData2324,'2324 Jun 24 Enroll'!O$1,FALSE)+VLOOKUP($A197,EnrollData2324,'2324 Jun 24 Enroll'!K$1,FALSE)+VLOOKUP($A197,EnrollData2324,'2324 Jun 24 Enroll'!L$1,FALSE))*Apport_M812425)/(VLOOKUP($A197,EnrollData2324,'2324 Jun 24 Enroll'!M$1,FALSE)+VLOOKUP($A197,EnrollData2324,'2324 Jun 24 Enroll'!D$1,FALSE)),2)</f>
        <v>1595.37</v>
      </c>
      <c r="AS197" s="7">
        <f t="shared" si="49"/>
        <v>9946.2099999999991</v>
      </c>
    </row>
    <row r="198" spans="1:48">
      <c r="A198" s="40" t="s">
        <v>621</v>
      </c>
      <c r="B198" s="40" t="s">
        <v>622</v>
      </c>
      <c r="C198" s="11">
        <f>ROUND((IFERROR((1/IF(VLOOKUP($A198,EnrollData2324,28,FALSE)='District Calculations'!$F$10,VLOOKUP($A198,EnrollData2324,28,FALSE),'District Calculations'!$F$10))*(1+Apport_Z315),0))+Apport_201A2425,6)</f>
        <v>7.4580999999999995E-2</v>
      </c>
      <c r="D198">
        <f>ROUND(IF(VLOOKUP($A198,EnrollData2324,'2324 Jun 24 Enroll'!D$1,FALSE)='District Calculations'!$F$11,VLOOKUP($A198,EnrollData2324,'2324 Jun 24 Enroll'!D$1,FALSE),'District Calculations'!$F$11)*C198,3)</f>
        <v>0</v>
      </c>
      <c r="E198">
        <f>ROUND(IF(VLOOKUP($A198,EnrollData2324,'2324 Jun 24 Enroll'!E$1,FALSE)='District Calculations'!$F$12,VLOOKUP($A198,EnrollData2324,'2324 Jun 24 Enroll'!E$1,FALSE),'District Calculations'!$F$12)*C198,3)</f>
        <v>60.447000000000003</v>
      </c>
      <c r="F198">
        <f>ROUND(IF(VLOOKUP($A198,EnrollData2324,'2324 Jun 24 Enroll'!F$1,FALSE)='District Calculations'!$F$13,VLOOKUP($A198,EnrollData2324,'2324 Jun 24 Enroll'!F$1,FALSE),'District Calculations'!$F$13)*Apport_222A2425,3)</f>
        <v>10.337999999999999</v>
      </c>
      <c r="G198">
        <f>ROUND(IF(VLOOKUP($A198,EnrollData2324,'2324 Jun 24 Enroll'!G$1,FALSE)='District Calculations'!$F$14,VLOOKUP($A198,EnrollData2324,'2324 Jun 24 Enroll'!G$1,FALSE),'District Calculations'!$F$14)*Apport_210A2425,3)</f>
        <v>22.92</v>
      </c>
      <c r="H198">
        <f>ROUND(IF(VLOOKUP($A198,EnrollData2324,'2324 Jun 24 Enroll'!H$1,FALSE)='District Calculations'!$F$15,VLOOKUP($A198,EnrollData2324,'2324 Jun 24 Enroll'!H$1,FALSE),'District Calculations'!$F$15)*Apport_213A2425,3)</f>
        <v>23.619</v>
      </c>
      <c r="I198">
        <f>ROUND(IF(VLOOKUP($A198,EnrollData2324,'2324 Jun 24 Enroll'!I$1,FALSE)+VLOOKUP($A198,EnrollData2324,'2324 Jun 24 Enroll'!M$1,FALSE)-VLOOKUP($A198,EnrollData2324,'2324 Jun 24 Enroll'!J$1,FALSE)='District Calculations'!$F$16+'District Calculations'!$F$25-'District Calculations'!$F$17,VLOOKUP($A198,EnrollData2324,'2324 Jun 24 Enroll'!I$1,FALSE)+VLOOKUP($A198,EnrollData2324,'2324 Jun 24 Enroll'!M$1,FALSE)-VLOOKUP($A198,EnrollData2324,'2324 Jun 24 Enroll'!J$1,FALSE),'District Calculations'!$F$16+'District Calculations'!$F$25-'District Calculations'!$F$17)*Apport_216A2425,3)</f>
        <v>59.057000000000002</v>
      </c>
      <c r="J198">
        <f>ROUND(SUM(D198:I198)/(IF(VLOOKUP($A198,EnrollData2324,'2324 Jun 24 Enroll'!M$1,FALSE)='District Calculations'!$F$25,VLOOKUP($A198,EnrollData2324,'2324 Jun 24 Enroll'!M$1,FALSE),'District Calculations'!$F$25)+IF(VLOOKUP($A198,EnrollData2324,'2324 Jun 24 Enroll'!D$1,FALSE)='District Calculations'!$F$11,VLOOKUP($A198,EnrollData2324,'2324 Jun 24 Enroll'!D$1,FALSE),'District Calculations'!$F$11)),5)</f>
        <v>5.6520000000000001E-2</v>
      </c>
      <c r="K198" s="11">
        <f t="shared" si="40"/>
        <v>4.385E-3</v>
      </c>
      <c r="L198">
        <f>ROUND(IF(VLOOKUP($A198,EnrollData2324,'2324 Jun 24 Enroll'!D$1,FALSE)='District Calculations'!$F$11,VLOOKUP($A198,EnrollData2324,'2324 Jun 24 Enroll'!D$1,FALSE),'District Calculations'!$F$11)*K198,3)</f>
        <v>0</v>
      </c>
      <c r="M198">
        <f>ROUND(IF(VLOOKUP($A198,EnrollData2324,'2324 Jun 24 Enroll'!E$1,FALSE)='District Calculations'!$F$12,VLOOKUP($A198,EnrollData2324,'2324 Jun 24 Enroll'!E$1,FALSE),'District Calculations'!$F$12)*K198,3)</f>
        <v>3.5539999999999998</v>
      </c>
      <c r="N198">
        <f>ROUND(IF(VLOOKUP($A198,EnrollData2324,'2324 Jun 24 Enroll'!F$1,FALSE)='District Calculations'!$F$13,VLOOKUP($A198,EnrollData2324,'2324 Jun 24 Enroll'!F$1,FALSE),'District Calculations'!$F$13)*Apport_223A2425,3)</f>
        <v>0.84599999999999997</v>
      </c>
      <c r="O198">
        <f>ROUND(IF(VLOOKUP($A198,EnrollData2324,'2324 Jun 24 Enroll'!G$1,FALSE)='District Calculations'!$F$14,VLOOKUP($A198,EnrollData2324,'2324 Jun 24 Enroll'!G$1,FALSE),'District Calculations'!$F$14)*Apport_211A2425,3)</f>
        <v>1.877</v>
      </c>
      <c r="P198">
        <f>ROUND(IF(VLOOKUP($A198,EnrollData2324,'2324 Jun 24 Enroll'!H$1,FALSE)='District Calculations'!$F$14,VLOOKUP($A198,EnrollData2324,'2324 Jun 24 Enroll'!H$1,FALSE),'District Calculations'!$F$14)*Apport_214A2425,3)</f>
        <v>1.875</v>
      </c>
      <c r="Q198">
        <f>ROUND(IF(VLOOKUP($A198,EnrollData2324,'2324 Jun 24 Enroll'!I$1,FALSE)+VLOOKUP($A198,EnrollData2324,'2324 Jun 24 Enroll'!M$1,FALSE)-VLOOKUP($A198,EnrollData2324,'2324 Jun 24 Enroll'!J$1,FALSE)='District Calculations'!$F$16+'District Calculations'!$F$25-'District Calculations'!$F$17,VLOOKUP($A198,EnrollData2324,'2324 Jun 24 Enroll'!I$1,FALSE)+VLOOKUP($A198,EnrollData2324,'2324 Jun 24 Enroll'!M$1,FALSE)-VLOOKUP($A198,EnrollData2324,'2324 Jun 24 Enroll'!J$1,FALSE),'District Calculations'!$F$16+'District Calculations'!$F$25-'District Calculations'!$F$17)*Apport_217A2425,3)</f>
        <v>4.7130000000000001</v>
      </c>
      <c r="R198">
        <f>ROUND(SUM(L198:Q198)/IF(VLOOKUP($A198,EnrollData2324,'2324 Jun 24 Enroll'!M$1,FALSE)+VLOOKUP($A198,EnrollData2324,'2324 Jun 24 Enroll'!D$1,FALSE)='District Calculations'!$F$25+'District Calculations'!$F$11,VLOOKUP($A198,EnrollData2324,'2324 Jun 24 Enroll'!M$1,FALSE)+VLOOKUP($A198,EnrollData2324,'2324 Jun 24 Enroll'!D$1,FALSE),'District Calculations'!$F$25+'District Calculations'!$F$11),5)</f>
        <v>4.1200000000000004E-3</v>
      </c>
      <c r="S198" s="11">
        <f t="shared" si="41"/>
        <v>1.8734299999999999E-2</v>
      </c>
      <c r="T198">
        <f>ROUND(IF(VLOOKUP($A198,EnrollData2324,'2324 Jun 24 Enroll'!D$1,FALSE)='District Calculations'!$F$11,VLOOKUP($A198,EnrollData2324,'2324 Jun 24 Enroll'!D$1,FALSE),'District Calculations'!$F$11)*S198,3)</f>
        <v>0</v>
      </c>
      <c r="U198">
        <f>ROUND(IF(VLOOKUP($A198,EnrollData2324,'2324 Jun 24 Enroll'!E$1,FALSE)='District Calculations'!$F$12,VLOOKUP($A198,EnrollData2324,'2324 Jun 24 Enroll'!E$1,FALSE),'District Calculations'!$F$12)*S198,3)</f>
        <v>15.183999999999999</v>
      </c>
      <c r="V198">
        <f>ROUND(IF(VLOOKUP($A198,EnrollData2324,'2324 Jun 24 Enroll'!F$1,FALSE)='District Calculations'!$F$13,VLOOKUP($A198,EnrollData2324,'2324 Jun 24 Enroll'!F$1,FALSE),'District Calculations'!$F$13)*Apport_224A2425,3)</f>
        <v>3.7109999999999999</v>
      </c>
      <c r="W198">
        <f>ROUND(IF(VLOOKUP($A198,EnrollData2324,'2324 Jun 24 Enroll'!G$1,FALSE)='District Calculations'!$F$14,VLOOKUP($A198,EnrollData2324,'2324 Jun 24 Enroll'!G$1,FALSE),'District Calculations'!$F$14)*Apport_212A2425,3)</f>
        <v>8.2279999999999998</v>
      </c>
      <c r="X198">
        <f>ROUND(IF(VLOOKUP($A198,EnrollData2324,'2324 Jun 24 Enroll'!H$1,FALSE)='District Calculations'!$F$14,VLOOKUP($A198,EnrollData2324,'2324 Jun 24 Enroll'!H$1,FALSE),'District Calculations'!$F$14)*Apport_215A2425,3)</f>
        <v>8.1180000000000003</v>
      </c>
      <c r="Y198">
        <f>ROUND(IF(VLOOKUP($A198,EnrollData2324,'2324 Jun 24 Enroll'!I$1,FALSE)+VLOOKUP($A198,EnrollData2324,'2324 Jun 24 Enroll'!M$1,FALSE)-VLOOKUP($A198,EnrollData2324,'2324 Jun 24 Enroll'!J$1,FALSE)='District Calculations'!$F$16+'District Calculations'!$F$25-'District Calculations'!$F$17,VLOOKUP($A198,EnrollData2324,'2324 Jun 24 Enroll'!I$1,FALSE)+VLOOKUP($A198,EnrollData2324,'2324 Jun 24 Enroll'!M$1,FALSE)-VLOOKUP($A198,EnrollData2324,'2324 Jun 24 Enroll'!J$1,FALSE),'District Calculations'!$F$16+'District Calculations'!$F$25-'District Calculations'!$F$17)*Apport_218A2425,3)</f>
        <v>20.257999999999999</v>
      </c>
      <c r="Z198">
        <f>ROUND(SUM(T198:Y198)/IF(VLOOKUP($A198,EnrollData2324,'2324 Jun 24 Enroll'!M$1,FALSE)+VLOOKUP($A198,EnrollData2324,'2324 Jun 24 Enroll'!D$1,FALSE)='District Calculations'!$F$25+'District Calculations'!$F$11,VLOOKUP($A198,EnrollData2324,'2324 Jun 24 Enroll'!M$1,FALSE)+VLOOKUP($A198,EnrollData2324,'2324 Jun 24 Enroll'!D$1,FALSE),'District Calculations'!$F$25+'District Calculations'!$F$11),5)</f>
        <v>1.7780000000000001E-2</v>
      </c>
      <c r="AA198" s="6">
        <f>ROUND($J198*CIS_Base_Salary2425*VLOOKUP($A198,EnrollData2324,'2324 Jun 24 Enroll'!AH$1,FALSE),2)</f>
        <v>4262.68</v>
      </c>
      <c r="AB198" s="6">
        <f>ROUND($J198*CIS_Inc_Salary2425*(VLOOKUP($A198,EnrollData2324,'2324 Jun 24 Enroll'!AI$1,FALSE)+VLOOKUP($A198,EnrollData2324,'2324 Jun 24 Enroll'!AJ$1,FALSE)),2)-AA198</f>
        <v>157.6899999999996</v>
      </c>
      <c r="AC198" s="6" cm="1">
        <f t="array" ref="AC198">ROUND($R198*CAS_Base_Salary2425*VLOOKUP($A198,EnrollData2324,'2324 Jun 24 Enroll'!AH$1,FALSE),2)</f>
        <v>461.23</v>
      </c>
      <c r="AD198" s="6">
        <f>ROUND($R198*CAS_Inc_Salary2425*VLOOKUP($A198,EnrollData2324,'2324 Jun 24 Enroll'!AI$1,FALSE),2)-AC198</f>
        <v>17.069999999999993</v>
      </c>
      <c r="AE198" s="6">
        <f>ROUND($Z198*CLS_Base_Salary2425*VLOOKUP($A198,EnrollData2324,'2324 Jun 24 Enroll'!AH$1,FALSE),2)</f>
        <v>961.95</v>
      </c>
      <c r="AF198" s="6">
        <f>ROUND($Z198*CLS_Inc_Salary2425*VLOOKUP($A198,EnrollData2324,'2324 Jun 24 Enroll'!AI$1,FALSE),2)-AE198</f>
        <v>35.599999999999909</v>
      </c>
      <c r="AG198" cm="1">
        <f t="array" ref="AG198">ROUND(($J198+$R198)*Apport_124X2425,2)</f>
        <v>800.45</v>
      </c>
      <c r="AH198" s="69" cm="1">
        <f t="array" ref="AH198">ROUND(($J198+$R198)*Apport_621X2425*Apport_125XC2425,2)-AG198</f>
        <v>73.899999999999977</v>
      </c>
      <c r="AI198" cm="1">
        <f t="array" ref="AI198">ROUND($Z198*Apport_124X2425,2)</f>
        <v>234.7</v>
      </c>
      <c r="AJ198">
        <f t="shared" si="42"/>
        <v>124.71000000000004</v>
      </c>
      <c r="AK198">
        <f t="shared" si="43"/>
        <v>857.39</v>
      </c>
      <c r="AL198">
        <f t="shared" si="44"/>
        <v>30.6</v>
      </c>
      <c r="AM198">
        <f t="shared" si="45"/>
        <v>208.36</v>
      </c>
      <c r="AN198">
        <f t="shared" si="46"/>
        <v>6.46</v>
      </c>
      <c r="AO198">
        <f>ROUND(($J198*CIS_Inc_Salary2425*(VLOOKUP($A198,EnrollData2324,'2324 Jun 24 Enroll'!AI$1,FALSE)+VLOOKUP($A198,EnrollData2324,'2324 Jun 24 Enroll'!AJ$1,FALSE))/Apport_613Xpd)*Apport_614Xpd,2)</f>
        <v>73.67</v>
      </c>
      <c r="AP198">
        <f t="shared" si="47"/>
        <v>12.9</v>
      </c>
      <c r="AQ198">
        <f t="shared" si="48"/>
        <v>31.48</v>
      </c>
      <c r="AR198" s="6">
        <f>ROUND((VLOOKUP($A198,EnrollData2324,'2324 Jun 24 Enroll'!D$1,FALSE)*Apport_M802425+VLOOKUP($A198,EnrollData2324,'2324 Jun 24 Enroll'!M$1,FALSE)*Apport_M802425+(VLOOKUP($A198,EnrollData2324,'2324 Jun 24 Enroll'!P$1,FALSE)+VLOOKUP($A198,EnrollData2324,'2324 Jun 24 Enroll'!Q$1,FALSE)+VLOOKUP($A198,EnrollData2324,'2324 Jun 24 Enroll'!R$1,FALSE)+VLOOKUP($A198,EnrollData2324,'2324 Jun 24 Enroll'!I$1,FALSE)+VLOOKUP($A198,EnrollData2324,'2324 Jun 24 Enroll'!N$1,FALSE)+VLOOKUP($A198,EnrollData2324,'2324 Jun 24 Enroll'!O$1,FALSE)+VLOOKUP($A198,EnrollData2324,'2324 Jun 24 Enroll'!K$1,FALSE)+VLOOKUP($A198,EnrollData2324,'2324 Jun 24 Enroll'!L$1,FALSE))*Apport_M812425)/(VLOOKUP($A198,EnrollData2324,'2324 Jun 24 Enroll'!M$1,FALSE)+VLOOKUP($A198,EnrollData2324,'2324 Jun 24 Enroll'!D$1,FALSE)),2)</f>
        <v>1619.5</v>
      </c>
      <c r="AS198" s="7">
        <f t="shared" si="49"/>
        <v>9970.3399999999983</v>
      </c>
    </row>
    <row r="199" spans="1:48">
      <c r="A199" s="40" t="s">
        <v>418</v>
      </c>
      <c r="B199" s="40" t="s">
        <v>419</v>
      </c>
      <c r="C199" s="11">
        <f>ROUND((IFERROR((1/IF(VLOOKUP($A199,EnrollData2324,28,FALSE)='District Calculations'!$F$10,VLOOKUP($A199,EnrollData2324,28,FALSE),'District Calculations'!$F$10))*(1+Apport_Z315),0))+Apport_201A2425,6)</f>
        <v>7.4580999999999995E-2</v>
      </c>
      <c r="D199">
        <f>ROUND(IF(VLOOKUP($A199,EnrollData2324,'2324 Jun 24 Enroll'!D$1,FALSE)='District Calculations'!$F$11,VLOOKUP($A199,EnrollData2324,'2324 Jun 24 Enroll'!D$1,FALSE),'District Calculations'!$F$11)*C199,3)</f>
        <v>0</v>
      </c>
      <c r="E199">
        <f>ROUND(IF(VLOOKUP($A199,EnrollData2324,'2324 Jun 24 Enroll'!E$1,FALSE)='District Calculations'!$F$12,VLOOKUP($A199,EnrollData2324,'2324 Jun 24 Enroll'!E$1,FALSE),'District Calculations'!$F$12)*C199,3)</f>
        <v>60.447000000000003</v>
      </c>
      <c r="F199">
        <f>ROUND(IF(VLOOKUP($A199,EnrollData2324,'2324 Jun 24 Enroll'!F$1,FALSE)='District Calculations'!$F$13,VLOOKUP($A199,EnrollData2324,'2324 Jun 24 Enroll'!F$1,FALSE),'District Calculations'!$F$13)*Apport_222A2425,3)</f>
        <v>10.337999999999999</v>
      </c>
      <c r="G199">
        <f>ROUND(IF(VLOOKUP($A199,EnrollData2324,'2324 Jun 24 Enroll'!G$1,FALSE)='District Calculations'!$F$14,VLOOKUP($A199,EnrollData2324,'2324 Jun 24 Enroll'!G$1,FALSE),'District Calculations'!$F$14)*Apport_210A2425,3)</f>
        <v>22.92</v>
      </c>
      <c r="H199">
        <f>ROUND(IF(VLOOKUP($A199,EnrollData2324,'2324 Jun 24 Enroll'!H$1,FALSE)='District Calculations'!$F$15,VLOOKUP($A199,EnrollData2324,'2324 Jun 24 Enroll'!H$1,FALSE),'District Calculations'!$F$15)*Apport_213A2425,3)</f>
        <v>23.619</v>
      </c>
      <c r="I199">
        <f>ROUND(IF(VLOOKUP($A199,EnrollData2324,'2324 Jun 24 Enroll'!I$1,FALSE)+VLOOKUP($A199,EnrollData2324,'2324 Jun 24 Enroll'!M$1,FALSE)-VLOOKUP($A199,EnrollData2324,'2324 Jun 24 Enroll'!J$1,FALSE)='District Calculations'!$F$16+'District Calculations'!$F$25-'District Calculations'!$F$17,VLOOKUP($A199,EnrollData2324,'2324 Jun 24 Enroll'!I$1,FALSE)+VLOOKUP($A199,EnrollData2324,'2324 Jun 24 Enroll'!M$1,FALSE)-VLOOKUP($A199,EnrollData2324,'2324 Jun 24 Enroll'!J$1,FALSE),'District Calculations'!$F$16+'District Calculations'!$F$25-'District Calculations'!$F$17)*Apport_216A2425,3)</f>
        <v>59.057000000000002</v>
      </c>
      <c r="J199">
        <f>ROUND(SUM(D199:I199)/(IF(VLOOKUP($A199,EnrollData2324,'2324 Jun 24 Enroll'!M$1,FALSE)='District Calculations'!$F$25,VLOOKUP($A199,EnrollData2324,'2324 Jun 24 Enroll'!M$1,FALSE),'District Calculations'!$F$25)+IF(VLOOKUP($A199,EnrollData2324,'2324 Jun 24 Enroll'!D$1,FALSE)='District Calculations'!$F$11,VLOOKUP($A199,EnrollData2324,'2324 Jun 24 Enroll'!D$1,FALSE),'District Calculations'!$F$11)),5)</f>
        <v>5.6520000000000001E-2</v>
      </c>
      <c r="K199" s="11">
        <f t="shared" si="40"/>
        <v>4.385E-3</v>
      </c>
      <c r="L199">
        <f>ROUND(IF(VLOOKUP($A199,EnrollData2324,'2324 Jun 24 Enroll'!D$1,FALSE)='District Calculations'!$F$11,VLOOKUP($A199,EnrollData2324,'2324 Jun 24 Enroll'!D$1,FALSE),'District Calculations'!$F$11)*K199,3)</f>
        <v>0</v>
      </c>
      <c r="M199">
        <f>ROUND(IF(VLOOKUP($A199,EnrollData2324,'2324 Jun 24 Enroll'!E$1,FALSE)='District Calculations'!$F$12,VLOOKUP($A199,EnrollData2324,'2324 Jun 24 Enroll'!E$1,FALSE),'District Calculations'!$F$12)*K199,3)</f>
        <v>3.5539999999999998</v>
      </c>
      <c r="N199">
        <f>ROUND(IF(VLOOKUP($A199,EnrollData2324,'2324 Jun 24 Enroll'!F$1,FALSE)='District Calculations'!$F$13,VLOOKUP($A199,EnrollData2324,'2324 Jun 24 Enroll'!F$1,FALSE),'District Calculations'!$F$13)*Apport_223A2425,3)</f>
        <v>0.84599999999999997</v>
      </c>
      <c r="O199">
        <f>ROUND(IF(VLOOKUP($A199,EnrollData2324,'2324 Jun 24 Enroll'!G$1,FALSE)='District Calculations'!$F$14,VLOOKUP($A199,EnrollData2324,'2324 Jun 24 Enroll'!G$1,FALSE),'District Calculations'!$F$14)*Apport_211A2425,3)</f>
        <v>1.877</v>
      </c>
      <c r="P199">
        <f>ROUND(IF(VLOOKUP($A199,EnrollData2324,'2324 Jun 24 Enroll'!H$1,FALSE)='District Calculations'!$F$14,VLOOKUP($A199,EnrollData2324,'2324 Jun 24 Enroll'!H$1,FALSE),'District Calculations'!$F$14)*Apport_214A2425,3)</f>
        <v>1.875</v>
      </c>
      <c r="Q199">
        <f>ROUND(IF(VLOOKUP($A199,EnrollData2324,'2324 Jun 24 Enroll'!I$1,FALSE)+VLOOKUP($A199,EnrollData2324,'2324 Jun 24 Enroll'!M$1,FALSE)-VLOOKUP($A199,EnrollData2324,'2324 Jun 24 Enroll'!J$1,FALSE)='District Calculations'!$F$16+'District Calculations'!$F$25-'District Calculations'!$F$17,VLOOKUP($A199,EnrollData2324,'2324 Jun 24 Enroll'!I$1,FALSE)+VLOOKUP($A199,EnrollData2324,'2324 Jun 24 Enroll'!M$1,FALSE)-VLOOKUP($A199,EnrollData2324,'2324 Jun 24 Enroll'!J$1,FALSE),'District Calculations'!$F$16+'District Calculations'!$F$25-'District Calculations'!$F$17)*Apport_217A2425,3)</f>
        <v>4.7130000000000001</v>
      </c>
      <c r="R199">
        <f>ROUND(SUM(L199:Q199)/IF(VLOOKUP($A199,EnrollData2324,'2324 Jun 24 Enroll'!M$1,FALSE)+VLOOKUP($A199,EnrollData2324,'2324 Jun 24 Enroll'!D$1,FALSE)='District Calculations'!$F$25+'District Calculations'!$F$11,VLOOKUP($A199,EnrollData2324,'2324 Jun 24 Enroll'!M$1,FALSE)+VLOOKUP($A199,EnrollData2324,'2324 Jun 24 Enroll'!D$1,FALSE),'District Calculations'!$F$25+'District Calculations'!$F$11),5)</f>
        <v>4.1200000000000004E-3</v>
      </c>
      <c r="S199" s="11">
        <f t="shared" si="41"/>
        <v>1.8734299999999999E-2</v>
      </c>
      <c r="T199">
        <f>ROUND(IF(VLOOKUP($A199,EnrollData2324,'2324 Jun 24 Enroll'!D$1,FALSE)='District Calculations'!$F$11,VLOOKUP($A199,EnrollData2324,'2324 Jun 24 Enroll'!D$1,FALSE),'District Calculations'!$F$11)*S199,3)</f>
        <v>0</v>
      </c>
      <c r="U199">
        <f>ROUND(IF(VLOOKUP($A199,EnrollData2324,'2324 Jun 24 Enroll'!E$1,FALSE)='District Calculations'!$F$12,VLOOKUP($A199,EnrollData2324,'2324 Jun 24 Enroll'!E$1,FALSE),'District Calculations'!$F$12)*S199,3)</f>
        <v>15.183999999999999</v>
      </c>
      <c r="V199">
        <f>ROUND(IF(VLOOKUP($A199,EnrollData2324,'2324 Jun 24 Enroll'!F$1,FALSE)='District Calculations'!$F$13,VLOOKUP($A199,EnrollData2324,'2324 Jun 24 Enroll'!F$1,FALSE),'District Calculations'!$F$13)*Apport_224A2425,3)</f>
        <v>3.7109999999999999</v>
      </c>
      <c r="W199">
        <f>ROUND(IF(VLOOKUP($A199,EnrollData2324,'2324 Jun 24 Enroll'!G$1,FALSE)='District Calculations'!$F$14,VLOOKUP($A199,EnrollData2324,'2324 Jun 24 Enroll'!G$1,FALSE),'District Calculations'!$F$14)*Apport_212A2425,3)</f>
        <v>8.2279999999999998</v>
      </c>
      <c r="X199">
        <f>ROUND(IF(VLOOKUP($A199,EnrollData2324,'2324 Jun 24 Enroll'!H$1,FALSE)='District Calculations'!$F$14,VLOOKUP($A199,EnrollData2324,'2324 Jun 24 Enroll'!H$1,FALSE),'District Calculations'!$F$14)*Apport_215A2425,3)</f>
        <v>8.1180000000000003</v>
      </c>
      <c r="Y199">
        <f>ROUND(IF(VLOOKUP($A199,EnrollData2324,'2324 Jun 24 Enroll'!I$1,FALSE)+VLOOKUP($A199,EnrollData2324,'2324 Jun 24 Enroll'!M$1,FALSE)-VLOOKUP($A199,EnrollData2324,'2324 Jun 24 Enroll'!J$1,FALSE)='District Calculations'!$F$16+'District Calculations'!$F$25-'District Calculations'!$F$17,VLOOKUP($A199,EnrollData2324,'2324 Jun 24 Enroll'!I$1,FALSE)+VLOOKUP($A199,EnrollData2324,'2324 Jun 24 Enroll'!M$1,FALSE)-VLOOKUP($A199,EnrollData2324,'2324 Jun 24 Enroll'!J$1,FALSE),'District Calculations'!$F$16+'District Calculations'!$F$25-'District Calculations'!$F$17)*Apport_218A2425,3)</f>
        <v>20.257999999999999</v>
      </c>
      <c r="Z199">
        <f>ROUND(SUM(T199:Y199)/IF(VLOOKUP($A199,EnrollData2324,'2324 Jun 24 Enroll'!M$1,FALSE)+VLOOKUP($A199,EnrollData2324,'2324 Jun 24 Enroll'!D$1,FALSE)='District Calculations'!$F$25+'District Calculations'!$F$11,VLOOKUP($A199,EnrollData2324,'2324 Jun 24 Enroll'!M$1,FALSE)+VLOOKUP($A199,EnrollData2324,'2324 Jun 24 Enroll'!D$1,FALSE),'District Calculations'!$F$25+'District Calculations'!$F$11),5)</f>
        <v>1.7780000000000001E-2</v>
      </c>
      <c r="AA199" s="6">
        <f>ROUND($J199*CIS_Base_Salary2425*VLOOKUP($A199,EnrollData2324,'2324 Jun 24 Enroll'!AH$1,FALSE),2)</f>
        <v>4262.68</v>
      </c>
      <c r="AB199" s="6">
        <f>ROUND($J199*CIS_Inc_Salary2425*(VLOOKUP($A199,EnrollData2324,'2324 Jun 24 Enroll'!AI$1,FALSE)+VLOOKUP($A199,EnrollData2324,'2324 Jun 24 Enroll'!AJ$1,FALSE)),2)-AA199</f>
        <v>157.6899999999996</v>
      </c>
      <c r="AC199" s="6" cm="1">
        <f t="array" ref="AC199">ROUND($R199*CAS_Base_Salary2425*VLOOKUP($A199,EnrollData2324,'2324 Jun 24 Enroll'!AH$1,FALSE),2)</f>
        <v>461.23</v>
      </c>
      <c r="AD199" s="6">
        <f>ROUND($R199*CAS_Inc_Salary2425*VLOOKUP($A199,EnrollData2324,'2324 Jun 24 Enroll'!AI$1,FALSE),2)-AC199</f>
        <v>17.069999999999993</v>
      </c>
      <c r="AE199" s="6">
        <f>ROUND($Z199*CLS_Base_Salary2425*VLOOKUP($A199,EnrollData2324,'2324 Jun 24 Enroll'!AH$1,FALSE),2)</f>
        <v>961.95</v>
      </c>
      <c r="AF199" s="6">
        <f>ROUND($Z199*CLS_Inc_Salary2425*VLOOKUP($A199,EnrollData2324,'2324 Jun 24 Enroll'!AI$1,FALSE),2)-AE199</f>
        <v>35.599999999999909</v>
      </c>
      <c r="AG199" cm="1">
        <f t="array" ref="AG199">ROUND(($J199+$R199)*Apport_124X2425,2)</f>
        <v>800.45</v>
      </c>
      <c r="AH199" s="69" cm="1">
        <f t="array" ref="AH199">ROUND(($J199+$R199)*Apport_621X2425*Apport_125XC2425,2)-AG199</f>
        <v>73.899999999999977</v>
      </c>
      <c r="AI199" cm="1">
        <f t="array" ref="AI199">ROUND($Z199*Apport_124X2425,2)</f>
        <v>234.7</v>
      </c>
      <c r="AJ199">
        <f t="shared" si="42"/>
        <v>124.71000000000004</v>
      </c>
      <c r="AK199">
        <f t="shared" si="43"/>
        <v>857.39</v>
      </c>
      <c r="AL199">
        <f t="shared" si="44"/>
        <v>30.6</v>
      </c>
      <c r="AM199">
        <f t="shared" si="45"/>
        <v>208.36</v>
      </c>
      <c r="AN199">
        <f t="shared" si="46"/>
        <v>6.46</v>
      </c>
      <c r="AO199">
        <f>ROUND(($J199*CIS_Inc_Salary2425*(VLOOKUP($A199,EnrollData2324,'2324 Jun 24 Enroll'!AI$1,FALSE)+VLOOKUP($A199,EnrollData2324,'2324 Jun 24 Enroll'!AJ$1,FALSE))/Apport_613Xpd)*Apport_614Xpd,2)</f>
        <v>73.67</v>
      </c>
      <c r="AP199">
        <f t="shared" si="47"/>
        <v>12.9</v>
      </c>
      <c r="AQ199">
        <f t="shared" si="48"/>
        <v>31.48</v>
      </c>
      <c r="AR199" s="6">
        <f>ROUND((VLOOKUP($A199,EnrollData2324,'2324 Jun 24 Enroll'!D$1,FALSE)*Apport_M802425+VLOOKUP($A199,EnrollData2324,'2324 Jun 24 Enroll'!M$1,FALSE)*Apport_M802425+(VLOOKUP($A199,EnrollData2324,'2324 Jun 24 Enroll'!P$1,FALSE)+VLOOKUP($A199,EnrollData2324,'2324 Jun 24 Enroll'!Q$1,FALSE)+VLOOKUP($A199,EnrollData2324,'2324 Jun 24 Enroll'!R$1,FALSE)+VLOOKUP($A199,EnrollData2324,'2324 Jun 24 Enroll'!I$1,FALSE)+VLOOKUP($A199,EnrollData2324,'2324 Jun 24 Enroll'!N$1,FALSE)+VLOOKUP($A199,EnrollData2324,'2324 Jun 24 Enroll'!O$1,FALSE)+VLOOKUP($A199,EnrollData2324,'2324 Jun 24 Enroll'!K$1,FALSE)+VLOOKUP($A199,EnrollData2324,'2324 Jun 24 Enroll'!L$1,FALSE))*Apport_M812425)/(VLOOKUP($A199,EnrollData2324,'2324 Jun 24 Enroll'!M$1,FALSE)+VLOOKUP($A199,EnrollData2324,'2324 Jun 24 Enroll'!D$1,FALSE)),2)</f>
        <v>1638.34</v>
      </c>
      <c r="AS199" s="7">
        <f t="shared" si="49"/>
        <v>9989.1799999999985</v>
      </c>
    </row>
    <row r="200" spans="1:48">
      <c r="A200" s="40" t="s">
        <v>753</v>
      </c>
      <c r="B200" s="40" t="s">
        <v>754</v>
      </c>
      <c r="C200" s="11">
        <f>ROUND((IFERROR((1/IF(VLOOKUP($A200,EnrollData2324,28,FALSE)='District Calculations'!$F$10,VLOOKUP($A200,EnrollData2324,28,FALSE),'District Calculations'!$F$10))*(1+Apport_Z315),0))+Apport_201A2425,6)</f>
        <v>7.4580999999999995E-2</v>
      </c>
      <c r="D200">
        <f>ROUND(IF(VLOOKUP($A200,EnrollData2324,'2324 Jun 24 Enroll'!D$1,FALSE)='District Calculations'!$F$11,VLOOKUP($A200,EnrollData2324,'2324 Jun 24 Enroll'!D$1,FALSE),'District Calculations'!$F$11)*C200,3)</f>
        <v>0</v>
      </c>
      <c r="E200">
        <f>ROUND(IF(VLOOKUP($A200,EnrollData2324,'2324 Jun 24 Enroll'!E$1,FALSE)='District Calculations'!$F$12,VLOOKUP($A200,EnrollData2324,'2324 Jun 24 Enroll'!E$1,FALSE),'District Calculations'!$F$12)*C200,3)</f>
        <v>60.447000000000003</v>
      </c>
      <c r="F200">
        <f>ROUND(IF(VLOOKUP($A200,EnrollData2324,'2324 Jun 24 Enroll'!F$1,FALSE)='District Calculations'!$F$13,VLOOKUP($A200,EnrollData2324,'2324 Jun 24 Enroll'!F$1,FALSE),'District Calculations'!$F$13)*Apport_222A2425,3)</f>
        <v>10.337999999999999</v>
      </c>
      <c r="G200">
        <f>ROUND(IF(VLOOKUP($A200,EnrollData2324,'2324 Jun 24 Enroll'!G$1,FALSE)='District Calculations'!$F$14,VLOOKUP($A200,EnrollData2324,'2324 Jun 24 Enroll'!G$1,FALSE),'District Calculations'!$F$14)*Apport_210A2425,3)</f>
        <v>22.92</v>
      </c>
      <c r="H200">
        <f>ROUND(IF(VLOOKUP($A200,EnrollData2324,'2324 Jun 24 Enroll'!H$1,FALSE)='District Calculations'!$F$15,VLOOKUP($A200,EnrollData2324,'2324 Jun 24 Enroll'!H$1,FALSE),'District Calculations'!$F$15)*Apport_213A2425,3)</f>
        <v>23.619</v>
      </c>
      <c r="I200">
        <f>ROUND(IF(VLOOKUP($A200,EnrollData2324,'2324 Jun 24 Enroll'!I$1,FALSE)+VLOOKUP($A200,EnrollData2324,'2324 Jun 24 Enroll'!M$1,FALSE)-VLOOKUP($A200,EnrollData2324,'2324 Jun 24 Enroll'!J$1,FALSE)='District Calculations'!$F$16+'District Calculations'!$F$25-'District Calculations'!$F$17,VLOOKUP($A200,EnrollData2324,'2324 Jun 24 Enroll'!I$1,FALSE)+VLOOKUP($A200,EnrollData2324,'2324 Jun 24 Enroll'!M$1,FALSE)-VLOOKUP($A200,EnrollData2324,'2324 Jun 24 Enroll'!J$1,FALSE),'District Calculations'!$F$16+'District Calculations'!$F$25-'District Calculations'!$F$17)*Apport_216A2425,3)</f>
        <v>59.057000000000002</v>
      </c>
      <c r="J200">
        <f>ROUND(SUM(D200:I200)/(IF(VLOOKUP($A200,EnrollData2324,'2324 Jun 24 Enroll'!M$1,FALSE)='District Calculations'!$F$25,VLOOKUP($A200,EnrollData2324,'2324 Jun 24 Enroll'!M$1,FALSE),'District Calculations'!$F$25)+IF(VLOOKUP($A200,EnrollData2324,'2324 Jun 24 Enroll'!D$1,FALSE)='District Calculations'!$F$11,VLOOKUP($A200,EnrollData2324,'2324 Jun 24 Enroll'!D$1,FALSE),'District Calculations'!$F$11)),5)</f>
        <v>5.6520000000000001E-2</v>
      </c>
      <c r="K200" s="11">
        <f t="shared" si="40"/>
        <v>4.385E-3</v>
      </c>
      <c r="L200">
        <f>ROUND(IF(VLOOKUP($A200,EnrollData2324,'2324 Jun 24 Enroll'!D$1,FALSE)='District Calculations'!$F$11,VLOOKUP($A200,EnrollData2324,'2324 Jun 24 Enroll'!D$1,FALSE),'District Calculations'!$F$11)*K200,3)</f>
        <v>0</v>
      </c>
      <c r="M200">
        <f>ROUND(IF(VLOOKUP($A200,EnrollData2324,'2324 Jun 24 Enroll'!E$1,FALSE)='District Calculations'!$F$12,VLOOKUP($A200,EnrollData2324,'2324 Jun 24 Enroll'!E$1,FALSE),'District Calculations'!$F$12)*K200,3)</f>
        <v>3.5539999999999998</v>
      </c>
      <c r="N200">
        <f>ROUND(IF(VLOOKUP($A200,EnrollData2324,'2324 Jun 24 Enroll'!F$1,FALSE)='District Calculations'!$F$13,VLOOKUP($A200,EnrollData2324,'2324 Jun 24 Enroll'!F$1,FALSE),'District Calculations'!$F$13)*Apport_223A2425,3)</f>
        <v>0.84599999999999997</v>
      </c>
      <c r="O200">
        <f>ROUND(IF(VLOOKUP($A200,EnrollData2324,'2324 Jun 24 Enroll'!G$1,FALSE)='District Calculations'!$F$14,VLOOKUP($A200,EnrollData2324,'2324 Jun 24 Enroll'!G$1,FALSE),'District Calculations'!$F$14)*Apport_211A2425,3)</f>
        <v>1.877</v>
      </c>
      <c r="P200">
        <f>ROUND(IF(VLOOKUP($A200,EnrollData2324,'2324 Jun 24 Enroll'!H$1,FALSE)='District Calculations'!$F$14,VLOOKUP($A200,EnrollData2324,'2324 Jun 24 Enroll'!H$1,FALSE),'District Calculations'!$F$14)*Apport_214A2425,3)</f>
        <v>1.875</v>
      </c>
      <c r="Q200">
        <f>ROUND(IF(VLOOKUP($A200,EnrollData2324,'2324 Jun 24 Enroll'!I$1,FALSE)+VLOOKUP($A200,EnrollData2324,'2324 Jun 24 Enroll'!M$1,FALSE)-VLOOKUP($A200,EnrollData2324,'2324 Jun 24 Enroll'!J$1,FALSE)='District Calculations'!$F$16+'District Calculations'!$F$25-'District Calculations'!$F$17,VLOOKUP($A200,EnrollData2324,'2324 Jun 24 Enroll'!I$1,FALSE)+VLOOKUP($A200,EnrollData2324,'2324 Jun 24 Enroll'!M$1,FALSE)-VLOOKUP($A200,EnrollData2324,'2324 Jun 24 Enroll'!J$1,FALSE),'District Calculations'!$F$16+'District Calculations'!$F$25-'District Calculations'!$F$17)*Apport_217A2425,3)</f>
        <v>4.7130000000000001</v>
      </c>
      <c r="R200">
        <f>ROUND(SUM(L200:Q200)/IF(VLOOKUP($A200,EnrollData2324,'2324 Jun 24 Enroll'!M$1,FALSE)+VLOOKUP($A200,EnrollData2324,'2324 Jun 24 Enroll'!D$1,FALSE)='District Calculations'!$F$25+'District Calculations'!$F$11,VLOOKUP($A200,EnrollData2324,'2324 Jun 24 Enroll'!M$1,FALSE)+VLOOKUP($A200,EnrollData2324,'2324 Jun 24 Enroll'!D$1,FALSE),'District Calculations'!$F$25+'District Calculations'!$F$11),5)</f>
        <v>4.1200000000000004E-3</v>
      </c>
      <c r="S200" s="11">
        <f t="shared" si="41"/>
        <v>1.8734299999999999E-2</v>
      </c>
      <c r="T200">
        <f>ROUND(IF(VLOOKUP($A200,EnrollData2324,'2324 Jun 24 Enroll'!D$1,FALSE)='District Calculations'!$F$11,VLOOKUP($A200,EnrollData2324,'2324 Jun 24 Enroll'!D$1,FALSE),'District Calculations'!$F$11)*S200,3)</f>
        <v>0</v>
      </c>
      <c r="U200">
        <f>ROUND(IF(VLOOKUP($A200,EnrollData2324,'2324 Jun 24 Enroll'!E$1,FALSE)='District Calculations'!$F$12,VLOOKUP($A200,EnrollData2324,'2324 Jun 24 Enroll'!E$1,FALSE),'District Calculations'!$F$12)*S200,3)</f>
        <v>15.183999999999999</v>
      </c>
      <c r="V200">
        <f>ROUND(IF(VLOOKUP($A200,EnrollData2324,'2324 Jun 24 Enroll'!F$1,FALSE)='District Calculations'!$F$13,VLOOKUP($A200,EnrollData2324,'2324 Jun 24 Enroll'!F$1,FALSE),'District Calculations'!$F$13)*Apport_224A2425,3)</f>
        <v>3.7109999999999999</v>
      </c>
      <c r="W200">
        <f>ROUND(IF(VLOOKUP($A200,EnrollData2324,'2324 Jun 24 Enroll'!G$1,FALSE)='District Calculations'!$F$14,VLOOKUP($A200,EnrollData2324,'2324 Jun 24 Enroll'!G$1,FALSE),'District Calculations'!$F$14)*Apport_212A2425,3)</f>
        <v>8.2279999999999998</v>
      </c>
      <c r="X200">
        <f>ROUND(IF(VLOOKUP($A200,EnrollData2324,'2324 Jun 24 Enroll'!H$1,FALSE)='District Calculations'!$F$14,VLOOKUP($A200,EnrollData2324,'2324 Jun 24 Enroll'!H$1,FALSE),'District Calculations'!$F$14)*Apport_215A2425,3)</f>
        <v>8.1180000000000003</v>
      </c>
      <c r="Y200">
        <f>ROUND(IF(VLOOKUP($A200,EnrollData2324,'2324 Jun 24 Enroll'!I$1,FALSE)+VLOOKUP($A200,EnrollData2324,'2324 Jun 24 Enroll'!M$1,FALSE)-VLOOKUP($A200,EnrollData2324,'2324 Jun 24 Enroll'!J$1,FALSE)='District Calculations'!$F$16+'District Calculations'!$F$25-'District Calculations'!$F$17,VLOOKUP($A200,EnrollData2324,'2324 Jun 24 Enroll'!I$1,FALSE)+VLOOKUP($A200,EnrollData2324,'2324 Jun 24 Enroll'!M$1,FALSE)-VLOOKUP($A200,EnrollData2324,'2324 Jun 24 Enroll'!J$1,FALSE),'District Calculations'!$F$16+'District Calculations'!$F$25-'District Calculations'!$F$17)*Apport_218A2425,3)</f>
        <v>20.257999999999999</v>
      </c>
      <c r="Z200">
        <f>ROUND(SUM(T200:Y200)/IF(VLOOKUP($A200,EnrollData2324,'2324 Jun 24 Enroll'!M$1,FALSE)+VLOOKUP($A200,EnrollData2324,'2324 Jun 24 Enroll'!D$1,FALSE)='District Calculations'!$F$25+'District Calculations'!$F$11,VLOOKUP($A200,EnrollData2324,'2324 Jun 24 Enroll'!M$1,FALSE)+VLOOKUP($A200,EnrollData2324,'2324 Jun 24 Enroll'!D$1,FALSE),'District Calculations'!$F$25+'District Calculations'!$F$11),5)</f>
        <v>1.7780000000000001E-2</v>
      </c>
      <c r="AA200" s="6">
        <f>ROUND($J200*CIS_Base_Salary2425*VLOOKUP($A200,EnrollData2324,'2324 Jun 24 Enroll'!AH$1,FALSE),2)</f>
        <v>4262.68</v>
      </c>
      <c r="AB200" s="6">
        <f>ROUND($J200*CIS_Inc_Salary2425*(VLOOKUP($A200,EnrollData2324,'2324 Jun 24 Enroll'!AI$1,FALSE)+VLOOKUP($A200,EnrollData2324,'2324 Jun 24 Enroll'!AJ$1,FALSE)),2)-AA200</f>
        <v>157.6899999999996</v>
      </c>
      <c r="AC200" s="6" cm="1">
        <f t="array" ref="AC200">ROUND($R200*CAS_Base_Salary2425*VLOOKUP($A200,EnrollData2324,'2324 Jun 24 Enroll'!AH$1,FALSE),2)</f>
        <v>461.23</v>
      </c>
      <c r="AD200" s="6">
        <f>ROUND($R200*CAS_Inc_Salary2425*VLOOKUP($A200,EnrollData2324,'2324 Jun 24 Enroll'!AI$1,FALSE),2)-AC200</f>
        <v>17.069999999999993</v>
      </c>
      <c r="AE200" s="6">
        <f>ROUND($Z200*CLS_Base_Salary2425*VLOOKUP($A200,EnrollData2324,'2324 Jun 24 Enroll'!AH$1,FALSE),2)</f>
        <v>961.95</v>
      </c>
      <c r="AF200" s="6">
        <f>ROUND($Z200*CLS_Inc_Salary2425*VLOOKUP($A200,EnrollData2324,'2324 Jun 24 Enroll'!AI$1,FALSE),2)-AE200</f>
        <v>35.599999999999909</v>
      </c>
      <c r="AG200" cm="1">
        <f t="array" ref="AG200">ROUND(($J200+$R200)*Apport_124X2425,2)</f>
        <v>800.45</v>
      </c>
      <c r="AH200" s="69" cm="1">
        <f t="array" ref="AH200">ROUND(($J200+$R200)*Apport_621X2425*Apport_125XC2425,2)-AG200</f>
        <v>73.899999999999977</v>
      </c>
      <c r="AI200" cm="1">
        <f t="array" ref="AI200">ROUND($Z200*Apport_124X2425,2)</f>
        <v>234.7</v>
      </c>
      <c r="AJ200">
        <f t="shared" si="42"/>
        <v>124.71000000000004</v>
      </c>
      <c r="AK200">
        <f t="shared" si="43"/>
        <v>857.39</v>
      </c>
      <c r="AL200">
        <f t="shared" si="44"/>
        <v>30.6</v>
      </c>
      <c r="AM200">
        <f t="shared" si="45"/>
        <v>208.36</v>
      </c>
      <c r="AN200">
        <f t="shared" si="46"/>
        <v>6.46</v>
      </c>
      <c r="AO200">
        <f>ROUND(($J200*CIS_Inc_Salary2425*(VLOOKUP($A200,EnrollData2324,'2324 Jun 24 Enroll'!AI$1,FALSE)+VLOOKUP($A200,EnrollData2324,'2324 Jun 24 Enroll'!AJ$1,FALSE))/Apport_613Xpd)*Apport_614Xpd,2)</f>
        <v>73.67</v>
      </c>
      <c r="AP200">
        <f t="shared" si="47"/>
        <v>12.9</v>
      </c>
      <c r="AQ200">
        <f t="shared" si="48"/>
        <v>31.48</v>
      </c>
      <c r="AR200" s="6">
        <f>ROUND((VLOOKUP($A200,EnrollData2324,'2324 Jun 24 Enroll'!D$1,FALSE)*Apport_M802425+VLOOKUP($A200,EnrollData2324,'2324 Jun 24 Enroll'!M$1,FALSE)*Apport_M802425+(VLOOKUP($A200,EnrollData2324,'2324 Jun 24 Enroll'!P$1,FALSE)+VLOOKUP($A200,EnrollData2324,'2324 Jun 24 Enroll'!Q$1,FALSE)+VLOOKUP($A200,EnrollData2324,'2324 Jun 24 Enroll'!R$1,FALSE)+VLOOKUP($A200,EnrollData2324,'2324 Jun 24 Enroll'!I$1,FALSE)+VLOOKUP($A200,EnrollData2324,'2324 Jun 24 Enroll'!N$1,FALSE)+VLOOKUP($A200,EnrollData2324,'2324 Jun 24 Enroll'!O$1,FALSE)+VLOOKUP($A200,EnrollData2324,'2324 Jun 24 Enroll'!K$1,FALSE)+VLOOKUP($A200,EnrollData2324,'2324 Jun 24 Enroll'!L$1,FALSE))*Apport_M812425)/(VLOOKUP($A200,EnrollData2324,'2324 Jun 24 Enroll'!M$1,FALSE)+VLOOKUP($A200,EnrollData2324,'2324 Jun 24 Enroll'!D$1,FALSE)),2)</f>
        <v>1592.35</v>
      </c>
      <c r="AS200" s="7">
        <f t="shared" si="49"/>
        <v>9943.1899999999987</v>
      </c>
    </row>
    <row r="201" spans="1:48">
      <c r="A201" s="40" t="s">
        <v>795</v>
      </c>
      <c r="B201" s="40" t="s">
        <v>796</v>
      </c>
      <c r="C201" s="11">
        <f>ROUND((IFERROR((1/IF(VLOOKUP($A201,EnrollData2324,28,FALSE)='District Calculations'!$F$10,VLOOKUP($A201,EnrollData2324,28,FALSE),'District Calculations'!$F$10))*(1+Apport_Z315),0))+Apport_201A2425,6)</f>
        <v>7.4580999999999995E-2</v>
      </c>
      <c r="D201">
        <f>ROUND(IF(VLOOKUP($A201,EnrollData2324,'2324 Jun 24 Enroll'!D$1,FALSE)='District Calculations'!$F$11,VLOOKUP($A201,EnrollData2324,'2324 Jun 24 Enroll'!D$1,FALSE),'District Calculations'!$F$11)*C201,3)</f>
        <v>0</v>
      </c>
      <c r="E201">
        <f>ROUND(IF(VLOOKUP($A201,EnrollData2324,'2324 Jun 24 Enroll'!E$1,FALSE)='District Calculations'!$F$12,VLOOKUP($A201,EnrollData2324,'2324 Jun 24 Enroll'!E$1,FALSE),'District Calculations'!$F$12)*C201,3)</f>
        <v>60.447000000000003</v>
      </c>
      <c r="F201">
        <f>ROUND(IF(VLOOKUP($A201,EnrollData2324,'2324 Jun 24 Enroll'!F$1,FALSE)='District Calculations'!$F$13,VLOOKUP($A201,EnrollData2324,'2324 Jun 24 Enroll'!F$1,FALSE),'District Calculations'!$F$13)*Apport_222A2425,3)</f>
        <v>10.337999999999999</v>
      </c>
      <c r="G201">
        <f>ROUND(IF(VLOOKUP($A201,EnrollData2324,'2324 Jun 24 Enroll'!G$1,FALSE)='District Calculations'!$F$14,VLOOKUP($A201,EnrollData2324,'2324 Jun 24 Enroll'!G$1,FALSE),'District Calculations'!$F$14)*Apport_210A2425,3)</f>
        <v>22.92</v>
      </c>
      <c r="H201">
        <f>ROUND(IF(VLOOKUP($A201,EnrollData2324,'2324 Jun 24 Enroll'!H$1,FALSE)='District Calculations'!$F$15,VLOOKUP($A201,EnrollData2324,'2324 Jun 24 Enroll'!H$1,FALSE),'District Calculations'!$F$15)*Apport_213A2425,3)</f>
        <v>23.619</v>
      </c>
      <c r="I201">
        <f>ROUND(IF(VLOOKUP($A201,EnrollData2324,'2324 Jun 24 Enroll'!I$1,FALSE)+VLOOKUP($A201,EnrollData2324,'2324 Jun 24 Enroll'!M$1,FALSE)-VLOOKUP($A201,EnrollData2324,'2324 Jun 24 Enroll'!J$1,FALSE)='District Calculations'!$F$16+'District Calculations'!$F$25-'District Calculations'!$F$17,VLOOKUP($A201,EnrollData2324,'2324 Jun 24 Enroll'!I$1,FALSE)+VLOOKUP($A201,EnrollData2324,'2324 Jun 24 Enroll'!M$1,FALSE)-VLOOKUP($A201,EnrollData2324,'2324 Jun 24 Enroll'!J$1,FALSE),'District Calculations'!$F$16+'District Calculations'!$F$25-'District Calculations'!$F$17)*Apport_216A2425,3)</f>
        <v>59.057000000000002</v>
      </c>
      <c r="J201">
        <f>ROUND(SUM(D201:I201)/(IF(VLOOKUP($A201,EnrollData2324,'2324 Jun 24 Enroll'!M$1,FALSE)='District Calculations'!$F$25,VLOOKUP($A201,EnrollData2324,'2324 Jun 24 Enroll'!M$1,FALSE),'District Calculations'!$F$25)+IF(VLOOKUP($A201,EnrollData2324,'2324 Jun 24 Enroll'!D$1,FALSE)='District Calculations'!$F$11,VLOOKUP($A201,EnrollData2324,'2324 Jun 24 Enroll'!D$1,FALSE),'District Calculations'!$F$11)),5)</f>
        <v>5.6520000000000001E-2</v>
      </c>
      <c r="K201" s="11">
        <f t="shared" si="40"/>
        <v>4.385E-3</v>
      </c>
      <c r="L201">
        <f>ROUND(IF(VLOOKUP($A201,EnrollData2324,'2324 Jun 24 Enroll'!D$1,FALSE)='District Calculations'!$F$11,VLOOKUP($A201,EnrollData2324,'2324 Jun 24 Enroll'!D$1,FALSE),'District Calculations'!$F$11)*K201,3)</f>
        <v>0</v>
      </c>
      <c r="M201">
        <f>ROUND(IF(VLOOKUP($A201,EnrollData2324,'2324 Jun 24 Enroll'!E$1,FALSE)='District Calculations'!$F$12,VLOOKUP($A201,EnrollData2324,'2324 Jun 24 Enroll'!E$1,FALSE),'District Calculations'!$F$12)*K201,3)</f>
        <v>3.5539999999999998</v>
      </c>
      <c r="N201">
        <f>ROUND(IF(VLOOKUP($A201,EnrollData2324,'2324 Jun 24 Enroll'!F$1,FALSE)='District Calculations'!$F$13,VLOOKUP($A201,EnrollData2324,'2324 Jun 24 Enroll'!F$1,FALSE),'District Calculations'!$F$13)*Apport_223A2425,3)</f>
        <v>0.84599999999999997</v>
      </c>
      <c r="O201">
        <f>ROUND(IF(VLOOKUP($A201,EnrollData2324,'2324 Jun 24 Enroll'!G$1,FALSE)='District Calculations'!$F$14,VLOOKUP($A201,EnrollData2324,'2324 Jun 24 Enroll'!G$1,FALSE),'District Calculations'!$F$14)*Apport_211A2425,3)</f>
        <v>1.877</v>
      </c>
      <c r="P201">
        <f>ROUND(IF(VLOOKUP($A201,EnrollData2324,'2324 Jun 24 Enroll'!H$1,FALSE)='District Calculations'!$F$14,VLOOKUP($A201,EnrollData2324,'2324 Jun 24 Enroll'!H$1,FALSE),'District Calculations'!$F$14)*Apport_214A2425,3)</f>
        <v>1.875</v>
      </c>
      <c r="Q201">
        <f>ROUND(IF(VLOOKUP($A201,EnrollData2324,'2324 Jun 24 Enroll'!I$1,FALSE)+VLOOKUP($A201,EnrollData2324,'2324 Jun 24 Enroll'!M$1,FALSE)-VLOOKUP($A201,EnrollData2324,'2324 Jun 24 Enroll'!J$1,FALSE)='District Calculations'!$F$16+'District Calculations'!$F$25-'District Calculations'!$F$17,VLOOKUP($A201,EnrollData2324,'2324 Jun 24 Enroll'!I$1,FALSE)+VLOOKUP($A201,EnrollData2324,'2324 Jun 24 Enroll'!M$1,FALSE)-VLOOKUP($A201,EnrollData2324,'2324 Jun 24 Enroll'!J$1,FALSE),'District Calculations'!$F$16+'District Calculations'!$F$25-'District Calculations'!$F$17)*Apport_217A2425,3)</f>
        <v>4.7130000000000001</v>
      </c>
      <c r="R201">
        <f>ROUND(SUM(L201:Q201)/IF(VLOOKUP($A201,EnrollData2324,'2324 Jun 24 Enroll'!M$1,FALSE)+VLOOKUP($A201,EnrollData2324,'2324 Jun 24 Enroll'!D$1,FALSE)='District Calculations'!$F$25+'District Calculations'!$F$11,VLOOKUP($A201,EnrollData2324,'2324 Jun 24 Enroll'!M$1,FALSE)+VLOOKUP($A201,EnrollData2324,'2324 Jun 24 Enroll'!D$1,FALSE),'District Calculations'!$F$25+'District Calculations'!$F$11),5)</f>
        <v>4.1200000000000004E-3</v>
      </c>
      <c r="S201" s="11">
        <f t="shared" si="41"/>
        <v>1.8734299999999999E-2</v>
      </c>
      <c r="T201">
        <f>ROUND(IF(VLOOKUP($A201,EnrollData2324,'2324 Jun 24 Enroll'!D$1,FALSE)='District Calculations'!$F$11,VLOOKUP($A201,EnrollData2324,'2324 Jun 24 Enroll'!D$1,FALSE),'District Calculations'!$F$11)*S201,3)</f>
        <v>0</v>
      </c>
      <c r="U201">
        <f>ROUND(IF(VLOOKUP($A201,EnrollData2324,'2324 Jun 24 Enroll'!E$1,FALSE)='District Calculations'!$F$12,VLOOKUP($A201,EnrollData2324,'2324 Jun 24 Enroll'!E$1,FALSE),'District Calculations'!$F$12)*S201,3)</f>
        <v>15.183999999999999</v>
      </c>
      <c r="V201">
        <f>ROUND(IF(VLOOKUP($A201,EnrollData2324,'2324 Jun 24 Enroll'!F$1,FALSE)='District Calculations'!$F$13,VLOOKUP($A201,EnrollData2324,'2324 Jun 24 Enroll'!F$1,FALSE),'District Calculations'!$F$13)*Apport_224A2425,3)</f>
        <v>3.7109999999999999</v>
      </c>
      <c r="W201">
        <f>ROUND(IF(VLOOKUP($A201,EnrollData2324,'2324 Jun 24 Enroll'!G$1,FALSE)='District Calculations'!$F$14,VLOOKUP($A201,EnrollData2324,'2324 Jun 24 Enroll'!G$1,FALSE),'District Calculations'!$F$14)*Apport_212A2425,3)</f>
        <v>8.2279999999999998</v>
      </c>
      <c r="X201">
        <f>ROUND(IF(VLOOKUP($A201,EnrollData2324,'2324 Jun 24 Enroll'!H$1,FALSE)='District Calculations'!$F$14,VLOOKUP($A201,EnrollData2324,'2324 Jun 24 Enroll'!H$1,FALSE),'District Calculations'!$F$14)*Apport_215A2425,3)</f>
        <v>8.1180000000000003</v>
      </c>
      <c r="Y201">
        <f>ROUND(IF(VLOOKUP($A201,EnrollData2324,'2324 Jun 24 Enroll'!I$1,FALSE)+VLOOKUP($A201,EnrollData2324,'2324 Jun 24 Enroll'!M$1,FALSE)-VLOOKUP($A201,EnrollData2324,'2324 Jun 24 Enroll'!J$1,FALSE)='District Calculations'!$F$16+'District Calculations'!$F$25-'District Calculations'!$F$17,VLOOKUP($A201,EnrollData2324,'2324 Jun 24 Enroll'!I$1,FALSE)+VLOOKUP($A201,EnrollData2324,'2324 Jun 24 Enroll'!M$1,FALSE)-VLOOKUP($A201,EnrollData2324,'2324 Jun 24 Enroll'!J$1,FALSE),'District Calculations'!$F$16+'District Calculations'!$F$25-'District Calculations'!$F$17)*Apport_218A2425,3)</f>
        <v>20.257999999999999</v>
      </c>
      <c r="Z201">
        <f>ROUND(SUM(T201:Y201)/IF(VLOOKUP($A201,EnrollData2324,'2324 Jun 24 Enroll'!M$1,FALSE)+VLOOKUP($A201,EnrollData2324,'2324 Jun 24 Enroll'!D$1,FALSE)='District Calculations'!$F$25+'District Calculations'!$F$11,VLOOKUP($A201,EnrollData2324,'2324 Jun 24 Enroll'!M$1,FALSE)+VLOOKUP($A201,EnrollData2324,'2324 Jun 24 Enroll'!D$1,FALSE),'District Calculations'!$F$25+'District Calculations'!$F$11),5)</f>
        <v>1.7780000000000001E-2</v>
      </c>
      <c r="AA201" s="6">
        <f>ROUND($J201*CIS_Base_Salary2425*VLOOKUP($A201,EnrollData2324,'2324 Jun 24 Enroll'!AH$1,FALSE),2)</f>
        <v>4518.4399999999996</v>
      </c>
      <c r="AB201" s="6">
        <f>ROUND($J201*CIS_Inc_Salary2425*(VLOOKUP($A201,EnrollData2324,'2324 Jun 24 Enroll'!AI$1,FALSE)+VLOOKUP($A201,EnrollData2324,'2324 Jun 24 Enroll'!AJ$1,FALSE)),2)-AA201</f>
        <v>167.16000000000076</v>
      </c>
      <c r="AC201" s="6" cm="1">
        <f t="array" ref="AC201">ROUND($R201*CAS_Base_Salary2425*VLOOKUP($A201,EnrollData2324,'2324 Jun 24 Enroll'!AH$1,FALSE),2)</f>
        <v>488.91</v>
      </c>
      <c r="AD201" s="6">
        <f>ROUND($R201*CAS_Inc_Salary2425*VLOOKUP($A201,EnrollData2324,'2324 Jun 24 Enroll'!AI$1,FALSE),2)-AC201</f>
        <v>18.089999999999975</v>
      </c>
      <c r="AE201" s="6">
        <f>ROUND($Z201*CLS_Base_Salary2425*VLOOKUP($A201,EnrollData2324,'2324 Jun 24 Enroll'!AH$1,FALSE),2)</f>
        <v>1019.67</v>
      </c>
      <c r="AF201" s="6">
        <f>ROUND($Z201*CLS_Inc_Salary2425*VLOOKUP($A201,EnrollData2324,'2324 Jun 24 Enroll'!AI$1,FALSE),2)-AE201</f>
        <v>37.730000000000132</v>
      </c>
      <c r="AG201" cm="1">
        <f t="array" ref="AG201">ROUND(($J201+$R201)*Apport_124X2425,2)</f>
        <v>800.45</v>
      </c>
      <c r="AH201" s="69" cm="1">
        <f t="array" ref="AH201">ROUND(($J201+$R201)*Apport_621X2425*Apport_125XC2425,2)-AG201</f>
        <v>73.899999999999977</v>
      </c>
      <c r="AI201" cm="1">
        <f t="array" ref="AI201">ROUND($Z201*Apport_124X2425,2)</f>
        <v>234.7</v>
      </c>
      <c r="AJ201">
        <f t="shared" si="42"/>
        <v>124.71000000000004</v>
      </c>
      <c r="AK201">
        <f t="shared" si="43"/>
        <v>908.83</v>
      </c>
      <c r="AL201">
        <f t="shared" si="44"/>
        <v>32.44</v>
      </c>
      <c r="AM201">
        <f t="shared" si="45"/>
        <v>220.86</v>
      </c>
      <c r="AN201">
        <f t="shared" si="46"/>
        <v>6.85</v>
      </c>
      <c r="AO201">
        <f>ROUND(($J201*CIS_Inc_Salary2425*(VLOOKUP($A201,EnrollData2324,'2324 Jun 24 Enroll'!AI$1,FALSE)+VLOOKUP($A201,EnrollData2324,'2324 Jun 24 Enroll'!AJ$1,FALSE))/Apport_613Xpd)*Apport_614Xpd,2)</f>
        <v>78.09</v>
      </c>
      <c r="AP201">
        <f t="shared" si="47"/>
        <v>13.67</v>
      </c>
      <c r="AQ201">
        <f t="shared" si="48"/>
        <v>31.48</v>
      </c>
      <c r="AR201" s="6">
        <f>ROUND((VLOOKUP($A201,EnrollData2324,'2324 Jun 24 Enroll'!D$1,FALSE)*Apport_M802425+VLOOKUP($A201,EnrollData2324,'2324 Jun 24 Enroll'!M$1,FALSE)*Apport_M802425+(VLOOKUP($A201,EnrollData2324,'2324 Jun 24 Enroll'!P$1,FALSE)+VLOOKUP($A201,EnrollData2324,'2324 Jun 24 Enroll'!Q$1,FALSE)+VLOOKUP($A201,EnrollData2324,'2324 Jun 24 Enroll'!R$1,FALSE)+VLOOKUP($A201,EnrollData2324,'2324 Jun 24 Enroll'!I$1,FALSE)+VLOOKUP($A201,EnrollData2324,'2324 Jun 24 Enroll'!N$1,FALSE)+VLOOKUP($A201,EnrollData2324,'2324 Jun 24 Enroll'!O$1,FALSE)+VLOOKUP($A201,EnrollData2324,'2324 Jun 24 Enroll'!K$1,FALSE)+VLOOKUP($A201,EnrollData2324,'2324 Jun 24 Enroll'!L$1,FALSE))*Apport_M812425)/(VLOOKUP($A201,EnrollData2324,'2324 Jun 24 Enroll'!M$1,FALSE)+VLOOKUP($A201,EnrollData2324,'2324 Jun 24 Enroll'!D$1,FALSE)),2)</f>
        <v>1598.87</v>
      </c>
      <c r="AS201" s="7">
        <f t="shared" si="49"/>
        <v>10374.850000000002</v>
      </c>
    </row>
    <row r="202" spans="1:48">
      <c r="A202" s="40" t="s">
        <v>705</v>
      </c>
      <c r="B202" s="40" t="s">
        <v>706</v>
      </c>
      <c r="C202" s="11">
        <f>ROUND((IFERROR((1/IF(VLOOKUP($A202,EnrollData2324,28,FALSE)='District Calculations'!$F$10,VLOOKUP($A202,EnrollData2324,28,FALSE),'District Calculations'!$F$10))*(1+Apport_Z315),0))+Apport_201A2425,6)</f>
        <v>7.4580999999999995E-2</v>
      </c>
      <c r="D202">
        <f>ROUND(IF(VLOOKUP($A202,EnrollData2324,'2324 Jun 24 Enroll'!D$1,FALSE)='District Calculations'!$F$11,VLOOKUP($A202,EnrollData2324,'2324 Jun 24 Enroll'!D$1,FALSE),'District Calculations'!$F$11)*C202,3)</f>
        <v>0</v>
      </c>
      <c r="E202">
        <f>ROUND(IF(VLOOKUP($A202,EnrollData2324,'2324 Jun 24 Enroll'!E$1,FALSE)='District Calculations'!$F$12,VLOOKUP($A202,EnrollData2324,'2324 Jun 24 Enroll'!E$1,FALSE),'District Calculations'!$F$12)*C202,3)</f>
        <v>60.447000000000003</v>
      </c>
      <c r="F202">
        <f>ROUND(IF(VLOOKUP($A202,EnrollData2324,'2324 Jun 24 Enroll'!F$1,FALSE)='District Calculations'!$F$13,VLOOKUP($A202,EnrollData2324,'2324 Jun 24 Enroll'!F$1,FALSE),'District Calculations'!$F$13)*Apport_222A2425,3)</f>
        <v>10.337999999999999</v>
      </c>
      <c r="G202">
        <f>ROUND(IF(VLOOKUP($A202,EnrollData2324,'2324 Jun 24 Enroll'!G$1,FALSE)='District Calculations'!$F$14,VLOOKUP($A202,EnrollData2324,'2324 Jun 24 Enroll'!G$1,FALSE),'District Calculations'!$F$14)*Apport_210A2425,3)</f>
        <v>22.92</v>
      </c>
      <c r="H202">
        <f>ROUND(IF(VLOOKUP($A202,EnrollData2324,'2324 Jun 24 Enroll'!H$1,FALSE)='District Calculations'!$F$15,VLOOKUP($A202,EnrollData2324,'2324 Jun 24 Enroll'!H$1,FALSE),'District Calculations'!$F$15)*Apport_213A2425,3)</f>
        <v>23.619</v>
      </c>
      <c r="I202">
        <f>ROUND(IF(VLOOKUP($A202,EnrollData2324,'2324 Jun 24 Enroll'!I$1,FALSE)+VLOOKUP($A202,EnrollData2324,'2324 Jun 24 Enroll'!M$1,FALSE)-VLOOKUP($A202,EnrollData2324,'2324 Jun 24 Enroll'!J$1,FALSE)='District Calculations'!$F$16+'District Calculations'!$F$25-'District Calculations'!$F$17,VLOOKUP($A202,EnrollData2324,'2324 Jun 24 Enroll'!I$1,FALSE)+VLOOKUP($A202,EnrollData2324,'2324 Jun 24 Enroll'!M$1,FALSE)-VLOOKUP($A202,EnrollData2324,'2324 Jun 24 Enroll'!J$1,FALSE),'District Calculations'!$F$16+'District Calculations'!$F$25-'District Calculations'!$F$17)*Apport_216A2425,3)</f>
        <v>59.057000000000002</v>
      </c>
      <c r="J202">
        <f>ROUND(SUM(D202:I202)/(IF(VLOOKUP($A202,EnrollData2324,'2324 Jun 24 Enroll'!M$1,FALSE)='District Calculations'!$F$25,VLOOKUP($A202,EnrollData2324,'2324 Jun 24 Enroll'!M$1,FALSE),'District Calculations'!$F$25)+IF(VLOOKUP($A202,EnrollData2324,'2324 Jun 24 Enroll'!D$1,FALSE)='District Calculations'!$F$11,VLOOKUP($A202,EnrollData2324,'2324 Jun 24 Enroll'!D$1,FALSE),'District Calculations'!$F$11)),5)</f>
        <v>5.6520000000000001E-2</v>
      </c>
      <c r="K202" s="11">
        <f t="shared" si="40"/>
        <v>4.385E-3</v>
      </c>
      <c r="L202">
        <f>ROUND(IF(VLOOKUP($A202,EnrollData2324,'2324 Jun 24 Enroll'!D$1,FALSE)='District Calculations'!$F$11,VLOOKUP($A202,EnrollData2324,'2324 Jun 24 Enroll'!D$1,FALSE),'District Calculations'!$F$11)*K202,3)</f>
        <v>0</v>
      </c>
      <c r="M202">
        <f>ROUND(IF(VLOOKUP($A202,EnrollData2324,'2324 Jun 24 Enroll'!E$1,FALSE)='District Calculations'!$F$12,VLOOKUP($A202,EnrollData2324,'2324 Jun 24 Enroll'!E$1,FALSE),'District Calculations'!$F$12)*K202,3)</f>
        <v>3.5539999999999998</v>
      </c>
      <c r="N202">
        <f>ROUND(IF(VLOOKUP($A202,EnrollData2324,'2324 Jun 24 Enroll'!F$1,FALSE)='District Calculations'!$F$13,VLOOKUP($A202,EnrollData2324,'2324 Jun 24 Enroll'!F$1,FALSE),'District Calculations'!$F$13)*Apport_223A2425,3)</f>
        <v>0.84599999999999997</v>
      </c>
      <c r="O202">
        <f>ROUND(IF(VLOOKUP($A202,EnrollData2324,'2324 Jun 24 Enroll'!G$1,FALSE)='District Calculations'!$F$14,VLOOKUP($A202,EnrollData2324,'2324 Jun 24 Enroll'!G$1,FALSE),'District Calculations'!$F$14)*Apport_211A2425,3)</f>
        <v>1.877</v>
      </c>
      <c r="P202">
        <f>ROUND(IF(VLOOKUP($A202,EnrollData2324,'2324 Jun 24 Enroll'!H$1,FALSE)='District Calculations'!$F$14,VLOOKUP($A202,EnrollData2324,'2324 Jun 24 Enroll'!H$1,FALSE),'District Calculations'!$F$14)*Apport_214A2425,3)</f>
        <v>1.875</v>
      </c>
      <c r="Q202">
        <f>ROUND(IF(VLOOKUP($A202,EnrollData2324,'2324 Jun 24 Enroll'!I$1,FALSE)+VLOOKUP($A202,EnrollData2324,'2324 Jun 24 Enroll'!M$1,FALSE)-VLOOKUP($A202,EnrollData2324,'2324 Jun 24 Enroll'!J$1,FALSE)='District Calculations'!$F$16+'District Calculations'!$F$25-'District Calculations'!$F$17,VLOOKUP($A202,EnrollData2324,'2324 Jun 24 Enroll'!I$1,FALSE)+VLOOKUP($A202,EnrollData2324,'2324 Jun 24 Enroll'!M$1,FALSE)-VLOOKUP($A202,EnrollData2324,'2324 Jun 24 Enroll'!J$1,FALSE),'District Calculations'!$F$16+'District Calculations'!$F$25-'District Calculations'!$F$17)*Apport_217A2425,3)</f>
        <v>4.7130000000000001</v>
      </c>
      <c r="R202">
        <f>ROUND(SUM(L202:Q202)/IF(VLOOKUP($A202,EnrollData2324,'2324 Jun 24 Enroll'!M$1,FALSE)+VLOOKUP($A202,EnrollData2324,'2324 Jun 24 Enroll'!D$1,FALSE)='District Calculations'!$F$25+'District Calculations'!$F$11,VLOOKUP($A202,EnrollData2324,'2324 Jun 24 Enroll'!M$1,FALSE)+VLOOKUP($A202,EnrollData2324,'2324 Jun 24 Enroll'!D$1,FALSE),'District Calculations'!$F$25+'District Calculations'!$F$11),5)</f>
        <v>4.1200000000000004E-3</v>
      </c>
      <c r="S202" s="11">
        <f t="shared" si="41"/>
        <v>1.8734299999999999E-2</v>
      </c>
      <c r="T202">
        <f>ROUND(IF(VLOOKUP($A202,EnrollData2324,'2324 Jun 24 Enroll'!D$1,FALSE)='District Calculations'!$F$11,VLOOKUP($A202,EnrollData2324,'2324 Jun 24 Enroll'!D$1,FALSE),'District Calculations'!$F$11)*S202,3)</f>
        <v>0</v>
      </c>
      <c r="U202">
        <f>ROUND(IF(VLOOKUP($A202,EnrollData2324,'2324 Jun 24 Enroll'!E$1,FALSE)='District Calculations'!$F$12,VLOOKUP($A202,EnrollData2324,'2324 Jun 24 Enroll'!E$1,FALSE),'District Calculations'!$F$12)*S202,3)</f>
        <v>15.183999999999999</v>
      </c>
      <c r="V202">
        <f>ROUND(IF(VLOOKUP($A202,EnrollData2324,'2324 Jun 24 Enroll'!F$1,FALSE)='District Calculations'!$F$13,VLOOKUP($A202,EnrollData2324,'2324 Jun 24 Enroll'!F$1,FALSE),'District Calculations'!$F$13)*Apport_224A2425,3)</f>
        <v>3.7109999999999999</v>
      </c>
      <c r="W202">
        <f>ROUND(IF(VLOOKUP($A202,EnrollData2324,'2324 Jun 24 Enroll'!G$1,FALSE)='District Calculations'!$F$14,VLOOKUP($A202,EnrollData2324,'2324 Jun 24 Enroll'!G$1,FALSE),'District Calculations'!$F$14)*Apport_212A2425,3)</f>
        <v>8.2279999999999998</v>
      </c>
      <c r="X202">
        <f>ROUND(IF(VLOOKUP($A202,EnrollData2324,'2324 Jun 24 Enroll'!H$1,FALSE)='District Calculations'!$F$14,VLOOKUP($A202,EnrollData2324,'2324 Jun 24 Enroll'!H$1,FALSE),'District Calculations'!$F$14)*Apport_215A2425,3)</f>
        <v>8.1180000000000003</v>
      </c>
      <c r="Y202">
        <f>ROUND(IF(VLOOKUP($A202,EnrollData2324,'2324 Jun 24 Enroll'!I$1,FALSE)+VLOOKUP($A202,EnrollData2324,'2324 Jun 24 Enroll'!M$1,FALSE)-VLOOKUP($A202,EnrollData2324,'2324 Jun 24 Enroll'!J$1,FALSE)='District Calculations'!$F$16+'District Calculations'!$F$25-'District Calculations'!$F$17,VLOOKUP($A202,EnrollData2324,'2324 Jun 24 Enroll'!I$1,FALSE)+VLOOKUP($A202,EnrollData2324,'2324 Jun 24 Enroll'!M$1,FALSE)-VLOOKUP($A202,EnrollData2324,'2324 Jun 24 Enroll'!J$1,FALSE),'District Calculations'!$F$16+'District Calculations'!$F$25-'District Calculations'!$F$17)*Apport_218A2425,3)</f>
        <v>20.257999999999999</v>
      </c>
      <c r="Z202">
        <f>ROUND(SUM(T202:Y202)/IF(VLOOKUP($A202,EnrollData2324,'2324 Jun 24 Enroll'!M$1,FALSE)+VLOOKUP($A202,EnrollData2324,'2324 Jun 24 Enroll'!D$1,FALSE)='District Calculations'!$F$25+'District Calculations'!$F$11,VLOOKUP($A202,EnrollData2324,'2324 Jun 24 Enroll'!M$1,FALSE)+VLOOKUP($A202,EnrollData2324,'2324 Jun 24 Enroll'!D$1,FALSE),'District Calculations'!$F$25+'District Calculations'!$F$11),5)</f>
        <v>1.7780000000000001E-2</v>
      </c>
      <c r="AA202" s="6">
        <f>ROUND($J202*CIS_Base_Salary2425*VLOOKUP($A202,EnrollData2324,'2324 Jun 24 Enroll'!AH$1,FALSE),2)</f>
        <v>4774.2</v>
      </c>
      <c r="AB202" s="6">
        <f>ROUND($J202*CIS_Inc_Salary2425*(VLOOKUP($A202,EnrollData2324,'2324 Jun 24 Enroll'!AI$1,FALSE)+VLOOKUP($A202,EnrollData2324,'2324 Jun 24 Enroll'!AJ$1,FALSE)),2)-AA202</f>
        <v>176.61999999999989</v>
      </c>
      <c r="AC202" s="6" cm="1">
        <f t="array" ref="AC202">ROUND($R202*CAS_Base_Salary2425*VLOOKUP($A202,EnrollData2324,'2324 Jun 24 Enroll'!AH$1,FALSE),2)</f>
        <v>516.58000000000004</v>
      </c>
      <c r="AD202" s="6">
        <f>ROUND($R202*CAS_Inc_Salary2425*VLOOKUP($A202,EnrollData2324,'2324 Jun 24 Enroll'!AI$1,FALSE),2)-AC202</f>
        <v>19.110000000000014</v>
      </c>
      <c r="AE202" s="6">
        <f>ROUND($Z202*CLS_Base_Salary2425*VLOOKUP($A202,EnrollData2324,'2324 Jun 24 Enroll'!AH$1,FALSE),2)</f>
        <v>1077.3900000000001</v>
      </c>
      <c r="AF202" s="6">
        <f>ROUND($Z202*CLS_Inc_Salary2425*VLOOKUP($A202,EnrollData2324,'2324 Jun 24 Enroll'!AI$1,FALSE),2)-AE202</f>
        <v>39.8599999999999</v>
      </c>
      <c r="AG202" cm="1">
        <f t="array" ref="AG202">ROUND(($J202+$R202)*Apport_124X2425,2)</f>
        <v>800.45</v>
      </c>
      <c r="AH202" s="69" cm="1">
        <f t="array" ref="AH202">ROUND(($J202+$R202)*Apport_621X2425*Apport_125XC2425,2)-AG202</f>
        <v>73.899999999999977</v>
      </c>
      <c r="AI202" cm="1">
        <f t="array" ref="AI202">ROUND($Z202*Apport_124X2425,2)</f>
        <v>234.7</v>
      </c>
      <c r="AJ202">
        <f t="shared" si="42"/>
        <v>124.71000000000004</v>
      </c>
      <c r="AK202">
        <f t="shared" si="43"/>
        <v>960.28</v>
      </c>
      <c r="AL202">
        <f t="shared" si="44"/>
        <v>34.270000000000003</v>
      </c>
      <c r="AM202">
        <f t="shared" si="45"/>
        <v>233.36</v>
      </c>
      <c r="AN202">
        <f t="shared" si="46"/>
        <v>7.24</v>
      </c>
      <c r="AO202">
        <f>ROUND(($J202*CIS_Inc_Salary2425*(VLOOKUP($A202,EnrollData2324,'2324 Jun 24 Enroll'!AI$1,FALSE)+VLOOKUP($A202,EnrollData2324,'2324 Jun 24 Enroll'!AJ$1,FALSE))/Apport_613Xpd)*Apport_614Xpd,2)</f>
        <v>82.51</v>
      </c>
      <c r="AP202">
        <f t="shared" si="47"/>
        <v>14.45</v>
      </c>
      <c r="AQ202">
        <f t="shared" si="48"/>
        <v>31.48</v>
      </c>
      <c r="AR202" s="6">
        <f>ROUND((VLOOKUP($A202,EnrollData2324,'2324 Jun 24 Enroll'!D$1,FALSE)*Apport_M802425+VLOOKUP($A202,EnrollData2324,'2324 Jun 24 Enroll'!M$1,FALSE)*Apport_M802425+(VLOOKUP($A202,EnrollData2324,'2324 Jun 24 Enroll'!P$1,FALSE)+VLOOKUP($A202,EnrollData2324,'2324 Jun 24 Enroll'!Q$1,FALSE)+VLOOKUP($A202,EnrollData2324,'2324 Jun 24 Enroll'!R$1,FALSE)+VLOOKUP($A202,EnrollData2324,'2324 Jun 24 Enroll'!I$1,FALSE)+VLOOKUP($A202,EnrollData2324,'2324 Jun 24 Enroll'!N$1,FALSE)+VLOOKUP($A202,EnrollData2324,'2324 Jun 24 Enroll'!O$1,FALSE)+VLOOKUP($A202,EnrollData2324,'2324 Jun 24 Enroll'!K$1,FALSE)+VLOOKUP($A202,EnrollData2324,'2324 Jun 24 Enroll'!L$1,FALSE))*Apport_M812425)/(VLOOKUP($A202,EnrollData2324,'2324 Jun 24 Enroll'!M$1,FALSE)+VLOOKUP($A202,EnrollData2324,'2324 Jun 24 Enroll'!D$1,FALSE)),2)</f>
        <v>1599.28</v>
      </c>
      <c r="AS202" s="7">
        <f t="shared" si="49"/>
        <v>10800.390000000001</v>
      </c>
    </row>
    <row r="203" spans="1:48">
      <c r="A203" s="40" t="s">
        <v>809</v>
      </c>
      <c r="B203" s="40" t="s">
        <v>810</v>
      </c>
      <c r="C203" s="11">
        <f>ROUND((IFERROR((1/IF(VLOOKUP($A203,EnrollData2324,28,FALSE)='District Calculations'!$F$10,VLOOKUP($A203,EnrollData2324,28,FALSE),'District Calculations'!$F$10))*(1+Apport_Z315),0))+Apport_201A2425,6)</f>
        <v>7.4580999999999995E-2</v>
      </c>
      <c r="D203">
        <f>ROUND(IF(VLOOKUP($A203,EnrollData2324,'2324 Jun 24 Enroll'!D$1,FALSE)='District Calculations'!$F$11,VLOOKUP($A203,EnrollData2324,'2324 Jun 24 Enroll'!D$1,FALSE),'District Calculations'!$F$11)*C203,3)</f>
        <v>0</v>
      </c>
      <c r="E203">
        <f>ROUND(IF(VLOOKUP($A203,EnrollData2324,'2324 Jun 24 Enroll'!E$1,FALSE)='District Calculations'!$F$12,VLOOKUP($A203,EnrollData2324,'2324 Jun 24 Enroll'!E$1,FALSE),'District Calculations'!$F$12)*C203,3)</f>
        <v>60.447000000000003</v>
      </c>
      <c r="F203">
        <f>ROUND(IF(VLOOKUP($A203,EnrollData2324,'2324 Jun 24 Enroll'!F$1,FALSE)='District Calculations'!$F$13,VLOOKUP($A203,EnrollData2324,'2324 Jun 24 Enroll'!F$1,FALSE),'District Calculations'!$F$13)*Apport_222A2425,3)</f>
        <v>10.337999999999999</v>
      </c>
      <c r="G203">
        <f>ROUND(IF(VLOOKUP($A203,EnrollData2324,'2324 Jun 24 Enroll'!G$1,FALSE)='District Calculations'!$F$14,VLOOKUP($A203,EnrollData2324,'2324 Jun 24 Enroll'!G$1,FALSE),'District Calculations'!$F$14)*Apport_210A2425,3)</f>
        <v>22.92</v>
      </c>
      <c r="H203">
        <f>ROUND(IF(VLOOKUP($A203,EnrollData2324,'2324 Jun 24 Enroll'!H$1,FALSE)='District Calculations'!$F$15,VLOOKUP($A203,EnrollData2324,'2324 Jun 24 Enroll'!H$1,FALSE),'District Calculations'!$F$15)*Apport_213A2425,3)</f>
        <v>23.619</v>
      </c>
      <c r="I203">
        <f>ROUND(IF(VLOOKUP($A203,EnrollData2324,'2324 Jun 24 Enroll'!I$1,FALSE)+VLOOKUP($A203,EnrollData2324,'2324 Jun 24 Enroll'!M$1,FALSE)-VLOOKUP($A203,EnrollData2324,'2324 Jun 24 Enroll'!J$1,FALSE)='District Calculations'!$F$16+'District Calculations'!$F$25-'District Calculations'!$F$17,VLOOKUP($A203,EnrollData2324,'2324 Jun 24 Enroll'!I$1,FALSE)+VLOOKUP($A203,EnrollData2324,'2324 Jun 24 Enroll'!M$1,FALSE)-VLOOKUP($A203,EnrollData2324,'2324 Jun 24 Enroll'!J$1,FALSE),'District Calculations'!$F$16+'District Calculations'!$F$25-'District Calculations'!$F$17)*Apport_216A2425,3)</f>
        <v>59.057000000000002</v>
      </c>
      <c r="J203">
        <f>ROUND(SUM(D203:I203)/(IF(VLOOKUP($A203,EnrollData2324,'2324 Jun 24 Enroll'!M$1,FALSE)='District Calculations'!$F$25,VLOOKUP($A203,EnrollData2324,'2324 Jun 24 Enroll'!M$1,FALSE),'District Calculations'!$F$25)+IF(VLOOKUP($A203,EnrollData2324,'2324 Jun 24 Enroll'!D$1,FALSE)='District Calculations'!$F$11,VLOOKUP($A203,EnrollData2324,'2324 Jun 24 Enroll'!D$1,FALSE),'District Calculations'!$F$11)),5)</f>
        <v>5.6520000000000001E-2</v>
      </c>
      <c r="K203" s="11">
        <f t="shared" si="40"/>
        <v>4.385E-3</v>
      </c>
      <c r="L203">
        <f>ROUND(IF(VLOOKUP($A203,EnrollData2324,'2324 Jun 24 Enroll'!D$1,FALSE)='District Calculations'!$F$11,VLOOKUP($A203,EnrollData2324,'2324 Jun 24 Enroll'!D$1,FALSE),'District Calculations'!$F$11)*K203,3)</f>
        <v>0</v>
      </c>
      <c r="M203">
        <f>ROUND(IF(VLOOKUP($A203,EnrollData2324,'2324 Jun 24 Enroll'!E$1,FALSE)='District Calculations'!$F$12,VLOOKUP($A203,EnrollData2324,'2324 Jun 24 Enroll'!E$1,FALSE),'District Calculations'!$F$12)*K203,3)</f>
        <v>3.5539999999999998</v>
      </c>
      <c r="N203">
        <f>ROUND(IF(VLOOKUP($A203,EnrollData2324,'2324 Jun 24 Enroll'!F$1,FALSE)='District Calculations'!$F$13,VLOOKUP($A203,EnrollData2324,'2324 Jun 24 Enroll'!F$1,FALSE),'District Calculations'!$F$13)*Apport_223A2425,3)</f>
        <v>0.84599999999999997</v>
      </c>
      <c r="O203">
        <f>ROUND(IF(VLOOKUP($A203,EnrollData2324,'2324 Jun 24 Enroll'!G$1,FALSE)='District Calculations'!$F$14,VLOOKUP($A203,EnrollData2324,'2324 Jun 24 Enroll'!G$1,FALSE),'District Calculations'!$F$14)*Apport_211A2425,3)</f>
        <v>1.877</v>
      </c>
      <c r="P203">
        <f>ROUND(IF(VLOOKUP($A203,EnrollData2324,'2324 Jun 24 Enroll'!H$1,FALSE)='District Calculations'!$F$14,VLOOKUP($A203,EnrollData2324,'2324 Jun 24 Enroll'!H$1,FALSE),'District Calculations'!$F$14)*Apport_214A2425,3)</f>
        <v>1.875</v>
      </c>
      <c r="Q203">
        <f>ROUND(IF(VLOOKUP($A203,EnrollData2324,'2324 Jun 24 Enroll'!I$1,FALSE)+VLOOKUP($A203,EnrollData2324,'2324 Jun 24 Enroll'!M$1,FALSE)-VLOOKUP($A203,EnrollData2324,'2324 Jun 24 Enroll'!J$1,FALSE)='District Calculations'!$F$16+'District Calculations'!$F$25-'District Calculations'!$F$17,VLOOKUP($A203,EnrollData2324,'2324 Jun 24 Enroll'!I$1,FALSE)+VLOOKUP($A203,EnrollData2324,'2324 Jun 24 Enroll'!M$1,FALSE)-VLOOKUP($A203,EnrollData2324,'2324 Jun 24 Enroll'!J$1,FALSE),'District Calculations'!$F$16+'District Calculations'!$F$25-'District Calculations'!$F$17)*Apport_217A2425,3)</f>
        <v>4.7130000000000001</v>
      </c>
      <c r="R203">
        <f>ROUND(SUM(L203:Q203)/IF(VLOOKUP($A203,EnrollData2324,'2324 Jun 24 Enroll'!M$1,FALSE)+VLOOKUP($A203,EnrollData2324,'2324 Jun 24 Enroll'!D$1,FALSE)='District Calculations'!$F$25+'District Calculations'!$F$11,VLOOKUP($A203,EnrollData2324,'2324 Jun 24 Enroll'!M$1,FALSE)+VLOOKUP($A203,EnrollData2324,'2324 Jun 24 Enroll'!D$1,FALSE),'District Calculations'!$F$25+'District Calculations'!$F$11),5)</f>
        <v>4.1200000000000004E-3</v>
      </c>
      <c r="S203" s="11">
        <f t="shared" si="41"/>
        <v>1.8734299999999999E-2</v>
      </c>
      <c r="T203">
        <f>ROUND(IF(VLOOKUP($A203,EnrollData2324,'2324 Jun 24 Enroll'!D$1,FALSE)='District Calculations'!$F$11,VLOOKUP($A203,EnrollData2324,'2324 Jun 24 Enroll'!D$1,FALSE),'District Calculations'!$F$11)*S203,3)</f>
        <v>0</v>
      </c>
      <c r="U203">
        <f>ROUND(IF(VLOOKUP($A203,EnrollData2324,'2324 Jun 24 Enroll'!E$1,FALSE)='District Calculations'!$F$12,VLOOKUP($A203,EnrollData2324,'2324 Jun 24 Enroll'!E$1,FALSE),'District Calculations'!$F$12)*S203,3)</f>
        <v>15.183999999999999</v>
      </c>
      <c r="V203">
        <f>ROUND(IF(VLOOKUP($A203,EnrollData2324,'2324 Jun 24 Enroll'!F$1,FALSE)='District Calculations'!$F$13,VLOOKUP($A203,EnrollData2324,'2324 Jun 24 Enroll'!F$1,FALSE),'District Calculations'!$F$13)*Apport_224A2425,3)</f>
        <v>3.7109999999999999</v>
      </c>
      <c r="W203">
        <f>ROUND(IF(VLOOKUP($A203,EnrollData2324,'2324 Jun 24 Enroll'!G$1,FALSE)='District Calculations'!$F$14,VLOOKUP($A203,EnrollData2324,'2324 Jun 24 Enroll'!G$1,FALSE),'District Calculations'!$F$14)*Apport_212A2425,3)</f>
        <v>8.2279999999999998</v>
      </c>
      <c r="X203">
        <f>ROUND(IF(VLOOKUP($A203,EnrollData2324,'2324 Jun 24 Enroll'!H$1,FALSE)='District Calculations'!$F$14,VLOOKUP($A203,EnrollData2324,'2324 Jun 24 Enroll'!H$1,FALSE),'District Calculations'!$F$14)*Apport_215A2425,3)</f>
        <v>8.1180000000000003</v>
      </c>
      <c r="Y203">
        <f>ROUND(IF(VLOOKUP($A203,EnrollData2324,'2324 Jun 24 Enroll'!I$1,FALSE)+VLOOKUP($A203,EnrollData2324,'2324 Jun 24 Enroll'!M$1,FALSE)-VLOOKUP($A203,EnrollData2324,'2324 Jun 24 Enroll'!J$1,FALSE)='District Calculations'!$F$16+'District Calculations'!$F$25-'District Calculations'!$F$17,VLOOKUP($A203,EnrollData2324,'2324 Jun 24 Enroll'!I$1,FALSE)+VLOOKUP($A203,EnrollData2324,'2324 Jun 24 Enroll'!M$1,FALSE)-VLOOKUP($A203,EnrollData2324,'2324 Jun 24 Enroll'!J$1,FALSE),'District Calculations'!$F$16+'District Calculations'!$F$25-'District Calculations'!$F$17)*Apport_218A2425,3)</f>
        <v>20.257999999999999</v>
      </c>
      <c r="Z203">
        <f>ROUND(SUM(T203:Y203)/IF(VLOOKUP($A203,EnrollData2324,'2324 Jun 24 Enroll'!M$1,FALSE)+VLOOKUP($A203,EnrollData2324,'2324 Jun 24 Enroll'!D$1,FALSE)='District Calculations'!$F$25+'District Calculations'!$F$11,VLOOKUP($A203,EnrollData2324,'2324 Jun 24 Enroll'!M$1,FALSE)+VLOOKUP($A203,EnrollData2324,'2324 Jun 24 Enroll'!D$1,FALSE),'District Calculations'!$F$25+'District Calculations'!$F$11),5)</f>
        <v>1.7780000000000001E-2</v>
      </c>
      <c r="AA203" s="6">
        <f>ROUND($J203*CIS_Base_Salary2425*VLOOKUP($A203,EnrollData2324,'2324 Jun 24 Enroll'!AH$1,FALSE),2)</f>
        <v>4774.2</v>
      </c>
      <c r="AB203" s="6">
        <f>ROUND($J203*CIS_Inc_Salary2425*(VLOOKUP($A203,EnrollData2324,'2324 Jun 24 Enroll'!AI$1,FALSE)+VLOOKUP($A203,EnrollData2324,'2324 Jun 24 Enroll'!AJ$1,FALSE)),2)-AA203</f>
        <v>176.61999999999989</v>
      </c>
      <c r="AC203" s="6" cm="1">
        <f t="array" ref="AC203">ROUND($R203*CAS_Base_Salary2425*VLOOKUP($A203,EnrollData2324,'2324 Jun 24 Enroll'!AH$1,FALSE),2)</f>
        <v>516.58000000000004</v>
      </c>
      <c r="AD203" s="6">
        <f>ROUND($R203*CAS_Inc_Salary2425*VLOOKUP($A203,EnrollData2324,'2324 Jun 24 Enroll'!AI$1,FALSE),2)-AC203</f>
        <v>19.110000000000014</v>
      </c>
      <c r="AE203" s="6">
        <f>ROUND($Z203*CLS_Base_Salary2425*VLOOKUP($A203,EnrollData2324,'2324 Jun 24 Enroll'!AH$1,FALSE),2)</f>
        <v>1077.3900000000001</v>
      </c>
      <c r="AF203" s="6">
        <f>ROUND($Z203*CLS_Inc_Salary2425*VLOOKUP($A203,EnrollData2324,'2324 Jun 24 Enroll'!AI$1,FALSE),2)-AE203</f>
        <v>39.8599999999999</v>
      </c>
      <c r="AG203" cm="1">
        <f t="array" ref="AG203">ROUND(($J203+$R203)*Apport_124X2425,2)</f>
        <v>800.45</v>
      </c>
      <c r="AH203" s="69" cm="1">
        <f t="array" ref="AH203">ROUND(($J203+$R203)*Apport_621X2425*Apport_125XC2425,2)-AG203</f>
        <v>73.899999999999977</v>
      </c>
      <c r="AI203" cm="1">
        <f t="array" ref="AI203">ROUND($Z203*Apport_124X2425,2)</f>
        <v>234.7</v>
      </c>
      <c r="AJ203">
        <f t="shared" si="42"/>
        <v>124.71000000000004</v>
      </c>
      <c r="AK203">
        <f t="shared" si="43"/>
        <v>960.28</v>
      </c>
      <c r="AL203">
        <f t="shared" si="44"/>
        <v>34.270000000000003</v>
      </c>
      <c r="AM203">
        <f t="shared" si="45"/>
        <v>233.36</v>
      </c>
      <c r="AN203">
        <f t="shared" si="46"/>
        <v>7.24</v>
      </c>
      <c r="AO203">
        <f>ROUND(($J203*CIS_Inc_Salary2425*(VLOOKUP($A203,EnrollData2324,'2324 Jun 24 Enroll'!AI$1,FALSE)+VLOOKUP($A203,EnrollData2324,'2324 Jun 24 Enroll'!AJ$1,FALSE))/Apport_613Xpd)*Apport_614Xpd,2)</f>
        <v>82.51</v>
      </c>
      <c r="AP203">
        <f t="shared" si="47"/>
        <v>14.45</v>
      </c>
      <c r="AQ203">
        <f t="shared" si="48"/>
        <v>31.48</v>
      </c>
      <c r="AR203" s="6">
        <f>ROUND((VLOOKUP($A203,EnrollData2324,'2324 Jun 24 Enroll'!D$1,FALSE)*Apport_M802425+VLOOKUP($A203,EnrollData2324,'2324 Jun 24 Enroll'!M$1,FALSE)*Apport_M802425+(VLOOKUP($A203,EnrollData2324,'2324 Jun 24 Enroll'!P$1,FALSE)+VLOOKUP($A203,EnrollData2324,'2324 Jun 24 Enroll'!Q$1,FALSE)+VLOOKUP($A203,EnrollData2324,'2324 Jun 24 Enroll'!R$1,FALSE)+VLOOKUP($A203,EnrollData2324,'2324 Jun 24 Enroll'!I$1,FALSE)+VLOOKUP($A203,EnrollData2324,'2324 Jun 24 Enroll'!N$1,FALSE)+VLOOKUP($A203,EnrollData2324,'2324 Jun 24 Enroll'!O$1,FALSE)+VLOOKUP($A203,EnrollData2324,'2324 Jun 24 Enroll'!K$1,FALSE)+VLOOKUP($A203,EnrollData2324,'2324 Jun 24 Enroll'!L$1,FALSE))*Apport_M812425)/(VLOOKUP($A203,EnrollData2324,'2324 Jun 24 Enroll'!M$1,FALSE)+VLOOKUP($A203,EnrollData2324,'2324 Jun 24 Enroll'!D$1,FALSE)),2)</f>
        <v>1601.4</v>
      </c>
      <c r="AS203" s="7">
        <f t="shared" si="49"/>
        <v>10802.51</v>
      </c>
    </row>
    <row r="204" spans="1:48">
      <c r="A204" s="40" t="s">
        <v>361</v>
      </c>
      <c r="B204" s="40" t="s">
        <v>362</v>
      </c>
      <c r="C204" s="11">
        <f>ROUND((IFERROR((1/IF(VLOOKUP($A204,EnrollData2324,28,FALSE)='District Calculations'!$F$10,VLOOKUP($A204,EnrollData2324,28,FALSE),'District Calculations'!$F$10))*(1+Apport_Z315),0))+Apport_201A2425,6)</f>
        <v>7.4580999999999995E-2</v>
      </c>
      <c r="D204">
        <f>ROUND(IF(VLOOKUP($A204,EnrollData2324,'2324 Jun 24 Enroll'!D$1,FALSE)='District Calculations'!$F$11,VLOOKUP($A204,EnrollData2324,'2324 Jun 24 Enroll'!D$1,FALSE),'District Calculations'!$F$11)*C204,3)</f>
        <v>0</v>
      </c>
      <c r="E204">
        <f>ROUND(IF(VLOOKUP($A204,EnrollData2324,'2324 Jun 24 Enroll'!E$1,FALSE)='District Calculations'!$F$12,VLOOKUP($A204,EnrollData2324,'2324 Jun 24 Enroll'!E$1,FALSE),'District Calculations'!$F$12)*C204,3)</f>
        <v>60.447000000000003</v>
      </c>
      <c r="F204">
        <f>ROUND(IF(VLOOKUP($A204,EnrollData2324,'2324 Jun 24 Enroll'!F$1,FALSE)='District Calculations'!$F$13,VLOOKUP($A204,EnrollData2324,'2324 Jun 24 Enroll'!F$1,FALSE),'District Calculations'!$F$13)*Apport_222A2425,3)</f>
        <v>10.337999999999999</v>
      </c>
      <c r="G204">
        <f>ROUND(IF(VLOOKUP($A204,EnrollData2324,'2324 Jun 24 Enroll'!G$1,FALSE)='District Calculations'!$F$14,VLOOKUP($A204,EnrollData2324,'2324 Jun 24 Enroll'!G$1,FALSE),'District Calculations'!$F$14)*Apport_210A2425,3)</f>
        <v>22.92</v>
      </c>
      <c r="H204">
        <f>ROUND(IF(VLOOKUP($A204,EnrollData2324,'2324 Jun 24 Enroll'!H$1,FALSE)='District Calculations'!$F$15,VLOOKUP($A204,EnrollData2324,'2324 Jun 24 Enroll'!H$1,FALSE),'District Calculations'!$F$15)*Apport_213A2425,3)</f>
        <v>23.619</v>
      </c>
      <c r="I204">
        <f>ROUND(IF(VLOOKUP($A204,EnrollData2324,'2324 Jun 24 Enroll'!I$1,FALSE)+VLOOKUP($A204,EnrollData2324,'2324 Jun 24 Enroll'!M$1,FALSE)-VLOOKUP($A204,EnrollData2324,'2324 Jun 24 Enroll'!J$1,FALSE)='District Calculations'!$F$16+'District Calculations'!$F$25-'District Calculations'!$F$17,VLOOKUP($A204,EnrollData2324,'2324 Jun 24 Enroll'!I$1,FALSE)+VLOOKUP($A204,EnrollData2324,'2324 Jun 24 Enroll'!M$1,FALSE)-VLOOKUP($A204,EnrollData2324,'2324 Jun 24 Enroll'!J$1,FALSE),'District Calculations'!$F$16+'District Calculations'!$F$25-'District Calculations'!$F$17)*Apport_216A2425,3)</f>
        <v>59.057000000000002</v>
      </c>
      <c r="J204">
        <f>ROUND(SUM(D204:I204)/(IF(VLOOKUP($A204,EnrollData2324,'2324 Jun 24 Enroll'!M$1,FALSE)='District Calculations'!$F$25,VLOOKUP($A204,EnrollData2324,'2324 Jun 24 Enroll'!M$1,FALSE),'District Calculations'!$F$25)+IF(VLOOKUP($A204,EnrollData2324,'2324 Jun 24 Enroll'!D$1,FALSE)='District Calculations'!$F$11,VLOOKUP($A204,EnrollData2324,'2324 Jun 24 Enroll'!D$1,FALSE),'District Calculations'!$F$11)),5)</f>
        <v>5.6520000000000001E-2</v>
      </c>
      <c r="K204" s="11">
        <f t="shared" si="40"/>
        <v>4.385E-3</v>
      </c>
      <c r="L204">
        <f>ROUND(IF(VLOOKUP($A204,EnrollData2324,'2324 Jun 24 Enroll'!D$1,FALSE)='District Calculations'!$F$11,VLOOKUP($A204,EnrollData2324,'2324 Jun 24 Enroll'!D$1,FALSE),'District Calculations'!$F$11)*K204,3)</f>
        <v>0</v>
      </c>
      <c r="M204">
        <f>ROUND(IF(VLOOKUP($A204,EnrollData2324,'2324 Jun 24 Enroll'!E$1,FALSE)='District Calculations'!$F$12,VLOOKUP($A204,EnrollData2324,'2324 Jun 24 Enroll'!E$1,FALSE),'District Calculations'!$F$12)*K204,3)</f>
        <v>3.5539999999999998</v>
      </c>
      <c r="N204">
        <f>ROUND(IF(VLOOKUP($A204,EnrollData2324,'2324 Jun 24 Enroll'!F$1,FALSE)='District Calculations'!$F$13,VLOOKUP($A204,EnrollData2324,'2324 Jun 24 Enroll'!F$1,FALSE),'District Calculations'!$F$13)*Apport_223A2425,3)</f>
        <v>0.84599999999999997</v>
      </c>
      <c r="O204">
        <f>ROUND(IF(VLOOKUP($A204,EnrollData2324,'2324 Jun 24 Enroll'!G$1,FALSE)='District Calculations'!$F$14,VLOOKUP($A204,EnrollData2324,'2324 Jun 24 Enroll'!G$1,FALSE),'District Calculations'!$F$14)*Apport_211A2425,3)</f>
        <v>1.877</v>
      </c>
      <c r="P204">
        <f>ROUND(IF(VLOOKUP($A204,EnrollData2324,'2324 Jun 24 Enroll'!H$1,FALSE)='District Calculations'!$F$14,VLOOKUP($A204,EnrollData2324,'2324 Jun 24 Enroll'!H$1,FALSE),'District Calculations'!$F$14)*Apport_214A2425,3)</f>
        <v>1.875</v>
      </c>
      <c r="Q204">
        <f>ROUND(IF(VLOOKUP($A204,EnrollData2324,'2324 Jun 24 Enroll'!I$1,FALSE)+VLOOKUP($A204,EnrollData2324,'2324 Jun 24 Enroll'!M$1,FALSE)-VLOOKUP($A204,EnrollData2324,'2324 Jun 24 Enroll'!J$1,FALSE)='District Calculations'!$F$16+'District Calculations'!$F$25-'District Calculations'!$F$17,VLOOKUP($A204,EnrollData2324,'2324 Jun 24 Enroll'!I$1,FALSE)+VLOOKUP($A204,EnrollData2324,'2324 Jun 24 Enroll'!M$1,FALSE)-VLOOKUP($A204,EnrollData2324,'2324 Jun 24 Enroll'!J$1,FALSE),'District Calculations'!$F$16+'District Calculations'!$F$25-'District Calculations'!$F$17)*Apport_217A2425,3)</f>
        <v>4.7130000000000001</v>
      </c>
      <c r="R204">
        <f>ROUND(SUM(L204:Q204)/IF(VLOOKUP($A204,EnrollData2324,'2324 Jun 24 Enroll'!M$1,FALSE)+VLOOKUP($A204,EnrollData2324,'2324 Jun 24 Enroll'!D$1,FALSE)='District Calculations'!$F$25+'District Calculations'!$F$11,VLOOKUP($A204,EnrollData2324,'2324 Jun 24 Enroll'!M$1,FALSE)+VLOOKUP($A204,EnrollData2324,'2324 Jun 24 Enroll'!D$1,FALSE),'District Calculations'!$F$25+'District Calculations'!$F$11),5)</f>
        <v>4.1200000000000004E-3</v>
      </c>
      <c r="S204" s="11">
        <f t="shared" si="41"/>
        <v>1.8734299999999999E-2</v>
      </c>
      <c r="T204">
        <f>ROUND(IF(VLOOKUP($A204,EnrollData2324,'2324 Jun 24 Enroll'!D$1,FALSE)='District Calculations'!$F$11,VLOOKUP($A204,EnrollData2324,'2324 Jun 24 Enroll'!D$1,FALSE),'District Calculations'!$F$11)*S204,3)</f>
        <v>0</v>
      </c>
      <c r="U204">
        <f>ROUND(IF(VLOOKUP($A204,EnrollData2324,'2324 Jun 24 Enroll'!E$1,FALSE)='District Calculations'!$F$12,VLOOKUP($A204,EnrollData2324,'2324 Jun 24 Enroll'!E$1,FALSE),'District Calculations'!$F$12)*S204,3)</f>
        <v>15.183999999999999</v>
      </c>
      <c r="V204">
        <f>ROUND(IF(VLOOKUP($A204,EnrollData2324,'2324 Jun 24 Enroll'!F$1,FALSE)='District Calculations'!$F$13,VLOOKUP($A204,EnrollData2324,'2324 Jun 24 Enroll'!F$1,FALSE),'District Calculations'!$F$13)*Apport_224A2425,3)</f>
        <v>3.7109999999999999</v>
      </c>
      <c r="W204">
        <f>ROUND(IF(VLOOKUP($A204,EnrollData2324,'2324 Jun 24 Enroll'!G$1,FALSE)='District Calculations'!$F$14,VLOOKUP($A204,EnrollData2324,'2324 Jun 24 Enroll'!G$1,FALSE),'District Calculations'!$F$14)*Apport_212A2425,3)</f>
        <v>8.2279999999999998</v>
      </c>
      <c r="X204">
        <f>ROUND(IF(VLOOKUP($A204,EnrollData2324,'2324 Jun 24 Enroll'!H$1,FALSE)='District Calculations'!$F$14,VLOOKUP($A204,EnrollData2324,'2324 Jun 24 Enroll'!H$1,FALSE),'District Calculations'!$F$14)*Apport_215A2425,3)</f>
        <v>8.1180000000000003</v>
      </c>
      <c r="Y204">
        <f>ROUND(IF(VLOOKUP($A204,EnrollData2324,'2324 Jun 24 Enroll'!I$1,FALSE)+VLOOKUP($A204,EnrollData2324,'2324 Jun 24 Enroll'!M$1,FALSE)-VLOOKUP($A204,EnrollData2324,'2324 Jun 24 Enroll'!J$1,FALSE)='District Calculations'!$F$16+'District Calculations'!$F$25-'District Calculations'!$F$17,VLOOKUP($A204,EnrollData2324,'2324 Jun 24 Enroll'!I$1,FALSE)+VLOOKUP($A204,EnrollData2324,'2324 Jun 24 Enroll'!M$1,FALSE)-VLOOKUP($A204,EnrollData2324,'2324 Jun 24 Enroll'!J$1,FALSE),'District Calculations'!$F$16+'District Calculations'!$F$25-'District Calculations'!$F$17)*Apport_218A2425,3)</f>
        <v>20.257999999999999</v>
      </c>
      <c r="Z204">
        <f>ROUND(SUM(T204:Y204)/IF(VLOOKUP($A204,EnrollData2324,'2324 Jun 24 Enroll'!M$1,FALSE)+VLOOKUP($A204,EnrollData2324,'2324 Jun 24 Enroll'!D$1,FALSE)='District Calculations'!$F$25+'District Calculations'!$F$11,VLOOKUP($A204,EnrollData2324,'2324 Jun 24 Enroll'!M$1,FALSE)+VLOOKUP($A204,EnrollData2324,'2324 Jun 24 Enroll'!D$1,FALSE),'District Calculations'!$F$25+'District Calculations'!$F$11),5)</f>
        <v>1.7780000000000001E-2</v>
      </c>
      <c r="AA204" s="6">
        <f>ROUND($J204*CIS_Base_Salary2425*VLOOKUP($A204,EnrollData2324,'2324 Jun 24 Enroll'!AH$1,FALSE),2)</f>
        <v>4518.4399999999996</v>
      </c>
      <c r="AB204" s="6">
        <f>ROUND($J204*CIS_Inc_Salary2425*(VLOOKUP($A204,EnrollData2324,'2324 Jun 24 Enroll'!AI$1,FALSE)+VLOOKUP($A204,EnrollData2324,'2324 Jun 24 Enroll'!AJ$1,FALSE)),2)-AA204</f>
        <v>211.36000000000058</v>
      </c>
      <c r="AC204" s="6" cm="1">
        <f t="array" ref="AC204">ROUND($R204*CAS_Base_Salary2425*VLOOKUP($A204,EnrollData2324,'2324 Jun 24 Enroll'!AH$1,FALSE),2)</f>
        <v>488.91</v>
      </c>
      <c r="AD204" s="6">
        <f>ROUND($R204*CAS_Inc_Salary2425*VLOOKUP($A204,EnrollData2324,'2324 Jun 24 Enroll'!AI$1,FALSE),2)-AC204</f>
        <v>18.089999999999975</v>
      </c>
      <c r="AE204" s="6">
        <f>ROUND($Z204*CLS_Base_Salary2425*VLOOKUP($A204,EnrollData2324,'2324 Jun 24 Enroll'!AH$1,FALSE),2)</f>
        <v>1019.67</v>
      </c>
      <c r="AF204" s="6">
        <f>ROUND($Z204*CLS_Inc_Salary2425*VLOOKUP($A204,EnrollData2324,'2324 Jun 24 Enroll'!AI$1,FALSE),2)-AE204</f>
        <v>37.730000000000132</v>
      </c>
      <c r="AG204" cm="1">
        <f t="array" ref="AG204">ROUND(($J204+$R204)*Apport_124X2425,2)</f>
        <v>800.45</v>
      </c>
      <c r="AH204" s="69" cm="1">
        <f t="array" ref="AH204">ROUND(($J204+$R204)*Apport_621X2425*Apport_125XC2425,2)-AG204</f>
        <v>73.899999999999977</v>
      </c>
      <c r="AI204" cm="1">
        <f t="array" ref="AI204">ROUND($Z204*Apport_124X2425,2)</f>
        <v>234.7</v>
      </c>
      <c r="AJ204">
        <f t="shared" si="42"/>
        <v>124.71000000000004</v>
      </c>
      <c r="AK204">
        <f t="shared" si="43"/>
        <v>908.83</v>
      </c>
      <c r="AL204">
        <f t="shared" si="44"/>
        <v>40.18</v>
      </c>
      <c r="AM204">
        <f t="shared" si="45"/>
        <v>220.86</v>
      </c>
      <c r="AN204">
        <f t="shared" si="46"/>
        <v>6.85</v>
      </c>
      <c r="AO204">
        <f>ROUND(($J204*CIS_Inc_Salary2425*(VLOOKUP($A204,EnrollData2324,'2324 Jun 24 Enroll'!AI$1,FALSE)+VLOOKUP($A204,EnrollData2324,'2324 Jun 24 Enroll'!AJ$1,FALSE))/Apport_613Xpd)*Apport_614Xpd,2)</f>
        <v>78.83</v>
      </c>
      <c r="AP204">
        <f t="shared" si="47"/>
        <v>13.8</v>
      </c>
      <c r="AQ204">
        <f t="shared" si="48"/>
        <v>31.48</v>
      </c>
      <c r="AR204" s="6">
        <f>ROUND((VLOOKUP($A204,EnrollData2324,'2324 Jun 24 Enroll'!D$1,FALSE)*Apport_M802425+VLOOKUP($A204,EnrollData2324,'2324 Jun 24 Enroll'!M$1,FALSE)*Apport_M802425+(VLOOKUP($A204,EnrollData2324,'2324 Jun 24 Enroll'!P$1,FALSE)+VLOOKUP($A204,EnrollData2324,'2324 Jun 24 Enroll'!Q$1,FALSE)+VLOOKUP($A204,EnrollData2324,'2324 Jun 24 Enroll'!R$1,FALSE)+VLOOKUP($A204,EnrollData2324,'2324 Jun 24 Enroll'!I$1,FALSE)+VLOOKUP($A204,EnrollData2324,'2324 Jun 24 Enroll'!N$1,FALSE)+VLOOKUP($A204,EnrollData2324,'2324 Jun 24 Enroll'!O$1,FALSE)+VLOOKUP($A204,EnrollData2324,'2324 Jun 24 Enroll'!K$1,FALSE)+VLOOKUP($A204,EnrollData2324,'2324 Jun 24 Enroll'!L$1,FALSE))*Apport_M812425)/(VLOOKUP($A204,EnrollData2324,'2324 Jun 24 Enroll'!M$1,FALSE)+VLOOKUP($A204,EnrollData2324,'2324 Jun 24 Enroll'!D$1,FALSE)),2)</f>
        <v>1533.02</v>
      </c>
      <c r="AS204" s="7">
        <f t="shared" si="49"/>
        <v>10361.810000000001</v>
      </c>
    </row>
    <row r="205" spans="1:48">
      <c r="A205" s="40" t="s">
        <v>837</v>
      </c>
      <c r="B205" s="40" t="s">
        <v>838</v>
      </c>
      <c r="C205" s="11">
        <f>ROUND((IFERROR((1/IF(VLOOKUP($A205,EnrollData2324,28,FALSE)='District Calculations'!$F$10,VLOOKUP($A205,EnrollData2324,28,FALSE),'District Calculations'!$F$10))*(1+Apport_Z315),0))+Apport_201A2425,6)</f>
        <v>7.4580999999999995E-2</v>
      </c>
      <c r="D205">
        <f>ROUND(IF(VLOOKUP($A205,EnrollData2324,'2324 Jun 24 Enroll'!D$1,FALSE)='District Calculations'!$F$11,VLOOKUP($A205,EnrollData2324,'2324 Jun 24 Enroll'!D$1,FALSE),'District Calculations'!$F$11)*C205,3)</f>
        <v>0</v>
      </c>
      <c r="E205">
        <f>ROUND(IF(VLOOKUP($A205,EnrollData2324,'2324 Jun 24 Enroll'!E$1,FALSE)='District Calculations'!$F$12,VLOOKUP($A205,EnrollData2324,'2324 Jun 24 Enroll'!E$1,FALSE),'District Calculations'!$F$12)*C205,3)</f>
        <v>60.447000000000003</v>
      </c>
      <c r="F205">
        <f>ROUND(IF(VLOOKUP($A205,EnrollData2324,'2324 Jun 24 Enroll'!F$1,FALSE)='District Calculations'!$F$13,VLOOKUP($A205,EnrollData2324,'2324 Jun 24 Enroll'!F$1,FALSE),'District Calculations'!$F$13)*Apport_222A2425,3)</f>
        <v>10.337999999999999</v>
      </c>
      <c r="G205">
        <f>ROUND(IF(VLOOKUP($A205,EnrollData2324,'2324 Jun 24 Enroll'!G$1,FALSE)='District Calculations'!$F$14,VLOOKUP($A205,EnrollData2324,'2324 Jun 24 Enroll'!G$1,FALSE),'District Calculations'!$F$14)*Apport_210A2425,3)</f>
        <v>22.92</v>
      </c>
      <c r="H205">
        <f>ROUND(IF(VLOOKUP($A205,EnrollData2324,'2324 Jun 24 Enroll'!H$1,FALSE)='District Calculations'!$F$15,VLOOKUP($A205,EnrollData2324,'2324 Jun 24 Enroll'!H$1,FALSE),'District Calculations'!$F$15)*Apport_213A2425,3)</f>
        <v>23.619</v>
      </c>
      <c r="I205">
        <f>ROUND(IF(VLOOKUP($A205,EnrollData2324,'2324 Jun 24 Enroll'!I$1,FALSE)+VLOOKUP($A205,EnrollData2324,'2324 Jun 24 Enroll'!M$1,FALSE)-VLOOKUP($A205,EnrollData2324,'2324 Jun 24 Enroll'!J$1,FALSE)='District Calculations'!$F$16+'District Calculations'!$F$25-'District Calculations'!$F$17,VLOOKUP($A205,EnrollData2324,'2324 Jun 24 Enroll'!I$1,FALSE)+VLOOKUP($A205,EnrollData2324,'2324 Jun 24 Enroll'!M$1,FALSE)-VLOOKUP($A205,EnrollData2324,'2324 Jun 24 Enroll'!J$1,FALSE),'District Calculations'!$F$16+'District Calculations'!$F$25-'District Calculations'!$F$17)*Apport_216A2425,3)</f>
        <v>59.057000000000002</v>
      </c>
      <c r="J205">
        <f>ROUND(SUM(D205:I205)/(IF(VLOOKUP($A205,EnrollData2324,'2324 Jun 24 Enroll'!M$1,FALSE)='District Calculations'!$F$25,VLOOKUP($A205,EnrollData2324,'2324 Jun 24 Enroll'!M$1,FALSE),'District Calculations'!$F$25)+IF(VLOOKUP($A205,EnrollData2324,'2324 Jun 24 Enroll'!D$1,FALSE)='District Calculations'!$F$11,VLOOKUP($A205,EnrollData2324,'2324 Jun 24 Enroll'!D$1,FALSE),'District Calculations'!$F$11)),5)</f>
        <v>5.6520000000000001E-2</v>
      </c>
      <c r="K205" s="11">
        <f t="shared" si="40"/>
        <v>4.385E-3</v>
      </c>
      <c r="L205">
        <f>ROUND(IF(VLOOKUP($A205,EnrollData2324,'2324 Jun 24 Enroll'!D$1,FALSE)='District Calculations'!$F$11,VLOOKUP($A205,EnrollData2324,'2324 Jun 24 Enroll'!D$1,FALSE),'District Calculations'!$F$11)*K205,3)</f>
        <v>0</v>
      </c>
      <c r="M205">
        <f>ROUND(IF(VLOOKUP($A205,EnrollData2324,'2324 Jun 24 Enroll'!E$1,FALSE)='District Calculations'!$F$12,VLOOKUP($A205,EnrollData2324,'2324 Jun 24 Enroll'!E$1,FALSE),'District Calculations'!$F$12)*K205,3)</f>
        <v>3.5539999999999998</v>
      </c>
      <c r="N205">
        <f>ROUND(IF(VLOOKUP($A205,EnrollData2324,'2324 Jun 24 Enroll'!F$1,FALSE)='District Calculations'!$F$13,VLOOKUP($A205,EnrollData2324,'2324 Jun 24 Enroll'!F$1,FALSE),'District Calculations'!$F$13)*Apport_223A2425,3)</f>
        <v>0.84599999999999997</v>
      </c>
      <c r="O205">
        <f>ROUND(IF(VLOOKUP($A205,EnrollData2324,'2324 Jun 24 Enroll'!G$1,FALSE)='District Calculations'!$F$14,VLOOKUP($A205,EnrollData2324,'2324 Jun 24 Enroll'!G$1,FALSE),'District Calculations'!$F$14)*Apport_211A2425,3)</f>
        <v>1.877</v>
      </c>
      <c r="P205">
        <f>ROUND(IF(VLOOKUP($A205,EnrollData2324,'2324 Jun 24 Enroll'!H$1,FALSE)='District Calculations'!$F$14,VLOOKUP($A205,EnrollData2324,'2324 Jun 24 Enroll'!H$1,FALSE),'District Calculations'!$F$14)*Apport_214A2425,3)</f>
        <v>1.875</v>
      </c>
      <c r="Q205">
        <f>ROUND(IF(VLOOKUP($A205,EnrollData2324,'2324 Jun 24 Enroll'!I$1,FALSE)+VLOOKUP($A205,EnrollData2324,'2324 Jun 24 Enroll'!M$1,FALSE)-VLOOKUP($A205,EnrollData2324,'2324 Jun 24 Enroll'!J$1,FALSE)='District Calculations'!$F$16+'District Calculations'!$F$25-'District Calculations'!$F$17,VLOOKUP($A205,EnrollData2324,'2324 Jun 24 Enroll'!I$1,FALSE)+VLOOKUP($A205,EnrollData2324,'2324 Jun 24 Enroll'!M$1,FALSE)-VLOOKUP($A205,EnrollData2324,'2324 Jun 24 Enroll'!J$1,FALSE),'District Calculations'!$F$16+'District Calculations'!$F$25-'District Calculations'!$F$17)*Apport_217A2425,3)</f>
        <v>4.7130000000000001</v>
      </c>
      <c r="R205">
        <f>ROUND(SUM(L205:Q205)/IF(VLOOKUP($A205,EnrollData2324,'2324 Jun 24 Enroll'!M$1,FALSE)+VLOOKUP($A205,EnrollData2324,'2324 Jun 24 Enroll'!D$1,FALSE)='District Calculations'!$F$25+'District Calculations'!$F$11,VLOOKUP($A205,EnrollData2324,'2324 Jun 24 Enroll'!M$1,FALSE)+VLOOKUP($A205,EnrollData2324,'2324 Jun 24 Enroll'!D$1,FALSE),'District Calculations'!$F$25+'District Calculations'!$F$11),5)</f>
        <v>4.1200000000000004E-3</v>
      </c>
      <c r="S205" s="11">
        <f t="shared" si="41"/>
        <v>1.8734299999999999E-2</v>
      </c>
      <c r="T205">
        <f>ROUND(IF(VLOOKUP($A205,EnrollData2324,'2324 Jun 24 Enroll'!D$1,FALSE)='District Calculations'!$F$11,VLOOKUP($A205,EnrollData2324,'2324 Jun 24 Enroll'!D$1,FALSE),'District Calculations'!$F$11)*S205,3)</f>
        <v>0</v>
      </c>
      <c r="U205">
        <f>ROUND(IF(VLOOKUP($A205,EnrollData2324,'2324 Jun 24 Enroll'!E$1,FALSE)='District Calculations'!$F$12,VLOOKUP($A205,EnrollData2324,'2324 Jun 24 Enroll'!E$1,FALSE),'District Calculations'!$F$12)*S205,3)</f>
        <v>15.183999999999999</v>
      </c>
      <c r="V205">
        <f>ROUND(IF(VLOOKUP($A205,EnrollData2324,'2324 Jun 24 Enroll'!F$1,FALSE)='District Calculations'!$F$13,VLOOKUP($A205,EnrollData2324,'2324 Jun 24 Enroll'!F$1,FALSE),'District Calculations'!$F$13)*Apport_224A2425,3)</f>
        <v>3.7109999999999999</v>
      </c>
      <c r="W205">
        <f>ROUND(IF(VLOOKUP($A205,EnrollData2324,'2324 Jun 24 Enroll'!G$1,FALSE)='District Calculations'!$F$14,VLOOKUP($A205,EnrollData2324,'2324 Jun 24 Enroll'!G$1,FALSE),'District Calculations'!$F$14)*Apport_212A2425,3)</f>
        <v>8.2279999999999998</v>
      </c>
      <c r="X205">
        <f>ROUND(IF(VLOOKUP($A205,EnrollData2324,'2324 Jun 24 Enroll'!H$1,FALSE)='District Calculations'!$F$14,VLOOKUP($A205,EnrollData2324,'2324 Jun 24 Enroll'!H$1,FALSE),'District Calculations'!$F$14)*Apport_215A2425,3)</f>
        <v>8.1180000000000003</v>
      </c>
      <c r="Y205">
        <f>ROUND(IF(VLOOKUP($A205,EnrollData2324,'2324 Jun 24 Enroll'!I$1,FALSE)+VLOOKUP($A205,EnrollData2324,'2324 Jun 24 Enroll'!M$1,FALSE)-VLOOKUP($A205,EnrollData2324,'2324 Jun 24 Enroll'!J$1,FALSE)='District Calculations'!$F$16+'District Calculations'!$F$25-'District Calculations'!$F$17,VLOOKUP($A205,EnrollData2324,'2324 Jun 24 Enroll'!I$1,FALSE)+VLOOKUP($A205,EnrollData2324,'2324 Jun 24 Enroll'!M$1,FALSE)-VLOOKUP($A205,EnrollData2324,'2324 Jun 24 Enroll'!J$1,FALSE),'District Calculations'!$F$16+'District Calculations'!$F$25-'District Calculations'!$F$17)*Apport_218A2425,3)</f>
        <v>20.257999999999999</v>
      </c>
      <c r="Z205">
        <f>ROUND(SUM(T205:Y205)/IF(VLOOKUP($A205,EnrollData2324,'2324 Jun 24 Enroll'!M$1,FALSE)+VLOOKUP($A205,EnrollData2324,'2324 Jun 24 Enroll'!D$1,FALSE)='District Calculations'!$F$25+'District Calculations'!$F$11,VLOOKUP($A205,EnrollData2324,'2324 Jun 24 Enroll'!M$1,FALSE)+VLOOKUP($A205,EnrollData2324,'2324 Jun 24 Enroll'!D$1,FALSE),'District Calculations'!$F$25+'District Calculations'!$F$11),5)</f>
        <v>1.7780000000000001E-2</v>
      </c>
      <c r="AA205" s="6">
        <f>ROUND($J205*CIS_Base_Salary2425*VLOOKUP($A205,EnrollData2324,'2324 Jun 24 Enroll'!AH$1,FALSE),2)</f>
        <v>4518.4399999999996</v>
      </c>
      <c r="AB205" s="6">
        <f>ROUND($J205*CIS_Inc_Salary2425*(VLOOKUP($A205,EnrollData2324,'2324 Jun 24 Enroll'!AI$1,FALSE)+VLOOKUP($A205,EnrollData2324,'2324 Jun 24 Enroll'!AJ$1,FALSE)),2)-AA205</f>
        <v>343.97000000000025</v>
      </c>
      <c r="AC205" s="6" cm="1">
        <f t="array" ref="AC205">ROUND($R205*CAS_Base_Salary2425*VLOOKUP($A205,EnrollData2324,'2324 Jun 24 Enroll'!AH$1,FALSE),2)</f>
        <v>488.91</v>
      </c>
      <c r="AD205" s="6">
        <f>ROUND($R205*CAS_Inc_Salary2425*VLOOKUP($A205,EnrollData2324,'2324 Jun 24 Enroll'!AI$1,FALSE),2)-AC205</f>
        <v>18.089999999999975</v>
      </c>
      <c r="AE205" s="6">
        <f>ROUND($Z205*CLS_Base_Salary2425*VLOOKUP($A205,EnrollData2324,'2324 Jun 24 Enroll'!AH$1,FALSE),2)</f>
        <v>1019.67</v>
      </c>
      <c r="AF205" s="6">
        <f>ROUND($Z205*CLS_Inc_Salary2425*VLOOKUP($A205,EnrollData2324,'2324 Jun 24 Enroll'!AI$1,FALSE),2)-AE205</f>
        <v>37.730000000000132</v>
      </c>
      <c r="AG205" cm="1">
        <f t="array" ref="AG205">ROUND(($J205+$R205)*Apport_124X2425,2)</f>
        <v>800.45</v>
      </c>
      <c r="AH205" s="69" cm="1">
        <f t="array" ref="AH205">ROUND(($J205+$R205)*Apport_621X2425*Apport_125XC2425,2)-AG205</f>
        <v>73.899999999999977</v>
      </c>
      <c r="AI205" cm="1">
        <f t="array" ref="AI205">ROUND($Z205*Apport_124X2425,2)</f>
        <v>234.7</v>
      </c>
      <c r="AJ205">
        <f t="shared" si="42"/>
        <v>124.71000000000004</v>
      </c>
      <c r="AK205">
        <f t="shared" si="43"/>
        <v>908.83</v>
      </c>
      <c r="AL205">
        <f t="shared" si="44"/>
        <v>63.4</v>
      </c>
      <c r="AM205">
        <f t="shared" si="45"/>
        <v>220.86</v>
      </c>
      <c r="AN205">
        <f t="shared" si="46"/>
        <v>6.85</v>
      </c>
      <c r="AO205">
        <f>ROUND(($J205*CIS_Inc_Salary2425*(VLOOKUP($A205,EnrollData2324,'2324 Jun 24 Enroll'!AI$1,FALSE)+VLOOKUP($A205,EnrollData2324,'2324 Jun 24 Enroll'!AJ$1,FALSE))/Apport_613Xpd)*Apport_614Xpd,2)</f>
        <v>81.040000000000006</v>
      </c>
      <c r="AP205">
        <f t="shared" si="47"/>
        <v>14.19</v>
      </c>
      <c r="AQ205">
        <f t="shared" si="48"/>
        <v>31.48</v>
      </c>
      <c r="AR205" s="6">
        <f>ROUND((VLOOKUP($A205,EnrollData2324,'2324 Jun 24 Enroll'!D$1,FALSE)*Apport_M802425+VLOOKUP($A205,EnrollData2324,'2324 Jun 24 Enroll'!M$1,FALSE)*Apport_M802425+(VLOOKUP($A205,EnrollData2324,'2324 Jun 24 Enroll'!P$1,FALSE)+VLOOKUP($A205,EnrollData2324,'2324 Jun 24 Enroll'!Q$1,FALSE)+VLOOKUP($A205,EnrollData2324,'2324 Jun 24 Enroll'!R$1,FALSE)+VLOOKUP($A205,EnrollData2324,'2324 Jun 24 Enroll'!I$1,FALSE)+VLOOKUP($A205,EnrollData2324,'2324 Jun 24 Enroll'!N$1,FALSE)+VLOOKUP($A205,EnrollData2324,'2324 Jun 24 Enroll'!O$1,FALSE)+VLOOKUP($A205,EnrollData2324,'2324 Jun 24 Enroll'!K$1,FALSE)+VLOOKUP($A205,EnrollData2324,'2324 Jun 24 Enroll'!L$1,FALSE))*Apport_M812425)/(VLOOKUP($A205,EnrollData2324,'2324 Jun 24 Enroll'!M$1,FALSE)+VLOOKUP($A205,EnrollData2324,'2324 Jun 24 Enroll'!D$1,FALSE)),2)</f>
        <v>1598.65</v>
      </c>
      <c r="AS205" s="7">
        <f t="shared" si="49"/>
        <v>10585.87</v>
      </c>
    </row>
    <row r="206" spans="1:48">
      <c r="A206" s="40" t="s">
        <v>805</v>
      </c>
      <c r="B206" s="40" t="s">
        <v>806</v>
      </c>
      <c r="C206" s="11">
        <f>ROUND((IFERROR((1/IF(VLOOKUP($A206,EnrollData2324,28,FALSE)='District Calculations'!$F$10,VLOOKUP($A206,EnrollData2324,28,FALSE),'District Calculations'!$F$10))*(1+Apport_Z315),0))+Apport_201A2425,6)</f>
        <v>7.4580999999999995E-2</v>
      </c>
      <c r="D206">
        <f>ROUND(IF(VLOOKUP($A206,EnrollData2324,'2324 Jun 24 Enroll'!D$1,FALSE)='District Calculations'!$F$11,VLOOKUP($A206,EnrollData2324,'2324 Jun 24 Enroll'!D$1,FALSE),'District Calculations'!$F$11)*C206,3)</f>
        <v>0</v>
      </c>
      <c r="E206">
        <f>ROUND(IF(VLOOKUP($A206,EnrollData2324,'2324 Jun 24 Enroll'!E$1,FALSE)='District Calculations'!$F$12,VLOOKUP($A206,EnrollData2324,'2324 Jun 24 Enroll'!E$1,FALSE),'District Calculations'!$F$12)*C206,3)</f>
        <v>60.447000000000003</v>
      </c>
      <c r="F206">
        <f>ROUND(IF(VLOOKUP($A206,EnrollData2324,'2324 Jun 24 Enroll'!F$1,FALSE)='District Calculations'!$F$13,VLOOKUP($A206,EnrollData2324,'2324 Jun 24 Enroll'!F$1,FALSE),'District Calculations'!$F$13)*Apport_222A2425,3)</f>
        <v>10.337999999999999</v>
      </c>
      <c r="G206">
        <f>ROUND(IF(VLOOKUP($A206,EnrollData2324,'2324 Jun 24 Enroll'!G$1,FALSE)='District Calculations'!$F$14,VLOOKUP($A206,EnrollData2324,'2324 Jun 24 Enroll'!G$1,FALSE),'District Calculations'!$F$14)*Apport_210A2425,3)</f>
        <v>22.92</v>
      </c>
      <c r="H206">
        <f>ROUND(IF(VLOOKUP($A206,EnrollData2324,'2324 Jun 24 Enroll'!H$1,FALSE)='District Calculations'!$F$15,VLOOKUP($A206,EnrollData2324,'2324 Jun 24 Enroll'!H$1,FALSE),'District Calculations'!$F$15)*Apport_213A2425,3)</f>
        <v>23.619</v>
      </c>
      <c r="I206">
        <f>ROUND(IF(VLOOKUP($A206,EnrollData2324,'2324 Jun 24 Enroll'!I$1,FALSE)+VLOOKUP($A206,EnrollData2324,'2324 Jun 24 Enroll'!M$1,FALSE)-VLOOKUP($A206,EnrollData2324,'2324 Jun 24 Enroll'!J$1,FALSE)='District Calculations'!$F$16+'District Calculations'!$F$25-'District Calculations'!$F$17,VLOOKUP($A206,EnrollData2324,'2324 Jun 24 Enroll'!I$1,FALSE)+VLOOKUP($A206,EnrollData2324,'2324 Jun 24 Enroll'!M$1,FALSE)-VLOOKUP($A206,EnrollData2324,'2324 Jun 24 Enroll'!J$1,FALSE),'District Calculations'!$F$16+'District Calculations'!$F$25-'District Calculations'!$F$17)*Apport_216A2425,3)</f>
        <v>59.057000000000002</v>
      </c>
      <c r="J206">
        <f>ROUND(SUM(D206:I206)/(IF(VLOOKUP($A206,EnrollData2324,'2324 Jun 24 Enroll'!M$1,FALSE)='District Calculations'!$F$25,VLOOKUP($A206,EnrollData2324,'2324 Jun 24 Enroll'!M$1,FALSE),'District Calculations'!$F$25)+IF(VLOOKUP($A206,EnrollData2324,'2324 Jun 24 Enroll'!D$1,FALSE)='District Calculations'!$F$11,VLOOKUP($A206,EnrollData2324,'2324 Jun 24 Enroll'!D$1,FALSE),'District Calculations'!$F$11)),5)</f>
        <v>5.6520000000000001E-2</v>
      </c>
      <c r="K206" s="11">
        <f t="shared" si="40"/>
        <v>4.385E-3</v>
      </c>
      <c r="L206">
        <f>ROUND(IF(VLOOKUP($A206,EnrollData2324,'2324 Jun 24 Enroll'!D$1,FALSE)='District Calculations'!$F$11,VLOOKUP($A206,EnrollData2324,'2324 Jun 24 Enroll'!D$1,FALSE),'District Calculations'!$F$11)*K206,3)</f>
        <v>0</v>
      </c>
      <c r="M206">
        <f>ROUND(IF(VLOOKUP($A206,EnrollData2324,'2324 Jun 24 Enroll'!E$1,FALSE)='District Calculations'!$F$12,VLOOKUP($A206,EnrollData2324,'2324 Jun 24 Enroll'!E$1,FALSE),'District Calculations'!$F$12)*K206,3)</f>
        <v>3.5539999999999998</v>
      </c>
      <c r="N206">
        <f>ROUND(IF(VLOOKUP($A206,EnrollData2324,'2324 Jun 24 Enroll'!F$1,FALSE)='District Calculations'!$F$13,VLOOKUP($A206,EnrollData2324,'2324 Jun 24 Enroll'!F$1,FALSE),'District Calculations'!$F$13)*Apport_223A2425,3)</f>
        <v>0.84599999999999997</v>
      </c>
      <c r="O206">
        <f>ROUND(IF(VLOOKUP($A206,EnrollData2324,'2324 Jun 24 Enroll'!G$1,FALSE)='District Calculations'!$F$14,VLOOKUP($A206,EnrollData2324,'2324 Jun 24 Enroll'!G$1,FALSE),'District Calculations'!$F$14)*Apport_211A2425,3)</f>
        <v>1.877</v>
      </c>
      <c r="P206">
        <f>ROUND(IF(VLOOKUP($A206,EnrollData2324,'2324 Jun 24 Enroll'!H$1,FALSE)='District Calculations'!$F$14,VLOOKUP($A206,EnrollData2324,'2324 Jun 24 Enroll'!H$1,FALSE),'District Calculations'!$F$14)*Apport_214A2425,3)</f>
        <v>1.875</v>
      </c>
      <c r="Q206">
        <f>ROUND(IF(VLOOKUP($A206,EnrollData2324,'2324 Jun 24 Enroll'!I$1,FALSE)+VLOOKUP($A206,EnrollData2324,'2324 Jun 24 Enroll'!M$1,FALSE)-VLOOKUP($A206,EnrollData2324,'2324 Jun 24 Enroll'!J$1,FALSE)='District Calculations'!$F$16+'District Calculations'!$F$25-'District Calculations'!$F$17,VLOOKUP($A206,EnrollData2324,'2324 Jun 24 Enroll'!I$1,FALSE)+VLOOKUP($A206,EnrollData2324,'2324 Jun 24 Enroll'!M$1,FALSE)-VLOOKUP($A206,EnrollData2324,'2324 Jun 24 Enroll'!J$1,FALSE),'District Calculations'!$F$16+'District Calculations'!$F$25-'District Calculations'!$F$17)*Apport_217A2425,3)</f>
        <v>4.7130000000000001</v>
      </c>
      <c r="R206">
        <f>ROUND(SUM(L206:Q206)/IF(VLOOKUP($A206,EnrollData2324,'2324 Jun 24 Enroll'!M$1,FALSE)+VLOOKUP($A206,EnrollData2324,'2324 Jun 24 Enroll'!D$1,FALSE)='District Calculations'!$F$25+'District Calculations'!$F$11,VLOOKUP($A206,EnrollData2324,'2324 Jun 24 Enroll'!M$1,FALSE)+VLOOKUP($A206,EnrollData2324,'2324 Jun 24 Enroll'!D$1,FALSE),'District Calculations'!$F$25+'District Calculations'!$F$11),5)</f>
        <v>4.1200000000000004E-3</v>
      </c>
      <c r="S206" s="11">
        <f t="shared" si="41"/>
        <v>1.8734299999999999E-2</v>
      </c>
      <c r="T206">
        <f>ROUND(IF(VLOOKUP($A206,EnrollData2324,'2324 Jun 24 Enroll'!D$1,FALSE)='District Calculations'!$F$11,VLOOKUP($A206,EnrollData2324,'2324 Jun 24 Enroll'!D$1,FALSE),'District Calculations'!$F$11)*S206,3)</f>
        <v>0</v>
      </c>
      <c r="U206">
        <f>ROUND(IF(VLOOKUP($A206,EnrollData2324,'2324 Jun 24 Enroll'!E$1,FALSE)='District Calculations'!$F$12,VLOOKUP($A206,EnrollData2324,'2324 Jun 24 Enroll'!E$1,FALSE),'District Calculations'!$F$12)*S206,3)</f>
        <v>15.183999999999999</v>
      </c>
      <c r="V206">
        <f>ROUND(IF(VLOOKUP($A206,EnrollData2324,'2324 Jun 24 Enroll'!F$1,FALSE)='District Calculations'!$F$13,VLOOKUP($A206,EnrollData2324,'2324 Jun 24 Enroll'!F$1,FALSE),'District Calculations'!$F$13)*Apport_224A2425,3)</f>
        <v>3.7109999999999999</v>
      </c>
      <c r="W206">
        <f>ROUND(IF(VLOOKUP($A206,EnrollData2324,'2324 Jun 24 Enroll'!G$1,FALSE)='District Calculations'!$F$14,VLOOKUP($A206,EnrollData2324,'2324 Jun 24 Enroll'!G$1,FALSE),'District Calculations'!$F$14)*Apport_212A2425,3)</f>
        <v>8.2279999999999998</v>
      </c>
      <c r="X206">
        <f>ROUND(IF(VLOOKUP($A206,EnrollData2324,'2324 Jun 24 Enroll'!H$1,FALSE)='District Calculations'!$F$14,VLOOKUP($A206,EnrollData2324,'2324 Jun 24 Enroll'!H$1,FALSE),'District Calculations'!$F$14)*Apport_215A2425,3)</f>
        <v>8.1180000000000003</v>
      </c>
      <c r="Y206">
        <f>ROUND(IF(VLOOKUP($A206,EnrollData2324,'2324 Jun 24 Enroll'!I$1,FALSE)+VLOOKUP($A206,EnrollData2324,'2324 Jun 24 Enroll'!M$1,FALSE)-VLOOKUP($A206,EnrollData2324,'2324 Jun 24 Enroll'!J$1,FALSE)='District Calculations'!$F$16+'District Calculations'!$F$25-'District Calculations'!$F$17,VLOOKUP($A206,EnrollData2324,'2324 Jun 24 Enroll'!I$1,FALSE)+VLOOKUP($A206,EnrollData2324,'2324 Jun 24 Enroll'!M$1,FALSE)-VLOOKUP($A206,EnrollData2324,'2324 Jun 24 Enroll'!J$1,FALSE),'District Calculations'!$F$16+'District Calculations'!$F$25-'District Calculations'!$F$17)*Apport_218A2425,3)</f>
        <v>20.257999999999999</v>
      </c>
      <c r="Z206">
        <f>ROUND(SUM(T206:Y206)/IF(VLOOKUP($A206,EnrollData2324,'2324 Jun 24 Enroll'!M$1,FALSE)+VLOOKUP($A206,EnrollData2324,'2324 Jun 24 Enroll'!D$1,FALSE)='District Calculations'!$F$25+'District Calculations'!$F$11,VLOOKUP($A206,EnrollData2324,'2324 Jun 24 Enroll'!M$1,FALSE)+VLOOKUP($A206,EnrollData2324,'2324 Jun 24 Enroll'!D$1,FALSE),'District Calculations'!$F$25+'District Calculations'!$F$11),5)</f>
        <v>1.7780000000000001E-2</v>
      </c>
      <c r="AA206" s="6">
        <f>ROUND($J206*CIS_Base_Salary2425*VLOOKUP($A206,EnrollData2324,'2324 Jun 24 Enroll'!AH$1,FALSE),2)</f>
        <v>4774.2</v>
      </c>
      <c r="AB206" s="6">
        <f>ROUND($J206*CIS_Inc_Salary2425*(VLOOKUP($A206,EnrollData2324,'2324 Jun 24 Enroll'!AI$1,FALSE)+VLOOKUP($A206,EnrollData2324,'2324 Jun 24 Enroll'!AJ$1,FALSE)),2)-AA206</f>
        <v>176.61999999999989</v>
      </c>
      <c r="AC206" s="6" cm="1">
        <f t="array" ref="AC206">ROUND($R206*CAS_Base_Salary2425*VLOOKUP($A206,EnrollData2324,'2324 Jun 24 Enroll'!AH$1,FALSE),2)</f>
        <v>516.58000000000004</v>
      </c>
      <c r="AD206" s="6">
        <f>ROUND($R206*CAS_Inc_Salary2425*VLOOKUP($A206,EnrollData2324,'2324 Jun 24 Enroll'!AI$1,FALSE),2)-AC206</f>
        <v>19.110000000000014</v>
      </c>
      <c r="AE206" s="6">
        <f>ROUND($Z206*CLS_Base_Salary2425*VLOOKUP($A206,EnrollData2324,'2324 Jun 24 Enroll'!AH$1,FALSE),2)</f>
        <v>1077.3900000000001</v>
      </c>
      <c r="AF206" s="6">
        <f>ROUND($Z206*CLS_Inc_Salary2425*VLOOKUP($A206,EnrollData2324,'2324 Jun 24 Enroll'!AI$1,FALSE),2)-AE206</f>
        <v>39.8599999999999</v>
      </c>
      <c r="AG206" cm="1">
        <f t="array" ref="AG206">ROUND(($J206+$R206)*Apport_124X2425,2)</f>
        <v>800.45</v>
      </c>
      <c r="AH206" s="69" cm="1">
        <f t="array" ref="AH206">ROUND(($J206+$R206)*Apport_621X2425*Apport_125XC2425,2)-AG206</f>
        <v>73.899999999999977</v>
      </c>
      <c r="AI206" cm="1">
        <f t="array" ref="AI206">ROUND($Z206*Apport_124X2425,2)</f>
        <v>234.7</v>
      </c>
      <c r="AJ206">
        <f t="shared" si="42"/>
        <v>124.71000000000004</v>
      </c>
      <c r="AK206">
        <f t="shared" si="43"/>
        <v>960.28</v>
      </c>
      <c r="AL206">
        <f t="shared" si="44"/>
        <v>34.270000000000003</v>
      </c>
      <c r="AM206">
        <f t="shared" si="45"/>
        <v>233.36</v>
      </c>
      <c r="AN206">
        <f t="shared" si="46"/>
        <v>7.24</v>
      </c>
      <c r="AO206">
        <f>ROUND(($J206*CIS_Inc_Salary2425*(VLOOKUP($A206,EnrollData2324,'2324 Jun 24 Enroll'!AI$1,FALSE)+VLOOKUP($A206,EnrollData2324,'2324 Jun 24 Enroll'!AJ$1,FALSE))/Apport_613Xpd)*Apport_614Xpd,2)</f>
        <v>82.51</v>
      </c>
      <c r="AP206">
        <f t="shared" si="47"/>
        <v>14.45</v>
      </c>
      <c r="AQ206">
        <f t="shared" si="48"/>
        <v>31.48</v>
      </c>
      <c r="AR206" s="6">
        <f>ROUND((VLOOKUP($A206,EnrollData2324,'2324 Jun 24 Enroll'!D$1,FALSE)*Apport_M802425+VLOOKUP($A206,EnrollData2324,'2324 Jun 24 Enroll'!M$1,FALSE)*Apport_M802425+(VLOOKUP($A206,EnrollData2324,'2324 Jun 24 Enroll'!P$1,FALSE)+VLOOKUP($A206,EnrollData2324,'2324 Jun 24 Enroll'!Q$1,FALSE)+VLOOKUP($A206,EnrollData2324,'2324 Jun 24 Enroll'!R$1,FALSE)+VLOOKUP($A206,EnrollData2324,'2324 Jun 24 Enroll'!I$1,FALSE)+VLOOKUP($A206,EnrollData2324,'2324 Jun 24 Enroll'!N$1,FALSE)+VLOOKUP($A206,EnrollData2324,'2324 Jun 24 Enroll'!O$1,FALSE)+VLOOKUP($A206,EnrollData2324,'2324 Jun 24 Enroll'!K$1,FALSE)+VLOOKUP($A206,EnrollData2324,'2324 Jun 24 Enroll'!L$1,FALSE))*Apport_M812425)/(VLOOKUP($A206,EnrollData2324,'2324 Jun 24 Enroll'!M$1,FALSE)+VLOOKUP($A206,EnrollData2324,'2324 Jun 24 Enroll'!D$1,FALSE)),2)</f>
        <v>1602.94</v>
      </c>
      <c r="AS206" s="7">
        <f t="shared" si="49"/>
        <v>10804.050000000001</v>
      </c>
    </row>
    <row r="207" spans="1:48">
      <c r="A207" s="40" t="s">
        <v>430</v>
      </c>
      <c r="B207" s="40" t="s">
        <v>431</v>
      </c>
      <c r="C207" s="11">
        <f>ROUND((IFERROR((1/IF(VLOOKUP($A207,EnrollData2324,28,FALSE)='District Calculations'!$F$10,VLOOKUP($A207,EnrollData2324,28,FALSE),'District Calculations'!$F$10))*(1+Apport_Z315),0))+Apport_201A2425,6)</f>
        <v>7.4580999999999995E-2</v>
      </c>
      <c r="D207">
        <f>ROUND(IF(VLOOKUP($A207,EnrollData2324,'2324 Jun 24 Enroll'!D$1,FALSE)='District Calculations'!$F$11,VLOOKUP($A207,EnrollData2324,'2324 Jun 24 Enroll'!D$1,FALSE),'District Calculations'!$F$11)*C207,3)</f>
        <v>0</v>
      </c>
      <c r="E207">
        <f>ROUND(IF(VLOOKUP($A207,EnrollData2324,'2324 Jun 24 Enroll'!E$1,FALSE)='District Calculations'!$F$12,VLOOKUP($A207,EnrollData2324,'2324 Jun 24 Enroll'!E$1,FALSE),'District Calculations'!$F$12)*C207,3)</f>
        <v>60.447000000000003</v>
      </c>
      <c r="F207">
        <f>ROUND(IF(VLOOKUP($A207,EnrollData2324,'2324 Jun 24 Enroll'!F$1,FALSE)='District Calculations'!$F$13,VLOOKUP($A207,EnrollData2324,'2324 Jun 24 Enroll'!F$1,FALSE),'District Calculations'!$F$13)*Apport_222A2425,3)</f>
        <v>10.337999999999999</v>
      </c>
      <c r="G207">
        <f>ROUND(IF(VLOOKUP($A207,EnrollData2324,'2324 Jun 24 Enroll'!G$1,FALSE)='District Calculations'!$F$14,VLOOKUP($A207,EnrollData2324,'2324 Jun 24 Enroll'!G$1,FALSE),'District Calculations'!$F$14)*Apport_210A2425,3)</f>
        <v>22.92</v>
      </c>
      <c r="H207">
        <f>ROUND(IF(VLOOKUP($A207,EnrollData2324,'2324 Jun 24 Enroll'!H$1,FALSE)='District Calculations'!$F$15,VLOOKUP($A207,EnrollData2324,'2324 Jun 24 Enroll'!H$1,FALSE),'District Calculations'!$F$15)*Apport_213A2425,3)</f>
        <v>23.619</v>
      </c>
      <c r="I207">
        <f>ROUND(IF(VLOOKUP($A207,EnrollData2324,'2324 Jun 24 Enroll'!I$1,FALSE)+VLOOKUP($A207,EnrollData2324,'2324 Jun 24 Enroll'!M$1,FALSE)-VLOOKUP($A207,EnrollData2324,'2324 Jun 24 Enroll'!J$1,FALSE)='District Calculations'!$F$16+'District Calculations'!$F$25-'District Calculations'!$F$17,VLOOKUP($A207,EnrollData2324,'2324 Jun 24 Enroll'!I$1,FALSE)+VLOOKUP($A207,EnrollData2324,'2324 Jun 24 Enroll'!M$1,FALSE)-VLOOKUP($A207,EnrollData2324,'2324 Jun 24 Enroll'!J$1,FALSE),'District Calculations'!$F$16+'District Calculations'!$F$25-'District Calculations'!$F$17)*Apport_216A2425,3)</f>
        <v>59.057000000000002</v>
      </c>
      <c r="J207">
        <f>ROUND(SUM(D207:I207)/(IF(VLOOKUP($A207,EnrollData2324,'2324 Jun 24 Enroll'!M$1,FALSE)='District Calculations'!$F$25,VLOOKUP($A207,EnrollData2324,'2324 Jun 24 Enroll'!M$1,FALSE),'District Calculations'!$F$25)+IF(VLOOKUP($A207,EnrollData2324,'2324 Jun 24 Enroll'!D$1,FALSE)='District Calculations'!$F$11,VLOOKUP($A207,EnrollData2324,'2324 Jun 24 Enroll'!D$1,FALSE),'District Calculations'!$F$11)),5)</f>
        <v>5.6520000000000001E-2</v>
      </c>
      <c r="K207" s="11">
        <f t="shared" si="40"/>
        <v>4.385E-3</v>
      </c>
      <c r="L207">
        <f>ROUND(IF(VLOOKUP($A207,EnrollData2324,'2324 Jun 24 Enroll'!D$1,FALSE)='District Calculations'!$F$11,VLOOKUP($A207,EnrollData2324,'2324 Jun 24 Enroll'!D$1,FALSE),'District Calculations'!$F$11)*K207,3)</f>
        <v>0</v>
      </c>
      <c r="M207">
        <f>ROUND(IF(VLOOKUP($A207,EnrollData2324,'2324 Jun 24 Enroll'!E$1,FALSE)='District Calculations'!$F$12,VLOOKUP($A207,EnrollData2324,'2324 Jun 24 Enroll'!E$1,FALSE),'District Calculations'!$F$12)*K207,3)</f>
        <v>3.5539999999999998</v>
      </c>
      <c r="N207">
        <f>ROUND(IF(VLOOKUP($A207,EnrollData2324,'2324 Jun 24 Enroll'!F$1,FALSE)='District Calculations'!$F$13,VLOOKUP($A207,EnrollData2324,'2324 Jun 24 Enroll'!F$1,FALSE),'District Calculations'!$F$13)*Apport_223A2425,3)</f>
        <v>0.84599999999999997</v>
      </c>
      <c r="O207">
        <f>ROUND(IF(VLOOKUP($A207,EnrollData2324,'2324 Jun 24 Enroll'!G$1,FALSE)='District Calculations'!$F$14,VLOOKUP($A207,EnrollData2324,'2324 Jun 24 Enroll'!G$1,FALSE),'District Calculations'!$F$14)*Apport_211A2425,3)</f>
        <v>1.877</v>
      </c>
      <c r="P207">
        <f>ROUND(IF(VLOOKUP($A207,EnrollData2324,'2324 Jun 24 Enroll'!H$1,FALSE)='District Calculations'!$F$14,VLOOKUP($A207,EnrollData2324,'2324 Jun 24 Enroll'!H$1,FALSE),'District Calculations'!$F$14)*Apport_214A2425,3)</f>
        <v>1.875</v>
      </c>
      <c r="Q207">
        <f>ROUND(IF(VLOOKUP($A207,EnrollData2324,'2324 Jun 24 Enroll'!I$1,FALSE)+VLOOKUP($A207,EnrollData2324,'2324 Jun 24 Enroll'!M$1,FALSE)-VLOOKUP($A207,EnrollData2324,'2324 Jun 24 Enroll'!J$1,FALSE)='District Calculations'!$F$16+'District Calculations'!$F$25-'District Calculations'!$F$17,VLOOKUP($A207,EnrollData2324,'2324 Jun 24 Enroll'!I$1,FALSE)+VLOOKUP($A207,EnrollData2324,'2324 Jun 24 Enroll'!M$1,FALSE)-VLOOKUP($A207,EnrollData2324,'2324 Jun 24 Enroll'!J$1,FALSE),'District Calculations'!$F$16+'District Calculations'!$F$25-'District Calculations'!$F$17)*Apport_217A2425,3)</f>
        <v>4.7130000000000001</v>
      </c>
      <c r="R207">
        <f>ROUND(SUM(L207:Q207)/IF(VLOOKUP($A207,EnrollData2324,'2324 Jun 24 Enroll'!M$1,FALSE)+VLOOKUP($A207,EnrollData2324,'2324 Jun 24 Enroll'!D$1,FALSE)='District Calculations'!$F$25+'District Calculations'!$F$11,VLOOKUP($A207,EnrollData2324,'2324 Jun 24 Enroll'!M$1,FALSE)+VLOOKUP($A207,EnrollData2324,'2324 Jun 24 Enroll'!D$1,FALSE),'District Calculations'!$F$25+'District Calculations'!$F$11),5)</f>
        <v>4.1200000000000004E-3</v>
      </c>
      <c r="S207" s="11">
        <f t="shared" si="41"/>
        <v>1.8734299999999999E-2</v>
      </c>
      <c r="T207">
        <f>ROUND(IF(VLOOKUP($A207,EnrollData2324,'2324 Jun 24 Enroll'!D$1,FALSE)='District Calculations'!$F$11,VLOOKUP($A207,EnrollData2324,'2324 Jun 24 Enroll'!D$1,FALSE),'District Calculations'!$F$11)*S207,3)</f>
        <v>0</v>
      </c>
      <c r="U207">
        <f>ROUND(IF(VLOOKUP($A207,EnrollData2324,'2324 Jun 24 Enroll'!E$1,FALSE)='District Calculations'!$F$12,VLOOKUP($A207,EnrollData2324,'2324 Jun 24 Enroll'!E$1,FALSE),'District Calculations'!$F$12)*S207,3)</f>
        <v>15.183999999999999</v>
      </c>
      <c r="V207">
        <f>ROUND(IF(VLOOKUP($A207,EnrollData2324,'2324 Jun 24 Enroll'!F$1,FALSE)='District Calculations'!$F$13,VLOOKUP($A207,EnrollData2324,'2324 Jun 24 Enroll'!F$1,FALSE),'District Calculations'!$F$13)*Apport_224A2425,3)</f>
        <v>3.7109999999999999</v>
      </c>
      <c r="W207">
        <f>ROUND(IF(VLOOKUP($A207,EnrollData2324,'2324 Jun 24 Enroll'!G$1,FALSE)='District Calculations'!$F$14,VLOOKUP($A207,EnrollData2324,'2324 Jun 24 Enroll'!G$1,FALSE),'District Calculations'!$F$14)*Apport_212A2425,3)</f>
        <v>8.2279999999999998</v>
      </c>
      <c r="X207">
        <f>ROUND(IF(VLOOKUP($A207,EnrollData2324,'2324 Jun 24 Enroll'!H$1,FALSE)='District Calculations'!$F$14,VLOOKUP($A207,EnrollData2324,'2324 Jun 24 Enroll'!H$1,FALSE),'District Calculations'!$F$14)*Apport_215A2425,3)</f>
        <v>8.1180000000000003</v>
      </c>
      <c r="Y207">
        <f>ROUND(IF(VLOOKUP($A207,EnrollData2324,'2324 Jun 24 Enroll'!I$1,FALSE)+VLOOKUP($A207,EnrollData2324,'2324 Jun 24 Enroll'!M$1,FALSE)-VLOOKUP($A207,EnrollData2324,'2324 Jun 24 Enroll'!J$1,FALSE)='District Calculations'!$F$16+'District Calculations'!$F$25-'District Calculations'!$F$17,VLOOKUP($A207,EnrollData2324,'2324 Jun 24 Enroll'!I$1,FALSE)+VLOOKUP($A207,EnrollData2324,'2324 Jun 24 Enroll'!M$1,FALSE)-VLOOKUP($A207,EnrollData2324,'2324 Jun 24 Enroll'!J$1,FALSE),'District Calculations'!$F$16+'District Calculations'!$F$25-'District Calculations'!$F$17)*Apport_218A2425,3)</f>
        <v>20.257999999999999</v>
      </c>
      <c r="Z207">
        <f>ROUND(SUM(T207:Y207)/IF(VLOOKUP($A207,EnrollData2324,'2324 Jun 24 Enroll'!M$1,FALSE)+VLOOKUP($A207,EnrollData2324,'2324 Jun 24 Enroll'!D$1,FALSE)='District Calculations'!$F$25+'District Calculations'!$F$11,VLOOKUP($A207,EnrollData2324,'2324 Jun 24 Enroll'!M$1,FALSE)+VLOOKUP($A207,EnrollData2324,'2324 Jun 24 Enroll'!D$1,FALSE),'District Calculations'!$F$25+'District Calculations'!$F$11),5)</f>
        <v>1.7780000000000001E-2</v>
      </c>
      <c r="AA207" s="6">
        <f>ROUND($J207*CIS_Base_Salary2425*VLOOKUP($A207,EnrollData2324,'2324 Jun 24 Enroll'!AH$1,FALSE),2)</f>
        <v>4774.2</v>
      </c>
      <c r="AB207" s="6">
        <f>ROUND($J207*CIS_Inc_Salary2425*(VLOOKUP($A207,EnrollData2324,'2324 Jun 24 Enroll'!AI$1,FALSE)+VLOOKUP($A207,EnrollData2324,'2324 Jun 24 Enroll'!AJ$1,FALSE)),2)-AA207</f>
        <v>353.43000000000029</v>
      </c>
      <c r="AC207" s="6" cm="1">
        <f t="array" ref="AC207">ROUND($R207*CAS_Base_Salary2425*VLOOKUP($A207,EnrollData2324,'2324 Jun 24 Enroll'!AH$1,FALSE),2)</f>
        <v>516.58000000000004</v>
      </c>
      <c r="AD207" s="6">
        <f>ROUND($R207*CAS_Inc_Salary2425*VLOOKUP($A207,EnrollData2324,'2324 Jun 24 Enroll'!AI$1,FALSE),2)-AC207</f>
        <v>19.110000000000014</v>
      </c>
      <c r="AE207" s="6">
        <f>ROUND($Z207*CLS_Base_Salary2425*VLOOKUP($A207,EnrollData2324,'2324 Jun 24 Enroll'!AH$1,FALSE),2)</f>
        <v>1077.3900000000001</v>
      </c>
      <c r="AF207" s="6">
        <f>ROUND($Z207*CLS_Inc_Salary2425*VLOOKUP($A207,EnrollData2324,'2324 Jun 24 Enroll'!AI$1,FALSE),2)-AE207</f>
        <v>39.8599999999999</v>
      </c>
      <c r="AG207" cm="1">
        <f t="array" ref="AG207">ROUND(($J207+$R207)*Apport_124X2425,2)</f>
        <v>800.45</v>
      </c>
      <c r="AH207" s="69" cm="1">
        <f t="array" ref="AH207">ROUND(($J207+$R207)*Apport_621X2425*Apport_125XC2425,2)-AG207</f>
        <v>73.899999999999977</v>
      </c>
      <c r="AI207" cm="1">
        <f t="array" ref="AI207">ROUND($Z207*Apport_124X2425,2)</f>
        <v>234.7</v>
      </c>
      <c r="AJ207">
        <f t="shared" si="42"/>
        <v>124.71000000000004</v>
      </c>
      <c r="AK207">
        <f t="shared" si="43"/>
        <v>960.28</v>
      </c>
      <c r="AL207">
        <f t="shared" si="44"/>
        <v>65.23</v>
      </c>
      <c r="AM207">
        <f t="shared" si="45"/>
        <v>233.36</v>
      </c>
      <c r="AN207">
        <f t="shared" si="46"/>
        <v>7.24</v>
      </c>
      <c r="AO207">
        <f>ROUND(($J207*CIS_Inc_Salary2425*(VLOOKUP($A207,EnrollData2324,'2324 Jun 24 Enroll'!AI$1,FALSE)+VLOOKUP($A207,EnrollData2324,'2324 Jun 24 Enroll'!AJ$1,FALSE))/Apport_613Xpd)*Apport_614Xpd,2)</f>
        <v>85.46</v>
      </c>
      <c r="AP207">
        <f t="shared" si="47"/>
        <v>14.96</v>
      </c>
      <c r="AQ207">
        <f t="shared" si="48"/>
        <v>31.48</v>
      </c>
      <c r="AR207" s="6">
        <f>ROUND((VLOOKUP($A207,EnrollData2324,'2324 Jun 24 Enroll'!D$1,FALSE)*Apport_M802425+VLOOKUP($A207,EnrollData2324,'2324 Jun 24 Enroll'!M$1,FALSE)*Apport_M802425+(VLOOKUP($A207,EnrollData2324,'2324 Jun 24 Enroll'!P$1,FALSE)+VLOOKUP($A207,EnrollData2324,'2324 Jun 24 Enroll'!Q$1,FALSE)+VLOOKUP($A207,EnrollData2324,'2324 Jun 24 Enroll'!R$1,FALSE)+VLOOKUP($A207,EnrollData2324,'2324 Jun 24 Enroll'!I$1,FALSE)+VLOOKUP($A207,EnrollData2324,'2324 Jun 24 Enroll'!N$1,FALSE)+VLOOKUP($A207,EnrollData2324,'2324 Jun 24 Enroll'!O$1,FALSE)+VLOOKUP($A207,EnrollData2324,'2324 Jun 24 Enroll'!K$1,FALSE)+VLOOKUP($A207,EnrollData2324,'2324 Jun 24 Enroll'!L$1,FALSE))*Apport_M812425)/(VLOOKUP($A207,EnrollData2324,'2324 Jun 24 Enroll'!M$1,FALSE)+VLOOKUP($A207,EnrollData2324,'2324 Jun 24 Enroll'!D$1,FALSE)),2)</f>
        <v>1533.02</v>
      </c>
      <c r="AS207" s="7">
        <f t="shared" si="49"/>
        <v>10945.359999999997</v>
      </c>
    </row>
    <row r="208" spans="1:48">
      <c r="A208" s="40" t="s">
        <v>673</v>
      </c>
      <c r="B208" s="40" t="s">
        <v>674</v>
      </c>
      <c r="C208" s="11">
        <f>ROUND((IFERROR((1/IF(VLOOKUP($A208,EnrollData2324,28,FALSE)='District Calculations'!$F$10,VLOOKUP($A208,EnrollData2324,28,FALSE),'District Calculations'!$F$10))*(1+Apport_Z315),0))+Apport_201A2425,6)</f>
        <v>7.4580999999999995E-2</v>
      </c>
      <c r="D208">
        <f>ROUND(IF(VLOOKUP($A208,EnrollData2324,'2324 Jun 24 Enroll'!D$1,FALSE)='District Calculations'!$F$11,VLOOKUP($A208,EnrollData2324,'2324 Jun 24 Enroll'!D$1,FALSE),'District Calculations'!$F$11)*C208,3)</f>
        <v>0</v>
      </c>
      <c r="E208">
        <f>ROUND(IF(VLOOKUP($A208,EnrollData2324,'2324 Jun 24 Enroll'!E$1,FALSE)='District Calculations'!$F$12,VLOOKUP($A208,EnrollData2324,'2324 Jun 24 Enroll'!E$1,FALSE),'District Calculations'!$F$12)*C208,3)</f>
        <v>60.447000000000003</v>
      </c>
      <c r="F208">
        <f>ROUND(IF(VLOOKUP($A208,EnrollData2324,'2324 Jun 24 Enroll'!F$1,FALSE)='District Calculations'!$F$13,VLOOKUP($A208,EnrollData2324,'2324 Jun 24 Enroll'!F$1,FALSE),'District Calculations'!$F$13)*Apport_222A2425,3)</f>
        <v>10.337999999999999</v>
      </c>
      <c r="G208">
        <f>ROUND(IF(VLOOKUP($A208,EnrollData2324,'2324 Jun 24 Enroll'!G$1,FALSE)='District Calculations'!$F$14,VLOOKUP($A208,EnrollData2324,'2324 Jun 24 Enroll'!G$1,FALSE),'District Calculations'!$F$14)*Apport_210A2425,3)</f>
        <v>22.92</v>
      </c>
      <c r="H208">
        <f>ROUND(IF(VLOOKUP($A208,EnrollData2324,'2324 Jun 24 Enroll'!H$1,FALSE)='District Calculations'!$F$15,VLOOKUP($A208,EnrollData2324,'2324 Jun 24 Enroll'!H$1,FALSE),'District Calculations'!$F$15)*Apport_213A2425,3)</f>
        <v>23.619</v>
      </c>
      <c r="I208">
        <f>ROUND(IF(VLOOKUP($A208,EnrollData2324,'2324 Jun 24 Enroll'!I$1,FALSE)+VLOOKUP($A208,EnrollData2324,'2324 Jun 24 Enroll'!M$1,FALSE)-VLOOKUP($A208,EnrollData2324,'2324 Jun 24 Enroll'!J$1,FALSE)='District Calculations'!$F$16+'District Calculations'!$F$25-'District Calculations'!$F$17,VLOOKUP($A208,EnrollData2324,'2324 Jun 24 Enroll'!I$1,FALSE)+VLOOKUP($A208,EnrollData2324,'2324 Jun 24 Enroll'!M$1,FALSE)-VLOOKUP($A208,EnrollData2324,'2324 Jun 24 Enroll'!J$1,FALSE),'District Calculations'!$F$16+'District Calculations'!$F$25-'District Calculations'!$F$17)*Apport_216A2425,3)</f>
        <v>59.057000000000002</v>
      </c>
      <c r="J208">
        <f>ROUND(SUM(D208:I208)/(IF(VLOOKUP($A208,EnrollData2324,'2324 Jun 24 Enroll'!M$1,FALSE)='District Calculations'!$F$25,VLOOKUP($A208,EnrollData2324,'2324 Jun 24 Enroll'!M$1,FALSE),'District Calculations'!$F$25)+IF(VLOOKUP($A208,EnrollData2324,'2324 Jun 24 Enroll'!D$1,FALSE)='District Calculations'!$F$11,VLOOKUP($A208,EnrollData2324,'2324 Jun 24 Enroll'!D$1,FALSE),'District Calculations'!$F$11)),5)</f>
        <v>5.6520000000000001E-2</v>
      </c>
      <c r="K208" s="11">
        <f t="shared" si="40"/>
        <v>4.385E-3</v>
      </c>
      <c r="L208">
        <f>ROUND(IF(VLOOKUP($A208,EnrollData2324,'2324 Jun 24 Enroll'!D$1,FALSE)='District Calculations'!$F$11,VLOOKUP($A208,EnrollData2324,'2324 Jun 24 Enroll'!D$1,FALSE),'District Calculations'!$F$11)*K208,3)</f>
        <v>0</v>
      </c>
      <c r="M208">
        <f>ROUND(IF(VLOOKUP($A208,EnrollData2324,'2324 Jun 24 Enroll'!E$1,FALSE)='District Calculations'!$F$12,VLOOKUP($A208,EnrollData2324,'2324 Jun 24 Enroll'!E$1,FALSE),'District Calculations'!$F$12)*K208,3)</f>
        <v>3.5539999999999998</v>
      </c>
      <c r="N208">
        <f>ROUND(IF(VLOOKUP($A208,EnrollData2324,'2324 Jun 24 Enroll'!F$1,FALSE)='District Calculations'!$F$13,VLOOKUP($A208,EnrollData2324,'2324 Jun 24 Enroll'!F$1,FALSE),'District Calculations'!$F$13)*Apport_223A2425,3)</f>
        <v>0.84599999999999997</v>
      </c>
      <c r="O208">
        <f>ROUND(IF(VLOOKUP($A208,EnrollData2324,'2324 Jun 24 Enroll'!G$1,FALSE)='District Calculations'!$F$14,VLOOKUP($A208,EnrollData2324,'2324 Jun 24 Enroll'!G$1,FALSE),'District Calculations'!$F$14)*Apport_211A2425,3)</f>
        <v>1.877</v>
      </c>
      <c r="P208">
        <f>ROUND(IF(VLOOKUP($A208,EnrollData2324,'2324 Jun 24 Enroll'!H$1,FALSE)='District Calculations'!$F$14,VLOOKUP($A208,EnrollData2324,'2324 Jun 24 Enroll'!H$1,FALSE),'District Calculations'!$F$14)*Apport_214A2425,3)</f>
        <v>1.875</v>
      </c>
      <c r="Q208">
        <f>ROUND(IF(VLOOKUP($A208,EnrollData2324,'2324 Jun 24 Enroll'!I$1,FALSE)+VLOOKUP($A208,EnrollData2324,'2324 Jun 24 Enroll'!M$1,FALSE)-VLOOKUP($A208,EnrollData2324,'2324 Jun 24 Enroll'!J$1,FALSE)='District Calculations'!$F$16+'District Calculations'!$F$25-'District Calculations'!$F$17,VLOOKUP($A208,EnrollData2324,'2324 Jun 24 Enroll'!I$1,FALSE)+VLOOKUP($A208,EnrollData2324,'2324 Jun 24 Enroll'!M$1,FALSE)-VLOOKUP($A208,EnrollData2324,'2324 Jun 24 Enroll'!J$1,FALSE),'District Calculations'!$F$16+'District Calculations'!$F$25-'District Calculations'!$F$17)*Apport_217A2425,3)</f>
        <v>4.7130000000000001</v>
      </c>
      <c r="R208">
        <f>ROUND(SUM(L208:Q208)/IF(VLOOKUP($A208,EnrollData2324,'2324 Jun 24 Enroll'!M$1,FALSE)+VLOOKUP($A208,EnrollData2324,'2324 Jun 24 Enroll'!D$1,FALSE)='District Calculations'!$F$25+'District Calculations'!$F$11,VLOOKUP($A208,EnrollData2324,'2324 Jun 24 Enroll'!M$1,FALSE)+VLOOKUP($A208,EnrollData2324,'2324 Jun 24 Enroll'!D$1,FALSE),'District Calculations'!$F$25+'District Calculations'!$F$11),5)</f>
        <v>4.1200000000000004E-3</v>
      </c>
      <c r="S208" s="11">
        <f t="shared" si="41"/>
        <v>1.8734299999999999E-2</v>
      </c>
      <c r="T208">
        <f>ROUND(IF(VLOOKUP($A208,EnrollData2324,'2324 Jun 24 Enroll'!D$1,FALSE)='District Calculations'!$F$11,VLOOKUP($A208,EnrollData2324,'2324 Jun 24 Enroll'!D$1,FALSE),'District Calculations'!$F$11)*S208,3)</f>
        <v>0</v>
      </c>
      <c r="U208">
        <f>ROUND(IF(VLOOKUP($A208,EnrollData2324,'2324 Jun 24 Enroll'!E$1,FALSE)='District Calculations'!$F$12,VLOOKUP($A208,EnrollData2324,'2324 Jun 24 Enroll'!E$1,FALSE),'District Calculations'!$F$12)*S208,3)</f>
        <v>15.183999999999999</v>
      </c>
      <c r="V208">
        <f>ROUND(IF(VLOOKUP($A208,EnrollData2324,'2324 Jun 24 Enroll'!F$1,FALSE)='District Calculations'!$F$13,VLOOKUP($A208,EnrollData2324,'2324 Jun 24 Enroll'!F$1,FALSE),'District Calculations'!$F$13)*Apport_224A2425,3)</f>
        <v>3.7109999999999999</v>
      </c>
      <c r="W208">
        <f>ROUND(IF(VLOOKUP($A208,EnrollData2324,'2324 Jun 24 Enroll'!G$1,FALSE)='District Calculations'!$F$14,VLOOKUP($A208,EnrollData2324,'2324 Jun 24 Enroll'!G$1,FALSE),'District Calculations'!$F$14)*Apport_212A2425,3)</f>
        <v>8.2279999999999998</v>
      </c>
      <c r="X208">
        <f>ROUND(IF(VLOOKUP($A208,EnrollData2324,'2324 Jun 24 Enroll'!H$1,FALSE)='District Calculations'!$F$14,VLOOKUP($A208,EnrollData2324,'2324 Jun 24 Enroll'!H$1,FALSE),'District Calculations'!$F$14)*Apport_215A2425,3)</f>
        <v>8.1180000000000003</v>
      </c>
      <c r="Y208">
        <f>ROUND(IF(VLOOKUP($A208,EnrollData2324,'2324 Jun 24 Enroll'!I$1,FALSE)+VLOOKUP($A208,EnrollData2324,'2324 Jun 24 Enroll'!M$1,FALSE)-VLOOKUP($A208,EnrollData2324,'2324 Jun 24 Enroll'!J$1,FALSE)='District Calculations'!$F$16+'District Calculations'!$F$25-'District Calculations'!$F$17,VLOOKUP($A208,EnrollData2324,'2324 Jun 24 Enroll'!I$1,FALSE)+VLOOKUP($A208,EnrollData2324,'2324 Jun 24 Enroll'!M$1,FALSE)-VLOOKUP($A208,EnrollData2324,'2324 Jun 24 Enroll'!J$1,FALSE),'District Calculations'!$F$16+'District Calculations'!$F$25-'District Calculations'!$F$17)*Apport_218A2425,3)</f>
        <v>20.257999999999999</v>
      </c>
      <c r="Z208">
        <f>ROUND(SUM(T208:Y208)/IF(VLOOKUP($A208,EnrollData2324,'2324 Jun 24 Enroll'!M$1,FALSE)+VLOOKUP($A208,EnrollData2324,'2324 Jun 24 Enroll'!D$1,FALSE)='District Calculations'!$F$25+'District Calculations'!$F$11,VLOOKUP($A208,EnrollData2324,'2324 Jun 24 Enroll'!M$1,FALSE)+VLOOKUP($A208,EnrollData2324,'2324 Jun 24 Enroll'!D$1,FALSE),'District Calculations'!$F$25+'District Calculations'!$F$11),5)</f>
        <v>1.7780000000000001E-2</v>
      </c>
      <c r="AA208" s="6">
        <f>ROUND($J208*CIS_Base_Salary2425*VLOOKUP($A208,EnrollData2324,'2324 Jun 24 Enroll'!AH$1,FALSE),2)</f>
        <v>4518.4399999999996</v>
      </c>
      <c r="AB208" s="6">
        <f>ROUND($J208*CIS_Inc_Salary2425*(VLOOKUP($A208,EnrollData2324,'2324 Jun 24 Enroll'!AI$1,FALSE)+VLOOKUP($A208,EnrollData2324,'2324 Jun 24 Enroll'!AJ$1,FALSE)),2)-AA208</f>
        <v>167.16000000000076</v>
      </c>
      <c r="AC208" s="6" cm="1">
        <f t="array" ref="AC208">ROUND($R208*CAS_Base_Salary2425*VLOOKUP($A208,EnrollData2324,'2324 Jun 24 Enroll'!AH$1,FALSE),2)</f>
        <v>488.91</v>
      </c>
      <c r="AD208" s="6">
        <f>ROUND($R208*CAS_Inc_Salary2425*VLOOKUP($A208,EnrollData2324,'2324 Jun 24 Enroll'!AI$1,FALSE),2)-AC208</f>
        <v>18.089999999999975</v>
      </c>
      <c r="AE208" s="6">
        <f>ROUND($Z208*CLS_Base_Salary2425*VLOOKUP($A208,EnrollData2324,'2324 Jun 24 Enroll'!AH$1,FALSE),2)</f>
        <v>1019.67</v>
      </c>
      <c r="AF208" s="6">
        <f>ROUND($Z208*CLS_Inc_Salary2425*VLOOKUP($A208,EnrollData2324,'2324 Jun 24 Enroll'!AI$1,FALSE),2)-AE208</f>
        <v>37.730000000000132</v>
      </c>
      <c r="AG208" cm="1">
        <f t="array" ref="AG208">ROUND(($J208+$R208)*Apport_124X2425,2)</f>
        <v>800.45</v>
      </c>
      <c r="AH208" s="69" cm="1">
        <f t="array" ref="AH208">ROUND(($J208+$R208)*Apport_621X2425*Apport_125XC2425,2)-AG208</f>
        <v>73.899999999999977</v>
      </c>
      <c r="AI208" cm="1">
        <f t="array" ref="AI208">ROUND($Z208*Apport_124X2425,2)</f>
        <v>234.7</v>
      </c>
      <c r="AJ208">
        <f t="shared" si="42"/>
        <v>124.71000000000004</v>
      </c>
      <c r="AK208">
        <f t="shared" si="43"/>
        <v>908.83</v>
      </c>
      <c r="AL208">
        <f t="shared" si="44"/>
        <v>32.44</v>
      </c>
      <c r="AM208">
        <f t="shared" si="45"/>
        <v>220.86</v>
      </c>
      <c r="AN208">
        <f t="shared" si="46"/>
        <v>6.85</v>
      </c>
      <c r="AO208">
        <f>ROUND(($J208*CIS_Inc_Salary2425*(VLOOKUP($A208,EnrollData2324,'2324 Jun 24 Enroll'!AI$1,FALSE)+VLOOKUP($A208,EnrollData2324,'2324 Jun 24 Enroll'!AJ$1,FALSE))/Apport_613Xpd)*Apport_614Xpd,2)</f>
        <v>78.09</v>
      </c>
      <c r="AP208">
        <f t="shared" si="47"/>
        <v>13.67</v>
      </c>
      <c r="AQ208">
        <f t="shared" si="48"/>
        <v>31.48</v>
      </c>
      <c r="AR208" s="6">
        <f>ROUND((VLOOKUP($A208,EnrollData2324,'2324 Jun 24 Enroll'!D$1,FALSE)*Apport_M802425+VLOOKUP($A208,EnrollData2324,'2324 Jun 24 Enroll'!M$1,FALSE)*Apport_M802425+(VLOOKUP($A208,EnrollData2324,'2324 Jun 24 Enroll'!P$1,FALSE)+VLOOKUP($A208,EnrollData2324,'2324 Jun 24 Enroll'!Q$1,FALSE)+VLOOKUP($A208,EnrollData2324,'2324 Jun 24 Enroll'!R$1,FALSE)+VLOOKUP($A208,EnrollData2324,'2324 Jun 24 Enroll'!I$1,FALSE)+VLOOKUP($A208,EnrollData2324,'2324 Jun 24 Enroll'!N$1,FALSE)+VLOOKUP($A208,EnrollData2324,'2324 Jun 24 Enroll'!O$1,FALSE)+VLOOKUP($A208,EnrollData2324,'2324 Jun 24 Enroll'!K$1,FALSE)+VLOOKUP($A208,EnrollData2324,'2324 Jun 24 Enroll'!L$1,FALSE))*Apport_M812425)/(VLOOKUP($A208,EnrollData2324,'2324 Jun 24 Enroll'!M$1,FALSE)+VLOOKUP($A208,EnrollData2324,'2324 Jun 24 Enroll'!D$1,FALSE)),2)</f>
        <v>1598.14</v>
      </c>
      <c r="AS208" s="7">
        <f t="shared" si="49"/>
        <v>10374.120000000001</v>
      </c>
    </row>
    <row r="209" spans="1:45">
      <c r="A209" s="40" t="s">
        <v>388</v>
      </c>
      <c r="B209" s="40" t="s">
        <v>389</v>
      </c>
      <c r="C209" s="11">
        <f>ROUND((IFERROR((1/IF(VLOOKUP($A209,EnrollData2324,28,FALSE)='District Calculations'!$F$10,VLOOKUP($A209,EnrollData2324,28,FALSE),'District Calculations'!$F$10))*(1+Apport_Z315),0))+Apport_201A2425,6)</f>
        <v>7.4580999999999995E-2</v>
      </c>
      <c r="D209">
        <f>ROUND(IF(VLOOKUP($A209,EnrollData2324,'2324 Jun 24 Enroll'!D$1,FALSE)='District Calculations'!$F$11,VLOOKUP($A209,EnrollData2324,'2324 Jun 24 Enroll'!D$1,FALSE),'District Calculations'!$F$11)*C209,3)</f>
        <v>0</v>
      </c>
      <c r="E209">
        <f>ROUND(IF(VLOOKUP($A209,EnrollData2324,'2324 Jun 24 Enroll'!E$1,FALSE)='District Calculations'!$F$12,VLOOKUP($A209,EnrollData2324,'2324 Jun 24 Enroll'!E$1,FALSE),'District Calculations'!$F$12)*C209,3)</f>
        <v>60.447000000000003</v>
      </c>
      <c r="F209">
        <f>ROUND(IF(VLOOKUP($A209,EnrollData2324,'2324 Jun 24 Enroll'!F$1,FALSE)='District Calculations'!$F$13,VLOOKUP($A209,EnrollData2324,'2324 Jun 24 Enroll'!F$1,FALSE),'District Calculations'!$F$13)*Apport_222A2425,3)</f>
        <v>10.337999999999999</v>
      </c>
      <c r="G209">
        <f>ROUND(IF(VLOOKUP($A209,EnrollData2324,'2324 Jun 24 Enroll'!G$1,FALSE)='District Calculations'!$F$14,VLOOKUP($A209,EnrollData2324,'2324 Jun 24 Enroll'!G$1,FALSE),'District Calculations'!$F$14)*Apport_210A2425,3)</f>
        <v>22.92</v>
      </c>
      <c r="H209">
        <f>ROUND(IF(VLOOKUP($A209,EnrollData2324,'2324 Jun 24 Enroll'!H$1,FALSE)='District Calculations'!$F$15,VLOOKUP($A209,EnrollData2324,'2324 Jun 24 Enroll'!H$1,FALSE),'District Calculations'!$F$15)*Apport_213A2425,3)</f>
        <v>23.619</v>
      </c>
      <c r="I209">
        <f>ROUND(IF(VLOOKUP($A209,EnrollData2324,'2324 Jun 24 Enroll'!I$1,FALSE)+VLOOKUP($A209,EnrollData2324,'2324 Jun 24 Enroll'!M$1,FALSE)-VLOOKUP($A209,EnrollData2324,'2324 Jun 24 Enroll'!J$1,FALSE)='District Calculations'!$F$16+'District Calculations'!$F$25-'District Calculations'!$F$17,VLOOKUP($A209,EnrollData2324,'2324 Jun 24 Enroll'!I$1,FALSE)+VLOOKUP($A209,EnrollData2324,'2324 Jun 24 Enroll'!M$1,FALSE)-VLOOKUP($A209,EnrollData2324,'2324 Jun 24 Enroll'!J$1,FALSE),'District Calculations'!$F$16+'District Calculations'!$F$25-'District Calculations'!$F$17)*Apport_216A2425,3)</f>
        <v>59.057000000000002</v>
      </c>
      <c r="J209">
        <f>ROUND(SUM(D209:I209)/(IF(VLOOKUP($A209,EnrollData2324,'2324 Jun 24 Enroll'!M$1,FALSE)='District Calculations'!$F$25,VLOOKUP($A209,EnrollData2324,'2324 Jun 24 Enroll'!M$1,FALSE),'District Calculations'!$F$25)+IF(VLOOKUP($A209,EnrollData2324,'2324 Jun 24 Enroll'!D$1,FALSE)='District Calculations'!$F$11,VLOOKUP($A209,EnrollData2324,'2324 Jun 24 Enroll'!D$1,FALSE),'District Calculations'!$F$11)),5)</f>
        <v>5.6520000000000001E-2</v>
      </c>
      <c r="K209" s="11">
        <f t="shared" si="40"/>
        <v>4.385E-3</v>
      </c>
      <c r="L209">
        <f>ROUND(IF(VLOOKUP($A209,EnrollData2324,'2324 Jun 24 Enroll'!D$1,FALSE)='District Calculations'!$F$11,VLOOKUP($A209,EnrollData2324,'2324 Jun 24 Enroll'!D$1,FALSE),'District Calculations'!$F$11)*K209,3)</f>
        <v>0</v>
      </c>
      <c r="M209">
        <f>ROUND(IF(VLOOKUP($A209,EnrollData2324,'2324 Jun 24 Enroll'!E$1,FALSE)='District Calculations'!$F$12,VLOOKUP($A209,EnrollData2324,'2324 Jun 24 Enroll'!E$1,FALSE),'District Calculations'!$F$12)*K209,3)</f>
        <v>3.5539999999999998</v>
      </c>
      <c r="N209">
        <f>ROUND(IF(VLOOKUP($A209,EnrollData2324,'2324 Jun 24 Enroll'!F$1,FALSE)='District Calculations'!$F$13,VLOOKUP($A209,EnrollData2324,'2324 Jun 24 Enroll'!F$1,FALSE),'District Calculations'!$F$13)*Apport_223A2425,3)</f>
        <v>0.84599999999999997</v>
      </c>
      <c r="O209">
        <f>ROUND(IF(VLOOKUP($A209,EnrollData2324,'2324 Jun 24 Enroll'!G$1,FALSE)='District Calculations'!$F$14,VLOOKUP($A209,EnrollData2324,'2324 Jun 24 Enroll'!G$1,FALSE),'District Calculations'!$F$14)*Apport_211A2425,3)</f>
        <v>1.877</v>
      </c>
      <c r="P209">
        <f>ROUND(IF(VLOOKUP($A209,EnrollData2324,'2324 Jun 24 Enroll'!H$1,FALSE)='District Calculations'!$F$14,VLOOKUP($A209,EnrollData2324,'2324 Jun 24 Enroll'!H$1,FALSE),'District Calculations'!$F$14)*Apport_214A2425,3)</f>
        <v>1.875</v>
      </c>
      <c r="Q209">
        <f>ROUND(IF(VLOOKUP($A209,EnrollData2324,'2324 Jun 24 Enroll'!I$1,FALSE)+VLOOKUP($A209,EnrollData2324,'2324 Jun 24 Enroll'!M$1,FALSE)-VLOOKUP($A209,EnrollData2324,'2324 Jun 24 Enroll'!J$1,FALSE)='District Calculations'!$F$16+'District Calculations'!$F$25-'District Calculations'!$F$17,VLOOKUP($A209,EnrollData2324,'2324 Jun 24 Enroll'!I$1,FALSE)+VLOOKUP($A209,EnrollData2324,'2324 Jun 24 Enroll'!M$1,FALSE)-VLOOKUP($A209,EnrollData2324,'2324 Jun 24 Enroll'!J$1,FALSE),'District Calculations'!$F$16+'District Calculations'!$F$25-'District Calculations'!$F$17)*Apport_217A2425,3)</f>
        <v>4.7130000000000001</v>
      </c>
      <c r="R209">
        <f>ROUND(SUM(L209:Q209)/IF(VLOOKUP($A209,EnrollData2324,'2324 Jun 24 Enroll'!M$1,FALSE)+VLOOKUP($A209,EnrollData2324,'2324 Jun 24 Enroll'!D$1,FALSE)='District Calculations'!$F$25+'District Calculations'!$F$11,VLOOKUP($A209,EnrollData2324,'2324 Jun 24 Enroll'!M$1,FALSE)+VLOOKUP($A209,EnrollData2324,'2324 Jun 24 Enroll'!D$1,FALSE),'District Calculations'!$F$25+'District Calculations'!$F$11),5)</f>
        <v>4.1200000000000004E-3</v>
      </c>
      <c r="S209" s="11">
        <f t="shared" si="41"/>
        <v>1.8734299999999999E-2</v>
      </c>
      <c r="T209">
        <f>ROUND(IF(VLOOKUP($A209,EnrollData2324,'2324 Jun 24 Enroll'!D$1,FALSE)='District Calculations'!$F$11,VLOOKUP($A209,EnrollData2324,'2324 Jun 24 Enroll'!D$1,FALSE),'District Calculations'!$F$11)*S209,3)</f>
        <v>0</v>
      </c>
      <c r="U209">
        <f>ROUND(IF(VLOOKUP($A209,EnrollData2324,'2324 Jun 24 Enroll'!E$1,FALSE)='District Calculations'!$F$12,VLOOKUP($A209,EnrollData2324,'2324 Jun 24 Enroll'!E$1,FALSE),'District Calculations'!$F$12)*S209,3)</f>
        <v>15.183999999999999</v>
      </c>
      <c r="V209">
        <f>ROUND(IF(VLOOKUP($A209,EnrollData2324,'2324 Jun 24 Enroll'!F$1,FALSE)='District Calculations'!$F$13,VLOOKUP($A209,EnrollData2324,'2324 Jun 24 Enroll'!F$1,FALSE),'District Calculations'!$F$13)*Apport_224A2425,3)</f>
        <v>3.7109999999999999</v>
      </c>
      <c r="W209">
        <f>ROUND(IF(VLOOKUP($A209,EnrollData2324,'2324 Jun 24 Enroll'!G$1,FALSE)='District Calculations'!$F$14,VLOOKUP($A209,EnrollData2324,'2324 Jun 24 Enroll'!G$1,FALSE),'District Calculations'!$F$14)*Apport_212A2425,3)</f>
        <v>8.2279999999999998</v>
      </c>
      <c r="X209">
        <f>ROUND(IF(VLOOKUP($A209,EnrollData2324,'2324 Jun 24 Enroll'!H$1,FALSE)='District Calculations'!$F$14,VLOOKUP($A209,EnrollData2324,'2324 Jun 24 Enroll'!H$1,FALSE),'District Calculations'!$F$14)*Apport_215A2425,3)</f>
        <v>8.1180000000000003</v>
      </c>
      <c r="Y209">
        <f>ROUND(IF(VLOOKUP($A209,EnrollData2324,'2324 Jun 24 Enroll'!I$1,FALSE)+VLOOKUP($A209,EnrollData2324,'2324 Jun 24 Enroll'!M$1,FALSE)-VLOOKUP($A209,EnrollData2324,'2324 Jun 24 Enroll'!J$1,FALSE)='District Calculations'!$F$16+'District Calculations'!$F$25-'District Calculations'!$F$17,VLOOKUP($A209,EnrollData2324,'2324 Jun 24 Enroll'!I$1,FALSE)+VLOOKUP($A209,EnrollData2324,'2324 Jun 24 Enroll'!M$1,FALSE)-VLOOKUP($A209,EnrollData2324,'2324 Jun 24 Enroll'!J$1,FALSE),'District Calculations'!$F$16+'District Calculations'!$F$25-'District Calculations'!$F$17)*Apport_218A2425,3)</f>
        <v>20.257999999999999</v>
      </c>
      <c r="Z209">
        <f>ROUND(SUM(T209:Y209)/IF(VLOOKUP($A209,EnrollData2324,'2324 Jun 24 Enroll'!M$1,FALSE)+VLOOKUP($A209,EnrollData2324,'2324 Jun 24 Enroll'!D$1,FALSE)='District Calculations'!$F$25+'District Calculations'!$F$11,VLOOKUP($A209,EnrollData2324,'2324 Jun 24 Enroll'!M$1,FALSE)+VLOOKUP($A209,EnrollData2324,'2324 Jun 24 Enroll'!D$1,FALSE),'District Calculations'!$F$25+'District Calculations'!$F$11),5)</f>
        <v>1.7780000000000001E-2</v>
      </c>
      <c r="AA209" s="6">
        <f>ROUND($J209*CIS_Base_Salary2425*VLOOKUP($A209,EnrollData2324,'2324 Jun 24 Enroll'!AH$1,FALSE),2)</f>
        <v>4518.4399999999996</v>
      </c>
      <c r="AB209" s="6">
        <f>ROUND($J209*CIS_Inc_Salary2425*(VLOOKUP($A209,EnrollData2324,'2324 Jun 24 Enroll'!AI$1,FALSE)+VLOOKUP($A209,EnrollData2324,'2324 Jun 24 Enroll'!AJ$1,FALSE)),2)-AA209</f>
        <v>167.16000000000076</v>
      </c>
      <c r="AC209" s="6" cm="1">
        <f t="array" ref="AC209">ROUND($R209*CAS_Base_Salary2425*VLOOKUP($A209,EnrollData2324,'2324 Jun 24 Enroll'!AH$1,FALSE),2)</f>
        <v>488.91</v>
      </c>
      <c r="AD209" s="6">
        <f>ROUND($R209*CAS_Inc_Salary2425*VLOOKUP($A209,EnrollData2324,'2324 Jun 24 Enroll'!AI$1,FALSE),2)-AC209</f>
        <v>18.089999999999975</v>
      </c>
      <c r="AE209" s="6">
        <f>ROUND($Z209*CLS_Base_Salary2425*VLOOKUP($A209,EnrollData2324,'2324 Jun 24 Enroll'!AH$1,FALSE),2)</f>
        <v>1019.67</v>
      </c>
      <c r="AF209" s="6">
        <f>ROUND($Z209*CLS_Inc_Salary2425*VLOOKUP($A209,EnrollData2324,'2324 Jun 24 Enroll'!AI$1,FALSE),2)-AE209</f>
        <v>37.730000000000132</v>
      </c>
      <c r="AG209" cm="1">
        <f t="array" ref="AG209">ROUND(($J209+$R209)*Apport_124X2425,2)</f>
        <v>800.45</v>
      </c>
      <c r="AH209" s="69" cm="1">
        <f t="array" ref="AH209">ROUND(($J209+$R209)*Apport_621X2425*Apport_125XC2425,2)-AG209</f>
        <v>73.899999999999977</v>
      </c>
      <c r="AI209" cm="1">
        <f t="array" ref="AI209">ROUND($Z209*Apport_124X2425,2)</f>
        <v>234.7</v>
      </c>
      <c r="AJ209">
        <f t="shared" si="42"/>
        <v>124.71000000000004</v>
      </c>
      <c r="AK209">
        <f t="shared" si="43"/>
        <v>908.83</v>
      </c>
      <c r="AL209">
        <f t="shared" si="44"/>
        <v>32.44</v>
      </c>
      <c r="AM209">
        <f t="shared" si="45"/>
        <v>220.86</v>
      </c>
      <c r="AN209">
        <f t="shared" si="46"/>
        <v>6.85</v>
      </c>
      <c r="AO209">
        <f>ROUND(($J209*CIS_Inc_Salary2425*(VLOOKUP($A209,EnrollData2324,'2324 Jun 24 Enroll'!AI$1,FALSE)+VLOOKUP($A209,EnrollData2324,'2324 Jun 24 Enroll'!AJ$1,FALSE))/Apport_613Xpd)*Apport_614Xpd,2)</f>
        <v>78.09</v>
      </c>
      <c r="AP209">
        <f t="shared" si="47"/>
        <v>13.67</v>
      </c>
      <c r="AQ209">
        <f t="shared" si="48"/>
        <v>31.48</v>
      </c>
      <c r="AR209" s="6">
        <f>ROUND((VLOOKUP($A209,EnrollData2324,'2324 Jun 24 Enroll'!D$1,FALSE)*Apport_M802425+VLOOKUP($A209,EnrollData2324,'2324 Jun 24 Enroll'!M$1,FALSE)*Apport_M802425+(VLOOKUP($A209,EnrollData2324,'2324 Jun 24 Enroll'!P$1,FALSE)+VLOOKUP($A209,EnrollData2324,'2324 Jun 24 Enroll'!Q$1,FALSE)+VLOOKUP($A209,EnrollData2324,'2324 Jun 24 Enroll'!R$1,FALSE)+VLOOKUP($A209,EnrollData2324,'2324 Jun 24 Enroll'!I$1,FALSE)+VLOOKUP($A209,EnrollData2324,'2324 Jun 24 Enroll'!N$1,FALSE)+VLOOKUP($A209,EnrollData2324,'2324 Jun 24 Enroll'!O$1,FALSE)+VLOOKUP($A209,EnrollData2324,'2324 Jun 24 Enroll'!K$1,FALSE)+VLOOKUP($A209,EnrollData2324,'2324 Jun 24 Enroll'!L$1,FALSE))*Apport_M812425)/(VLOOKUP($A209,EnrollData2324,'2324 Jun 24 Enroll'!M$1,FALSE)+VLOOKUP($A209,EnrollData2324,'2324 Jun 24 Enroll'!D$1,FALSE)),2)</f>
        <v>1587.36</v>
      </c>
      <c r="AS209" s="7">
        <f t="shared" si="49"/>
        <v>10363.340000000002</v>
      </c>
    </row>
    <row r="210" spans="1:45">
      <c r="A210" s="40" t="s">
        <v>689</v>
      </c>
      <c r="B210" s="40" t="s">
        <v>690</v>
      </c>
      <c r="C210" s="11">
        <f>ROUND((IFERROR((1/IF(VLOOKUP($A210,EnrollData2324,28,FALSE)='District Calculations'!$F$10,VLOOKUP($A210,EnrollData2324,28,FALSE),'District Calculations'!$F$10))*(1+Apport_Z315),0))+Apport_201A2425,6)</f>
        <v>7.4580999999999995E-2</v>
      </c>
      <c r="D210">
        <f>ROUND(IF(VLOOKUP($A210,EnrollData2324,'2324 Jun 24 Enroll'!D$1,FALSE)='District Calculations'!$F$11,VLOOKUP($A210,EnrollData2324,'2324 Jun 24 Enroll'!D$1,FALSE),'District Calculations'!$F$11)*C210,3)</f>
        <v>0</v>
      </c>
      <c r="E210">
        <f>ROUND(IF(VLOOKUP($A210,EnrollData2324,'2324 Jun 24 Enroll'!E$1,FALSE)='District Calculations'!$F$12,VLOOKUP($A210,EnrollData2324,'2324 Jun 24 Enroll'!E$1,FALSE),'District Calculations'!$F$12)*C210,3)</f>
        <v>60.447000000000003</v>
      </c>
      <c r="F210">
        <f>ROUND(IF(VLOOKUP($A210,EnrollData2324,'2324 Jun 24 Enroll'!F$1,FALSE)='District Calculations'!$F$13,VLOOKUP($A210,EnrollData2324,'2324 Jun 24 Enroll'!F$1,FALSE),'District Calculations'!$F$13)*Apport_222A2425,3)</f>
        <v>10.337999999999999</v>
      </c>
      <c r="G210">
        <f>ROUND(IF(VLOOKUP($A210,EnrollData2324,'2324 Jun 24 Enroll'!G$1,FALSE)='District Calculations'!$F$14,VLOOKUP($A210,EnrollData2324,'2324 Jun 24 Enroll'!G$1,FALSE),'District Calculations'!$F$14)*Apport_210A2425,3)</f>
        <v>22.92</v>
      </c>
      <c r="H210">
        <f>ROUND(IF(VLOOKUP($A210,EnrollData2324,'2324 Jun 24 Enroll'!H$1,FALSE)='District Calculations'!$F$15,VLOOKUP($A210,EnrollData2324,'2324 Jun 24 Enroll'!H$1,FALSE),'District Calculations'!$F$15)*Apport_213A2425,3)</f>
        <v>23.619</v>
      </c>
      <c r="I210">
        <f>ROUND(IF(VLOOKUP($A210,EnrollData2324,'2324 Jun 24 Enroll'!I$1,FALSE)+VLOOKUP($A210,EnrollData2324,'2324 Jun 24 Enroll'!M$1,FALSE)-VLOOKUP($A210,EnrollData2324,'2324 Jun 24 Enroll'!J$1,FALSE)='District Calculations'!$F$16+'District Calculations'!$F$25-'District Calculations'!$F$17,VLOOKUP($A210,EnrollData2324,'2324 Jun 24 Enroll'!I$1,FALSE)+VLOOKUP($A210,EnrollData2324,'2324 Jun 24 Enroll'!M$1,FALSE)-VLOOKUP($A210,EnrollData2324,'2324 Jun 24 Enroll'!J$1,FALSE),'District Calculations'!$F$16+'District Calculations'!$F$25-'District Calculations'!$F$17)*Apport_216A2425,3)</f>
        <v>59.057000000000002</v>
      </c>
      <c r="J210">
        <f>ROUND(SUM(D210:I210)/(IF(VLOOKUP($A210,EnrollData2324,'2324 Jun 24 Enroll'!M$1,FALSE)='District Calculations'!$F$25,VLOOKUP($A210,EnrollData2324,'2324 Jun 24 Enroll'!M$1,FALSE),'District Calculations'!$F$25)+IF(VLOOKUP($A210,EnrollData2324,'2324 Jun 24 Enroll'!D$1,FALSE)='District Calculations'!$F$11,VLOOKUP($A210,EnrollData2324,'2324 Jun 24 Enroll'!D$1,FALSE),'District Calculations'!$F$11)),5)</f>
        <v>5.6520000000000001E-2</v>
      </c>
      <c r="K210" s="11">
        <f t="shared" si="40"/>
        <v>4.385E-3</v>
      </c>
      <c r="L210">
        <f>ROUND(IF(VLOOKUP($A210,EnrollData2324,'2324 Jun 24 Enroll'!D$1,FALSE)='District Calculations'!$F$11,VLOOKUP($A210,EnrollData2324,'2324 Jun 24 Enroll'!D$1,FALSE),'District Calculations'!$F$11)*K210,3)</f>
        <v>0</v>
      </c>
      <c r="M210">
        <f>ROUND(IF(VLOOKUP($A210,EnrollData2324,'2324 Jun 24 Enroll'!E$1,FALSE)='District Calculations'!$F$12,VLOOKUP($A210,EnrollData2324,'2324 Jun 24 Enroll'!E$1,FALSE),'District Calculations'!$F$12)*K210,3)</f>
        <v>3.5539999999999998</v>
      </c>
      <c r="N210">
        <f>ROUND(IF(VLOOKUP($A210,EnrollData2324,'2324 Jun 24 Enroll'!F$1,FALSE)='District Calculations'!$F$13,VLOOKUP($A210,EnrollData2324,'2324 Jun 24 Enroll'!F$1,FALSE),'District Calculations'!$F$13)*Apport_223A2425,3)</f>
        <v>0.84599999999999997</v>
      </c>
      <c r="O210">
        <f>ROUND(IF(VLOOKUP($A210,EnrollData2324,'2324 Jun 24 Enroll'!G$1,FALSE)='District Calculations'!$F$14,VLOOKUP($A210,EnrollData2324,'2324 Jun 24 Enroll'!G$1,FALSE),'District Calculations'!$F$14)*Apport_211A2425,3)</f>
        <v>1.877</v>
      </c>
      <c r="P210">
        <f>ROUND(IF(VLOOKUP($A210,EnrollData2324,'2324 Jun 24 Enroll'!H$1,FALSE)='District Calculations'!$F$14,VLOOKUP($A210,EnrollData2324,'2324 Jun 24 Enroll'!H$1,FALSE),'District Calculations'!$F$14)*Apport_214A2425,3)</f>
        <v>1.875</v>
      </c>
      <c r="Q210">
        <f>ROUND(IF(VLOOKUP($A210,EnrollData2324,'2324 Jun 24 Enroll'!I$1,FALSE)+VLOOKUP($A210,EnrollData2324,'2324 Jun 24 Enroll'!M$1,FALSE)-VLOOKUP($A210,EnrollData2324,'2324 Jun 24 Enroll'!J$1,FALSE)='District Calculations'!$F$16+'District Calculations'!$F$25-'District Calculations'!$F$17,VLOOKUP($A210,EnrollData2324,'2324 Jun 24 Enroll'!I$1,FALSE)+VLOOKUP($A210,EnrollData2324,'2324 Jun 24 Enroll'!M$1,FALSE)-VLOOKUP($A210,EnrollData2324,'2324 Jun 24 Enroll'!J$1,FALSE),'District Calculations'!$F$16+'District Calculations'!$F$25-'District Calculations'!$F$17)*Apport_217A2425,3)</f>
        <v>4.7130000000000001</v>
      </c>
      <c r="R210">
        <f>ROUND(SUM(L210:Q210)/IF(VLOOKUP($A210,EnrollData2324,'2324 Jun 24 Enroll'!M$1,FALSE)+VLOOKUP($A210,EnrollData2324,'2324 Jun 24 Enroll'!D$1,FALSE)='District Calculations'!$F$25+'District Calculations'!$F$11,VLOOKUP($A210,EnrollData2324,'2324 Jun 24 Enroll'!M$1,FALSE)+VLOOKUP($A210,EnrollData2324,'2324 Jun 24 Enroll'!D$1,FALSE),'District Calculations'!$F$25+'District Calculations'!$F$11),5)</f>
        <v>4.1200000000000004E-3</v>
      </c>
      <c r="S210" s="11">
        <f t="shared" si="41"/>
        <v>1.8734299999999999E-2</v>
      </c>
      <c r="T210">
        <f>ROUND(IF(VLOOKUP($A210,EnrollData2324,'2324 Jun 24 Enroll'!D$1,FALSE)='District Calculations'!$F$11,VLOOKUP($A210,EnrollData2324,'2324 Jun 24 Enroll'!D$1,FALSE),'District Calculations'!$F$11)*S210,3)</f>
        <v>0</v>
      </c>
      <c r="U210">
        <f>ROUND(IF(VLOOKUP($A210,EnrollData2324,'2324 Jun 24 Enroll'!E$1,FALSE)='District Calculations'!$F$12,VLOOKUP($A210,EnrollData2324,'2324 Jun 24 Enroll'!E$1,FALSE),'District Calculations'!$F$12)*S210,3)</f>
        <v>15.183999999999999</v>
      </c>
      <c r="V210">
        <f>ROUND(IF(VLOOKUP($A210,EnrollData2324,'2324 Jun 24 Enroll'!F$1,FALSE)='District Calculations'!$F$13,VLOOKUP($A210,EnrollData2324,'2324 Jun 24 Enroll'!F$1,FALSE),'District Calculations'!$F$13)*Apport_224A2425,3)</f>
        <v>3.7109999999999999</v>
      </c>
      <c r="W210">
        <f>ROUND(IF(VLOOKUP($A210,EnrollData2324,'2324 Jun 24 Enroll'!G$1,FALSE)='District Calculations'!$F$14,VLOOKUP($A210,EnrollData2324,'2324 Jun 24 Enroll'!G$1,FALSE),'District Calculations'!$F$14)*Apport_212A2425,3)</f>
        <v>8.2279999999999998</v>
      </c>
      <c r="X210">
        <f>ROUND(IF(VLOOKUP($A210,EnrollData2324,'2324 Jun 24 Enroll'!H$1,FALSE)='District Calculations'!$F$14,VLOOKUP($A210,EnrollData2324,'2324 Jun 24 Enroll'!H$1,FALSE),'District Calculations'!$F$14)*Apport_215A2425,3)</f>
        <v>8.1180000000000003</v>
      </c>
      <c r="Y210">
        <f>ROUND(IF(VLOOKUP($A210,EnrollData2324,'2324 Jun 24 Enroll'!I$1,FALSE)+VLOOKUP($A210,EnrollData2324,'2324 Jun 24 Enroll'!M$1,FALSE)-VLOOKUP($A210,EnrollData2324,'2324 Jun 24 Enroll'!J$1,FALSE)='District Calculations'!$F$16+'District Calculations'!$F$25-'District Calculations'!$F$17,VLOOKUP($A210,EnrollData2324,'2324 Jun 24 Enroll'!I$1,FALSE)+VLOOKUP($A210,EnrollData2324,'2324 Jun 24 Enroll'!M$1,FALSE)-VLOOKUP($A210,EnrollData2324,'2324 Jun 24 Enroll'!J$1,FALSE),'District Calculations'!$F$16+'District Calculations'!$F$25-'District Calculations'!$F$17)*Apport_218A2425,3)</f>
        <v>20.257999999999999</v>
      </c>
      <c r="Z210">
        <f>ROUND(SUM(T210:Y210)/IF(VLOOKUP($A210,EnrollData2324,'2324 Jun 24 Enroll'!M$1,FALSE)+VLOOKUP($A210,EnrollData2324,'2324 Jun 24 Enroll'!D$1,FALSE)='District Calculations'!$F$25+'District Calculations'!$F$11,VLOOKUP($A210,EnrollData2324,'2324 Jun 24 Enroll'!M$1,FALSE)+VLOOKUP($A210,EnrollData2324,'2324 Jun 24 Enroll'!D$1,FALSE),'District Calculations'!$F$25+'District Calculations'!$F$11),5)</f>
        <v>1.7780000000000001E-2</v>
      </c>
      <c r="AA210" s="6">
        <f>ROUND($J210*CIS_Base_Salary2425*VLOOKUP($A210,EnrollData2324,'2324 Jun 24 Enroll'!AH$1,FALSE),2)</f>
        <v>4774.2</v>
      </c>
      <c r="AB210" s="6">
        <f>ROUND($J210*CIS_Inc_Salary2425*(VLOOKUP($A210,EnrollData2324,'2324 Jun 24 Enroll'!AI$1,FALSE)+VLOOKUP($A210,EnrollData2324,'2324 Jun 24 Enroll'!AJ$1,FALSE)),2)-AA210</f>
        <v>220.82000000000062</v>
      </c>
      <c r="AC210" s="6" cm="1">
        <f t="array" ref="AC210">ROUND($R210*CAS_Base_Salary2425*VLOOKUP($A210,EnrollData2324,'2324 Jun 24 Enroll'!AH$1,FALSE),2)</f>
        <v>516.58000000000004</v>
      </c>
      <c r="AD210" s="6">
        <f>ROUND($R210*CAS_Inc_Salary2425*VLOOKUP($A210,EnrollData2324,'2324 Jun 24 Enroll'!AI$1,FALSE),2)-AC210</f>
        <v>19.110000000000014</v>
      </c>
      <c r="AE210" s="6">
        <f>ROUND($Z210*CLS_Base_Salary2425*VLOOKUP($A210,EnrollData2324,'2324 Jun 24 Enroll'!AH$1,FALSE),2)</f>
        <v>1077.3900000000001</v>
      </c>
      <c r="AF210" s="6">
        <f>ROUND($Z210*CLS_Inc_Salary2425*VLOOKUP($A210,EnrollData2324,'2324 Jun 24 Enroll'!AI$1,FALSE),2)-AE210</f>
        <v>39.8599999999999</v>
      </c>
      <c r="AG210" cm="1">
        <f t="array" ref="AG210">ROUND(($J210+$R210)*Apport_124X2425,2)</f>
        <v>800.45</v>
      </c>
      <c r="AH210" s="69" cm="1">
        <f t="array" ref="AH210">ROUND(($J210+$R210)*Apport_621X2425*Apport_125XC2425,2)-AG210</f>
        <v>73.899999999999977</v>
      </c>
      <c r="AI210" cm="1">
        <f t="array" ref="AI210">ROUND($Z210*Apport_124X2425,2)</f>
        <v>234.7</v>
      </c>
      <c r="AJ210">
        <f t="shared" si="42"/>
        <v>124.71000000000004</v>
      </c>
      <c r="AK210">
        <f t="shared" si="43"/>
        <v>960.28</v>
      </c>
      <c r="AL210">
        <f t="shared" si="44"/>
        <v>42.01</v>
      </c>
      <c r="AM210">
        <f t="shared" si="45"/>
        <v>233.36</v>
      </c>
      <c r="AN210">
        <f t="shared" si="46"/>
        <v>7.24</v>
      </c>
      <c r="AO210">
        <f>ROUND(($J210*CIS_Inc_Salary2425*(VLOOKUP($A210,EnrollData2324,'2324 Jun 24 Enroll'!AI$1,FALSE)+VLOOKUP($A210,EnrollData2324,'2324 Jun 24 Enroll'!AJ$1,FALSE))/Apport_613Xpd)*Apport_614Xpd,2)</f>
        <v>83.25</v>
      </c>
      <c r="AP210">
        <f t="shared" si="47"/>
        <v>14.58</v>
      </c>
      <c r="AQ210">
        <f t="shared" si="48"/>
        <v>31.48</v>
      </c>
      <c r="AR210" s="6">
        <f>ROUND((VLOOKUP($A210,EnrollData2324,'2324 Jun 24 Enroll'!D$1,FALSE)*Apport_M802425+VLOOKUP($A210,EnrollData2324,'2324 Jun 24 Enroll'!M$1,FALSE)*Apport_M802425+(VLOOKUP($A210,EnrollData2324,'2324 Jun 24 Enroll'!P$1,FALSE)+VLOOKUP($A210,EnrollData2324,'2324 Jun 24 Enroll'!Q$1,FALSE)+VLOOKUP($A210,EnrollData2324,'2324 Jun 24 Enroll'!R$1,FALSE)+VLOOKUP($A210,EnrollData2324,'2324 Jun 24 Enroll'!I$1,FALSE)+VLOOKUP($A210,EnrollData2324,'2324 Jun 24 Enroll'!N$1,FALSE)+VLOOKUP($A210,EnrollData2324,'2324 Jun 24 Enroll'!O$1,FALSE)+VLOOKUP($A210,EnrollData2324,'2324 Jun 24 Enroll'!K$1,FALSE)+VLOOKUP($A210,EnrollData2324,'2324 Jun 24 Enroll'!L$1,FALSE))*Apport_M812425)/(VLOOKUP($A210,EnrollData2324,'2324 Jun 24 Enroll'!M$1,FALSE)+VLOOKUP($A210,EnrollData2324,'2324 Jun 24 Enroll'!D$1,FALSE)),2)</f>
        <v>1599.01</v>
      </c>
      <c r="AS210" s="7">
        <f t="shared" si="49"/>
        <v>10852.93</v>
      </c>
    </row>
    <row r="211" spans="1:45">
      <c r="A211" s="40" t="s">
        <v>472</v>
      </c>
      <c r="B211" s="40" t="s">
        <v>473</v>
      </c>
      <c r="C211" s="11">
        <f>ROUND((IFERROR((1/IF(VLOOKUP($A211,EnrollData2324,28,FALSE)='District Calculations'!$F$10,VLOOKUP($A211,EnrollData2324,28,FALSE),'District Calculations'!$F$10))*(1+Apport_Z315),0))+Apport_201A2425,6)</f>
        <v>7.4580999999999995E-2</v>
      </c>
      <c r="D211">
        <f>ROUND(IF(VLOOKUP($A211,EnrollData2324,'2324 Jun 24 Enroll'!D$1,FALSE)='District Calculations'!$F$11,VLOOKUP($A211,EnrollData2324,'2324 Jun 24 Enroll'!D$1,FALSE),'District Calculations'!$F$11)*C211,3)</f>
        <v>0</v>
      </c>
      <c r="E211">
        <f>ROUND(IF(VLOOKUP($A211,EnrollData2324,'2324 Jun 24 Enroll'!E$1,FALSE)='District Calculations'!$F$12,VLOOKUP($A211,EnrollData2324,'2324 Jun 24 Enroll'!E$1,FALSE),'District Calculations'!$F$12)*C211,3)</f>
        <v>60.447000000000003</v>
      </c>
      <c r="F211">
        <f>ROUND(IF(VLOOKUP($A211,EnrollData2324,'2324 Jun 24 Enroll'!F$1,FALSE)='District Calculations'!$F$13,VLOOKUP($A211,EnrollData2324,'2324 Jun 24 Enroll'!F$1,FALSE),'District Calculations'!$F$13)*Apport_222A2425,3)</f>
        <v>10.337999999999999</v>
      </c>
      <c r="G211">
        <f>ROUND(IF(VLOOKUP($A211,EnrollData2324,'2324 Jun 24 Enroll'!G$1,FALSE)='District Calculations'!$F$14,VLOOKUP($A211,EnrollData2324,'2324 Jun 24 Enroll'!G$1,FALSE),'District Calculations'!$F$14)*Apport_210A2425,3)</f>
        <v>22.92</v>
      </c>
      <c r="H211">
        <f>ROUND(IF(VLOOKUP($A211,EnrollData2324,'2324 Jun 24 Enroll'!H$1,FALSE)='District Calculations'!$F$15,VLOOKUP($A211,EnrollData2324,'2324 Jun 24 Enroll'!H$1,FALSE),'District Calculations'!$F$15)*Apport_213A2425,3)</f>
        <v>23.619</v>
      </c>
      <c r="I211">
        <f>ROUND(IF(VLOOKUP($A211,EnrollData2324,'2324 Jun 24 Enroll'!I$1,FALSE)+VLOOKUP($A211,EnrollData2324,'2324 Jun 24 Enroll'!M$1,FALSE)-VLOOKUP($A211,EnrollData2324,'2324 Jun 24 Enroll'!J$1,FALSE)='District Calculations'!$F$16+'District Calculations'!$F$25-'District Calculations'!$F$17,VLOOKUP($A211,EnrollData2324,'2324 Jun 24 Enroll'!I$1,FALSE)+VLOOKUP($A211,EnrollData2324,'2324 Jun 24 Enroll'!M$1,FALSE)-VLOOKUP($A211,EnrollData2324,'2324 Jun 24 Enroll'!J$1,FALSE),'District Calculations'!$F$16+'District Calculations'!$F$25-'District Calculations'!$F$17)*Apport_216A2425,3)</f>
        <v>59.057000000000002</v>
      </c>
      <c r="J211">
        <f>ROUND(SUM(D211:I211)/(IF(VLOOKUP($A211,EnrollData2324,'2324 Jun 24 Enroll'!M$1,FALSE)='District Calculations'!$F$25,VLOOKUP($A211,EnrollData2324,'2324 Jun 24 Enroll'!M$1,FALSE),'District Calculations'!$F$25)+IF(VLOOKUP($A211,EnrollData2324,'2324 Jun 24 Enroll'!D$1,FALSE)='District Calculations'!$F$11,VLOOKUP($A211,EnrollData2324,'2324 Jun 24 Enroll'!D$1,FALSE),'District Calculations'!$F$11)),5)</f>
        <v>5.6520000000000001E-2</v>
      </c>
      <c r="K211" s="11">
        <f t="shared" si="40"/>
        <v>4.385E-3</v>
      </c>
      <c r="L211">
        <f>ROUND(IF(VLOOKUP($A211,EnrollData2324,'2324 Jun 24 Enroll'!D$1,FALSE)='District Calculations'!$F$11,VLOOKUP($A211,EnrollData2324,'2324 Jun 24 Enroll'!D$1,FALSE),'District Calculations'!$F$11)*K211,3)</f>
        <v>0</v>
      </c>
      <c r="M211">
        <f>ROUND(IF(VLOOKUP($A211,EnrollData2324,'2324 Jun 24 Enroll'!E$1,FALSE)='District Calculations'!$F$12,VLOOKUP($A211,EnrollData2324,'2324 Jun 24 Enroll'!E$1,FALSE),'District Calculations'!$F$12)*K211,3)</f>
        <v>3.5539999999999998</v>
      </c>
      <c r="N211">
        <f>ROUND(IF(VLOOKUP($A211,EnrollData2324,'2324 Jun 24 Enroll'!F$1,FALSE)='District Calculations'!$F$13,VLOOKUP($A211,EnrollData2324,'2324 Jun 24 Enroll'!F$1,FALSE),'District Calculations'!$F$13)*Apport_223A2425,3)</f>
        <v>0.84599999999999997</v>
      </c>
      <c r="O211">
        <f>ROUND(IF(VLOOKUP($A211,EnrollData2324,'2324 Jun 24 Enroll'!G$1,FALSE)='District Calculations'!$F$14,VLOOKUP($A211,EnrollData2324,'2324 Jun 24 Enroll'!G$1,FALSE),'District Calculations'!$F$14)*Apport_211A2425,3)</f>
        <v>1.877</v>
      </c>
      <c r="P211">
        <f>ROUND(IF(VLOOKUP($A211,EnrollData2324,'2324 Jun 24 Enroll'!H$1,FALSE)='District Calculations'!$F$14,VLOOKUP($A211,EnrollData2324,'2324 Jun 24 Enroll'!H$1,FALSE),'District Calculations'!$F$14)*Apport_214A2425,3)</f>
        <v>1.875</v>
      </c>
      <c r="Q211">
        <f>ROUND(IF(VLOOKUP($A211,EnrollData2324,'2324 Jun 24 Enroll'!I$1,FALSE)+VLOOKUP($A211,EnrollData2324,'2324 Jun 24 Enroll'!M$1,FALSE)-VLOOKUP($A211,EnrollData2324,'2324 Jun 24 Enroll'!J$1,FALSE)='District Calculations'!$F$16+'District Calculations'!$F$25-'District Calculations'!$F$17,VLOOKUP($A211,EnrollData2324,'2324 Jun 24 Enroll'!I$1,FALSE)+VLOOKUP($A211,EnrollData2324,'2324 Jun 24 Enroll'!M$1,FALSE)-VLOOKUP($A211,EnrollData2324,'2324 Jun 24 Enroll'!J$1,FALSE),'District Calculations'!$F$16+'District Calculations'!$F$25-'District Calculations'!$F$17)*Apport_217A2425,3)</f>
        <v>4.7130000000000001</v>
      </c>
      <c r="R211">
        <f>ROUND(SUM(L211:Q211)/IF(VLOOKUP($A211,EnrollData2324,'2324 Jun 24 Enroll'!M$1,FALSE)+VLOOKUP($A211,EnrollData2324,'2324 Jun 24 Enroll'!D$1,FALSE)='District Calculations'!$F$25+'District Calculations'!$F$11,VLOOKUP($A211,EnrollData2324,'2324 Jun 24 Enroll'!M$1,FALSE)+VLOOKUP($A211,EnrollData2324,'2324 Jun 24 Enroll'!D$1,FALSE),'District Calculations'!$F$25+'District Calculations'!$F$11),5)</f>
        <v>4.1200000000000004E-3</v>
      </c>
      <c r="S211" s="11">
        <f t="shared" si="41"/>
        <v>1.8734299999999999E-2</v>
      </c>
      <c r="T211">
        <f>ROUND(IF(VLOOKUP($A211,EnrollData2324,'2324 Jun 24 Enroll'!D$1,FALSE)='District Calculations'!$F$11,VLOOKUP($A211,EnrollData2324,'2324 Jun 24 Enroll'!D$1,FALSE),'District Calculations'!$F$11)*S211,3)</f>
        <v>0</v>
      </c>
      <c r="U211">
        <f>ROUND(IF(VLOOKUP($A211,EnrollData2324,'2324 Jun 24 Enroll'!E$1,FALSE)='District Calculations'!$F$12,VLOOKUP($A211,EnrollData2324,'2324 Jun 24 Enroll'!E$1,FALSE),'District Calculations'!$F$12)*S211,3)</f>
        <v>15.183999999999999</v>
      </c>
      <c r="V211">
        <f>ROUND(IF(VLOOKUP($A211,EnrollData2324,'2324 Jun 24 Enroll'!F$1,FALSE)='District Calculations'!$F$13,VLOOKUP($A211,EnrollData2324,'2324 Jun 24 Enroll'!F$1,FALSE),'District Calculations'!$F$13)*Apport_224A2425,3)</f>
        <v>3.7109999999999999</v>
      </c>
      <c r="W211">
        <f>ROUND(IF(VLOOKUP($A211,EnrollData2324,'2324 Jun 24 Enroll'!G$1,FALSE)='District Calculations'!$F$14,VLOOKUP($A211,EnrollData2324,'2324 Jun 24 Enroll'!G$1,FALSE),'District Calculations'!$F$14)*Apport_212A2425,3)</f>
        <v>8.2279999999999998</v>
      </c>
      <c r="X211">
        <f>ROUND(IF(VLOOKUP($A211,EnrollData2324,'2324 Jun 24 Enroll'!H$1,FALSE)='District Calculations'!$F$14,VLOOKUP($A211,EnrollData2324,'2324 Jun 24 Enroll'!H$1,FALSE),'District Calculations'!$F$14)*Apport_215A2425,3)</f>
        <v>8.1180000000000003</v>
      </c>
      <c r="Y211">
        <f>ROUND(IF(VLOOKUP($A211,EnrollData2324,'2324 Jun 24 Enroll'!I$1,FALSE)+VLOOKUP($A211,EnrollData2324,'2324 Jun 24 Enroll'!M$1,FALSE)-VLOOKUP($A211,EnrollData2324,'2324 Jun 24 Enroll'!J$1,FALSE)='District Calculations'!$F$16+'District Calculations'!$F$25-'District Calculations'!$F$17,VLOOKUP($A211,EnrollData2324,'2324 Jun 24 Enroll'!I$1,FALSE)+VLOOKUP($A211,EnrollData2324,'2324 Jun 24 Enroll'!M$1,FALSE)-VLOOKUP($A211,EnrollData2324,'2324 Jun 24 Enroll'!J$1,FALSE),'District Calculations'!$F$16+'District Calculations'!$F$25-'District Calculations'!$F$17)*Apport_218A2425,3)</f>
        <v>20.257999999999999</v>
      </c>
      <c r="Z211">
        <f>ROUND(SUM(T211:Y211)/IF(VLOOKUP($A211,EnrollData2324,'2324 Jun 24 Enroll'!M$1,FALSE)+VLOOKUP($A211,EnrollData2324,'2324 Jun 24 Enroll'!D$1,FALSE)='District Calculations'!$F$25+'District Calculations'!$F$11,VLOOKUP($A211,EnrollData2324,'2324 Jun 24 Enroll'!M$1,FALSE)+VLOOKUP($A211,EnrollData2324,'2324 Jun 24 Enroll'!D$1,FALSE),'District Calculations'!$F$25+'District Calculations'!$F$11),5)</f>
        <v>1.7780000000000001E-2</v>
      </c>
      <c r="AA211" s="6">
        <f>ROUND($J211*CIS_Base_Salary2425*VLOOKUP($A211,EnrollData2324,'2324 Jun 24 Enroll'!AH$1,FALSE),2)</f>
        <v>4518.4399999999996</v>
      </c>
      <c r="AB211" s="6">
        <f>ROUND($J211*CIS_Inc_Salary2425*(VLOOKUP($A211,EnrollData2324,'2324 Jun 24 Enroll'!AI$1,FALSE)+VLOOKUP($A211,EnrollData2324,'2324 Jun 24 Enroll'!AJ$1,FALSE)),2)-AA211</f>
        <v>167.16000000000076</v>
      </c>
      <c r="AC211" s="6" cm="1">
        <f t="array" ref="AC211">ROUND($R211*CAS_Base_Salary2425*VLOOKUP($A211,EnrollData2324,'2324 Jun 24 Enroll'!AH$1,FALSE),2)</f>
        <v>488.91</v>
      </c>
      <c r="AD211" s="6">
        <f>ROUND($R211*CAS_Inc_Salary2425*VLOOKUP($A211,EnrollData2324,'2324 Jun 24 Enroll'!AI$1,FALSE),2)-AC211</f>
        <v>18.089999999999975</v>
      </c>
      <c r="AE211" s="6">
        <f>ROUND($Z211*CLS_Base_Salary2425*VLOOKUP($A211,EnrollData2324,'2324 Jun 24 Enroll'!AH$1,FALSE),2)</f>
        <v>1019.67</v>
      </c>
      <c r="AF211" s="6">
        <f>ROUND($Z211*CLS_Inc_Salary2425*VLOOKUP($A211,EnrollData2324,'2324 Jun 24 Enroll'!AI$1,FALSE),2)-AE211</f>
        <v>37.730000000000132</v>
      </c>
      <c r="AG211" cm="1">
        <f t="array" ref="AG211">ROUND(($J211+$R211)*Apport_124X2425,2)</f>
        <v>800.45</v>
      </c>
      <c r="AH211" s="69" cm="1">
        <f t="array" ref="AH211">ROUND(($J211+$R211)*Apport_621X2425*Apport_125XC2425,2)-AG211</f>
        <v>73.899999999999977</v>
      </c>
      <c r="AI211" cm="1">
        <f t="array" ref="AI211">ROUND($Z211*Apport_124X2425,2)</f>
        <v>234.7</v>
      </c>
      <c r="AJ211">
        <f t="shared" si="42"/>
        <v>124.71000000000004</v>
      </c>
      <c r="AK211">
        <f t="shared" si="43"/>
        <v>908.83</v>
      </c>
      <c r="AL211">
        <f t="shared" si="44"/>
        <v>32.44</v>
      </c>
      <c r="AM211">
        <f t="shared" si="45"/>
        <v>220.86</v>
      </c>
      <c r="AN211">
        <f t="shared" si="46"/>
        <v>6.85</v>
      </c>
      <c r="AO211">
        <f>ROUND(($J211*CIS_Inc_Salary2425*(VLOOKUP($A211,EnrollData2324,'2324 Jun 24 Enroll'!AI$1,FALSE)+VLOOKUP($A211,EnrollData2324,'2324 Jun 24 Enroll'!AJ$1,FALSE))/Apport_613Xpd)*Apport_614Xpd,2)</f>
        <v>78.09</v>
      </c>
      <c r="AP211">
        <f t="shared" si="47"/>
        <v>13.67</v>
      </c>
      <c r="AQ211">
        <f t="shared" si="48"/>
        <v>31.48</v>
      </c>
      <c r="AR211" s="6">
        <f>ROUND((VLOOKUP($A211,EnrollData2324,'2324 Jun 24 Enroll'!D$1,FALSE)*Apport_M802425+VLOOKUP($A211,EnrollData2324,'2324 Jun 24 Enroll'!M$1,FALSE)*Apport_M802425+(VLOOKUP($A211,EnrollData2324,'2324 Jun 24 Enroll'!P$1,FALSE)+VLOOKUP($A211,EnrollData2324,'2324 Jun 24 Enroll'!Q$1,FALSE)+VLOOKUP($A211,EnrollData2324,'2324 Jun 24 Enroll'!R$1,FALSE)+VLOOKUP($A211,EnrollData2324,'2324 Jun 24 Enroll'!I$1,FALSE)+VLOOKUP($A211,EnrollData2324,'2324 Jun 24 Enroll'!N$1,FALSE)+VLOOKUP($A211,EnrollData2324,'2324 Jun 24 Enroll'!O$1,FALSE)+VLOOKUP($A211,EnrollData2324,'2324 Jun 24 Enroll'!K$1,FALSE)+VLOOKUP($A211,EnrollData2324,'2324 Jun 24 Enroll'!L$1,FALSE))*Apport_M812425)/(VLOOKUP($A211,EnrollData2324,'2324 Jun 24 Enroll'!M$1,FALSE)+VLOOKUP($A211,EnrollData2324,'2324 Jun 24 Enroll'!D$1,FALSE)),2)</f>
        <v>1596.4</v>
      </c>
      <c r="AS211" s="7">
        <f t="shared" si="49"/>
        <v>10372.380000000001</v>
      </c>
    </row>
    <row r="212" spans="1:45">
      <c r="A212" s="40" t="s">
        <v>339</v>
      </c>
      <c r="B212" s="40" t="s">
        <v>340</v>
      </c>
      <c r="C212" s="11">
        <f>ROUND((IFERROR((1/IF(VLOOKUP($A212,EnrollData2324,28,FALSE)='District Calculations'!$F$10,VLOOKUP($A212,EnrollData2324,28,FALSE),'District Calculations'!$F$10))*(1+Apport_Z315),0))+Apport_201A2425,6)</f>
        <v>7.4580999999999995E-2</v>
      </c>
      <c r="D212">
        <f>ROUND(IF(VLOOKUP($A212,EnrollData2324,'2324 Jun 24 Enroll'!D$1,FALSE)='District Calculations'!$F$11,VLOOKUP($A212,EnrollData2324,'2324 Jun 24 Enroll'!D$1,FALSE),'District Calculations'!$F$11)*C212,3)</f>
        <v>0</v>
      </c>
      <c r="E212">
        <f>ROUND(IF(VLOOKUP($A212,EnrollData2324,'2324 Jun 24 Enroll'!E$1,FALSE)='District Calculations'!$F$12,VLOOKUP($A212,EnrollData2324,'2324 Jun 24 Enroll'!E$1,FALSE),'District Calculations'!$F$12)*C212,3)</f>
        <v>60.447000000000003</v>
      </c>
      <c r="F212">
        <f>ROUND(IF(VLOOKUP($A212,EnrollData2324,'2324 Jun 24 Enroll'!F$1,FALSE)='District Calculations'!$F$13,VLOOKUP($A212,EnrollData2324,'2324 Jun 24 Enroll'!F$1,FALSE),'District Calculations'!$F$13)*Apport_222A2425,3)</f>
        <v>10.337999999999999</v>
      </c>
      <c r="G212">
        <f>ROUND(IF(VLOOKUP($A212,EnrollData2324,'2324 Jun 24 Enroll'!G$1,FALSE)='District Calculations'!$F$14,VLOOKUP($A212,EnrollData2324,'2324 Jun 24 Enroll'!G$1,FALSE),'District Calculations'!$F$14)*Apport_210A2425,3)</f>
        <v>22.92</v>
      </c>
      <c r="H212">
        <f>ROUND(IF(VLOOKUP($A212,EnrollData2324,'2324 Jun 24 Enroll'!H$1,FALSE)='District Calculations'!$F$15,VLOOKUP($A212,EnrollData2324,'2324 Jun 24 Enroll'!H$1,FALSE),'District Calculations'!$F$15)*Apport_213A2425,3)</f>
        <v>23.619</v>
      </c>
      <c r="I212">
        <f>ROUND(IF(VLOOKUP($A212,EnrollData2324,'2324 Jun 24 Enroll'!I$1,FALSE)+VLOOKUP($A212,EnrollData2324,'2324 Jun 24 Enroll'!M$1,FALSE)-VLOOKUP($A212,EnrollData2324,'2324 Jun 24 Enroll'!J$1,FALSE)='District Calculations'!$F$16+'District Calculations'!$F$25-'District Calculations'!$F$17,VLOOKUP($A212,EnrollData2324,'2324 Jun 24 Enroll'!I$1,FALSE)+VLOOKUP($A212,EnrollData2324,'2324 Jun 24 Enroll'!M$1,FALSE)-VLOOKUP($A212,EnrollData2324,'2324 Jun 24 Enroll'!J$1,FALSE),'District Calculations'!$F$16+'District Calculations'!$F$25-'District Calculations'!$F$17)*Apport_216A2425,3)</f>
        <v>59.057000000000002</v>
      </c>
      <c r="J212">
        <f>ROUND(SUM(D212:I212)/(IF(VLOOKUP($A212,EnrollData2324,'2324 Jun 24 Enroll'!M$1,FALSE)='District Calculations'!$F$25,VLOOKUP($A212,EnrollData2324,'2324 Jun 24 Enroll'!M$1,FALSE),'District Calculations'!$F$25)+IF(VLOOKUP($A212,EnrollData2324,'2324 Jun 24 Enroll'!D$1,FALSE)='District Calculations'!$F$11,VLOOKUP($A212,EnrollData2324,'2324 Jun 24 Enroll'!D$1,FALSE),'District Calculations'!$F$11)),5)</f>
        <v>5.6520000000000001E-2</v>
      </c>
      <c r="K212" s="11">
        <f t="shared" si="40"/>
        <v>4.385E-3</v>
      </c>
      <c r="L212">
        <f>ROUND(IF(VLOOKUP($A212,EnrollData2324,'2324 Jun 24 Enroll'!D$1,FALSE)='District Calculations'!$F$11,VLOOKUP($A212,EnrollData2324,'2324 Jun 24 Enroll'!D$1,FALSE),'District Calculations'!$F$11)*K212,3)</f>
        <v>0</v>
      </c>
      <c r="M212">
        <f>ROUND(IF(VLOOKUP($A212,EnrollData2324,'2324 Jun 24 Enroll'!E$1,FALSE)='District Calculations'!$F$12,VLOOKUP($A212,EnrollData2324,'2324 Jun 24 Enroll'!E$1,FALSE),'District Calculations'!$F$12)*K212,3)</f>
        <v>3.5539999999999998</v>
      </c>
      <c r="N212">
        <f>ROUND(IF(VLOOKUP($A212,EnrollData2324,'2324 Jun 24 Enroll'!F$1,FALSE)='District Calculations'!$F$13,VLOOKUP($A212,EnrollData2324,'2324 Jun 24 Enroll'!F$1,FALSE),'District Calculations'!$F$13)*Apport_223A2425,3)</f>
        <v>0.84599999999999997</v>
      </c>
      <c r="O212">
        <f>ROUND(IF(VLOOKUP($A212,EnrollData2324,'2324 Jun 24 Enroll'!G$1,FALSE)='District Calculations'!$F$14,VLOOKUP($A212,EnrollData2324,'2324 Jun 24 Enroll'!G$1,FALSE),'District Calculations'!$F$14)*Apport_211A2425,3)</f>
        <v>1.877</v>
      </c>
      <c r="P212">
        <f>ROUND(IF(VLOOKUP($A212,EnrollData2324,'2324 Jun 24 Enroll'!H$1,FALSE)='District Calculations'!$F$14,VLOOKUP($A212,EnrollData2324,'2324 Jun 24 Enroll'!H$1,FALSE),'District Calculations'!$F$14)*Apport_214A2425,3)</f>
        <v>1.875</v>
      </c>
      <c r="Q212">
        <f>ROUND(IF(VLOOKUP($A212,EnrollData2324,'2324 Jun 24 Enroll'!I$1,FALSE)+VLOOKUP($A212,EnrollData2324,'2324 Jun 24 Enroll'!M$1,FALSE)-VLOOKUP($A212,EnrollData2324,'2324 Jun 24 Enroll'!J$1,FALSE)='District Calculations'!$F$16+'District Calculations'!$F$25-'District Calculations'!$F$17,VLOOKUP($A212,EnrollData2324,'2324 Jun 24 Enroll'!I$1,FALSE)+VLOOKUP($A212,EnrollData2324,'2324 Jun 24 Enroll'!M$1,FALSE)-VLOOKUP($A212,EnrollData2324,'2324 Jun 24 Enroll'!J$1,FALSE),'District Calculations'!$F$16+'District Calculations'!$F$25-'District Calculations'!$F$17)*Apport_217A2425,3)</f>
        <v>4.7130000000000001</v>
      </c>
      <c r="R212">
        <f>ROUND(SUM(L212:Q212)/IF(VLOOKUP($A212,EnrollData2324,'2324 Jun 24 Enroll'!M$1,FALSE)+VLOOKUP($A212,EnrollData2324,'2324 Jun 24 Enroll'!D$1,FALSE)='District Calculations'!$F$25+'District Calculations'!$F$11,VLOOKUP($A212,EnrollData2324,'2324 Jun 24 Enroll'!M$1,FALSE)+VLOOKUP($A212,EnrollData2324,'2324 Jun 24 Enroll'!D$1,FALSE),'District Calculations'!$F$25+'District Calculations'!$F$11),5)</f>
        <v>4.1200000000000004E-3</v>
      </c>
      <c r="S212" s="11">
        <f t="shared" si="41"/>
        <v>1.8734299999999999E-2</v>
      </c>
      <c r="T212">
        <f>ROUND(IF(VLOOKUP($A212,EnrollData2324,'2324 Jun 24 Enroll'!D$1,FALSE)='District Calculations'!$F$11,VLOOKUP($A212,EnrollData2324,'2324 Jun 24 Enroll'!D$1,FALSE),'District Calculations'!$F$11)*S212,3)</f>
        <v>0</v>
      </c>
      <c r="U212">
        <f>ROUND(IF(VLOOKUP($A212,EnrollData2324,'2324 Jun 24 Enroll'!E$1,FALSE)='District Calculations'!$F$12,VLOOKUP($A212,EnrollData2324,'2324 Jun 24 Enroll'!E$1,FALSE),'District Calculations'!$F$12)*S212,3)</f>
        <v>15.183999999999999</v>
      </c>
      <c r="V212">
        <f>ROUND(IF(VLOOKUP($A212,EnrollData2324,'2324 Jun 24 Enroll'!F$1,FALSE)='District Calculations'!$F$13,VLOOKUP($A212,EnrollData2324,'2324 Jun 24 Enroll'!F$1,FALSE),'District Calculations'!$F$13)*Apport_224A2425,3)</f>
        <v>3.7109999999999999</v>
      </c>
      <c r="W212">
        <f>ROUND(IF(VLOOKUP($A212,EnrollData2324,'2324 Jun 24 Enroll'!G$1,FALSE)='District Calculations'!$F$14,VLOOKUP($A212,EnrollData2324,'2324 Jun 24 Enroll'!G$1,FALSE),'District Calculations'!$F$14)*Apport_212A2425,3)</f>
        <v>8.2279999999999998</v>
      </c>
      <c r="X212">
        <f>ROUND(IF(VLOOKUP($A212,EnrollData2324,'2324 Jun 24 Enroll'!H$1,FALSE)='District Calculations'!$F$14,VLOOKUP($A212,EnrollData2324,'2324 Jun 24 Enroll'!H$1,FALSE),'District Calculations'!$F$14)*Apport_215A2425,3)</f>
        <v>8.1180000000000003</v>
      </c>
      <c r="Y212">
        <f>ROUND(IF(VLOOKUP($A212,EnrollData2324,'2324 Jun 24 Enroll'!I$1,FALSE)+VLOOKUP($A212,EnrollData2324,'2324 Jun 24 Enroll'!M$1,FALSE)-VLOOKUP($A212,EnrollData2324,'2324 Jun 24 Enroll'!J$1,FALSE)='District Calculations'!$F$16+'District Calculations'!$F$25-'District Calculations'!$F$17,VLOOKUP($A212,EnrollData2324,'2324 Jun 24 Enroll'!I$1,FALSE)+VLOOKUP($A212,EnrollData2324,'2324 Jun 24 Enroll'!M$1,FALSE)-VLOOKUP($A212,EnrollData2324,'2324 Jun 24 Enroll'!J$1,FALSE),'District Calculations'!$F$16+'District Calculations'!$F$25-'District Calculations'!$F$17)*Apport_218A2425,3)</f>
        <v>20.257999999999999</v>
      </c>
      <c r="Z212">
        <f>ROUND(SUM(T212:Y212)/IF(VLOOKUP($A212,EnrollData2324,'2324 Jun 24 Enroll'!M$1,FALSE)+VLOOKUP($A212,EnrollData2324,'2324 Jun 24 Enroll'!D$1,FALSE)='District Calculations'!$F$25+'District Calculations'!$F$11,VLOOKUP($A212,EnrollData2324,'2324 Jun 24 Enroll'!M$1,FALSE)+VLOOKUP($A212,EnrollData2324,'2324 Jun 24 Enroll'!D$1,FALSE),'District Calculations'!$F$25+'District Calculations'!$F$11),5)</f>
        <v>1.7780000000000001E-2</v>
      </c>
      <c r="AA212" s="6">
        <f>ROUND($J212*CIS_Base_Salary2425*VLOOKUP($A212,EnrollData2324,'2324 Jun 24 Enroll'!AH$1,FALSE),2)</f>
        <v>4518.4399999999996</v>
      </c>
      <c r="AB212" s="6">
        <f>ROUND($J212*CIS_Inc_Salary2425*(VLOOKUP($A212,EnrollData2324,'2324 Jun 24 Enroll'!AI$1,FALSE)+VLOOKUP($A212,EnrollData2324,'2324 Jun 24 Enroll'!AJ$1,FALSE)),2)-AA212</f>
        <v>167.16000000000076</v>
      </c>
      <c r="AC212" s="6" cm="1">
        <f t="array" ref="AC212">ROUND($R212*CAS_Base_Salary2425*VLOOKUP($A212,EnrollData2324,'2324 Jun 24 Enroll'!AH$1,FALSE),2)</f>
        <v>488.91</v>
      </c>
      <c r="AD212" s="6">
        <f>ROUND($R212*CAS_Inc_Salary2425*VLOOKUP($A212,EnrollData2324,'2324 Jun 24 Enroll'!AI$1,FALSE),2)-AC212</f>
        <v>18.089999999999975</v>
      </c>
      <c r="AE212" s="6">
        <f>ROUND($Z212*CLS_Base_Salary2425*VLOOKUP($A212,EnrollData2324,'2324 Jun 24 Enroll'!AH$1,FALSE),2)</f>
        <v>1019.67</v>
      </c>
      <c r="AF212" s="6">
        <f>ROUND($Z212*CLS_Inc_Salary2425*VLOOKUP($A212,EnrollData2324,'2324 Jun 24 Enroll'!AI$1,FALSE),2)-AE212</f>
        <v>37.730000000000132</v>
      </c>
      <c r="AG212" cm="1">
        <f t="array" ref="AG212">ROUND(($J212+$R212)*Apport_124X2425,2)</f>
        <v>800.45</v>
      </c>
      <c r="AH212" s="69" cm="1">
        <f t="array" ref="AH212">ROUND(($J212+$R212)*Apport_621X2425*Apport_125XC2425,2)-AG212</f>
        <v>73.899999999999977</v>
      </c>
      <c r="AI212" cm="1">
        <f t="array" ref="AI212">ROUND($Z212*Apport_124X2425,2)</f>
        <v>234.7</v>
      </c>
      <c r="AJ212">
        <f t="shared" si="42"/>
        <v>124.71000000000004</v>
      </c>
      <c r="AK212">
        <f t="shared" si="43"/>
        <v>908.83</v>
      </c>
      <c r="AL212">
        <f t="shared" si="44"/>
        <v>32.44</v>
      </c>
      <c r="AM212">
        <f t="shared" si="45"/>
        <v>220.86</v>
      </c>
      <c r="AN212">
        <f t="shared" si="46"/>
        <v>6.85</v>
      </c>
      <c r="AO212">
        <f>ROUND(($J212*CIS_Inc_Salary2425*(VLOOKUP($A212,EnrollData2324,'2324 Jun 24 Enroll'!AI$1,FALSE)+VLOOKUP($A212,EnrollData2324,'2324 Jun 24 Enroll'!AJ$1,FALSE))/Apport_613Xpd)*Apport_614Xpd,2)</f>
        <v>78.09</v>
      </c>
      <c r="AP212">
        <f t="shared" si="47"/>
        <v>13.67</v>
      </c>
      <c r="AQ212">
        <f t="shared" si="48"/>
        <v>31.48</v>
      </c>
      <c r="AR212" s="6">
        <f>ROUND((VLOOKUP($A212,EnrollData2324,'2324 Jun 24 Enroll'!D$1,FALSE)*Apport_M802425+VLOOKUP($A212,EnrollData2324,'2324 Jun 24 Enroll'!M$1,FALSE)*Apport_M802425+(VLOOKUP($A212,EnrollData2324,'2324 Jun 24 Enroll'!P$1,FALSE)+VLOOKUP($A212,EnrollData2324,'2324 Jun 24 Enroll'!Q$1,FALSE)+VLOOKUP($A212,EnrollData2324,'2324 Jun 24 Enroll'!R$1,FALSE)+VLOOKUP($A212,EnrollData2324,'2324 Jun 24 Enroll'!I$1,FALSE)+VLOOKUP($A212,EnrollData2324,'2324 Jun 24 Enroll'!N$1,FALSE)+VLOOKUP($A212,EnrollData2324,'2324 Jun 24 Enroll'!O$1,FALSE)+VLOOKUP($A212,EnrollData2324,'2324 Jun 24 Enroll'!K$1,FALSE)+VLOOKUP($A212,EnrollData2324,'2324 Jun 24 Enroll'!L$1,FALSE))*Apport_M812425)/(VLOOKUP($A212,EnrollData2324,'2324 Jun 24 Enroll'!M$1,FALSE)+VLOOKUP($A212,EnrollData2324,'2324 Jun 24 Enroll'!D$1,FALSE)),2)</f>
        <v>1601.72</v>
      </c>
      <c r="AS212" s="7">
        <f t="shared" si="49"/>
        <v>10377.700000000001</v>
      </c>
    </row>
    <row r="213" spans="1:45">
      <c r="A213" s="40" t="s">
        <v>442</v>
      </c>
      <c r="B213" s="40" t="s">
        <v>443</v>
      </c>
      <c r="C213" s="11">
        <f>ROUND((IFERROR((1/IF(VLOOKUP($A213,EnrollData2324,28,FALSE)='District Calculations'!$F$10,VLOOKUP($A213,EnrollData2324,28,FALSE),'District Calculations'!$F$10))*(1+Apport_Z315),0))+Apport_201A2425,6)</f>
        <v>7.4580999999999995E-2</v>
      </c>
      <c r="D213">
        <f>ROUND(IF(VLOOKUP($A213,EnrollData2324,'2324 Jun 24 Enroll'!D$1,FALSE)='District Calculations'!$F$11,VLOOKUP($A213,EnrollData2324,'2324 Jun 24 Enroll'!D$1,FALSE),'District Calculations'!$F$11)*C213,3)</f>
        <v>0</v>
      </c>
      <c r="E213">
        <f>ROUND(IF(VLOOKUP($A213,EnrollData2324,'2324 Jun 24 Enroll'!E$1,FALSE)='District Calculations'!$F$12,VLOOKUP($A213,EnrollData2324,'2324 Jun 24 Enroll'!E$1,FALSE),'District Calculations'!$F$12)*C213,3)</f>
        <v>60.447000000000003</v>
      </c>
      <c r="F213">
        <f>ROUND(IF(VLOOKUP($A213,EnrollData2324,'2324 Jun 24 Enroll'!F$1,FALSE)='District Calculations'!$F$13,VLOOKUP($A213,EnrollData2324,'2324 Jun 24 Enroll'!F$1,FALSE),'District Calculations'!$F$13)*Apport_222A2425,3)</f>
        <v>10.337999999999999</v>
      </c>
      <c r="G213">
        <f>ROUND(IF(VLOOKUP($A213,EnrollData2324,'2324 Jun 24 Enroll'!G$1,FALSE)='District Calculations'!$F$14,VLOOKUP($A213,EnrollData2324,'2324 Jun 24 Enroll'!G$1,FALSE),'District Calculations'!$F$14)*Apport_210A2425,3)</f>
        <v>22.92</v>
      </c>
      <c r="H213">
        <f>ROUND(IF(VLOOKUP($A213,EnrollData2324,'2324 Jun 24 Enroll'!H$1,FALSE)='District Calculations'!$F$15,VLOOKUP($A213,EnrollData2324,'2324 Jun 24 Enroll'!H$1,FALSE),'District Calculations'!$F$15)*Apport_213A2425,3)</f>
        <v>23.619</v>
      </c>
      <c r="I213">
        <f>ROUND(IF(VLOOKUP($A213,EnrollData2324,'2324 Jun 24 Enroll'!I$1,FALSE)+VLOOKUP($A213,EnrollData2324,'2324 Jun 24 Enroll'!M$1,FALSE)-VLOOKUP($A213,EnrollData2324,'2324 Jun 24 Enroll'!J$1,FALSE)='District Calculations'!$F$16+'District Calculations'!$F$25-'District Calculations'!$F$17,VLOOKUP($A213,EnrollData2324,'2324 Jun 24 Enroll'!I$1,FALSE)+VLOOKUP($A213,EnrollData2324,'2324 Jun 24 Enroll'!M$1,FALSE)-VLOOKUP($A213,EnrollData2324,'2324 Jun 24 Enroll'!J$1,FALSE),'District Calculations'!$F$16+'District Calculations'!$F$25-'District Calculations'!$F$17)*Apport_216A2425,3)</f>
        <v>59.057000000000002</v>
      </c>
      <c r="J213">
        <f>ROUND(SUM(D213:I213)/(IF(VLOOKUP($A213,EnrollData2324,'2324 Jun 24 Enroll'!M$1,FALSE)='District Calculations'!$F$25,VLOOKUP($A213,EnrollData2324,'2324 Jun 24 Enroll'!M$1,FALSE),'District Calculations'!$F$25)+IF(VLOOKUP($A213,EnrollData2324,'2324 Jun 24 Enroll'!D$1,FALSE)='District Calculations'!$F$11,VLOOKUP($A213,EnrollData2324,'2324 Jun 24 Enroll'!D$1,FALSE),'District Calculations'!$F$11)),5)</f>
        <v>5.6520000000000001E-2</v>
      </c>
      <c r="K213" s="11">
        <f t="shared" si="40"/>
        <v>4.385E-3</v>
      </c>
      <c r="L213">
        <f>ROUND(IF(VLOOKUP($A213,EnrollData2324,'2324 Jun 24 Enroll'!D$1,FALSE)='District Calculations'!$F$11,VLOOKUP($A213,EnrollData2324,'2324 Jun 24 Enroll'!D$1,FALSE),'District Calculations'!$F$11)*K213,3)</f>
        <v>0</v>
      </c>
      <c r="M213">
        <f>ROUND(IF(VLOOKUP($A213,EnrollData2324,'2324 Jun 24 Enroll'!E$1,FALSE)='District Calculations'!$F$12,VLOOKUP($A213,EnrollData2324,'2324 Jun 24 Enroll'!E$1,FALSE),'District Calculations'!$F$12)*K213,3)</f>
        <v>3.5539999999999998</v>
      </c>
      <c r="N213">
        <f>ROUND(IF(VLOOKUP($A213,EnrollData2324,'2324 Jun 24 Enroll'!F$1,FALSE)='District Calculations'!$F$13,VLOOKUP($A213,EnrollData2324,'2324 Jun 24 Enroll'!F$1,FALSE),'District Calculations'!$F$13)*Apport_223A2425,3)</f>
        <v>0.84599999999999997</v>
      </c>
      <c r="O213">
        <f>ROUND(IF(VLOOKUP($A213,EnrollData2324,'2324 Jun 24 Enroll'!G$1,FALSE)='District Calculations'!$F$14,VLOOKUP($A213,EnrollData2324,'2324 Jun 24 Enroll'!G$1,FALSE),'District Calculations'!$F$14)*Apport_211A2425,3)</f>
        <v>1.877</v>
      </c>
      <c r="P213">
        <f>ROUND(IF(VLOOKUP($A213,EnrollData2324,'2324 Jun 24 Enroll'!H$1,FALSE)='District Calculations'!$F$14,VLOOKUP($A213,EnrollData2324,'2324 Jun 24 Enroll'!H$1,FALSE),'District Calculations'!$F$14)*Apport_214A2425,3)</f>
        <v>1.875</v>
      </c>
      <c r="Q213">
        <f>ROUND(IF(VLOOKUP($A213,EnrollData2324,'2324 Jun 24 Enroll'!I$1,FALSE)+VLOOKUP($A213,EnrollData2324,'2324 Jun 24 Enroll'!M$1,FALSE)-VLOOKUP($A213,EnrollData2324,'2324 Jun 24 Enroll'!J$1,FALSE)='District Calculations'!$F$16+'District Calculations'!$F$25-'District Calculations'!$F$17,VLOOKUP($A213,EnrollData2324,'2324 Jun 24 Enroll'!I$1,FALSE)+VLOOKUP($A213,EnrollData2324,'2324 Jun 24 Enroll'!M$1,FALSE)-VLOOKUP($A213,EnrollData2324,'2324 Jun 24 Enroll'!J$1,FALSE),'District Calculations'!$F$16+'District Calculations'!$F$25-'District Calculations'!$F$17)*Apport_217A2425,3)</f>
        <v>4.7130000000000001</v>
      </c>
      <c r="R213">
        <f>ROUND(SUM(L213:Q213)/IF(VLOOKUP($A213,EnrollData2324,'2324 Jun 24 Enroll'!M$1,FALSE)+VLOOKUP($A213,EnrollData2324,'2324 Jun 24 Enroll'!D$1,FALSE)='District Calculations'!$F$25+'District Calculations'!$F$11,VLOOKUP($A213,EnrollData2324,'2324 Jun 24 Enroll'!M$1,FALSE)+VLOOKUP($A213,EnrollData2324,'2324 Jun 24 Enroll'!D$1,FALSE),'District Calculations'!$F$25+'District Calculations'!$F$11),5)</f>
        <v>4.1200000000000004E-3</v>
      </c>
      <c r="S213" s="11">
        <f t="shared" si="41"/>
        <v>1.8734299999999999E-2</v>
      </c>
      <c r="T213">
        <f>ROUND(IF(VLOOKUP($A213,EnrollData2324,'2324 Jun 24 Enroll'!D$1,FALSE)='District Calculations'!$F$11,VLOOKUP($A213,EnrollData2324,'2324 Jun 24 Enroll'!D$1,FALSE),'District Calculations'!$F$11)*S213,3)</f>
        <v>0</v>
      </c>
      <c r="U213">
        <f>ROUND(IF(VLOOKUP($A213,EnrollData2324,'2324 Jun 24 Enroll'!E$1,FALSE)='District Calculations'!$F$12,VLOOKUP($A213,EnrollData2324,'2324 Jun 24 Enroll'!E$1,FALSE),'District Calculations'!$F$12)*S213,3)</f>
        <v>15.183999999999999</v>
      </c>
      <c r="V213">
        <f>ROUND(IF(VLOOKUP($A213,EnrollData2324,'2324 Jun 24 Enroll'!F$1,FALSE)='District Calculations'!$F$13,VLOOKUP($A213,EnrollData2324,'2324 Jun 24 Enroll'!F$1,FALSE),'District Calculations'!$F$13)*Apport_224A2425,3)</f>
        <v>3.7109999999999999</v>
      </c>
      <c r="W213">
        <f>ROUND(IF(VLOOKUP($A213,EnrollData2324,'2324 Jun 24 Enroll'!G$1,FALSE)='District Calculations'!$F$14,VLOOKUP($A213,EnrollData2324,'2324 Jun 24 Enroll'!G$1,FALSE),'District Calculations'!$F$14)*Apport_212A2425,3)</f>
        <v>8.2279999999999998</v>
      </c>
      <c r="X213">
        <f>ROUND(IF(VLOOKUP($A213,EnrollData2324,'2324 Jun 24 Enroll'!H$1,FALSE)='District Calculations'!$F$14,VLOOKUP($A213,EnrollData2324,'2324 Jun 24 Enroll'!H$1,FALSE),'District Calculations'!$F$14)*Apport_215A2425,3)</f>
        <v>8.1180000000000003</v>
      </c>
      <c r="Y213">
        <f>ROUND(IF(VLOOKUP($A213,EnrollData2324,'2324 Jun 24 Enroll'!I$1,FALSE)+VLOOKUP($A213,EnrollData2324,'2324 Jun 24 Enroll'!M$1,FALSE)-VLOOKUP($A213,EnrollData2324,'2324 Jun 24 Enroll'!J$1,FALSE)='District Calculations'!$F$16+'District Calculations'!$F$25-'District Calculations'!$F$17,VLOOKUP($A213,EnrollData2324,'2324 Jun 24 Enroll'!I$1,FALSE)+VLOOKUP($A213,EnrollData2324,'2324 Jun 24 Enroll'!M$1,FALSE)-VLOOKUP($A213,EnrollData2324,'2324 Jun 24 Enroll'!J$1,FALSE),'District Calculations'!$F$16+'District Calculations'!$F$25-'District Calculations'!$F$17)*Apport_218A2425,3)</f>
        <v>20.257999999999999</v>
      </c>
      <c r="Z213">
        <f>ROUND(SUM(T213:Y213)/IF(VLOOKUP($A213,EnrollData2324,'2324 Jun 24 Enroll'!M$1,FALSE)+VLOOKUP($A213,EnrollData2324,'2324 Jun 24 Enroll'!D$1,FALSE)='District Calculations'!$F$25+'District Calculations'!$F$11,VLOOKUP($A213,EnrollData2324,'2324 Jun 24 Enroll'!M$1,FALSE)+VLOOKUP($A213,EnrollData2324,'2324 Jun 24 Enroll'!D$1,FALSE),'District Calculations'!$F$25+'District Calculations'!$F$11),5)</f>
        <v>1.7780000000000001E-2</v>
      </c>
      <c r="AA213" s="6">
        <f>ROUND($J213*CIS_Base_Salary2425*VLOOKUP($A213,EnrollData2324,'2324 Jun 24 Enroll'!AH$1,FALSE),2)</f>
        <v>4262.68</v>
      </c>
      <c r="AB213" s="6">
        <f>ROUND($J213*CIS_Inc_Salary2425*(VLOOKUP($A213,EnrollData2324,'2324 Jun 24 Enroll'!AI$1,FALSE)+VLOOKUP($A213,EnrollData2324,'2324 Jun 24 Enroll'!AJ$1,FALSE)),2)-AA213</f>
        <v>157.6899999999996</v>
      </c>
      <c r="AC213" s="6" cm="1">
        <f t="array" ref="AC213">ROUND($R213*CAS_Base_Salary2425*VLOOKUP($A213,EnrollData2324,'2324 Jun 24 Enroll'!AH$1,FALSE),2)</f>
        <v>461.23</v>
      </c>
      <c r="AD213" s="6">
        <f>ROUND($R213*CAS_Inc_Salary2425*VLOOKUP($A213,EnrollData2324,'2324 Jun 24 Enroll'!AI$1,FALSE),2)-AC213</f>
        <v>17.069999999999993</v>
      </c>
      <c r="AE213" s="6">
        <f>ROUND($Z213*CLS_Base_Salary2425*VLOOKUP($A213,EnrollData2324,'2324 Jun 24 Enroll'!AH$1,FALSE),2)</f>
        <v>961.95</v>
      </c>
      <c r="AF213" s="6">
        <f>ROUND($Z213*CLS_Inc_Salary2425*VLOOKUP($A213,EnrollData2324,'2324 Jun 24 Enroll'!AI$1,FALSE),2)-AE213</f>
        <v>35.599999999999909</v>
      </c>
      <c r="AG213" cm="1">
        <f t="array" ref="AG213">ROUND(($J213+$R213)*Apport_124X2425,2)</f>
        <v>800.45</v>
      </c>
      <c r="AH213" s="69" cm="1">
        <f t="array" ref="AH213">ROUND(($J213+$R213)*Apport_621X2425*Apport_125XC2425,2)-AG213</f>
        <v>73.899999999999977</v>
      </c>
      <c r="AI213" cm="1">
        <f t="array" ref="AI213">ROUND($Z213*Apport_124X2425,2)</f>
        <v>234.7</v>
      </c>
      <c r="AJ213">
        <f t="shared" si="42"/>
        <v>124.71000000000004</v>
      </c>
      <c r="AK213">
        <f t="shared" si="43"/>
        <v>857.39</v>
      </c>
      <c r="AL213">
        <f t="shared" si="44"/>
        <v>30.6</v>
      </c>
      <c r="AM213">
        <f t="shared" si="45"/>
        <v>208.36</v>
      </c>
      <c r="AN213">
        <f t="shared" si="46"/>
        <v>6.46</v>
      </c>
      <c r="AO213">
        <f>ROUND(($J213*CIS_Inc_Salary2425*(VLOOKUP($A213,EnrollData2324,'2324 Jun 24 Enroll'!AI$1,FALSE)+VLOOKUP($A213,EnrollData2324,'2324 Jun 24 Enroll'!AJ$1,FALSE))/Apport_613Xpd)*Apport_614Xpd,2)</f>
        <v>73.67</v>
      </c>
      <c r="AP213">
        <f t="shared" si="47"/>
        <v>12.9</v>
      </c>
      <c r="AQ213">
        <f t="shared" si="48"/>
        <v>31.48</v>
      </c>
      <c r="AR213" s="6">
        <f>ROUND((VLOOKUP($A213,EnrollData2324,'2324 Jun 24 Enroll'!D$1,FALSE)*Apport_M802425+VLOOKUP($A213,EnrollData2324,'2324 Jun 24 Enroll'!M$1,FALSE)*Apport_M802425+(VLOOKUP($A213,EnrollData2324,'2324 Jun 24 Enroll'!P$1,FALSE)+VLOOKUP($A213,EnrollData2324,'2324 Jun 24 Enroll'!Q$1,FALSE)+VLOOKUP($A213,EnrollData2324,'2324 Jun 24 Enroll'!R$1,FALSE)+VLOOKUP($A213,EnrollData2324,'2324 Jun 24 Enroll'!I$1,FALSE)+VLOOKUP($A213,EnrollData2324,'2324 Jun 24 Enroll'!N$1,FALSE)+VLOOKUP($A213,EnrollData2324,'2324 Jun 24 Enroll'!O$1,FALSE)+VLOOKUP($A213,EnrollData2324,'2324 Jun 24 Enroll'!K$1,FALSE)+VLOOKUP($A213,EnrollData2324,'2324 Jun 24 Enroll'!L$1,FALSE))*Apport_M812425)/(VLOOKUP($A213,EnrollData2324,'2324 Jun 24 Enroll'!M$1,FALSE)+VLOOKUP($A213,EnrollData2324,'2324 Jun 24 Enroll'!D$1,FALSE)),2)</f>
        <v>1598.82</v>
      </c>
      <c r="AS213" s="7">
        <f t="shared" si="49"/>
        <v>9949.659999999998</v>
      </c>
    </row>
    <row r="214" spans="1:45">
      <c r="A214" s="40" t="s">
        <v>873</v>
      </c>
      <c r="B214" s="40" t="s">
        <v>874</v>
      </c>
      <c r="C214" s="11">
        <f>ROUND((IFERROR((1/IF(VLOOKUP($A214,EnrollData2324,28,FALSE)='District Calculations'!$F$10,VLOOKUP($A214,EnrollData2324,28,FALSE),'District Calculations'!$F$10))*(1+Apport_Z315),0))+Apport_201A2425,6)</f>
        <v>7.4580999999999995E-2</v>
      </c>
      <c r="D214">
        <f>ROUND(IF(VLOOKUP($A214,EnrollData2324,'2324 Jun 24 Enroll'!D$1,FALSE)='District Calculations'!$F$11,VLOOKUP($A214,EnrollData2324,'2324 Jun 24 Enroll'!D$1,FALSE),'District Calculations'!$F$11)*C214,3)</f>
        <v>0</v>
      </c>
      <c r="E214">
        <f>ROUND(IF(VLOOKUP($A214,EnrollData2324,'2324 Jun 24 Enroll'!E$1,FALSE)='District Calculations'!$F$12,VLOOKUP($A214,EnrollData2324,'2324 Jun 24 Enroll'!E$1,FALSE),'District Calculations'!$F$12)*C214,3)</f>
        <v>60.447000000000003</v>
      </c>
      <c r="F214">
        <f>ROUND(IF(VLOOKUP($A214,EnrollData2324,'2324 Jun 24 Enroll'!F$1,FALSE)='District Calculations'!$F$13,VLOOKUP($A214,EnrollData2324,'2324 Jun 24 Enroll'!F$1,FALSE),'District Calculations'!$F$13)*Apport_222A2425,3)</f>
        <v>10.337999999999999</v>
      </c>
      <c r="G214">
        <f>ROUND(IF(VLOOKUP($A214,EnrollData2324,'2324 Jun 24 Enroll'!G$1,FALSE)='District Calculations'!$F$14,VLOOKUP($A214,EnrollData2324,'2324 Jun 24 Enroll'!G$1,FALSE),'District Calculations'!$F$14)*Apport_210A2425,3)</f>
        <v>22.92</v>
      </c>
      <c r="H214">
        <f>ROUND(IF(VLOOKUP($A214,EnrollData2324,'2324 Jun 24 Enroll'!H$1,FALSE)='District Calculations'!$F$15,VLOOKUP($A214,EnrollData2324,'2324 Jun 24 Enroll'!H$1,FALSE),'District Calculations'!$F$15)*Apport_213A2425,3)</f>
        <v>23.619</v>
      </c>
      <c r="I214">
        <f>ROUND(IF(VLOOKUP($A214,EnrollData2324,'2324 Jun 24 Enroll'!I$1,FALSE)+VLOOKUP($A214,EnrollData2324,'2324 Jun 24 Enroll'!M$1,FALSE)-VLOOKUP($A214,EnrollData2324,'2324 Jun 24 Enroll'!J$1,FALSE)='District Calculations'!$F$16+'District Calculations'!$F$25-'District Calculations'!$F$17,VLOOKUP($A214,EnrollData2324,'2324 Jun 24 Enroll'!I$1,FALSE)+VLOOKUP($A214,EnrollData2324,'2324 Jun 24 Enroll'!M$1,FALSE)-VLOOKUP($A214,EnrollData2324,'2324 Jun 24 Enroll'!J$1,FALSE),'District Calculations'!$F$16+'District Calculations'!$F$25-'District Calculations'!$F$17)*Apport_216A2425,3)</f>
        <v>59.057000000000002</v>
      </c>
      <c r="J214">
        <f>ROUND(SUM(D214:I214)/(IF(VLOOKUP($A214,EnrollData2324,'2324 Jun 24 Enroll'!M$1,FALSE)='District Calculations'!$F$25,VLOOKUP($A214,EnrollData2324,'2324 Jun 24 Enroll'!M$1,FALSE),'District Calculations'!$F$25)+IF(VLOOKUP($A214,EnrollData2324,'2324 Jun 24 Enroll'!D$1,FALSE)='District Calculations'!$F$11,VLOOKUP($A214,EnrollData2324,'2324 Jun 24 Enroll'!D$1,FALSE),'District Calculations'!$F$11)),5)</f>
        <v>5.6520000000000001E-2</v>
      </c>
      <c r="K214" s="11">
        <f t="shared" si="40"/>
        <v>4.385E-3</v>
      </c>
      <c r="L214">
        <f>ROUND(IF(VLOOKUP($A214,EnrollData2324,'2324 Jun 24 Enroll'!D$1,FALSE)='District Calculations'!$F$11,VLOOKUP($A214,EnrollData2324,'2324 Jun 24 Enroll'!D$1,FALSE),'District Calculations'!$F$11)*K214,3)</f>
        <v>0</v>
      </c>
      <c r="M214">
        <f>ROUND(IF(VLOOKUP($A214,EnrollData2324,'2324 Jun 24 Enroll'!E$1,FALSE)='District Calculations'!$F$12,VLOOKUP($A214,EnrollData2324,'2324 Jun 24 Enroll'!E$1,FALSE),'District Calculations'!$F$12)*K214,3)</f>
        <v>3.5539999999999998</v>
      </c>
      <c r="N214">
        <f>ROUND(IF(VLOOKUP($A214,EnrollData2324,'2324 Jun 24 Enroll'!F$1,FALSE)='District Calculations'!$F$13,VLOOKUP($A214,EnrollData2324,'2324 Jun 24 Enroll'!F$1,FALSE),'District Calculations'!$F$13)*Apport_223A2425,3)</f>
        <v>0.84599999999999997</v>
      </c>
      <c r="O214">
        <f>ROUND(IF(VLOOKUP($A214,EnrollData2324,'2324 Jun 24 Enroll'!G$1,FALSE)='District Calculations'!$F$14,VLOOKUP($A214,EnrollData2324,'2324 Jun 24 Enroll'!G$1,FALSE),'District Calculations'!$F$14)*Apport_211A2425,3)</f>
        <v>1.877</v>
      </c>
      <c r="P214">
        <f>ROUND(IF(VLOOKUP($A214,EnrollData2324,'2324 Jun 24 Enroll'!H$1,FALSE)='District Calculations'!$F$14,VLOOKUP($A214,EnrollData2324,'2324 Jun 24 Enroll'!H$1,FALSE),'District Calculations'!$F$14)*Apport_214A2425,3)</f>
        <v>1.875</v>
      </c>
      <c r="Q214">
        <f>ROUND(IF(VLOOKUP($A214,EnrollData2324,'2324 Jun 24 Enroll'!I$1,FALSE)+VLOOKUP($A214,EnrollData2324,'2324 Jun 24 Enroll'!M$1,FALSE)-VLOOKUP($A214,EnrollData2324,'2324 Jun 24 Enroll'!J$1,FALSE)='District Calculations'!$F$16+'District Calculations'!$F$25-'District Calculations'!$F$17,VLOOKUP($A214,EnrollData2324,'2324 Jun 24 Enroll'!I$1,FALSE)+VLOOKUP($A214,EnrollData2324,'2324 Jun 24 Enroll'!M$1,FALSE)-VLOOKUP($A214,EnrollData2324,'2324 Jun 24 Enroll'!J$1,FALSE),'District Calculations'!$F$16+'District Calculations'!$F$25-'District Calculations'!$F$17)*Apport_217A2425,3)</f>
        <v>4.7130000000000001</v>
      </c>
      <c r="R214">
        <f>ROUND(SUM(L214:Q214)/IF(VLOOKUP($A214,EnrollData2324,'2324 Jun 24 Enroll'!M$1,FALSE)+VLOOKUP($A214,EnrollData2324,'2324 Jun 24 Enroll'!D$1,FALSE)='District Calculations'!$F$25+'District Calculations'!$F$11,VLOOKUP($A214,EnrollData2324,'2324 Jun 24 Enroll'!M$1,FALSE)+VLOOKUP($A214,EnrollData2324,'2324 Jun 24 Enroll'!D$1,FALSE),'District Calculations'!$F$25+'District Calculations'!$F$11),5)</f>
        <v>4.1200000000000004E-3</v>
      </c>
      <c r="S214" s="11">
        <f t="shared" si="41"/>
        <v>1.8734299999999999E-2</v>
      </c>
      <c r="T214">
        <f>ROUND(IF(VLOOKUP($A214,EnrollData2324,'2324 Jun 24 Enroll'!D$1,FALSE)='District Calculations'!$F$11,VLOOKUP($A214,EnrollData2324,'2324 Jun 24 Enroll'!D$1,FALSE),'District Calculations'!$F$11)*S214,3)</f>
        <v>0</v>
      </c>
      <c r="U214">
        <f>ROUND(IF(VLOOKUP($A214,EnrollData2324,'2324 Jun 24 Enroll'!E$1,FALSE)='District Calculations'!$F$12,VLOOKUP($A214,EnrollData2324,'2324 Jun 24 Enroll'!E$1,FALSE),'District Calculations'!$F$12)*S214,3)</f>
        <v>15.183999999999999</v>
      </c>
      <c r="V214">
        <f>ROUND(IF(VLOOKUP($A214,EnrollData2324,'2324 Jun 24 Enroll'!F$1,FALSE)='District Calculations'!$F$13,VLOOKUP($A214,EnrollData2324,'2324 Jun 24 Enroll'!F$1,FALSE),'District Calculations'!$F$13)*Apport_224A2425,3)</f>
        <v>3.7109999999999999</v>
      </c>
      <c r="W214">
        <f>ROUND(IF(VLOOKUP($A214,EnrollData2324,'2324 Jun 24 Enroll'!G$1,FALSE)='District Calculations'!$F$14,VLOOKUP($A214,EnrollData2324,'2324 Jun 24 Enroll'!G$1,FALSE),'District Calculations'!$F$14)*Apport_212A2425,3)</f>
        <v>8.2279999999999998</v>
      </c>
      <c r="X214">
        <f>ROUND(IF(VLOOKUP($A214,EnrollData2324,'2324 Jun 24 Enroll'!H$1,FALSE)='District Calculations'!$F$14,VLOOKUP($A214,EnrollData2324,'2324 Jun 24 Enroll'!H$1,FALSE),'District Calculations'!$F$14)*Apport_215A2425,3)</f>
        <v>8.1180000000000003</v>
      </c>
      <c r="Y214">
        <f>ROUND(IF(VLOOKUP($A214,EnrollData2324,'2324 Jun 24 Enroll'!I$1,FALSE)+VLOOKUP($A214,EnrollData2324,'2324 Jun 24 Enroll'!M$1,FALSE)-VLOOKUP($A214,EnrollData2324,'2324 Jun 24 Enroll'!J$1,FALSE)='District Calculations'!$F$16+'District Calculations'!$F$25-'District Calculations'!$F$17,VLOOKUP($A214,EnrollData2324,'2324 Jun 24 Enroll'!I$1,FALSE)+VLOOKUP($A214,EnrollData2324,'2324 Jun 24 Enroll'!M$1,FALSE)-VLOOKUP($A214,EnrollData2324,'2324 Jun 24 Enroll'!J$1,FALSE),'District Calculations'!$F$16+'District Calculations'!$F$25-'District Calculations'!$F$17)*Apport_218A2425,3)</f>
        <v>20.257999999999999</v>
      </c>
      <c r="Z214">
        <f>ROUND(SUM(T214:Y214)/IF(VLOOKUP($A214,EnrollData2324,'2324 Jun 24 Enroll'!M$1,FALSE)+VLOOKUP($A214,EnrollData2324,'2324 Jun 24 Enroll'!D$1,FALSE)='District Calculations'!$F$25+'District Calculations'!$F$11,VLOOKUP($A214,EnrollData2324,'2324 Jun 24 Enroll'!M$1,FALSE)+VLOOKUP($A214,EnrollData2324,'2324 Jun 24 Enroll'!D$1,FALSE),'District Calculations'!$F$25+'District Calculations'!$F$11),5)</f>
        <v>1.7780000000000001E-2</v>
      </c>
      <c r="AA214" s="6">
        <f>ROUND($J214*CIS_Base_Salary2425*VLOOKUP($A214,EnrollData2324,'2324 Jun 24 Enroll'!AH$1,FALSE),2)</f>
        <v>4518.4399999999996</v>
      </c>
      <c r="AB214" s="6">
        <f>ROUND($J214*CIS_Inc_Salary2425*(VLOOKUP($A214,EnrollData2324,'2324 Jun 24 Enroll'!AI$1,FALSE)+VLOOKUP($A214,EnrollData2324,'2324 Jun 24 Enroll'!AJ$1,FALSE)),2)-AA214</f>
        <v>167.16000000000076</v>
      </c>
      <c r="AC214" s="6" cm="1">
        <f t="array" ref="AC214">ROUND($R214*CAS_Base_Salary2425*VLOOKUP($A214,EnrollData2324,'2324 Jun 24 Enroll'!AH$1,FALSE),2)</f>
        <v>488.91</v>
      </c>
      <c r="AD214" s="6">
        <f>ROUND($R214*CAS_Inc_Salary2425*VLOOKUP($A214,EnrollData2324,'2324 Jun 24 Enroll'!AI$1,FALSE),2)-AC214</f>
        <v>18.089999999999975</v>
      </c>
      <c r="AE214" s="6">
        <f>ROUND($Z214*CLS_Base_Salary2425*VLOOKUP($A214,EnrollData2324,'2324 Jun 24 Enroll'!AH$1,FALSE),2)</f>
        <v>1019.67</v>
      </c>
      <c r="AF214" s="6">
        <f>ROUND($Z214*CLS_Inc_Salary2425*VLOOKUP($A214,EnrollData2324,'2324 Jun 24 Enroll'!AI$1,FALSE),2)-AE214</f>
        <v>37.730000000000132</v>
      </c>
      <c r="AG214" cm="1">
        <f t="array" ref="AG214">ROUND(($J214+$R214)*Apport_124X2425,2)</f>
        <v>800.45</v>
      </c>
      <c r="AH214" s="69" cm="1">
        <f t="array" ref="AH214">ROUND(($J214+$R214)*Apport_621X2425*Apport_125XC2425,2)-AG214</f>
        <v>73.899999999999977</v>
      </c>
      <c r="AI214" cm="1">
        <f t="array" ref="AI214">ROUND($Z214*Apport_124X2425,2)</f>
        <v>234.7</v>
      </c>
      <c r="AJ214">
        <f t="shared" si="42"/>
        <v>124.71000000000004</v>
      </c>
      <c r="AK214">
        <f t="shared" si="43"/>
        <v>908.83</v>
      </c>
      <c r="AL214">
        <f t="shared" si="44"/>
        <v>32.44</v>
      </c>
      <c r="AM214">
        <f t="shared" si="45"/>
        <v>220.86</v>
      </c>
      <c r="AN214">
        <f t="shared" si="46"/>
        <v>6.85</v>
      </c>
      <c r="AO214">
        <f>ROUND(($J214*CIS_Inc_Salary2425*(VLOOKUP($A214,EnrollData2324,'2324 Jun 24 Enroll'!AI$1,FALSE)+VLOOKUP($A214,EnrollData2324,'2324 Jun 24 Enroll'!AJ$1,FALSE))/Apport_613Xpd)*Apport_614Xpd,2)</f>
        <v>78.09</v>
      </c>
      <c r="AP214">
        <f t="shared" si="47"/>
        <v>13.67</v>
      </c>
      <c r="AQ214">
        <f t="shared" si="48"/>
        <v>31.48</v>
      </c>
      <c r="AR214" s="6">
        <f>ROUND((VLOOKUP($A214,EnrollData2324,'2324 Jun 24 Enroll'!D$1,FALSE)*Apport_M802425+VLOOKUP($A214,EnrollData2324,'2324 Jun 24 Enroll'!M$1,FALSE)*Apport_M802425+(VLOOKUP($A214,EnrollData2324,'2324 Jun 24 Enroll'!P$1,FALSE)+VLOOKUP($A214,EnrollData2324,'2324 Jun 24 Enroll'!Q$1,FALSE)+VLOOKUP($A214,EnrollData2324,'2324 Jun 24 Enroll'!R$1,FALSE)+VLOOKUP($A214,EnrollData2324,'2324 Jun 24 Enroll'!I$1,FALSE)+VLOOKUP($A214,EnrollData2324,'2324 Jun 24 Enroll'!N$1,FALSE)+VLOOKUP($A214,EnrollData2324,'2324 Jun 24 Enroll'!O$1,FALSE)+VLOOKUP($A214,EnrollData2324,'2324 Jun 24 Enroll'!K$1,FALSE)+VLOOKUP($A214,EnrollData2324,'2324 Jun 24 Enroll'!L$1,FALSE))*Apport_M812425)/(VLOOKUP($A214,EnrollData2324,'2324 Jun 24 Enroll'!M$1,FALSE)+VLOOKUP($A214,EnrollData2324,'2324 Jun 24 Enroll'!D$1,FALSE)),2)</f>
        <v>1597.96</v>
      </c>
      <c r="AS214" s="7">
        <f t="shared" si="49"/>
        <v>10373.940000000002</v>
      </c>
    </row>
    <row r="215" spans="1:45">
      <c r="A215" s="40" t="s">
        <v>468</v>
      </c>
      <c r="B215" s="40" t="s">
        <v>469</v>
      </c>
      <c r="C215" s="11">
        <f>ROUND((IFERROR((1/IF(VLOOKUP($A215,EnrollData2324,28,FALSE)='District Calculations'!$F$10,VLOOKUP($A215,EnrollData2324,28,FALSE),'District Calculations'!$F$10))*(1+Apport_Z315),0))+Apport_201A2425,6)</f>
        <v>7.4580999999999995E-2</v>
      </c>
      <c r="D215">
        <f>ROUND(IF(VLOOKUP($A215,EnrollData2324,'2324 Jun 24 Enroll'!D$1,FALSE)='District Calculations'!$F$11,VLOOKUP($A215,EnrollData2324,'2324 Jun 24 Enroll'!D$1,FALSE),'District Calculations'!$F$11)*C215,3)</f>
        <v>0</v>
      </c>
      <c r="E215">
        <f>ROUND(IF(VLOOKUP($A215,EnrollData2324,'2324 Jun 24 Enroll'!E$1,FALSE)='District Calculations'!$F$12,VLOOKUP($A215,EnrollData2324,'2324 Jun 24 Enroll'!E$1,FALSE),'District Calculations'!$F$12)*C215,3)</f>
        <v>60.447000000000003</v>
      </c>
      <c r="F215">
        <f>ROUND(IF(VLOOKUP($A215,EnrollData2324,'2324 Jun 24 Enroll'!F$1,FALSE)='District Calculations'!$F$13,VLOOKUP($A215,EnrollData2324,'2324 Jun 24 Enroll'!F$1,FALSE),'District Calculations'!$F$13)*Apport_222A2425,3)</f>
        <v>10.337999999999999</v>
      </c>
      <c r="G215">
        <f>ROUND(IF(VLOOKUP($A215,EnrollData2324,'2324 Jun 24 Enroll'!G$1,FALSE)='District Calculations'!$F$14,VLOOKUP($A215,EnrollData2324,'2324 Jun 24 Enroll'!G$1,FALSE),'District Calculations'!$F$14)*Apport_210A2425,3)</f>
        <v>22.92</v>
      </c>
      <c r="H215">
        <f>ROUND(IF(VLOOKUP($A215,EnrollData2324,'2324 Jun 24 Enroll'!H$1,FALSE)='District Calculations'!$F$15,VLOOKUP($A215,EnrollData2324,'2324 Jun 24 Enroll'!H$1,FALSE),'District Calculations'!$F$15)*Apport_213A2425,3)</f>
        <v>23.619</v>
      </c>
      <c r="I215">
        <f>ROUND(IF(VLOOKUP($A215,EnrollData2324,'2324 Jun 24 Enroll'!I$1,FALSE)+VLOOKUP($A215,EnrollData2324,'2324 Jun 24 Enroll'!M$1,FALSE)-VLOOKUP($A215,EnrollData2324,'2324 Jun 24 Enroll'!J$1,FALSE)='District Calculations'!$F$16+'District Calculations'!$F$25-'District Calculations'!$F$17,VLOOKUP($A215,EnrollData2324,'2324 Jun 24 Enroll'!I$1,FALSE)+VLOOKUP($A215,EnrollData2324,'2324 Jun 24 Enroll'!M$1,FALSE)-VLOOKUP($A215,EnrollData2324,'2324 Jun 24 Enroll'!J$1,FALSE),'District Calculations'!$F$16+'District Calculations'!$F$25-'District Calculations'!$F$17)*Apport_216A2425,3)</f>
        <v>59.057000000000002</v>
      </c>
      <c r="J215">
        <f>ROUND(SUM(D215:I215)/(IF(VLOOKUP($A215,EnrollData2324,'2324 Jun 24 Enroll'!M$1,FALSE)='District Calculations'!$F$25,VLOOKUP($A215,EnrollData2324,'2324 Jun 24 Enroll'!M$1,FALSE),'District Calculations'!$F$25)+IF(VLOOKUP($A215,EnrollData2324,'2324 Jun 24 Enroll'!D$1,FALSE)='District Calculations'!$F$11,VLOOKUP($A215,EnrollData2324,'2324 Jun 24 Enroll'!D$1,FALSE),'District Calculations'!$F$11)),5)</f>
        <v>5.6520000000000001E-2</v>
      </c>
      <c r="K215" s="11">
        <f t="shared" si="40"/>
        <v>4.385E-3</v>
      </c>
      <c r="L215">
        <f>ROUND(IF(VLOOKUP($A215,EnrollData2324,'2324 Jun 24 Enroll'!D$1,FALSE)='District Calculations'!$F$11,VLOOKUP($A215,EnrollData2324,'2324 Jun 24 Enroll'!D$1,FALSE),'District Calculations'!$F$11)*K215,3)</f>
        <v>0</v>
      </c>
      <c r="M215">
        <f>ROUND(IF(VLOOKUP($A215,EnrollData2324,'2324 Jun 24 Enroll'!E$1,FALSE)='District Calculations'!$F$12,VLOOKUP($A215,EnrollData2324,'2324 Jun 24 Enroll'!E$1,FALSE),'District Calculations'!$F$12)*K215,3)</f>
        <v>3.5539999999999998</v>
      </c>
      <c r="N215">
        <f>ROUND(IF(VLOOKUP($A215,EnrollData2324,'2324 Jun 24 Enroll'!F$1,FALSE)='District Calculations'!$F$13,VLOOKUP($A215,EnrollData2324,'2324 Jun 24 Enroll'!F$1,FALSE),'District Calculations'!$F$13)*Apport_223A2425,3)</f>
        <v>0.84599999999999997</v>
      </c>
      <c r="O215">
        <f>ROUND(IF(VLOOKUP($A215,EnrollData2324,'2324 Jun 24 Enroll'!G$1,FALSE)='District Calculations'!$F$14,VLOOKUP($A215,EnrollData2324,'2324 Jun 24 Enroll'!G$1,FALSE),'District Calculations'!$F$14)*Apport_211A2425,3)</f>
        <v>1.877</v>
      </c>
      <c r="P215">
        <f>ROUND(IF(VLOOKUP($A215,EnrollData2324,'2324 Jun 24 Enroll'!H$1,FALSE)='District Calculations'!$F$14,VLOOKUP($A215,EnrollData2324,'2324 Jun 24 Enroll'!H$1,FALSE),'District Calculations'!$F$14)*Apport_214A2425,3)</f>
        <v>1.875</v>
      </c>
      <c r="Q215">
        <f>ROUND(IF(VLOOKUP($A215,EnrollData2324,'2324 Jun 24 Enroll'!I$1,FALSE)+VLOOKUP($A215,EnrollData2324,'2324 Jun 24 Enroll'!M$1,FALSE)-VLOOKUP($A215,EnrollData2324,'2324 Jun 24 Enroll'!J$1,FALSE)='District Calculations'!$F$16+'District Calculations'!$F$25-'District Calculations'!$F$17,VLOOKUP($A215,EnrollData2324,'2324 Jun 24 Enroll'!I$1,FALSE)+VLOOKUP($A215,EnrollData2324,'2324 Jun 24 Enroll'!M$1,FALSE)-VLOOKUP($A215,EnrollData2324,'2324 Jun 24 Enroll'!J$1,FALSE),'District Calculations'!$F$16+'District Calculations'!$F$25-'District Calculations'!$F$17)*Apport_217A2425,3)</f>
        <v>4.7130000000000001</v>
      </c>
      <c r="R215">
        <f>ROUND(SUM(L215:Q215)/IF(VLOOKUP($A215,EnrollData2324,'2324 Jun 24 Enroll'!M$1,FALSE)+VLOOKUP($A215,EnrollData2324,'2324 Jun 24 Enroll'!D$1,FALSE)='District Calculations'!$F$25+'District Calculations'!$F$11,VLOOKUP($A215,EnrollData2324,'2324 Jun 24 Enroll'!M$1,FALSE)+VLOOKUP($A215,EnrollData2324,'2324 Jun 24 Enroll'!D$1,FALSE),'District Calculations'!$F$25+'District Calculations'!$F$11),5)</f>
        <v>4.1200000000000004E-3</v>
      </c>
      <c r="S215" s="11">
        <f t="shared" si="41"/>
        <v>1.8734299999999999E-2</v>
      </c>
      <c r="T215">
        <f>ROUND(IF(VLOOKUP($A215,EnrollData2324,'2324 Jun 24 Enroll'!D$1,FALSE)='District Calculations'!$F$11,VLOOKUP($A215,EnrollData2324,'2324 Jun 24 Enroll'!D$1,FALSE),'District Calculations'!$F$11)*S215,3)</f>
        <v>0</v>
      </c>
      <c r="U215">
        <f>ROUND(IF(VLOOKUP($A215,EnrollData2324,'2324 Jun 24 Enroll'!E$1,FALSE)='District Calculations'!$F$12,VLOOKUP($A215,EnrollData2324,'2324 Jun 24 Enroll'!E$1,FALSE),'District Calculations'!$F$12)*S215,3)</f>
        <v>15.183999999999999</v>
      </c>
      <c r="V215">
        <f>ROUND(IF(VLOOKUP($A215,EnrollData2324,'2324 Jun 24 Enroll'!F$1,FALSE)='District Calculations'!$F$13,VLOOKUP($A215,EnrollData2324,'2324 Jun 24 Enroll'!F$1,FALSE),'District Calculations'!$F$13)*Apport_224A2425,3)</f>
        <v>3.7109999999999999</v>
      </c>
      <c r="W215">
        <f>ROUND(IF(VLOOKUP($A215,EnrollData2324,'2324 Jun 24 Enroll'!G$1,FALSE)='District Calculations'!$F$14,VLOOKUP($A215,EnrollData2324,'2324 Jun 24 Enroll'!G$1,FALSE),'District Calculations'!$F$14)*Apport_212A2425,3)</f>
        <v>8.2279999999999998</v>
      </c>
      <c r="X215">
        <f>ROUND(IF(VLOOKUP($A215,EnrollData2324,'2324 Jun 24 Enroll'!H$1,FALSE)='District Calculations'!$F$14,VLOOKUP($A215,EnrollData2324,'2324 Jun 24 Enroll'!H$1,FALSE),'District Calculations'!$F$14)*Apport_215A2425,3)</f>
        <v>8.1180000000000003</v>
      </c>
      <c r="Y215">
        <f>ROUND(IF(VLOOKUP($A215,EnrollData2324,'2324 Jun 24 Enroll'!I$1,FALSE)+VLOOKUP($A215,EnrollData2324,'2324 Jun 24 Enroll'!M$1,FALSE)-VLOOKUP($A215,EnrollData2324,'2324 Jun 24 Enroll'!J$1,FALSE)='District Calculations'!$F$16+'District Calculations'!$F$25-'District Calculations'!$F$17,VLOOKUP($A215,EnrollData2324,'2324 Jun 24 Enroll'!I$1,FALSE)+VLOOKUP($A215,EnrollData2324,'2324 Jun 24 Enroll'!M$1,FALSE)-VLOOKUP($A215,EnrollData2324,'2324 Jun 24 Enroll'!J$1,FALSE),'District Calculations'!$F$16+'District Calculations'!$F$25-'District Calculations'!$F$17)*Apport_218A2425,3)</f>
        <v>20.257999999999999</v>
      </c>
      <c r="Z215">
        <f>ROUND(SUM(T215:Y215)/IF(VLOOKUP($A215,EnrollData2324,'2324 Jun 24 Enroll'!M$1,FALSE)+VLOOKUP($A215,EnrollData2324,'2324 Jun 24 Enroll'!D$1,FALSE)='District Calculations'!$F$25+'District Calculations'!$F$11,VLOOKUP($A215,EnrollData2324,'2324 Jun 24 Enroll'!M$1,FALSE)+VLOOKUP($A215,EnrollData2324,'2324 Jun 24 Enroll'!D$1,FALSE),'District Calculations'!$F$25+'District Calculations'!$F$11),5)</f>
        <v>1.7780000000000001E-2</v>
      </c>
      <c r="AA215" s="6">
        <f>ROUND($J215*CIS_Base_Salary2425*VLOOKUP($A215,EnrollData2324,'2324 Jun 24 Enroll'!AH$1,FALSE),2)</f>
        <v>4774.2</v>
      </c>
      <c r="AB215" s="6">
        <f>ROUND($J215*CIS_Inc_Salary2425*(VLOOKUP($A215,EnrollData2324,'2324 Jun 24 Enroll'!AI$1,FALSE)+VLOOKUP($A215,EnrollData2324,'2324 Jun 24 Enroll'!AJ$1,FALSE)),2)-AA215</f>
        <v>176.61999999999989</v>
      </c>
      <c r="AC215" s="6" cm="1">
        <f t="array" ref="AC215">ROUND($R215*CAS_Base_Salary2425*VLOOKUP($A215,EnrollData2324,'2324 Jun 24 Enroll'!AH$1,FALSE),2)</f>
        <v>516.58000000000004</v>
      </c>
      <c r="AD215" s="6">
        <f>ROUND($R215*CAS_Inc_Salary2425*VLOOKUP($A215,EnrollData2324,'2324 Jun 24 Enroll'!AI$1,FALSE),2)-AC215</f>
        <v>19.110000000000014</v>
      </c>
      <c r="AE215" s="6">
        <f>ROUND($Z215*CLS_Base_Salary2425*VLOOKUP($A215,EnrollData2324,'2324 Jun 24 Enroll'!AH$1,FALSE),2)</f>
        <v>1077.3900000000001</v>
      </c>
      <c r="AF215" s="6">
        <f>ROUND($Z215*CLS_Inc_Salary2425*VLOOKUP($A215,EnrollData2324,'2324 Jun 24 Enroll'!AI$1,FALSE),2)-AE215</f>
        <v>39.8599999999999</v>
      </c>
      <c r="AG215" cm="1">
        <f t="array" ref="AG215">ROUND(($J215+$R215)*Apport_124X2425,2)</f>
        <v>800.45</v>
      </c>
      <c r="AH215" s="69" cm="1">
        <f t="array" ref="AH215">ROUND(($J215+$R215)*Apport_621X2425*Apport_125XC2425,2)-AG215</f>
        <v>73.899999999999977</v>
      </c>
      <c r="AI215" cm="1">
        <f t="array" ref="AI215">ROUND($Z215*Apport_124X2425,2)</f>
        <v>234.7</v>
      </c>
      <c r="AJ215">
        <f t="shared" si="42"/>
        <v>124.71000000000004</v>
      </c>
      <c r="AK215">
        <f t="shared" si="43"/>
        <v>960.28</v>
      </c>
      <c r="AL215">
        <f t="shared" si="44"/>
        <v>34.270000000000003</v>
      </c>
      <c r="AM215">
        <f t="shared" si="45"/>
        <v>233.36</v>
      </c>
      <c r="AN215">
        <f t="shared" si="46"/>
        <v>7.24</v>
      </c>
      <c r="AO215">
        <f>ROUND(($J215*CIS_Inc_Salary2425*(VLOOKUP($A215,EnrollData2324,'2324 Jun 24 Enroll'!AI$1,FALSE)+VLOOKUP($A215,EnrollData2324,'2324 Jun 24 Enroll'!AJ$1,FALSE))/Apport_613Xpd)*Apport_614Xpd,2)</f>
        <v>82.51</v>
      </c>
      <c r="AP215">
        <f t="shared" si="47"/>
        <v>14.45</v>
      </c>
      <c r="AQ215">
        <f t="shared" si="48"/>
        <v>31.48</v>
      </c>
      <c r="AR215" s="6">
        <f>ROUND((VLOOKUP($A215,EnrollData2324,'2324 Jun 24 Enroll'!D$1,FALSE)*Apport_M802425+VLOOKUP($A215,EnrollData2324,'2324 Jun 24 Enroll'!M$1,FALSE)*Apport_M802425+(VLOOKUP($A215,EnrollData2324,'2324 Jun 24 Enroll'!P$1,FALSE)+VLOOKUP($A215,EnrollData2324,'2324 Jun 24 Enroll'!Q$1,FALSE)+VLOOKUP($A215,EnrollData2324,'2324 Jun 24 Enroll'!R$1,FALSE)+VLOOKUP($A215,EnrollData2324,'2324 Jun 24 Enroll'!I$1,FALSE)+VLOOKUP($A215,EnrollData2324,'2324 Jun 24 Enroll'!N$1,FALSE)+VLOOKUP($A215,EnrollData2324,'2324 Jun 24 Enroll'!O$1,FALSE)+VLOOKUP($A215,EnrollData2324,'2324 Jun 24 Enroll'!K$1,FALSE)+VLOOKUP($A215,EnrollData2324,'2324 Jun 24 Enroll'!L$1,FALSE))*Apport_M812425)/(VLOOKUP($A215,EnrollData2324,'2324 Jun 24 Enroll'!M$1,FALSE)+VLOOKUP($A215,EnrollData2324,'2324 Jun 24 Enroll'!D$1,FALSE)),2)</f>
        <v>1595.65</v>
      </c>
      <c r="AS215" s="7">
        <f t="shared" si="49"/>
        <v>10796.76</v>
      </c>
    </row>
    <row r="216" spans="1:45">
      <c r="A216" s="40" t="s">
        <v>995</v>
      </c>
      <c r="B216" s="40" t="s">
        <v>996</v>
      </c>
      <c r="C216" s="11">
        <f>ROUND((IFERROR((1/IF(VLOOKUP($A216,EnrollData2324,28,FALSE)='District Calculations'!$F$10,VLOOKUP($A216,EnrollData2324,28,FALSE),'District Calculations'!$F$10))*(1+Apport_Z315),0))+Apport_201A2425,6)</f>
        <v>7.4580999999999995E-2</v>
      </c>
      <c r="D216">
        <f>ROUND(IF(VLOOKUP($A216,EnrollData2324,'2324 Jun 24 Enroll'!D$1,FALSE)='District Calculations'!$F$11,VLOOKUP($A216,EnrollData2324,'2324 Jun 24 Enroll'!D$1,FALSE),'District Calculations'!$F$11)*C216,3)</f>
        <v>0</v>
      </c>
      <c r="E216">
        <f>ROUND(IF(VLOOKUP($A216,EnrollData2324,'2324 Jun 24 Enroll'!E$1,FALSE)='District Calculations'!$F$12,VLOOKUP($A216,EnrollData2324,'2324 Jun 24 Enroll'!E$1,FALSE),'District Calculations'!$F$12)*C216,3)</f>
        <v>60.447000000000003</v>
      </c>
      <c r="F216">
        <f>ROUND(IF(VLOOKUP($A216,EnrollData2324,'2324 Jun 24 Enroll'!F$1,FALSE)='District Calculations'!$F$13,VLOOKUP($A216,EnrollData2324,'2324 Jun 24 Enroll'!F$1,FALSE),'District Calculations'!$F$13)*Apport_222A2425,3)</f>
        <v>10.337999999999999</v>
      </c>
      <c r="G216">
        <f>ROUND(IF(VLOOKUP($A216,EnrollData2324,'2324 Jun 24 Enroll'!G$1,FALSE)='District Calculations'!$F$14,VLOOKUP($A216,EnrollData2324,'2324 Jun 24 Enroll'!G$1,FALSE),'District Calculations'!$F$14)*Apport_210A2425,3)</f>
        <v>22.92</v>
      </c>
      <c r="H216">
        <f>ROUND(IF(VLOOKUP($A216,EnrollData2324,'2324 Jun 24 Enroll'!H$1,FALSE)='District Calculations'!$F$15,VLOOKUP($A216,EnrollData2324,'2324 Jun 24 Enroll'!H$1,FALSE),'District Calculations'!$F$15)*Apport_213A2425,3)</f>
        <v>23.619</v>
      </c>
      <c r="I216">
        <f>ROUND(IF(VLOOKUP($A216,EnrollData2324,'2324 Jun 24 Enroll'!I$1,FALSE)+VLOOKUP($A216,EnrollData2324,'2324 Jun 24 Enroll'!M$1,FALSE)-VLOOKUP($A216,EnrollData2324,'2324 Jun 24 Enroll'!J$1,FALSE)='District Calculations'!$F$16+'District Calculations'!$F$25-'District Calculations'!$F$17,VLOOKUP($A216,EnrollData2324,'2324 Jun 24 Enroll'!I$1,FALSE)+VLOOKUP($A216,EnrollData2324,'2324 Jun 24 Enroll'!M$1,FALSE)-VLOOKUP($A216,EnrollData2324,'2324 Jun 24 Enroll'!J$1,FALSE),'District Calculations'!$F$16+'District Calculations'!$F$25-'District Calculations'!$F$17)*Apport_216A2425,3)</f>
        <v>59.057000000000002</v>
      </c>
      <c r="J216">
        <f>ROUND(SUM(D216:I216)/(IF(VLOOKUP($A216,EnrollData2324,'2324 Jun 24 Enroll'!M$1,FALSE)='District Calculations'!$F$25,VLOOKUP($A216,EnrollData2324,'2324 Jun 24 Enroll'!M$1,FALSE),'District Calculations'!$F$25)+IF(VLOOKUP($A216,EnrollData2324,'2324 Jun 24 Enroll'!D$1,FALSE)='District Calculations'!$F$11,VLOOKUP($A216,EnrollData2324,'2324 Jun 24 Enroll'!D$1,FALSE),'District Calculations'!$F$11)),5)</f>
        <v>5.6520000000000001E-2</v>
      </c>
      <c r="K216" s="11">
        <f t="shared" si="40"/>
        <v>4.385E-3</v>
      </c>
      <c r="L216">
        <f>ROUND(IF(VLOOKUP($A216,EnrollData2324,'2324 Jun 24 Enroll'!D$1,FALSE)='District Calculations'!$F$11,VLOOKUP($A216,EnrollData2324,'2324 Jun 24 Enroll'!D$1,FALSE),'District Calculations'!$F$11)*K216,3)</f>
        <v>0</v>
      </c>
      <c r="M216">
        <f>ROUND(IF(VLOOKUP($A216,EnrollData2324,'2324 Jun 24 Enroll'!E$1,FALSE)='District Calculations'!$F$12,VLOOKUP($A216,EnrollData2324,'2324 Jun 24 Enroll'!E$1,FALSE),'District Calculations'!$F$12)*K216,3)</f>
        <v>3.5539999999999998</v>
      </c>
      <c r="N216">
        <f>ROUND(IF(VLOOKUP($A216,EnrollData2324,'2324 Jun 24 Enroll'!F$1,FALSE)='District Calculations'!$F$13,VLOOKUP($A216,EnrollData2324,'2324 Jun 24 Enroll'!F$1,FALSE),'District Calculations'!$F$13)*Apport_223A2425,3)</f>
        <v>0.84599999999999997</v>
      </c>
      <c r="O216">
        <f>ROUND(IF(VLOOKUP($A216,EnrollData2324,'2324 Jun 24 Enroll'!G$1,FALSE)='District Calculations'!$F$14,VLOOKUP($A216,EnrollData2324,'2324 Jun 24 Enroll'!G$1,FALSE),'District Calculations'!$F$14)*Apport_211A2425,3)</f>
        <v>1.877</v>
      </c>
      <c r="P216">
        <f>ROUND(IF(VLOOKUP($A216,EnrollData2324,'2324 Jun 24 Enroll'!H$1,FALSE)='District Calculations'!$F$14,VLOOKUP($A216,EnrollData2324,'2324 Jun 24 Enroll'!H$1,FALSE),'District Calculations'!$F$14)*Apport_214A2425,3)</f>
        <v>1.875</v>
      </c>
      <c r="Q216">
        <f>ROUND(IF(VLOOKUP($A216,EnrollData2324,'2324 Jun 24 Enroll'!I$1,FALSE)+VLOOKUP($A216,EnrollData2324,'2324 Jun 24 Enroll'!M$1,FALSE)-VLOOKUP($A216,EnrollData2324,'2324 Jun 24 Enroll'!J$1,FALSE)='District Calculations'!$F$16+'District Calculations'!$F$25-'District Calculations'!$F$17,VLOOKUP($A216,EnrollData2324,'2324 Jun 24 Enroll'!I$1,FALSE)+VLOOKUP($A216,EnrollData2324,'2324 Jun 24 Enroll'!M$1,FALSE)-VLOOKUP($A216,EnrollData2324,'2324 Jun 24 Enroll'!J$1,FALSE),'District Calculations'!$F$16+'District Calculations'!$F$25-'District Calculations'!$F$17)*Apport_217A2425,3)</f>
        <v>4.7130000000000001</v>
      </c>
      <c r="R216">
        <f>ROUND(SUM(L216:Q216)/IF(VLOOKUP($A216,EnrollData2324,'2324 Jun 24 Enroll'!M$1,FALSE)+VLOOKUP($A216,EnrollData2324,'2324 Jun 24 Enroll'!D$1,FALSE)='District Calculations'!$F$25+'District Calculations'!$F$11,VLOOKUP($A216,EnrollData2324,'2324 Jun 24 Enroll'!M$1,FALSE)+VLOOKUP($A216,EnrollData2324,'2324 Jun 24 Enroll'!D$1,FALSE),'District Calculations'!$F$25+'District Calculations'!$F$11),5)</f>
        <v>4.1200000000000004E-3</v>
      </c>
      <c r="S216" s="11">
        <f t="shared" si="41"/>
        <v>1.8734299999999999E-2</v>
      </c>
      <c r="T216">
        <f>ROUND(IF(VLOOKUP($A216,EnrollData2324,'2324 Jun 24 Enroll'!D$1,FALSE)='District Calculations'!$F$11,VLOOKUP($A216,EnrollData2324,'2324 Jun 24 Enroll'!D$1,FALSE),'District Calculations'!$F$11)*S216,3)</f>
        <v>0</v>
      </c>
      <c r="U216">
        <f>ROUND(IF(VLOOKUP($A216,EnrollData2324,'2324 Jun 24 Enroll'!E$1,FALSE)='District Calculations'!$F$12,VLOOKUP($A216,EnrollData2324,'2324 Jun 24 Enroll'!E$1,FALSE),'District Calculations'!$F$12)*S216,3)</f>
        <v>15.183999999999999</v>
      </c>
      <c r="V216">
        <f>ROUND(IF(VLOOKUP($A216,EnrollData2324,'2324 Jun 24 Enroll'!F$1,FALSE)='District Calculations'!$F$13,VLOOKUP($A216,EnrollData2324,'2324 Jun 24 Enroll'!F$1,FALSE),'District Calculations'!$F$13)*Apport_224A2425,3)</f>
        <v>3.7109999999999999</v>
      </c>
      <c r="W216">
        <f>ROUND(IF(VLOOKUP($A216,EnrollData2324,'2324 Jun 24 Enroll'!G$1,FALSE)='District Calculations'!$F$14,VLOOKUP($A216,EnrollData2324,'2324 Jun 24 Enroll'!G$1,FALSE),'District Calculations'!$F$14)*Apport_212A2425,3)</f>
        <v>8.2279999999999998</v>
      </c>
      <c r="X216">
        <f>ROUND(IF(VLOOKUP($A216,EnrollData2324,'2324 Jun 24 Enroll'!H$1,FALSE)='District Calculations'!$F$14,VLOOKUP($A216,EnrollData2324,'2324 Jun 24 Enroll'!H$1,FALSE),'District Calculations'!$F$14)*Apport_215A2425,3)</f>
        <v>8.1180000000000003</v>
      </c>
      <c r="Y216">
        <f>ROUND(IF(VLOOKUP($A216,EnrollData2324,'2324 Jun 24 Enroll'!I$1,FALSE)+VLOOKUP($A216,EnrollData2324,'2324 Jun 24 Enroll'!M$1,FALSE)-VLOOKUP($A216,EnrollData2324,'2324 Jun 24 Enroll'!J$1,FALSE)='District Calculations'!$F$16+'District Calculations'!$F$25-'District Calculations'!$F$17,VLOOKUP($A216,EnrollData2324,'2324 Jun 24 Enroll'!I$1,FALSE)+VLOOKUP($A216,EnrollData2324,'2324 Jun 24 Enroll'!M$1,FALSE)-VLOOKUP($A216,EnrollData2324,'2324 Jun 24 Enroll'!J$1,FALSE),'District Calculations'!$F$16+'District Calculations'!$F$25-'District Calculations'!$F$17)*Apport_218A2425,3)</f>
        <v>20.257999999999999</v>
      </c>
      <c r="Z216">
        <f>ROUND(SUM(T216:Y216)/IF(VLOOKUP($A216,EnrollData2324,'2324 Jun 24 Enroll'!M$1,FALSE)+VLOOKUP($A216,EnrollData2324,'2324 Jun 24 Enroll'!D$1,FALSE)='District Calculations'!$F$25+'District Calculations'!$F$11,VLOOKUP($A216,EnrollData2324,'2324 Jun 24 Enroll'!M$1,FALSE)+VLOOKUP($A216,EnrollData2324,'2324 Jun 24 Enroll'!D$1,FALSE),'District Calculations'!$F$25+'District Calculations'!$F$11),5)</f>
        <v>1.7780000000000001E-2</v>
      </c>
      <c r="AA216" s="6">
        <f>ROUND($J216*CIS_Base_Salary2425*VLOOKUP($A216,EnrollData2324,'2324 Jun 24 Enroll'!AH$1,FALSE),2)</f>
        <v>4774.2</v>
      </c>
      <c r="AB216" s="6">
        <f>ROUND($J216*CIS_Inc_Salary2425*(VLOOKUP($A216,EnrollData2324,'2324 Jun 24 Enroll'!AI$1,FALSE)+VLOOKUP($A216,EnrollData2324,'2324 Jun 24 Enroll'!AJ$1,FALSE)),2)-AA216</f>
        <v>176.61999999999989</v>
      </c>
      <c r="AC216" s="6" cm="1">
        <f t="array" ref="AC216">ROUND($R216*CAS_Base_Salary2425*VLOOKUP($A216,EnrollData2324,'2324 Jun 24 Enroll'!AH$1,FALSE),2)</f>
        <v>516.58000000000004</v>
      </c>
      <c r="AD216" s="6">
        <f>ROUND($R216*CAS_Inc_Salary2425*VLOOKUP($A216,EnrollData2324,'2324 Jun 24 Enroll'!AI$1,FALSE),2)-AC216</f>
        <v>19.110000000000014</v>
      </c>
      <c r="AE216" s="6">
        <f>ROUND($Z216*CLS_Base_Salary2425*VLOOKUP($A216,EnrollData2324,'2324 Jun 24 Enroll'!AH$1,FALSE),2)</f>
        <v>1077.3900000000001</v>
      </c>
      <c r="AF216" s="6">
        <f>ROUND($Z216*CLS_Inc_Salary2425*VLOOKUP($A216,EnrollData2324,'2324 Jun 24 Enroll'!AI$1,FALSE),2)-AE216</f>
        <v>39.8599999999999</v>
      </c>
      <c r="AG216" cm="1">
        <f t="array" ref="AG216">ROUND(($J216+$R216)*Apport_124X2425,2)</f>
        <v>800.45</v>
      </c>
      <c r="AH216" s="69" cm="1">
        <f t="array" ref="AH216">ROUND(($J216+$R216)*Apport_621X2425*Apport_125XC2425,2)-AG216</f>
        <v>73.899999999999977</v>
      </c>
      <c r="AI216" cm="1">
        <f t="array" ref="AI216">ROUND($Z216*Apport_124X2425,2)</f>
        <v>234.7</v>
      </c>
      <c r="AJ216">
        <f t="shared" si="42"/>
        <v>124.71000000000004</v>
      </c>
      <c r="AK216">
        <f t="shared" si="43"/>
        <v>960.28</v>
      </c>
      <c r="AL216">
        <f t="shared" si="44"/>
        <v>34.270000000000003</v>
      </c>
      <c r="AM216">
        <f t="shared" si="45"/>
        <v>233.36</v>
      </c>
      <c r="AN216">
        <f t="shared" si="46"/>
        <v>7.24</v>
      </c>
      <c r="AO216">
        <f>ROUND(($J216*CIS_Inc_Salary2425*(VLOOKUP($A216,EnrollData2324,'2324 Jun 24 Enroll'!AI$1,FALSE)+VLOOKUP($A216,EnrollData2324,'2324 Jun 24 Enroll'!AJ$1,FALSE))/Apport_613Xpd)*Apport_614Xpd,2)</f>
        <v>82.51</v>
      </c>
      <c r="AP216">
        <f t="shared" si="47"/>
        <v>14.45</v>
      </c>
      <c r="AQ216">
        <f t="shared" si="48"/>
        <v>31.48</v>
      </c>
      <c r="AR216" s="6">
        <f>ROUND((VLOOKUP($A216,EnrollData2324,'2324 Jun 24 Enroll'!D$1,FALSE)*Apport_M802425+VLOOKUP($A216,EnrollData2324,'2324 Jun 24 Enroll'!M$1,FALSE)*Apport_M802425+(VLOOKUP($A216,EnrollData2324,'2324 Jun 24 Enroll'!P$1,FALSE)+VLOOKUP($A216,EnrollData2324,'2324 Jun 24 Enroll'!Q$1,FALSE)+VLOOKUP($A216,EnrollData2324,'2324 Jun 24 Enroll'!R$1,FALSE)+VLOOKUP($A216,EnrollData2324,'2324 Jun 24 Enroll'!I$1,FALSE)+VLOOKUP($A216,EnrollData2324,'2324 Jun 24 Enroll'!N$1,FALSE)+VLOOKUP($A216,EnrollData2324,'2324 Jun 24 Enroll'!O$1,FALSE)+VLOOKUP($A216,EnrollData2324,'2324 Jun 24 Enroll'!K$1,FALSE)+VLOOKUP($A216,EnrollData2324,'2324 Jun 24 Enroll'!L$1,FALSE))*Apport_M812425)/(VLOOKUP($A216,EnrollData2324,'2324 Jun 24 Enroll'!M$1,FALSE)+VLOOKUP($A216,EnrollData2324,'2324 Jun 24 Enroll'!D$1,FALSE)),2)</f>
        <v>1595.52</v>
      </c>
      <c r="AS216" s="7">
        <f t="shared" si="49"/>
        <v>10796.630000000001</v>
      </c>
    </row>
    <row r="217" spans="1:45">
      <c r="A217" s="40" t="s">
        <v>1033</v>
      </c>
      <c r="B217" s="40" t="s">
        <v>1034</v>
      </c>
      <c r="C217" s="11">
        <f>ROUND((IFERROR((1/IF(VLOOKUP($A217,EnrollData2324,28,FALSE)='District Calculations'!$F$10,VLOOKUP($A217,EnrollData2324,28,FALSE),'District Calculations'!$F$10))*(1+Apport_Z315),0))+Apport_201A2425,6)</f>
        <v>7.4580999999999995E-2</v>
      </c>
      <c r="D217">
        <f>ROUND(IF(VLOOKUP($A217,EnrollData2324,'2324 Jun 24 Enroll'!D$1,FALSE)='District Calculations'!$F$11,VLOOKUP($A217,EnrollData2324,'2324 Jun 24 Enroll'!D$1,FALSE),'District Calculations'!$F$11)*C217,3)</f>
        <v>0</v>
      </c>
      <c r="E217">
        <f>ROUND(IF(VLOOKUP($A217,EnrollData2324,'2324 Jun 24 Enroll'!E$1,FALSE)='District Calculations'!$F$12,VLOOKUP($A217,EnrollData2324,'2324 Jun 24 Enroll'!E$1,FALSE),'District Calculations'!$F$12)*C217,3)</f>
        <v>60.447000000000003</v>
      </c>
      <c r="F217">
        <f>ROUND(IF(VLOOKUP($A217,EnrollData2324,'2324 Jun 24 Enroll'!F$1,FALSE)='District Calculations'!$F$13,VLOOKUP($A217,EnrollData2324,'2324 Jun 24 Enroll'!F$1,FALSE),'District Calculations'!$F$13)*Apport_222A2425,3)</f>
        <v>10.337999999999999</v>
      </c>
      <c r="G217">
        <f>ROUND(IF(VLOOKUP($A217,EnrollData2324,'2324 Jun 24 Enroll'!G$1,FALSE)='District Calculations'!$F$14,VLOOKUP($A217,EnrollData2324,'2324 Jun 24 Enroll'!G$1,FALSE),'District Calculations'!$F$14)*Apport_210A2425,3)</f>
        <v>22.92</v>
      </c>
      <c r="H217">
        <f>ROUND(IF(VLOOKUP($A217,EnrollData2324,'2324 Jun 24 Enroll'!H$1,FALSE)='District Calculations'!$F$15,VLOOKUP($A217,EnrollData2324,'2324 Jun 24 Enroll'!H$1,FALSE),'District Calculations'!$F$15)*Apport_213A2425,3)</f>
        <v>23.619</v>
      </c>
      <c r="I217">
        <f>ROUND(IF(VLOOKUP($A217,EnrollData2324,'2324 Jun 24 Enroll'!I$1,FALSE)+VLOOKUP($A217,EnrollData2324,'2324 Jun 24 Enroll'!M$1,FALSE)-VLOOKUP($A217,EnrollData2324,'2324 Jun 24 Enroll'!J$1,FALSE)='District Calculations'!$F$16+'District Calculations'!$F$25-'District Calculations'!$F$17,VLOOKUP($A217,EnrollData2324,'2324 Jun 24 Enroll'!I$1,FALSE)+VLOOKUP($A217,EnrollData2324,'2324 Jun 24 Enroll'!M$1,FALSE)-VLOOKUP($A217,EnrollData2324,'2324 Jun 24 Enroll'!J$1,FALSE),'District Calculations'!$F$16+'District Calculations'!$F$25-'District Calculations'!$F$17)*Apport_216A2425,3)</f>
        <v>59.057000000000002</v>
      </c>
      <c r="J217">
        <f>ROUND(SUM(D217:I217)/(IF(VLOOKUP($A217,EnrollData2324,'2324 Jun 24 Enroll'!M$1,FALSE)='District Calculations'!$F$25,VLOOKUP($A217,EnrollData2324,'2324 Jun 24 Enroll'!M$1,FALSE),'District Calculations'!$F$25)+IF(VLOOKUP($A217,EnrollData2324,'2324 Jun 24 Enroll'!D$1,FALSE)='District Calculations'!$F$11,VLOOKUP($A217,EnrollData2324,'2324 Jun 24 Enroll'!D$1,FALSE),'District Calculations'!$F$11)),5)</f>
        <v>5.6520000000000001E-2</v>
      </c>
      <c r="K217" s="11">
        <f t="shared" si="40"/>
        <v>4.385E-3</v>
      </c>
      <c r="L217">
        <f>ROUND(IF(VLOOKUP($A217,EnrollData2324,'2324 Jun 24 Enroll'!D$1,FALSE)='District Calculations'!$F$11,VLOOKUP($A217,EnrollData2324,'2324 Jun 24 Enroll'!D$1,FALSE),'District Calculations'!$F$11)*K217,3)</f>
        <v>0</v>
      </c>
      <c r="M217">
        <f>ROUND(IF(VLOOKUP($A217,EnrollData2324,'2324 Jun 24 Enroll'!E$1,FALSE)='District Calculations'!$F$12,VLOOKUP($A217,EnrollData2324,'2324 Jun 24 Enroll'!E$1,FALSE),'District Calculations'!$F$12)*K217,3)</f>
        <v>3.5539999999999998</v>
      </c>
      <c r="N217">
        <f>ROUND(IF(VLOOKUP($A217,EnrollData2324,'2324 Jun 24 Enroll'!F$1,FALSE)='District Calculations'!$F$13,VLOOKUP($A217,EnrollData2324,'2324 Jun 24 Enroll'!F$1,FALSE),'District Calculations'!$F$13)*Apport_223A2425,3)</f>
        <v>0.84599999999999997</v>
      </c>
      <c r="O217">
        <f>ROUND(IF(VLOOKUP($A217,EnrollData2324,'2324 Jun 24 Enroll'!G$1,FALSE)='District Calculations'!$F$14,VLOOKUP($A217,EnrollData2324,'2324 Jun 24 Enroll'!G$1,FALSE),'District Calculations'!$F$14)*Apport_211A2425,3)</f>
        <v>1.877</v>
      </c>
      <c r="P217">
        <f>ROUND(IF(VLOOKUP($A217,EnrollData2324,'2324 Jun 24 Enroll'!H$1,FALSE)='District Calculations'!$F$14,VLOOKUP($A217,EnrollData2324,'2324 Jun 24 Enroll'!H$1,FALSE),'District Calculations'!$F$14)*Apport_214A2425,3)</f>
        <v>1.875</v>
      </c>
      <c r="Q217">
        <f>ROUND(IF(VLOOKUP($A217,EnrollData2324,'2324 Jun 24 Enroll'!I$1,FALSE)+VLOOKUP($A217,EnrollData2324,'2324 Jun 24 Enroll'!M$1,FALSE)-VLOOKUP($A217,EnrollData2324,'2324 Jun 24 Enroll'!J$1,FALSE)='District Calculations'!$F$16+'District Calculations'!$F$25-'District Calculations'!$F$17,VLOOKUP($A217,EnrollData2324,'2324 Jun 24 Enroll'!I$1,FALSE)+VLOOKUP($A217,EnrollData2324,'2324 Jun 24 Enroll'!M$1,FALSE)-VLOOKUP($A217,EnrollData2324,'2324 Jun 24 Enroll'!J$1,FALSE),'District Calculations'!$F$16+'District Calculations'!$F$25-'District Calculations'!$F$17)*Apport_217A2425,3)</f>
        <v>4.7130000000000001</v>
      </c>
      <c r="R217">
        <f>ROUND(SUM(L217:Q217)/IF(VLOOKUP($A217,EnrollData2324,'2324 Jun 24 Enroll'!M$1,FALSE)+VLOOKUP($A217,EnrollData2324,'2324 Jun 24 Enroll'!D$1,FALSE)='District Calculations'!$F$25+'District Calculations'!$F$11,VLOOKUP($A217,EnrollData2324,'2324 Jun 24 Enroll'!M$1,FALSE)+VLOOKUP($A217,EnrollData2324,'2324 Jun 24 Enroll'!D$1,FALSE),'District Calculations'!$F$25+'District Calculations'!$F$11),5)</f>
        <v>4.1200000000000004E-3</v>
      </c>
      <c r="S217" s="11">
        <f t="shared" si="41"/>
        <v>1.8734299999999999E-2</v>
      </c>
      <c r="T217">
        <f>ROUND(IF(VLOOKUP($A217,EnrollData2324,'2324 Jun 24 Enroll'!D$1,FALSE)='District Calculations'!$F$11,VLOOKUP($A217,EnrollData2324,'2324 Jun 24 Enroll'!D$1,FALSE),'District Calculations'!$F$11)*S217,3)</f>
        <v>0</v>
      </c>
      <c r="U217">
        <f>ROUND(IF(VLOOKUP($A217,EnrollData2324,'2324 Jun 24 Enroll'!E$1,FALSE)='District Calculations'!$F$12,VLOOKUP($A217,EnrollData2324,'2324 Jun 24 Enroll'!E$1,FALSE),'District Calculations'!$F$12)*S217,3)</f>
        <v>15.183999999999999</v>
      </c>
      <c r="V217">
        <f>ROUND(IF(VLOOKUP($A217,EnrollData2324,'2324 Jun 24 Enroll'!F$1,FALSE)='District Calculations'!$F$13,VLOOKUP($A217,EnrollData2324,'2324 Jun 24 Enroll'!F$1,FALSE),'District Calculations'!$F$13)*Apport_224A2425,3)</f>
        <v>3.7109999999999999</v>
      </c>
      <c r="W217">
        <f>ROUND(IF(VLOOKUP($A217,EnrollData2324,'2324 Jun 24 Enroll'!G$1,FALSE)='District Calculations'!$F$14,VLOOKUP($A217,EnrollData2324,'2324 Jun 24 Enroll'!G$1,FALSE),'District Calculations'!$F$14)*Apport_212A2425,3)</f>
        <v>8.2279999999999998</v>
      </c>
      <c r="X217">
        <f>ROUND(IF(VLOOKUP($A217,EnrollData2324,'2324 Jun 24 Enroll'!H$1,FALSE)='District Calculations'!$F$14,VLOOKUP($A217,EnrollData2324,'2324 Jun 24 Enroll'!H$1,FALSE),'District Calculations'!$F$14)*Apport_215A2425,3)</f>
        <v>8.1180000000000003</v>
      </c>
      <c r="Y217">
        <f>ROUND(IF(VLOOKUP($A217,EnrollData2324,'2324 Jun 24 Enroll'!I$1,FALSE)+VLOOKUP($A217,EnrollData2324,'2324 Jun 24 Enroll'!M$1,FALSE)-VLOOKUP($A217,EnrollData2324,'2324 Jun 24 Enroll'!J$1,FALSE)='District Calculations'!$F$16+'District Calculations'!$F$25-'District Calculations'!$F$17,VLOOKUP($A217,EnrollData2324,'2324 Jun 24 Enroll'!I$1,FALSE)+VLOOKUP($A217,EnrollData2324,'2324 Jun 24 Enroll'!M$1,FALSE)-VLOOKUP($A217,EnrollData2324,'2324 Jun 24 Enroll'!J$1,FALSE),'District Calculations'!$F$16+'District Calculations'!$F$25-'District Calculations'!$F$17)*Apport_218A2425,3)</f>
        <v>20.257999999999999</v>
      </c>
      <c r="Z217">
        <f>ROUND(SUM(T217:Y217)/IF(VLOOKUP($A217,EnrollData2324,'2324 Jun 24 Enroll'!M$1,FALSE)+VLOOKUP($A217,EnrollData2324,'2324 Jun 24 Enroll'!D$1,FALSE)='District Calculations'!$F$25+'District Calculations'!$F$11,VLOOKUP($A217,EnrollData2324,'2324 Jun 24 Enroll'!M$1,FALSE)+VLOOKUP($A217,EnrollData2324,'2324 Jun 24 Enroll'!D$1,FALSE),'District Calculations'!$F$25+'District Calculations'!$F$11),5)</f>
        <v>1.7780000000000001E-2</v>
      </c>
      <c r="AA217" s="6">
        <f>ROUND($J217*CIS_Base_Salary2425*VLOOKUP($A217,EnrollData2324,'2324 Jun 24 Enroll'!AH$1,FALSE),2)</f>
        <v>4774.2</v>
      </c>
      <c r="AB217" s="6">
        <f>ROUND($J217*CIS_Inc_Salary2425*(VLOOKUP($A217,EnrollData2324,'2324 Jun 24 Enroll'!AI$1,FALSE)+VLOOKUP($A217,EnrollData2324,'2324 Jun 24 Enroll'!AJ$1,FALSE)),2)-AA217</f>
        <v>176.61999999999989</v>
      </c>
      <c r="AC217" s="6" cm="1">
        <f t="array" ref="AC217">ROUND($R217*CAS_Base_Salary2425*VLOOKUP($A217,EnrollData2324,'2324 Jun 24 Enroll'!AH$1,FALSE),2)</f>
        <v>516.58000000000004</v>
      </c>
      <c r="AD217" s="6">
        <f>ROUND($R217*CAS_Inc_Salary2425*VLOOKUP($A217,EnrollData2324,'2324 Jun 24 Enroll'!AI$1,FALSE),2)-AC217</f>
        <v>19.110000000000014</v>
      </c>
      <c r="AE217" s="6">
        <f>ROUND($Z217*CLS_Base_Salary2425*VLOOKUP($A217,EnrollData2324,'2324 Jun 24 Enroll'!AH$1,FALSE),2)</f>
        <v>1077.3900000000001</v>
      </c>
      <c r="AF217" s="6">
        <f>ROUND($Z217*CLS_Inc_Salary2425*VLOOKUP($A217,EnrollData2324,'2324 Jun 24 Enroll'!AI$1,FALSE),2)-AE217</f>
        <v>39.8599999999999</v>
      </c>
      <c r="AG217" cm="1">
        <f t="array" ref="AG217">ROUND(($J217+$R217)*Apport_124X2425,2)</f>
        <v>800.45</v>
      </c>
      <c r="AH217" s="69" cm="1">
        <f t="array" ref="AH217">ROUND(($J217+$R217)*Apport_621X2425*Apport_125XC2425,2)-AG217</f>
        <v>73.899999999999977</v>
      </c>
      <c r="AI217" cm="1">
        <f t="array" ref="AI217">ROUND($Z217*Apport_124X2425,2)</f>
        <v>234.7</v>
      </c>
      <c r="AJ217">
        <f t="shared" si="42"/>
        <v>124.71000000000004</v>
      </c>
      <c r="AK217">
        <f t="shared" si="43"/>
        <v>960.28</v>
      </c>
      <c r="AL217">
        <f t="shared" si="44"/>
        <v>34.270000000000003</v>
      </c>
      <c r="AM217">
        <f t="shared" si="45"/>
        <v>233.36</v>
      </c>
      <c r="AN217">
        <f t="shared" si="46"/>
        <v>7.24</v>
      </c>
      <c r="AO217">
        <f>ROUND(($J217*CIS_Inc_Salary2425*(VLOOKUP($A217,EnrollData2324,'2324 Jun 24 Enroll'!AI$1,FALSE)+VLOOKUP($A217,EnrollData2324,'2324 Jun 24 Enroll'!AJ$1,FALSE))/Apport_613Xpd)*Apport_614Xpd,2)</f>
        <v>82.51</v>
      </c>
      <c r="AP217">
        <f t="shared" si="47"/>
        <v>14.45</v>
      </c>
      <c r="AQ217">
        <f t="shared" si="48"/>
        <v>31.48</v>
      </c>
      <c r="AR217" s="6">
        <f>ROUND((VLOOKUP($A217,EnrollData2324,'2324 Jun 24 Enroll'!D$1,FALSE)*Apport_M802425+VLOOKUP($A217,EnrollData2324,'2324 Jun 24 Enroll'!M$1,FALSE)*Apport_M802425+(VLOOKUP($A217,EnrollData2324,'2324 Jun 24 Enroll'!P$1,FALSE)+VLOOKUP($A217,EnrollData2324,'2324 Jun 24 Enroll'!Q$1,FALSE)+VLOOKUP($A217,EnrollData2324,'2324 Jun 24 Enroll'!R$1,FALSE)+VLOOKUP($A217,EnrollData2324,'2324 Jun 24 Enroll'!I$1,FALSE)+VLOOKUP($A217,EnrollData2324,'2324 Jun 24 Enroll'!N$1,FALSE)+VLOOKUP($A217,EnrollData2324,'2324 Jun 24 Enroll'!O$1,FALSE)+VLOOKUP($A217,EnrollData2324,'2324 Jun 24 Enroll'!K$1,FALSE)+VLOOKUP($A217,EnrollData2324,'2324 Jun 24 Enroll'!L$1,FALSE))*Apport_M812425)/(VLOOKUP($A217,EnrollData2324,'2324 Jun 24 Enroll'!M$1,FALSE)+VLOOKUP($A217,EnrollData2324,'2324 Jun 24 Enroll'!D$1,FALSE)),2)</f>
        <v>1533.02</v>
      </c>
      <c r="AS217" s="7">
        <f t="shared" si="49"/>
        <v>10734.130000000001</v>
      </c>
    </row>
    <row r="218" spans="1:45">
      <c r="A218" s="40" t="s">
        <v>910</v>
      </c>
      <c r="B218" s="40" t="s">
        <v>905</v>
      </c>
      <c r="C218" s="11">
        <f>ROUND((IFERROR((1/IF(VLOOKUP($A218,EnrollData2324,28,FALSE)='District Calculations'!$F$10,VLOOKUP($A218,EnrollData2324,28,FALSE),'District Calculations'!$F$10))*(1+Apport_Z315),0))+Apport_201A2425,6)</f>
        <v>7.4580999999999995E-2</v>
      </c>
      <c r="D218">
        <f>ROUND(IF(VLOOKUP($A218,EnrollData2324,'2324 Jun 24 Enroll'!D$1,FALSE)='District Calculations'!$F$11,VLOOKUP($A218,EnrollData2324,'2324 Jun 24 Enroll'!D$1,FALSE),'District Calculations'!$F$11)*C218,3)</f>
        <v>0</v>
      </c>
      <c r="E218">
        <f>ROUND(IF(VLOOKUP($A218,EnrollData2324,'2324 Jun 24 Enroll'!E$1,FALSE)='District Calculations'!$F$12,VLOOKUP($A218,EnrollData2324,'2324 Jun 24 Enroll'!E$1,FALSE),'District Calculations'!$F$12)*C218,3)</f>
        <v>60.447000000000003</v>
      </c>
      <c r="F218">
        <f>ROUND(IF(VLOOKUP($A218,EnrollData2324,'2324 Jun 24 Enroll'!F$1,FALSE)='District Calculations'!$F$13,VLOOKUP($A218,EnrollData2324,'2324 Jun 24 Enroll'!F$1,FALSE),'District Calculations'!$F$13)*Apport_222A2425,3)</f>
        <v>10.337999999999999</v>
      </c>
      <c r="G218">
        <f>ROUND(IF(VLOOKUP($A218,EnrollData2324,'2324 Jun 24 Enroll'!G$1,FALSE)='District Calculations'!$F$14,VLOOKUP($A218,EnrollData2324,'2324 Jun 24 Enroll'!G$1,FALSE),'District Calculations'!$F$14)*Apport_210A2425,3)</f>
        <v>22.92</v>
      </c>
      <c r="H218">
        <f>ROUND(IF(VLOOKUP($A218,EnrollData2324,'2324 Jun 24 Enroll'!H$1,FALSE)='District Calculations'!$F$15,VLOOKUP($A218,EnrollData2324,'2324 Jun 24 Enroll'!H$1,FALSE),'District Calculations'!$F$15)*Apport_213A2425,3)</f>
        <v>23.619</v>
      </c>
      <c r="I218">
        <f>ROUND(IF(VLOOKUP($A218,EnrollData2324,'2324 Jun 24 Enroll'!I$1,FALSE)+VLOOKUP($A218,EnrollData2324,'2324 Jun 24 Enroll'!M$1,FALSE)-VLOOKUP($A218,EnrollData2324,'2324 Jun 24 Enroll'!J$1,FALSE)='District Calculations'!$F$16+'District Calculations'!$F$25-'District Calculations'!$F$17,VLOOKUP($A218,EnrollData2324,'2324 Jun 24 Enroll'!I$1,FALSE)+VLOOKUP($A218,EnrollData2324,'2324 Jun 24 Enroll'!M$1,FALSE)-VLOOKUP($A218,EnrollData2324,'2324 Jun 24 Enroll'!J$1,FALSE),'District Calculations'!$F$16+'District Calculations'!$F$25-'District Calculations'!$F$17)*Apport_216A2425,3)</f>
        <v>59.057000000000002</v>
      </c>
      <c r="J218">
        <f>ROUND(SUM(D218:I218)/(IF(VLOOKUP($A218,EnrollData2324,'2324 Jun 24 Enroll'!M$1,FALSE)='District Calculations'!$F$25,VLOOKUP($A218,EnrollData2324,'2324 Jun 24 Enroll'!M$1,FALSE),'District Calculations'!$F$25)+IF(VLOOKUP($A218,EnrollData2324,'2324 Jun 24 Enroll'!D$1,FALSE)='District Calculations'!$F$11,VLOOKUP($A218,EnrollData2324,'2324 Jun 24 Enroll'!D$1,FALSE),'District Calculations'!$F$11)),5)</f>
        <v>5.6520000000000001E-2</v>
      </c>
      <c r="K218" s="11">
        <f t="shared" si="40"/>
        <v>4.385E-3</v>
      </c>
      <c r="L218">
        <f>ROUND(IF(VLOOKUP($A218,EnrollData2324,'2324 Jun 24 Enroll'!D$1,FALSE)='District Calculations'!$F$11,VLOOKUP($A218,EnrollData2324,'2324 Jun 24 Enroll'!D$1,FALSE),'District Calculations'!$F$11)*K218,3)</f>
        <v>0</v>
      </c>
      <c r="M218">
        <f>ROUND(IF(VLOOKUP($A218,EnrollData2324,'2324 Jun 24 Enroll'!E$1,FALSE)='District Calculations'!$F$12,VLOOKUP($A218,EnrollData2324,'2324 Jun 24 Enroll'!E$1,FALSE),'District Calculations'!$F$12)*K218,3)</f>
        <v>3.5539999999999998</v>
      </c>
      <c r="N218">
        <f>ROUND(IF(VLOOKUP($A218,EnrollData2324,'2324 Jun 24 Enroll'!F$1,FALSE)='District Calculations'!$F$13,VLOOKUP($A218,EnrollData2324,'2324 Jun 24 Enroll'!F$1,FALSE),'District Calculations'!$F$13)*Apport_223A2425,3)</f>
        <v>0.84599999999999997</v>
      </c>
      <c r="O218">
        <f>ROUND(IF(VLOOKUP($A218,EnrollData2324,'2324 Jun 24 Enroll'!G$1,FALSE)='District Calculations'!$F$14,VLOOKUP($A218,EnrollData2324,'2324 Jun 24 Enroll'!G$1,FALSE),'District Calculations'!$F$14)*Apport_211A2425,3)</f>
        <v>1.877</v>
      </c>
      <c r="P218">
        <f>ROUND(IF(VLOOKUP($A218,EnrollData2324,'2324 Jun 24 Enroll'!H$1,FALSE)='District Calculations'!$F$14,VLOOKUP($A218,EnrollData2324,'2324 Jun 24 Enroll'!H$1,FALSE),'District Calculations'!$F$14)*Apport_214A2425,3)</f>
        <v>1.875</v>
      </c>
      <c r="Q218">
        <f>ROUND(IF(VLOOKUP($A218,EnrollData2324,'2324 Jun 24 Enroll'!I$1,FALSE)+VLOOKUP($A218,EnrollData2324,'2324 Jun 24 Enroll'!M$1,FALSE)-VLOOKUP($A218,EnrollData2324,'2324 Jun 24 Enroll'!J$1,FALSE)='District Calculations'!$F$16+'District Calculations'!$F$25-'District Calculations'!$F$17,VLOOKUP($A218,EnrollData2324,'2324 Jun 24 Enroll'!I$1,FALSE)+VLOOKUP($A218,EnrollData2324,'2324 Jun 24 Enroll'!M$1,FALSE)-VLOOKUP($A218,EnrollData2324,'2324 Jun 24 Enroll'!J$1,FALSE),'District Calculations'!$F$16+'District Calculations'!$F$25-'District Calculations'!$F$17)*Apport_217A2425,3)</f>
        <v>4.7130000000000001</v>
      </c>
      <c r="R218">
        <f>ROUND(SUM(L218:Q218)/IF(VLOOKUP($A218,EnrollData2324,'2324 Jun 24 Enroll'!M$1,FALSE)+VLOOKUP($A218,EnrollData2324,'2324 Jun 24 Enroll'!D$1,FALSE)='District Calculations'!$F$25+'District Calculations'!$F$11,VLOOKUP($A218,EnrollData2324,'2324 Jun 24 Enroll'!M$1,FALSE)+VLOOKUP($A218,EnrollData2324,'2324 Jun 24 Enroll'!D$1,FALSE),'District Calculations'!$F$25+'District Calculations'!$F$11),5)</f>
        <v>4.1200000000000004E-3</v>
      </c>
      <c r="S218" s="11">
        <f t="shared" si="41"/>
        <v>1.8734299999999999E-2</v>
      </c>
      <c r="T218">
        <f>ROUND(IF(VLOOKUP($A218,EnrollData2324,'2324 Jun 24 Enroll'!D$1,FALSE)='District Calculations'!$F$11,VLOOKUP($A218,EnrollData2324,'2324 Jun 24 Enroll'!D$1,FALSE),'District Calculations'!$F$11)*S218,3)</f>
        <v>0</v>
      </c>
      <c r="U218">
        <f>ROUND(IF(VLOOKUP($A218,EnrollData2324,'2324 Jun 24 Enroll'!E$1,FALSE)='District Calculations'!$F$12,VLOOKUP($A218,EnrollData2324,'2324 Jun 24 Enroll'!E$1,FALSE),'District Calculations'!$F$12)*S218,3)</f>
        <v>15.183999999999999</v>
      </c>
      <c r="V218">
        <f>ROUND(IF(VLOOKUP($A218,EnrollData2324,'2324 Jun 24 Enroll'!F$1,FALSE)='District Calculations'!$F$13,VLOOKUP($A218,EnrollData2324,'2324 Jun 24 Enroll'!F$1,FALSE),'District Calculations'!$F$13)*Apport_224A2425,3)</f>
        <v>3.7109999999999999</v>
      </c>
      <c r="W218">
        <f>ROUND(IF(VLOOKUP($A218,EnrollData2324,'2324 Jun 24 Enroll'!G$1,FALSE)='District Calculations'!$F$14,VLOOKUP($A218,EnrollData2324,'2324 Jun 24 Enroll'!G$1,FALSE),'District Calculations'!$F$14)*Apport_212A2425,3)</f>
        <v>8.2279999999999998</v>
      </c>
      <c r="X218">
        <f>ROUND(IF(VLOOKUP($A218,EnrollData2324,'2324 Jun 24 Enroll'!H$1,FALSE)='District Calculations'!$F$14,VLOOKUP($A218,EnrollData2324,'2324 Jun 24 Enroll'!H$1,FALSE),'District Calculations'!$F$14)*Apport_215A2425,3)</f>
        <v>8.1180000000000003</v>
      </c>
      <c r="Y218">
        <f>ROUND(IF(VLOOKUP($A218,EnrollData2324,'2324 Jun 24 Enroll'!I$1,FALSE)+VLOOKUP($A218,EnrollData2324,'2324 Jun 24 Enroll'!M$1,FALSE)-VLOOKUP($A218,EnrollData2324,'2324 Jun 24 Enroll'!J$1,FALSE)='District Calculations'!$F$16+'District Calculations'!$F$25-'District Calculations'!$F$17,VLOOKUP($A218,EnrollData2324,'2324 Jun 24 Enroll'!I$1,FALSE)+VLOOKUP($A218,EnrollData2324,'2324 Jun 24 Enroll'!M$1,FALSE)-VLOOKUP($A218,EnrollData2324,'2324 Jun 24 Enroll'!J$1,FALSE),'District Calculations'!$F$16+'District Calculations'!$F$25-'District Calculations'!$F$17)*Apport_218A2425,3)</f>
        <v>20.257999999999999</v>
      </c>
      <c r="Z218">
        <f>ROUND(SUM(T218:Y218)/IF(VLOOKUP($A218,EnrollData2324,'2324 Jun 24 Enroll'!M$1,FALSE)+VLOOKUP($A218,EnrollData2324,'2324 Jun 24 Enroll'!D$1,FALSE)='District Calculations'!$F$25+'District Calculations'!$F$11,VLOOKUP($A218,EnrollData2324,'2324 Jun 24 Enroll'!M$1,FALSE)+VLOOKUP($A218,EnrollData2324,'2324 Jun 24 Enroll'!D$1,FALSE),'District Calculations'!$F$25+'District Calculations'!$F$11),5)</f>
        <v>1.7780000000000001E-2</v>
      </c>
      <c r="AA218" s="6">
        <f>ROUND($J218*CIS_Base_Salary2425*VLOOKUP($A218,EnrollData2324,'2324 Jun 24 Enroll'!AH$1,FALSE),2)</f>
        <v>4774.2</v>
      </c>
      <c r="AB218" s="6">
        <f>ROUND($J218*CIS_Inc_Salary2425*(VLOOKUP($A218,EnrollData2324,'2324 Jun 24 Enroll'!AI$1,FALSE)+VLOOKUP($A218,EnrollData2324,'2324 Jun 24 Enroll'!AJ$1,FALSE)),2)-AA218</f>
        <v>176.61999999999989</v>
      </c>
      <c r="AC218" s="6" cm="1">
        <f t="array" ref="AC218">ROUND($R218*CAS_Base_Salary2425*VLOOKUP($A218,EnrollData2324,'2324 Jun 24 Enroll'!AH$1,FALSE),2)</f>
        <v>516.58000000000004</v>
      </c>
      <c r="AD218" s="6">
        <f>ROUND($R218*CAS_Inc_Salary2425*VLOOKUP($A218,EnrollData2324,'2324 Jun 24 Enroll'!AI$1,FALSE),2)-AC218</f>
        <v>19.110000000000014</v>
      </c>
      <c r="AE218" s="6">
        <f>ROUND($Z218*CLS_Base_Salary2425*VLOOKUP($A218,EnrollData2324,'2324 Jun 24 Enroll'!AH$1,FALSE),2)</f>
        <v>1077.3900000000001</v>
      </c>
      <c r="AF218" s="6">
        <f>ROUND($Z218*CLS_Inc_Salary2425*VLOOKUP($A218,EnrollData2324,'2324 Jun 24 Enroll'!AI$1,FALSE),2)-AE218</f>
        <v>39.8599999999999</v>
      </c>
      <c r="AG218" cm="1">
        <f t="array" ref="AG218">ROUND(($J218+$R218)*Apport_124X2425,2)</f>
        <v>800.45</v>
      </c>
      <c r="AH218" s="69" cm="1">
        <f t="array" ref="AH218">ROUND(($J218+$R218)*Apport_621X2425*Apport_125XC2425,2)-AG218</f>
        <v>73.899999999999977</v>
      </c>
      <c r="AI218" cm="1">
        <f t="array" ref="AI218">ROUND($Z218*Apport_124X2425,2)</f>
        <v>234.7</v>
      </c>
      <c r="AJ218">
        <f t="shared" si="42"/>
        <v>124.71000000000004</v>
      </c>
      <c r="AK218">
        <f t="shared" si="43"/>
        <v>960.28</v>
      </c>
      <c r="AL218">
        <f t="shared" si="44"/>
        <v>34.270000000000003</v>
      </c>
      <c r="AM218">
        <f t="shared" si="45"/>
        <v>233.36</v>
      </c>
      <c r="AN218">
        <f t="shared" si="46"/>
        <v>7.24</v>
      </c>
      <c r="AO218">
        <f>ROUND(($J218*CIS_Inc_Salary2425*(VLOOKUP($A218,EnrollData2324,'2324 Jun 24 Enroll'!AI$1,FALSE)+VLOOKUP($A218,EnrollData2324,'2324 Jun 24 Enroll'!AJ$1,FALSE))/Apport_613Xpd)*Apport_614Xpd,2)</f>
        <v>82.51</v>
      </c>
      <c r="AP218">
        <f t="shared" si="47"/>
        <v>14.45</v>
      </c>
      <c r="AQ218">
        <f t="shared" si="48"/>
        <v>31.48</v>
      </c>
      <c r="AR218" s="6">
        <f>ROUND((VLOOKUP($A218,EnrollData2324,'2324 Jun 24 Enroll'!D$1,FALSE)*Apport_M802425+VLOOKUP($A218,EnrollData2324,'2324 Jun 24 Enroll'!M$1,FALSE)*Apport_M802425+(VLOOKUP($A218,EnrollData2324,'2324 Jun 24 Enroll'!P$1,FALSE)+VLOOKUP($A218,EnrollData2324,'2324 Jun 24 Enroll'!Q$1,FALSE)+VLOOKUP($A218,EnrollData2324,'2324 Jun 24 Enroll'!R$1,FALSE)+VLOOKUP($A218,EnrollData2324,'2324 Jun 24 Enroll'!I$1,FALSE)+VLOOKUP($A218,EnrollData2324,'2324 Jun 24 Enroll'!N$1,FALSE)+VLOOKUP($A218,EnrollData2324,'2324 Jun 24 Enroll'!O$1,FALSE)+VLOOKUP($A218,EnrollData2324,'2324 Jun 24 Enroll'!K$1,FALSE)+VLOOKUP($A218,EnrollData2324,'2324 Jun 24 Enroll'!L$1,FALSE))*Apport_M812425)/(VLOOKUP($A218,EnrollData2324,'2324 Jun 24 Enroll'!M$1,FALSE)+VLOOKUP($A218,EnrollData2324,'2324 Jun 24 Enroll'!D$1,FALSE)),2)</f>
        <v>1737.05</v>
      </c>
      <c r="AS218" s="7">
        <f t="shared" si="49"/>
        <v>10938.16</v>
      </c>
    </row>
    <row r="219" spans="1:45">
      <c r="A219" s="40" t="s">
        <v>757</v>
      </c>
      <c r="B219" s="40" t="s">
        <v>758</v>
      </c>
      <c r="C219" s="11">
        <f>ROUND((IFERROR((1/IF(VLOOKUP($A219,EnrollData2324,28,FALSE)='District Calculations'!$F$10,VLOOKUP($A219,EnrollData2324,28,FALSE),'District Calculations'!$F$10))*(1+Apport_Z315),0))+Apport_201A2425,6)</f>
        <v>7.4580999999999995E-2</v>
      </c>
      <c r="D219">
        <f>ROUND(IF(VLOOKUP($A219,EnrollData2324,'2324 Jun 24 Enroll'!D$1,FALSE)='District Calculations'!$F$11,VLOOKUP($A219,EnrollData2324,'2324 Jun 24 Enroll'!D$1,FALSE),'District Calculations'!$F$11)*C219,3)</f>
        <v>0</v>
      </c>
      <c r="E219">
        <f>ROUND(IF(VLOOKUP($A219,EnrollData2324,'2324 Jun 24 Enroll'!E$1,FALSE)='District Calculations'!$F$12,VLOOKUP($A219,EnrollData2324,'2324 Jun 24 Enroll'!E$1,FALSE),'District Calculations'!$F$12)*C219,3)</f>
        <v>60.447000000000003</v>
      </c>
      <c r="F219">
        <f>ROUND(IF(VLOOKUP($A219,EnrollData2324,'2324 Jun 24 Enroll'!F$1,FALSE)='District Calculations'!$F$13,VLOOKUP($A219,EnrollData2324,'2324 Jun 24 Enroll'!F$1,FALSE),'District Calculations'!$F$13)*Apport_222A2425,3)</f>
        <v>10.337999999999999</v>
      </c>
      <c r="G219">
        <f>ROUND(IF(VLOOKUP($A219,EnrollData2324,'2324 Jun 24 Enroll'!G$1,FALSE)='District Calculations'!$F$14,VLOOKUP($A219,EnrollData2324,'2324 Jun 24 Enroll'!G$1,FALSE),'District Calculations'!$F$14)*Apport_210A2425,3)</f>
        <v>22.92</v>
      </c>
      <c r="H219">
        <f>ROUND(IF(VLOOKUP($A219,EnrollData2324,'2324 Jun 24 Enroll'!H$1,FALSE)='District Calculations'!$F$15,VLOOKUP($A219,EnrollData2324,'2324 Jun 24 Enroll'!H$1,FALSE),'District Calculations'!$F$15)*Apport_213A2425,3)</f>
        <v>23.619</v>
      </c>
      <c r="I219">
        <f>ROUND(IF(VLOOKUP($A219,EnrollData2324,'2324 Jun 24 Enroll'!I$1,FALSE)+VLOOKUP($A219,EnrollData2324,'2324 Jun 24 Enroll'!M$1,FALSE)-VLOOKUP($A219,EnrollData2324,'2324 Jun 24 Enroll'!J$1,FALSE)='District Calculations'!$F$16+'District Calculations'!$F$25-'District Calculations'!$F$17,VLOOKUP($A219,EnrollData2324,'2324 Jun 24 Enroll'!I$1,FALSE)+VLOOKUP($A219,EnrollData2324,'2324 Jun 24 Enroll'!M$1,FALSE)-VLOOKUP($A219,EnrollData2324,'2324 Jun 24 Enroll'!J$1,FALSE),'District Calculations'!$F$16+'District Calculations'!$F$25-'District Calculations'!$F$17)*Apport_216A2425,3)</f>
        <v>59.057000000000002</v>
      </c>
      <c r="J219">
        <f>ROUND(SUM(D219:I219)/(IF(VLOOKUP($A219,EnrollData2324,'2324 Jun 24 Enroll'!M$1,FALSE)='District Calculations'!$F$25,VLOOKUP($A219,EnrollData2324,'2324 Jun 24 Enroll'!M$1,FALSE),'District Calculations'!$F$25)+IF(VLOOKUP($A219,EnrollData2324,'2324 Jun 24 Enroll'!D$1,FALSE)='District Calculations'!$F$11,VLOOKUP($A219,EnrollData2324,'2324 Jun 24 Enroll'!D$1,FALSE),'District Calculations'!$F$11)),5)</f>
        <v>5.6520000000000001E-2</v>
      </c>
      <c r="K219" s="11">
        <f t="shared" si="40"/>
        <v>4.385E-3</v>
      </c>
      <c r="L219">
        <f>ROUND(IF(VLOOKUP($A219,EnrollData2324,'2324 Jun 24 Enroll'!D$1,FALSE)='District Calculations'!$F$11,VLOOKUP($A219,EnrollData2324,'2324 Jun 24 Enroll'!D$1,FALSE),'District Calculations'!$F$11)*K219,3)</f>
        <v>0</v>
      </c>
      <c r="M219">
        <f>ROUND(IF(VLOOKUP($A219,EnrollData2324,'2324 Jun 24 Enroll'!E$1,FALSE)='District Calculations'!$F$12,VLOOKUP($A219,EnrollData2324,'2324 Jun 24 Enroll'!E$1,FALSE),'District Calculations'!$F$12)*K219,3)</f>
        <v>3.5539999999999998</v>
      </c>
      <c r="N219">
        <f>ROUND(IF(VLOOKUP($A219,EnrollData2324,'2324 Jun 24 Enroll'!F$1,FALSE)='District Calculations'!$F$13,VLOOKUP($A219,EnrollData2324,'2324 Jun 24 Enroll'!F$1,FALSE),'District Calculations'!$F$13)*Apport_223A2425,3)</f>
        <v>0.84599999999999997</v>
      </c>
      <c r="O219">
        <f>ROUND(IF(VLOOKUP($A219,EnrollData2324,'2324 Jun 24 Enroll'!G$1,FALSE)='District Calculations'!$F$14,VLOOKUP($A219,EnrollData2324,'2324 Jun 24 Enroll'!G$1,FALSE),'District Calculations'!$F$14)*Apport_211A2425,3)</f>
        <v>1.877</v>
      </c>
      <c r="P219">
        <f>ROUND(IF(VLOOKUP($A219,EnrollData2324,'2324 Jun 24 Enroll'!H$1,FALSE)='District Calculations'!$F$14,VLOOKUP($A219,EnrollData2324,'2324 Jun 24 Enroll'!H$1,FALSE),'District Calculations'!$F$14)*Apport_214A2425,3)</f>
        <v>1.875</v>
      </c>
      <c r="Q219">
        <f>ROUND(IF(VLOOKUP($A219,EnrollData2324,'2324 Jun 24 Enroll'!I$1,FALSE)+VLOOKUP($A219,EnrollData2324,'2324 Jun 24 Enroll'!M$1,FALSE)-VLOOKUP($A219,EnrollData2324,'2324 Jun 24 Enroll'!J$1,FALSE)='District Calculations'!$F$16+'District Calculations'!$F$25-'District Calculations'!$F$17,VLOOKUP($A219,EnrollData2324,'2324 Jun 24 Enroll'!I$1,FALSE)+VLOOKUP($A219,EnrollData2324,'2324 Jun 24 Enroll'!M$1,FALSE)-VLOOKUP($A219,EnrollData2324,'2324 Jun 24 Enroll'!J$1,FALSE),'District Calculations'!$F$16+'District Calculations'!$F$25-'District Calculations'!$F$17)*Apport_217A2425,3)</f>
        <v>4.7130000000000001</v>
      </c>
      <c r="R219">
        <f>ROUND(SUM(L219:Q219)/IF(VLOOKUP($A219,EnrollData2324,'2324 Jun 24 Enroll'!M$1,FALSE)+VLOOKUP($A219,EnrollData2324,'2324 Jun 24 Enroll'!D$1,FALSE)='District Calculations'!$F$25+'District Calculations'!$F$11,VLOOKUP($A219,EnrollData2324,'2324 Jun 24 Enroll'!M$1,FALSE)+VLOOKUP($A219,EnrollData2324,'2324 Jun 24 Enroll'!D$1,FALSE),'District Calculations'!$F$25+'District Calculations'!$F$11),5)</f>
        <v>4.1200000000000004E-3</v>
      </c>
      <c r="S219" s="11">
        <f t="shared" si="41"/>
        <v>1.8734299999999999E-2</v>
      </c>
      <c r="T219">
        <f>ROUND(IF(VLOOKUP($A219,EnrollData2324,'2324 Jun 24 Enroll'!D$1,FALSE)='District Calculations'!$F$11,VLOOKUP($A219,EnrollData2324,'2324 Jun 24 Enroll'!D$1,FALSE),'District Calculations'!$F$11)*S219,3)</f>
        <v>0</v>
      </c>
      <c r="U219">
        <f>ROUND(IF(VLOOKUP($A219,EnrollData2324,'2324 Jun 24 Enroll'!E$1,FALSE)='District Calculations'!$F$12,VLOOKUP($A219,EnrollData2324,'2324 Jun 24 Enroll'!E$1,FALSE),'District Calculations'!$F$12)*S219,3)</f>
        <v>15.183999999999999</v>
      </c>
      <c r="V219">
        <f>ROUND(IF(VLOOKUP($A219,EnrollData2324,'2324 Jun 24 Enroll'!F$1,FALSE)='District Calculations'!$F$13,VLOOKUP($A219,EnrollData2324,'2324 Jun 24 Enroll'!F$1,FALSE),'District Calculations'!$F$13)*Apport_224A2425,3)</f>
        <v>3.7109999999999999</v>
      </c>
      <c r="W219">
        <f>ROUND(IF(VLOOKUP($A219,EnrollData2324,'2324 Jun 24 Enroll'!G$1,FALSE)='District Calculations'!$F$14,VLOOKUP($A219,EnrollData2324,'2324 Jun 24 Enroll'!G$1,FALSE),'District Calculations'!$F$14)*Apport_212A2425,3)</f>
        <v>8.2279999999999998</v>
      </c>
      <c r="X219">
        <f>ROUND(IF(VLOOKUP($A219,EnrollData2324,'2324 Jun 24 Enroll'!H$1,FALSE)='District Calculations'!$F$14,VLOOKUP($A219,EnrollData2324,'2324 Jun 24 Enroll'!H$1,FALSE),'District Calculations'!$F$14)*Apport_215A2425,3)</f>
        <v>8.1180000000000003</v>
      </c>
      <c r="Y219">
        <f>ROUND(IF(VLOOKUP($A219,EnrollData2324,'2324 Jun 24 Enroll'!I$1,FALSE)+VLOOKUP($A219,EnrollData2324,'2324 Jun 24 Enroll'!M$1,FALSE)-VLOOKUP($A219,EnrollData2324,'2324 Jun 24 Enroll'!J$1,FALSE)='District Calculations'!$F$16+'District Calculations'!$F$25-'District Calculations'!$F$17,VLOOKUP($A219,EnrollData2324,'2324 Jun 24 Enroll'!I$1,FALSE)+VLOOKUP($A219,EnrollData2324,'2324 Jun 24 Enroll'!M$1,FALSE)-VLOOKUP($A219,EnrollData2324,'2324 Jun 24 Enroll'!J$1,FALSE),'District Calculations'!$F$16+'District Calculations'!$F$25-'District Calculations'!$F$17)*Apport_218A2425,3)</f>
        <v>20.257999999999999</v>
      </c>
      <c r="Z219">
        <f>ROUND(SUM(T219:Y219)/IF(VLOOKUP($A219,EnrollData2324,'2324 Jun 24 Enroll'!M$1,FALSE)+VLOOKUP($A219,EnrollData2324,'2324 Jun 24 Enroll'!D$1,FALSE)='District Calculations'!$F$25+'District Calculations'!$F$11,VLOOKUP($A219,EnrollData2324,'2324 Jun 24 Enroll'!M$1,FALSE)+VLOOKUP($A219,EnrollData2324,'2324 Jun 24 Enroll'!D$1,FALSE),'District Calculations'!$F$25+'District Calculations'!$F$11),5)</f>
        <v>1.7780000000000001E-2</v>
      </c>
      <c r="AA219" s="6">
        <f>ROUND($J219*CIS_Base_Salary2425*VLOOKUP($A219,EnrollData2324,'2324 Jun 24 Enroll'!AH$1,FALSE),2)</f>
        <v>5029.96</v>
      </c>
      <c r="AB219" s="6">
        <f>ROUND($J219*CIS_Inc_Salary2425*(VLOOKUP($A219,EnrollData2324,'2324 Jun 24 Enroll'!AI$1,FALSE)+VLOOKUP($A219,EnrollData2324,'2324 Jun 24 Enroll'!AJ$1,FALSE)),2)-AA219</f>
        <v>186.07999999999993</v>
      </c>
      <c r="AC219" s="6" cm="1">
        <f t="array" ref="AC219">ROUND($R219*CAS_Base_Salary2425*VLOOKUP($A219,EnrollData2324,'2324 Jun 24 Enroll'!AH$1,FALSE),2)</f>
        <v>544.26</v>
      </c>
      <c r="AD219" s="6">
        <f>ROUND($R219*CAS_Inc_Salary2425*VLOOKUP($A219,EnrollData2324,'2324 Jun 24 Enroll'!AI$1,FALSE),2)-AC219</f>
        <v>20.129999999999995</v>
      </c>
      <c r="AE219" s="6">
        <f>ROUND($Z219*CLS_Base_Salary2425*VLOOKUP($A219,EnrollData2324,'2324 Jun 24 Enroll'!AH$1,FALSE),2)</f>
        <v>1135.0999999999999</v>
      </c>
      <c r="AF219" s="6">
        <f>ROUND($Z219*CLS_Inc_Salary2425*VLOOKUP($A219,EnrollData2324,'2324 Jun 24 Enroll'!AI$1,FALSE),2)-AE219</f>
        <v>42.009999999999991</v>
      </c>
      <c r="AG219" cm="1">
        <f t="array" ref="AG219">ROUND(($J219+$R219)*Apport_124X2425,2)</f>
        <v>800.45</v>
      </c>
      <c r="AH219" s="69" cm="1">
        <f t="array" ref="AH219">ROUND(($J219+$R219)*Apport_621X2425*Apport_125XC2425,2)-AG219</f>
        <v>73.899999999999977</v>
      </c>
      <c r="AI219" cm="1">
        <f t="array" ref="AI219">ROUND($Z219*Apport_124X2425,2)</f>
        <v>234.7</v>
      </c>
      <c r="AJ219">
        <f t="shared" si="42"/>
        <v>124.71000000000004</v>
      </c>
      <c r="AK219">
        <f t="shared" si="43"/>
        <v>1011.72</v>
      </c>
      <c r="AL219">
        <f t="shared" si="44"/>
        <v>36.11</v>
      </c>
      <c r="AM219">
        <f t="shared" si="45"/>
        <v>245.86</v>
      </c>
      <c r="AN219">
        <f t="shared" si="46"/>
        <v>7.63</v>
      </c>
      <c r="AO219">
        <f>ROUND(($J219*CIS_Inc_Salary2425*(VLOOKUP($A219,EnrollData2324,'2324 Jun 24 Enroll'!AI$1,FALSE)+VLOOKUP($A219,EnrollData2324,'2324 Jun 24 Enroll'!AJ$1,FALSE))/Apport_613Xpd)*Apport_614Xpd,2)</f>
        <v>86.93</v>
      </c>
      <c r="AP219">
        <f t="shared" si="47"/>
        <v>15.22</v>
      </c>
      <c r="AQ219">
        <f t="shared" si="48"/>
        <v>31.48</v>
      </c>
      <c r="AR219" s="6">
        <f>ROUND((VLOOKUP($A219,EnrollData2324,'2324 Jun 24 Enroll'!D$1,FALSE)*Apport_M802425+VLOOKUP($A219,EnrollData2324,'2324 Jun 24 Enroll'!M$1,FALSE)*Apport_M802425+(VLOOKUP($A219,EnrollData2324,'2324 Jun 24 Enroll'!P$1,FALSE)+VLOOKUP($A219,EnrollData2324,'2324 Jun 24 Enroll'!Q$1,FALSE)+VLOOKUP($A219,EnrollData2324,'2324 Jun 24 Enroll'!R$1,FALSE)+VLOOKUP($A219,EnrollData2324,'2324 Jun 24 Enroll'!I$1,FALSE)+VLOOKUP($A219,EnrollData2324,'2324 Jun 24 Enroll'!N$1,FALSE)+VLOOKUP($A219,EnrollData2324,'2324 Jun 24 Enroll'!O$1,FALSE)+VLOOKUP($A219,EnrollData2324,'2324 Jun 24 Enroll'!K$1,FALSE)+VLOOKUP($A219,EnrollData2324,'2324 Jun 24 Enroll'!L$1,FALSE))*Apport_M812425)/(VLOOKUP($A219,EnrollData2324,'2324 Jun 24 Enroll'!M$1,FALSE)+VLOOKUP($A219,EnrollData2324,'2324 Jun 24 Enroll'!D$1,FALSE)),2)</f>
        <v>1533.02</v>
      </c>
      <c r="AS219" s="7">
        <f t="shared" si="49"/>
        <v>11159.27</v>
      </c>
    </row>
    <row r="220" spans="1:45">
      <c r="A220" s="40" t="s">
        <v>663</v>
      </c>
      <c r="B220" s="40" t="s">
        <v>664</v>
      </c>
      <c r="C220" s="11">
        <f>ROUND((IFERROR((1/IF(VLOOKUP($A220,EnrollData2324,28,FALSE)='District Calculations'!$F$10,VLOOKUP($A220,EnrollData2324,28,FALSE),'District Calculations'!$F$10))*(1+Apport_Z315),0))+Apport_201A2425,6)</f>
        <v>7.4580999999999995E-2</v>
      </c>
      <c r="D220">
        <f>ROUND(IF(VLOOKUP($A220,EnrollData2324,'2324 Jun 24 Enroll'!D$1,FALSE)='District Calculations'!$F$11,VLOOKUP($A220,EnrollData2324,'2324 Jun 24 Enroll'!D$1,FALSE),'District Calculations'!$F$11)*C220,3)</f>
        <v>0</v>
      </c>
      <c r="E220">
        <f>ROUND(IF(VLOOKUP($A220,EnrollData2324,'2324 Jun 24 Enroll'!E$1,FALSE)='District Calculations'!$F$12,VLOOKUP($A220,EnrollData2324,'2324 Jun 24 Enroll'!E$1,FALSE),'District Calculations'!$F$12)*C220,3)</f>
        <v>60.447000000000003</v>
      </c>
      <c r="F220">
        <f>ROUND(IF(VLOOKUP($A220,EnrollData2324,'2324 Jun 24 Enroll'!F$1,FALSE)='District Calculations'!$F$13,VLOOKUP($A220,EnrollData2324,'2324 Jun 24 Enroll'!F$1,FALSE),'District Calculations'!$F$13)*Apport_222A2425,3)</f>
        <v>10.337999999999999</v>
      </c>
      <c r="G220">
        <f>ROUND(IF(VLOOKUP($A220,EnrollData2324,'2324 Jun 24 Enroll'!G$1,FALSE)='District Calculations'!$F$14,VLOOKUP($A220,EnrollData2324,'2324 Jun 24 Enroll'!G$1,FALSE),'District Calculations'!$F$14)*Apport_210A2425,3)</f>
        <v>22.92</v>
      </c>
      <c r="H220">
        <f>ROUND(IF(VLOOKUP($A220,EnrollData2324,'2324 Jun 24 Enroll'!H$1,FALSE)='District Calculations'!$F$15,VLOOKUP($A220,EnrollData2324,'2324 Jun 24 Enroll'!H$1,FALSE),'District Calculations'!$F$15)*Apport_213A2425,3)</f>
        <v>23.619</v>
      </c>
      <c r="I220">
        <f>ROUND(IF(VLOOKUP($A220,EnrollData2324,'2324 Jun 24 Enroll'!I$1,FALSE)+VLOOKUP($A220,EnrollData2324,'2324 Jun 24 Enroll'!M$1,FALSE)-VLOOKUP($A220,EnrollData2324,'2324 Jun 24 Enroll'!J$1,FALSE)='District Calculations'!$F$16+'District Calculations'!$F$25-'District Calculations'!$F$17,VLOOKUP($A220,EnrollData2324,'2324 Jun 24 Enroll'!I$1,FALSE)+VLOOKUP($A220,EnrollData2324,'2324 Jun 24 Enroll'!M$1,FALSE)-VLOOKUP($A220,EnrollData2324,'2324 Jun 24 Enroll'!J$1,FALSE),'District Calculations'!$F$16+'District Calculations'!$F$25-'District Calculations'!$F$17)*Apport_216A2425,3)</f>
        <v>59.057000000000002</v>
      </c>
      <c r="J220">
        <f>ROUND(SUM(D220:I220)/(IF(VLOOKUP($A220,EnrollData2324,'2324 Jun 24 Enroll'!M$1,FALSE)='District Calculations'!$F$25,VLOOKUP($A220,EnrollData2324,'2324 Jun 24 Enroll'!M$1,FALSE),'District Calculations'!$F$25)+IF(VLOOKUP($A220,EnrollData2324,'2324 Jun 24 Enroll'!D$1,FALSE)='District Calculations'!$F$11,VLOOKUP($A220,EnrollData2324,'2324 Jun 24 Enroll'!D$1,FALSE),'District Calculations'!$F$11)),5)</f>
        <v>5.6520000000000001E-2</v>
      </c>
      <c r="K220" s="11">
        <f t="shared" si="40"/>
        <v>4.385E-3</v>
      </c>
      <c r="L220">
        <f>ROUND(IF(VLOOKUP($A220,EnrollData2324,'2324 Jun 24 Enroll'!D$1,FALSE)='District Calculations'!$F$11,VLOOKUP($A220,EnrollData2324,'2324 Jun 24 Enroll'!D$1,FALSE),'District Calculations'!$F$11)*K220,3)</f>
        <v>0</v>
      </c>
      <c r="M220">
        <f>ROUND(IF(VLOOKUP($A220,EnrollData2324,'2324 Jun 24 Enroll'!E$1,FALSE)='District Calculations'!$F$12,VLOOKUP($A220,EnrollData2324,'2324 Jun 24 Enroll'!E$1,FALSE),'District Calculations'!$F$12)*K220,3)</f>
        <v>3.5539999999999998</v>
      </c>
      <c r="N220">
        <f>ROUND(IF(VLOOKUP($A220,EnrollData2324,'2324 Jun 24 Enroll'!F$1,FALSE)='District Calculations'!$F$13,VLOOKUP($A220,EnrollData2324,'2324 Jun 24 Enroll'!F$1,FALSE),'District Calculations'!$F$13)*Apport_223A2425,3)</f>
        <v>0.84599999999999997</v>
      </c>
      <c r="O220">
        <f>ROUND(IF(VLOOKUP($A220,EnrollData2324,'2324 Jun 24 Enroll'!G$1,FALSE)='District Calculations'!$F$14,VLOOKUP($A220,EnrollData2324,'2324 Jun 24 Enroll'!G$1,FALSE),'District Calculations'!$F$14)*Apport_211A2425,3)</f>
        <v>1.877</v>
      </c>
      <c r="P220">
        <f>ROUND(IF(VLOOKUP($A220,EnrollData2324,'2324 Jun 24 Enroll'!H$1,FALSE)='District Calculations'!$F$14,VLOOKUP($A220,EnrollData2324,'2324 Jun 24 Enroll'!H$1,FALSE),'District Calculations'!$F$14)*Apport_214A2425,3)</f>
        <v>1.875</v>
      </c>
      <c r="Q220">
        <f>ROUND(IF(VLOOKUP($A220,EnrollData2324,'2324 Jun 24 Enroll'!I$1,FALSE)+VLOOKUP($A220,EnrollData2324,'2324 Jun 24 Enroll'!M$1,FALSE)-VLOOKUP($A220,EnrollData2324,'2324 Jun 24 Enroll'!J$1,FALSE)='District Calculations'!$F$16+'District Calculations'!$F$25-'District Calculations'!$F$17,VLOOKUP($A220,EnrollData2324,'2324 Jun 24 Enroll'!I$1,FALSE)+VLOOKUP($A220,EnrollData2324,'2324 Jun 24 Enroll'!M$1,FALSE)-VLOOKUP($A220,EnrollData2324,'2324 Jun 24 Enroll'!J$1,FALSE),'District Calculations'!$F$16+'District Calculations'!$F$25-'District Calculations'!$F$17)*Apport_217A2425,3)</f>
        <v>4.7130000000000001</v>
      </c>
      <c r="R220">
        <f>ROUND(SUM(L220:Q220)/IF(VLOOKUP($A220,EnrollData2324,'2324 Jun 24 Enroll'!M$1,FALSE)+VLOOKUP($A220,EnrollData2324,'2324 Jun 24 Enroll'!D$1,FALSE)='District Calculations'!$F$25+'District Calculations'!$F$11,VLOOKUP($A220,EnrollData2324,'2324 Jun 24 Enroll'!M$1,FALSE)+VLOOKUP($A220,EnrollData2324,'2324 Jun 24 Enroll'!D$1,FALSE),'District Calculations'!$F$25+'District Calculations'!$F$11),5)</f>
        <v>4.1200000000000004E-3</v>
      </c>
      <c r="S220" s="11">
        <f t="shared" si="41"/>
        <v>1.8734299999999999E-2</v>
      </c>
      <c r="T220">
        <f>ROUND(IF(VLOOKUP($A220,EnrollData2324,'2324 Jun 24 Enroll'!D$1,FALSE)='District Calculations'!$F$11,VLOOKUP($A220,EnrollData2324,'2324 Jun 24 Enroll'!D$1,FALSE),'District Calculations'!$F$11)*S220,3)</f>
        <v>0</v>
      </c>
      <c r="U220">
        <f>ROUND(IF(VLOOKUP($A220,EnrollData2324,'2324 Jun 24 Enroll'!E$1,FALSE)='District Calculations'!$F$12,VLOOKUP($A220,EnrollData2324,'2324 Jun 24 Enroll'!E$1,FALSE),'District Calculations'!$F$12)*S220,3)</f>
        <v>15.183999999999999</v>
      </c>
      <c r="V220">
        <f>ROUND(IF(VLOOKUP($A220,EnrollData2324,'2324 Jun 24 Enroll'!F$1,FALSE)='District Calculations'!$F$13,VLOOKUP($A220,EnrollData2324,'2324 Jun 24 Enroll'!F$1,FALSE),'District Calculations'!$F$13)*Apport_224A2425,3)</f>
        <v>3.7109999999999999</v>
      </c>
      <c r="W220">
        <f>ROUND(IF(VLOOKUP($A220,EnrollData2324,'2324 Jun 24 Enroll'!G$1,FALSE)='District Calculations'!$F$14,VLOOKUP($A220,EnrollData2324,'2324 Jun 24 Enroll'!G$1,FALSE),'District Calculations'!$F$14)*Apport_212A2425,3)</f>
        <v>8.2279999999999998</v>
      </c>
      <c r="X220">
        <f>ROUND(IF(VLOOKUP($A220,EnrollData2324,'2324 Jun 24 Enroll'!H$1,FALSE)='District Calculations'!$F$14,VLOOKUP($A220,EnrollData2324,'2324 Jun 24 Enroll'!H$1,FALSE),'District Calculations'!$F$14)*Apport_215A2425,3)</f>
        <v>8.1180000000000003</v>
      </c>
      <c r="Y220">
        <f>ROUND(IF(VLOOKUP($A220,EnrollData2324,'2324 Jun 24 Enroll'!I$1,FALSE)+VLOOKUP($A220,EnrollData2324,'2324 Jun 24 Enroll'!M$1,FALSE)-VLOOKUP($A220,EnrollData2324,'2324 Jun 24 Enroll'!J$1,FALSE)='District Calculations'!$F$16+'District Calculations'!$F$25-'District Calculations'!$F$17,VLOOKUP($A220,EnrollData2324,'2324 Jun 24 Enroll'!I$1,FALSE)+VLOOKUP($A220,EnrollData2324,'2324 Jun 24 Enroll'!M$1,FALSE)-VLOOKUP($A220,EnrollData2324,'2324 Jun 24 Enroll'!J$1,FALSE),'District Calculations'!$F$16+'District Calculations'!$F$25-'District Calculations'!$F$17)*Apport_218A2425,3)</f>
        <v>20.257999999999999</v>
      </c>
      <c r="Z220">
        <f>ROUND(SUM(T220:Y220)/IF(VLOOKUP($A220,EnrollData2324,'2324 Jun 24 Enroll'!M$1,FALSE)+VLOOKUP($A220,EnrollData2324,'2324 Jun 24 Enroll'!D$1,FALSE)='District Calculations'!$F$25+'District Calculations'!$F$11,VLOOKUP($A220,EnrollData2324,'2324 Jun 24 Enroll'!M$1,FALSE)+VLOOKUP($A220,EnrollData2324,'2324 Jun 24 Enroll'!D$1,FALSE),'District Calculations'!$F$25+'District Calculations'!$F$11),5)</f>
        <v>1.7780000000000001E-2</v>
      </c>
      <c r="AA220" s="6">
        <f>ROUND($J220*CIS_Base_Salary2425*VLOOKUP($A220,EnrollData2324,'2324 Jun 24 Enroll'!AH$1,FALSE),2)</f>
        <v>4774.2</v>
      </c>
      <c r="AB220" s="6">
        <f>ROUND($J220*CIS_Inc_Salary2425*(VLOOKUP($A220,EnrollData2324,'2324 Jun 24 Enroll'!AI$1,FALSE)+VLOOKUP($A220,EnrollData2324,'2324 Jun 24 Enroll'!AJ$1,FALSE)),2)-AA220</f>
        <v>176.61999999999989</v>
      </c>
      <c r="AC220" s="6" cm="1">
        <f t="array" ref="AC220">ROUND($R220*CAS_Base_Salary2425*VLOOKUP($A220,EnrollData2324,'2324 Jun 24 Enroll'!AH$1,FALSE),2)</f>
        <v>516.58000000000004</v>
      </c>
      <c r="AD220" s="6">
        <f>ROUND($R220*CAS_Inc_Salary2425*VLOOKUP($A220,EnrollData2324,'2324 Jun 24 Enroll'!AI$1,FALSE),2)-AC220</f>
        <v>19.110000000000014</v>
      </c>
      <c r="AE220" s="6">
        <f>ROUND($Z220*CLS_Base_Salary2425*VLOOKUP($A220,EnrollData2324,'2324 Jun 24 Enroll'!AH$1,FALSE),2)</f>
        <v>1077.3900000000001</v>
      </c>
      <c r="AF220" s="6">
        <f>ROUND($Z220*CLS_Inc_Salary2425*VLOOKUP($A220,EnrollData2324,'2324 Jun 24 Enroll'!AI$1,FALSE),2)-AE220</f>
        <v>39.8599999999999</v>
      </c>
      <c r="AG220" cm="1">
        <f t="array" ref="AG220">ROUND(($J220+$R220)*Apport_124X2425,2)</f>
        <v>800.45</v>
      </c>
      <c r="AH220" s="69" cm="1">
        <f t="array" ref="AH220">ROUND(($J220+$R220)*Apport_621X2425*Apport_125XC2425,2)-AG220</f>
        <v>73.899999999999977</v>
      </c>
      <c r="AI220" cm="1">
        <f t="array" ref="AI220">ROUND($Z220*Apport_124X2425,2)</f>
        <v>234.7</v>
      </c>
      <c r="AJ220">
        <f t="shared" si="42"/>
        <v>124.71000000000004</v>
      </c>
      <c r="AK220">
        <f t="shared" si="43"/>
        <v>960.28</v>
      </c>
      <c r="AL220">
        <f t="shared" si="44"/>
        <v>34.270000000000003</v>
      </c>
      <c r="AM220">
        <f t="shared" si="45"/>
        <v>233.36</v>
      </c>
      <c r="AN220">
        <f t="shared" si="46"/>
        <v>7.24</v>
      </c>
      <c r="AO220">
        <f>ROUND(($J220*CIS_Inc_Salary2425*(VLOOKUP($A220,EnrollData2324,'2324 Jun 24 Enroll'!AI$1,FALSE)+VLOOKUP($A220,EnrollData2324,'2324 Jun 24 Enroll'!AJ$1,FALSE))/Apport_613Xpd)*Apport_614Xpd,2)</f>
        <v>82.51</v>
      </c>
      <c r="AP220">
        <f t="shared" si="47"/>
        <v>14.45</v>
      </c>
      <c r="AQ220">
        <f t="shared" si="48"/>
        <v>31.48</v>
      </c>
      <c r="AR220" s="6">
        <f>ROUND((VLOOKUP($A220,EnrollData2324,'2324 Jun 24 Enroll'!D$1,FALSE)*Apport_M802425+VLOOKUP($A220,EnrollData2324,'2324 Jun 24 Enroll'!M$1,FALSE)*Apport_M802425+(VLOOKUP($A220,EnrollData2324,'2324 Jun 24 Enroll'!P$1,FALSE)+VLOOKUP($A220,EnrollData2324,'2324 Jun 24 Enroll'!Q$1,FALSE)+VLOOKUP($A220,EnrollData2324,'2324 Jun 24 Enroll'!R$1,FALSE)+VLOOKUP($A220,EnrollData2324,'2324 Jun 24 Enroll'!I$1,FALSE)+VLOOKUP($A220,EnrollData2324,'2324 Jun 24 Enroll'!N$1,FALSE)+VLOOKUP($A220,EnrollData2324,'2324 Jun 24 Enroll'!O$1,FALSE)+VLOOKUP($A220,EnrollData2324,'2324 Jun 24 Enroll'!K$1,FALSE)+VLOOKUP($A220,EnrollData2324,'2324 Jun 24 Enroll'!L$1,FALSE))*Apport_M812425)/(VLOOKUP($A220,EnrollData2324,'2324 Jun 24 Enroll'!M$1,FALSE)+VLOOKUP($A220,EnrollData2324,'2324 Jun 24 Enroll'!D$1,FALSE)),2)</f>
        <v>1664.91</v>
      </c>
      <c r="AS220" s="7">
        <f t="shared" si="49"/>
        <v>10866.02</v>
      </c>
    </row>
    <row r="221" spans="1:45">
      <c r="A221" s="40" t="s">
        <v>562</v>
      </c>
      <c r="B221" s="40" t="s">
        <v>563</v>
      </c>
      <c r="C221" s="11">
        <f>ROUND((IFERROR((1/IF(VLOOKUP($A221,EnrollData2324,28,FALSE)='District Calculations'!$F$10,VLOOKUP($A221,EnrollData2324,28,FALSE),'District Calculations'!$F$10))*(1+Apport_Z315),0))+Apport_201A2425,6)</f>
        <v>7.4580999999999995E-2</v>
      </c>
      <c r="D221">
        <f>ROUND(IF(VLOOKUP($A221,EnrollData2324,'2324 Jun 24 Enroll'!D$1,FALSE)='District Calculations'!$F$11,VLOOKUP($A221,EnrollData2324,'2324 Jun 24 Enroll'!D$1,FALSE),'District Calculations'!$F$11)*C221,3)</f>
        <v>0</v>
      </c>
      <c r="E221">
        <f>ROUND(IF(VLOOKUP($A221,EnrollData2324,'2324 Jun 24 Enroll'!E$1,FALSE)='District Calculations'!$F$12,VLOOKUP($A221,EnrollData2324,'2324 Jun 24 Enroll'!E$1,FALSE),'District Calculations'!$F$12)*C221,3)</f>
        <v>60.447000000000003</v>
      </c>
      <c r="F221">
        <f>ROUND(IF(VLOOKUP($A221,EnrollData2324,'2324 Jun 24 Enroll'!F$1,FALSE)='District Calculations'!$F$13,VLOOKUP($A221,EnrollData2324,'2324 Jun 24 Enroll'!F$1,FALSE),'District Calculations'!$F$13)*Apport_222A2425,3)</f>
        <v>10.337999999999999</v>
      </c>
      <c r="G221">
        <f>ROUND(IF(VLOOKUP($A221,EnrollData2324,'2324 Jun 24 Enroll'!G$1,FALSE)='District Calculations'!$F$14,VLOOKUP($A221,EnrollData2324,'2324 Jun 24 Enroll'!G$1,FALSE),'District Calculations'!$F$14)*Apport_210A2425,3)</f>
        <v>22.92</v>
      </c>
      <c r="H221">
        <f>ROUND(IF(VLOOKUP($A221,EnrollData2324,'2324 Jun 24 Enroll'!H$1,FALSE)='District Calculations'!$F$15,VLOOKUP($A221,EnrollData2324,'2324 Jun 24 Enroll'!H$1,FALSE),'District Calculations'!$F$15)*Apport_213A2425,3)</f>
        <v>23.619</v>
      </c>
      <c r="I221">
        <f>ROUND(IF(VLOOKUP($A221,EnrollData2324,'2324 Jun 24 Enroll'!I$1,FALSE)+VLOOKUP($A221,EnrollData2324,'2324 Jun 24 Enroll'!M$1,FALSE)-VLOOKUP($A221,EnrollData2324,'2324 Jun 24 Enroll'!J$1,FALSE)='District Calculations'!$F$16+'District Calculations'!$F$25-'District Calculations'!$F$17,VLOOKUP($A221,EnrollData2324,'2324 Jun 24 Enroll'!I$1,FALSE)+VLOOKUP($A221,EnrollData2324,'2324 Jun 24 Enroll'!M$1,FALSE)-VLOOKUP($A221,EnrollData2324,'2324 Jun 24 Enroll'!J$1,FALSE),'District Calculations'!$F$16+'District Calculations'!$F$25-'District Calculations'!$F$17)*Apport_216A2425,3)</f>
        <v>59.057000000000002</v>
      </c>
      <c r="J221">
        <f>ROUND(SUM(D221:I221)/(IF(VLOOKUP($A221,EnrollData2324,'2324 Jun 24 Enroll'!M$1,FALSE)='District Calculations'!$F$25,VLOOKUP($A221,EnrollData2324,'2324 Jun 24 Enroll'!M$1,FALSE),'District Calculations'!$F$25)+IF(VLOOKUP($A221,EnrollData2324,'2324 Jun 24 Enroll'!D$1,FALSE)='District Calculations'!$F$11,VLOOKUP($A221,EnrollData2324,'2324 Jun 24 Enroll'!D$1,FALSE),'District Calculations'!$F$11)),5)</f>
        <v>5.6520000000000001E-2</v>
      </c>
      <c r="K221" s="11">
        <f t="shared" si="40"/>
        <v>4.385E-3</v>
      </c>
      <c r="L221">
        <f>ROUND(IF(VLOOKUP($A221,EnrollData2324,'2324 Jun 24 Enroll'!D$1,FALSE)='District Calculations'!$F$11,VLOOKUP($A221,EnrollData2324,'2324 Jun 24 Enroll'!D$1,FALSE),'District Calculations'!$F$11)*K221,3)</f>
        <v>0</v>
      </c>
      <c r="M221">
        <f>ROUND(IF(VLOOKUP($A221,EnrollData2324,'2324 Jun 24 Enroll'!E$1,FALSE)='District Calculations'!$F$12,VLOOKUP($A221,EnrollData2324,'2324 Jun 24 Enroll'!E$1,FALSE),'District Calculations'!$F$12)*K221,3)</f>
        <v>3.5539999999999998</v>
      </c>
      <c r="N221">
        <f>ROUND(IF(VLOOKUP($A221,EnrollData2324,'2324 Jun 24 Enroll'!F$1,FALSE)='District Calculations'!$F$13,VLOOKUP($A221,EnrollData2324,'2324 Jun 24 Enroll'!F$1,FALSE),'District Calculations'!$F$13)*Apport_223A2425,3)</f>
        <v>0.84599999999999997</v>
      </c>
      <c r="O221">
        <f>ROUND(IF(VLOOKUP($A221,EnrollData2324,'2324 Jun 24 Enroll'!G$1,FALSE)='District Calculations'!$F$14,VLOOKUP($A221,EnrollData2324,'2324 Jun 24 Enroll'!G$1,FALSE),'District Calculations'!$F$14)*Apport_211A2425,3)</f>
        <v>1.877</v>
      </c>
      <c r="P221">
        <f>ROUND(IF(VLOOKUP($A221,EnrollData2324,'2324 Jun 24 Enroll'!H$1,FALSE)='District Calculations'!$F$14,VLOOKUP($A221,EnrollData2324,'2324 Jun 24 Enroll'!H$1,FALSE),'District Calculations'!$F$14)*Apport_214A2425,3)</f>
        <v>1.875</v>
      </c>
      <c r="Q221">
        <f>ROUND(IF(VLOOKUP($A221,EnrollData2324,'2324 Jun 24 Enroll'!I$1,FALSE)+VLOOKUP($A221,EnrollData2324,'2324 Jun 24 Enroll'!M$1,FALSE)-VLOOKUP($A221,EnrollData2324,'2324 Jun 24 Enroll'!J$1,FALSE)='District Calculations'!$F$16+'District Calculations'!$F$25-'District Calculations'!$F$17,VLOOKUP($A221,EnrollData2324,'2324 Jun 24 Enroll'!I$1,FALSE)+VLOOKUP($A221,EnrollData2324,'2324 Jun 24 Enroll'!M$1,FALSE)-VLOOKUP($A221,EnrollData2324,'2324 Jun 24 Enroll'!J$1,FALSE),'District Calculations'!$F$16+'District Calculations'!$F$25-'District Calculations'!$F$17)*Apport_217A2425,3)</f>
        <v>4.7130000000000001</v>
      </c>
      <c r="R221">
        <f>ROUND(SUM(L221:Q221)/IF(VLOOKUP($A221,EnrollData2324,'2324 Jun 24 Enroll'!M$1,FALSE)+VLOOKUP($A221,EnrollData2324,'2324 Jun 24 Enroll'!D$1,FALSE)='District Calculations'!$F$25+'District Calculations'!$F$11,VLOOKUP($A221,EnrollData2324,'2324 Jun 24 Enroll'!M$1,FALSE)+VLOOKUP($A221,EnrollData2324,'2324 Jun 24 Enroll'!D$1,FALSE),'District Calculations'!$F$25+'District Calculations'!$F$11),5)</f>
        <v>4.1200000000000004E-3</v>
      </c>
      <c r="S221" s="11">
        <f t="shared" si="41"/>
        <v>1.8734299999999999E-2</v>
      </c>
      <c r="T221">
        <f>ROUND(IF(VLOOKUP($A221,EnrollData2324,'2324 Jun 24 Enroll'!D$1,FALSE)='District Calculations'!$F$11,VLOOKUP($A221,EnrollData2324,'2324 Jun 24 Enroll'!D$1,FALSE),'District Calculations'!$F$11)*S221,3)</f>
        <v>0</v>
      </c>
      <c r="U221">
        <f>ROUND(IF(VLOOKUP($A221,EnrollData2324,'2324 Jun 24 Enroll'!E$1,FALSE)='District Calculations'!$F$12,VLOOKUP($A221,EnrollData2324,'2324 Jun 24 Enroll'!E$1,FALSE),'District Calculations'!$F$12)*S221,3)</f>
        <v>15.183999999999999</v>
      </c>
      <c r="V221">
        <f>ROUND(IF(VLOOKUP($A221,EnrollData2324,'2324 Jun 24 Enroll'!F$1,FALSE)='District Calculations'!$F$13,VLOOKUP($A221,EnrollData2324,'2324 Jun 24 Enroll'!F$1,FALSE),'District Calculations'!$F$13)*Apport_224A2425,3)</f>
        <v>3.7109999999999999</v>
      </c>
      <c r="W221">
        <f>ROUND(IF(VLOOKUP($A221,EnrollData2324,'2324 Jun 24 Enroll'!G$1,FALSE)='District Calculations'!$F$14,VLOOKUP($A221,EnrollData2324,'2324 Jun 24 Enroll'!G$1,FALSE),'District Calculations'!$F$14)*Apport_212A2425,3)</f>
        <v>8.2279999999999998</v>
      </c>
      <c r="X221">
        <f>ROUND(IF(VLOOKUP($A221,EnrollData2324,'2324 Jun 24 Enroll'!H$1,FALSE)='District Calculations'!$F$14,VLOOKUP($A221,EnrollData2324,'2324 Jun 24 Enroll'!H$1,FALSE),'District Calculations'!$F$14)*Apport_215A2425,3)</f>
        <v>8.1180000000000003</v>
      </c>
      <c r="Y221">
        <f>ROUND(IF(VLOOKUP($A221,EnrollData2324,'2324 Jun 24 Enroll'!I$1,FALSE)+VLOOKUP($A221,EnrollData2324,'2324 Jun 24 Enroll'!M$1,FALSE)-VLOOKUP($A221,EnrollData2324,'2324 Jun 24 Enroll'!J$1,FALSE)='District Calculations'!$F$16+'District Calculations'!$F$25-'District Calculations'!$F$17,VLOOKUP($A221,EnrollData2324,'2324 Jun 24 Enroll'!I$1,FALSE)+VLOOKUP($A221,EnrollData2324,'2324 Jun 24 Enroll'!M$1,FALSE)-VLOOKUP($A221,EnrollData2324,'2324 Jun 24 Enroll'!J$1,FALSE),'District Calculations'!$F$16+'District Calculations'!$F$25-'District Calculations'!$F$17)*Apport_218A2425,3)</f>
        <v>20.257999999999999</v>
      </c>
      <c r="Z221">
        <f>ROUND(SUM(T221:Y221)/IF(VLOOKUP($A221,EnrollData2324,'2324 Jun 24 Enroll'!M$1,FALSE)+VLOOKUP($A221,EnrollData2324,'2324 Jun 24 Enroll'!D$1,FALSE)='District Calculations'!$F$25+'District Calculations'!$F$11,VLOOKUP($A221,EnrollData2324,'2324 Jun 24 Enroll'!M$1,FALSE)+VLOOKUP($A221,EnrollData2324,'2324 Jun 24 Enroll'!D$1,FALSE),'District Calculations'!$F$25+'District Calculations'!$F$11),5)</f>
        <v>1.7780000000000001E-2</v>
      </c>
      <c r="AA221" s="6">
        <f>ROUND($J221*CIS_Base_Salary2425*VLOOKUP($A221,EnrollData2324,'2324 Jun 24 Enroll'!AH$1,FALSE),2)</f>
        <v>4774.2</v>
      </c>
      <c r="AB221" s="6">
        <f>ROUND($J221*CIS_Inc_Salary2425*(VLOOKUP($A221,EnrollData2324,'2324 Jun 24 Enroll'!AI$1,FALSE)+VLOOKUP($A221,EnrollData2324,'2324 Jun 24 Enroll'!AJ$1,FALSE)),2)-AA221</f>
        <v>176.61999999999989</v>
      </c>
      <c r="AC221" s="6" cm="1">
        <f t="array" ref="AC221">ROUND($R221*CAS_Base_Salary2425*VLOOKUP($A221,EnrollData2324,'2324 Jun 24 Enroll'!AH$1,FALSE),2)</f>
        <v>516.58000000000004</v>
      </c>
      <c r="AD221" s="6">
        <f>ROUND($R221*CAS_Inc_Salary2425*VLOOKUP($A221,EnrollData2324,'2324 Jun 24 Enroll'!AI$1,FALSE),2)-AC221</f>
        <v>19.110000000000014</v>
      </c>
      <c r="AE221" s="6">
        <f>ROUND($Z221*CLS_Base_Salary2425*VLOOKUP($A221,EnrollData2324,'2324 Jun 24 Enroll'!AH$1,FALSE),2)</f>
        <v>1077.3900000000001</v>
      </c>
      <c r="AF221" s="6">
        <f>ROUND($Z221*CLS_Inc_Salary2425*VLOOKUP($A221,EnrollData2324,'2324 Jun 24 Enroll'!AI$1,FALSE),2)-AE221</f>
        <v>39.8599999999999</v>
      </c>
      <c r="AG221" cm="1">
        <f t="array" ref="AG221">ROUND(($J221+$R221)*Apport_124X2425,2)</f>
        <v>800.45</v>
      </c>
      <c r="AH221" s="69" cm="1">
        <f t="array" ref="AH221">ROUND(($J221+$R221)*Apport_621X2425*Apport_125XC2425,2)-AG221</f>
        <v>73.899999999999977</v>
      </c>
      <c r="AI221" cm="1">
        <f t="array" ref="AI221">ROUND($Z221*Apport_124X2425,2)</f>
        <v>234.7</v>
      </c>
      <c r="AJ221">
        <f t="shared" si="42"/>
        <v>124.71000000000004</v>
      </c>
      <c r="AK221">
        <f t="shared" si="43"/>
        <v>960.28</v>
      </c>
      <c r="AL221">
        <f t="shared" si="44"/>
        <v>34.270000000000003</v>
      </c>
      <c r="AM221">
        <f t="shared" si="45"/>
        <v>233.36</v>
      </c>
      <c r="AN221">
        <f t="shared" si="46"/>
        <v>7.24</v>
      </c>
      <c r="AO221">
        <f>ROUND(($J221*CIS_Inc_Salary2425*(VLOOKUP($A221,EnrollData2324,'2324 Jun 24 Enroll'!AI$1,FALSE)+VLOOKUP($A221,EnrollData2324,'2324 Jun 24 Enroll'!AJ$1,FALSE))/Apport_613Xpd)*Apport_614Xpd,2)</f>
        <v>82.51</v>
      </c>
      <c r="AP221">
        <f t="shared" si="47"/>
        <v>14.45</v>
      </c>
      <c r="AQ221">
        <f t="shared" si="48"/>
        <v>31.48</v>
      </c>
      <c r="AR221" s="6">
        <f>ROUND((VLOOKUP($A221,EnrollData2324,'2324 Jun 24 Enroll'!D$1,FALSE)*Apport_M802425+VLOOKUP($A221,EnrollData2324,'2324 Jun 24 Enroll'!M$1,FALSE)*Apport_M802425+(VLOOKUP($A221,EnrollData2324,'2324 Jun 24 Enroll'!P$1,FALSE)+VLOOKUP($A221,EnrollData2324,'2324 Jun 24 Enroll'!Q$1,FALSE)+VLOOKUP($A221,EnrollData2324,'2324 Jun 24 Enroll'!R$1,FALSE)+VLOOKUP($A221,EnrollData2324,'2324 Jun 24 Enroll'!I$1,FALSE)+VLOOKUP($A221,EnrollData2324,'2324 Jun 24 Enroll'!N$1,FALSE)+VLOOKUP($A221,EnrollData2324,'2324 Jun 24 Enroll'!O$1,FALSE)+VLOOKUP($A221,EnrollData2324,'2324 Jun 24 Enroll'!K$1,FALSE)+VLOOKUP($A221,EnrollData2324,'2324 Jun 24 Enroll'!L$1,FALSE))*Apport_M812425)/(VLOOKUP($A221,EnrollData2324,'2324 Jun 24 Enroll'!M$1,FALSE)+VLOOKUP($A221,EnrollData2324,'2324 Jun 24 Enroll'!D$1,FALSE)),2)</f>
        <v>1611.47</v>
      </c>
      <c r="AS221" s="7">
        <f t="shared" si="49"/>
        <v>10812.58</v>
      </c>
    </row>
    <row r="222" spans="1:45">
      <c r="A222" s="40" t="s">
        <v>743</v>
      </c>
      <c r="B222" s="40" t="s">
        <v>744</v>
      </c>
      <c r="C222" s="11">
        <f>ROUND((IFERROR((1/IF(VLOOKUP($A222,EnrollData2324,28,FALSE)='District Calculations'!$F$10,VLOOKUP($A222,EnrollData2324,28,FALSE),'District Calculations'!$F$10))*(1+Apport_Z315),0))+Apport_201A2425,6)</f>
        <v>7.4580999999999995E-2</v>
      </c>
      <c r="D222">
        <f>ROUND(IF(VLOOKUP($A222,EnrollData2324,'2324 Jun 24 Enroll'!D$1,FALSE)='District Calculations'!$F$11,VLOOKUP($A222,EnrollData2324,'2324 Jun 24 Enroll'!D$1,FALSE),'District Calculations'!$F$11)*C222,3)</f>
        <v>0</v>
      </c>
      <c r="E222">
        <f>ROUND(IF(VLOOKUP($A222,EnrollData2324,'2324 Jun 24 Enroll'!E$1,FALSE)='District Calculations'!$F$12,VLOOKUP($A222,EnrollData2324,'2324 Jun 24 Enroll'!E$1,FALSE),'District Calculations'!$F$12)*C222,3)</f>
        <v>60.447000000000003</v>
      </c>
      <c r="F222">
        <f>ROUND(IF(VLOOKUP($A222,EnrollData2324,'2324 Jun 24 Enroll'!F$1,FALSE)='District Calculations'!$F$13,VLOOKUP($A222,EnrollData2324,'2324 Jun 24 Enroll'!F$1,FALSE),'District Calculations'!$F$13)*Apport_222A2425,3)</f>
        <v>10.337999999999999</v>
      </c>
      <c r="G222">
        <f>ROUND(IF(VLOOKUP($A222,EnrollData2324,'2324 Jun 24 Enroll'!G$1,FALSE)='District Calculations'!$F$14,VLOOKUP($A222,EnrollData2324,'2324 Jun 24 Enroll'!G$1,FALSE),'District Calculations'!$F$14)*Apport_210A2425,3)</f>
        <v>22.92</v>
      </c>
      <c r="H222">
        <f>ROUND(IF(VLOOKUP($A222,EnrollData2324,'2324 Jun 24 Enroll'!H$1,FALSE)='District Calculations'!$F$15,VLOOKUP($A222,EnrollData2324,'2324 Jun 24 Enroll'!H$1,FALSE),'District Calculations'!$F$15)*Apport_213A2425,3)</f>
        <v>23.619</v>
      </c>
      <c r="I222">
        <f>ROUND(IF(VLOOKUP($A222,EnrollData2324,'2324 Jun 24 Enroll'!I$1,FALSE)+VLOOKUP($A222,EnrollData2324,'2324 Jun 24 Enroll'!M$1,FALSE)-VLOOKUP($A222,EnrollData2324,'2324 Jun 24 Enroll'!J$1,FALSE)='District Calculations'!$F$16+'District Calculations'!$F$25-'District Calculations'!$F$17,VLOOKUP($A222,EnrollData2324,'2324 Jun 24 Enroll'!I$1,FALSE)+VLOOKUP($A222,EnrollData2324,'2324 Jun 24 Enroll'!M$1,FALSE)-VLOOKUP($A222,EnrollData2324,'2324 Jun 24 Enroll'!J$1,FALSE),'District Calculations'!$F$16+'District Calculations'!$F$25-'District Calculations'!$F$17)*Apport_216A2425,3)</f>
        <v>59.057000000000002</v>
      </c>
      <c r="J222">
        <f>ROUND(SUM(D222:I222)/(IF(VLOOKUP($A222,EnrollData2324,'2324 Jun 24 Enroll'!M$1,FALSE)='District Calculations'!$F$25,VLOOKUP($A222,EnrollData2324,'2324 Jun 24 Enroll'!M$1,FALSE),'District Calculations'!$F$25)+IF(VLOOKUP($A222,EnrollData2324,'2324 Jun 24 Enroll'!D$1,FALSE)='District Calculations'!$F$11,VLOOKUP($A222,EnrollData2324,'2324 Jun 24 Enroll'!D$1,FALSE),'District Calculations'!$F$11)),5)</f>
        <v>5.6520000000000001E-2</v>
      </c>
      <c r="K222" s="11">
        <f t="shared" si="40"/>
        <v>4.385E-3</v>
      </c>
      <c r="L222">
        <f>ROUND(IF(VLOOKUP($A222,EnrollData2324,'2324 Jun 24 Enroll'!D$1,FALSE)='District Calculations'!$F$11,VLOOKUP($A222,EnrollData2324,'2324 Jun 24 Enroll'!D$1,FALSE),'District Calculations'!$F$11)*K222,3)</f>
        <v>0</v>
      </c>
      <c r="M222">
        <f>ROUND(IF(VLOOKUP($A222,EnrollData2324,'2324 Jun 24 Enroll'!E$1,FALSE)='District Calculations'!$F$12,VLOOKUP($A222,EnrollData2324,'2324 Jun 24 Enroll'!E$1,FALSE),'District Calculations'!$F$12)*K222,3)</f>
        <v>3.5539999999999998</v>
      </c>
      <c r="N222">
        <f>ROUND(IF(VLOOKUP($A222,EnrollData2324,'2324 Jun 24 Enroll'!F$1,FALSE)='District Calculations'!$F$13,VLOOKUP($A222,EnrollData2324,'2324 Jun 24 Enroll'!F$1,FALSE),'District Calculations'!$F$13)*Apport_223A2425,3)</f>
        <v>0.84599999999999997</v>
      </c>
      <c r="O222">
        <f>ROUND(IF(VLOOKUP($A222,EnrollData2324,'2324 Jun 24 Enroll'!G$1,FALSE)='District Calculations'!$F$14,VLOOKUP($A222,EnrollData2324,'2324 Jun 24 Enroll'!G$1,FALSE),'District Calculations'!$F$14)*Apport_211A2425,3)</f>
        <v>1.877</v>
      </c>
      <c r="P222">
        <f>ROUND(IF(VLOOKUP($A222,EnrollData2324,'2324 Jun 24 Enroll'!H$1,FALSE)='District Calculations'!$F$14,VLOOKUP($A222,EnrollData2324,'2324 Jun 24 Enroll'!H$1,FALSE),'District Calculations'!$F$14)*Apport_214A2425,3)</f>
        <v>1.875</v>
      </c>
      <c r="Q222">
        <f>ROUND(IF(VLOOKUP($A222,EnrollData2324,'2324 Jun 24 Enroll'!I$1,FALSE)+VLOOKUP($A222,EnrollData2324,'2324 Jun 24 Enroll'!M$1,FALSE)-VLOOKUP($A222,EnrollData2324,'2324 Jun 24 Enroll'!J$1,FALSE)='District Calculations'!$F$16+'District Calculations'!$F$25-'District Calculations'!$F$17,VLOOKUP($A222,EnrollData2324,'2324 Jun 24 Enroll'!I$1,FALSE)+VLOOKUP($A222,EnrollData2324,'2324 Jun 24 Enroll'!M$1,FALSE)-VLOOKUP($A222,EnrollData2324,'2324 Jun 24 Enroll'!J$1,FALSE),'District Calculations'!$F$16+'District Calculations'!$F$25-'District Calculations'!$F$17)*Apport_217A2425,3)</f>
        <v>4.7130000000000001</v>
      </c>
      <c r="R222">
        <f>ROUND(SUM(L222:Q222)/IF(VLOOKUP($A222,EnrollData2324,'2324 Jun 24 Enroll'!M$1,FALSE)+VLOOKUP($A222,EnrollData2324,'2324 Jun 24 Enroll'!D$1,FALSE)='District Calculations'!$F$25+'District Calculations'!$F$11,VLOOKUP($A222,EnrollData2324,'2324 Jun 24 Enroll'!M$1,FALSE)+VLOOKUP($A222,EnrollData2324,'2324 Jun 24 Enroll'!D$1,FALSE),'District Calculations'!$F$25+'District Calculations'!$F$11),5)</f>
        <v>4.1200000000000004E-3</v>
      </c>
      <c r="S222" s="11">
        <f t="shared" si="41"/>
        <v>1.8734299999999999E-2</v>
      </c>
      <c r="T222">
        <f>ROUND(IF(VLOOKUP($A222,EnrollData2324,'2324 Jun 24 Enroll'!D$1,FALSE)='District Calculations'!$F$11,VLOOKUP($A222,EnrollData2324,'2324 Jun 24 Enroll'!D$1,FALSE),'District Calculations'!$F$11)*S222,3)</f>
        <v>0</v>
      </c>
      <c r="U222">
        <f>ROUND(IF(VLOOKUP($A222,EnrollData2324,'2324 Jun 24 Enroll'!E$1,FALSE)='District Calculations'!$F$12,VLOOKUP($A222,EnrollData2324,'2324 Jun 24 Enroll'!E$1,FALSE),'District Calculations'!$F$12)*S222,3)</f>
        <v>15.183999999999999</v>
      </c>
      <c r="V222">
        <f>ROUND(IF(VLOOKUP($A222,EnrollData2324,'2324 Jun 24 Enroll'!F$1,FALSE)='District Calculations'!$F$13,VLOOKUP($A222,EnrollData2324,'2324 Jun 24 Enroll'!F$1,FALSE),'District Calculations'!$F$13)*Apport_224A2425,3)</f>
        <v>3.7109999999999999</v>
      </c>
      <c r="W222">
        <f>ROUND(IF(VLOOKUP($A222,EnrollData2324,'2324 Jun 24 Enroll'!G$1,FALSE)='District Calculations'!$F$14,VLOOKUP($A222,EnrollData2324,'2324 Jun 24 Enroll'!G$1,FALSE),'District Calculations'!$F$14)*Apport_212A2425,3)</f>
        <v>8.2279999999999998</v>
      </c>
      <c r="X222">
        <f>ROUND(IF(VLOOKUP($A222,EnrollData2324,'2324 Jun 24 Enroll'!H$1,FALSE)='District Calculations'!$F$14,VLOOKUP($A222,EnrollData2324,'2324 Jun 24 Enroll'!H$1,FALSE),'District Calculations'!$F$14)*Apport_215A2425,3)</f>
        <v>8.1180000000000003</v>
      </c>
      <c r="Y222">
        <f>ROUND(IF(VLOOKUP($A222,EnrollData2324,'2324 Jun 24 Enroll'!I$1,FALSE)+VLOOKUP($A222,EnrollData2324,'2324 Jun 24 Enroll'!M$1,FALSE)-VLOOKUP($A222,EnrollData2324,'2324 Jun 24 Enroll'!J$1,FALSE)='District Calculations'!$F$16+'District Calculations'!$F$25-'District Calculations'!$F$17,VLOOKUP($A222,EnrollData2324,'2324 Jun 24 Enroll'!I$1,FALSE)+VLOOKUP($A222,EnrollData2324,'2324 Jun 24 Enroll'!M$1,FALSE)-VLOOKUP($A222,EnrollData2324,'2324 Jun 24 Enroll'!J$1,FALSE),'District Calculations'!$F$16+'District Calculations'!$F$25-'District Calculations'!$F$17)*Apport_218A2425,3)</f>
        <v>20.257999999999999</v>
      </c>
      <c r="Z222">
        <f>ROUND(SUM(T222:Y222)/IF(VLOOKUP($A222,EnrollData2324,'2324 Jun 24 Enroll'!M$1,FALSE)+VLOOKUP($A222,EnrollData2324,'2324 Jun 24 Enroll'!D$1,FALSE)='District Calculations'!$F$25+'District Calculations'!$F$11,VLOOKUP($A222,EnrollData2324,'2324 Jun 24 Enroll'!M$1,FALSE)+VLOOKUP($A222,EnrollData2324,'2324 Jun 24 Enroll'!D$1,FALSE),'District Calculations'!$F$25+'District Calculations'!$F$11),5)</f>
        <v>1.7780000000000001E-2</v>
      </c>
      <c r="AA222" s="6">
        <f>ROUND($J222*CIS_Base_Salary2425*VLOOKUP($A222,EnrollData2324,'2324 Jun 24 Enroll'!AH$1,FALSE),2)</f>
        <v>4774.2</v>
      </c>
      <c r="AB222" s="6">
        <f>ROUND($J222*CIS_Inc_Salary2425*(VLOOKUP($A222,EnrollData2324,'2324 Jun 24 Enroll'!AI$1,FALSE)+VLOOKUP($A222,EnrollData2324,'2324 Jun 24 Enroll'!AJ$1,FALSE)),2)-AA222</f>
        <v>176.61999999999989</v>
      </c>
      <c r="AC222" s="6" cm="1">
        <f t="array" ref="AC222">ROUND($R222*CAS_Base_Salary2425*VLOOKUP($A222,EnrollData2324,'2324 Jun 24 Enroll'!AH$1,FALSE),2)</f>
        <v>516.58000000000004</v>
      </c>
      <c r="AD222" s="6">
        <f>ROUND($R222*CAS_Inc_Salary2425*VLOOKUP($A222,EnrollData2324,'2324 Jun 24 Enroll'!AI$1,FALSE),2)-AC222</f>
        <v>19.110000000000014</v>
      </c>
      <c r="AE222" s="6">
        <f>ROUND($Z222*CLS_Base_Salary2425*VLOOKUP($A222,EnrollData2324,'2324 Jun 24 Enroll'!AH$1,FALSE),2)</f>
        <v>1077.3900000000001</v>
      </c>
      <c r="AF222" s="6">
        <f>ROUND($Z222*CLS_Inc_Salary2425*VLOOKUP($A222,EnrollData2324,'2324 Jun 24 Enroll'!AI$1,FALSE),2)-AE222</f>
        <v>39.8599999999999</v>
      </c>
      <c r="AG222" cm="1">
        <f t="array" ref="AG222">ROUND(($J222+$R222)*Apport_124X2425,2)</f>
        <v>800.45</v>
      </c>
      <c r="AH222" s="69" cm="1">
        <f t="array" ref="AH222">ROUND(($J222+$R222)*Apport_621X2425*Apport_125XC2425,2)-AG222</f>
        <v>73.899999999999977</v>
      </c>
      <c r="AI222" cm="1">
        <f t="array" ref="AI222">ROUND($Z222*Apport_124X2425,2)</f>
        <v>234.7</v>
      </c>
      <c r="AJ222">
        <f t="shared" si="42"/>
        <v>124.71000000000004</v>
      </c>
      <c r="AK222">
        <f t="shared" si="43"/>
        <v>960.28</v>
      </c>
      <c r="AL222">
        <f t="shared" si="44"/>
        <v>34.270000000000003</v>
      </c>
      <c r="AM222">
        <f t="shared" si="45"/>
        <v>233.36</v>
      </c>
      <c r="AN222">
        <f t="shared" si="46"/>
        <v>7.24</v>
      </c>
      <c r="AO222">
        <f>ROUND(($J222*CIS_Inc_Salary2425*(VLOOKUP($A222,EnrollData2324,'2324 Jun 24 Enroll'!AI$1,FALSE)+VLOOKUP($A222,EnrollData2324,'2324 Jun 24 Enroll'!AJ$1,FALSE))/Apport_613Xpd)*Apport_614Xpd,2)</f>
        <v>82.51</v>
      </c>
      <c r="AP222">
        <f t="shared" si="47"/>
        <v>14.45</v>
      </c>
      <c r="AQ222">
        <f t="shared" si="48"/>
        <v>31.48</v>
      </c>
      <c r="AR222" s="6">
        <f>ROUND((VLOOKUP($A222,EnrollData2324,'2324 Jun 24 Enroll'!D$1,FALSE)*Apport_M802425+VLOOKUP($A222,EnrollData2324,'2324 Jun 24 Enroll'!M$1,FALSE)*Apport_M802425+(VLOOKUP($A222,EnrollData2324,'2324 Jun 24 Enroll'!P$1,FALSE)+VLOOKUP($A222,EnrollData2324,'2324 Jun 24 Enroll'!Q$1,FALSE)+VLOOKUP($A222,EnrollData2324,'2324 Jun 24 Enroll'!R$1,FALSE)+VLOOKUP($A222,EnrollData2324,'2324 Jun 24 Enroll'!I$1,FALSE)+VLOOKUP($A222,EnrollData2324,'2324 Jun 24 Enroll'!N$1,FALSE)+VLOOKUP($A222,EnrollData2324,'2324 Jun 24 Enroll'!O$1,FALSE)+VLOOKUP($A222,EnrollData2324,'2324 Jun 24 Enroll'!K$1,FALSE)+VLOOKUP($A222,EnrollData2324,'2324 Jun 24 Enroll'!L$1,FALSE))*Apport_M812425)/(VLOOKUP($A222,EnrollData2324,'2324 Jun 24 Enroll'!M$1,FALSE)+VLOOKUP($A222,EnrollData2324,'2324 Jun 24 Enroll'!D$1,FALSE)),2)</f>
        <v>1609.81</v>
      </c>
      <c r="AS222" s="7">
        <f t="shared" si="49"/>
        <v>10810.92</v>
      </c>
    </row>
    <row r="223" spans="1:45">
      <c r="A223" s="40" t="s">
        <v>402</v>
      </c>
      <c r="B223" s="40" t="s">
        <v>403</v>
      </c>
      <c r="C223" s="11">
        <f>ROUND((IFERROR((1/IF(VLOOKUP($A223,EnrollData2324,28,FALSE)='District Calculations'!$F$10,VLOOKUP($A223,EnrollData2324,28,FALSE),'District Calculations'!$F$10))*(1+Apport_Z315),0))+Apport_201A2425,6)</f>
        <v>7.4580999999999995E-2</v>
      </c>
      <c r="D223">
        <f>ROUND(IF(VLOOKUP($A223,EnrollData2324,'2324 Jun 24 Enroll'!D$1,FALSE)='District Calculations'!$F$11,VLOOKUP($A223,EnrollData2324,'2324 Jun 24 Enroll'!D$1,FALSE),'District Calculations'!$F$11)*C223,3)</f>
        <v>0</v>
      </c>
      <c r="E223">
        <f>ROUND(IF(VLOOKUP($A223,EnrollData2324,'2324 Jun 24 Enroll'!E$1,FALSE)='District Calculations'!$F$12,VLOOKUP($A223,EnrollData2324,'2324 Jun 24 Enroll'!E$1,FALSE),'District Calculations'!$F$12)*C223,3)</f>
        <v>60.447000000000003</v>
      </c>
      <c r="F223">
        <f>ROUND(IF(VLOOKUP($A223,EnrollData2324,'2324 Jun 24 Enroll'!F$1,FALSE)='District Calculations'!$F$13,VLOOKUP($A223,EnrollData2324,'2324 Jun 24 Enroll'!F$1,FALSE),'District Calculations'!$F$13)*Apport_222A2425,3)</f>
        <v>10.337999999999999</v>
      </c>
      <c r="G223">
        <f>ROUND(IF(VLOOKUP($A223,EnrollData2324,'2324 Jun 24 Enroll'!G$1,FALSE)='District Calculations'!$F$14,VLOOKUP($A223,EnrollData2324,'2324 Jun 24 Enroll'!G$1,FALSE),'District Calculations'!$F$14)*Apport_210A2425,3)</f>
        <v>22.92</v>
      </c>
      <c r="H223">
        <f>ROUND(IF(VLOOKUP($A223,EnrollData2324,'2324 Jun 24 Enroll'!H$1,FALSE)='District Calculations'!$F$15,VLOOKUP($A223,EnrollData2324,'2324 Jun 24 Enroll'!H$1,FALSE),'District Calculations'!$F$15)*Apport_213A2425,3)</f>
        <v>23.619</v>
      </c>
      <c r="I223">
        <f>ROUND(IF(VLOOKUP($A223,EnrollData2324,'2324 Jun 24 Enroll'!I$1,FALSE)+VLOOKUP($A223,EnrollData2324,'2324 Jun 24 Enroll'!M$1,FALSE)-VLOOKUP($A223,EnrollData2324,'2324 Jun 24 Enroll'!J$1,FALSE)='District Calculations'!$F$16+'District Calculations'!$F$25-'District Calculations'!$F$17,VLOOKUP($A223,EnrollData2324,'2324 Jun 24 Enroll'!I$1,FALSE)+VLOOKUP($A223,EnrollData2324,'2324 Jun 24 Enroll'!M$1,FALSE)-VLOOKUP($A223,EnrollData2324,'2324 Jun 24 Enroll'!J$1,FALSE),'District Calculations'!$F$16+'District Calculations'!$F$25-'District Calculations'!$F$17)*Apport_216A2425,3)</f>
        <v>59.057000000000002</v>
      </c>
      <c r="J223">
        <f>ROUND(SUM(D223:I223)/(IF(VLOOKUP($A223,EnrollData2324,'2324 Jun 24 Enroll'!M$1,FALSE)='District Calculations'!$F$25,VLOOKUP($A223,EnrollData2324,'2324 Jun 24 Enroll'!M$1,FALSE),'District Calculations'!$F$25)+IF(VLOOKUP($A223,EnrollData2324,'2324 Jun 24 Enroll'!D$1,FALSE)='District Calculations'!$F$11,VLOOKUP($A223,EnrollData2324,'2324 Jun 24 Enroll'!D$1,FALSE),'District Calculations'!$F$11)),5)</f>
        <v>5.6520000000000001E-2</v>
      </c>
      <c r="K223" s="11">
        <f t="shared" si="40"/>
        <v>4.385E-3</v>
      </c>
      <c r="L223">
        <f>ROUND(IF(VLOOKUP($A223,EnrollData2324,'2324 Jun 24 Enroll'!D$1,FALSE)='District Calculations'!$F$11,VLOOKUP($A223,EnrollData2324,'2324 Jun 24 Enroll'!D$1,FALSE),'District Calculations'!$F$11)*K223,3)</f>
        <v>0</v>
      </c>
      <c r="M223">
        <f>ROUND(IF(VLOOKUP($A223,EnrollData2324,'2324 Jun 24 Enroll'!E$1,FALSE)='District Calculations'!$F$12,VLOOKUP($A223,EnrollData2324,'2324 Jun 24 Enroll'!E$1,FALSE),'District Calculations'!$F$12)*K223,3)</f>
        <v>3.5539999999999998</v>
      </c>
      <c r="N223">
        <f>ROUND(IF(VLOOKUP($A223,EnrollData2324,'2324 Jun 24 Enroll'!F$1,FALSE)='District Calculations'!$F$13,VLOOKUP($A223,EnrollData2324,'2324 Jun 24 Enroll'!F$1,FALSE),'District Calculations'!$F$13)*Apport_223A2425,3)</f>
        <v>0.84599999999999997</v>
      </c>
      <c r="O223">
        <f>ROUND(IF(VLOOKUP($A223,EnrollData2324,'2324 Jun 24 Enroll'!G$1,FALSE)='District Calculations'!$F$14,VLOOKUP($A223,EnrollData2324,'2324 Jun 24 Enroll'!G$1,FALSE),'District Calculations'!$F$14)*Apport_211A2425,3)</f>
        <v>1.877</v>
      </c>
      <c r="P223">
        <f>ROUND(IF(VLOOKUP($A223,EnrollData2324,'2324 Jun 24 Enroll'!H$1,FALSE)='District Calculations'!$F$14,VLOOKUP($A223,EnrollData2324,'2324 Jun 24 Enroll'!H$1,FALSE),'District Calculations'!$F$14)*Apport_214A2425,3)</f>
        <v>1.875</v>
      </c>
      <c r="Q223">
        <f>ROUND(IF(VLOOKUP($A223,EnrollData2324,'2324 Jun 24 Enroll'!I$1,FALSE)+VLOOKUP($A223,EnrollData2324,'2324 Jun 24 Enroll'!M$1,FALSE)-VLOOKUP($A223,EnrollData2324,'2324 Jun 24 Enroll'!J$1,FALSE)='District Calculations'!$F$16+'District Calculations'!$F$25-'District Calculations'!$F$17,VLOOKUP($A223,EnrollData2324,'2324 Jun 24 Enroll'!I$1,FALSE)+VLOOKUP($A223,EnrollData2324,'2324 Jun 24 Enroll'!M$1,FALSE)-VLOOKUP($A223,EnrollData2324,'2324 Jun 24 Enroll'!J$1,FALSE),'District Calculations'!$F$16+'District Calculations'!$F$25-'District Calculations'!$F$17)*Apport_217A2425,3)</f>
        <v>4.7130000000000001</v>
      </c>
      <c r="R223">
        <f>ROUND(SUM(L223:Q223)/IF(VLOOKUP($A223,EnrollData2324,'2324 Jun 24 Enroll'!M$1,FALSE)+VLOOKUP($A223,EnrollData2324,'2324 Jun 24 Enroll'!D$1,FALSE)='District Calculations'!$F$25+'District Calculations'!$F$11,VLOOKUP($A223,EnrollData2324,'2324 Jun 24 Enroll'!M$1,FALSE)+VLOOKUP($A223,EnrollData2324,'2324 Jun 24 Enroll'!D$1,FALSE),'District Calculations'!$F$25+'District Calculations'!$F$11),5)</f>
        <v>4.1200000000000004E-3</v>
      </c>
      <c r="S223" s="11">
        <f t="shared" si="41"/>
        <v>1.8734299999999999E-2</v>
      </c>
      <c r="T223">
        <f>ROUND(IF(VLOOKUP($A223,EnrollData2324,'2324 Jun 24 Enroll'!D$1,FALSE)='District Calculations'!$F$11,VLOOKUP($A223,EnrollData2324,'2324 Jun 24 Enroll'!D$1,FALSE),'District Calculations'!$F$11)*S223,3)</f>
        <v>0</v>
      </c>
      <c r="U223">
        <f>ROUND(IF(VLOOKUP($A223,EnrollData2324,'2324 Jun 24 Enroll'!E$1,FALSE)='District Calculations'!$F$12,VLOOKUP($A223,EnrollData2324,'2324 Jun 24 Enroll'!E$1,FALSE),'District Calculations'!$F$12)*S223,3)</f>
        <v>15.183999999999999</v>
      </c>
      <c r="V223">
        <f>ROUND(IF(VLOOKUP($A223,EnrollData2324,'2324 Jun 24 Enroll'!F$1,FALSE)='District Calculations'!$F$13,VLOOKUP($A223,EnrollData2324,'2324 Jun 24 Enroll'!F$1,FALSE),'District Calculations'!$F$13)*Apport_224A2425,3)</f>
        <v>3.7109999999999999</v>
      </c>
      <c r="W223">
        <f>ROUND(IF(VLOOKUP($A223,EnrollData2324,'2324 Jun 24 Enroll'!G$1,FALSE)='District Calculations'!$F$14,VLOOKUP($A223,EnrollData2324,'2324 Jun 24 Enroll'!G$1,FALSE),'District Calculations'!$F$14)*Apport_212A2425,3)</f>
        <v>8.2279999999999998</v>
      </c>
      <c r="X223">
        <f>ROUND(IF(VLOOKUP($A223,EnrollData2324,'2324 Jun 24 Enroll'!H$1,FALSE)='District Calculations'!$F$14,VLOOKUP($A223,EnrollData2324,'2324 Jun 24 Enroll'!H$1,FALSE),'District Calculations'!$F$14)*Apport_215A2425,3)</f>
        <v>8.1180000000000003</v>
      </c>
      <c r="Y223">
        <f>ROUND(IF(VLOOKUP($A223,EnrollData2324,'2324 Jun 24 Enroll'!I$1,FALSE)+VLOOKUP($A223,EnrollData2324,'2324 Jun 24 Enroll'!M$1,FALSE)-VLOOKUP($A223,EnrollData2324,'2324 Jun 24 Enroll'!J$1,FALSE)='District Calculations'!$F$16+'District Calculations'!$F$25-'District Calculations'!$F$17,VLOOKUP($A223,EnrollData2324,'2324 Jun 24 Enroll'!I$1,FALSE)+VLOOKUP($A223,EnrollData2324,'2324 Jun 24 Enroll'!M$1,FALSE)-VLOOKUP($A223,EnrollData2324,'2324 Jun 24 Enroll'!J$1,FALSE),'District Calculations'!$F$16+'District Calculations'!$F$25-'District Calculations'!$F$17)*Apport_218A2425,3)</f>
        <v>20.257999999999999</v>
      </c>
      <c r="Z223">
        <f>ROUND(SUM(T223:Y223)/IF(VLOOKUP($A223,EnrollData2324,'2324 Jun 24 Enroll'!M$1,FALSE)+VLOOKUP($A223,EnrollData2324,'2324 Jun 24 Enroll'!D$1,FALSE)='District Calculations'!$F$25+'District Calculations'!$F$11,VLOOKUP($A223,EnrollData2324,'2324 Jun 24 Enroll'!M$1,FALSE)+VLOOKUP($A223,EnrollData2324,'2324 Jun 24 Enroll'!D$1,FALSE),'District Calculations'!$F$25+'District Calculations'!$F$11),5)</f>
        <v>1.7780000000000001E-2</v>
      </c>
      <c r="AA223" s="6">
        <f>ROUND($J223*CIS_Base_Salary2425*VLOOKUP($A223,EnrollData2324,'2324 Jun 24 Enroll'!AH$1,FALSE),2)</f>
        <v>4518.4399999999996</v>
      </c>
      <c r="AB223" s="6">
        <f>ROUND($J223*CIS_Inc_Salary2425*(VLOOKUP($A223,EnrollData2324,'2324 Jun 24 Enroll'!AI$1,FALSE)+VLOOKUP($A223,EnrollData2324,'2324 Jun 24 Enroll'!AJ$1,FALSE)),2)-AA223</f>
        <v>167.16000000000076</v>
      </c>
      <c r="AC223" s="6" cm="1">
        <f t="array" ref="AC223">ROUND($R223*CAS_Base_Salary2425*VLOOKUP($A223,EnrollData2324,'2324 Jun 24 Enroll'!AH$1,FALSE),2)</f>
        <v>488.91</v>
      </c>
      <c r="AD223" s="6">
        <f>ROUND($R223*CAS_Inc_Salary2425*VLOOKUP($A223,EnrollData2324,'2324 Jun 24 Enroll'!AI$1,FALSE),2)-AC223</f>
        <v>18.089999999999975</v>
      </c>
      <c r="AE223" s="6">
        <f>ROUND($Z223*CLS_Base_Salary2425*VLOOKUP($A223,EnrollData2324,'2324 Jun 24 Enroll'!AH$1,FALSE),2)</f>
        <v>1019.67</v>
      </c>
      <c r="AF223" s="6">
        <f>ROUND($Z223*CLS_Inc_Salary2425*VLOOKUP($A223,EnrollData2324,'2324 Jun 24 Enroll'!AI$1,FALSE),2)-AE223</f>
        <v>37.730000000000132</v>
      </c>
      <c r="AG223" cm="1">
        <f t="array" ref="AG223">ROUND(($J223+$R223)*Apport_124X2425,2)</f>
        <v>800.45</v>
      </c>
      <c r="AH223" s="69" cm="1">
        <f t="array" ref="AH223">ROUND(($J223+$R223)*Apport_621X2425*Apport_125XC2425,2)-AG223</f>
        <v>73.899999999999977</v>
      </c>
      <c r="AI223" cm="1">
        <f t="array" ref="AI223">ROUND($Z223*Apport_124X2425,2)</f>
        <v>234.7</v>
      </c>
      <c r="AJ223">
        <f t="shared" si="42"/>
        <v>124.71000000000004</v>
      </c>
      <c r="AK223">
        <f t="shared" si="43"/>
        <v>908.83</v>
      </c>
      <c r="AL223">
        <f t="shared" si="44"/>
        <v>32.44</v>
      </c>
      <c r="AM223">
        <f t="shared" si="45"/>
        <v>220.86</v>
      </c>
      <c r="AN223">
        <f t="shared" si="46"/>
        <v>6.85</v>
      </c>
      <c r="AO223">
        <f>ROUND(($J223*CIS_Inc_Salary2425*(VLOOKUP($A223,EnrollData2324,'2324 Jun 24 Enroll'!AI$1,FALSE)+VLOOKUP($A223,EnrollData2324,'2324 Jun 24 Enroll'!AJ$1,FALSE))/Apport_613Xpd)*Apport_614Xpd,2)</f>
        <v>78.09</v>
      </c>
      <c r="AP223">
        <f t="shared" si="47"/>
        <v>13.67</v>
      </c>
      <c r="AQ223">
        <f t="shared" si="48"/>
        <v>31.48</v>
      </c>
      <c r="AR223" s="6">
        <f>ROUND((VLOOKUP($A223,EnrollData2324,'2324 Jun 24 Enroll'!D$1,FALSE)*Apport_M802425+VLOOKUP($A223,EnrollData2324,'2324 Jun 24 Enroll'!M$1,FALSE)*Apport_M802425+(VLOOKUP($A223,EnrollData2324,'2324 Jun 24 Enroll'!P$1,FALSE)+VLOOKUP($A223,EnrollData2324,'2324 Jun 24 Enroll'!Q$1,FALSE)+VLOOKUP($A223,EnrollData2324,'2324 Jun 24 Enroll'!R$1,FALSE)+VLOOKUP($A223,EnrollData2324,'2324 Jun 24 Enroll'!I$1,FALSE)+VLOOKUP($A223,EnrollData2324,'2324 Jun 24 Enroll'!N$1,FALSE)+VLOOKUP($A223,EnrollData2324,'2324 Jun 24 Enroll'!O$1,FALSE)+VLOOKUP($A223,EnrollData2324,'2324 Jun 24 Enroll'!K$1,FALSE)+VLOOKUP($A223,EnrollData2324,'2324 Jun 24 Enroll'!L$1,FALSE))*Apport_M812425)/(VLOOKUP($A223,EnrollData2324,'2324 Jun 24 Enroll'!M$1,FALSE)+VLOOKUP($A223,EnrollData2324,'2324 Jun 24 Enroll'!D$1,FALSE)),2)</f>
        <v>1586.13</v>
      </c>
      <c r="AS223" s="7">
        <f t="shared" si="49"/>
        <v>10362.11</v>
      </c>
    </row>
    <row r="224" spans="1:45">
      <c r="A224" s="40" t="s">
        <v>355</v>
      </c>
      <c r="B224" s="40" t="s">
        <v>356</v>
      </c>
      <c r="C224" s="11">
        <f>ROUND((IFERROR((1/IF(VLOOKUP($A224,EnrollData2324,28,FALSE)='District Calculations'!$F$10,VLOOKUP($A224,EnrollData2324,28,FALSE),'District Calculations'!$F$10))*(1+Apport_Z315),0))+Apport_201A2425,6)</f>
        <v>7.4580999999999995E-2</v>
      </c>
      <c r="D224">
        <f>ROUND(IF(VLOOKUP($A224,EnrollData2324,'2324 Jun 24 Enroll'!D$1,FALSE)='District Calculations'!$F$11,VLOOKUP($A224,EnrollData2324,'2324 Jun 24 Enroll'!D$1,FALSE),'District Calculations'!$F$11)*C224,3)</f>
        <v>0</v>
      </c>
      <c r="E224">
        <f>ROUND(IF(VLOOKUP($A224,EnrollData2324,'2324 Jun 24 Enroll'!E$1,FALSE)='District Calculations'!$F$12,VLOOKUP($A224,EnrollData2324,'2324 Jun 24 Enroll'!E$1,FALSE),'District Calculations'!$F$12)*C224,3)</f>
        <v>60.447000000000003</v>
      </c>
      <c r="F224">
        <f>ROUND(IF(VLOOKUP($A224,EnrollData2324,'2324 Jun 24 Enroll'!F$1,FALSE)='District Calculations'!$F$13,VLOOKUP($A224,EnrollData2324,'2324 Jun 24 Enroll'!F$1,FALSE),'District Calculations'!$F$13)*Apport_222A2425,3)</f>
        <v>10.337999999999999</v>
      </c>
      <c r="G224">
        <f>ROUND(IF(VLOOKUP($A224,EnrollData2324,'2324 Jun 24 Enroll'!G$1,FALSE)='District Calculations'!$F$14,VLOOKUP($A224,EnrollData2324,'2324 Jun 24 Enroll'!G$1,FALSE),'District Calculations'!$F$14)*Apport_210A2425,3)</f>
        <v>22.92</v>
      </c>
      <c r="H224">
        <f>ROUND(IF(VLOOKUP($A224,EnrollData2324,'2324 Jun 24 Enroll'!H$1,FALSE)='District Calculations'!$F$15,VLOOKUP($A224,EnrollData2324,'2324 Jun 24 Enroll'!H$1,FALSE),'District Calculations'!$F$15)*Apport_213A2425,3)</f>
        <v>23.619</v>
      </c>
      <c r="I224">
        <f>ROUND(IF(VLOOKUP($A224,EnrollData2324,'2324 Jun 24 Enroll'!I$1,FALSE)+VLOOKUP($A224,EnrollData2324,'2324 Jun 24 Enroll'!M$1,FALSE)-VLOOKUP($A224,EnrollData2324,'2324 Jun 24 Enroll'!J$1,FALSE)='District Calculations'!$F$16+'District Calculations'!$F$25-'District Calculations'!$F$17,VLOOKUP($A224,EnrollData2324,'2324 Jun 24 Enroll'!I$1,FALSE)+VLOOKUP($A224,EnrollData2324,'2324 Jun 24 Enroll'!M$1,FALSE)-VLOOKUP($A224,EnrollData2324,'2324 Jun 24 Enroll'!J$1,FALSE),'District Calculations'!$F$16+'District Calculations'!$F$25-'District Calculations'!$F$17)*Apport_216A2425,3)</f>
        <v>59.057000000000002</v>
      </c>
      <c r="J224">
        <f>ROUND(SUM(D224:I224)/(IF(VLOOKUP($A224,EnrollData2324,'2324 Jun 24 Enroll'!M$1,FALSE)='District Calculations'!$F$25,VLOOKUP($A224,EnrollData2324,'2324 Jun 24 Enroll'!M$1,FALSE),'District Calculations'!$F$25)+IF(VLOOKUP($A224,EnrollData2324,'2324 Jun 24 Enroll'!D$1,FALSE)='District Calculations'!$F$11,VLOOKUP($A224,EnrollData2324,'2324 Jun 24 Enroll'!D$1,FALSE),'District Calculations'!$F$11)),5)</f>
        <v>5.6520000000000001E-2</v>
      </c>
      <c r="K224" s="11">
        <f t="shared" si="40"/>
        <v>4.385E-3</v>
      </c>
      <c r="L224">
        <f>ROUND(IF(VLOOKUP($A224,EnrollData2324,'2324 Jun 24 Enroll'!D$1,FALSE)='District Calculations'!$F$11,VLOOKUP($A224,EnrollData2324,'2324 Jun 24 Enroll'!D$1,FALSE),'District Calculations'!$F$11)*K224,3)</f>
        <v>0</v>
      </c>
      <c r="M224">
        <f>ROUND(IF(VLOOKUP($A224,EnrollData2324,'2324 Jun 24 Enroll'!E$1,FALSE)='District Calculations'!$F$12,VLOOKUP($A224,EnrollData2324,'2324 Jun 24 Enroll'!E$1,FALSE),'District Calculations'!$F$12)*K224,3)</f>
        <v>3.5539999999999998</v>
      </c>
      <c r="N224">
        <f>ROUND(IF(VLOOKUP($A224,EnrollData2324,'2324 Jun 24 Enroll'!F$1,FALSE)='District Calculations'!$F$13,VLOOKUP($A224,EnrollData2324,'2324 Jun 24 Enroll'!F$1,FALSE),'District Calculations'!$F$13)*Apport_223A2425,3)</f>
        <v>0.84599999999999997</v>
      </c>
      <c r="O224">
        <f>ROUND(IF(VLOOKUP($A224,EnrollData2324,'2324 Jun 24 Enroll'!G$1,FALSE)='District Calculations'!$F$14,VLOOKUP($A224,EnrollData2324,'2324 Jun 24 Enroll'!G$1,FALSE),'District Calculations'!$F$14)*Apport_211A2425,3)</f>
        <v>1.877</v>
      </c>
      <c r="P224">
        <f>ROUND(IF(VLOOKUP($A224,EnrollData2324,'2324 Jun 24 Enroll'!H$1,FALSE)='District Calculations'!$F$14,VLOOKUP($A224,EnrollData2324,'2324 Jun 24 Enroll'!H$1,FALSE),'District Calculations'!$F$14)*Apport_214A2425,3)</f>
        <v>1.875</v>
      </c>
      <c r="Q224">
        <f>ROUND(IF(VLOOKUP($A224,EnrollData2324,'2324 Jun 24 Enroll'!I$1,FALSE)+VLOOKUP($A224,EnrollData2324,'2324 Jun 24 Enroll'!M$1,FALSE)-VLOOKUP($A224,EnrollData2324,'2324 Jun 24 Enroll'!J$1,FALSE)='District Calculations'!$F$16+'District Calculations'!$F$25-'District Calculations'!$F$17,VLOOKUP($A224,EnrollData2324,'2324 Jun 24 Enroll'!I$1,FALSE)+VLOOKUP($A224,EnrollData2324,'2324 Jun 24 Enroll'!M$1,FALSE)-VLOOKUP($A224,EnrollData2324,'2324 Jun 24 Enroll'!J$1,FALSE),'District Calculations'!$F$16+'District Calculations'!$F$25-'District Calculations'!$F$17)*Apport_217A2425,3)</f>
        <v>4.7130000000000001</v>
      </c>
      <c r="R224">
        <f>ROUND(SUM(L224:Q224)/IF(VLOOKUP($A224,EnrollData2324,'2324 Jun 24 Enroll'!M$1,FALSE)+VLOOKUP($A224,EnrollData2324,'2324 Jun 24 Enroll'!D$1,FALSE)='District Calculations'!$F$25+'District Calculations'!$F$11,VLOOKUP($A224,EnrollData2324,'2324 Jun 24 Enroll'!M$1,FALSE)+VLOOKUP($A224,EnrollData2324,'2324 Jun 24 Enroll'!D$1,FALSE),'District Calculations'!$F$25+'District Calculations'!$F$11),5)</f>
        <v>4.1200000000000004E-3</v>
      </c>
      <c r="S224" s="11">
        <f t="shared" si="41"/>
        <v>1.8734299999999999E-2</v>
      </c>
      <c r="T224">
        <f>ROUND(IF(VLOOKUP($A224,EnrollData2324,'2324 Jun 24 Enroll'!D$1,FALSE)='District Calculations'!$F$11,VLOOKUP($A224,EnrollData2324,'2324 Jun 24 Enroll'!D$1,FALSE),'District Calculations'!$F$11)*S224,3)</f>
        <v>0</v>
      </c>
      <c r="U224">
        <f>ROUND(IF(VLOOKUP($A224,EnrollData2324,'2324 Jun 24 Enroll'!E$1,FALSE)='District Calculations'!$F$12,VLOOKUP($A224,EnrollData2324,'2324 Jun 24 Enroll'!E$1,FALSE),'District Calculations'!$F$12)*S224,3)</f>
        <v>15.183999999999999</v>
      </c>
      <c r="V224">
        <f>ROUND(IF(VLOOKUP($A224,EnrollData2324,'2324 Jun 24 Enroll'!F$1,FALSE)='District Calculations'!$F$13,VLOOKUP($A224,EnrollData2324,'2324 Jun 24 Enroll'!F$1,FALSE),'District Calculations'!$F$13)*Apport_224A2425,3)</f>
        <v>3.7109999999999999</v>
      </c>
      <c r="W224">
        <f>ROUND(IF(VLOOKUP($A224,EnrollData2324,'2324 Jun 24 Enroll'!G$1,FALSE)='District Calculations'!$F$14,VLOOKUP($A224,EnrollData2324,'2324 Jun 24 Enroll'!G$1,FALSE),'District Calculations'!$F$14)*Apport_212A2425,3)</f>
        <v>8.2279999999999998</v>
      </c>
      <c r="X224">
        <f>ROUND(IF(VLOOKUP($A224,EnrollData2324,'2324 Jun 24 Enroll'!H$1,FALSE)='District Calculations'!$F$14,VLOOKUP($A224,EnrollData2324,'2324 Jun 24 Enroll'!H$1,FALSE),'District Calculations'!$F$14)*Apport_215A2425,3)</f>
        <v>8.1180000000000003</v>
      </c>
      <c r="Y224">
        <f>ROUND(IF(VLOOKUP($A224,EnrollData2324,'2324 Jun 24 Enroll'!I$1,FALSE)+VLOOKUP($A224,EnrollData2324,'2324 Jun 24 Enroll'!M$1,FALSE)-VLOOKUP($A224,EnrollData2324,'2324 Jun 24 Enroll'!J$1,FALSE)='District Calculations'!$F$16+'District Calculations'!$F$25-'District Calculations'!$F$17,VLOOKUP($A224,EnrollData2324,'2324 Jun 24 Enroll'!I$1,FALSE)+VLOOKUP($A224,EnrollData2324,'2324 Jun 24 Enroll'!M$1,FALSE)-VLOOKUP($A224,EnrollData2324,'2324 Jun 24 Enroll'!J$1,FALSE),'District Calculations'!$F$16+'District Calculations'!$F$25-'District Calculations'!$F$17)*Apport_218A2425,3)</f>
        <v>20.257999999999999</v>
      </c>
      <c r="Z224">
        <f>ROUND(SUM(T224:Y224)/IF(VLOOKUP($A224,EnrollData2324,'2324 Jun 24 Enroll'!M$1,FALSE)+VLOOKUP($A224,EnrollData2324,'2324 Jun 24 Enroll'!D$1,FALSE)='District Calculations'!$F$25+'District Calculations'!$F$11,VLOOKUP($A224,EnrollData2324,'2324 Jun 24 Enroll'!M$1,FALSE)+VLOOKUP($A224,EnrollData2324,'2324 Jun 24 Enroll'!D$1,FALSE),'District Calculations'!$F$25+'District Calculations'!$F$11),5)</f>
        <v>1.7780000000000001E-2</v>
      </c>
      <c r="AA224" s="6">
        <f>ROUND($J224*CIS_Base_Salary2425*VLOOKUP($A224,EnrollData2324,'2324 Jun 24 Enroll'!AH$1,FALSE),2)</f>
        <v>4774.2</v>
      </c>
      <c r="AB224" s="6">
        <f>ROUND($J224*CIS_Inc_Salary2425*(VLOOKUP($A224,EnrollData2324,'2324 Jun 24 Enroll'!AI$1,FALSE)+VLOOKUP($A224,EnrollData2324,'2324 Jun 24 Enroll'!AJ$1,FALSE)),2)-AA224</f>
        <v>176.61999999999989</v>
      </c>
      <c r="AC224" s="6" cm="1">
        <f t="array" ref="AC224">ROUND($R224*CAS_Base_Salary2425*VLOOKUP($A224,EnrollData2324,'2324 Jun 24 Enroll'!AH$1,FALSE),2)</f>
        <v>516.58000000000004</v>
      </c>
      <c r="AD224" s="6">
        <f>ROUND($R224*CAS_Inc_Salary2425*VLOOKUP($A224,EnrollData2324,'2324 Jun 24 Enroll'!AI$1,FALSE),2)-AC224</f>
        <v>19.110000000000014</v>
      </c>
      <c r="AE224" s="6">
        <f>ROUND($Z224*CLS_Base_Salary2425*VLOOKUP($A224,EnrollData2324,'2324 Jun 24 Enroll'!AH$1,FALSE),2)</f>
        <v>1077.3900000000001</v>
      </c>
      <c r="AF224" s="6">
        <f>ROUND($Z224*CLS_Inc_Salary2425*VLOOKUP($A224,EnrollData2324,'2324 Jun 24 Enroll'!AI$1,FALSE),2)-AE224</f>
        <v>39.8599999999999</v>
      </c>
      <c r="AG224" cm="1">
        <f t="array" ref="AG224">ROUND(($J224+$R224)*Apport_124X2425,2)</f>
        <v>800.45</v>
      </c>
      <c r="AH224" s="69" cm="1">
        <f t="array" ref="AH224">ROUND(($J224+$R224)*Apport_621X2425*Apport_125XC2425,2)-AG224</f>
        <v>73.899999999999977</v>
      </c>
      <c r="AI224" cm="1">
        <f t="array" ref="AI224">ROUND($Z224*Apport_124X2425,2)</f>
        <v>234.7</v>
      </c>
      <c r="AJ224">
        <f t="shared" si="42"/>
        <v>124.71000000000004</v>
      </c>
      <c r="AK224">
        <f t="shared" si="43"/>
        <v>960.28</v>
      </c>
      <c r="AL224">
        <f t="shared" si="44"/>
        <v>34.270000000000003</v>
      </c>
      <c r="AM224">
        <f t="shared" si="45"/>
        <v>233.36</v>
      </c>
      <c r="AN224">
        <f t="shared" si="46"/>
        <v>7.24</v>
      </c>
      <c r="AO224">
        <f>ROUND(($J224*CIS_Inc_Salary2425*(VLOOKUP($A224,EnrollData2324,'2324 Jun 24 Enroll'!AI$1,FALSE)+VLOOKUP($A224,EnrollData2324,'2324 Jun 24 Enroll'!AJ$1,FALSE))/Apport_613Xpd)*Apport_614Xpd,2)</f>
        <v>82.51</v>
      </c>
      <c r="AP224">
        <f t="shared" si="47"/>
        <v>14.45</v>
      </c>
      <c r="AQ224">
        <f t="shared" si="48"/>
        <v>31.48</v>
      </c>
      <c r="AR224" s="6">
        <f>ROUND((VLOOKUP($A224,EnrollData2324,'2324 Jun 24 Enroll'!D$1,FALSE)*Apport_M802425+VLOOKUP($A224,EnrollData2324,'2324 Jun 24 Enroll'!M$1,FALSE)*Apport_M802425+(VLOOKUP($A224,EnrollData2324,'2324 Jun 24 Enroll'!P$1,FALSE)+VLOOKUP($A224,EnrollData2324,'2324 Jun 24 Enroll'!Q$1,FALSE)+VLOOKUP($A224,EnrollData2324,'2324 Jun 24 Enroll'!R$1,FALSE)+VLOOKUP($A224,EnrollData2324,'2324 Jun 24 Enroll'!I$1,FALSE)+VLOOKUP($A224,EnrollData2324,'2324 Jun 24 Enroll'!N$1,FALSE)+VLOOKUP($A224,EnrollData2324,'2324 Jun 24 Enroll'!O$1,FALSE)+VLOOKUP($A224,EnrollData2324,'2324 Jun 24 Enroll'!K$1,FALSE)+VLOOKUP($A224,EnrollData2324,'2324 Jun 24 Enroll'!L$1,FALSE))*Apport_M812425)/(VLOOKUP($A224,EnrollData2324,'2324 Jun 24 Enroll'!M$1,FALSE)+VLOOKUP($A224,EnrollData2324,'2324 Jun 24 Enroll'!D$1,FALSE)),2)</f>
        <v>1601.22</v>
      </c>
      <c r="AS224" s="7">
        <f t="shared" si="49"/>
        <v>10802.33</v>
      </c>
    </row>
    <row r="225" spans="1:45">
      <c r="A225" s="40" t="s">
        <v>749</v>
      </c>
      <c r="B225" s="40" t="s">
        <v>750</v>
      </c>
      <c r="C225" s="11">
        <f>ROUND((IFERROR((1/IF(VLOOKUP($A225,EnrollData2324,28,FALSE)='District Calculations'!$F$10,VLOOKUP($A225,EnrollData2324,28,FALSE),'District Calculations'!$F$10))*(1+Apport_Z315),0))+Apport_201A2425,6)</f>
        <v>7.4580999999999995E-2</v>
      </c>
      <c r="D225">
        <f>ROUND(IF(VLOOKUP($A225,EnrollData2324,'2324 Jun 24 Enroll'!D$1,FALSE)='District Calculations'!$F$11,VLOOKUP($A225,EnrollData2324,'2324 Jun 24 Enroll'!D$1,FALSE),'District Calculations'!$F$11)*C225,3)</f>
        <v>0</v>
      </c>
      <c r="E225">
        <f>ROUND(IF(VLOOKUP($A225,EnrollData2324,'2324 Jun 24 Enroll'!E$1,FALSE)='District Calculations'!$F$12,VLOOKUP($A225,EnrollData2324,'2324 Jun 24 Enroll'!E$1,FALSE),'District Calculations'!$F$12)*C225,3)</f>
        <v>60.447000000000003</v>
      </c>
      <c r="F225">
        <f>ROUND(IF(VLOOKUP($A225,EnrollData2324,'2324 Jun 24 Enroll'!F$1,FALSE)='District Calculations'!$F$13,VLOOKUP($A225,EnrollData2324,'2324 Jun 24 Enroll'!F$1,FALSE),'District Calculations'!$F$13)*Apport_222A2425,3)</f>
        <v>10.337999999999999</v>
      </c>
      <c r="G225">
        <f>ROUND(IF(VLOOKUP($A225,EnrollData2324,'2324 Jun 24 Enroll'!G$1,FALSE)='District Calculations'!$F$14,VLOOKUP($A225,EnrollData2324,'2324 Jun 24 Enroll'!G$1,FALSE),'District Calculations'!$F$14)*Apport_210A2425,3)</f>
        <v>22.92</v>
      </c>
      <c r="H225">
        <f>ROUND(IF(VLOOKUP($A225,EnrollData2324,'2324 Jun 24 Enroll'!H$1,FALSE)='District Calculations'!$F$15,VLOOKUP($A225,EnrollData2324,'2324 Jun 24 Enroll'!H$1,FALSE),'District Calculations'!$F$15)*Apport_213A2425,3)</f>
        <v>23.619</v>
      </c>
      <c r="I225">
        <f>ROUND(IF(VLOOKUP($A225,EnrollData2324,'2324 Jun 24 Enroll'!I$1,FALSE)+VLOOKUP($A225,EnrollData2324,'2324 Jun 24 Enroll'!M$1,FALSE)-VLOOKUP($A225,EnrollData2324,'2324 Jun 24 Enroll'!J$1,FALSE)='District Calculations'!$F$16+'District Calculations'!$F$25-'District Calculations'!$F$17,VLOOKUP($A225,EnrollData2324,'2324 Jun 24 Enroll'!I$1,FALSE)+VLOOKUP($A225,EnrollData2324,'2324 Jun 24 Enroll'!M$1,FALSE)-VLOOKUP($A225,EnrollData2324,'2324 Jun 24 Enroll'!J$1,FALSE),'District Calculations'!$F$16+'District Calculations'!$F$25-'District Calculations'!$F$17)*Apport_216A2425,3)</f>
        <v>59.057000000000002</v>
      </c>
      <c r="J225">
        <f>ROUND(SUM(D225:I225)/(IF(VLOOKUP($A225,EnrollData2324,'2324 Jun 24 Enroll'!M$1,FALSE)='District Calculations'!$F$25,VLOOKUP($A225,EnrollData2324,'2324 Jun 24 Enroll'!M$1,FALSE),'District Calculations'!$F$25)+IF(VLOOKUP($A225,EnrollData2324,'2324 Jun 24 Enroll'!D$1,FALSE)='District Calculations'!$F$11,VLOOKUP($A225,EnrollData2324,'2324 Jun 24 Enroll'!D$1,FALSE),'District Calculations'!$F$11)),5)</f>
        <v>5.6520000000000001E-2</v>
      </c>
      <c r="K225" s="11">
        <f t="shared" si="40"/>
        <v>4.385E-3</v>
      </c>
      <c r="L225">
        <f>ROUND(IF(VLOOKUP($A225,EnrollData2324,'2324 Jun 24 Enroll'!D$1,FALSE)='District Calculations'!$F$11,VLOOKUP($A225,EnrollData2324,'2324 Jun 24 Enroll'!D$1,FALSE),'District Calculations'!$F$11)*K225,3)</f>
        <v>0</v>
      </c>
      <c r="M225">
        <f>ROUND(IF(VLOOKUP($A225,EnrollData2324,'2324 Jun 24 Enroll'!E$1,FALSE)='District Calculations'!$F$12,VLOOKUP($A225,EnrollData2324,'2324 Jun 24 Enroll'!E$1,FALSE),'District Calculations'!$F$12)*K225,3)</f>
        <v>3.5539999999999998</v>
      </c>
      <c r="N225">
        <f>ROUND(IF(VLOOKUP($A225,EnrollData2324,'2324 Jun 24 Enroll'!F$1,FALSE)='District Calculations'!$F$13,VLOOKUP($A225,EnrollData2324,'2324 Jun 24 Enroll'!F$1,FALSE),'District Calculations'!$F$13)*Apport_223A2425,3)</f>
        <v>0.84599999999999997</v>
      </c>
      <c r="O225">
        <f>ROUND(IF(VLOOKUP($A225,EnrollData2324,'2324 Jun 24 Enroll'!G$1,FALSE)='District Calculations'!$F$14,VLOOKUP($A225,EnrollData2324,'2324 Jun 24 Enroll'!G$1,FALSE),'District Calculations'!$F$14)*Apport_211A2425,3)</f>
        <v>1.877</v>
      </c>
      <c r="P225">
        <f>ROUND(IF(VLOOKUP($A225,EnrollData2324,'2324 Jun 24 Enroll'!H$1,FALSE)='District Calculations'!$F$14,VLOOKUP($A225,EnrollData2324,'2324 Jun 24 Enroll'!H$1,FALSE),'District Calculations'!$F$14)*Apport_214A2425,3)</f>
        <v>1.875</v>
      </c>
      <c r="Q225">
        <f>ROUND(IF(VLOOKUP($A225,EnrollData2324,'2324 Jun 24 Enroll'!I$1,FALSE)+VLOOKUP($A225,EnrollData2324,'2324 Jun 24 Enroll'!M$1,FALSE)-VLOOKUP($A225,EnrollData2324,'2324 Jun 24 Enroll'!J$1,FALSE)='District Calculations'!$F$16+'District Calculations'!$F$25-'District Calculations'!$F$17,VLOOKUP($A225,EnrollData2324,'2324 Jun 24 Enroll'!I$1,FALSE)+VLOOKUP($A225,EnrollData2324,'2324 Jun 24 Enroll'!M$1,FALSE)-VLOOKUP($A225,EnrollData2324,'2324 Jun 24 Enroll'!J$1,FALSE),'District Calculations'!$F$16+'District Calculations'!$F$25-'District Calculations'!$F$17)*Apport_217A2425,3)</f>
        <v>4.7130000000000001</v>
      </c>
      <c r="R225">
        <f>ROUND(SUM(L225:Q225)/IF(VLOOKUP($A225,EnrollData2324,'2324 Jun 24 Enroll'!M$1,FALSE)+VLOOKUP($A225,EnrollData2324,'2324 Jun 24 Enroll'!D$1,FALSE)='District Calculations'!$F$25+'District Calculations'!$F$11,VLOOKUP($A225,EnrollData2324,'2324 Jun 24 Enroll'!M$1,FALSE)+VLOOKUP($A225,EnrollData2324,'2324 Jun 24 Enroll'!D$1,FALSE),'District Calculations'!$F$25+'District Calculations'!$F$11),5)</f>
        <v>4.1200000000000004E-3</v>
      </c>
      <c r="S225" s="11">
        <f t="shared" si="41"/>
        <v>1.8734299999999999E-2</v>
      </c>
      <c r="T225">
        <f>ROUND(IF(VLOOKUP($A225,EnrollData2324,'2324 Jun 24 Enroll'!D$1,FALSE)='District Calculations'!$F$11,VLOOKUP($A225,EnrollData2324,'2324 Jun 24 Enroll'!D$1,FALSE),'District Calculations'!$F$11)*S225,3)</f>
        <v>0</v>
      </c>
      <c r="U225">
        <f>ROUND(IF(VLOOKUP($A225,EnrollData2324,'2324 Jun 24 Enroll'!E$1,FALSE)='District Calculations'!$F$12,VLOOKUP($A225,EnrollData2324,'2324 Jun 24 Enroll'!E$1,FALSE),'District Calculations'!$F$12)*S225,3)</f>
        <v>15.183999999999999</v>
      </c>
      <c r="V225">
        <f>ROUND(IF(VLOOKUP($A225,EnrollData2324,'2324 Jun 24 Enroll'!F$1,FALSE)='District Calculations'!$F$13,VLOOKUP($A225,EnrollData2324,'2324 Jun 24 Enroll'!F$1,FALSE),'District Calculations'!$F$13)*Apport_224A2425,3)</f>
        <v>3.7109999999999999</v>
      </c>
      <c r="W225">
        <f>ROUND(IF(VLOOKUP($A225,EnrollData2324,'2324 Jun 24 Enroll'!G$1,FALSE)='District Calculations'!$F$14,VLOOKUP($A225,EnrollData2324,'2324 Jun 24 Enroll'!G$1,FALSE),'District Calculations'!$F$14)*Apport_212A2425,3)</f>
        <v>8.2279999999999998</v>
      </c>
      <c r="X225">
        <f>ROUND(IF(VLOOKUP($A225,EnrollData2324,'2324 Jun 24 Enroll'!H$1,FALSE)='District Calculations'!$F$14,VLOOKUP($A225,EnrollData2324,'2324 Jun 24 Enroll'!H$1,FALSE),'District Calculations'!$F$14)*Apport_215A2425,3)</f>
        <v>8.1180000000000003</v>
      </c>
      <c r="Y225">
        <f>ROUND(IF(VLOOKUP($A225,EnrollData2324,'2324 Jun 24 Enroll'!I$1,FALSE)+VLOOKUP($A225,EnrollData2324,'2324 Jun 24 Enroll'!M$1,FALSE)-VLOOKUP($A225,EnrollData2324,'2324 Jun 24 Enroll'!J$1,FALSE)='District Calculations'!$F$16+'District Calculations'!$F$25-'District Calculations'!$F$17,VLOOKUP($A225,EnrollData2324,'2324 Jun 24 Enroll'!I$1,FALSE)+VLOOKUP($A225,EnrollData2324,'2324 Jun 24 Enroll'!M$1,FALSE)-VLOOKUP($A225,EnrollData2324,'2324 Jun 24 Enroll'!J$1,FALSE),'District Calculations'!$F$16+'District Calculations'!$F$25-'District Calculations'!$F$17)*Apport_218A2425,3)</f>
        <v>20.257999999999999</v>
      </c>
      <c r="Z225">
        <f>ROUND(SUM(T225:Y225)/IF(VLOOKUP($A225,EnrollData2324,'2324 Jun 24 Enroll'!M$1,FALSE)+VLOOKUP($A225,EnrollData2324,'2324 Jun 24 Enroll'!D$1,FALSE)='District Calculations'!$F$25+'District Calculations'!$F$11,VLOOKUP($A225,EnrollData2324,'2324 Jun 24 Enroll'!M$1,FALSE)+VLOOKUP($A225,EnrollData2324,'2324 Jun 24 Enroll'!D$1,FALSE),'District Calculations'!$F$25+'District Calculations'!$F$11),5)</f>
        <v>1.7780000000000001E-2</v>
      </c>
      <c r="AA225" s="6">
        <f>ROUND($J225*CIS_Base_Salary2425*VLOOKUP($A225,EnrollData2324,'2324 Jun 24 Enroll'!AH$1,FALSE),2)</f>
        <v>4774.2</v>
      </c>
      <c r="AB225" s="6">
        <f>ROUND($J225*CIS_Inc_Salary2425*(VLOOKUP($A225,EnrollData2324,'2324 Jun 24 Enroll'!AI$1,FALSE)+VLOOKUP($A225,EnrollData2324,'2324 Jun 24 Enroll'!AJ$1,FALSE)),2)-AA225</f>
        <v>176.61999999999989</v>
      </c>
      <c r="AC225" s="6" cm="1">
        <f t="array" ref="AC225">ROUND($R225*CAS_Base_Salary2425*VLOOKUP($A225,EnrollData2324,'2324 Jun 24 Enroll'!AH$1,FALSE),2)</f>
        <v>516.58000000000004</v>
      </c>
      <c r="AD225" s="6">
        <f>ROUND($R225*CAS_Inc_Salary2425*VLOOKUP($A225,EnrollData2324,'2324 Jun 24 Enroll'!AI$1,FALSE),2)-AC225</f>
        <v>19.110000000000014</v>
      </c>
      <c r="AE225" s="6">
        <f>ROUND($Z225*CLS_Base_Salary2425*VLOOKUP($A225,EnrollData2324,'2324 Jun 24 Enroll'!AH$1,FALSE),2)</f>
        <v>1077.3900000000001</v>
      </c>
      <c r="AF225" s="6">
        <f>ROUND($Z225*CLS_Inc_Salary2425*VLOOKUP($A225,EnrollData2324,'2324 Jun 24 Enroll'!AI$1,FALSE),2)-AE225</f>
        <v>39.8599999999999</v>
      </c>
      <c r="AG225" cm="1">
        <f t="array" ref="AG225">ROUND(($J225+$R225)*Apport_124X2425,2)</f>
        <v>800.45</v>
      </c>
      <c r="AH225" s="69" cm="1">
        <f t="array" ref="AH225">ROUND(($J225+$R225)*Apport_621X2425*Apport_125XC2425,2)-AG225</f>
        <v>73.899999999999977</v>
      </c>
      <c r="AI225" cm="1">
        <f t="array" ref="AI225">ROUND($Z225*Apport_124X2425,2)</f>
        <v>234.7</v>
      </c>
      <c r="AJ225">
        <f t="shared" si="42"/>
        <v>124.71000000000004</v>
      </c>
      <c r="AK225">
        <f t="shared" si="43"/>
        <v>960.28</v>
      </c>
      <c r="AL225">
        <f t="shared" si="44"/>
        <v>34.270000000000003</v>
      </c>
      <c r="AM225">
        <f t="shared" si="45"/>
        <v>233.36</v>
      </c>
      <c r="AN225">
        <f t="shared" si="46"/>
        <v>7.24</v>
      </c>
      <c r="AO225">
        <f>ROUND(($J225*CIS_Inc_Salary2425*(VLOOKUP($A225,EnrollData2324,'2324 Jun 24 Enroll'!AI$1,FALSE)+VLOOKUP($A225,EnrollData2324,'2324 Jun 24 Enroll'!AJ$1,FALSE))/Apport_613Xpd)*Apport_614Xpd,2)</f>
        <v>82.51</v>
      </c>
      <c r="AP225">
        <f t="shared" si="47"/>
        <v>14.45</v>
      </c>
      <c r="AQ225">
        <f t="shared" si="48"/>
        <v>31.48</v>
      </c>
      <c r="AR225" s="6">
        <f>ROUND((VLOOKUP($A225,EnrollData2324,'2324 Jun 24 Enroll'!D$1,FALSE)*Apport_M802425+VLOOKUP($A225,EnrollData2324,'2324 Jun 24 Enroll'!M$1,FALSE)*Apport_M802425+(VLOOKUP($A225,EnrollData2324,'2324 Jun 24 Enroll'!P$1,FALSE)+VLOOKUP($A225,EnrollData2324,'2324 Jun 24 Enroll'!Q$1,FALSE)+VLOOKUP($A225,EnrollData2324,'2324 Jun 24 Enroll'!R$1,FALSE)+VLOOKUP($A225,EnrollData2324,'2324 Jun 24 Enroll'!I$1,FALSE)+VLOOKUP($A225,EnrollData2324,'2324 Jun 24 Enroll'!N$1,FALSE)+VLOOKUP($A225,EnrollData2324,'2324 Jun 24 Enroll'!O$1,FALSE)+VLOOKUP($A225,EnrollData2324,'2324 Jun 24 Enroll'!K$1,FALSE)+VLOOKUP($A225,EnrollData2324,'2324 Jun 24 Enroll'!L$1,FALSE))*Apport_M812425)/(VLOOKUP($A225,EnrollData2324,'2324 Jun 24 Enroll'!M$1,FALSE)+VLOOKUP($A225,EnrollData2324,'2324 Jun 24 Enroll'!D$1,FALSE)),2)</f>
        <v>1595.13</v>
      </c>
      <c r="AS225" s="7">
        <f t="shared" si="49"/>
        <v>10796.240000000002</v>
      </c>
    </row>
    <row r="226" spans="1:45">
      <c r="A226" s="40" t="s">
        <v>321</v>
      </c>
      <c r="B226" s="40" t="s">
        <v>322</v>
      </c>
      <c r="C226" s="11">
        <f>ROUND((IFERROR((1/IF(VLOOKUP($A226,EnrollData2324,28,FALSE)='District Calculations'!$F$10,VLOOKUP($A226,EnrollData2324,28,FALSE),'District Calculations'!$F$10))*(1+Apport_Z315),0))+Apport_201A2425,6)</f>
        <v>7.4580999999999995E-2</v>
      </c>
      <c r="D226">
        <f>ROUND(IF(VLOOKUP($A226,EnrollData2324,'2324 Jun 24 Enroll'!D$1,FALSE)='District Calculations'!$F$11,VLOOKUP($A226,EnrollData2324,'2324 Jun 24 Enroll'!D$1,FALSE),'District Calculations'!$F$11)*C226,3)</f>
        <v>0</v>
      </c>
      <c r="E226">
        <f>ROUND(IF(VLOOKUP($A226,EnrollData2324,'2324 Jun 24 Enroll'!E$1,FALSE)='District Calculations'!$F$12,VLOOKUP($A226,EnrollData2324,'2324 Jun 24 Enroll'!E$1,FALSE),'District Calculations'!$F$12)*C226,3)</f>
        <v>60.447000000000003</v>
      </c>
      <c r="F226">
        <f>ROUND(IF(VLOOKUP($A226,EnrollData2324,'2324 Jun 24 Enroll'!F$1,FALSE)='District Calculations'!$F$13,VLOOKUP($A226,EnrollData2324,'2324 Jun 24 Enroll'!F$1,FALSE),'District Calculations'!$F$13)*Apport_222A2425,3)</f>
        <v>10.337999999999999</v>
      </c>
      <c r="G226">
        <f>ROUND(IF(VLOOKUP($A226,EnrollData2324,'2324 Jun 24 Enroll'!G$1,FALSE)='District Calculations'!$F$14,VLOOKUP($A226,EnrollData2324,'2324 Jun 24 Enroll'!G$1,FALSE),'District Calculations'!$F$14)*Apport_210A2425,3)</f>
        <v>22.92</v>
      </c>
      <c r="H226">
        <f>ROUND(IF(VLOOKUP($A226,EnrollData2324,'2324 Jun 24 Enroll'!H$1,FALSE)='District Calculations'!$F$15,VLOOKUP($A226,EnrollData2324,'2324 Jun 24 Enroll'!H$1,FALSE),'District Calculations'!$F$15)*Apport_213A2425,3)</f>
        <v>23.619</v>
      </c>
      <c r="I226">
        <f>ROUND(IF(VLOOKUP($A226,EnrollData2324,'2324 Jun 24 Enroll'!I$1,FALSE)+VLOOKUP($A226,EnrollData2324,'2324 Jun 24 Enroll'!M$1,FALSE)-VLOOKUP($A226,EnrollData2324,'2324 Jun 24 Enroll'!J$1,FALSE)='District Calculations'!$F$16+'District Calculations'!$F$25-'District Calculations'!$F$17,VLOOKUP($A226,EnrollData2324,'2324 Jun 24 Enroll'!I$1,FALSE)+VLOOKUP($A226,EnrollData2324,'2324 Jun 24 Enroll'!M$1,FALSE)-VLOOKUP($A226,EnrollData2324,'2324 Jun 24 Enroll'!J$1,FALSE),'District Calculations'!$F$16+'District Calculations'!$F$25-'District Calculations'!$F$17)*Apport_216A2425,3)</f>
        <v>59.057000000000002</v>
      </c>
      <c r="J226">
        <f>ROUND(SUM(D226:I226)/(IF(VLOOKUP($A226,EnrollData2324,'2324 Jun 24 Enroll'!M$1,FALSE)='District Calculations'!$F$25,VLOOKUP($A226,EnrollData2324,'2324 Jun 24 Enroll'!M$1,FALSE),'District Calculations'!$F$25)+IF(VLOOKUP($A226,EnrollData2324,'2324 Jun 24 Enroll'!D$1,FALSE)='District Calculations'!$F$11,VLOOKUP($A226,EnrollData2324,'2324 Jun 24 Enroll'!D$1,FALSE),'District Calculations'!$F$11)),5)</f>
        <v>5.6520000000000001E-2</v>
      </c>
      <c r="K226" s="11">
        <f t="shared" si="40"/>
        <v>4.385E-3</v>
      </c>
      <c r="L226">
        <f>ROUND(IF(VLOOKUP($A226,EnrollData2324,'2324 Jun 24 Enroll'!D$1,FALSE)='District Calculations'!$F$11,VLOOKUP($A226,EnrollData2324,'2324 Jun 24 Enroll'!D$1,FALSE),'District Calculations'!$F$11)*K226,3)</f>
        <v>0</v>
      </c>
      <c r="M226">
        <f>ROUND(IF(VLOOKUP($A226,EnrollData2324,'2324 Jun 24 Enroll'!E$1,FALSE)='District Calculations'!$F$12,VLOOKUP($A226,EnrollData2324,'2324 Jun 24 Enroll'!E$1,FALSE),'District Calculations'!$F$12)*K226,3)</f>
        <v>3.5539999999999998</v>
      </c>
      <c r="N226">
        <f>ROUND(IF(VLOOKUP($A226,EnrollData2324,'2324 Jun 24 Enroll'!F$1,FALSE)='District Calculations'!$F$13,VLOOKUP($A226,EnrollData2324,'2324 Jun 24 Enroll'!F$1,FALSE),'District Calculations'!$F$13)*Apport_223A2425,3)</f>
        <v>0.84599999999999997</v>
      </c>
      <c r="O226">
        <f>ROUND(IF(VLOOKUP($A226,EnrollData2324,'2324 Jun 24 Enroll'!G$1,FALSE)='District Calculations'!$F$14,VLOOKUP($A226,EnrollData2324,'2324 Jun 24 Enroll'!G$1,FALSE),'District Calculations'!$F$14)*Apport_211A2425,3)</f>
        <v>1.877</v>
      </c>
      <c r="P226">
        <f>ROUND(IF(VLOOKUP($A226,EnrollData2324,'2324 Jun 24 Enroll'!H$1,FALSE)='District Calculations'!$F$14,VLOOKUP($A226,EnrollData2324,'2324 Jun 24 Enroll'!H$1,FALSE),'District Calculations'!$F$14)*Apport_214A2425,3)</f>
        <v>1.875</v>
      </c>
      <c r="Q226">
        <f>ROUND(IF(VLOOKUP($A226,EnrollData2324,'2324 Jun 24 Enroll'!I$1,FALSE)+VLOOKUP($A226,EnrollData2324,'2324 Jun 24 Enroll'!M$1,FALSE)-VLOOKUP($A226,EnrollData2324,'2324 Jun 24 Enroll'!J$1,FALSE)='District Calculations'!$F$16+'District Calculations'!$F$25-'District Calculations'!$F$17,VLOOKUP($A226,EnrollData2324,'2324 Jun 24 Enroll'!I$1,FALSE)+VLOOKUP($A226,EnrollData2324,'2324 Jun 24 Enroll'!M$1,FALSE)-VLOOKUP($A226,EnrollData2324,'2324 Jun 24 Enroll'!J$1,FALSE),'District Calculations'!$F$16+'District Calculations'!$F$25-'District Calculations'!$F$17)*Apport_217A2425,3)</f>
        <v>4.7130000000000001</v>
      </c>
      <c r="R226">
        <f>ROUND(SUM(L226:Q226)/IF(VLOOKUP($A226,EnrollData2324,'2324 Jun 24 Enroll'!M$1,FALSE)+VLOOKUP($A226,EnrollData2324,'2324 Jun 24 Enroll'!D$1,FALSE)='District Calculations'!$F$25+'District Calculations'!$F$11,VLOOKUP($A226,EnrollData2324,'2324 Jun 24 Enroll'!M$1,FALSE)+VLOOKUP($A226,EnrollData2324,'2324 Jun 24 Enroll'!D$1,FALSE),'District Calculations'!$F$25+'District Calculations'!$F$11),5)</f>
        <v>4.1200000000000004E-3</v>
      </c>
      <c r="S226" s="11">
        <f t="shared" si="41"/>
        <v>1.8734299999999999E-2</v>
      </c>
      <c r="T226">
        <f>ROUND(IF(VLOOKUP($A226,EnrollData2324,'2324 Jun 24 Enroll'!D$1,FALSE)='District Calculations'!$F$11,VLOOKUP($A226,EnrollData2324,'2324 Jun 24 Enroll'!D$1,FALSE),'District Calculations'!$F$11)*S226,3)</f>
        <v>0</v>
      </c>
      <c r="U226">
        <f>ROUND(IF(VLOOKUP($A226,EnrollData2324,'2324 Jun 24 Enroll'!E$1,FALSE)='District Calculations'!$F$12,VLOOKUP($A226,EnrollData2324,'2324 Jun 24 Enroll'!E$1,FALSE),'District Calculations'!$F$12)*S226,3)</f>
        <v>15.183999999999999</v>
      </c>
      <c r="V226">
        <f>ROUND(IF(VLOOKUP($A226,EnrollData2324,'2324 Jun 24 Enroll'!F$1,FALSE)='District Calculations'!$F$13,VLOOKUP($A226,EnrollData2324,'2324 Jun 24 Enroll'!F$1,FALSE),'District Calculations'!$F$13)*Apport_224A2425,3)</f>
        <v>3.7109999999999999</v>
      </c>
      <c r="W226">
        <f>ROUND(IF(VLOOKUP($A226,EnrollData2324,'2324 Jun 24 Enroll'!G$1,FALSE)='District Calculations'!$F$14,VLOOKUP($A226,EnrollData2324,'2324 Jun 24 Enroll'!G$1,FALSE),'District Calculations'!$F$14)*Apport_212A2425,3)</f>
        <v>8.2279999999999998</v>
      </c>
      <c r="X226">
        <f>ROUND(IF(VLOOKUP($A226,EnrollData2324,'2324 Jun 24 Enroll'!H$1,FALSE)='District Calculations'!$F$14,VLOOKUP($A226,EnrollData2324,'2324 Jun 24 Enroll'!H$1,FALSE),'District Calculations'!$F$14)*Apport_215A2425,3)</f>
        <v>8.1180000000000003</v>
      </c>
      <c r="Y226">
        <f>ROUND(IF(VLOOKUP($A226,EnrollData2324,'2324 Jun 24 Enroll'!I$1,FALSE)+VLOOKUP($A226,EnrollData2324,'2324 Jun 24 Enroll'!M$1,FALSE)-VLOOKUP($A226,EnrollData2324,'2324 Jun 24 Enroll'!J$1,FALSE)='District Calculations'!$F$16+'District Calculations'!$F$25-'District Calculations'!$F$17,VLOOKUP($A226,EnrollData2324,'2324 Jun 24 Enroll'!I$1,FALSE)+VLOOKUP($A226,EnrollData2324,'2324 Jun 24 Enroll'!M$1,FALSE)-VLOOKUP($A226,EnrollData2324,'2324 Jun 24 Enroll'!J$1,FALSE),'District Calculations'!$F$16+'District Calculations'!$F$25-'District Calculations'!$F$17)*Apport_218A2425,3)</f>
        <v>20.257999999999999</v>
      </c>
      <c r="Z226">
        <f>ROUND(SUM(T226:Y226)/IF(VLOOKUP($A226,EnrollData2324,'2324 Jun 24 Enroll'!M$1,FALSE)+VLOOKUP($A226,EnrollData2324,'2324 Jun 24 Enroll'!D$1,FALSE)='District Calculations'!$F$25+'District Calculations'!$F$11,VLOOKUP($A226,EnrollData2324,'2324 Jun 24 Enroll'!M$1,FALSE)+VLOOKUP($A226,EnrollData2324,'2324 Jun 24 Enroll'!D$1,FALSE),'District Calculations'!$F$25+'District Calculations'!$F$11),5)</f>
        <v>1.7780000000000001E-2</v>
      </c>
      <c r="AA226" s="6">
        <f>ROUND($J226*CIS_Base_Salary2425*VLOOKUP($A226,EnrollData2324,'2324 Jun 24 Enroll'!AH$1,FALSE),2)</f>
        <v>4774.2</v>
      </c>
      <c r="AB226" s="6">
        <f>ROUND($J226*CIS_Inc_Salary2425*(VLOOKUP($A226,EnrollData2324,'2324 Jun 24 Enroll'!AI$1,FALSE)+VLOOKUP($A226,EnrollData2324,'2324 Jun 24 Enroll'!AJ$1,FALSE)),2)-AA226</f>
        <v>353.43000000000029</v>
      </c>
      <c r="AC226" s="6" cm="1">
        <f t="array" ref="AC226">ROUND($R226*CAS_Base_Salary2425*VLOOKUP($A226,EnrollData2324,'2324 Jun 24 Enroll'!AH$1,FALSE),2)</f>
        <v>516.58000000000004</v>
      </c>
      <c r="AD226" s="6">
        <f>ROUND($R226*CAS_Inc_Salary2425*VLOOKUP($A226,EnrollData2324,'2324 Jun 24 Enroll'!AI$1,FALSE),2)-AC226</f>
        <v>19.110000000000014</v>
      </c>
      <c r="AE226" s="6">
        <f>ROUND($Z226*CLS_Base_Salary2425*VLOOKUP($A226,EnrollData2324,'2324 Jun 24 Enroll'!AH$1,FALSE),2)</f>
        <v>1077.3900000000001</v>
      </c>
      <c r="AF226" s="6">
        <f>ROUND($Z226*CLS_Inc_Salary2425*VLOOKUP($A226,EnrollData2324,'2324 Jun 24 Enroll'!AI$1,FALSE),2)-AE226</f>
        <v>39.8599999999999</v>
      </c>
      <c r="AG226" cm="1">
        <f t="array" ref="AG226">ROUND(($J226+$R226)*Apport_124X2425,2)</f>
        <v>800.45</v>
      </c>
      <c r="AH226" s="69" cm="1">
        <f t="array" ref="AH226">ROUND(($J226+$R226)*Apport_621X2425*Apport_125XC2425,2)-AG226</f>
        <v>73.899999999999977</v>
      </c>
      <c r="AI226" cm="1">
        <f t="array" ref="AI226">ROUND($Z226*Apport_124X2425,2)</f>
        <v>234.7</v>
      </c>
      <c r="AJ226">
        <f t="shared" si="42"/>
        <v>124.71000000000004</v>
      </c>
      <c r="AK226">
        <f t="shared" si="43"/>
        <v>960.28</v>
      </c>
      <c r="AL226">
        <f t="shared" si="44"/>
        <v>65.23</v>
      </c>
      <c r="AM226">
        <f t="shared" si="45"/>
        <v>233.36</v>
      </c>
      <c r="AN226">
        <f t="shared" si="46"/>
        <v>7.24</v>
      </c>
      <c r="AO226">
        <f>ROUND(($J226*CIS_Inc_Salary2425*(VLOOKUP($A226,EnrollData2324,'2324 Jun 24 Enroll'!AI$1,FALSE)+VLOOKUP($A226,EnrollData2324,'2324 Jun 24 Enroll'!AJ$1,FALSE))/Apport_613Xpd)*Apport_614Xpd,2)</f>
        <v>85.46</v>
      </c>
      <c r="AP226">
        <f t="shared" si="47"/>
        <v>14.96</v>
      </c>
      <c r="AQ226">
        <f t="shared" si="48"/>
        <v>31.48</v>
      </c>
      <c r="AR226" s="6">
        <f>ROUND((VLOOKUP($A226,EnrollData2324,'2324 Jun 24 Enroll'!D$1,FALSE)*Apport_M802425+VLOOKUP($A226,EnrollData2324,'2324 Jun 24 Enroll'!M$1,FALSE)*Apport_M802425+(VLOOKUP($A226,EnrollData2324,'2324 Jun 24 Enroll'!P$1,FALSE)+VLOOKUP($A226,EnrollData2324,'2324 Jun 24 Enroll'!Q$1,FALSE)+VLOOKUP($A226,EnrollData2324,'2324 Jun 24 Enroll'!R$1,FALSE)+VLOOKUP($A226,EnrollData2324,'2324 Jun 24 Enroll'!I$1,FALSE)+VLOOKUP($A226,EnrollData2324,'2324 Jun 24 Enroll'!N$1,FALSE)+VLOOKUP($A226,EnrollData2324,'2324 Jun 24 Enroll'!O$1,FALSE)+VLOOKUP($A226,EnrollData2324,'2324 Jun 24 Enroll'!K$1,FALSE)+VLOOKUP($A226,EnrollData2324,'2324 Jun 24 Enroll'!L$1,FALSE))*Apport_M812425)/(VLOOKUP($A226,EnrollData2324,'2324 Jun 24 Enroll'!M$1,FALSE)+VLOOKUP($A226,EnrollData2324,'2324 Jun 24 Enroll'!D$1,FALSE)),2)</f>
        <v>1595.46</v>
      </c>
      <c r="AS226" s="7">
        <f t="shared" si="49"/>
        <v>11007.799999999996</v>
      </c>
    </row>
    <row r="227" spans="1:45">
      <c r="A227" s="40" t="s">
        <v>538</v>
      </c>
      <c r="B227" s="40" t="s">
        <v>539</v>
      </c>
      <c r="C227" s="11">
        <f>ROUND((IFERROR((1/IF(VLOOKUP($A227,EnrollData2324,28,FALSE)='District Calculations'!$F$10,VLOOKUP($A227,EnrollData2324,28,FALSE),'District Calculations'!$F$10))*(1+Apport_Z315),0))+Apport_201A2425,6)</f>
        <v>7.4580999999999995E-2</v>
      </c>
      <c r="D227">
        <f>ROUND(IF(VLOOKUP($A227,EnrollData2324,'2324 Jun 24 Enroll'!D$1,FALSE)='District Calculations'!$F$11,VLOOKUP($A227,EnrollData2324,'2324 Jun 24 Enroll'!D$1,FALSE),'District Calculations'!$F$11)*C227,3)</f>
        <v>0</v>
      </c>
      <c r="E227">
        <f>ROUND(IF(VLOOKUP($A227,EnrollData2324,'2324 Jun 24 Enroll'!E$1,FALSE)='District Calculations'!$F$12,VLOOKUP($A227,EnrollData2324,'2324 Jun 24 Enroll'!E$1,FALSE),'District Calculations'!$F$12)*C227,3)</f>
        <v>60.447000000000003</v>
      </c>
      <c r="F227">
        <f>ROUND(IF(VLOOKUP($A227,EnrollData2324,'2324 Jun 24 Enroll'!F$1,FALSE)='District Calculations'!$F$13,VLOOKUP($A227,EnrollData2324,'2324 Jun 24 Enroll'!F$1,FALSE),'District Calculations'!$F$13)*Apport_222A2425,3)</f>
        <v>10.337999999999999</v>
      </c>
      <c r="G227">
        <f>ROUND(IF(VLOOKUP($A227,EnrollData2324,'2324 Jun 24 Enroll'!G$1,FALSE)='District Calculations'!$F$14,VLOOKUP($A227,EnrollData2324,'2324 Jun 24 Enroll'!G$1,FALSE),'District Calculations'!$F$14)*Apport_210A2425,3)</f>
        <v>22.92</v>
      </c>
      <c r="H227">
        <f>ROUND(IF(VLOOKUP($A227,EnrollData2324,'2324 Jun 24 Enroll'!H$1,FALSE)='District Calculations'!$F$15,VLOOKUP($A227,EnrollData2324,'2324 Jun 24 Enroll'!H$1,FALSE),'District Calculations'!$F$15)*Apport_213A2425,3)</f>
        <v>23.619</v>
      </c>
      <c r="I227">
        <f>ROUND(IF(VLOOKUP($A227,EnrollData2324,'2324 Jun 24 Enroll'!I$1,FALSE)+VLOOKUP($A227,EnrollData2324,'2324 Jun 24 Enroll'!M$1,FALSE)-VLOOKUP($A227,EnrollData2324,'2324 Jun 24 Enroll'!J$1,FALSE)='District Calculations'!$F$16+'District Calculations'!$F$25-'District Calculations'!$F$17,VLOOKUP($A227,EnrollData2324,'2324 Jun 24 Enroll'!I$1,FALSE)+VLOOKUP($A227,EnrollData2324,'2324 Jun 24 Enroll'!M$1,FALSE)-VLOOKUP($A227,EnrollData2324,'2324 Jun 24 Enroll'!J$1,FALSE),'District Calculations'!$F$16+'District Calculations'!$F$25-'District Calculations'!$F$17)*Apport_216A2425,3)</f>
        <v>59.057000000000002</v>
      </c>
      <c r="J227">
        <f>ROUND(SUM(D227:I227)/(IF(VLOOKUP($A227,EnrollData2324,'2324 Jun 24 Enroll'!M$1,FALSE)='District Calculations'!$F$25,VLOOKUP($A227,EnrollData2324,'2324 Jun 24 Enroll'!M$1,FALSE),'District Calculations'!$F$25)+IF(VLOOKUP($A227,EnrollData2324,'2324 Jun 24 Enroll'!D$1,FALSE)='District Calculations'!$F$11,VLOOKUP($A227,EnrollData2324,'2324 Jun 24 Enroll'!D$1,FALSE),'District Calculations'!$F$11)),5)</f>
        <v>5.6520000000000001E-2</v>
      </c>
      <c r="K227" s="11">
        <f t="shared" ref="K227:K286" si="50">ROUND(((($C227+Apport_203A2425+Apport_202A2425)*Apport_557X)*Apport_558X)+Apport_202A2425,6)</f>
        <v>4.385E-3</v>
      </c>
      <c r="L227">
        <f>ROUND(IF(VLOOKUP($A227,EnrollData2324,'2324 Jun 24 Enroll'!D$1,FALSE)='District Calculations'!$F$11,VLOOKUP($A227,EnrollData2324,'2324 Jun 24 Enroll'!D$1,FALSE),'District Calculations'!$F$11)*K227,3)</f>
        <v>0</v>
      </c>
      <c r="M227">
        <f>ROUND(IF(VLOOKUP($A227,EnrollData2324,'2324 Jun 24 Enroll'!E$1,FALSE)='District Calculations'!$F$12,VLOOKUP($A227,EnrollData2324,'2324 Jun 24 Enroll'!E$1,FALSE),'District Calculations'!$F$12)*K227,3)</f>
        <v>3.5539999999999998</v>
      </c>
      <c r="N227">
        <f>ROUND(IF(VLOOKUP($A227,EnrollData2324,'2324 Jun 24 Enroll'!F$1,FALSE)='District Calculations'!$F$13,VLOOKUP($A227,EnrollData2324,'2324 Jun 24 Enroll'!F$1,FALSE),'District Calculations'!$F$13)*Apport_223A2425,3)</f>
        <v>0.84599999999999997</v>
      </c>
      <c r="O227">
        <f>ROUND(IF(VLOOKUP($A227,EnrollData2324,'2324 Jun 24 Enroll'!G$1,FALSE)='District Calculations'!$F$14,VLOOKUP($A227,EnrollData2324,'2324 Jun 24 Enroll'!G$1,FALSE),'District Calculations'!$F$14)*Apport_211A2425,3)</f>
        <v>1.877</v>
      </c>
      <c r="P227">
        <f>ROUND(IF(VLOOKUP($A227,EnrollData2324,'2324 Jun 24 Enroll'!H$1,FALSE)='District Calculations'!$F$14,VLOOKUP($A227,EnrollData2324,'2324 Jun 24 Enroll'!H$1,FALSE),'District Calculations'!$F$14)*Apport_214A2425,3)</f>
        <v>1.875</v>
      </c>
      <c r="Q227">
        <f>ROUND(IF(VLOOKUP($A227,EnrollData2324,'2324 Jun 24 Enroll'!I$1,FALSE)+VLOOKUP($A227,EnrollData2324,'2324 Jun 24 Enroll'!M$1,FALSE)-VLOOKUP($A227,EnrollData2324,'2324 Jun 24 Enroll'!J$1,FALSE)='District Calculations'!$F$16+'District Calculations'!$F$25-'District Calculations'!$F$17,VLOOKUP($A227,EnrollData2324,'2324 Jun 24 Enroll'!I$1,FALSE)+VLOOKUP($A227,EnrollData2324,'2324 Jun 24 Enroll'!M$1,FALSE)-VLOOKUP($A227,EnrollData2324,'2324 Jun 24 Enroll'!J$1,FALSE),'District Calculations'!$F$16+'District Calculations'!$F$25-'District Calculations'!$F$17)*Apport_217A2425,3)</f>
        <v>4.7130000000000001</v>
      </c>
      <c r="R227">
        <f>ROUND(SUM(L227:Q227)/IF(VLOOKUP($A227,EnrollData2324,'2324 Jun 24 Enroll'!M$1,FALSE)+VLOOKUP($A227,EnrollData2324,'2324 Jun 24 Enroll'!D$1,FALSE)='District Calculations'!$F$25+'District Calculations'!$F$11,VLOOKUP($A227,EnrollData2324,'2324 Jun 24 Enroll'!M$1,FALSE)+VLOOKUP($A227,EnrollData2324,'2324 Jun 24 Enroll'!D$1,FALSE),'District Calculations'!$F$25+'District Calculations'!$F$11),5)</f>
        <v>4.1200000000000004E-3</v>
      </c>
      <c r="S227" s="11">
        <f t="shared" ref="S227:S286" si="51">ROUND(((($C227+Apport_203A2425+Apport_202A2425)*Apport_557X)*Apport_559X)+Apport_203A2425,7)</f>
        <v>1.8734299999999999E-2</v>
      </c>
      <c r="T227">
        <f>ROUND(IF(VLOOKUP($A227,EnrollData2324,'2324 Jun 24 Enroll'!D$1,FALSE)='District Calculations'!$F$11,VLOOKUP($A227,EnrollData2324,'2324 Jun 24 Enroll'!D$1,FALSE),'District Calculations'!$F$11)*S227,3)</f>
        <v>0</v>
      </c>
      <c r="U227">
        <f>ROUND(IF(VLOOKUP($A227,EnrollData2324,'2324 Jun 24 Enroll'!E$1,FALSE)='District Calculations'!$F$12,VLOOKUP($A227,EnrollData2324,'2324 Jun 24 Enroll'!E$1,FALSE),'District Calculations'!$F$12)*S227,3)</f>
        <v>15.183999999999999</v>
      </c>
      <c r="V227">
        <f>ROUND(IF(VLOOKUP($A227,EnrollData2324,'2324 Jun 24 Enroll'!F$1,FALSE)='District Calculations'!$F$13,VLOOKUP($A227,EnrollData2324,'2324 Jun 24 Enroll'!F$1,FALSE),'District Calculations'!$F$13)*Apport_224A2425,3)</f>
        <v>3.7109999999999999</v>
      </c>
      <c r="W227">
        <f>ROUND(IF(VLOOKUP($A227,EnrollData2324,'2324 Jun 24 Enroll'!G$1,FALSE)='District Calculations'!$F$14,VLOOKUP($A227,EnrollData2324,'2324 Jun 24 Enroll'!G$1,FALSE),'District Calculations'!$F$14)*Apport_212A2425,3)</f>
        <v>8.2279999999999998</v>
      </c>
      <c r="X227">
        <f>ROUND(IF(VLOOKUP($A227,EnrollData2324,'2324 Jun 24 Enroll'!H$1,FALSE)='District Calculations'!$F$14,VLOOKUP($A227,EnrollData2324,'2324 Jun 24 Enroll'!H$1,FALSE),'District Calculations'!$F$14)*Apport_215A2425,3)</f>
        <v>8.1180000000000003</v>
      </c>
      <c r="Y227">
        <f>ROUND(IF(VLOOKUP($A227,EnrollData2324,'2324 Jun 24 Enroll'!I$1,FALSE)+VLOOKUP($A227,EnrollData2324,'2324 Jun 24 Enroll'!M$1,FALSE)-VLOOKUP($A227,EnrollData2324,'2324 Jun 24 Enroll'!J$1,FALSE)='District Calculations'!$F$16+'District Calculations'!$F$25-'District Calculations'!$F$17,VLOOKUP($A227,EnrollData2324,'2324 Jun 24 Enroll'!I$1,FALSE)+VLOOKUP($A227,EnrollData2324,'2324 Jun 24 Enroll'!M$1,FALSE)-VLOOKUP($A227,EnrollData2324,'2324 Jun 24 Enroll'!J$1,FALSE),'District Calculations'!$F$16+'District Calculations'!$F$25-'District Calculations'!$F$17)*Apport_218A2425,3)</f>
        <v>20.257999999999999</v>
      </c>
      <c r="Z227">
        <f>ROUND(SUM(T227:Y227)/IF(VLOOKUP($A227,EnrollData2324,'2324 Jun 24 Enroll'!M$1,FALSE)+VLOOKUP($A227,EnrollData2324,'2324 Jun 24 Enroll'!D$1,FALSE)='District Calculations'!$F$25+'District Calculations'!$F$11,VLOOKUP($A227,EnrollData2324,'2324 Jun 24 Enroll'!M$1,FALSE)+VLOOKUP($A227,EnrollData2324,'2324 Jun 24 Enroll'!D$1,FALSE),'District Calculations'!$F$25+'District Calculations'!$F$11),5)</f>
        <v>1.7780000000000001E-2</v>
      </c>
      <c r="AA227" s="6">
        <f>ROUND($J227*CIS_Base_Salary2425*VLOOKUP($A227,EnrollData2324,'2324 Jun 24 Enroll'!AH$1,FALSE),2)</f>
        <v>4774.2</v>
      </c>
      <c r="AB227" s="6">
        <f>ROUND($J227*CIS_Inc_Salary2425*(VLOOKUP($A227,EnrollData2324,'2324 Jun 24 Enroll'!AI$1,FALSE)+VLOOKUP($A227,EnrollData2324,'2324 Jun 24 Enroll'!AJ$1,FALSE)),2)-AA227</f>
        <v>220.82000000000062</v>
      </c>
      <c r="AC227" s="6" cm="1">
        <f t="array" ref="AC227">ROUND($R227*CAS_Base_Salary2425*VLOOKUP($A227,EnrollData2324,'2324 Jun 24 Enroll'!AH$1,FALSE),2)</f>
        <v>516.58000000000004</v>
      </c>
      <c r="AD227" s="6">
        <f>ROUND($R227*CAS_Inc_Salary2425*VLOOKUP($A227,EnrollData2324,'2324 Jun 24 Enroll'!AI$1,FALSE),2)-AC227</f>
        <v>19.110000000000014</v>
      </c>
      <c r="AE227" s="6">
        <f>ROUND($Z227*CLS_Base_Salary2425*VLOOKUP($A227,EnrollData2324,'2324 Jun 24 Enroll'!AH$1,FALSE),2)</f>
        <v>1077.3900000000001</v>
      </c>
      <c r="AF227" s="6">
        <f>ROUND($Z227*CLS_Inc_Salary2425*VLOOKUP($A227,EnrollData2324,'2324 Jun 24 Enroll'!AI$1,FALSE),2)-AE227</f>
        <v>39.8599999999999</v>
      </c>
      <c r="AG227" cm="1">
        <f t="array" ref="AG227">ROUND(($J227+$R227)*Apport_124X2425,2)</f>
        <v>800.45</v>
      </c>
      <c r="AH227" s="69" cm="1">
        <f t="array" ref="AH227">ROUND(($J227+$R227)*Apport_621X2425*Apport_125XC2425,2)-AG227</f>
        <v>73.899999999999977</v>
      </c>
      <c r="AI227" cm="1">
        <f t="array" ref="AI227">ROUND($Z227*Apport_124X2425,2)</f>
        <v>234.7</v>
      </c>
      <c r="AJ227">
        <f t="shared" ref="AJ227:AJ286" si="52">ROUND($Z227*Apport_621X2425*Apport_125X2425,2)-AI227</f>
        <v>124.71000000000004</v>
      </c>
      <c r="AK227">
        <f t="shared" ref="AK227:AK286" si="53">ROUND((AA227+AC227)*Apport_126X2425,2)</f>
        <v>960.28</v>
      </c>
      <c r="AL227">
        <f t="shared" ref="AL227:AL286" si="54">ROUND((AB227+AD227)*Apport_127X2425,2)</f>
        <v>42.01</v>
      </c>
      <c r="AM227">
        <f t="shared" ref="AM227:AM286" si="55">ROUND(AE227*Apport_128X2425,2)</f>
        <v>233.36</v>
      </c>
      <c r="AN227">
        <f t="shared" ref="AN227:AN286" si="56">ROUND(AF227*Apport_129X2425,2)</f>
        <v>7.24</v>
      </c>
      <c r="AO227">
        <f>ROUND(($J227*CIS_Inc_Salary2425*(VLOOKUP($A227,EnrollData2324,'2324 Jun 24 Enroll'!AI$1,FALSE)+VLOOKUP($A227,EnrollData2324,'2324 Jun 24 Enroll'!AJ$1,FALSE))/Apport_613Xpd)*Apport_614Xpd,2)</f>
        <v>83.25</v>
      </c>
      <c r="AP227">
        <f t="shared" ref="AP227:AP286" si="57">ROUND(AO227*Apport_127X2425,2)</f>
        <v>14.58</v>
      </c>
      <c r="AQ227">
        <f t="shared" si="48"/>
        <v>31.48</v>
      </c>
      <c r="AR227" s="6">
        <f>ROUND((VLOOKUP($A227,EnrollData2324,'2324 Jun 24 Enroll'!D$1,FALSE)*Apport_M802425+VLOOKUP($A227,EnrollData2324,'2324 Jun 24 Enroll'!M$1,FALSE)*Apport_M802425+(VLOOKUP($A227,EnrollData2324,'2324 Jun 24 Enroll'!P$1,FALSE)+VLOOKUP($A227,EnrollData2324,'2324 Jun 24 Enroll'!Q$1,FALSE)+VLOOKUP($A227,EnrollData2324,'2324 Jun 24 Enroll'!R$1,FALSE)+VLOOKUP($A227,EnrollData2324,'2324 Jun 24 Enroll'!I$1,FALSE)+VLOOKUP($A227,EnrollData2324,'2324 Jun 24 Enroll'!N$1,FALSE)+VLOOKUP($A227,EnrollData2324,'2324 Jun 24 Enroll'!O$1,FALSE)+VLOOKUP($A227,EnrollData2324,'2324 Jun 24 Enroll'!K$1,FALSE)+VLOOKUP($A227,EnrollData2324,'2324 Jun 24 Enroll'!L$1,FALSE))*Apport_M812425)/(VLOOKUP($A227,EnrollData2324,'2324 Jun 24 Enroll'!M$1,FALSE)+VLOOKUP($A227,EnrollData2324,'2324 Jun 24 Enroll'!D$1,FALSE)),2)</f>
        <v>1600.25</v>
      </c>
      <c r="AS227" s="7">
        <f t="shared" si="49"/>
        <v>10854.17</v>
      </c>
    </row>
    <row r="228" spans="1:45">
      <c r="A228" s="40" t="s">
        <v>404</v>
      </c>
      <c r="B228" s="40" t="s">
        <v>405</v>
      </c>
      <c r="C228" s="11">
        <f>ROUND((IFERROR((1/IF(VLOOKUP($A228,EnrollData2324,28,FALSE)='District Calculations'!$F$10,VLOOKUP($A228,EnrollData2324,28,FALSE),'District Calculations'!$F$10))*(1+Apport_Z315),0))+Apport_201A2425,6)</f>
        <v>7.4580999999999995E-2</v>
      </c>
      <c r="D228">
        <f>ROUND(IF(VLOOKUP($A228,EnrollData2324,'2324 Jun 24 Enroll'!D$1,FALSE)='District Calculations'!$F$11,VLOOKUP($A228,EnrollData2324,'2324 Jun 24 Enroll'!D$1,FALSE),'District Calculations'!$F$11)*C228,3)</f>
        <v>0</v>
      </c>
      <c r="E228">
        <f>ROUND(IF(VLOOKUP($A228,EnrollData2324,'2324 Jun 24 Enroll'!E$1,FALSE)='District Calculations'!$F$12,VLOOKUP($A228,EnrollData2324,'2324 Jun 24 Enroll'!E$1,FALSE),'District Calculations'!$F$12)*C228,3)</f>
        <v>60.447000000000003</v>
      </c>
      <c r="F228">
        <f>ROUND(IF(VLOOKUP($A228,EnrollData2324,'2324 Jun 24 Enroll'!F$1,FALSE)='District Calculations'!$F$13,VLOOKUP($A228,EnrollData2324,'2324 Jun 24 Enroll'!F$1,FALSE),'District Calculations'!$F$13)*Apport_222A2425,3)</f>
        <v>10.337999999999999</v>
      </c>
      <c r="G228">
        <f>ROUND(IF(VLOOKUP($A228,EnrollData2324,'2324 Jun 24 Enroll'!G$1,FALSE)='District Calculations'!$F$14,VLOOKUP($A228,EnrollData2324,'2324 Jun 24 Enroll'!G$1,FALSE),'District Calculations'!$F$14)*Apport_210A2425,3)</f>
        <v>22.92</v>
      </c>
      <c r="H228">
        <f>ROUND(IF(VLOOKUP($A228,EnrollData2324,'2324 Jun 24 Enroll'!H$1,FALSE)='District Calculations'!$F$15,VLOOKUP($A228,EnrollData2324,'2324 Jun 24 Enroll'!H$1,FALSE),'District Calculations'!$F$15)*Apport_213A2425,3)</f>
        <v>23.619</v>
      </c>
      <c r="I228">
        <f>ROUND(IF(VLOOKUP($A228,EnrollData2324,'2324 Jun 24 Enroll'!I$1,FALSE)+VLOOKUP($A228,EnrollData2324,'2324 Jun 24 Enroll'!M$1,FALSE)-VLOOKUP($A228,EnrollData2324,'2324 Jun 24 Enroll'!J$1,FALSE)='District Calculations'!$F$16+'District Calculations'!$F$25-'District Calculations'!$F$17,VLOOKUP($A228,EnrollData2324,'2324 Jun 24 Enroll'!I$1,FALSE)+VLOOKUP($A228,EnrollData2324,'2324 Jun 24 Enroll'!M$1,FALSE)-VLOOKUP($A228,EnrollData2324,'2324 Jun 24 Enroll'!J$1,FALSE),'District Calculations'!$F$16+'District Calculations'!$F$25-'District Calculations'!$F$17)*Apport_216A2425,3)</f>
        <v>59.057000000000002</v>
      </c>
      <c r="J228">
        <f>ROUND(SUM(D228:I228)/(IF(VLOOKUP($A228,EnrollData2324,'2324 Jun 24 Enroll'!M$1,FALSE)='District Calculations'!$F$25,VLOOKUP($A228,EnrollData2324,'2324 Jun 24 Enroll'!M$1,FALSE),'District Calculations'!$F$25)+IF(VLOOKUP($A228,EnrollData2324,'2324 Jun 24 Enroll'!D$1,FALSE)='District Calculations'!$F$11,VLOOKUP($A228,EnrollData2324,'2324 Jun 24 Enroll'!D$1,FALSE),'District Calculations'!$F$11)),5)</f>
        <v>5.6520000000000001E-2</v>
      </c>
      <c r="K228" s="11">
        <f t="shared" si="50"/>
        <v>4.385E-3</v>
      </c>
      <c r="L228">
        <f>ROUND(IF(VLOOKUP($A228,EnrollData2324,'2324 Jun 24 Enroll'!D$1,FALSE)='District Calculations'!$F$11,VLOOKUP($A228,EnrollData2324,'2324 Jun 24 Enroll'!D$1,FALSE),'District Calculations'!$F$11)*K228,3)</f>
        <v>0</v>
      </c>
      <c r="M228">
        <f>ROUND(IF(VLOOKUP($A228,EnrollData2324,'2324 Jun 24 Enroll'!E$1,FALSE)='District Calculations'!$F$12,VLOOKUP($A228,EnrollData2324,'2324 Jun 24 Enroll'!E$1,FALSE),'District Calculations'!$F$12)*K228,3)</f>
        <v>3.5539999999999998</v>
      </c>
      <c r="N228">
        <f>ROUND(IF(VLOOKUP($A228,EnrollData2324,'2324 Jun 24 Enroll'!F$1,FALSE)='District Calculations'!$F$13,VLOOKUP($A228,EnrollData2324,'2324 Jun 24 Enroll'!F$1,FALSE),'District Calculations'!$F$13)*Apport_223A2425,3)</f>
        <v>0.84599999999999997</v>
      </c>
      <c r="O228">
        <f>ROUND(IF(VLOOKUP($A228,EnrollData2324,'2324 Jun 24 Enroll'!G$1,FALSE)='District Calculations'!$F$14,VLOOKUP($A228,EnrollData2324,'2324 Jun 24 Enroll'!G$1,FALSE),'District Calculations'!$F$14)*Apport_211A2425,3)</f>
        <v>1.877</v>
      </c>
      <c r="P228">
        <f>ROUND(IF(VLOOKUP($A228,EnrollData2324,'2324 Jun 24 Enroll'!H$1,FALSE)='District Calculations'!$F$14,VLOOKUP($A228,EnrollData2324,'2324 Jun 24 Enroll'!H$1,FALSE),'District Calculations'!$F$14)*Apport_214A2425,3)</f>
        <v>1.875</v>
      </c>
      <c r="Q228">
        <f>ROUND(IF(VLOOKUP($A228,EnrollData2324,'2324 Jun 24 Enroll'!I$1,FALSE)+VLOOKUP($A228,EnrollData2324,'2324 Jun 24 Enroll'!M$1,FALSE)-VLOOKUP($A228,EnrollData2324,'2324 Jun 24 Enroll'!J$1,FALSE)='District Calculations'!$F$16+'District Calculations'!$F$25-'District Calculations'!$F$17,VLOOKUP($A228,EnrollData2324,'2324 Jun 24 Enroll'!I$1,FALSE)+VLOOKUP($A228,EnrollData2324,'2324 Jun 24 Enroll'!M$1,FALSE)-VLOOKUP($A228,EnrollData2324,'2324 Jun 24 Enroll'!J$1,FALSE),'District Calculations'!$F$16+'District Calculations'!$F$25-'District Calculations'!$F$17)*Apport_217A2425,3)</f>
        <v>4.7130000000000001</v>
      </c>
      <c r="R228">
        <f>ROUND(SUM(L228:Q228)/IF(VLOOKUP($A228,EnrollData2324,'2324 Jun 24 Enroll'!M$1,FALSE)+VLOOKUP($A228,EnrollData2324,'2324 Jun 24 Enroll'!D$1,FALSE)='District Calculations'!$F$25+'District Calculations'!$F$11,VLOOKUP($A228,EnrollData2324,'2324 Jun 24 Enroll'!M$1,FALSE)+VLOOKUP($A228,EnrollData2324,'2324 Jun 24 Enroll'!D$1,FALSE),'District Calculations'!$F$25+'District Calculations'!$F$11),5)</f>
        <v>4.1200000000000004E-3</v>
      </c>
      <c r="S228" s="11">
        <f t="shared" si="51"/>
        <v>1.8734299999999999E-2</v>
      </c>
      <c r="T228">
        <f>ROUND(IF(VLOOKUP($A228,EnrollData2324,'2324 Jun 24 Enroll'!D$1,FALSE)='District Calculations'!$F$11,VLOOKUP($A228,EnrollData2324,'2324 Jun 24 Enroll'!D$1,FALSE),'District Calculations'!$F$11)*S228,3)</f>
        <v>0</v>
      </c>
      <c r="U228">
        <f>ROUND(IF(VLOOKUP($A228,EnrollData2324,'2324 Jun 24 Enroll'!E$1,FALSE)='District Calculations'!$F$12,VLOOKUP($A228,EnrollData2324,'2324 Jun 24 Enroll'!E$1,FALSE),'District Calculations'!$F$12)*S228,3)</f>
        <v>15.183999999999999</v>
      </c>
      <c r="V228">
        <f>ROUND(IF(VLOOKUP($A228,EnrollData2324,'2324 Jun 24 Enroll'!F$1,FALSE)='District Calculations'!$F$13,VLOOKUP($A228,EnrollData2324,'2324 Jun 24 Enroll'!F$1,FALSE),'District Calculations'!$F$13)*Apport_224A2425,3)</f>
        <v>3.7109999999999999</v>
      </c>
      <c r="W228">
        <f>ROUND(IF(VLOOKUP($A228,EnrollData2324,'2324 Jun 24 Enroll'!G$1,FALSE)='District Calculations'!$F$14,VLOOKUP($A228,EnrollData2324,'2324 Jun 24 Enroll'!G$1,FALSE),'District Calculations'!$F$14)*Apport_212A2425,3)</f>
        <v>8.2279999999999998</v>
      </c>
      <c r="X228">
        <f>ROUND(IF(VLOOKUP($A228,EnrollData2324,'2324 Jun 24 Enroll'!H$1,FALSE)='District Calculations'!$F$14,VLOOKUP($A228,EnrollData2324,'2324 Jun 24 Enroll'!H$1,FALSE),'District Calculations'!$F$14)*Apport_215A2425,3)</f>
        <v>8.1180000000000003</v>
      </c>
      <c r="Y228">
        <f>ROUND(IF(VLOOKUP($A228,EnrollData2324,'2324 Jun 24 Enroll'!I$1,FALSE)+VLOOKUP($A228,EnrollData2324,'2324 Jun 24 Enroll'!M$1,FALSE)-VLOOKUP($A228,EnrollData2324,'2324 Jun 24 Enroll'!J$1,FALSE)='District Calculations'!$F$16+'District Calculations'!$F$25-'District Calculations'!$F$17,VLOOKUP($A228,EnrollData2324,'2324 Jun 24 Enroll'!I$1,FALSE)+VLOOKUP($A228,EnrollData2324,'2324 Jun 24 Enroll'!M$1,FALSE)-VLOOKUP($A228,EnrollData2324,'2324 Jun 24 Enroll'!J$1,FALSE),'District Calculations'!$F$16+'District Calculations'!$F$25-'District Calculations'!$F$17)*Apport_218A2425,3)</f>
        <v>20.257999999999999</v>
      </c>
      <c r="Z228">
        <f>ROUND(SUM(T228:Y228)/IF(VLOOKUP($A228,EnrollData2324,'2324 Jun 24 Enroll'!M$1,FALSE)+VLOOKUP($A228,EnrollData2324,'2324 Jun 24 Enroll'!D$1,FALSE)='District Calculations'!$F$25+'District Calculations'!$F$11,VLOOKUP($A228,EnrollData2324,'2324 Jun 24 Enroll'!M$1,FALSE)+VLOOKUP($A228,EnrollData2324,'2324 Jun 24 Enroll'!D$1,FALSE),'District Calculations'!$F$25+'District Calculations'!$F$11),5)</f>
        <v>1.7780000000000001E-2</v>
      </c>
      <c r="AA228" s="6">
        <f>ROUND($J228*CIS_Base_Salary2425*VLOOKUP($A228,EnrollData2324,'2324 Jun 24 Enroll'!AH$1,FALSE),2)</f>
        <v>4774.2</v>
      </c>
      <c r="AB228" s="6">
        <f>ROUND($J228*CIS_Inc_Salary2425*(VLOOKUP($A228,EnrollData2324,'2324 Jun 24 Enroll'!AI$1,FALSE)+VLOOKUP($A228,EnrollData2324,'2324 Jun 24 Enroll'!AJ$1,FALSE)),2)-AA228</f>
        <v>353.43000000000029</v>
      </c>
      <c r="AC228" s="6" cm="1">
        <f t="array" ref="AC228">ROUND($R228*CAS_Base_Salary2425*VLOOKUP($A228,EnrollData2324,'2324 Jun 24 Enroll'!AH$1,FALSE),2)</f>
        <v>516.58000000000004</v>
      </c>
      <c r="AD228" s="6">
        <f>ROUND($R228*CAS_Inc_Salary2425*VLOOKUP($A228,EnrollData2324,'2324 Jun 24 Enroll'!AI$1,FALSE),2)-AC228</f>
        <v>19.110000000000014</v>
      </c>
      <c r="AE228" s="6">
        <f>ROUND($Z228*CLS_Base_Salary2425*VLOOKUP($A228,EnrollData2324,'2324 Jun 24 Enroll'!AH$1,FALSE),2)</f>
        <v>1077.3900000000001</v>
      </c>
      <c r="AF228" s="6">
        <f>ROUND($Z228*CLS_Inc_Salary2425*VLOOKUP($A228,EnrollData2324,'2324 Jun 24 Enroll'!AI$1,FALSE),2)-AE228</f>
        <v>39.8599999999999</v>
      </c>
      <c r="AG228" cm="1">
        <f t="array" ref="AG228">ROUND(($J228+$R228)*Apport_124X2425,2)</f>
        <v>800.45</v>
      </c>
      <c r="AH228" s="69" cm="1">
        <f t="array" ref="AH228">ROUND(($J228+$R228)*Apport_621X2425*Apport_125XC2425,2)-AG228</f>
        <v>73.899999999999977</v>
      </c>
      <c r="AI228" cm="1">
        <f t="array" ref="AI228">ROUND($Z228*Apport_124X2425,2)</f>
        <v>234.7</v>
      </c>
      <c r="AJ228">
        <f t="shared" si="52"/>
        <v>124.71000000000004</v>
      </c>
      <c r="AK228">
        <f t="shared" si="53"/>
        <v>960.28</v>
      </c>
      <c r="AL228">
        <f t="shared" si="54"/>
        <v>65.23</v>
      </c>
      <c r="AM228">
        <f t="shared" si="55"/>
        <v>233.36</v>
      </c>
      <c r="AN228">
        <f t="shared" si="56"/>
        <v>7.24</v>
      </c>
      <c r="AO228">
        <f>ROUND(($J228*CIS_Inc_Salary2425*(VLOOKUP($A228,EnrollData2324,'2324 Jun 24 Enroll'!AI$1,FALSE)+VLOOKUP($A228,EnrollData2324,'2324 Jun 24 Enroll'!AJ$1,FALSE))/Apport_613Xpd)*Apport_614Xpd,2)</f>
        <v>85.46</v>
      </c>
      <c r="AP228">
        <f t="shared" si="57"/>
        <v>14.96</v>
      </c>
      <c r="AQ228">
        <f t="shared" si="48"/>
        <v>31.48</v>
      </c>
      <c r="AR228" s="6">
        <f>ROUND((VLOOKUP($A228,EnrollData2324,'2324 Jun 24 Enroll'!D$1,FALSE)*Apport_M802425+VLOOKUP($A228,EnrollData2324,'2324 Jun 24 Enroll'!M$1,FALSE)*Apport_M802425+(VLOOKUP($A228,EnrollData2324,'2324 Jun 24 Enroll'!P$1,FALSE)+VLOOKUP($A228,EnrollData2324,'2324 Jun 24 Enroll'!Q$1,FALSE)+VLOOKUP($A228,EnrollData2324,'2324 Jun 24 Enroll'!R$1,FALSE)+VLOOKUP($A228,EnrollData2324,'2324 Jun 24 Enroll'!I$1,FALSE)+VLOOKUP($A228,EnrollData2324,'2324 Jun 24 Enroll'!N$1,FALSE)+VLOOKUP($A228,EnrollData2324,'2324 Jun 24 Enroll'!O$1,FALSE)+VLOOKUP($A228,EnrollData2324,'2324 Jun 24 Enroll'!K$1,FALSE)+VLOOKUP($A228,EnrollData2324,'2324 Jun 24 Enroll'!L$1,FALSE))*Apport_M812425)/(VLOOKUP($A228,EnrollData2324,'2324 Jun 24 Enroll'!M$1,FALSE)+VLOOKUP($A228,EnrollData2324,'2324 Jun 24 Enroll'!D$1,FALSE)),2)</f>
        <v>1534.55</v>
      </c>
      <c r="AS228" s="7">
        <f t="shared" si="49"/>
        <v>10946.889999999996</v>
      </c>
    </row>
    <row r="229" spans="1:45">
      <c r="A229" s="40" t="s">
        <v>610</v>
      </c>
      <c r="B229" s="40" t="s">
        <v>611</v>
      </c>
      <c r="C229" s="11">
        <f>ROUND((IFERROR((1/IF(VLOOKUP($A229,EnrollData2324,28,FALSE)='District Calculations'!$F$10,VLOOKUP($A229,EnrollData2324,28,FALSE),'District Calculations'!$F$10))*(1+Apport_Z315),0))+Apport_201A2425,6)</f>
        <v>7.4580999999999995E-2</v>
      </c>
      <c r="D229">
        <f>ROUND(IF(VLOOKUP($A229,EnrollData2324,'2324 Jun 24 Enroll'!D$1,FALSE)='District Calculations'!$F$11,VLOOKUP($A229,EnrollData2324,'2324 Jun 24 Enroll'!D$1,FALSE),'District Calculations'!$F$11)*C229,3)</f>
        <v>0</v>
      </c>
      <c r="E229">
        <f>ROUND(IF(VLOOKUP($A229,EnrollData2324,'2324 Jun 24 Enroll'!E$1,FALSE)='District Calculations'!$F$12,VLOOKUP($A229,EnrollData2324,'2324 Jun 24 Enroll'!E$1,FALSE),'District Calculations'!$F$12)*C229,3)</f>
        <v>60.447000000000003</v>
      </c>
      <c r="F229">
        <f>ROUND(IF(VLOOKUP($A229,EnrollData2324,'2324 Jun 24 Enroll'!F$1,FALSE)='District Calculations'!$F$13,VLOOKUP($A229,EnrollData2324,'2324 Jun 24 Enroll'!F$1,FALSE),'District Calculations'!$F$13)*Apport_222A2425,3)</f>
        <v>10.337999999999999</v>
      </c>
      <c r="G229">
        <f>ROUND(IF(VLOOKUP($A229,EnrollData2324,'2324 Jun 24 Enroll'!G$1,FALSE)='District Calculations'!$F$14,VLOOKUP($A229,EnrollData2324,'2324 Jun 24 Enroll'!G$1,FALSE),'District Calculations'!$F$14)*Apport_210A2425,3)</f>
        <v>22.92</v>
      </c>
      <c r="H229">
        <f>ROUND(IF(VLOOKUP($A229,EnrollData2324,'2324 Jun 24 Enroll'!H$1,FALSE)='District Calculations'!$F$15,VLOOKUP($A229,EnrollData2324,'2324 Jun 24 Enroll'!H$1,FALSE),'District Calculations'!$F$15)*Apport_213A2425,3)</f>
        <v>23.619</v>
      </c>
      <c r="I229">
        <f>ROUND(IF(VLOOKUP($A229,EnrollData2324,'2324 Jun 24 Enroll'!I$1,FALSE)+VLOOKUP($A229,EnrollData2324,'2324 Jun 24 Enroll'!M$1,FALSE)-VLOOKUP($A229,EnrollData2324,'2324 Jun 24 Enroll'!J$1,FALSE)='District Calculations'!$F$16+'District Calculations'!$F$25-'District Calculations'!$F$17,VLOOKUP($A229,EnrollData2324,'2324 Jun 24 Enroll'!I$1,FALSE)+VLOOKUP($A229,EnrollData2324,'2324 Jun 24 Enroll'!M$1,FALSE)-VLOOKUP($A229,EnrollData2324,'2324 Jun 24 Enroll'!J$1,FALSE),'District Calculations'!$F$16+'District Calculations'!$F$25-'District Calculations'!$F$17)*Apport_216A2425,3)</f>
        <v>59.057000000000002</v>
      </c>
      <c r="J229">
        <f>ROUND(SUM(D229:I229)/(IF(VLOOKUP($A229,EnrollData2324,'2324 Jun 24 Enroll'!M$1,FALSE)='District Calculations'!$F$25,VLOOKUP($A229,EnrollData2324,'2324 Jun 24 Enroll'!M$1,FALSE),'District Calculations'!$F$25)+IF(VLOOKUP($A229,EnrollData2324,'2324 Jun 24 Enroll'!D$1,FALSE)='District Calculations'!$F$11,VLOOKUP($A229,EnrollData2324,'2324 Jun 24 Enroll'!D$1,FALSE),'District Calculations'!$F$11)),5)</f>
        <v>5.6520000000000001E-2</v>
      </c>
      <c r="K229" s="11">
        <f t="shared" si="50"/>
        <v>4.385E-3</v>
      </c>
      <c r="L229">
        <f>ROUND(IF(VLOOKUP($A229,EnrollData2324,'2324 Jun 24 Enroll'!D$1,FALSE)='District Calculations'!$F$11,VLOOKUP($A229,EnrollData2324,'2324 Jun 24 Enroll'!D$1,FALSE),'District Calculations'!$F$11)*K229,3)</f>
        <v>0</v>
      </c>
      <c r="M229">
        <f>ROUND(IF(VLOOKUP($A229,EnrollData2324,'2324 Jun 24 Enroll'!E$1,FALSE)='District Calculations'!$F$12,VLOOKUP($A229,EnrollData2324,'2324 Jun 24 Enroll'!E$1,FALSE),'District Calculations'!$F$12)*K229,3)</f>
        <v>3.5539999999999998</v>
      </c>
      <c r="N229">
        <f>ROUND(IF(VLOOKUP($A229,EnrollData2324,'2324 Jun 24 Enroll'!F$1,FALSE)='District Calculations'!$F$13,VLOOKUP($A229,EnrollData2324,'2324 Jun 24 Enroll'!F$1,FALSE),'District Calculations'!$F$13)*Apport_223A2425,3)</f>
        <v>0.84599999999999997</v>
      </c>
      <c r="O229">
        <f>ROUND(IF(VLOOKUP($A229,EnrollData2324,'2324 Jun 24 Enroll'!G$1,FALSE)='District Calculations'!$F$14,VLOOKUP($A229,EnrollData2324,'2324 Jun 24 Enroll'!G$1,FALSE),'District Calculations'!$F$14)*Apport_211A2425,3)</f>
        <v>1.877</v>
      </c>
      <c r="P229">
        <f>ROUND(IF(VLOOKUP($A229,EnrollData2324,'2324 Jun 24 Enroll'!H$1,FALSE)='District Calculations'!$F$14,VLOOKUP($A229,EnrollData2324,'2324 Jun 24 Enroll'!H$1,FALSE),'District Calculations'!$F$14)*Apport_214A2425,3)</f>
        <v>1.875</v>
      </c>
      <c r="Q229">
        <f>ROUND(IF(VLOOKUP($A229,EnrollData2324,'2324 Jun 24 Enroll'!I$1,FALSE)+VLOOKUP($A229,EnrollData2324,'2324 Jun 24 Enroll'!M$1,FALSE)-VLOOKUP($A229,EnrollData2324,'2324 Jun 24 Enroll'!J$1,FALSE)='District Calculations'!$F$16+'District Calculations'!$F$25-'District Calculations'!$F$17,VLOOKUP($A229,EnrollData2324,'2324 Jun 24 Enroll'!I$1,FALSE)+VLOOKUP($A229,EnrollData2324,'2324 Jun 24 Enroll'!M$1,FALSE)-VLOOKUP($A229,EnrollData2324,'2324 Jun 24 Enroll'!J$1,FALSE),'District Calculations'!$F$16+'District Calculations'!$F$25-'District Calculations'!$F$17)*Apport_217A2425,3)</f>
        <v>4.7130000000000001</v>
      </c>
      <c r="R229">
        <f>ROUND(SUM(L229:Q229)/IF(VLOOKUP($A229,EnrollData2324,'2324 Jun 24 Enroll'!M$1,FALSE)+VLOOKUP($A229,EnrollData2324,'2324 Jun 24 Enroll'!D$1,FALSE)='District Calculations'!$F$25+'District Calculations'!$F$11,VLOOKUP($A229,EnrollData2324,'2324 Jun 24 Enroll'!M$1,FALSE)+VLOOKUP($A229,EnrollData2324,'2324 Jun 24 Enroll'!D$1,FALSE),'District Calculations'!$F$25+'District Calculations'!$F$11),5)</f>
        <v>4.1200000000000004E-3</v>
      </c>
      <c r="S229" s="11">
        <f t="shared" si="51"/>
        <v>1.8734299999999999E-2</v>
      </c>
      <c r="T229">
        <f>ROUND(IF(VLOOKUP($A229,EnrollData2324,'2324 Jun 24 Enroll'!D$1,FALSE)='District Calculations'!$F$11,VLOOKUP($A229,EnrollData2324,'2324 Jun 24 Enroll'!D$1,FALSE),'District Calculations'!$F$11)*S229,3)</f>
        <v>0</v>
      </c>
      <c r="U229">
        <f>ROUND(IF(VLOOKUP($A229,EnrollData2324,'2324 Jun 24 Enroll'!E$1,FALSE)='District Calculations'!$F$12,VLOOKUP($A229,EnrollData2324,'2324 Jun 24 Enroll'!E$1,FALSE),'District Calculations'!$F$12)*S229,3)</f>
        <v>15.183999999999999</v>
      </c>
      <c r="V229">
        <f>ROUND(IF(VLOOKUP($A229,EnrollData2324,'2324 Jun 24 Enroll'!F$1,FALSE)='District Calculations'!$F$13,VLOOKUP($A229,EnrollData2324,'2324 Jun 24 Enroll'!F$1,FALSE),'District Calculations'!$F$13)*Apport_224A2425,3)</f>
        <v>3.7109999999999999</v>
      </c>
      <c r="W229">
        <f>ROUND(IF(VLOOKUP($A229,EnrollData2324,'2324 Jun 24 Enroll'!G$1,FALSE)='District Calculations'!$F$14,VLOOKUP($A229,EnrollData2324,'2324 Jun 24 Enroll'!G$1,FALSE),'District Calculations'!$F$14)*Apport_212A2425,3)</f>
        <v>8.2279999999999998</v>
      </c>
      <c r="X229">
        <f>ROUND(IF(VLOOKUP($A229,EnrollData2324,'2324 Jun 24 Enroll'!H$1,FALSE)='District Calculations'!$F$14,VLOOKUP($A229,EnrollData2324,'2324 Jun 24 Enroll'!H$1,FALSE),'District Calculations'!$F$14)*Apport_215A2425,3)</f>
        <v>8.1180000000000003</v>
      </c>
      <c r="Y229">
        <f>ROUND(IF(VLOOKUP($A229,EnrollData2324,'2324 Jun 24 Enroll'!I$1,FALSE)+VLOOKUP($A229,EnrollData2324,'2324 Jun 24 Enroll'!M$1,FALSE)-VLOOKUP($A229,EnrollData2324,'2324 Jun 24 Enroll'!J$1,FALSE)='District Calculations'!$F$16+'District Calculations'!$F$25-'District Calculations'!$F$17,VLOOKUP($A229,EnrollData2324,'2324 Jun 24 Enroll'!I$1,FALSE)+VLOOKUP($A229,EnrollData2324,'2324 Jun 24 Enroll'!M$1,FALSE)-VLOOKUP($A229,EnrollData2324,'2324 Jun 24 Enroll'!J$1,FALSE),'District Calculations'!$F$16+'District Calculations'!$F$25-'District Calculations'!$F$17)*Apport_218A2425,3)</f>
        <v>20.257999999999999</v>
      </c>
      <c r="Z229">
        <f>ROUND(SUM(T229:Y229)/IF(VLOOKUP($A229,EnrollData2324,'2324 Jun 24 Enroll'!M$1,FALSE)+VLOOKUP($A229,EnrollData2324,'2324 Jun 24 Enroll'!D$1,FALSE)='District Calculations'!$F$25+'District Calculations'!$F$11,VLOOKUP($A229,EnrollData2324,'2324 Jun 24 Enroll'!M$1,FALSE)+VLOOKUP($A229,EnrollData2324,'2324 Jun 24 Enroll'!D$1,FALSE),'District Calculations'!$F$25+'District Calculations'!$F$11),5)</f>
        <v>1.7780000000000001E-2</v>
      </c>
      <c r="AA229" s="6">
        <f>ROUND($J229*CIS_Base_Salary2425*VLOOKUP($A229,EnrollData2324,'2324 Jun 24 Enroll'!AH$1,FALSE),2)</f>
        <v>4774.2</v>
      </c>
      <c r="AB229" s="6">
        <f>ROUND($J229*CIS_Inc_Salary2425*(VLOOKUP($A229,EnrollData2324,'2324 Jun 24 Enroll'!AI$1,FALSE)+VLOOKUP($A229,EnrollData2324,'2324 Jun 24 Enroll'!AJ$1,FALSE)),2)-AA229</f>
        <v>176.61999999999989</v>
      </c>
      <c r="AC229" s="6" cm="1">
        <f t="array" ref="AC229">ROUND($R229*CAS_Base_Salary2425*VLOOKUP($A229,EnrollData2324,'2324 Jun 24 Enroll'!AH$1,FALSE),2)</f>
        <v>516.58000000000004</v>
      </c>
      <c r="AD229" s="6">
        <f>ROUND($R229*CAS_Inc_Salary2425*VLOOKUP($A229,EnrollData2324,'2324 Jun 24 Enroll'!AI$1,FALSE),2)-AC229</f>
        <v>19.110000000000014</v>
      </c>
      <c r="AE229" s="6">
        <f>ROUND($Z229*CLS_Base_Salary2425*VLOOKUP($A229,EnrollData2324,'2324 Jun 24 Enroll'!AH$1,FALSE),2)</f>
        <v>1077.3900000000001</v>
      </c>
      <c r="AF229" s="6">
        <f>ROUND($Z229*CLS_Inc_Salary2425*VLOOKUP($A229,EnrollData2324,'2324 Jun 24 Enroll'!AI$1,FALSE),2)-AE229</f>
        <v>39.8599999999999</v>
      </c>
      <c r="AG229" cm="1">
        <f t="array" ref="AG229">ROUND(($J229+$R229)*Apport_124X2425,2)</f>
        <v>800.45</v>
      </c>
      <c r="AH229" s="69" cm="1">
        <f t="array" ref="AH229">ROUND(($J229+$R229)*Apport_621X2425*Apport_125XC2425,2)-AG229</f>
        <v>73.899999999999977</v>
      </c>
      <c r="AI229" cm="1">
        <f t="array" ref="AI229">ROUND($Z229*Apport_124X2425,2)</f>
        <v>234.7</v>
      </c>
      <c r="AJ229">
        <f t="shared" si="52"/>
        <v>124.71000000000004</v>
      </c>
      <c r="AK229">
        <f t="shared" si="53"/>
        <v>960.28</v>
      </c>
      <c r="AL229">
        <f t="shared" si="54"/>
        <v>34.270000000000003</v>
      </c>
      <c r="AM229">
        <f t="shared" si="55"/>
        <v>233.36</v>
      </c>
      <c r="AN229">
        <f t="shared" si="56"/>
        <v>7.24</v>
      </c>
      <c r="AO229">
        <f>ROUND(($J229*CIS_Inc_Salary2425*(VLOOKUP($A229,EnrollData2324,'2324 Jun 24 Enroll'!AI$1,FALSE)+VLOOKUP($A229,EnrollData2324,'2324 Jun 24 Enroll'!AJ$1,FALSE))/Apport_613Xpd)*Apport_614Xpd,2)</f>
        <v>82.51</v>
      </c>
      <c r="AP229">
        <f t="shared" si="57"/>
        <v>14.45</v>
      </c>
      <c r="AQ229">
        <f t="shared" si="48"/>
        <v>31.48</v>
      </c>
      <c r="AR229" s="6">
        <f>ROUND((VLOOKUP($A229,EnrollData2324,'2324 Jun 24 Enroll'!D$1,FALSE)*Apport_M802425+VLOOKUP($A229,EnrollData2324,'2324 Jun 24 Enroll'!M$1,FALSE)*Apport_M802425+(VLOOKUP($A229,EnrollData2324,'2324 Jun 24 Enroll'!P$1,FALSE)+VLOOKUP($A229,EnrollData2324,'2324 Jun 24 Enroll'!Q$1,FALSE)+VLOOKUP($A229,EnrollData2324,'2324 Jun 24 Enroll'!R$1,FALSE)+VLOOKUP($A229,EnrollData2324,'2324 Jun 24 Enroll'!I$1,FALSE)+VLOOKUP($A229,EnrollData2324,'2324 Jun 24 Enroll'!N$1,FALSE)+VLOOKUP($A229,EnrollData2324,'2324 Jun 24 Enroll'!O$1,FALSE)+VLOOKUP($A229,EnrollData2324,'2324 Jun 24 Enroll'!K$1,FALSE)+VLOOKUP($A229,EnrollData2324,'2324 Jun 24 Enroll'!L$1,FALSE))*Apport_M812425)/(VLOOKUP($A229,EnrollData2324,'2324 Jun 24 Enroll'!M$1,FALSE)+VLOOKUP($A229,EnrollData2324,'2324 Jun 24 Enroll'!D$1,FALSE)),2)</f>
        <v>1614.78</v>
      </c>
      <c r="AS229" s="7">
        <f t="shared" si="49"/>
        <v>10815.890000000001</v>
      </c>
    </row>
    <row r="230" spans="1:45">
      <c r="A230" s="40" t="s">
        <v>458</v>
      </c>
      <c r="B230" s="40" t="s">
        <v>459</v>
      </c>
      <c r="C230" s="11">
        <f>ROUND((IFERROR((1/IF(VLOOKUP($A230,EnrollData2324,28,FALSE)='District Calculations'!$F$10,VLOOKUP($A230,EnrollData2324,28,FALSE),'District Calculations'!$F$10))*(1+Apport_Z315),0))+Apport_201A2425,6)</f>
        <v>7.4580999999999995E-2</v>
      </c>
      <c r="D230">
        <f>ROUND(IF(VLOOKUP($A230,EnrollData2324,'2324 Jun 24 Enroll'!D$1,FALSE)='District Calculations'!$F$11,VLOOKUP($A230,EnrollData2324,'2324 Jun 24 Enroll'!D$1,FALSE),'District Calculations'!$F$11)*C230,3)</f>
        <v>0</v>
      </c>
      <c r="E230">
        <f>ROUND(IF(VLOOKUP($A230,EnrollData2324,'2324 Jun 24 Enroll'!E$1,FALSE)='District Calculations'!$F$12,VLOOKUP($A230,EnrollData2324,'2324 Jun 24 Enroll'!E$1,FALSE),'District Calculations'!$F$12)*C230,3)</f>
        <v>60.447000000000003</v>
      </c>
      <c r="F230">
        <f>ROUND(IF(VLOOKUP($A230,EnrollData2324,'2324 Jun 24 Enroll'!F$1,FALSE)='District Calculations'!$F$13,VLOOKUP($A230,EnrollData2324,'2324 Jun 24 Enroll'!F$1,FALSE),'District Calculations'!$F$13)*Apport_222A2425,3)</f>
        <v>10.337999999999999</v>
      </c>
      <c r="G230">
        <f>ROUND(IF(VLOOKUP($A230,EnrollData2324,'2324 Jun 24 Enroll'!G$1,FALSE)='District Calculations'!$F$14,VLOOKUP($A230,EnrollData2324,'2324 Jun 24 Enroll'!G$1,FALSE),'District Calculations'!$F$14)*Apport_210A2425,3)</f>
        <v>22.92</v>
      </c>
      <c r="H230">
        <f>ROUND(IF(VLOOKUP($A230,EnrollData2324,'2324 Jun 24 Enroll'!H$1,FALSE)='District Calculations'!$F$15,VLOOKUP($A230,EnrollData2324,'2324 Jun 24 Enroll'!H$1,FALSE),'District Calculations'!$F$15)*Apport_213A2425,3)</f>
        <v>23.619</v>
      </c>
      <c r="I230">
        <f>ROUND(IF(VLOOKUP($A230,EnrollData2324,'2324 Jun 24 Enroll'!I$1,FALSE)+VLOOKUP($A230,EnrollData2324,'2324 Jun 24 Enroll'!M$1,FALSE)-VLOOKUP($A230,EnrollData2324,'2324 Jun 24 Enroll'!J$1,FALSE)='District Calculations'!$F$16+'District Calculations'!$F$25-'District Calculations'!$F$17,VLOOKUP($A230,EnrollData2324,'2324 Jun 24 Enroll'!I$1,FALSE)+VLOOKUP($A230,EnrollData2324,'2324 Jun 24 Enroll'!M$1,FALSE)-VLOOKUP($A230,EnrollData2324,'2324 Jun 24 Enroll'!J$1,FALSE),'District Calculations'!$F$16+'District Calculations'!$F$25-'District Calculations'!$F$17)*Apport_216A2425,3)</f>
        <v>59.057000000000002</v>
      </c>
      <c r="J230">
        <f>ROUND(SUM(D230:I230)/(IF(VLOOKUP($A230,EnrollData2324,'2324 Jun 24 Enroll'!M$1,FALSE)='District Calculations'!$F$25,VLOOKUP($A230,EnrollData2324,'2324 Jun 24 Enroll'!M$1,FALSE),'District Calculations'!$F$25)+IF(VLOOKUP($A230,EnrollData2324,'2324 Jun 24 Enroll'!D$1,FALSE)='District Calculations'!$F$11,VLOOKUP($A230,EnrollData2324,'2324 Jun 24 Enroll'!D$1,FALSE),'District Calculations'!$F$11)),5)</f>
        <v>5.6520000000000001E-2</v>
      </c>
      <c r="K230" s="11">
        <f t="shared" si="50"/>
        <v>4.385E-3</v>
      </c>
      <c r="L230">
        <f>ROUND(IF(VLOOKUP($A230,EnrollData2324,'2324 Jun 24 Enroll'!D$1,FALSE)='District Calculations'!$F$11,VLOOKUP($A230,EnrollData2324,'2324 Jun 24 Enroll'!D$1,FALSE),'District Calculations'!$F$11)*K230,3)</f>
        <v>0</v>
      </c>
      <c r="M230">
        <f>ROUND(IF(VLOOKUP($A230,EnrollData2324,'2324 Jun 24 Enroll'!E$1,FALSE)='District Calculations'!$F$12,VLOOKUP($A230,EnrollData2324,'2324 Jun 24 Enroll'!E$1,FALSE),'District Calculations'!$F$12)*K230,3)</f>
        <v>3.5539999999999998</v>
      </c>
      <c r="N230">
        <f>ROUND(IF(VLOOKUP($A230,EnrollData2324,'2324 Jun 24 Enroll'!F$1,FALSE)='District Calculations'!$F$13,VLOOKUP($A230,EnrollData2324,'2324 Jun 24 Enroll'!F$1,FALSE),'District Calculations'!$F$13)*Apport_223A2425,3)</f>
        <v>0.84599999999999997</v>
      </c>
      <c r="O230">
        <f>ROUND(IF(VLOOKUP($A230,EnrollData2324,'2324 Jun 24 Enroll'!G$1,FALSE)='District Calculations'!$F$14,VLOOKUP($A230,EnrollData2324,'2324 Jun 24 Enroll'!G$1,FALSE),'District Calculations'!$F$14)*Apport_211A2425,3)</f>
        <v>1.877</v>
      </c>
      <c r="P230">
        <f>ROUND(IF(VLOOKUP($A230,EnrollData2324,'2324 Jun 24 Enroll'!H$1,FALSE)='District Calculations'!$F$14,VLOOKUP($A230,EnrollData2324,'2324 Jun 24 Enroll'!H$1,FALSE),'District Calculations'!$F$14)*Apport_214A2425,3)</f>
        <v>1.875</v>
      </c>
      <c r="Q230">
        <f>ROUND(IF(VLOOKUP($A230,EnrollData2324,'2324 Jun 24 Enroll'!I$1,FALSE)+VLOOKUP($A230,EnrollData2324,'2324 Jun 24 Enroll'!M$1,FALSE)-VLOOKUP($A230,EnrollData2324,'2324 Jun 24 Enroll'!J$1,FALSE)='District Calculations'!$F$16+'District Calculations'!$F$25-'District Calculations'!$F$17,VLOOKUP($A230,EnrollData2324,'2324 Jun 24 Enroll'!I$1,FALSE)+VLOOKUP($A230,EnrollData2324,'2324 Jun 24 Enroll'!M$1,FALSE)-VLOOKUP($A230,EnrollData2324,'2324 Jun 24 Enroll'!J$1,FALSE),'District Calculations'!$F$16+'District Calculations'!$F$25-'District Calculations'!$F$17)*Apport_217A2425,3)</f>
        <v>4.7130000000000001</v>
      </c>
      <c r="R230">
        <f>ROUND(SUM(L230:Q230)/IF(VLOOKUP($A230,EnrollData2324,'2324 Jun 24 Enroll'!M$1,FALSE)+VLOOKUP($A230,EnrollData2324,'2324 Jun 24 Enroll'!D$1,FALSE)='District Calculations'!$F$25+'District Calculations'!$F$11,VLOOKUP($A230,EnrollData2324,'2324 Jun 24 Enroll'!M$1,FALSE)+VLOOKUP($A230,EnrollData2324,'2324 Jun 24 Enroll'!D$1,FALSE),'District Calculations'!$F$25+'District Calculations'!$F$11),5)</f>
        <v>4.1200000000000004E-3</v>
      </c>
      <c r="S230" s="11">
        <f t="shared" si="51"/>
        <v>1.8734299999999999E-2</v>
      </c>
      <c r="T230">
        <f>ROUND(IF(VLOOKUP($A230,EnrollData2324,'2324 Jun 24 Enroll'!D$1,FALSE)='District Calculations'!$F$11,VLOOKUP($A230,EnrollData2324,'2324 Jun 24 Enroll'!D$1,FALSE),'District Calculations'!$F$11)*S230,3)</f>
        <v>0</v>
      </c>
      <c r="U230">
        <f>ROUND(IF(VLOOKUP($A230,EnrollData2324,'2324 Jun 24 Enroll'!E$1,FALSE)='District Calculations'!$F$12,VLOOKUP($A230,EnrollData2324,'2324 Jun 24 Enroll'!E$1,FALSE),'District Calculations'!$F$12)*S230,3)</f>
        <v>15.183999999999999</v>
      </c>
      <c r="V230">
        <f>ROUND(IF(VLOOKUP($A230,EnrollData2324,'2324 Jun 24 Enroll'!F$1,FALSE)='District Calculations'!$F$13,VLOOKUP($A230,EnrollData2324,'2324 Jun 24 Enroll'!F$1,FALSE),'District Calculations'!$F$13)*Apport_224A2425,3)</f>
        <v>3.7109999999999999</v>
      </c>
      <c r="W230">
        <f>ROUND(IF(VLOOKUP($A230,EnrollData2324,'2324 Jun 24 Enroll'!G$1,FALSE)='District Calculations'!$F$14,VLOOKUP($A230,EnrollData2324,'2324 Jun 24 Enroll'!G$1,FALSE),'District Calculations'!$F$14)*Apport_212A2425,3)</f>
        <v>8.2279999999999998</v>
      </c>
      <c r="X230">
        <f>ROUND(IF(VLOOKUP($A230,EnrollData2324,'2324 Jun 24 Enroll'!H$1,FALSE)='District Calculations'!$F$14,VLOOKUP($A230,EnrollData2324,'2324 Jun 24 Enroll'!H$1,FALSE),'District Calculations'!$F$14)*Apport_215A2425,3)</f>
        <v>8.1180000000000003</v>
      </c>
      <c r="Y230">
        <f>ROUND(IF(VLOOKUP($A230,EnrollData2324,'2324 Jun 24 Enroll'!I$1,FALSE)+VLOOKUP($A230,EnrollData2324,'2324 Jun 24 Enroll'!M$1,FALSE)-VLOOKUP($A230,EnrollData2324,'2324 Jun 24 Enroll'!J$1,FALSE)='District Calculations'!$F$16+'District Calculations'!$F$25-'District Calculations'!$F$17,VLOOKUP($A230,EnrollData2324,'2324 Jun 24 Enroll'!I$1,FALSE)+VLOOKUP($A230,EnrollData2324,'2324 Jun 24 Enroll'!M$1,FALSE)-VLOOKUP($A230,EnrollData2324,'2324 Jun 24 Enroll'!J$1,FALSE),'District Calculations'!$F$16+'District Calculations'!$F$25-'District Calculations'!$F$17)*Apport_218A2425,3)</f>
        <v>20.257999999999999</v>
      </c>
      <c r="Z230">
        <f>ROUND(SUM(T230:Y230)/IF(VLOOKUP($A230,EnrollData2324,'2324 Jun 24 Enroll'!M$1,FALSE)+VLOOKUP($A230,EnrollData2324,'2324 Jun 24 Enroll'!D$1,FALSE)='District Calculations'!$F$25+'District Calculations'!$F$11,VLOOKUP($A230,EnrollData2324,'2324 Jun 24 Enroll'!M$1,FALSE)+VLOOKUP($A230,EnrollData2324,'2324 Jun 24 Enroll'!D$1,FALSE),'District Calculations'!$F$25+'District Calculations'!$F$11),5)</f>
        <v>1.7780000000000001E-2</v>
      </c>
      <c r="AA230" s="6">
        <f>ROUND($J230*CIS_Base_Salary2425*VLOOKUP($A230,EnrollData2324,'2324 Jun 24 Enroll'!AH$1,FALSE),2)</f>
        <v>5029.96</v>
      </c>
      <c r="AB230" s="6">
        <f>ROUND($J230*CIS_Inc_Salary2425*(VLOOKUP($A230,EnrollData2324,'2324 Jun 24 Enroll'!AI$1,FALSE)+VLOOKUP($A230,EnrollData2324,'2324 Jun 24 Enroll'!AJ$1,FALSE)),2)-AA230</f>
        <v>186.07999999999993</v>
      </c>
      <c r="AC230" s="6" cm="1">
        <f t="array" ref="AC230">ROUND($R230*CAS_Base_Salary2425*VLOOKUP($A230,EnrollData2324,'2324 Jun 24 Enroll'!AH$1,FALSE),2)</f>
        <v>544.26</v>
      </c>
      <c r="AD230" s="6">
        <f>ROUND($R230*CAS_Inc_Salary2425*VLOOKUP($A230,EnrollData2324,'2324 Jun 24 Enroll'!AI$1,FALSE),2)-AC230</f>
        <v>20.129999999999995</v>
      </c>
      <c r="AE230" s="6">
        <f>ROUND($Z230*CLS_Base_Salary2425*VLOOKUP($A230,EnrollData2324,'2324 Jun 24 Enroll'!AH$1,FALSE),2)</f>
        <v>1135.0999999999999</v>
      </c>
      <c r="AF230" s="6">
        <f>ROUND($Z230*CLS_Inc_Salary2425*VLOOKUP($A230,EnrollData2324,'2324 Jun 24 Enroll'!AI$1,FALSE),2)-AE230</f>
        <v>42.009999999999991</v>
      </c>
      <c r="AG230" cm="1">
        <f t="array" ref="AG230">ROUND(($J230+$R230)*Apport_124X2425,2)</f>
        <v>800.45</v>
      </c>
      <c r="AH230" s="69" cm="1">
        <f t="array" ref="AH230">ROUND(($J230+$R230)*Apport_621X2425*Apport_125XC2425,2)-AG230</f>
        <v>73.899999999999977</v>
      </c>
      <c r="AI230" cm="1">
        <f t="array" ref="AI230">ROUND($Z230*Apport_124X2425,2)</f>
        <v>234.7</v>
      </c>
      <c r="AJ230">
        <f t="shared" si="52"/>
        <v>124.71000000000004</v>
      </c>
      <c r="AK230">
        <f t="shared" si="53"/>
        <v>1011.72</v>
      </c>
      <c r="AL230">
        <f t="shared" si="54"/>
        <v>36.11</v>
      </c>
      <c r="AM230">
        <f t="shared" si="55"/>
        <v>245.86</v>
      </c>
      <c r="AN230">
        <f t="shared" si="56"/>
        <v>7.63</v>
      </c>
      <c r="AO230">
        <f>ROUND(($J230*CIS_Inc_Salary2425*(VLOOKUP($A230,EnrollData2324,'2324 Jun 24 Enroll'!AI$1,FALSE)+VLOOKUP($A230,EnrollData2324,'2324 Jun 24 Enroll'!AJ$1,FALSE))/Apport_613Xpd)*Apport_614Xpd,2)</f>
        <v>86.93</v>
      </c>
      <c r="AP230">
        <f t="shared" si="57"/>
        <v>15.22</v>
      </c>
      <c r="AQ230">
        <f t="shared" si="48"/>
        <v>31.48</v>
      </c>
      <c r="AR230" s="6">
        <f>ROUND((VLOOKUP($A230,EnrollData2324,'2324 Jun 24 Enroll'!D$1,FALSE)*Apport_M802425+VLOOKUP($A230,EnrollData2324,'2324 Jun 24 Enroll'!M$1,FALSE)*Apport_M802425+(VLOOKUP($A230,EnrollData2324,'2324 Jun 24 Enroll'!P$1,FALSE)+VLOOKUP($A230,EnrollData2324,'2324 Jun 24 Enroll'!Q$1,FALSE)+VLOOKUP($A230,EnrollData2324,'2324 Jun 24 Enroll'!R$1,FALSE)+VLOOKUP($A230,EnrollData2324,'2324 Jun 24 Enroll'!I$1,FALSE)+VLOOKUP($A230,EnrollData2324,'2324 Jun 24 Enroll'!N$1,FALSE)+VLOOKUP($A230,EnrollData2324,'2324 Jun 24 Enroll'!O$1,FALSE)+VLOOKUP($A230,EnrollData2324,'2324 Jun 24 Enroll'!K$1,FALSE)+VLOOKUP($A230,EnrollData2324,'2324 Jun 24 Enroll'!L$1,FALSE))*Apport_M812425)/(VLOOKUP($A230,EnrollData2324,'2324 Jun 24 Enroll'!M$1,FALSE)+VLOOKUP($A230,EnrollData2324,'2324 Jun 24 Enroll'!D$1,FALSE)),2)</f>
        <v>1592.37</v>
      </c>
      <c r="AS230" s="7">
        <f t="shared" si="49"/>
        <v>11218.619999999999</v>
      </c>
    </row>
    <row r="231" spans="1:45">
      <c r="A231" s="40" t="s">
        <v>546</v>
      </c>
      <c r="B231" s="40" t="s">
        <v>547</v>
      </c>
      <c r="C231" s="11">
        <f>ROUND((IFERROR((1/IF(VLOOKUP($A231,EnrollData2324,28,FALSE)='District Calculations'!$F$10,VLOOKUP($A231,EnrollData2324,28,FALSE),'District Calculations'!$F$10))*(1+Apport_Z315),0))+Apport_201A2425,6)</f>
        <v>7.4580999999999995E-2</v>
      </c>
      <c r="D231">
        <f>ROUND(IF(VLOOKUP($A231,EnrollData2324,'2324 Jun 24 Enroll'!D$1,FALSE)='District Calculations'!$F$11,VLOOKUP($A231,EnrollData2324,'2324 Jun 24 Enroll'!D$1,FALSE),'District Calculations'!$F$11)*C231,3)</f>
        <v>0</v>
      </c>
      <c r="E231">
        <f>ROUND(IF(VLOOKUP($A231,EnrollData2324,'2324 Jun 24 Enroll'!E$1,FALSE)='District Calculations'!$F$12,VLOOKUP($A231,EnrollData2324,'2324 Jun 24 Enroll'!E$1,FALSE),'District Calculations'!$F$12)*C231,3)</f>
        <v>60.447000000000003</v>
      </c>
      <c r="F231">
        <f>ROUND(IF(VLOOKUP($A231,EnrollData2324,'2324 Jun 24 Enroll'!F$1,FALSE)='District Calculations'!$F$13,VLOOKUP($A231,EnrollData2324,'2324 Jun 24 Enroll'!F$1,FALSE),'District Calculations'!$F$13)*Apport_222A2425,3)</f>
        <v>10.337999999999999</v>
      </c>
      <c r="G231">
        <f>ROUND(IF(VLOOKUP($A231,EnrollData2324,'2324 Jun 24 Enroll'!G$1,FALSE)='District Calculations'!$F$14,VLOOKUP($A231,EnrollData2324,'2324 Jun 24 Enroll'!G$1,FALSE),'District Calculations'!$F$14)*Apport_210A2425,3)</f>
        <v>22.92</v>
      </c>
      <c r="H231">
        <f>ROUND(IF(VLOOKUP($A231,EnrollData2324,'2324 Jun 24 Enroll'!H$1,FALSE)='District Calculations'!$F$15,VLOOKUP($A231,EnrollData2324,'2324 Jun 24 Enroll'!H$1,FALSE),'District Calculations'!$F$15)*Apport_213A2425,3)</f>
        <v>23.619</v>
      </c>
      <c r="I231">
        <f>ROUND(IF(VLOOKUP($A231,EnrollData2324,'2324 Jun 24 Enroll'!I$1,FALSE)+VLOOKUP($A231,EnrollData2324,'2324 Jun 24 Enroll'!M$1,FALSE)-VLOOKUP($A231,EnrollData2324,'2324 Jun 24 Enroll'!J$1,FALSE)='District Calculations'!$F$16+'District Calculations'!$F$25-'District Calculations'!$F$17,VLOOKUP($A231,EnrollData2324,'2324 Jun 24 Enroll'!I$1,FALSE)+VLOOKUP($A231,EnrollData2324,'2324 Jun 24 Enroll'!M$1,FALSE)-VLOOKUP($A231,EnrollData2324,'2324 Jun 24 Enroll'!J$1,FALSE),'District Calculations'!$F$16+'District Calculations'!$F$25-'District Calculations'!$F$17)*Apport_216A2425,3)</f>
        <v>59.057000000000002</v>
      </c>
      <c r="J231">
        <f>ROUND(SUM(D231:I231)/(IF(VLOOKUP($A231,EnrollData2324,'2324 Jun 24 Enroll'!M$1,FALSE)='District Calculations'!$F$25,VLOOKUP($A231,EnrollData2324,'2324 Jun 24 Enroll'!M$1,FALSE),'District Calculations'!$F$25)+IF(VLOOKUP($A231,EnrollData2324,'2324 Jun 24 Enroll'!D$1,FALSE)='District Calculations'!$F$11,VLOOKUP($A231,EnrollData2324,'2324 Jun 24 Enroll'!D$1,FALSE),'District Calculations'!$F$11)),5)</f>
        <v>5.6520000000000001E-2</v>
      </c>
      <c r="K231" s="11">
        <f t="shared" si="50"/>
        <v>4.385E-3</v>
      </c>
      <c r="L231">
        <f>ROUND(IF(VLOOKUP($A231,EnrollData2324,'2324 Jun 24 Enroll'!D$1,FALSE)='District Calculations'!$F$11,VLOOKUP($A231,EnrollData2324,'2324 Jun 24 Enroll'!D$1,FALSE),'District Calculations'!$F$11)*K231,3)</f>
        <v>0</v>
      </c>
      <c r="M231">
        <f>ROUND(IF(VLOOKUP($A231,EnrollData2324,'2324 Jun 24 Enroll'!E$1,FALSE)='District Calculations'!$F$12,VLOOKUP($A231,EnrollData2324,'2324 Jun 24 Enroll'!E$1,FALSE),'District Calculations'!$F$12)*K231,3)</f>
        <v>3.5539999999999998</v>
      </c>
      <c r="N231">
        <f>ROUND(IF(VLOOKUP($A231,EnrollData2324,'2324 Jun 24 Enroll'!F$1,FALSE)='District Calculations'!$F$13,VLOOKUP($A231,EnrollData2324,'2324 Jun 24 Enroll'!F$1,FALSE),'District Calculations'!$F$13)*Apport_223A2425,3)</f>
        <v>0.84599999999999997</v>
      </c>
      <c r="O231">
        <f>ROUND(IF(VLOOKUP($A231,EnrollData2324,'2324 Jun 24 Enroll'!G$1,FALSE)='District Calculations'!$F$14,VLOOKUP($A231,EnrollData2324,'2324 Jun 24 Enroll'!G$1,FALSE),'District Calculations'!$F$14)*Apport_211A2425,3)</f>
        <v>1.877</v>
      </c>
      <c r="P231">
        <f>ROUND(IF(VLOOKUP($A231,EnrollData2324,'2324 Jun 24 Enroll'!H$1,FALSE)='District Calculations'!$F$14,VLOOKUP($A231,EnrollData2324,'2324 Jun 24 Enroll'!H$1,FALSE),'District Calculations'!$F$14)*Apport_214A2425,3)</f>
        <v>1.875</v>
      </c>
      <c r="Q231">
        <f>ROUND(IF(VLOOKUP($A231,EnrollData2324,'2324 Jun 24 Enroll'!I$1,FALSE)+VLOOKUP($A231,EnrollData2324,'2324 Jun 24 Enroll'!M$1,FALSE)-VLOOKUP($A231,EnrollData2324,'2324 Jun 24 Enroll'!J$1,FALSE)='District Calculations'!$F$16+'District Calculations'!$F$25-'District Calculations'!$F$17,VLOOKUP($A231,EnrollData2324,'2324 Jun 24 Enroll'!I$1,FALSE)+VLOOKUP($A231,EnrollData2324,'2324 Jun 24 Enroll'!M$1,FALSE)-VLOOKUP($A231,EnrollData2324,'2324 Jun 24 Enroll'!J$1,FALSE),'District Calculations'!$F$16+'District Calculations'!$F$25-'District Calculations'!$F$17)*Apport_217A2425,3)</f>
        <v>4.7130000000000001</v>
      </c>
      <c r="R231">
        <f>ROUND(SUM(L231:Q231)/IF(VLOOKUP($A231,EnrollData2324,'2324 Jun 24 Enroll'!M$1,FALSE)+VLOOKUP($A231,EnrollData2324,'2324 Jun 24 Enroll'!D$1,FALSE)='District Calculations'!$F$25+'District Calculations'!$F$11,VLOOKUP($A231,EnrollData2324,'2324 Jun 24 Enroll'!M$1,FALSE)+VLOOKUP($A231,EnrollData2324,'2324 Jun 24 Enroll'!D$1,FALSE),'District Calculations'!$F$25+'District Calculations'!$F$11),5)</f>
        <v>4.1200000000000004E-3</v>
      </c>
      <c r="S231" s="11">
        <f t="shared" si="51"/>
        <v>1.8734299999999999E-2</v>
      </c>
      <c r="T231">
        <f>ROUND(IF(VLOOKUP($A231,EnrollData2324,'2324 Jun 24 Enroll'!D$1,FALSE)='District Calculations'!$F$11,VLOOKUP($A231,EnrollData2324,'2324 Jun 24 Enroll'!D$1,FALSE),'District Calculations'!$F$11)*S231,3)</f>
        <v>0</v>
      </c>
      <c r="U231">
        <f>ROUND(IF(VLOOKUP($A231,EnrollData2324,'2324 Jun 24 Enroll'!E$1,FALSE)='District Calculations'!$F$12,VLOOKUP($A231,EnrollData2324,'2324 Jun 24 Enroll'!E$1,FALSE),'District Calculations'!$F$12)*S231,3)</f>
        <v>15.183999999999999</v>
      </c>
      <c r="V231">
        <f>ROUND(IF(VLOOKUP($A231,EnrollData2324,'2324 Jun 24 Enroll'!F$1,FALSE)='District Calculations'!$F$13,VLOOKUP($A231,EnrollData2324,'2324 Jun 24 Enroll'!F$1,FALSE),'District Calculations'!$F$13)*Apport_224A2425,3)</f>
        <v>3.7109999999999999</v>
      </c>
      <c r="W231">
        <f>ROUND(IF(VLOOKUP($A231,EnrollData2324,'2324 Jun 24 Enroll'!G$1,FALSE)='District Calculations'!$F$14,VLOOKUP($A231,EnrollData2324,'2324 Jun 24 Enroll'!G$1,FALSE),'District Calculations'!$F$14)*Apport_212A2425,3)</f>
        <v>8.2279999999999998</v>
      </c>
      <c r="X231">
        <f>ROUND(IF(VLOOKUP($A231,EnrollData2324,'2324 Jun 24 Enroll'!H$1,FALSE)='District Calculations'!$F$14,VLOOKUP($A231,EnrollData2324,'2324 Jun 24 Enroll'!H$1,FALSE),'District Calculations'!$F$14)*Apport_215A2425,3)</f>
        <v>8.1180000000000003</v>
      </c>
      <c r="Y231">
        <f>ROUND(IF(VLOOKUP($A231,EnrollData2324,'2324 Jun 24 Enroll'!I$1,FALSE)+VLOOKUP($A231,EnrollData2324,'2324 Jun 24 Enroll'!M$1,FALSE)-VLOOKUP($A231,EnrollData2324,'2324 Jun 24 Enroll'!J$1,FALSE)='District Calculations'!$F$16+'District Calculations'!$F$25-'District Calculations'!$F$17,VLOOKUP($A231,EnrollData2324,'2324 Jun 24 Enroll'!I$1,FALSE)+VLOOKUP($A231,EnrollData2324,'2324 Jun 24 Enroll'!M$1,FALSE)-VLOOKUP($A231,EnrollData2324,'2324 Jun 24 Enroll'!J$1,FALSE),'District Calculations'!$F$16+'District Calculations'!$F$25-'District Calculations'!$F$17)*Apport_218A2425,3)</f>
        <v>20.257999999999999</v>
      </c>
      <c r="Z231">
        <f>ROUND(SUM(T231:Y231)/IF(VLOOKUP($A231,EnrollData2324,'2324 Jun 24 Enroll'!M$1,FALSE)+VLOOKUP($A231,EnrollData2324,'2324 Jun 24 Enroll'!D$1,FALSE)='District Calculations'!$F$25+'District Calculations'!$F$11,VLOOKUP($A231,EnrollData2324,'2324 Jun 24 Enroll'!M$1,FALSE)+VLOOKUP($A231,EnrollData2324,'2324 Jun 24 Enroll'!D$1,FALSE),'District Calculations'!$F$25+'District Calculations'!$F$11),5)</f>
        <v>1.7780000000000001E-2</v>
      </c>
      <c r="AA231" s="6">
        <f>ROUND($J231*CIS_Base_Salary2425*VLOOKUP($A231,EnrollData2324,'2324 Jun 24 Enroll'!AH$1,FALSE),2)</f>
        <v>5029.96</v>
      </c>
      <c r="AB231" s="6">
        <f>ROUND($J231*CIS_Inc_Salary2425*(VLOOKUP($A231,EnrollData2324,'2324 Jun 24 Enroll'!AI$1,FALSE)+VLOOKUP($A231,EnrollData2324,'2324 Jun 24 Enroll'!AJ$1,FALSE)),2)-AA231</f>
        <v>186.07999999999993</v>
      </c>
      <c r="AC231" s="6" cm="1">
        <f t="array" ref="AC231">ROUND($R231*CAS_Base_Salary2425*VLOOKUP($A231,EnrollData2324,'2324 Jun 24 Enroll'!AH$1,FALSE),2)</f>
        <v>544.26</v>
      </c>
      <c r="AD231" s="6">
        <f>ROUND($R231*CAS_Inc_Salary2425*VLOOKUP($A231,EnrollData2324,'2324 Jun 24 Enroll'!AI$1,FALSE),2)-AC231</f>
        <v>20.129999999999995</v>
      </c>
      <c r="AE231" s="6">
        <f>ROUND($Z231*CLS_Base_Salary2425*VLOOKUP($A231,EnrollData2324,'2324 Jun 24 Enroll'!AH$1,FALSE),2)</f>
        <v>1135.0999999999999</v>
      </c>
      <c r="AF231" s="6">
        <f>ROUND($Z231*CLS_Inc_Salary2425*VLOOKUP($A231,EnrollData2324,'2324 Jun 24 Enroll'!AI$1,FALSE),2)-AE231</f>
        <v>42.009999999999991</v>
      </c>
      <c r="AG231" cm="1">
        <f t="array" ref="AG231">ROUND(($J231+$R231)*Apport_124X2425,2)</f>
        <v>800.45</v>
      </c>
      <c r="AH231" s="69" cm="1">
        <f t="array" ref="AH231">ROUND(($J231+$R231)*Apport_621X2425*Apport_125XC2425,2)-AG231</f>
        <v>73.899999999999977</v>
      </c>
      <c r="AI231" cm="1">
        <f t="array" ref="AI231">ROUND($Z231*Apport_124X2425,2)</f>
        <v>234.7</v>
      </c>
      <c r="AJ231">
        <f t="shared" si="52"/>
        <v>124.71000000000004</v>
      </c>
      <c r="AK231">
        <f t="shared" si="53"/>
        <v>1011.72</v>
      </c>
      <c r="AL231">
        <f t="shared" si="54"/>
        <v>36.11</v>
      </c>
      <c r="AM231">
        <f t="shared" si="55"/>
        <v>245.86</v>
      </c>
      <c r="AN231">
        <f t="shared" si="56"/>
        <v>7.63</v>
      </c>
      <c r="AO231">
        <f>ROUND(($J231*CIS_Inc_Salary2425*(VLOOKUP($A231,EnrollData2324,'2324 Jun 24 Enroll'!AI$1,FALSE)+VLOOKUP($A231,EnrollData2324,'2324 Jun 24 Enroll'!AJ$1,FALSE))/Apport_613Xpd)*Apport_614Xpd,2)</f>
        <v>86.93</v>
      </c>
      <c r="AP231">
        <f t="shared" si="57"/>
        <v>15.22</v>
      </c>
      <c r="AQ231">
        <f t="shared" si="48"/>
        <v>31.48</v>
      </c>
      <c r="AR231" s="6">
        <f>ROUND((VLOOKUP($A231,EnrollData2324,'2324 Jun 24 Enroll'!D$1,FALSE)*Apport_M802425+VLOOKUP($A231,EnrollData2324,'2324 Jun 24 Enroll'!M$1,FALSE)*Apport_M802425+(VLOOKUP($A231,EnrollData2324,'2324 Jun 24 Enroll'!P$1,FALSE)+VLOOKUP($A231,EnrollData2324,'2324 Jun 24 Enroll'!Q$1,FALSE)+VLOOKUP($A231,EnrollData2324,'2324 Jun 24 Enroll'!R$1,FALSE)+VLOOKUP($A231,EnrollData2324,'2324 Jun 24 Enroll'!I$1,FALSE)+VLOOKUP($A231,EnrollData2324,'2324 Jun 24 Enroll'!N$1,FALSE)+VLOOKUP($A231,EnrollData2324,'2324 Jun 24 Enroll'!O$1,FALSE)+VLOOKUP($A231,EnrollData2324,'2324 Jun 24 Enroll'!K$1,FALSE)+VLOOKUP($A231,EnrollData2324,'2324 Jun 24 Enroll'!L$1,FALSE))*Apport_M812425)/(VLOOKUP($A231,EnrollData2324,'2324 Jun 24 Enroll'!M$1,FALSE)+VLOOKUP($A231,EnrollData2324,'2324 Jun 24 Enroll'!D$1,FALSE)),2)</f>
        <v>1594.78</v>
      </c>
      <c r="AS231" s="7">
        <f t="shared" si="49"/>
        <v>11221.03</v>
      </c>
    </row>
    <row r="232" spans="1:45">
      <c r="A232" s="40" t="s">
        <v>612</v>
      </c>
      <c r="B232" s="40" t="s">
        <v>613</v>
      </c>
      <c r="C232" s="11">
        <f>ROUND((IFERROR((1/IF(VLOOKUP($A232,EnrollData2324,28,FALSE)='District Calculations'!$F$10,VLOOKUP($A232,EnrollData2324,28,FALSE),'District Calculations'!$F$10))*(1+Apport_Z315),0))+Apport_201A2425,6)</f>
        <v>7.4580999999999995E-2</v>
      </c>
      <c r="D232">
        <f>ROUND(IF(VLOOKUP($A232,EnrollData2324,'2324 Jun 24 Enroll'!D$1,FALSE)='District Calculations'!$F$11,VLOOKUP($A232,EnrollData2324,'2324 Jun 24 Enroll'!D$1,FALSE),'District Calculations'!$F$11)*C232,3)</f>
        <v>0</v>
      </c>
      <c r="E232">
        <f>ROUND(IF(VLOOKUP($A232,EnrollData2324,'2324 Jun 24 Enroll'!E$1,FALSE)='District Calculations'!$F$12,VLOOKUP($A232,EnrollData2324,'2324 Jun 24 Enroll'!E$1,FALSE),'District Calculations'!$F$12)*C232,3)</f>
        <v>60.447000000000003</v>
      </c>
      <c r="F232">
        <f>ROUND(IF(VLOOKUP($A232,EnrollData2324,'2324 Jun 24 Enroll'!F$1,FALSE)='District Calculations'!$F$13,VLOOKUP($A232,EnrollData2324,'2324 Jun 24 Enroll'!F$1,FALSE),'District Calculations'!$F$13)*Apport_222A2425,3)</f>
        <v>10.337999999999999</v>
      </c>
      <c r="G232">
        <f>ROUND(IF(VLOOKUP($A232,EnrollData2324,'2324 Jun 24 Enroll'!G$1,FALSE)='District Calculations'!$F$14,VLOOKUP($A232,EnrollData2324,'2324 Jun 24 Enroll'!G$1,FALSE),'District Calculations'!$F$14)*Apport_210A2425,3)</f>
        <v>22.92</v>
      </c>
      <c r="H232">
        <f>ROUND(IF(VLOOKUP($A232,EnrollData2324,'2324 Jun 24 Enroll'!H$1,FALSE)='District Calculations'!$F$15,VLOOKUP($A232,EnrollData2324,'2324 Jun 24 Enroll'!H$1,FALSE),'District Calculations'!$F$15)*Apport_213A2425,3)</f>
        <v>23.619</v>
      </c>
      <c r="I232">
        <f>ROUND(IF(VLOOKUP($A232,EnrollData2324,'2324 Jun 24 Enroll'!I$1,FALSE)+VLOOKUP($A232,EnrollData2324,'2324 Jun 24 Enroll'!M$1,FALSE)-VLOOKUP($A232,EnrollData2324,'2324 Jun 24 Enroll'!J$1,FALSE)='District Calculations'!$F$16+'District Calculations'!$F$25-'District Calculations'!$F$17,VLOOKUP($A232,EnrollData2324,'2324 Jun 24 Enroll'!I$1,FALSE)+VLOOKUP($A232,EnrollData2324,'2324 Jun 24 Enroll'!M$1,FALSE)-VLOOKUP($A232,EnrollData2324,'2324 Jun 24 Enroll'!J$1,FALSE),'District Calculations'!$F$16+'District Calculations'!$F$25-'District Calculations'!$F$17)*Apport_216A2425,3)</f>
        <v>59.057000000000002</v>
      </c>
      <c r="J232">
        <f>ROUND(SUM(D232:I232)/(IF(VLOOKUP($A232,EnrollData2324,'2324 Jun 24 Enroll'!M$1,FALSE)='District Calculations'!$F$25,VLOOKUP($A232,EnrollData2324,'2324 Jun 24 Enroll'!M$1,FALSE),'District Calculations'!$F$25)+IF(VLOOKUP($A232,EnrollData2324,'2324 Jun 24 Enroll'!D$1,FALSE)='District Calculations'!$F$11,VLOOKUP($A232,EnrollData2324,'2324 Jun 24 Enroll'!D$1,FALSE),'District Calculations'!$F$11)),5)</f>
        <v>5.6520000000000001E-2</v>
      </c>
      <c r="K232" s="11">
        <f t="shared" si="50"/>
        <v>4.385E-3</v>
      </c>
      <c r="L232">
        <f>ROUND(IF(VLOOKUP($A232,EnrollData2324,'2324 Jun 24 Enroll'!D$1,FALSE)='District Calculations'!$F$11,VLOOKUP($A232,EnrollData2324,'2324 Jun 24 Enroll'!D$1,FALSE),'District Calculations'!$F$11)*K232,3)</f>
        <v>0</v>
      </c>
      <c r="M232">
        <f>ROUND(IF(VLOOKUP($A232,EnrollData2324,'2324 Jun 24 Enroll'!E$1,FALSE)='District Calculations'!$F$12,VLOOKUP($A232,EnrollData2324,'2324 Jun 24 Enroll'!E$1,FALSE),'District Calculations'!$F$12)*K232,3)</f>
        <v>3.5539999999999998</v>
      </c>
      <c r="N232">
        <f>ROUND(IF(VLOOKUP($A232,EnrollData2324,'2324 Jun 24 Enroll'!F$1,FALSE)='District Calculations'!$F$13,VLOOKUP($A232,EnrollData2324,'2324 Jun 24 Enroll'!F$1,FALSE),'District Calculations'!$F$13)*Apport_223A2425,3)</f>
        <v>0.84599999999999997</v>
      </c>
      <c r="O232">
        <f>ROUND(IF(VLOOKUP($A232,EnrollData2324,'2324 Jun 24 Enroll'!G$1,FALSE)='District Calculations'!$F$14,VLOOKUP($A232,EnrollData2324,'2324 Jun 24 Enroll'!G$1,FALSE),'District Calculations'!$F$14)*Apport_211A2425,3)</f>
        <v>1.877</v>
      </c>
      <c r="P232">
        <f>ROUND(IF(VLOOKUP($A232,EnrollData2324,'2324 Jun 24 Enroll'!H$1,FALSE)='District Calculations'!$F$14,VLOOKUP($A232,EnrollData2324,'2324 Jun 24 Enroll'!H$1,FALSE),'District Calculations'!$F$14)*Apport_214A2425,3)</f>
        <v>1.875</v>
      </c>
      <c r="Q232">
        <f>ROUND(IF(VLOOKUP($A232,EnrollData2324,'2324 Jun 24 Enroll'!I$1,FALSE)+VLOOKUP($A232,EnrollData2324,'2324 Jun 24 Enroll'!M$1,FALSE)-VLOOKUP($A232,EnrollData2324,'2324 Jun 24 Enroll'!J$1,FALSE)='District Calculations'!$F$16+'District Calculations'!$F$25-'District Calculations'!$F$17,VLOOKUP($A232,EnrollData2324,'2324 Jun 24 Enroll'!I$1,FALSE)+VLOOKUP($A232,EnrollData2324,'2324 Jun 24 Enroll'!M$1,FALSE)-VLOOKUP($A232,EnrollData2324,'2324 Jun 24 Enroll'!J$1,FALSE),'District Calculations'!$F$16+'District Calculations'!$F$25-'District Calculations'!$F$17)*Apport_217A2425,3)</f>
        <v>4.7130000000000001</v>
      </c>
      <c r="R232">
        <f>ROUND(SUM(L232:Q232)/IF(VLOOKUP($A232,EnrollData2324,'2324 Jun 24 Enroll'!M$1,FALSE)+VLOOKUP($A232,EnrollData2324,'2324 Jun 24 Enroll'!D$1,FALSE)='District Calculations'!$F$25+'District Calculations'!$F$11,VLOOKUP($A232,EnrollData2324,'2324 Jun 24 Enroll'!M$1,FALSE)+VLOOKUP($A232,EnrollData2324,'2324 Jun 24 Enroll'!D$1,FALSE),'District Calculations'!$F$25+'District Calculations'!$F$11),5)</f>
        <v>4.1200000000000004E-3</v>
      </c>
      <c r="S232" s="11">
        <f t="shared" si="51"/>
        <v>1.8734299999999999E-2</v>
      </c>
      <c r="T232">
        <f>ROUND(IF(VLOOKUP($A232,EnrollData2324,'2324 Jun 24 Enroll'!D$1,FALSE)='District Calculations'!$F$11,VLOOKUP($A232,EnrollData2324,'2324 Jun 24 Enroll'!D$1,FALSE),'District Calculations'!$F$11)*S232,3)</f>
        <v>0</v>
      </c>
      <c r="U232">
        <f>ROUND(IF(VLOOKUP($A232,EnrollData2324,'2324 Jun 24 Enroll'!E$1,FALSE)='District Calculations'!$F$12,VLOOKUP($A232,EnrollData2324,'2324 Jun 24 Enroll'!E$1,FALSE),'District Calculations'!$F$12)*S232,3)</f>
        <v>15.183999999999999</v>
      </c>
      <c r="V232">
        <f>ROUND(IF(VLOOKUP($A232,EnrollData2324,'2324 Jun 24 Enroll'!F$1,FALSE)='District Calculations'!$F$13,VLOOKUP($A232,EnrollData2324,'2324 Jun 24 Enroll'!F$1,FALSE),'District Calculations'!$F$13)*Apport_224A2425,3)</f>
        <v>3.7109999999999999</v>
      </c>
      <c r="W232">
        <f>ROUND(IF(VLOOKUP($A232,EnrollData2324,'2324 Jun 24 Enroll'!G$1,FALSE)='District Calculations'!$F$14,VLOOKUP($A232,EnrollData2324,'2324 Jun 24 Enroll'!G$1,FALSE),'District Calculations'!$F$14)*Apport_212A2425,3)</f>
        <v>8.2279999999999998</v>
      </c>
      <c r="X232">
        <f>ROUND(IF(VLOOKUP($A232,EnrollData2324,'2324 Jun 24 Enroll'!H$1,FALSE)='District Calculations'!$F$14,VLOOKUP($A232,EnrollData2324,'2324 Jun 24 Enroll'!H$1,FALSE),'District Calculations'!$F$14)*Apport_215A2425,3)</f>
        <v>8.1180000000000003</v>
      </c>
      <c r="Y232">
        <f>ROUND(IF(VLOOKUP($A232,EnrollData2324,'2324 Jun 24 Enroll'!I$1,FALSE)+VLOOKUP($A232,EnrollData2324,'2324 Jun 24 Enroll'!M$1,FALSE)-VLOOKUP($A232,EnrollData2324,'2324 Jun 24 Enroll'!J$1,FALSE)='District Calculations'!$F$16+'District Calculations'!$F$25-'District Calculations'!$F$17,VLOOKUP($A232,EnrollData2324,'2324 Jun 24 Enroll'!I$1,FALSE)+VLOOKUP($A232,EnrollData2324,'2324 Jun 24 Enroll'!M$1,FALSE)-VLOOKUP($A232,EnrollData2324,'2324 Jun 24 Enroll'!J$1,FALSE),'District Calculations'!$F$16+'District Calculations'!$F$25-'District Calculations'!$F$17)*Apport_218A2425,3)</f>
        <v>20.257999999999999</v>
      </c>
      <c r="Z232">
        <f>ROUND(SUM(T232:Y232)/IF(VLOOKUP($A232,EnrollData2324,'2324 Jun 24 Enroll'!M$1,FALSE)+VLOOKUP($A232,EnrollData2324,'2324 Jun 24 Enroll'!D$1,FALSE)='District Calculations'!$F$25+'District Calculations'!$F$11,VLOOKUP($A232,EnrollData2324,'2324 Jun 24 Enroll'!M$1,FALSE)+VLOOKUP($A232,EnrollData2324,'2324 Jun 24 Enroll'!D$1,FALSE),'District Calculations'!$F$25+'District Calculations'!$F$11),5)</f>
        <v>1.7780000000000001E-2</v>
      </c>
      <c r="AA232" s="6">
        <f>ROUND($J232*CIS_Base_Salary2425*VLOOKUP($A232,EnrollData2324,'2324 Jun 24 Enroll'!AH$1,FALSE),2)</f>
        <v>5029.96</v>
      </c>
      <c r="AB232" s="6">
        <f>ROUND($J232*CIS_Inc_Salary2425*(VLOOKUP($A232,EnrollData2324,'2324 Jun 24 Enroll'!AI$1,FALSE)+VLOOKUP($A232,EnrollData2324,'2324 Jun 24 Enroll'!AJ$1,FALSE)),2)-AA232</f>
        <v>186.07999999999993</v>
      </c>
      <c r="AC232" s="6" cm="1">
        <f t="array" ref="AC232">ROUND($R232*CAS_Base_Salary2425*VLOOKUP($A232,EnrollData2324,'2324 Jun 24 Enroll'!AH$1,FALSE),2)</f>
        <v>544.26</v>
      </c>
      <c r="AD232" s="6">
        <f>ROUND($R232*CAS_Inc_Salary2425*VLOOKUP($A232,EnrollData2324,'2324 Jun 24 Enroll'!AI$1,FALSE),2)-AC232</f>
        <v>20.129999999999995</v>
      </c>
      <c r="AE232" s="6">
        <f>ROUND($Z232*CLS_Base_Salary2425*VLOOKUP($A232,EnrollData2324,'2324 Jun 24 Enroll'!AH$1,FALSE),2)</f>
        <v>1135.0999999999999</v>
      </c>
      <c r="AF232" s="6">
        <f>ROUND($Z232*CLS_Inc_Salary2425*VLOOKUP($A232,EnrollData2324,'2324 Jun 24 Enroll'!AI$1,FALSE),2)-AE232</f>
        <v>42.009999999999991</v>
      </c>
      <c r="AG232" cm="1">
        <f t="array" ref="AG232">ROUND(($J232+$R232)*Apport_124X2425,2)</f>
        <v>800.45</v>
      </c>
      <c r="AH232" s="69" cm="1">
        <f t="array" ref="AH232">ROUND(($J232+$R232)*Apport_621X2425*Apport_125XC2425,2)-AG232</f>
        <v>73.899999999999977</v>
      </c>
      <c r="AI232" cm="1">
        <f t="array" ref="AI232">ROUND($Z232*Apport_124X2425,2)</f>
        <v>234.7</v>
      </c>
      <c r="AJ232">
        <f t="shared" si="52"/>
        <v>124.71000000000004</v>
      </c>
      <c r="AK232">
        <f t="shared" si="53"/>
        <v>1011.72</v>
      </c>
      <c r="AL232">
        <f t="shared" si="54"/>
        <v>36.11</v>
      </c>
      <c r="AM232">
        <f t="shared" si="55"/>
        <v>245.86</v>
      </c>
      <c r="AN232">
        <f t="shared" si="56"/>
        <v>7.63</v>
      </c>
      <c r="AO232">
        <f>ROUND(($J232*CIS_Inc_Salary2425*(VLOOKUP($A232,EnrollData2324,'2324 Jun 24 Enroll'!AI$1,FALSE)+VLOOKUP($A232,EnrollData2324,'2324 Jun 24 Enroll'!AJ$1,FALSE))/Apport_613Xpd)*Apport_614Xpd,2)</f>
        <v>86.93</v>
      </c>
      <c r="AP232">
        <f t="shared" si="57"/>
        <v>15.22</v>
      </c>
      <c r="AQ232">
        <f t="shared" si="48"/>
        <v>31.48</v>
      </c>
      <c r="AR232" s="6">
        <f>ROUND((VLOOKUP($A232,EnrollData2324,'2324 Jun 24 Enroll'!D$1,FALSE)*Apport_M802425+VLOOKUP($A232,EnrollData2324,'2324 Jun 24 Enroll'!M$1,FALSE)*Apport_M802425+(VLOOKUP($A232,EnrollData2324,'2324 Jun 24 Enroll'!P$1,FALSE)+VLOOKUP($A232,EnrollData2324,'2324 Jun 24 Enroll'!Q$1,FALSE)+VLOOKUP($A232,EnrollData2324,'2324 Jun 24 Enroll'!R$1,FALSE)+VLOOKUP($A232,EnrollData2324,'2324 Jun 24 Enroll'!I$1,FALSE)+VLOOKUP($A232,EnrollData2324,'2324 Jun 24 Enroll'!N$1,FALSE)+VLOOKUP($A232,EnrollData2324,'2324 Jun 24 Enroll'!O$1,FALSE)+VLOOKUP($A232,EnrollData2324,'2324 Jun 24 Enroll'!K$1,FALSE)+VLOOKUP($A232,EnrollData2324,'2324 Jun 24 Enroll'!L$1,FALSE))*Apport_M812425)/(VLOOKUP($A232,EnrollData2324,'2324 Jun 24 Enroll'!M$1,FALSE)+VLOOKUP($A232,EnrollData2324,'2324 Jun 24 Enroll'!D$1,FALSE)),2)</f>
        <v>1601.37</v>
      </c>
      <c r="AS232" s="7">
        <f t="shared" si="49"/>
        <v>11227.619999999999</v>
      </c>
    </row>
    <row r="233" spans="1:45">
      <c r="A233" s="40" t="s">
        <v>309</v>
      </c>
      <c r="B233" s="40" t="s">
        <v>310</v>
      </c>
      <c r="C233" s="11">
        <f>ROUND((IFERROR((1/IF(VLOOKUP($A233,EnrollData2324,28,FALSE)='District Calculations'!$F$10,VLOOKUP($A233,EnrollData2324,28,FALSE),'District Calculations'!$F$10))*(1+Apport_Z315),0))+Apport_201A2425,6)</f>
        <v>7.4580999999999995E-2</v>
      </c>
      <c r="D233">
        <f>ROUND(IF(VLOOKUP($A233,EnrollData2324,'2324 Jun 24 Enroll'!D$1,FALSE)='District Calculations'!$F$11,VLOOKUP($A233,EnrollData2324,'2324 Jun 24 Enroll'!D$1,FALSE),'District Calculations'!$F$11)*C233,3)</f>
        <v>0</v>
      </c>
      <c r="E233">
        <f>ROUND(IF(VLOOKUP($A233,EnrollData2324,'2324 Jun 24 Enroll'!E$1,FALSE)='District Calculations'!$F$12,VLOOKUP($A233,EnrollData2324,'2324 Jun 24 Enroll'!E$1,FALSE),'District Calculations'!$F$12)*C233,3)</f>
        <v>60.447000000000003</v>
      </c>
      <c r="F233">
        <f>ROUND(IF(VLOOKUP($A233,EnrollData2324,'2324 Jun 24 Enroll'!F$1,FALSE)='District Calculations'!$F$13,VLOOKUP($A233,EnrollData2324,'2324 Jun 24 Enroll'!F$1,FALSE),'District Calculations'!$F$13)*Apport_222A2425,3)</f>
        <v>10.337999999999999</v>
      </c>
      <c r="G233">
        <f>ROUND(IF(VLOOKUP($A233,EnrollData2324,'2324 Jun 24 Enroll'!G$1,FALSE)='District Calculations'!$F$14,VLOOKUP($A233,EnrollData2324,'2324 Jun 24 Enroll'!G$1,FALSE),'District Calculations'!$F$14)*Apport_210A2425,3)</f>
        <v>22.92</v>
      </c>
      <c r="H233">
        <f>ROUND(IF(VLOOKUP($A233,EnrollData2324,'2324 Jun 24 Enroll'!H$1,FALSE)='District Calculations'!$F$15,VLOOKUP($A233,EnrollData2324,'2324 Jun 24 Enroll'!H$1,FALSE),'District Calculations'!$F$15)*Apport_213A2425,3)</f>
        <v>23.619</v>
      </c>
      <c r="I233">
        <f>ROUND(IF(VLOOKUP($A233,EnrollData2324,'2324 Jun 24 Enroll'!I$1,FALSE)+VLOOKUP($A233,EnrollData2324,'2324 Jun 24 Enroll'!M$1,FALSE)-VLOOKUP($A233,EnrollData2324,'2324 Jun 24 Enroll'!J$1,FALSE)='District Calculations'!$F$16+'District Calculations'!$F$25-'District Calculations'!$F$17,VLOOKUP($A233,EnrollData2324,'2324 Jun 24 Enroll'!I$1,FALSE)+VLOOKUP($A233,EnrollData2324,'2324 Jun 24 Enroll'!M$1,FALSE)-VLOOKUP($A233,EnrollData2324,'2324 Jun 24 Enroll'!J$1,FALSE),'District Calculations'!$F$16+'District Calculations'!$F$25-'District Calculations'!$F$17)*Apport_216A2425,3)</f>
        <v>59.057000000000002</v>
      </c>
      <c r="J233">
        <f>ROUND(SUM(D233:I233)/(IF(VLOOKUP($A233,EnrollData2324,'2324 Jun 24 Enroll'!M$1,FALSE)='District Calculations'!$F$25,VLOOKUP($A233,EnrollData2324,'2324 Jun 24 Enroll'!M$1,FALSE),'District Calculations'!$F$25)+IF(VLOOKUP($A233,EnrollData2324,'2324 Jun 24 Enroll'!D$1,FALSE)='District Calculations'!$F$11,VLOOKUP($A233,EnrollData2324,'2324 Jun 24 Enroll'!D$1,FALSE),'District Calculations'!$F$11)),5)</f>
        <v>5.6520000000000001E-2</v>
      </c>
      <c r="K233" s="11">
        <f t="shared" si="50"/>
        <v>4.385E-3</v>
      </c>
      <c r="L233">
        <f>ROUND(IF(VLOOKUP($A233,EnrollData2324,'2324 Jun 24 Enroll'!D$1,FALSE)='District Calculations'!$F$11,VLOOKUP($A233,EnrollData2324,'2324 Jun 24 Enroll'!D$1,FALSE),'District Calculations'!$F$11)*K233,3)</f>
        <v>0</v>
      </c>
      <c r="M233">
        <f>ROUND(IF(VLOOKUP($A233,EnrollData2324,'2324 Jun 24 Enroll'!E$1,FALSE)='District Calculations'!$F$12,VLOOKUP($A233,EnrollData2324,'2324 Jun 24 Enroll'!E$1,FALSE),'District Calculations'!$F$12)*K233,3)</f>
        <v>3.5539999999999998</v>
      </c>
      <c r="N233">
        <f>ROUND(IF(VLOOKUP($A233,EnrollData2324,'2324 Jun 24 Enroll'!F$1,FALSE)='District Calculations'!$F$13,VLOOKUP($A233,EnrollData2324,'2324 Jun 24 Enroll'!F$1,FALSE),'District Calculations'!$F$13)*Apport_223A2425,3)</f>
        <v>0.84599999999999997</v>
      </c>
      <c r="O233">
        <f>ROUND(IF(VLOOKUP($A233,EnrollData2324,'2324 Jun 24 Enroll'!G$1,FALSE)='District Calculations'!$F$14,VLOOKUP($A233,EnrollData2324,'2324 Jun 24 Enroll'!G$1,FALSE),'District Calculations'!$F$14)*Apport_211A2425,3)</f>
        <v>1.877</v>
      </c>
      <c r="P233">
        <f>ROUND(IF(VLOOKUP($A233,EnrollData2324,'2324 Jun 24 Enroll'!H$1,FALSE)='District Calculations'!$F$14,VLOOKUP($A233,EnrollData2324,'2324 Jun 24 Enroll'!H$1,FALSE),'District Calculations'!$F$14)*Apport_214A2425,3)</f>
        <v>1.875</v>
      </c>
      <c r="Q233">
        <f>ROUND(IF(VLOOKUP($A233,EnrollData2324,'2324 Jun 24 Enroll'!I$1,FALSE)+VLOOKUP($A233,EnrollData2324,'2324 Jun 24 Enroll'!M$1,FALSE)-VLOOKUP($A233,EnrollData2324,'2324 Jun 24 Enroll'!J$1,FALSE)='District Calculations'!$F$16+'District Calculations'!$F$25-'District Calculations'!$F$17,VLOOKUP($A233,EnrollData2324,'2324 Jun 24 Enroll'!I$1,FALSE)+VLOOKUP($A233,EnrollData2324,'2324 Jun 24 Enroll'!M$1,FALSE)-VLOOKUP($A233,EnrollData2324,'2324 Jun 24 Enroll'!J$1,FALSE),'District Calculations'!$F$16+'District Calculations'!$F$25-'District Calculations'!$F$17)*Apport_217A2425,3)</f>
        <v>4.7130000000000001</v>
      </c>
      <c r="R233">
        <f>ROUND(SUM(L233:Q233)/IF(VLOOKUP($A233,EnrollData2324,'2324 Jun 24 Enroll'!M$1,FALSE)+VLOOKUP($A233,EnrollData2324,'2324 Jun 24 Enroll'!D$1,FALSE)='District Calculations'!$F$25+'District Calculations'!$F$11,VLOOKUP($A233,EnrollData2324,'2324 Jun 24 Enroll'!M$1,FALSE)+VLOOKUP($A233,EnrollData2324,'2324 Jun 24 Enroll'!D$1,FALSE),'District Calculations'!$F$25+'District Calculations'!$F$11),5)</f>
        <v>4.1200000000000004E-3</v>
      </c>
      <c r="S233" s="11">
        <f t="shared" si="51"/>
        <v>1.8734299999999999E-2</v>
      </c>
      <c r="T233">
        <f>ROUND(IF(VLOOKUP($A233,EnrollData2324,'2324 Jun 24 Enroll'!D$1,FALSE)='District Calculations'!$F$11,VLOOKUP($A233,EnrollData2324,'2324 Jun 24 Enroll'!D$1,FALSE),'District Calculations'!$F$11)*S233,3)</f>
        <v>0</v>
      </c>
      <c r="U233">
        <f>ROUND(IF(VLOOKUP($A233,EnrollData2324,'2324 Jun 24 Enroll'!E$1,FALSE)='District Calculations'!$F$12,VLOOKUP($A233,EnrollData2324,'2324 Jun 24 Enroll'!E$1,FALSE),'District Calculations'!$F$12)*S233,3)</f>
        <v>15.183999999999999</v>
      </c>
      <c r="V233">
        <f>ROUND(IF(VLOOKUP($A233,EnrollData2324,'2324 Jun 24 Enroll'!F$1,FALSE)='District Calculations'!$F$13,VLOOKUP($A233,EnrollData2324,'2324 Jun 24 Enroll'!F$1,FALSE),'District Calculations'!$F$13)*Apport_224A2425,3)</f>
        <v>3.7109999999999999</v>
      </c>
      <c r="W233">
        <f>ROUND(IF(VLOOKUP($A233,EnrollData2324,'2324 Jun 24 Enroll'!G$1,FALSE)='District Calculations'!$F$14,VLOOKUP($A233,EnrollData2324,'2324 Jun 24 Enroll'!G$1,FALSE),'District Calculations'!$F$14)*Apport_212A2425,3)</f>
        <v>8.2279999999999998</v>
      </c>
      <c r="X233">
        <f>ROUND(IF(VLOOKUP($A233,EnrollData2324,'2324 Jun 24 Enroll'!H$1,FALSE)='District Calculations'!$F$14,VLOOKUP($A233,EnrollData2324,'2324 Jun 24 Enroll'!H$1,FALSE),'District Calculations'!$F$14)*Apport_215A2425,3)</f>
        <v>8.1180000000000003</v>
      </c>
      <c r="Y233">
        <f>ROUND(IF(VLOOKUP($A233,EnrollData2324,'2324 Jun 24 Enroll'!I$1,FALSE)+VLOOKUP($A233,EnrollData2324,'2324 Jun 24 Enroll'!M$1,FALSE)-VLOOKUP($A233,EnrollData2324,'2324 Jun 24 Enroll'!J$1,FALSE)='District Calculations'!$F$16+'District Calculations'!$F$25-'District Calculations'!$F$17,VLOOKUP($A233,EnrollData2324,'2324 Jun 24 Enroll'!I$1,FALSE)+VLOOKUP($A233,EnrollData2324,'2324 Jun 24 Enroll'!M$1,FALSE)-VLOOKUP($A233,EnrollData2324,'2324 Jun 24 Enroll'!J$1,FALSE),'District Calculations'!$F$16+'District Calculations'!$F$25-'District Calculations'!$F$17)*Apport_218A2425,3)</f>
        <v>20.257999999999999</v>
      </c>
      <c r="Z233">
        <f>ROUND(SUM(T233:Y233)/IF(VLOOKUP($A233,EnrollData2324,'2324 Jun 24 Enroll'!M$1,FALSE)+VLOOKUP($A233,EnrollData2324,'2324 Jun 24 Enroll'!D$1,FALSE)='District Calculations'!$F$25+'District Calculations'!$F$11,VLOOKUP($A233,EnrollData2324,'2324 Jun 24 Enroll'!M$1,FALSE)+VLOOKUP($A233,EnrollData2324,'2324 Jun 24 Enroll'!D$1,FALSE),'District Calculations'!$F$25+'District Calculations'!$F$11),5)</f>
        <v>1.7780000000000001E-2</v>
      </c>
      <c r="AA233" s="6">
        <f>ROUND($J233*CIS_Base_Salary2425*VLOOKUP($A233,EnrollData2324,'2324 Jun 24 Enroll'!AH$1,FALSE),2)</f>
        <v>5029.96</v>
      </c>
      <c r="AB233" s="6">
        <f>ROUND($J233*CIS_Inc_Salary2425*(VLOOKUP($A233,EnrollData2324,'2324 Jun 24 Enroll'!AI$1,FALSE)+VLOOKUP($A233,EnrollData2324,'2324 Jun 24 Enroll'!AJ$1,FALSE)),2)-AA233</f>
        <v>186.07999999999993</v>
      </c>
      <c r="AC233" s="6" cm="1">
        <f t="array" ref="AC233">ROUND($R233*CAS_Base_Salary2425*VLOOKUP($A233,EnrollData2324,'2324 Jun 24 Enroll'!AH$1,FALSE),2)</f>
        <v>544.26</v>
      </c>
      <c r="AD233" s="6">
        <f>ROUND($R233*CAS_Inc_Salary2425*VLOOKUP($A233,EnrollData2324,'2324 Jun 24 Enroll'!AI$1,FALSE),2)-AC233</f>
        <v>20.129999999999995</v>
      </c>
      <c r="AE233" s="6">
        <f>ROUND($Z233*CLS_Base_Salary2425*VLOOKUP($A233,EnrollData2324,'2324 Jun 24 Enroll'!AH$1,FALSE),2)</f>
        <v>1135.0999999999999</v>
      </c>
      <c r="AF233" s="6">
        <f>ROUND($Z233*CLS_Inc_Salary2425*VLOOKUP($A233,EnrollData2324,'2324 Jun 24 Enroll'!AI$1,FALSE),2)-AE233</f>
        <v>42.009999999999991</v>
      </c>
      <c r="AG233" cm="1">
        <f t="array" ref="AG233">ROUND(($J233+$R233)*Apport_124X2425,2)</f>
        <v>800.45</v>
      </c>
      <c r="AH233" s="69" cm="1">
        <f t="array" ref="AH233">ROUND(($J233+$R233)*Apport_621X2425*Apport_125XC2425,2)-AG233</f>
        <v>73.899999999999977</v>
      </c>
      <c r="AI233" cm="1">
        <f t="array" ref="AI233">ROUND($Z233*Apport_124X2425,2)</f>
        <v>234.7</v>
      </c>
      <c r="AJ233">
        <f t="shared" si="52"/>
        <v>124.71000000000004</v>
      </c>
      <c r="AK233">
        <f t="shared" si="53"/>
        <v>1011.72</v>
      </c>
      <c r="AL233">
        <f t="shared" si="54"/>
        <v>36.11</v>
      </c>
      <c r="AM233">
        <f t="shared" si="55"/>
        <v>245.86</v>
      </c>
      <c r="AN233">
        <f t="shared" si="56"/>
        <v>7.63</v>
      </c>
      <c r="AO233">
        <f>ROUND(($J233*CIS_Inc_Salary2425*(VLOOKUP($A233,EnrollData2324,'2324 Jun 24 Enroll'!AI$1,FALSE)+VLOOKUP($A233,EnrollData2324,'2324 Jun 24 Enroll'!AJ$1,FALSE))/Apport_613Xpd)*Apport_614Xpd,2)</f>
        <v>86.93</v>
      </c>
      <c r="AP233">
        <f t="shared" si="57"/>
        <v>15.22</v>
      </c>
      <c r="AQ233">
        <f t="shared" si="48"/>
        <v>31.48</v>
      </c>
      <c r="AR233" s="6">
        <f>ROUND((VLOOKUP($A233,EnrollData2324,'2324 Jun 24 Enroll'!D$1,FALSE)*Apport_M802425+VLOOKUP($A233,EnrollData2324,'2324 Jun 24 Enroll'!M$1,FALSE)*Apport_M802425+(VLOOKUP($A233,EnrollData2324,'2324 Jun 24 Enroll'!P$1,FALSE)+VLOOKUP($A233,EnrollData2324,'2324 Jun 24 Enroll'!Q$1,FALSE)+VLOOKUP($A233,EnrollData2324,'2324 Jun 24 Enroll'!R$1,FALSE)+VLOOKUP($A233,EnrollData2324,'2324 Jun 24 Enroll'!I$1,FALSE)+VLOOKUP($A233,EnrollData2324,'2324 Jun 24 Enroll'!N$1,FALSE)+VLOOKUP($A233,EnrollData2324,'2324 Jun 24 Enroll'!O$1,FALSE)+VLOOKUP($A233,EnrollData2324,'2324 Jun 24 Enroll'!K$1,FALSE)+VLOOKUP($A233,EnrollData2324,'2324 Jun 24 Enroll'!L$1,FALSE))*Apport_M812425)/(VLOOKUP($A233,EnrollData2324,'2324 Jun 24 Enroll'!M$1,FALSE)+VLOOKUP($A233,EnrollData2324,'2324 Jun 24 Enroll'!D$1,FALSE)),2)</f>
        <v>1603.22</v>
      </c>
      <c r="AS233" s="7">
        <f t="shared" si="49"/>
        <v>11229.47</v>
      </c>
    </row>
    <row r="234" spans="1:45">
      <c r="A234" s="40" t="s">
        <v>323</v>
      </c>
      <c r="B234" s="40" t="s">
        <v>324</v>
      </c>
      <c r="C234" s="11">
        <f>ROUND((IFERROR((1/IF(VLOOKUP($A234,EnrollData2324,28,FALSE)='District Calculations'!$F$10,VLOOKUP($A234,EnrollData2324,28,FALSE),'District Calculations'!$F$10))*(1+Apport_Z315),0))+Apport_201A2425,6)</f>
        <v>7.4580999999999995E-2</v>
      </c>
      <c r="D234">
        <f>ROUND(IF(VLOOKUP($A234,EnrollData2324,'2324 Jun 24 Enroll'!D$1,FALSE)='District Calculations'!$F$11,VLOOKUP($A234,EnrollData2324,'2324 Jun 24 Enroll'!D$1,FALSE),'District Calculations'!$F$11)*C234,3)</f>
        <v>0</v>
      </c>
      <c r="E234">
        <f>ROUND(IF(VLOOKUP($A234,EnrollData2324,'2324 Jun 24 Enroll'!E$1,FALSE)='District Calculations'!$F$12,VLOOKUP($A234,EnrollData2324,'2324 Jun 24 Enroll'!E$1,FALSE),'District Calculations'!$F$12)*C234,3)</f>
        <v>60.447000000000003</v>
      </c>
      <c r="F234">
        <f>ROUND(IF(VLOOKUP($A234,EnrollData2324,'2324 Jun 24 Enroll'!F$1,FALSE)='District Calculations'!$F$13,VLOOKUP($A234,EnrollData2324,'2324 Jun 24 Enroll'!F$1,FALSE),'District Calculations'!$F$13)*Apport_222A2425,3)</f>
        <v>10.337999999999999</v>
      </c>
      <c r="G234">
        <f>ROUND(IF(VLOOKUP($A234,EnrollData2324,'2324 Jun 24 Enroll'!G$1,FALSE)='District Calculations'!$F$14,VLOOKUP($A234,EnrollData2324,'2324 Jun 24 Enroll'!G$1,FALSE),'District Calculations'!$F$14)*Apport_210A2425,3)</f>
        <v>22.92</v>
      </c>
      <c r="H234">
        <f>ROUND(IF(VLOOKUP($A234,EnrollData2324,'2324 Jun 24 Enroll'!H$1,FALSE)='District Calculations'!$F$15,VLOOKUP($A234,EnrollData2324,'2324 Jun 24 Enroll'!H$1,FALSE),'District Calculations'!$F$15)*Apport_213A2425,3)</f>
        <v>23.619</v>
      </c>
      <c r="I234">
        <f>ROUND(IF(VLOOKUP($A234,EnrollData2324,'2324 Jun 24 Enroll'!I$1,FALSE)+VLOOKUP($A234,EnrollData2324,'2324 Jun 24 Enroll'!M$1,FALSE)-VLOOKUP($A234,EnrollData2324,'2324 Jun 24 Enroll'!J$1,FALSE)='District Calculations'!$F$16+'District Calculations'!$F$25-'District Calculations'!$F$17,VLOOKUP($A234,EnrollData2324,'2324 Jun 24 Enroll'!I$1,FALSE)+VLOOKUP($A234,EnrollData2324,'2324 Jun 24 Enroll'!M$1,FALSE)-VLOOKUP($A234,EnrollData2324,'2324 Jun 24 Enroll'!J$1,FALSE),'District Calculations'!$F$16+'District Calculations'!$F$25-'District Calculations'!$F$17)*Apport_216A2425,3)</f>
        <v>59.057000000000002</v>
      </c>
      <c r="J234">
        <f>ROUND(SUM(D234:I234)/(IF(VLOOKUP($A234,EnrollData2324,'2324 Jun 24 Enroll'!M$1,FALSE)='District Calculations'!$F$25,VLOOKUP($A234,EnrollData2324,'2324 Jun 24 Enroll'!M$1,FALSE),'District Calculations'!$F$25)+IF(VLOOKUP($A234,EnrollData2324,'2324 Jun 24 Enroll'!D$1,FALSE)='District Calculations'!$F$11,VLOOKUP($A234,EnrollData2324,'2324 Jun 24 Enroll'!D$1,FALSE),'District Calculations'!$F$11)),5)</f>
        <v>5.6520000000000001E-2</v>
      </c>
      <c r="K234" s="11">
        <f t="shared" si="50"/>
        <v>4.385E-3</v>
      </c>
      <c r="L234">
        <f>ROUND(IF(VLOOKUP($A234,EnrollData2324,'2324 Jun 24 Enroll'!D$1,FALSE)='District Calculations'!$F$11,VLOOKUP($A234,EnrollData2324,'2324 Jun 24 Enroll'!D$1,FALSE),'District Calculations'!$F$11)*K234,3)</f>
        <v>0</v>
      </c>
      <c r="M234">
        <f>ROUND(IF(VLOOKUP($A234,EnrollData2324,'2324 Jun 24 Enroll'!E$1,FALSE)='District Calculations'!$F$12,VLOOKUP($A234,EnrollData2324,'2324 Jun 24 Enroll'!E$1,FALSE),'District Calculations'!$F$12)*K234,3)</f>
        <v>3.5539999999999998</v>
      </c>
      <c r="N234">
        <f>ROUND(IF(VLOOKUP($A234,EnrollData2324,'2324 Jun 24 Enroll'!F$1,FALSE)='District Calculations'!$F$13,VLOOKUP($A234,EnrollData2324,'2324 Jun 24 Enroll'!F$1,FALSE),'District Calculations'!$F$13)*Apport_223A2425,3)</f>
        <v>0.84599999999999997</v>
      </c>
      <c r="O234">
        <f>ROUND(IF(VLOOKUP($A234,EnrollData2324,'2324 Jun 24 Enroll'!G$1,FALSE)='District Calculations'!$F$14,VLOOKUP($A234,EnrollData2324,'2324 Jun 24 Enroll'!G$1,FALSE),'District Calculations'!$F$14)*Apport_211A2425,3)</f>
        <v>1.877</v>
      </c>
      <c r="P234">
        <f>ROUND(IF(VLOOKUP($A234,EnrollData2324,'2324 Jun 24 Enroll'!H$1,FALSE)='District Calculations'!$F$14,VLOOKUP($A234,EnrollData2324,'2324 Jun 24 Enroll'!H$1,FALSE),'District Calculations'!$F$14)*Apport_214A2425,3)</f>
        <v>1.875</v>
      </c>
      <c r="Q234">
        <f>ROUND(IF(VLOOKUP($A234,EnrollData2324,'2324 Jun 24 Enroll'!I$1,FALSE)+VLOOKUP($A234,EnrollData2324,'2324 Jun 24 Enroll'!M$1,FALSE)-VLOOKUP($A234,EnrollData2324,'2324 Jun 24 Enroll'!J$1,FALSE)='District Calculations'!$F$16+'District Calculations'!$F$25-'District Calculations'!$F$17,VLOOKUP($A234,EnrollData2324,'2324 Jun 24 Enroll'!I$1,FALSE)+VLOOKUP($A234,EnrollData2324,'2324 Jun 24 Enroll'!M$1,FALSE)-VLOOKUP($A234,EnrollData2324,'2324 Jun 24 Enroll'!J$1,FALSE),'District Calculations'!$F$16+'District Calculations'!$F$25-'District Calculations'!$F$17)*Apport_217A2425,3)</f>
        <v>4.7130000000000001</v>
      </c>
      <c r="R234">
        <f>ROUND(SUM(L234:Q234)/IF(VLOOKUP($A234,EnrollData2324,'2324 Jun 24 Enroll'!M$1,FALSE)+VLOOKUP($A234,EnrollData2324,'2324 Jun 24 Enroll'!D$1,FALSE)='District Calculations'!$F$25+'District Calculations'!$F$11,VLOOKUP($A234,EnrollData2324,'2324 Jun 24 Enroll'!M$1,FALSE)+VLOOKUP($A234,EnrollData2324,'2324 Jun 24 Enroll'!D$1,FALSE),'District Calculations'!$F$25+'District Calculations'!$F$11),5)</f>
        <v>4.1200000000000004E-3</v>
      </c>
      <c r="S234" s="11">
        <f t="shared" si="51"/>
        <v>1.8734299999999999E-2</v>
      </c>
      <c r="T234">
        <f>ROUND(IF(VLOOKUP($A234,EnrollData2324,'2324 Jun 24 Enroll'!D$1,FALSE)='District Calculations'!$F$11,VLOOKUP($A234,EnrollData2324,'2324 Jun 24 Enroll'!D$1,FALSE),'District Calculations'!$F$11)*S234,3)</f>
        <v>0</v>
      </c>
      <c r="U234">
        <f>ROUND(IF(VLOOKUP($A234,EnrollData2324,'2324 Jun 24 Enroll'!E$1,FALSE)='District Calculations'!$F$12,VLOOKUP($A234,EnrollData2324,'2324 Jun 24 Enroll'!E$1,FALSE),'District Calculations'!$F$12)*S234,3)</f>
        <v>15.183999999999999</v>
      </c>
      <c r="V234">
        <f>ROUND(IF(VLOOKUP($A234,EnrollData2324,'2324 Jun 24 Enroll'!F$1,FALSE)='District Calculations'!$F$13,VLOOKUP($A234,EnrollData2324,'2324 Jun 24 Enroll'!F$1,FALSE),'District Calculations'!$F$13)*Apport_224A2425,3)</f>
        <v>3.7109999999999999</v>
      </c>
      <c r="W234">
        <f>ROUND(IF(VLOOKUP($A234,EnrollData2324,'2324 Jun 24 Enroll'!G$1,FALSE)='District Calculations'!$F$14,VLOOKUP($A234,EnrollData2324,'2324 Jun 24 Enroll'!G$1,FALSE),'District Calculations'!$F$14)*Apport_212A2425,3)</f>
        <v>8.2279999999999998</v>
      </c>
      <c r="X234">
        <f>ROUND(IF(VLOOKUP($A234,EnrollData2324,'2324 Jun 24 Enroll'!H$1,FALSE)='District Calculations'!$F$14,VLOOKUP($A234,EnrollData2324,'2324 Jun 24 Enroll'!H$1,FALSE),'District Calculations'!$F$14)*Apport_215A2425,3)</f>
        <v>8.1180000000000003</v>
      </c>
      <c r="Y234">
        <f>ROUND(IF(VLOOKUP($A234,EnrollData2324,'2324 Jun 24 Enroll'!I$1,FALSE)+VLOOKUP($A234,EnrollData2324,'2324 Jun 24 Enroll'!M$1,FALSE)-VLOOKUP($A234,EnrollData2324,'2324 Jun 24 Enroll'!J$1,FALSE)='District Calculations'!$F$16+'District Calculations'!$F$25-'District Calculations'!$F$17,VLOOKUP($A234,EnrollData2324,'2324 Jun 24 Enroll'!I$1,FALSE)+VLOOKUP($A234,EnrollData2324,'2324 Jun 24 Enroll'!M$1,FALSE)-VLOOKUP($A234,EnrollData2324,'2324 Jun 24 Enroll'!J$1,FALSE),'District Calculations'!$F$16+'District Calculations'!$F$25-'District Calculations'!$F$17)*Apport_218A2425,3)</f>
        <v>20.257999999999999</v>
      </c>
      <c r="Z234">
        <f>ROUND(SUM(T234:Y234)/IF(VLOOKUP($A234,EnrollData2324,'2324 Jun 24 Enroll'!M$1,FALSE)+VLOOKUP($A234,EnrollData2324,'2324 Jun 24 Enroll'!D$1,FALSE)='District Calculations'!$F$25+'District Calculations'!$F$11,VLOOKUP($A234,EnrollData2324,'2324 Jun 24 Enroll'!M$1,FALSE)+VLOOKUP($A234,EnrollData2324,'2324 Jun 24 Enroll'!D$1,FALSE),'District Calculations'!$F$25+'District Calculations'!$F$11),5)</f>
        <v>1.7780000000000001E-2</v>
      </c>
      <c r="AA234" s="6">
        <f>ROUND($J234*CIS_Base_Salary2425*VLOOKUP($A234,EnrollData2324,'2324 Jun 24 Enroll'!AH$1,FALSE),2)</f>
        <v>4774.2</v>
      </c>
      <c r="AB234" s="6">
        <f>ROUND($J234*CIS_Inc_Salary2425*(VLOOKUP($A234,EnrollData2324,'2324 Jun 24 Enroll'!AI$1,FALSE)+VLOOKUP($A234,EnrollData2324,'2324 Jun 24 Enroll'!AJ$1,FALSE)),2)-AA234</f>
        <v>353.43000000000029</v>
      </c>
      <c r="AC234" s="6" cm="1">
        <f t="array" ref="AC234">ROUND($R234*CAS_Base_Salary2425*VLOOKUP($A234,EnrollData2324,'2324 Jun 24 Enroll'!AH$1,FALSE),2)</f>
        <v>516.58000000000004</v>
      </c>
      <c r="AD234" s="6">
        <f>ROUND($R234*CAS_Inc_Salary2425*VLOOKUP($A234,EnrollData2324,'2324 Jun 24 Enroll'!AI$1,FALSE),2)-AC234</f>
        <v>19.110000000000014</v>
      </c>
      <c r="AE234" s="6">
        <f>ROUND($Z234*CLS_Base_Salary2425*VLOOKUP($A234,EnrollData2324,'2324 Jun 24 Enroll'!AH$1,FALSE),2)</f>
        <v>1077.3900000000001</v>
      </c>
      <c r="AF234" s="6">
        <f>ROUND($Z234*CLS_Inc_Salary2425*VLOOKUP($A234,EnrollData2324,'2324 Jun 24 Enroll'!AI$1,FALSE),2)-AE234</f>
        <v>39.8599999999999</v>
      </c>
      <c r="AG234" cm="1">
        <f t="array" ref="AG234">ROUND(($J234+$R234)*Apport_124X2425,2)</f>
        <v>800.45</v>
      </c>
      <c r="AH234" s="69" cm="1">
        <f t="array" ref="AH234">ROUND(($J234+$R234)*Apport_621X2425*Apport_125XC2425,2)-AG234</f>
        <v>73.899999999999977</v>
      </c>
      <c r="AI234" cm="1">
        <f t="array" ref="AI234">ROUND($Z234*Apport_124X2425,2)</f>
        <v>234.7</v>
      </c>
      <c r="AJ234">
        <f t="shared" si="52"/>
        <v>124.71000000000004</v>
      </c>
      <c r="AK234">
        <f t="shared" si="53"/>
        <v>960.28</v>
      </c>
      <c r="AL234">
        <f t="shared" si="54"/>
        <v>65.23</v>
      </c>
      <c r="AM234">
        <f t="shared" si="55"/>
        <v>233.36</v>
      </c>
      <c r="AN234">
        <f t="shared" si="56"/>
        <v>7.24</v>
      </c>
      <c r="AO234">
        <f>ROUND(($J234*CIS_Inc_Salary2425*(VLOOKUP($A234,EnrollData2324,'2324 Jun 24 Enroll'!AI$1,FALSE)+VLOOKUP($A234,EnrollData2324,'2324 Jun 24 Enroll'!AJ$1,FALSE))/Apport_613Xpd)*Apport_614Xpd,2)</f>
        <v>85.46</v>
      </c>
      <c r="AP234">
        <f t="shared" si="57"/>
        <v>14.96</v>
      </c>
      <c r="AQ234">
        <f t="shared" si="48"/>
        <v>31.48</v>
      </c>
      <c r="AR234" s="6">
        <f>ROUND((VLOOKUP($A234,EnrollData2324,'2324 Jun 24 Enroll'!D$1,FALSE)*Apport_M802425+VLOOKUP($A234,EnrollData2324,'2324 Jun 24 Enroll'!M$1,FALSE)*Apport_M802425+(VLOOKUP($A234,EnrollData2324,'2324 Jun 24 Enroll'!P$1,FALSE)+VLOOKUP($A234,EnrollData2324,'2324 Jun 24 Enroll'!Q$1,FALSE)+VLOOKUP($A234,EnrollData2324,'2324 Jun 24 Enroll'!R$1,FALSE)+VLOOKUP($A234,EnrollData2324,'2324 Jun 24 Enroll'!I$1,FALSE)+VLOOKUP($A234,EnrollData2324,'2324 Jun 24 Enroll'!N$1,FALSE)+VLOOKUP($A234,EnrollData2324,'2324 Jun 24 Enroll'!O$1,FALSE)+VLOOKUP($A234,EnrollData2324,'2324 Jun 24 Enroll'!K$1,FALSE)+VLOOKUP($A234,EnrollData2324,'2324 Jun 24 Enroll'!L$1,FALSE))*Apport_M812425)/(VLOOKUP($A234,EnrollData2324,'2324 Jun 24 Enroll'!M$1,FALSE)+VLOOKUP($A234,EnrollData2324,'2324 Jun 24 Enroll'!D$1,FALSE)),2)</f>
        <v>1605.78</v>
      </c>
      <c r="AS234" s="7">
        <f t="shared" si="49"/>
        <v>11018.119999999997</v>
      </c>
    </row>
    <row r="235" spans="1:45">
      <c r="A235" s="40" t="s">
        <v>578</v>
      </c>
      <c r="B235" s="40" t="s">
        <v>579</v>
      </c>
      <c r="C235" s="11">
        <f>ROUND((IFERROR((1/IF(VLOOKUP($A235,EnrollData2324,28,FALSE)='District Calculations'!$F$10,VLOOKUP($A235,EnrollData2324,28,FALSE),'District Calculations'!$F$10))*(1+Apport_Z315),0))+Apport_201A2425,6)</f>
        <v>7.4580999999999995E-2</v>
      </c>
      <c r="D235">
        <f>ROUND(IF(VLOOKUP($A235,EnrollData2324,'2324 Jun 24 Enroll'!D$1,FALSE)='District Calculations'!$F$11,VLOOKUP($A235,EnrollData2324,'2324 Jun 24 Enroll'!D$1,FALSE),'District Calculations'!$F$11)*C235,3)</f>
        <v>0</v>
      </c>
      <c r="E235">
        <f>ROUND(IF(VLOOKUP($A235,EnrollData2324,'2324 Jun 24 Enroll'!E$1,FALSE)='District Calculations'!$F$12,VLOOKUP($A235,EnrollData2324,'2324 Jun 24 Enroll'!E$1,FALSE),'District Calculations'!$F$12)*C235,3)</f>
        <v>60.447000000000003</v>
      </c>
      <c r="F235">
        <f>ROUND(IF(VLOOKUP($A235,EnrollData2324,'2324 Jun 24 Enroll'!F$1,FALSE)='District Calculations'!$F$13,VLOOKUP($A235,EnrollData2324,'2324 Jun 24 Enroll'!F$1,FALSE),'District Calculations'!$F$13)*Apport_222A2425,3)</f>
        <v>10.337999999999999</v>
      </c>
      <c r="G235">
        <f>ROUND(IF(VLOOKUP($A235,EnrollData2324,'2324 Jun 24 Enroll'!G$1,FALSE)='District Calculations'!$F$14,VLOOKUP($A235,EnrollData2324,'2324 Jun 24 Enroll'!G$1,FALSE),'District Calculations'!$F$14)*Apport_210A2425,3)</f>
        <v>22.92</v>
      </c>
      <c r="H235">
        <f>ROUND(IF(VLOOKUP($A235,EnrollData2324,'2324 Jun 24 Enroll'!H$1,FALSE)='District Calculations'!$F$15,VLOOKUP($A235,EnrollData2324,'2324 Jun 24 Enroll'!H$1,FALSE),'District Calculations'!$F$15)*Apport_213A2425,3)</f>
        <v>23.619</v>
      </c>
      <c r="I235">
        <f>ROUND(IF(VLOOKUP($A235,EnrollData2324,'2324 Jun 24 Enroll'!I$1,FALSE)+VLOOKUP($A235,EnrollData2324,'2324 Jun 24 Enroll'!M$1,FALSE)-VLOOKUP($A235,EnrollData2324,'2324 Jun 24 Enroll'!J$1,FALSE)='District Calculations'!$F$16+'District Calculations'!$F$25-'District Calculations'!$F$17,VLOOKUP($A235,EnrollData2324,'2324 Jun 24 Enroll'!I$1,FALSE)+VLOOKUP($A235,EnrollData2324,'2324 Jun 24 Enroll'!M$1,FALSE)-VLOOKUP($A235,EnrollData2324,'2324 Jun 24 Enroll'!J$1,FALSE),'District Calculations'!$F$16+'District Calculations'!$F$25-'District Calculations'!$F$17)*Apport_216A2425,3)</f>
        <v>59.057000000000002</v>
      </c>
      <c r="J235">
        <f>ROUND(SUM(D235:I235)/(IF(VLOOKUP($A235,EnrollData2324,'2324 Jun 24 Enroll'!M$1,FALSE)='District Calculations'!$F$25,VLOOKUP($A235,EnrollData2324,'2324 Jun 24 Enroll'!M$1,FALSE),'District Calculations'!$F$25)+IF(VLOOKUP($A235,EnrollData2324,'2324 Jun 24 Enroll'!D$1,FALSE)='District Calculations'!$F$11,VLOOKUP($A235,EnrollData2324,'2324 Jun 24 Enroll'!D$1,FALSE),'District Calculations'!$F$11)),5)</f>
        <v>5.6520000000000001E-2</v>
      </c>
      <c r="K235" s="11">
        <f t="shared" si="50"/>
        <v>4.385E-3</v>
      </c>
      <c r="L235">
        <f>ROUND(IF(VLOOKUP($A235,EnrollData2324,'2324 Jun 24 Enroll'!D$1,FALSE)='District Calculations'!$F$11,VLOOKUP($A235,EnrollData2324,'2324 Jun 24 Enroll'!D$1,FALSE),'District Calculations'!$F$11)*K235,3)</f>
        <v>0</v>
      </c>
      <c r="M235">
        <f>ROUND(IF(VLOOKUP($A235,EnrollData2324,'2324 Jun 24 Enroll'!E$1,FALSE)='District Calculations'!$F$12,VLOOKUP($A235,EnrollData2324,'2324 Jun 24 Enroll'!E$1,FALSE),'District Calculations'!$F$12)*K235,3)</f>
        <v>3.5539999999999998</v>
      </c>
      <c r="N235">
        <f>ROUND(IF(VLOOKUP($A235,EnrollData2324,'2324 Jun 24 Enroll'!F$1,FALSE)='District Calculations'!$F$13,VLOOKUP($A235,EnrollData2324,'2324 Jun 24 Enroll'!F$1,FALSE),'District Calculations'!$F$13)*Apport_223A2425,3)</f>
        <v>0.84599999999999997</v>
      </c>
      <c r="O235">
        <f>ROUND(IF(VLOOKUP($A235,EnrollData2324,'2324 Jun 24 Enroll'!G$1,FALSE)='District Calculations'!$F$14,VLOOKUP($A235,EnrollData2324,'2324 Jun 24 Enroll'!G$1,FALSE),'District Calculations'!$F$14)*Apport_211A2425,3)</f>
        <v>1.877</v>
      </c>
      <c r="P235">
        <f>ROUND(IF(VLOOKUP($A235,EnrollData2324,'2324 Jun 24 Enroll'!H$1,FALSE)='District Calculations'!$F$14,VLOOKUP($A235,EnrollData2324,'2324 Jun 24 Enroll'!H$1,FALSE),'District Calculations'!$F$14)*Apport_214A2425,3)</f>
        <v>1.875</v>
      </c>
      <c r="Q235">
        <f>ROUND(IF(VLOOKUP($A235,EnrollData2324,'2324 Jun 24 Enroll'!I$1,FALSE)+VLOOKUP($A235,EnrollData2324,'2324 Jun 24 Enroll'!M$1,FALSE)-VLOOKUP($A235,EnrollData2324,'2324 Jun 24 Enroll'!J$1,FALSE)='District Calculations'!$F$16+'District Calculations'!$F$25-'District Calculations'!$F$17,VLOOKUP($A235,EnrollData2324,'2324 Jun 24 Enroll'!I$1,FALSE)+VLOOKUP($A235,EnrollData2324,'2324 Jun 24 Enroll'!M$1,FALSE)-VLOOKUP($A235,EnrollData2324,'2324 Jun 24 Enroll'!J$1,FALSE),'District Calculations'!$F$16+'District Calculations'!$F$25-'District Calculations'!$F$17)*Apport_217A2425,3)</f>
        <v>4.7130000000000001</v>
      </c>
      <c r="R235">
        <f>ROUND(SUM(L235:Q235)/IF(VLOOKUP($A235,EnrollData2324,'2324 Jun 24 Enroll'!M$1,FALSE)+VLOOKUP($A235,EnrollData2324,'2324 Jun 24 Enroll'!D$1,FALSE)='District Calculations'!$F$25+'District Calculations'!$F$11,VLOOKUP($A235,EnrollData2324,'2324 Jun 24 Enroll'!M$1,FALSE)+VLOOKUP($A235,EnrollData2324,'2324 Jun 24 Enroll'!D$1,FALSE),'District Calculations'!$F$25+'District Calculations'!$F$11),5)</f>
        <v>4.1200000000000004E-3</v>
      </c>
      <c r="S235" s="11">
        <f t="shared" si="51"/>
        <v>1.8734299999999999E-2</v>
      </c>
      <c r="T235">
        <f>ROUND(IF(VLOOKUP($A235,EnrollData2324,'2324 Jun 24 Enroll'!D$1,FALSE)='District Calculations'!$F$11,VLOOKUP($A235,EnrollData2324,'2324 Jun 24 Enroll'!D$1,FALSE),'District Calculations'!$F$11)*S235,3)</f>
        <v>0</v>
      </c>
      <c r="U235">
        <f>ROUND(IF(VLOOKUP($A235,EnrollData2324,'2324 Jun 24 Enroll'!E$1,FALSE)='District Calculations'!$F$12,VLOOKUP($A235,EnrollData2324,'2324 Jun 24 Enroll'!E$1,FALSE),'District Calculations'!$F$12)*S235,3)</f>
        <v>15.183999999999999</v>
      </c>
      <c r="V235">
        <f>ROUND(IF(VLOOKUP($A235,EnrollData2324,'2324 Jun 24 Enroll'!F$1,FALSE)='District Calculations'!$F$13,VLOOKUP($A235,EnrollData2324,'2324 Jun 24 Enroll'!F$1,FALSE),'District Calculations'!$F$13)*Apport_224A2425,3)</f>
        <v>3.7109999999999999</v>
      </c>
      <c r="W235">
        <f>ROUND(IF(VLOOKUP($A235,EnrollData2324,'2324 Jun 24 Enroll'!G$1,FALSE)='District Calculations'!$F$14,VLOOKUP($A235,EnrollData2324,'2324 Jun 24 Enroll'!G$1,FALSE),'District Calculations'!$F$14)*Apport_212A2425,3)</f>
        <v>8.2279999999999998</v>
      </c>
      <c r="X235">
        <f>ROUND(IF(VLOOKUP($A235,EnrollData2324,'2324 Jun 24 Enroll'!H$1,FALSE)='District Calculations'!$F$14,VLOOKUP($A235,EnrollData2324,'2324 Jun 24 Enroll'!H$1,FALSE),'District Calculations'!$F$14)*Apport_215A2425,3)</f>
        <v>8.1180000000000003</v>
      </c>
      <c r="Y235">
        <f>ROUND(IF(VLOOKUP($A235,EnrollData2324,'2324 Jun 24 Enroll'!I$1,FALSE)+VLOOKUP($A235,EnrollData2324,'2324 Jun 24 Enroll'!M$1,FALSE)-VLOOKUP($A235,EnrollData2324,'2324 Jun 24 Enroll'!J$1,FALSE)='District Calculations'!$F$16+'District Calculations'!$F$25-'District Calculations'!$F$17,VLOOKUP($A235,EnrollData2324,'2324 Jun 24 Enroll'!I$1,FALSE)+VLOOKUP($A235,EnrollData2324,'2324 Jun 24 Enroll'!M$1,FALSE)-VLOOKUP($A235,EnrollData2324,'2324 Jun 24 Enroll'!J$1,FALSE),'District Calculations'!$F$16+'District Calculations'!$F$25-'District Calculations'!$F$17)*Apport_218A2425,3)</f>
        <v>20.257999999999999</v>
      </c>
      <c r="Z235">
        <f>ROUND(SUM(T235:Y235)/IF(VLOOKUP($A235,EnrollData2324,'2324 Jun 24 Enroll'!M$1,FALSE)+VLOOKUP($A235,EnrollData2324,'2324 Jun 24 Enroll'!D$1,FALSE)='District Calculations'!$F$25+'District Calculations'!$F$11,VLOOKUP($A235,EnrollData2324,'2324 Jun 24 Enroll'!M$1,FALSE)+VLOOKUP($A235,EnrollData2324,'2324 Jun 24 Enroll'!D$1,FALSE),'District Calculations'!$F$25+'District Calculations'!$F$11),5)</f>
        <v>1.7780000000000001E-2</v>
      </c>
      <c r="AA235" s="6">
        <f>ROUND($J235*CIS_Base_Salary2425*VLOOKUP($A235,EnrollData2324,'2324 Jun 24 Enroll'!AH$1,FALSE),2)</f>
        <v>5029.96</v>
      </c>
      <c r="AB235" s="6">
        <f>ROUND($J235*CIS_Inc_Salary2425*(VLOOKUP($A235,EnrollData2324,'2324 Jun 24 Enroll'!AI$1,FALSE)+VLOOKUP($A235,EnrollData2324,'2324 Jun 24 Enroll'!AJ$1,FALSE)),2)-AA235</f>
        <v>186.07999999999993</v>
      </c>
      <c r="AC235" s="6" cm="1">
        <f t="array" ref="AC235">ROUND($R235*CAS_Base_Salary2425*VLOOKUP($A235,EnrollData2324,'2324 Jun 24 Enroll'!AH$1,FALSE),2)</f>
        <v>544.26</v>
      </c>
      <c r="AD235" s="6">
        <f>ROUND($R235*CAS_Inc_Salary2425*VLOOKUP($A235,EnrollData2324,'2324 Jun 24 Enroll'!AI$1,FALSE),2)-AC235</f>
        <v>20.129999999999995</v>
      </c>
      <c r="AE235" s="6">
        <f>ROUND($Z235*CLS_Base_Salary2425*VLOOKUP($A235,EnrollData2324,'2324 Jun 24 Enroll'!AH$1,FALSE),2)</f>
        <v>1135.0999999999999</v>
      </c>
      <c r="AF235" s="6">
        <f>ROUND($Z235*CLS_Inc_Salary2425*VLOOKUP($A235,EnrollData2324,'2324 Jun 24 Enroll'!AI$1,FALSE),2)-AE235</f>
        <v>42.009999999999991</v>
      </c>
      <c r="AG235" cm="1">
        <f t="array" ref="AG235">ROUND(($J235+$R235)*Apport_124X2425,2)</f>
        <v>800.45</v>
      </c>
      <c r="AH235" s="69" cm="1">
        <f t="array" ref="AH235">ROUND(($J235+$R235)*Apport_621X2425*Apport_125XC2425,2)-AG235</f>
        <v>73.899999999999977</v>
      </c>
      <c r="AI235" cm="1">
        <f t="array" ref="AI235">ROUND($Z235*Apport_124X2425,2)</f>
        <v>234.7</v>
      </c>
      <c r="AJ235">
        <f t="shared" si="52"/>
        <v>124.71000000000004</v>
      </c>
      <c r="AK235">
        <f t="shared" si="53"/>
        <v>1011.72</v>
      </c>
      <c r="AL235">
        <f t="shared" si="54"/>
        <v>36.11</v>
      </c>
      <c r="AM235">
        <f t="shared" si="55"/>
        <v>245.86</v>
      </c>
      <c r="AN235">
        <f t="shared" si="56"/>
        <v>7.63</v>
      </c>
      <c r="AO235">
        <f>ROUND(($J235*CIS_Inc_Salary2425*(VLOOKUP($A235,EnrollData2324,'2324 Jun 24 Enroll'!AI$1,FALSE)+VLOOKUP($A235,EnrollData2324,'2324 Jun 24 Enroll'!AJ$1,FALSE))/Apport_613Xpd)*Apport_614Xpd,2)</f>
        <v>86.93</v>
      </c>
      <c r="AP235">
        <f t="shared" si="57"/>
        <v>15.22</v>
      </c>
      <c r="AQ235">
        <f t="shared" si="48"/>
        <v>31.48</v>
      </c>
      <c r="AR235" s="6">
        <f>ROUND((VLOOKUP($A235,EnrollData2324,'2324 Jun 24 Enroll'!D$1,FALSE)*Apport_M802425+VLOOKUP($A235,EnrollData2324,'2324 Jun 24 Enroll'!M$1,FALSE)*Apport_M802425+(VLOOKUP($A235,EnrollData2324,'2324 Jun 24 Enroll'!P$1,FALSE)+VLOOKUP($A235,EnrollData2324,'2324 Jun 24 Enroll'!Q$1,FALSE)+VLOOKUP($A235,EnrollData2324,'2324 Jun 24 Enroll'!R$1,FALSE)+VLOOKUP($A235,EnrollData2324,'2324 Jun 24 Enroll'!I$1,FALSE)+VLOOKUP($A235,EnrollData2324,'2324 Jun 24 Enroll'!N$1,FALSE)+VLOOKUP($A235,EnrollData2324,'2324 Jun 24 Enroll'!O$1,FALSE)+VLOOKUP($A235,EnrollData2324,'2324 Jun 24 Enroll'!K$1,FALSE)+VLOOKUP($A235,EnrollData2324,'2324 Jun 24 Enroll'!L$1,FALSE))*Apport_M812425)/(VLOOKUP($A235,EnrollData2324,'2324 Jun 24 Enroll'!M$1,FALSE)+VLOOKUP($A235,EnrollData2324,'2324 Jun 24 Enroll'!D$1,FALSE)),2)</f>
        <v>1597.09</v>
      </c>
      <c r="AS235" s="7">
        <f t="shared" si="49"/>
        <v>11223.34</v>
      </c>
    </row>
    <row r="236" spans="1:45">
      <c r="A236" s="40" t="s">
        <v>512</v>
      </c>
      <c r="B236" s="40" t="s">
        <v>513</v>
      </c>
      <c r="C236" s="11">
        <f>ROUND((IFERROR((1/IF(VLOOKUP($A236,EnrollData2324,28,FALSE)='District Calculations'!$F$10,VLOOKUP($A236,EnrollData2324,28,FALSE),'District Calculations'!$F$10))*(1+Apport_Z315),0))+Apport_201A2425,6)</f>
        <v>7.4580999999999995E-2</v>
      </c>
      <c r="D236">
        <f>ROUND(IF(VLOOKUP($A236,EnrollData2324,'2324 Jun 24 Enroll'!D$1,FALSE)='District Calculations'!$F$11,VLOOKUP($A236,EnrollData2324,'2324 Jun 24 Enroll'!D$1,FALSE),'District Calculations'!$F$11)*C236,3)</f>
        <v>0</v>
      </c>
      <c r="E236">
        <f>ROUND(IF(VLOOKUP($A236,EnrollData2324,'2324 Jun 24 Enroll'!E$1,FALSE)='District Calculations'!$F$12,VLOOKUP($A236,EnrollData2324,'2324 Jun 24 Enroll'!E$1,FALSE),'District Calculations'!$F$12)*C236,3)</f>
        <v>60.447000000000003</v>
      </c>
      <c r="F236">
        <f>ROUND(IF(VLOOKUP($A236,EnrollData2324,'2324 Jun 24 Enroll'!F$1,FALSE)='District Calculations'!$F$13,VLOOKUP($A236,EnrollData2324,'2324 Jun 24 Enroll'!F$1,FALSE),'District Calculations'!$F$13)*Apport_222A2425,3)</f>
        <v>10.337999999999999</v>
      </c>
      <c r="G236">
        <f>ROUND(IF(VLOOKUP($A236,EnrollData2324,'2324 Jun 24 Enroll'!G$1,FALSE)='District Calculations'!$F$14,VLOOKUP($A236,EnrollData2324,'2324 Jun 24 Enroll'!G$1,FALSE),'District Calculations'!$F$14)*Apport_210A2425,3)</f>
        <v>22.92</v>
      </c>
      <c r="H236">
        <f>ROUND(IF(VLOOKUP($A236,EnrollData2324,'2324 Jun 24 Enroll'!H$1,FALSE)='District Calculations'!$F$15,VLOOKUP($A236,EnrollData2324,'2324 Jun 24 Enroll'!H$1,FALSE),'District Calculations'!$F$15)*Apport_213A2425,3)</f>
        <v>23.619</v>
      </c>
      <c r="I236">
        <f>ROUND(IF(VLOOKUP($A236,EnrollData2324,'2324 Jun 24 Enroll'!I$1,FALSE)+VLOOKUP($A236,EnrollData2324,'2324 Jun 24 Enroll'!M$1,FALSE)-VLOOKUP($A236,EnrollData2324,'2324 Jun 24 Enroll'!J$1,FALSE)='District Calculations'!$F$16+'District Calculations'!$F$25-'District Calculations'!$F$17,VLOOKUP($A236,EnrollData2324,'2324 Jun 24 Enroll'!I$1,FALSE)+VLOOKUP($A236,EnrollData2324,'2324 Jun 24 Enroll'!M$1,FALSE)-VLOOKUP($A236,EnrollData2324,'2324 Jun 24 Enroll'!J$1,FALSE),'District Calculations'!$F$16+'District Calculations'!$F$25-'District Calculations'!$F$17)*Apport_216A2425,3)</f>
        <v>59.057000000000002</v>
      </c>
      <c r="J236">
        <f>ROUND(SUM(D236:I236)/(IF(VLOOKUP($A236,EnrollData2324,'2324 Jun 24 Enroll'!M$1,FALSE)='District Calculations'!$F$25,VLOOKUP($A236,EnrollData2324,'2324 Jun 24 Enroll'!M$1,FALSE),'District Calculations'!$F$25)+IF(VLOOKUP($A236,EnrollData2324,'2324 Jun 24 Enroll'!D$1,FALSE)='District Calculations'!$F$11,VLOOKUP($A236,EnrollData2324,'2324 Jun 24 Enroll'!D$1,FALSE),'District Calculations'!$F$11)),5)</f>
        <v>5.6520000000000001E-2</v>
      </c>
      <c r="K236" s="11">
        <f t="shared" si="50"/>
        <v>4.385E-3</v>
      </c>
      <c r="L236">
        <f>ROUND(IF(VLOOKUP($A236,EnrollData2324,'2324 Jun 24 Enroll'!D$1,FALSE)='District Calculations'!$F$11,VLOOKUP($A236,EnrollData2324,'2324 Jun 24 Enroll'!D$1,FALSE),'District Calculations'!$F$11)*K236,3)</f>
        <v>0</v>
      </c>
      <c r="M236">
        <f>ROUND(IF(VLOOKUP($A236,EnrollData2324,'2324 Jun 24 Enroll'!E$1,FALSE)='District Calculations'!$F$12,VLOOKUP($A236,EnrollData2324,'2324 Jun 24 Enroll'!E$1,FALSE),'District Calculations'!$F$12)*K236,3)</f>
        <v>3.5539999999999998</v>
      </c>
      <c r="N236">
        <f>ROUND(IF(VLOOKUP($A236,EnrollData2324,'2324 Jun 24 Enroll'!F$1,FALSE)='District Calculations'!$F$13,VLOOKUP($A236,EnrollData2324,'2324 Jun 24 Enroll'!F$1,FALSE),'District Calculations'!$F$13)*Apport_223A2425,3)</f>
        <v>0.84599999999999997</v>
      </c>
      <c r="O236">
        <f>ROUND(IF(VLOOKUP($A236,EnrollData2324,'2324 Jun 24 Enroll'!G$1,FALSE)='District Calculations'!$F$14,VLOOKUP($A236,EnrollData2324,'2324 Jun 24 Enroll'!G$1,FALSE),'District Calculations'!$F$14)*Apport_211A2425,3)</f>
        <v>1.877</v>
      </c>
      <c r="P236">
        <f>ROUND(IF(VLOOKUP($A236,EnrollData2324,'2324 Jun 24 Enroll'!H$1,FALSE)='District Calculations'!$F$14,VLOOKUP($A236,EnrollData2324,'2324 Jun 24 Enroll'!H$1,FALSE),'District Calculations'!$F$14)*Apport_214A2425,3)</f>
        <v>1.875</v>
      </c>
      <c r="Q236">
        <f>ROUND(IF(VLOOKUP($A236,EnrollData2324,'2324 Jun 24 Enroll'!I$1,FALSE)+VLOOKUP($A236,EnrollData2324,'2324 Jun 24 Enroll'!M$1,FALSE)-VLOOKUP($A236,EnrollData2324,'2324 Jun 24 Enroll'!J$1,FALSE)='District Calculations'!$F$16+'District Calculations'!$F$25-'District Calculations'!$F$17,VLOOKUP($A236,EnrollData2324,'2324 Jun 24 Enroll'!I$1,FALSE)+VLOOKUP($A236,EnrollData2324,'2324 Jun 24 Enroll'!M$1,FALSE)-VLOOKUP($A236,EnrollData2324,'2324 Jun 24 Enroll'!J$1,FALSE),'District Calculations'!$F$16+'District Calculations'!$F$25-'District Calculations'!$F$17)*Apport_217A2425,3)</f>
        <v>4.7130000000000001</v>
      </c>
      <c r="R236">
        <f>ROUND(SUM(L236:Q236)/IF(VLOOKUP($A236,EnrollData2324,'2324 Jun 24 Enroll'!M$1,FALSE)+VLOOKUP($A236,EnrollData2324,'2324 Jun 24 Enroll'!D$1,FALSE)='District Calculations'!$F$25+'District Calculations'!$F$11,VLOOKUP($A236,EnrollData2324,'2324 Jun 24 Enroll'!M$1,FALSE)+VLOOKUP($A236,EnrollData2324,'2324 Jun 24 Enroll'!D$1,FALSE),'District Calculations'!$F$25+'District Calculations'!$F$11),5)</f>
        <v>4.1200000000000004E-3</v>
      </c>
      <c r="S236" s="11">
        <f t="shared" si="51"/>
        <v>1.8734299999999999E-2</v>
      </c>
      <c r="T236">
        <f>ROUND(IF(VLOOKUP($A236,EnrollData2324,'2324 Jun 24 Enroll'!D$1,FALSE)='District Calculations'!$F$11,VLOOKUP($A236,EnrollData2324,'2324 Jun 24 Enroll'!D$1,FALSE),'District Calculations'!$F$11)*S236,3)</f>
        <v>0</v>
      </c>
      <c r="U236">
        <f>ROUND(IF(VLOOKUP($A236,EnrollData2324,'2324 Jun 24 Enroll'!E$1,FALSE)='District Calculations'!$F$12,VLOOKUP($A236,EnrollData2324,'2324 Jun 24 Enroll'!E$1,FALSE),'District Calculations'!$F$12)*S236,3)</f>
        <v>15.183999999999999</v>
      </c>
      <c r="V236">
        <f>ROUND(IF(VLOOKUP($A236,EnrollData2324,'2324 Jun 24 Enroll'!F$1,FALSE)='District Calculations'!$F$13,VLOOKUP($A236,EnrollData2324,'2324 Jun 24 Enroll'!F$1,FALSE),'District Calculations'!$F$13)*Apport_224A2425,3)</f>
        <v>3.7109999999999999</v>
      </c>
      <c r="W236">
        <f>ROUND(IF(VLOOKUP($A236,EnrollData2324,'2324 Jun 24 Enroll'!G$1,FALSE)='District Calculations'!$F$14,VLOOKUP($A236,EnrollData2324,'2324 Jun 24 Enroll'!G$1,FALSE),'District Calculations'!$F$14)*Apport_212A2425,3)</f>
        <v>8.2279999999999998</v>
      </c>
      <c r="X236">
        <f>ROUND(IF(VLOOKUP($A236,EnrollData2324,'2324 Jun 24 Enroll'!H$1,FALSE)='District Calculations'!$F$14,VLOOKUP($A236,EnrollData2324,'2324 Jun 24 Enroll'!H$1,FALSE),'District Calculations'!$F$14)*Apport_215A2425,3)</f>
        <v>8.1180000000000003</v>
      </c>
      <c r="Y236">
        <f>ROUND(IF(VLOOKUP($A236,EnrollData2324,'2324 Jun 24 Enroll'!I$1,FALSE)+VLOOKUP($A236,EnrollData2324,'2324 Jun 24 Enroll'!M$1,FALSE)-VLOOKUP($A236,EnrollData2324,'2324 Jun 24 Enroll'!J$1,FALSE)='District Calculations'!$F$16+'District Calculations'!$F$25-'District Calculations'!$F$17,VLOOKUP($A236,EnrollData2324,'2324 Jun 24 Enroll'!I$1,FALSE)+VLOOKUP($A236,EnrollData2324,'2324 Jun 24 Enroll'!M$1,FALSE)-VLOOKUP($A236,EnrollData2324,'2324 Jun 24 Enroll'!J$1,FALSE),'District Calculations'!$F$16+'District Calculations'!$F$25-'District Calculations'!$F$17)*Apport_218A2425,3)</f>
        <v>20.257999999999999</v>
      </c>
      <c r="Z236">
        <f>ROUND(SUM(T236:Y236)/IF(VLOOKUP($A236,EnrollData2324,'2324 Jun 24 Enroll'!M$1,FALSE)+VLOOKUP($A236,EnrollData2324,'2324 Jun 24 Enroll'!D$1,FALSE)='District Calculations'!$F$25+'District Calculations'!$F$11,VLOOKUP($A236,EnrollData2324,'2324 Jun 24 Enroll'!M$1,FALSE)+VLOOKUP($A236,EnrollData2324,'2324 Jun 24 Enroll'!D$1,FALSE),'District Calculations'!$F$25+'District Calculations'!$F$11),5)</f>
        <v>1.7780000000000001E-2</v>
      </c>
      <c r="AA236" s="6">
        <f>ROUND($J236*CIS_Base_Salary2425*VLOOKUP($A236,EnrollData2324,'2324 Jun 24 Enroll'!AH$1,FALSE),2)</f>
        <v>5029.96</v>
      </c>
      <c r="AB236" s="6">
        <f>ROUND($J236*CIS_Inc_Salary2425*(VLOOKUP($A236,EnrollData2324,'2324 Jun 24 Enroll'!AI$1,FALSE)+VLOOKUP($A236,EnrollData2324,'2324 Jun 24 Enroll'!AJ$1,FALSE)),2)-AA236</f>
        <v>186.07999999999993</v>
      </c>
      <c r="AC236" s="6" cm="1">
        <f t="array" ref="AC236">ROUND($R236*CAS_Base_Salary2425*VLOOKUP($A236,EnrollData2324,'2324 Jun 24 Enroll'!AH$1,FALSE),2)</f>
        <v>544.26</v>
      </c>
      <c r="AD236" s="6">
        <f>ROUND($R236*CAS_Inc_Salary2425*VLOOKUP($A236,EnrollData2324,'2324 Jun 24 Enroll'!AI$1,FALSE),2)-AC236</f>
        <v>20.129999999999995</v>
      </c>
      <c r="AE236" s="6">
        <f>ROUND($Z236*CLS_Base_Salary2425*VLOOKUP($A236,EnrollData2324,'2324 Jun 24 Enroll'!AH$1,FALSE),2)</f>
        <v>1135.0999999999999</v>
      </c>
      <c r="AF236" s="6">
        <f>ROUND($Z236*CLS_Inc_Salary2425*VLOOKUP($A236,EnrollData2324,'2324 Jun 24 Enroll'!AI$1,FALSE),2)-AE236</f>
        <v>42.009999999999991</v>
      </c>
      <c r="AG236" cm="1">
        <f t="array" ref="AG236">ROUND(($J236+$R236)*Apport_124X2425,2)</f>
        <v>800.45</v>
      </c>
      <c r="AH236" s="69" cm="1">
        <f t="array" ref="AH236">ROUND(($J236+$R236)*Apport_621X2425*Apport_125XC2425,2)-AG236</f>
        <v>73.899999999999977</v>
      </c>
      <c r="AI236" cm="1">
        <f t="array" ref="AI236">ROUND($Z236*Apport_124X2425,2)</f>
        <v>234.7</v>
      </c>
      <c r="AJ236">
        <f t="shared" si="52"/>
        <v>124.71000000000004</v>
      </c>
      <c r="AK236">
        <f t="shared" si="53"/>
        <v>1011.72</v>
      </c>
      <c r="AL236">
        <f t="shared" si="54"/>
        <v>36.11</v>
      </c>
      <c r="AM236">
        <f t="shared" si="55"/>
        <v>245.86</v>
      </c>
      <c r="AN236">
        <f t="shared" si="56"/>
        <v>7.63</v>
      </c>
      <c r="AO236">
        <f>ROUND(($J236*CIS_Inc_Salary2425*(VLOOKUP($A236,EnrollData2324,'2324 Jun 24 Enroll'!AI$1,FALSE)+VLOOKUP($A236,EnrollData2324,'2324 Jun 24 Enroll'!AJ$1,FALSE))/Apport_613Xpd)*Apport_614Xpd,2)</f>
        <v>86.93</v>
      </c>
      <c r="AP236">
        <f t="shared" si="57"/>
        <v>15.22</v>
      </c>
      <c r="AQ236">
        <f t="shared" si="48"/>
        <v>31.48</v>
      </c>
      <c r="AR236" s="6">
        <f>ROUND((VLOOKUP($A236,EnrollData2324,'2324 Jun 24 Enroll'!D$1,FALSE)*Apport_M802425+VLOOKUP($A236,EnrollData2324,'2324 Jun 24 Enroll'!M$1,FALSE)*Apport_M802425+(VLOOKUP($A236,EnrollData2324,'2324 Jun 24 Enroll'!P$1,FALSE)+VLOOKUP($A236,EnrollData2324,'2324 Jun 24 Enroll'!Q$1,FALSE)+VLOOKUP($A236,EnrollData2324,'2324 Jun 24 Enroll'!R$1,FALSE)+VLOOKUP($A236,EnrollData2324,'2324 Jun 24 Enroll'!I$1,FALSE)+VLOOKUP($A236,EnrollData2324,'2324 Jun 24 Enroll'!N$1,FALSE)+VLOOKUP($A236,EnrollData2324,'2324 Jun 24 Enroll'!O$1,FALSE)+VLOOKUP($A236,EnrollData2324,'2324 Jun 24 Enroll'!K$1,FALSE)+VLOOKUP($A236,EnrollData2324,'2324 Jun 24 Enroll'!L$1,FALSE))*Apport_M812425)/(VLOOKUP($A236,EnrollData2324,'2324 Jun 24 Enroll'!M$1,FALSE)+VLOOKUP($A236,EnrollData2324,'2324 Jun 24 Enroll'!D$1,FALSE)),2)</f>
        <v>1533.02</v>
      </c>
      <c r="AS236" s="7">
        <f t="shared" si="49"/>
        <v>11159.27</v>
      </c>
    </row>
    <row r="237" spans="1:45">
      <c r="A237" s="40" t="s">
        <v>594</v>
      </c>
      <c r="B237" s="40" t="s">
        <v>595</v>
      </c>
      <c r="C237" s="11">
        <f>ROUND((IFERROR((1/IF(VLOOKUP($A237,EnrollData2324,28,FALSE)='District Calculations'!$F$10,VLOOKUP($A237,EnrollData2324,28,FALSE),'District Calculations'!$F$10))*(1+Apport_Z315),0))+Apport_201A2425,6)</f>
        <v>7.4580999999999995E-2</v>
      </c>
      <c r="D237">
        <f>ROUND(IF(VLOOKUP($A237,EnrollData2324,'2324 Jun 24 Enroll'!D$1,FALSE)='District Calculations'!$F$11,VLOOKUP($A237,EnrollData2324,'2324 Jun 24 Enroll'!D$1,FALSE),'District Calculations'!$F$11)*C237,3)</f>
        <v>0</v>
      </c>
      <c r="E237">
        <f>ROUND(IF(VLOOKUP($A237,EnrollData2324,'2324 Jun 24 Enroll'!E$1,FALSE)='District Calculations'!$F$12,VLOOKUP($A237,EnrollData2324,'2324 Jun 24 Enroll'!E$1,FALSE),'District Calculations'!$F$12)*C237,3)</f>
        <v>60.447000000000003</v>
      </c>
      <c r="F237">
        <f>ROUND(IF(VLOOKUP($A237,EnrollData2324,'2324 Jun 24 Enroll'!F$1,FALSE)='District Calculations'!$F$13,VLOOKUP($A237,EnrollData2324,'2324 Jun 24 Enroll'!F$1,FALSE),'District Calculations'!$F$13)*Apport_222A2425,3)</f>
        <v>10.337999999999999</v>
      </c>
      <c r="G237">
        <f>ROUND(IF(VLOOKUP($A237,EnrollData2324,'2324 Jun 24 Enroll'!G$1,FALSE)='District Calculations'!$F$14,VLOOKUP($A237,EnrollData2324,'2324 Jun 24 Enroll'!G$1,FALSE),'District Calculations'!$F$14)*Apport_210A2425,3)</f>
        <v>22.92</v>
      </c>
      <c r="H237">
        <f>ROUND(IF(VLOOKUP($A237,EnrollData2324,'2324 Jun 24 Enroll'!H$1,FALSE)='District Calculations'!$F$15,VLOOKUP($A237,EnrollData2324,'2324 Jun 24 Enroll'!H$1,FALSE),'District Calculations'!$F$15)*Apport_213A2425,3)</f>
        <v>23.619</v>
      </c>
      <c r="I237">
        <f>ROUND(IF(VLOOKUP($A237,EnrollData2324,'2324 Jun 24 Enroll'!I$1,FALSE)+VLOOKUP($A237,EnrollData2324,'2324 Jun 24 Enroll'!M$1,FALSE)-VLOOKUP($A237,EnrollData2324,'2324 Jun 24 Enroll'!J$1,FALSE)='District Calculations'!$F$16+'District Calculations'!$F$25-'District Calculations'!$F$17,VLOOKUP($A237,EnrollData2324,'2324 Jun 24 Enroll'!I$1,FALSE)+VLOOKUP($A237,EnrollData2324,'2324 Jun 24 Enroll'!M$1,FALSE)-VLOOKUP($A237,EnrollData2324,'2324 Jun 24 Enroll'!J$1,FALSE),'District Calculations'!$F$16+'District Calculations'!$F$25-'District Calculations'!$F$17)*Apport_216A2425,3)</f>
        <v>59.057000000000002</v>
      </c>
      <c r="J237">
        <f>ROUND(SUM(D237:I237)/(IF(VLOOKUP($A237,EnrollData2324,'2324 Jun 24 Enroll'!M$1,FALSE)='District Calculations'!$F$25,VLOOKUP($A237,EnrollData2324,'2324 Jun 24 Enroll'!M$1,FALSE),'District Calculations'!$F$25)+IF(VLOOKUP($A237,EnrollData2324,'2324 Jun 24 Enroll'!D$1,FALSE)='District Calculations'!$F$11,VLOOKUP($A237,EnrollData2324,'2324 Jun 24 Enroll'!D$1,FALSE),'District Calculations'!$F$11)),5)</f>
        <v>5.6520000000000001E-2</v>
      </c>
      <c r="K237" s="11">
        <f t="shared" si="50"/>
        <v>4.385E-3</v>
      </c>
      <c r="L237">
        <f>ROUND(IF(VLOOKUP($A237,EnrollData2324,'2324 Jun 24 Enroll'!D$1,FALSE)='District Calculations'!$F$11,VLOOKUP($A237,EnrollData2324,'2324 Jun 24 Enroll'!D$1,FALSE),'District Calculations'!$F$11)*K237,3)</f>
        <v>0</v>
      </c>
      <c r="M237">
        <f>ROUND(IF(VLOOKUP($A237,EnrollData2324,'2324 Jun 24 Enroll'!E$1,FALSE)='District Calculations'!$F$12,VLOOKUP($A237,EnrollData2324,'2324 Jun 24 Enroll'!E$1,FALSE),'District Calculations'!$F$12)*K237,3)</f>
        <v>3.5539999999999998</v>
      </c>
      <c r="N237">
        <f>ROUND(IF(VLOOKUP($A237,EnrollData2324,'2324 Jun 24 Enroll'!F$1,FALSE)='District Calculations'!$F$13,VLOOKUP($A237,EnrollData2324,'2324 Jun 24 Enroll'!F$1,FALSE),'District Calculations'!$F$13)*Apport_223A2425,3)</f>
        <v>0.84599999999999997</v>
      </c>
      <c r="O237">
        <f>ROUND(IF(VLOOKUP($A237,EnrollData2324,'2324 Jun 24 Enroll'!G$1,FALSE)='District Calculations'!$F$14,VLOOKUP($A237,EnrollData2324,'2324 Jun 24 Enroll'!G$1,FALSE),'District Calculations'!$F$14)*Apport_211A2425,3)</f>
        <v>1.877</v>
      </c>
      <c r="P237">
        <f>ROUND(IF(VLOOKUP($A237,EnrollData2324,'2324 Jun 24 Enroll'!H$1,FALSE)='District Calculations'!$F$14,VLOOKUP($A237,EnrollData2324,'2324 Jun 24 Enroll'!H$1,FALSE),'District Calculations'!$F$14)*Apport_214A2425,3)</f>
        <v>1.875</v>
      </c>
      <c r="Q237">
        <f>ROUND(IF(VLOOKUP($A237,EnrollData2324,'2324 Jun 24 Enroll'!I$1,FALSE)+VLOOKUP($A237,EnrollData2324,'2324 Jun 24 Enroll'!M$1,FALSE)-VLOOKUP($A237,EnrollData2324,'2324 Jun 24 Enroll'!J$1,FALSE)='District Calculations'!$F$16+'District Calculations'!$F$25-'District Calculations'!$F$17,VLOOKUP($A237,EnrollData2324,'2324 Jun 24 Enroll'!I$1,FALSE)+VLOOKUP($A237,EnrollData2324,'2324 Jun 24 Enroll'!M$1,FALSE)-VLOOKUP($A237,EnrollData2324,'2324 Jun 24 Enroll'!J$1,FALSE),'District Calculations'!$F$16+'District Calculations'!$F$25-'District Calculations'!$F$17)*Apport_217A2425,3)</f>
        <v>4.7130000000000001</v>
      </c>
      <c r="R237">
        <f>ROUND(SUM(L237:Q237)/IF(VLOOKUP($A237,EnrollData2324,'2324 Jun 24 Enroll'!M$1,FALSE)+VLOOKUP($A237,EnrollData2324,'2324 Jun 24 Enroll'!D$1,FALSE)='District Calculations'!$F$25+'District Calculations'!$F$11,VLOOKUP($A237,EnrollData2324,'2324 Jun 24 Enroll'!M$1,FALSE)+VLOOKUP($A237,EnrollData2324,'2324 Jun 24 Enroll'!D$1,FALSE),'District Calculations'!$F$25+'District Calculations'!$F$11),5)</f>
        <v>4.1200000000000004E-3</v>
      </c>
      <c r="S237" s="11">
        <f t="shared" si="51"/>
        <v>1.8734299999999999E-2</v>
      </c>
      <c r="T237">
        <f>ROUND(IF(VLOOKUP($A237,EnrollData2324,'2324 Jun 24 Enroll'!D$1,FALSE)='District Calculations'!$F$11,VLOOKUP($A237,EnrollData2324,'2324 Jun 24 Enroll'!D$1,FALSE),'District Calculations'!$F$11)*S237,3)</f>
        <v>0</v>
      </c>
      <c r="U237">
        <f>ROUND(IF(VLOOKUP($A237,EnrollData2324,'2324 Jun 24 Enroll'!E$1,FALSE)='District Calculations'!$F$12,VLOOKUP($A237,EnrollData2324,'2324 Jun 24 Enroll'!E$1,FALSE),'District Calculations'!$F$12)*S237,3)</f>
        <v>15.183999999999999</v>
      </c>
      <c r="V237">
        <f>ROUND(IF(VLOOKUP($A237,EnrollData2324,'2324 Jun 24 Enroll'!F$1,FALSE)='District Calculations'!$F$13,VLOOKUP($A237,EnrollData2324,'2324 Jun 24 Enroll'!F$1,FALSE),'District Calculations'!$F$13)*Apport_224A2425,3)</f>
        <v>3.7109999999999999</v>
      </c>
      <c r="W237">
        <f>ROUND(IF(VLOOKUP($A237,EnrollData2324,'2324 Jun 24 Enroll'!G$1,FALSE)='District Calculations'!$F$14,VLOOKUP($A237,EnrollData2324,'2324 Jun 24 Enroll'!G$1,FALSE),'District Calculations'!$F$14)*Apport_212A2425,3)</f>
        <v>8.2279999999999998</v>
      </c>
      <c r="X237">
        <f>ROUND(IF(VLOOKUP($A237,EnrollData2324,'2324 Jun 24 Enroll'!H$1,FALSE)='District Calculations'!$F$14,VLOOKUP($A237,EnrollData2324,'2324 Jun 24 Enroll'!H$1,FALSE),'District Calculations'!$F$14)*Apport_215A2425,3)</f>
        <v>8.1180000000000003</v>
      </c>
      <c r="Y237">
        <f>ROUND(IF(VLOOKUP($A237,EnrollData2324,'2324 Jun 24 Enroll'!I$1,FALSE)+VLOOKUP($A237,EnrollData2324,'2324 Jun 24 Enroll'!M$1,FALSE)-VLOOKUP($A237,EnrollData2324,'2324 Jun 24 Enroll'!J$1,FALSE)='District Calculations'!$F$16+'District Calculations'!$F$25-'District Calculations'!$F$17,VLOOKUP($A237,EnrollData2324,'2324 Jun 24 Enroll'!I$1,FALSE)+VLOOKUP($A237,EnrollData2324,'2324 Jun 24 Enroll'!M$1,FALSE)-VLOOKUP($A237,EnrollData2324,'2324 Jun 24 Enroll'!J$1,FALSE),'District Calculations'!$F$16+'District Calculations'!$F$25-'District Calculations'!$F$17)*Apport_218A2425,3)</f>
        <v>20.257999999999999</v>
      </c>
      <c r="Z237">
        <f>ROUND(SUM(T237:Y237)/IF(VLOOKUP($A237,EnrollData2324,'2324 Jun 24 Enroll'!M$1,FALSE)+VLOOKUP($A237,EnrollData2324,'2324 Jun 24 Enroll'!D$1,FALSE)='District Calculations'!$F$25+'District Calculations'!$F$11,VLOOKUP($A237,EnrollData2324,'2324 Jun 24 Enroll'!M$1,FALSE)+VLOOKUP($A237,EnrollData2324,'2324 Jun 24 Enroll'!D$1,FALSE),'District Calculations'!$F$25+'District Calculations'!$F$11),5)</f>
        <v>1.7780000000000001E-2</v>
      </c>
      <c r="AA237" s="6">
        <f>ROUND($J237*CIS_Base_Salary2425*VLOOKUP($A237,EnrollData2324,'2324 Jun 24 Enroll'!AH$1,FALSE),2)</f>
        <v>5029.96</v>
      </c>
      <c r="AB237" s="6">
        <f>ROUND($J237*CIS_Inc_Salary2425*(VLOOKUP($A237,EnrollData2324,'2324 Jun 24 Enroll'!AI$1,FALSE)+VLOOKUP($A237,EnrollData2324,'2324 Jun 24 Enroll'!AJ$1,FALSE)),2)-AA237</f>
        <v>186.07999999999993</v>
      </c>
      <c r="AC237" s="6" cm="1">
        <f t="array" ref="AC237">ROUND($R237*CAS_Base_Salary2425*VLOOKUP($A237,EnrollData2324,'2324 Jun 24 Enroll'!AH$1,FALSE),2)</f>
        <v>544.26</v>
      </c>
      <c r="AD237" s="6">
        <f>ROUND($R237*CAS_Inc_Salary2425*VLOOKUP($A237,EnrollData2324,'2324 Jun 24 Enroll'!AI$1,FALSE),2)-AC237</f>
        <v>20.129999999999995</v>
      </c>
      <c r="AE237" s="6">
        <f>ROUND($Z237*CLS_Base_Salary2425*VLOOKUP($A237,EnrollData2324,'2324 Jun 24 Enroll'!AH$1,FALSE),2)</f>
        <v>1135.0999999999999</v>
      </c>
      <c r="AF237" s="6">
        <f>ROUND($Z237*CLS_Inc_Salary2425*VLOOKUP($A237,EnrollData2324,'2324 Jun 24 Enroll'!AI$1,FALSE),2)-AE237</f>
        <v>42.009999999999991</v>
      </c>
      <c r="AG237" cm="1">
        <f t="array" ref="AG237">ROUND(($J237+$R237)*Apport_124X2425,2)</f>
        <v>800.45</v>
      </c>
      <c r="AH237" s="69" cm="1">
        <f t="array" ref="AH237">ROUND(($J237+$R237)*Apport_621X2425*Apport_125XC2425,2)-AG237</f>
        <v>73.899999999999977</v>
      </c>
      <c r="AI237" cm="1">
        <f t="array" ref="AI237">ROUND($Z237*Apport_124X2425,2)</f>
        <v>234.7</v>
      </c>
      <c r="AJ237">
        <f t="shared" si="52"/>
        <v>124.71000000000004</v>
      </c>
      <c r="AK237">
        <f t="shared" si="53"/>
        <v>1011.72</v>
      </c>
      <c r="AL237">
        <f t="shared" si="54"/>
        <v>36.11</v>
      </c>
      <c r="AM237">
        <f t="shared" si="55"/>
        <v>245.86</v>
      </c>
      <c r="AN237">
        <f t="shared" si="56"/>
        <v>7.63</v>
      </c>
      <c r="AO237">
        <f>ROUND(($J237*CIS_Inc_Salary2425*(VLOOKUP($A237,EnrollData2324,'2324 Jun 24 Enroll'!AI$1,FALSE)+VLOOKUP($A237,EnrollData2324,'2324 Jun 24 Enroll'!AJ$1,FALSE))/Apport_613Xpd)*Apport_614Xpd,2)</f>
        <v>86.93</v>
      </c>
      <c r="AP237">
        <f t="shared" si="57"/>
        <v>15.22</v>
      </c>
      <c r="AQ237">
        <f t="shared" si="48"/>
        <v>31.48</v>
      </c>
      <c r="AR237" s="6">
        <f>ROUND((VLOOKUP($A237,EnrollData2324,'2324 Jun 24 Enroll'!D$1,FALSE)*Apport_M802425+VLOOKUP($A237,EnrollData2324,'2324 Jun 24 Enroll'!M$1,FALSE)*Apport_M802425+(VLOOKUP($A237,EnrollData2324,'2324 Jun 24 Enroll'!P$1,FALSE)+VLOOKUP($A237,EnrollData2324,'2324 Jun 24 Enroll'!Q$1,FALSE)+VLOOKUP($A237,EnrollData2324,'2324 Jun 24 Enroll'!R$1,FALSE)+VLOOKUP($A237,EnrollData2324,'2324 Jun 24 Enroll'!I$1,FALSE)+VLOOKUP($A237,EnrollData2324,'2324 Jun 24 Enroll'!N$1,FALSE)+VLOOKUP($A237,EnrollData2324,'2324 Jun 24 Enroll'!O$1,FALSE)+VLOOKUP($A237,EnrollData2324,'2324 Jun 24 Enroll'!K$1,FALSE)+VLOOKUP($A237,EnrollData2324,'2324 Jun 24 Enroll'!L$1,FALSE))*Apport_M812425)/(VLOOKUP($A237,EnrollData2324,'2324 Jun 24 Enroll'!M$1,FALSE)+VLOOKUP($A237,EnrollData2324,'2324 Jun 24 Enroll'!D$1,FALSE)),2)</f>
        <v>1618.52</v>
      </c>
      <c r="AS237" s="7">
        <f t="shared" si="49"/>
        <v>11244.77</v>
      </c>
    </row>
    <row r="238" spans="1:45">
      <c r="A238" s="40" t="s">
        <v>767</v>
      </c>
      <c r="B238" s="40" t="s">
        <v>768</v>
      </c>
      <c r="C238" s="11">
        <f>ROUND((IFERROR((1/IF(VLOOKUP($A238,EnrollData2324,28,FALSE)='District Calculations'!$F$10,VLOOKUP($A238,EnrollData2324,28,FALSE),'District Calculations'!$F$10))*(1+Apport_Z315),0))+Apport_201A2425,6)</f>
        <v>7.4580999999999995E-2</v>
      </c>
      <c r="D238">
        <f>ROUND(IF(VLOOKUP($A238,EnrollData2324,'2324 Jun 24 Enroll'!D$1,FALSE)='District Calculations'!$F$11,VLOOKUP($A238,EnrollData2324,'2324 Jun 24 Enroll'!D$1,FALSE),'District Calculations'!$F$11)*C238,3)</f>
        <v>0</v>
      </c>
      <c r="E238">
        <f>ROUND(IF(VLOOKUP($A238,EnrollData2324,'2324 Jun 24 Enroll'!E$1,FALSE)='District Calculations'!$F$12,VLOOKUP($A238,EnrollData2324,'2324 Jun 24 Enroll'!E$1,FALSE),'District Calculations'!$F$12)*C238,3)</f>
        <v>60.447000000000003</v>
      </c>
      <c r="F238">
        <f>ROUND(IF(VLOOKUP($A238,EnrollData2324,'2324 Jun 24 Enroll'!F$1,FALSE)='District Calculations'!$F$13,VLOOKUP($A238,EnrollData2324,'2324 Jun 24 Enroll'!F$1,FALSE),'District Calculations'!$F$13)*Apport_222A2425,3)</f>
        <v>10.337999999999999</v>
      </c>
      <c r="G238">
        <f>ROUND(IF(VLOOKUP($A238,EnrollData2324,'2324 Jun 24 Enroll'!G$1,FALSE)='District Calculations'!$F$14,VLOOKUP($A238,EnrollData2324,'2324 Jun 24 Enroll'!G$1,FALSE),'District Calculations'!$F$14)*Apport_210A2425,3)</f>
        <v>22.92</v>
      </c>
      <c r="H238">
        <f>ROUND(IF(VLOOKUP($A238,EnrollData2324,'2324 Jun 24 Enroll'!H$1,FALSE)='District Calculations'!$F$15,VLOOKUP($A238,EnrollData2324,'2324 Jun 24 Enroll'!H$1,FALSE),'District Calculations'!$F$15)*Apport_213A2425,3)</f>
        <v>23.619</v>
      </c>
      <c r="I238">
        <f>ROUND(IF(VLOOKUP($A238,EnrollData2324,'2324 Jun 24 Enroll'!I$1,FALSE)+VLOOKUP($A238,EnrollData2324,'2324 Jun 24 Enroll'!M$1,FALSE)-VLOOKUP($A238,EnrollData2324,'2324 Jun 24 Enroll'!J$1,FALSE)='District Calculations'!$F$16+'District Calculations'!$F$25-'District Calculations'!$F$17,VLOOKUP($A238,EnrollData2324,'2324 Jun 24 Enroll'!I$1,FALSE)+VLOOKUP($A238,EnrollData2324,'2324 Jun 24 Enroll'!M$1,FALSE)-VLOOKUP($A238,EnrollData2324,'2324 Jun 24 Enroll'!J$1,FALSE),'District Calculations'!$F$16+'District Calculations'!$F$25-'District Calculations'!$F$17)*Apport_216A2425,3)</f>
        <v>59.057000000000002</v>
      </c>
      <c r="J238">
        <f>ROUND(SUM(D238:I238)/(IF(VLOOKUP($A238,EnrollData2324,'2324 Jun 24 Enroll'!M$1,FALSE)='District Calculations'!$F$25,VLOOKUP($A238,EnrollData2324,'2324 Jun 24 Enroll'!M$1,FALSE),'District Calculations'!$F$25)+IF(VLOOKUP($A238,EnrollData2324,'2324 Jun 24 Enroll'!D$1,FALSE)='District Calculations'!$F$11,VLOOKUP($A238,EnrollData2324,'2324 Jun 24 Enroll'!D$1,FALSE),'District Calculations'!$F$11)),5)</f>
        <v>5.6520000000000001E-2</v>
      </c>
      <c r="K238" s="11">
        <f t="shared" si="50"/>
        <v>4.385E-3</v>
      </c>
      <c r="L238">
        <f>ROUND(IF(VLOOKUP($A238,EnrollData2324,'2324 Jun 24 Enroll'!D$1,FALSE)='District Calculations'!$F$11,VLOOKUP($A238,EnrollData2324,'2324 Jun 24 Enroll'!D$1,FALSE),'District Calculations'!$F$11)*K238,3)</f>
        <v>0</v>
      </c>
      <c r="M238">
        <f>ROUND(IF(VLOOKUP($A238,EnrollData2324,'2324 Jun 24 Enroll'!E$1,FALSE)='District Calculations'!$F$12,VLOOKUP($A238,EnrollData2324,'2324 Jun 24 Enroll'!E$1,FALSE),'District Calculations'!$F$12)*K238,3)</f>
        <v>3.5539999999999998</v>
      </c>
      <c r="N238">
        <f>ROUND(IF(VLOOKUP($A238,EnrollData2324,'2324 Jun 24 Enroll'!F$1,FALSE)='District Calculations'!$F$13,VLOOKUP($A238,EnrollData2324,'2324 Jun 24 Enroll'!F$1,FALSE),'District Calculations'!$F$13)*Apport_223A2425,3)</f>
        <v>0.84599999999999997</v>
      </c>
      <c r="O238">
        <f>ROUND(IF(VLOOKUP($A238,EnrollData2324,'2324 Jun 24 Enroll'!G$1,FALSE)='District Calculations'!$F$14,VLOOKUP($A238,EnrollData2324,'2324 Jun 24 Enroll'!G$1,FALSE),'District Calculations'!$F$14)*Apport_211A2425,3)</f>
        <v>1.877</v>
      </c>
      <c r="P238">
        <f>ROUND(IF(VLOOKUP($A238,EnrollData2324,'2324 Jun 24 Enroll'!H$1,FALSE)='District Calculations'!$F$14,VLOOKUP($A238,EnrollData2324,'2324 Jun 24 Enroll'!H$1,FALSE),'District Calculations'!$F$14)*Apport_214A2425,3)</f>
        <v>1.875</v>
      </c>
      <c r="Q238">
        <f>ROUND(IF(VLOOKUP($A238,EnrollData2324,'2324 Jun 24 Enroll'!I$1,FALSE)+VLOOKUP($A238,EnrollData2324,'2324 Jun 24 Enroll'!M$1,FALSE)-VLOOKUP($A238,EnrollData2324,'2324 Jun 24 Enroll'!J$1,FALSE)='District Calculations'!$F$16+'District Calculations'!$F$25-'District Calculations'!$F$17,VLOOKUP($A238,EnrollData2324,'2324 Jun 24 Enroll'!I$1,FALSE)+VLOOKUP($A238,EnrollData2324,'2324 Jun 24 Enroll'!M$1,FALSE)-VLOOKUP($A238,EnrollData2324,'2324 Jun 24 Enroll'!J$1,FALSE),'District Calculations'!$F$16+'District Calculations'!$F$25-'District Calculations'!$F$17)*Apport_217A2425,3)</f>
        <v>4.7130000000000001</v>
      </c>
      <c r="R238">
        <f>ROUND(SUM(L238:Q238)/IF(VLOOKUP($A238,EnrollData2324,'2324 Jun 24 Enroll'!M$1,FALSE)+VLOOKUP($A238,EnrollData2324,'2324 Jun 24 Enroll'!D$1,FALSE)='District Calculations'!$F$25+'District Calculations'!$F$11,VLOOKUP($A238,EnrollData2324,'2324 Jun 24 Enroll'!M$1,FALSE)+VLOOKUP($A238,EnrollData2324,'2324 Jun 24 Enroll'!D$1,FALSE),'District Calculations'!$F$25+'District Calculations'!$F$11),5)</f>
        <v>4.1200000000000004E-3</v>
      </c>
      <c r="S238" s="11">
        <f t="shared" si="51"/>
        <v>1.8734299999999999E-2</v>
      </c>
      <c r="T238">
        <f>ROUND(IF(VLOOKUP($A238,EnrollData2324,'2324 Jun 24 Enroll'!D$1,FALSE)='District Calculations'!$F$11,VLOOKUP($A238,EnrollData2324,'2324 Jun 24 Enroll'!D$1,FALSE),'District Calculations'!$F$11)*S238,3)</f>
        <v>0</v>
      </c>
      <c r="U238">
        <f>ROUND(IF(VLOOKUP($A238,EnrollData2324,'2324 Jun 24 Enroll'!E$1,FALSE)='District Calculations'!$F$12,VLOOKUP($A238,EnrollData2324,'2324 Jun 24 Enroll'!E$1,FALSE),'District Calculations'!$F$12)*S238,3)</f>
        <v>15.183999999999999</v>
      </c>
      <c r="V238">
        <f>ROUND(IF(VLOOKUP($A238,EnrollData2324,'2324 Jun 24 Enroll'!F$1,FALSE)='District Calculations'!$F$13,VLOOKUP($A238,EnrollData2324,'2324 Jun 24 Enroll'!F$1,FALSE),'District Calculations'!$F$13)*Apport_224A2425,3)</f>
        <v>3.7109999999999999</v>
      </c>
      <c r="W238">
        <f>ROUND(IF(VLOOKUP($A238,EnrollData2324,'2324 Jun 24 Enroll'!G$1,FALSE)='District Calculations'!$F$14,VLOOKUP($A238,EnrollData2324,'2324 Jun 24 Enroll'!G$1,FALSE),'District Calculations'!$F$14)*Apport_212A2425,3)</f>
        <v>8.2279999999999998</v>
      </c>
      <c r="X238">
        <f>ROUND(IF(VLOOKUP($A238,EnrollData2324,'2324 Jun 24 Enroll'!H$1,FALSE)='District Calculations'!$F$14,VLOOKUP($A238,EnrollData2324,'2324 Jun 24 Enroll'!H$1,FALSE),'District Calculations'!$F$14)*Apport_215A2425,3)</f>
        <v>8.1180000000000003</v>
      </c>
      <c r="Y238">
        <f>ROUND(IF(VLOOKUP($A238,EnrollData2324,'2324 Jun 24 Enroll'!I$1,FALSE)+VLOOKUP($A238,EnrollData2324,'2324 Jun 24 Enroll'!M$1,FALSE)-VLOOKUP($A238,EnrollData2324,'2324 Jun 24 Enroll'!J$1,FALSE)='District Calculations'!$F$16+'District Calculations'!$F$25-'District Calculations'!$F$17,VLOOKUP($A238,EnrollData2324,'2324 Jun 24 Enroll'!I$1,FALSE)+VLOOKUP($A238,EnrollData2324,'2324 Jun 24 Enroll'!M$1,FALSE)-VLOOKUP($A238,EnrollData2324,'2324 Jun 24 Enroll'!J$1,FALSE),'District Calculations'!$F$16+'District Calculations'!$F$25-'District Calculations'!$F$17)*Apport_218A2425,3)</f>
        <v>20.257999999999999</v>
      </c>
      <c r="Z238">
        <f>ROUND(SUM(T238:Y238)/IF(VLOOKUP($A238,EnrollData2324,'2324 Jun 24 Enroll'!M$1,FALSE)+VLOOKUP($A238,EnrollData2324,'2324 Jun 24 Enroll'!D$1,FALSE)='District Calculations'!$F$25+'District Calculations'!$F$11,VLOOKUP($A238,EnrollData2324,'2324 Jun 24 Enroll'!M$1,FALSE)+VLOOKUP($A238,EnrollData2324,'2324 Jun 24 Enroll'!D$1,FALSE),'District Calculations'!$F$25+'District Calculations'!$F$11),5)</f>
        <v>1.7780000000000001E-2</v>
      </c>
      <c r="AA238" s="6">
        <f>ROUND($J238*CIS_Base_Salary2425*VLOOKUP($A238,EnrollData2324,'2324 Jun 24 Enroll'!AH$1,FALSE),2)</f>
        <v>5029.96</v>
      </c>
      <c r="AB238" s="6">
        <f>ROUND($J238*CIS_Inc_Salary2425*(VLOOKUP($A238,EnrollData2324,'2324 Jun 24 Enroll'!AI$1,FALSE)+VLOOKUP($A238,EnrollData2324,'2324 Jun 24 Enroll'!AJ$1,FALSE)),2)-AA238</f>
        <v>362.89000000000033</v>
      </c>
      <c r="AC238" s="6" cm="1">
        <f t="array" ref="AC238">ROUND($R238*CAS_Base_Salary2425*VLOOKUP($A238,EnrollData2324,'2324 Jun 24 Enroll'!AH$1,FALSE),2)</f>
        <v>544.26</v>
      </c>
      <c r="AD238" s="6">
        <f>ROUND($R238*CAS_Inc_Salary2425*VLOOKUP($A238,EnrollData2324,'2324 Jun 24 Enroll'!AI$1,FALSE),2)-AC238</f>
        <v>20.129999999999995</v>
      </c>
      <c r="AE238" s="6">
        <f>ROUND($Z238*CLS_Base_Salary2425*VLOOKUP($A238,EnrollData2324,'2324 Jun 24 Enroll'!AH$1,FALSE),2)</f>
        <v>1135.0999999999999</v>
      </c>
      <c r="AF238" s="6">
        <f>ROUND($Z238*CLS_Inc_Salary2425*VLOOKUP($A238,EnrollData2324,'2324 Jun 24 Enroll'!AI$1,FALSE),2)-AE238</f>
        <v>42.009999999999991</v>
      </c>
      <c r="AG238" cm="1">
        <f t="array" ref="AG238">ROUND(($J238+$R238)*Apport_124X2425,2)</f>
        <v>800.45</v>
      </c>
      <c r="AH238" s="69" cm="1">
        <f t="array" ref="AH238">ROUND(($J238+$R238)*Apport_621X2425*Apport_125XC2425,2)-AG238</f>
        <v>73.899999999999977</v>
      </c>
      <c r="AI238" cm="1">
        <f t="array" ref="AI238">ROUND($Z238*Apport_124X2425,2)</f>
        <v>234.7</v>
      </c>
      <c r="AJ238">
        <f t="shared" si="52"/>
        <v>124.71000000000004</v>
      </c>
      <c r="AK238">
        <f t="shared" si="53"/>
        <v>1011.72</v>
      </c>
      <c r="AL238">
        <f t="shared" si="54"/>
        <v>67.069999999999993</v>
      </c>
      <c r="AM238">
        <f t="shared" si="55"/>
        <v>245.86</v>
      </c>
      <c r="AN238">
        <f t="shared" si="56"/>
        <v>7.63</v>
      </c>
      <c r="AO238">
        <f>ROUND(($J238*CIS_Inc_Salary2425*(VLOOKUP($A238,EnrollData2324,'2324 Jun 24 Enroll'!AI$1,FALSE)+VLOOKUP($A238,EnrollData2324,'2324 Jun 24 Enroll'!AJ$1,FALSE))/Apport_613Xpd)*Apport_614Xpd,2)</f>
        <v>89.88</v>
      </c>
      <c r="AP238">
        <f t="shared" si="57"/>
        <v>15.74</v>
      </c>
      <c r="AQ238">
        <f t="shared" si="48"/>
        <v>31.48</v>
      </c>
      <c r="AR238" s="6">
        <f>ROUND((VLOOKUP($A238,EnrollData2324,'2324 Jun 24 Enroll'!D$1,FALSE)*Apport_M802425+VLOOKUP($A238,EnrollData2324,'2324 Jun 24 Enroll'!M$1,FALSE)*Apport_M802425+(VLOOKUP($A238,EnrollData2324,'2324 Jun 24 Enroll'!P$1,FALSE)+VLOOKUP($A238,EnrollData2324,'2324 Jun 24 Enroll'!Q$1,FALSE)+VLOOKUP($A238,EnrollData2324,'2324 Jun 24 Enroll'!R$1,FALSE)+VLOOKUP($A238,EnrollData2324,'2324 Jun 24 Enroll'!I$1,FALSE)+VLOOKUP($A238,EnrollData2324,'2324 Jun 24 Enroll'!N$1,FALSE)+VLOOKUP($A238,EnrollData2324,'2324 Jun 24 Enroll'!O$1,FALSE)+VLOOKUP($A238,EnrollData2324,'2324 Jun 24 Enroll'!K$1,FALSE)+VLOOKUP($A238,EnrollData2324,'2324 Jun 24 Enroll'!L$1,FALSE))*Apport_M812425)/(VLOOKUP($A238,EnrollData2324,'2324 Jun 24 Enroll'!M$1,FALSE)+VLOOKUP($A238,EnrollData2324,'2324 Jun 24 Enroll'!D$1,FALSE)),2)</f>
        <v>1605.99</v>
      </c>
      <c r="AS238" s="7">
        <f t="shared" si="49"/>
        <v>11443.479999999998</v>
      </c>
    </row>
    <row r="239" spans="1:45">
      <c r="A239" s="40" t="s">
        <v>550</v>
      </c>
      <c r="B239" s="40" t="s">
        <v>551</v>
      </c>
      <c r="C239" s="11">
        <f>ROUND((IFERROR((1/IF(VLOOKUP($A239,EnrollData2324,28,FALSE)='District Calculations'!$F$10,VLOOKUP($A239,EnrollData2324,28,FALSE),'District Calculations'!$F$10))*(1+Apport_Z315),0))+Apport_201A2425,6)</f>
        <v>7.4580999999999995E-2</v>
      </c>
      <c r="D239">
        <f>ROUND(IF(VLOOKUP($A239,EnrollData2324,'2324 Jun 24 Enroll'!D$1,FALSE)='District Calculations'!$F$11,VLOOKUP($A239,EnrollData2324,'2324 Jun 24 Enroll'!D$1,FALSE),'District Calculations'!$F$11)*C239,3)</f>
        <v>0</v>
      </c>
      <c r="E239">
        <f>ROUND(IF(VLOOKUP($A239,EnrollData2324,'2324 Jun 24 Enroll'!E$1,FALSE)='District Calculations'!$F$12,VLOOKUP($A239,EnrollData2324,'2324 Jun 24 Enroll'!E$1,FALSE),'District Calculations'!$F$12)*C239,3)</f>
        <v>60.447000000000003</v>
      </c>
      <c r="F239">
        <f>ROUND(IF(VLOOKUP($A239,EnrollData2324,'2324 Jun 24 Enroll'!F$1,FALSE)='District Calculations'!$F$13,VLOOKUP($A239,EnrollData2324,'2324 Jun 24 Enroll'!F$1,FALSE),'District Calculations'!$F$13)*Apport_222A2425,3)</f>
        <v>10.337999999999999</v>
      </c>
      <c r="G239">
        <f>ROUND(IF(VLOOKUP($A239,EnrollData2324,'2324 Jun 24 Enroll'!G$1,FALSE)='District Calculations'!$F$14,VLOOKUP($A239,EnrollData2324,'2324 Jun 24 Enroll'!G$1,FALSE),'District Calculations'!$F$14)*Apport_210A2425,3)</f>
        <v>22.92</v>
      </c>
      <c r="H239">
        <f>ROUND(IF(VLOOKUP($A239,EnrollData2324,'2324 Jun 24 Enroll'!H$1,FALSE)='District Calculations'!$F$15,VLOOKUP($A239,EnrollData2324,'2324 Jun 24 Enroll'!H$1,FALSE),'District Calculations'!$F$15)*Apport_213A2425,3)</f>
        <v>23.619</v>
      </c>
      <c r="I239">
        <f>ROUND(IF(VLOOKUP($A239,EnrollData2324,'2324 Jun 24 Enroll'!I$1,FALSE)+VLOOKUP($A239,EnrollData2324,'2324 Jun 24 Enroll'!M$1,FALSE)-VLOOKUP($A239,EnrollData2324,'2324 Jun 24 Enroll'!J$1,FALSE)='District Calculations'!$F$16+'District Calculations'!$F$25-'District Calculations'!$F$17,VLOOKUP($A239,EnrollData2324,'2324 Jun 24 Enroll'!I$1,FALSE)+VLOOKUP($A239,EnrollData2324,'2324 Jun 24 Enroll'!M$1,FALSE)-VLOOKUP($A239,EnrollData2324,'2324 Jun 24 Enroll'!J$1,FALSE),'District Calculations'!$F$16+'District Calculations'!$F$25-'District Calculations'!$F$17)*Apport_216A2425,3)</f>
        <v>59.057000000000002</v>
      </c>
      <c r="J239">
        <f>ROUND(SUM(D239:I239)/(IF(VLOOKUP($A239,EnrollData2324,'2324 Jun 24 Enroll'!M$1,FALSE)='District Calculations'!$F$25,VLOOKUP($A239,EnrollData2324,'2324 Jun 24 Enroll'!M$1,FALSE),'District Calculations'!$F$25)+IF(VLOOKUP($A239,EnrollData2324,'2324 Jun 24 Enroll'!D$1,FALSE)='District Calculations'!$F$11,VLOOKUP($A239,EnrollData2324,'2324 Jun 24 Enroll'!D$1,FALSE),'District Calculations'!$F$11)),5)</f>
        <v>5.6520000000000001E-2</v>
      </c>
      <c r="K239" s="11">
        <f t="shared" si="50"/>
        <v>4.385E-3</v>
      </c>
      <c r="L239">
        <f>ROUND(IF(VLOOKUP($A239,EnrollData2324,'2324 Jun 24 Enroll'!D$1,FALSE)='District Calculations'!$F$11,VLOOKUP($A239,EnrollData2324,'2324 Jun 24 Enroll'!D$1,FALSE),'District Calculations'!$F$11)*K239,3)</f>
        <v>0</v>
      </c>
      <c r="M239">
        <f>ROUND(IF(VLOOKUP($A239,EnrollData2324,'2324 Jun 24 Enroll'!E$1,FALSE)='District Calculations'!$F$12,VLOOKUP($A239,EnrollData2324,'2324 Jun 24 Enroll'!E$1,FALSE),'District Calculations'!$F$12)*K239,3)</f>
        <v>3.5539999999999998</v>
      </c>
      <c r="N239">
        <f>ROUND(IF(VLOOKUP($A239,EnrollData2324,'2324 Jun 24 Enroll'!F$1,FALSE)='District Calculations'!$F$13,VLOOKUP($A239,EnrollData2324,'2324 Jun 24 Enroll'!F$1,FALSE),'District Calculations'!$F$13)*Apport_223A2425,3)</f>
        <v>0.84599999999999997</v>
      </c>
      <c r="O239">
        <f>ROUND(IF(VLOOKUP($A239,EnrollData2324,'2324 Jun 24 Enroll'!G$1,FALSE)='District Calculations'!$F$14,VLOOKUP($A239,EnrollData2324,'2324 Jun 24 Enroll'!G$1,FALSE),'District Calculations'!$F$14)*Apport_211A2425,3)</f>
        <v>1.877</v>
      </c>
      <c r="P239">
        <f>ROUND(IF(VLOOKUP($A239,EnrollData2324,'2324 Jun 24 Enroll'!H$1,FALSE)='District Calculations'!$F$14,VLOOKUP($A239,EnrollData2324,'2324 Jun 24 Enroll'!H$1,FALSE),'District Calculations'!$F$14)*Apport_214A2425,3)</f>
        <v>1.875</v>
      </c>
      <c r="Q239">
        <f>ROUND(IF(VLOOKUP($A239,EnrollData2324,'2324 Jun 24 Enroll'!I$1,FALSE)+VLOOKUP($A239,EnrollData2324,'2324 Jun 24 Enroll'!M$1,FALSE)-VLOOKUP($A239,EnrollData2324,'2324 Jun 24 Enroll'!J$1,FALSE)='District Calculations'!$F$16+'District Calculations'!$F$25-'District Calculations'!$F$17,VLOOKUP($A239,EnrollData2324,'2324 Jun 24 Enroll'!I$1,FALSE)+VLOOKUP($A239,EnrollData2324,'2324 Jun 24 Enroll'!M$1,FALSE)-VLOOKUP($A239,EnrollData2324,'2324 Jun 24 Enroll'!J$1,FALSE),'District Calculations'!$F$16+'District Calculations'!$F$25-'District Calculations'!$F$17)*Apport_217A2425,3)</f>
        <v>4.7130000000000001</v>
      </c>
      <c r="R239">
        <f>ROUND(SUM(L239:Q239)/IF(VLOOKUP($A239,EnrollData2324,'2324 Jun 24 Enroll'!M$1,FALSE)+VLOOKUP($A239,EnrollData2324,'2324 Jun 24 Enroll'!D$1,FALSE)='District Calculations'!$F$25+'District Calculations'!$F$11,VLOOKUP($A239,EnrollData2324,'2324 Jun 24 Enroll'!M$1,FALSE)+VLOOKUP($A239,EnrollData2324,'2324 Jun 24 Enroll'!D$1,FALSE),'District Calculations'!$F$25+'District Calculations'!$F$11),5)</f>
        <v>4.1200000000000004E-3</v>
      </c>
      <c r="S239" s="11">
        <f t="shared" si="51"/>
        <v>1.8734299999999999E-2</v>
      </c>
      <c r="T239">
        <f>ROUND(IF(VLOOKUP($A239,EnrollData2324,'2324 Jun 24 Enroll'!D$1,FALSE)='District Calculations'!$F$11,VLOOKUP($A239,EnrollData2324,'2324 Jun 24 Enroll'!D$1,FALSE),'District Calculations'!$F$11)*S239,3)</f>
        <v>0</v>
      </c>
      <c r="U239">
        <f>ROUND(IF(VLOOKUP($A239,EnrollData2324,'2324 Jun 24 Enroll'!E$1,FALSE)='District Calculations'!$F$12,VLOOKUP($A239,EnrollData2324,'2324 Jun 24 Enroll'!E$1,FALSE),'District Calculations'!$F$12)*S239,3)</f>
        <v>15.183999999999999</v>
      </c>
      <c r="V239">
        <f>ROUND(IF(VLOOKUP($A239,EnrollData2324,'2324 Jun 24 Enroll'!F$1,FALSE)='District Calculations'!$F$13,VLOOKUP($A239,EnrollData2324,'2324 Jun 24 Enroll'!F$1,FALSE),'District Calculations'!$F$13)*Apport_224A2425,3)</f>
        <v>3.7109999999999999</v>
      </c>
      <c r="W239">
        <f>ROUND(IF(VLOOKUP($A239,EnrollData2324,'2324 Jun 24 Enroll'!G$1,FALSE)='District Calculations'!$F$14,VLOOKUP($A239,EnrollData2324,'2324 Jun 24 Enroll'!G$1,FALSE),'District Calculations'!$F$14)*Apport_212A2425,3)</f>
        <v>8.2279999999999998</v>
      </c>
      <c r="X239">
        <f>ROUND(IF(VLOOKUP($A239,EnrollData2324,'2324 Jun 24 Enroll'!H$1,FALSE)='District Calculations'!$F$14,VLOOKUP($A239,EnrollData2324,'2324 Jun 24 Enroll'!H$1,FALSE),'District Calculations'!$F$14)*Apport_215A2425,3)</f>
        <v>8.1180000000000003</v>
      </c>
      <c r="Y239">
        <f>ROUND(IF(VLOOKUP($A239,EnrollData2324,'2324 Jun 24 Enroll'!I$1,FALSE)+VLOOKUP($A239,EnrollData2324,'2324 Jun 24 Enroll'!M$1,FALSE)-VLOOKUP($A239,EnrollData2324,'2324 Jun 24 Enroll'!J$1,FALSE)='District Calculations'!$F$16+'District Calculations'!$F$25-'District Calculations'!$F$17,VLOOKUP($A239,EnrollData2324,'2324 Jun 24 Enroll'!I$1,FALSE)+VLOOKUP($A239,EnrollData2324,'2324 Jun 24 Enroll'!M$1,FALSE)-VLOOKUP($A239,EnrollData2324,'2324 Jun 24 Enroll'!J$1,FALSE),'District Calculations'!$F$16+'District Calculations'!$F$25-'District Calculations'!$F$17)*Apport_218A2425,3)</f>
        <v>20.257999999999999</v>
      </c>
      <c r="Z239">
        <f>ROUND(SUM(T239:Y239)/IF(VLOOKUP($A239,EnrollData2324,'2324 Jun 24 Enroll'!M$1,FALSE)+VLOOKUP($A239,EnrollData2324,'2324 Jun 24 Enroll'!D$1,FALSE)='District Calculations'!$F$25+'District Calculations'!$F$11,VLOOKUP($A239,EnrollData2324,'2324 Jun 24 Enroll'!M$1,FALSE)+VLOOKUP($A239,EnrollData2324,'2324 Jun 24 Enroll'!D$1,FALSE),'District Calculations'!$F$25+'District Calculations'!$F$11),5)</f>
        <v>1.7780000000000001E-2</v>
      </c>
      <c r="AA239" s="6">
        <f>ROUND($J239*CIS_Base_Salary2425*VLOOKUP($A239,EnrollData2324,'2324 Jun 24 Enroll'!AH$1,FALSE),2)</f>
        <v>4774.2</v>
      </c>
      <c r="AB239" s="6">
        <f>ROUND($J239*CIS_Inc_Salary2425*(VLOOKUP($A239,EnrollData2324,'2324 Jun 24 Enroll'!AI$1,FALSE)+VLOOKUP($A239,EnrollData2324,'2324 Jun 24 Enroll'!AJ$1,FALSE)),2)-AA239</f>
        <v>176.61999999999989</v>
      </c>
      <c r="AC239" s="6" cm="1">
        <f t="array" ref="AC239">ROUND($R239*CAS_Base_Salary2425*VLOOKUP($A239,EnrollData2324,'2324 Jun 24 Enroll'!AH$1,FALSE),2)</f>
        <v>516.58000000000004</v>
      </c>
      <c r="AD239" s="6">
        <f>ROUND($R239*CAS_Inc_Salary2425*VLOOKUP($A239,EnrollData2324,'2324 Jun 24 Enroll'!AI$1,FALSE),2)-AC239</f>
        <v>19.110000000000014</v>
      </c>
      <c r="AE239" s="6">
        <f>ROUND($Z239*CLS_Base_Salary2425*VLOOKUP($A239,EnrollData2324,'2324 Jun 24 Enroll'!AH$1,FALSE),2)</f>
        <v>1077.3900000000001</v>
      </c>
      <c r="AF239" s="6">
        <f>ROUND($Z239*CLS_Inc_Salary2425*VLOOKUP($A239,EnrollData2324,'2324 Jun 24 Enroll'!AI$1,FALSE),2)-AE239</f>
        <v>39.8599999999999</v>
      </c>
      <c r="AG239" cm="1">
        <f t="array" ref="AG239">ROUND(($J239+$R239)*Apport_124X2425,2)</f>
        <v>800.45</v>
      </c>
      <c r="AH239" s="69" cm="1">
        <f t="array" ref="AH239">ROUND(($J239+$R239)*Apport_621X2425*Apport_125XC2425,2)-AG239</f>
        <v>73.899999999999977</v>
      </c>
      <c r="AI239" cm="1">
        <f t="array" ref="AI239">ROUND($Z239*Apport_124X2425,2)</f>
        <v>234.7</v>
      </c>
      <c r="AJ239">
        <f t="shared" si="52"/>
        <v>124.71000000000004</v>
      </c>
      <c r="AK239">
        <f t="shared" si="53"/>
        <v>960.28</v>
      </c>
      <c r="AL239">
        <f t="shared" si="54"/>
        <v>34.270000000000003</v>
      </c>
      <c r="AM239">
        <f t="shared" si="55"/>
        <v>233.36</v>
      </c>
      <c r="AN239">
        <f t="shared" si="56"/>
        <v>7.24</v>
      </c>
      <c r="AO239">
        <f>ROUND(($J239*CIS_Inc_Salary2425*(VLOOKUP($A239,EnrollData2324,'2324 Jun 24 Enroll'!AI$1,FALSE)+VLOOKUP($A239,EnrollData2324,'2324 Jun 24 Enroll'!AJ$1,FALSE))/Apport_613Xpd)*Apport_614Xpd,2)</f>
        <v>82.51</v>
      </c>
      <c r="AP239">
        <f t="shared" si="57"/>
        <v>14.45</v>
      </c>
      <c r="AQ239">
        <f t="shared" si="48"/>
        <v>31.48</v>
      </c>
      <c r="AR239" s="6">
        <f>ROUND((VLOOKUP($A239,EnrollData2324,'2324 Jun 24 Enroll'!D$1,FALSE)*Apport_M802425+VLOOKUP($A239,EnrollData2324,'2324 Jun 24 Enroll'!M$1,FALSE)*Apport_M802425+(VLOOKUP($A239,EnrollData2324,'2324 Jun 24 Enroll'!P$1,FALSE)+VLOOKUP($A239,EnrollData2324,'2324 Jun 24 Enroll'!Q$1,FALSE)+VLOOKUP($A239,EnrollData2324,'2324 Jun 24 Enroll'!R$1,FALSE)+VLOOKUP($A239,EnrollData2324,'2324 Jun 24 Enroll'!I$1,FALSE)+VLOOKUP($A239,EnrollData2324,'2324 Jun 24 Enroll'!N$1,FALSE)+VLOOKUP($A239,EnrollData2324,'2324 Jun 24 Enroll'!O$1,FALSE)+VLOOKUP($A239,EnrollData2324,'2324 Jun 24 Enroll'!K$1,FALSE)+VLOOKUP($A239,EnrollData2324,'2324 Jun 24 Enroll'!L$1,FALSE))*Apport_M812425)/(VLOOKUP($A239,EnrollData2324,'2324 Jun 24 Enroll'!M$1,FALSE)+VLOOKUP($A239,EnrollData2324,'2324 Jun 24 Enroll'!D$1,FALSE)),2)</f>
        <v>1595.26</v>
      </c>
      <c r="AS239" s="7">
        <f t="shared" si="49"/>
        <v>10796.37</v>
      </c>
    </row>
    <row r="240" spans="1:45">
      <c r="A240" s="40" t="s">
        <v>801</v>
      </c>
      <c r="B240" s="40" t="s">
        <v>802</v>
      </c>
      <c r="C240" s="11">
        <f>ROUND((IFERROR((1/IF(VLOOKUP($A240,EnrollData2324,28,FALSE)='District Calculations'!$F$10,VLOOKUP($A240,EnrollData2324,28,FALSE),'District Calculations'!$F$10))*(1+Apport_Z315),0))+Apport_201A2425,6)</f>
        <v>7.4580999999999995E-2</v>
      </c>
      <c r="D240">
        <f>ROUND(IF(VLOOKUP($A240,EnrollData2324,'2324 Jun 24 Enroll'!D$1,FALSE)='District Calculations'!$F$11,VLOOKUP($A240,EnrollData2324,'2324 Jun 24 Enroll'!D$1,FALSE),'District Calculations'!$F$11)*C240,3)</f>
        <v>0</v>
      </c>
      <c r="E240">
        <f>ROUND(IF(VLOOKUP($A240,EnrollData2324,'2324 Jun 24 Enroll'!E$1,FALSE)='District Calculations'!$F$12,VLOOKUP($A240,EnrollData2324,'2324 Jun 24 Enroll'!E$1,FALSE),'District Calculations'!$F$12)*C240,3)</f>
        <v>60.447000000000003</v>
      </c>
      <c r="F240">
        <f>ROUND(IF(VLOOKUP($A240,EnrollData2324,'2324 Jun 24 Enroll'!F$1,FALSE)='District Calculations'!$F$13,VLOOKUP($A240,EnrollData2324,'2324 Jun 24 Enroll'!F$1,FALSE),'District Calculations'!$F$13)*Apport_222A2425,3)</f>
        <v>10.337999999999999</v>
      </c>
      <c r="G240">
        <f>ROUND(IF(VLOOKUP($A240,EnrollData2324,'2324 Jun 24 Enroll'!G$1,FALSE)='District Calculations'!$F$14,VLOOKUP($A240,EnrollData2324,'2324 Jun 24 Enroll'!G$1,FALSE),'District Calculations'!$F$14)*Apport_210A2425,3)</f>
        <v>22.92</v>
      </c>
      <c r="H240">
        <f>ROUND(IF(VLOOKUP($A240,EnrollData2324,'2324 Jun 24 Enroll'!H$1,FALSE)='District Calculations'!$F$15,VLOOKUP($A240,EnrollData2324,'2324 Jun 24 Enroll'!H$1,FALSE),'District Calculations'!$F$15)*Apport_213A2425,3)</f>
        <v>23.619</v>
      </c>
      <c r="I240">
        <f>ROUND(IF(VLOOKUP($A240,EnrollData2324,'2324 Jun 24 Enroll'!I$1,FALSE)+VLOOKUP($A240,EnrollData2324,'2324 Jun 24 Enroll'!M$1,FALSE)-VLOOKUP($A240,EnrollData2324,'2324 Jun 24 Enroll'!J$1,FALSE)='District Calculations'!$F$16+'District Calculations'!$F$25-'District Calculations'!$F$17,VLOOKUP($A240,EnrollData2324,'2324 Jun 24 Enroll'!I$1,FALSE)+VLOOKUP($A240,EnrollData2324,'2324 Jun 24 Enroll'!M$1,FALSE)-VLOOKUP($A240,EnrollData2324,'2324 Jun 24 Enroll'!J$1,FALSE),'District Calculations'!$F$16+'District Calculations'!$F$25-'District Calculations'!$F$17)*Apport_216A2425,3)</f>
        <v>59.057000000000002</v>
      </c>
      <c r="J240">
        <f>ROUND(SUM(D240:I240)/(IF(VLOOKUP($A240,EnrollData2324,'2324 Jun 24 Enroll'!M$1,FALSE)='District Calculations'!$F$25,VLOOKUP($A240,EnrollData2324,'2324 Jun 24 Enroll'!M$1,FALSE),'District Calculations'!$F$25)+IF(VLOOKUP($A240,EnrollData2324,'2324 Jun 24 Enroll'!D$1,FALSE)='District Calculations'!$F$11,VLOOKUP($A240,EnrollData2324,'2324 Jun 24 Enroll'!D$1,FALSE),'District Calculations'!$F$11)),5)</f>
        <v>5.6520000000000001E-2</v>
      </c>
      <c r="K240" s="11">
        <f t="shared" si="50"/>
        <v>4.385E-3</v>
      </c>
      <c r="L240">
        <f>ROUND(IF(VLOOKUP($A240,EnrollData2324,'2324 Jun 24 Enroll'!D$1,FALSE)='District Calculations'!$F$11,VLOOKUP($A240,EnrollData2324,'2324 Jun 24 Enroll'!D$1,FALSE),'District Calculations'!$F$11)*K240,3)</f>
        <v>0</v>
      </c>
      <c r="M240">
        <f>ROUND(IF(VLOOKUP($A240,EnrollData2324,'2324 Jun 24 Enroll'!E$1,FALSE)='District Calculations'!$F$12,VLOOKUP($A240,EnrollData2324,'2324 Jun 24 Enroll'!E$1,FALSE),'District Calculations'!$F$12)*K240,3)</f>
        <v>3.5539999999999998</v>
      </c>
      <c r="N240">
        <f>ROUND(IF(VLOOKUP($A240,EnrollData2324,'2324 Jun 24 Enroll'!F$1,FALSE)='District Calculations'!$F$13,VLOOKUP($A240,EnrollData2324,'2324 Jun 24 Enroll'!F$1,FALSE),'District Calculations'!$F$13)*Apport_223A2425,3)</f>
        <v>0.84599999999999997</v>
      </c>
      <c r="O240">
        <f>ROUND(IF(VLOOKUP($A240,EnrollData2324,'2324 Jun 24 Enroll'!G$1,FALSE)='District Calculations'!$F$14,VLOOKUP($A240,EnrollData2324,'2324 Jun 24 Enroll'!G$1,FALSE),'District Calculations'!$F$14)*Apport_211A2425,3)</f>
        <v>1.877</v>
      </c>
      <c r="P240">
        <f>ROUND(IF(VLOOKUP($A240,EnrollData2324,'2324 Jun 24 Enroll'!H$1,FALSE)='District Calculations'!$F$14,VLOOKUP($A240,EnrollData2324,'2324 Jun 24 Enroll'!H$1,FALSE),'District Calculations'!$F$14)*Apport_214A2425,3)</f>
        <v>1.875</v>
      </c>
      <c r="Q240">
        <f>ROUND(IF(VLOOKUP($A240,EnrollData2324,'2324 Jun 24 Enroll'!I$1,FALSE)+VLOOKUP($A240,EnrollData2324,'2324 Jun 24 Enroll'!M$1,FALSE)-VLOOKUP($A240,EnrollData2324,'2324 Jun 24 Enroll'!J$1,FALSE)='District Calculations'!$F$16+'District Calculations'!$F$25-'District Calculations'!$F$17,VLOOKUP($A240,EnrollData2324,'2324 Jun 24 Enroll'!I$1,FALSE)+VLOOKUP($A240,EnrollData2324,'2324 Jun 24 Enroll'!M$1,FALSE)-VLOOKUP($A240,EnrollData2324,'2324 Jun 24 Enroll'!J$1,FALSE),'District Calculations'!$F$16+'District Calculations'!$F$25-'District Calculations'!$F$17)*Apport_217A2425,3)</f>
        <v>4.7130000000000001</v>
      </c>
      <c r="R240">
        <f>ROUND(SUM(L240:Q240)/IF(VLOOKUP($A240,EnrollData2324,'2324 Jun 24 Enroll'!M$1,FALSE)+VLOOKUP($A240,EnrollData2324,'2324 Jun 24 Enroll'!D$1,FALSE)='District Calculations'!$F$25+'District Calculations'!$F$11,VLOOKUP($A240,EnrollData2324,'2324 Jun 24 Enroll'!M$1,FALSE)+VLOOKUP($A240,EnrollData2324,'2324 Jun 24 Enroll'!D$1,FALSE),'District Calculations'!$F$25+'District Calculations'!$F$11),5)</f>
        <v>4.1200000000000004E-3</v>
      </c>
      <c r="S240" s="11">
        <f t="shared" si="51"/>
        <v>1.8734299999999999E-2</v>
      </c>
      <c r="T240">
        <f>ROUND(IF(VLOOKUP($A240,EnrollData2324,'2324 Jun 24 Enroll'!D$1,FALSE)='District Calculations'!$F$11,VLOOKUP($A240,EnrollData2324,'2324 Jun 24 Enroll'!D$1,FALSE),'District Calculations'!$F$11)*S240,3)</f>
        <v>0</v>
      </c>
      <c r="U240">
        <f>ROUND(IF(VLOOKUP($A240,EnrollData2324,'2324 Jun 24 Enroll'!E$1,FALSE)='District Calculations'!$F$12,VLOOKUP($A240,EnrollData2324,'2324 Jun 24 Enroll'!E$1,FALSE),'District Calculations'!$F$12)*S240,3)</f>
        <v>15.183999999999999</v>
      </c>
      <c r="V240">
        <f>ROUND(IF(VLOOKUP($A240,EnrollData2324,'2324 Jun 24 Enroll'!F$1,FALSE)='District Calculations'!$F$13,VLOOKUP($A240,EnrollData2324,'2324 Jun 24 Enroll'!F$1,FALSE),'District Calculations'!$F$13)*Apport_224A2425,3)</f>
        <v>3.7109999999999999</v>
      </c>
      <c r="W240">
        <f>ROUND(IF(VLOOKUP($A240,EnrollData2324,'2324 Jun 24 Enroll'!G$1,FALSE)='District Calculations'!$F$14,VLOOKUP($A240,EnrollData2324,'2324 Jun 24 Enroll'!G$1,FALSE),'District Calculations'!$F$14)*Apport_212A2425,3)</f>
        <v>8.2279999999999998</v>
      </c>
      <c r="X240">
        <f>ROUND(IF(VLOOKUP($A240,EnrollData2324,'2324 Jun 24 Enroll'!H$1,FALSE)='District Calculations'!$F$14,VLOOKUP($A240,EnrollData2324,'2324 Jun 24 Enroll'!H$1,FALSE),'District Calculations'!$F$14)*Apport_215A2425,3)</f>
        <v>8.1180000000000003</v>
      </c>
      <c r="Y240">
        <f>ROUND(IF(VLOOKUP($A240,EnrollData2324,'2324 Jun 24 Enroll'!I$1,FALSE)+VLOOKUP($A240,EnrollData2324,'2324 Jun 24 Enroll'!M$1,FALSE)-VLOOKUP($A240,EnrollData2324,'2324 Jun 24 Enroll'!J$1,FALSE)='District Calculations'!$F$16+'District Calculations'!$F$25-'District Calculations'!$F$17,VLOOKUP($A240,EnrollData2324,'2324 Jun 24 Enroll'!I$1,FALSE)+VLOOKUP($A240,EnrollData2324,'2324 Jun 24 Enroll'!M$1,FALSE)-VLOOKUP($A240,EnrollData2324,'2324 Jun 24 Enroll'!J$1,FALSE),'District Calculations'!$F$16+'District Calculations'!$F$25-'District Calculations'!$F$17)*Apport_218A2425,3)</f>
        <v>20.257999999999999</v>
      </c>
      <c r="Z240">
        <f>ROUND(SUM(T240:Y240)/IF(VLOOKUP($A240,EnrollData2324,'2324 Jun 24 Enroll'!M$1,FALSE)+VLOOKUP($A240,EnrollData2324,'2324 Jun 24 Enroll'!D$1,FALSE)='District Calculations'!$F$25+'District Calculations'!$F$11,VLOOKUP($A240,EnrollData2324,'2324 Jun 24 Enroll'!M$1,FALSE)+VLOOKUP($A240,EnrollData2324,'2324 Jun 24 Enroll'!D$1,FALSE),'District Calculations'!$F$25+'District Calculations'!$F$11),5)</f>
        <v>1.7780000000000001E-2</v>
      </c>
      <c r="AA240" s="6">
        <f>ROUND($J240*CIS_Base_Salary2425*VLOOKUP($A240,EnrollData2324,'2324 Jun 24 Enroll'!AH$1,FALSE),2)</f>
        <v>5029.96</v>
      </c>
      <c r="AB240" s="6">
        <f>ROUND($J240*CIS_Inc_Salary2425*(VLOOKUP($A240,EnrollData2324,'2324 Jun 24 Enroll'!AI$1,FALSE)+VLOOKUP($A240,EnrollData2324,'2324 Jun 24 Enroll'!AJ$1,FALSE)),2)-AA240</f>
        <v>186.07999999999993</v>
      </c>
      <c r="AC240" s="6" cm="1">
        <f t="array" ref="AC240">ROUND($R240*CAS_Base_Salary2425*VLOOKUP($A240,EnrollData2324,'2324 Jun 24 Enroll'!AH$1,FALSE),2)</f>
        <v>544.26</v>
      </c>
      <c r="AD240" s="6">
        <f>ROUND($R240*CAS_Inc_Salary2425*VLOOKUP($A240,EnrollData2324,'2324 Jun 24 Enroll'!AI$1,FALSE),2)-AC240</f>
        <v>20.129999999999995</v>
      </c>
      <c r="AE240" s="6">
        <f>ROUND($Z240*CLS_Base_Salary2425*VLOOKUP($A240,EnrollData2324,'2324 Jun 24 Enroll'!AH$1,FALSE),2)</f>
        <v>1135.0999999999999</v>
      </c>
      <c r="AF240" s="6">
        <f>ROUND($Z240*CLS_Inc_Salary2425*VLOOKUP($A240,EnrollData2324,'2324 Jun 24 Enroll'!AI$1,FALSE),2)-AE240</f>
        <v>42.009999999999991</v>
      </c>
      <c r="AG240" cm="1">
        <f t="array" ref="AG240">ROUND(($J240+$R240)*Apport_124X2425,2)</f>
        <v>800.45</v>
      </c>
      <c r="AH240" s="69" cm="1">
        <f t="array" ref="AH240">ROUND(($J240+$R240)*Apport_621X2425*Apport_125XC2425,2)-AG240</f>
        <v>73.899999999999977</v>
      </c>
      <c r="AI240" cm="1">
        <f t="array" ref="AI240">ROUND($Z240*Apport_124X2425,2)</f>
        <v>234.7</v>
      </c>
      <c r="AJ240">
        <f t="shared" si="52"/>
        <v>124.71000000000004</v>
      </c>
      <c r="AK240">
        <f t="shared" si="53"/>
        <v>1011.72</v>
      </c>
      <c r="AL240">
        <f t="shared" si="54"/>
        <v>36.11</v>
      </c>
      <c r="AM240">
        <f t="shared" si="55"/>
        <v>245.86</v>
      </c>
      <c r="AN240">
        <f t="shared" si="56"/>
        <v>7.63</v>
      </c>
      <c r="AO240">
        <f>ROUND(($J240*CIS_Inc_Salary2425*(VLOOKUP($A240,EnrollData2324,'2324 Jun 24 Enroll'!AI$1,FALSE)+VLOOKUP($A240,EnrollData2324,'2324 Jun 24 Enroll'!AJ$1,FALSE))/Apport_613Xpd)*Apport_614Xpd,2)</f>
        <v>86.93</v>
      </c>
      <c r="AP240">
        <f t="shared" si="57"/>
        <v>15.22</v>
      </c>
      <c r="AQ240">
        <f t="shared" si="48"/>
        <v>31.48</v>
      </c>
      <c r="AR240" s="6">
        <f>ROUND((VLOOKUP($A240,EnrollData2324,'2324 Jun 24 Enroll'!D$1,FALSE)*Apport_M802425+VLOOKUP($A240,EnrollData2324,'2324 Jun 24 Enroll'!M$1,FALSE)*Apport_M802425+(VLOOKUP($A240,EnrollData2324,'2324 Jun 24 Enroll'!P$1,FALSE)+VLOOKUP($A240,EnrollData2324,'2324 Jun 24 Enroll'!Q$1,FALSE)+VLOOKUP($A240,EnrollData2324,'2324 Jun 24 Enroll'!R$1,FALSE)+VLOOKUP($A240,EnrollData2324,'2324 Jun 24 Enroll'!I$1,FALSE)+VLOOKUP($A240,EnrollData2324,'2324 Jun 24 Enroll'!N$1,FALSE)+VLOOKUP($A240,EnrollData2324,'2324 Jun 24 Enroll'!O$1,FALSE)+VLOOKUP($A240,EnrollData2324,'2324 Jun 24 Enroll'!K$1,FALSE)+VLOOKUP($A240,EnrollData2324,'2324 Jun 24 Enroll'!L$1,FALSE))*Apport_M812425)/(VLOOKUP($A240,EnrollData2324,'2324 Jun 24 Enroll'!M$1,FALSE)+VLOOKUP($A240,EnrollData2324,'2324 Jun 24 Enroll'!D$1,FALSE)),2)</f>
        <v>1597.29</v>
      </c>
      <c r="AS240" s="7">
        <f t="shared" si="49"/>
        <v>11223.54</v>
      </c>
    </row>
    <row r="241" spans="1:45">
      <c r="A241" s="40" t="s">
        <v>422</v>
      </c>
      <c r="B241" s="40" t="s">
        <v>423</v>
      </c>
      <c r="C241" s="11">
        <f>ROUND((IFERROR((1/IF(VLOOKUP($A241,EnrollData2324,28,FALSE)='District Calculations'!$F$10,VLOOKUP($A241,EnrollData2324,28,FALSE),'District Calculations'!$F$10))*(1+Apport_Z315),0))+Apport_201A2425,6)</f>
        <v>7.4580999999999995E-2</v>
      </c>
      <c r="D241">
        <f>ROUND(IF(VLOOKUP($A241,EnrollData2324,'2324 Jun 24 Enroll'!D$1,FALSE)='District Calculations'!$F$11,VLOOKUP($A241,EnrollData2324,'2324 Jun 24 Enroll'!D$1,FALSE),'District Calculations'!$F$11)*C241,3)</f>
        <v>0</v>
      </c>
      <c r="E241">
        <f>ROUND(IF(VLOOKUP($A241,EnrollData2324,'2324 Jun 24 Enroll'!E$1,FALSE)='District Calculations'!$F$12,VLOOKUP($A241,EnrollData2324,'2324 Jun 24 Enroll'!E$1,FALSE),'District Calculations'!$F$12)*C241,3)</f>
        <v>60.447000000000003</v>
      </c>
      <c r="F241">
        <f>ROUND(IF(VLOOKUP($A241,EnrollData2324,'2324 Jun 24 Enroll'!F$1,FALSE)='District Calculations'!$F$13,VLOOKUP($A241,EnrollData2324,'2324 Jun 24 Enroll'!F$1,FALSE),'District Calculations'!$F$13)*Apport_222A2425,3)</f>
        <v>10.337999999999999</v>
      </c>
      <c r="G241">
        <f>ROUND(IF(VLOOKUP($A241,EnrollData2324,'2324 Jun 24 Enroll'!G$1,FALSE)='District Calculations'!$F$14,VLOOKUP($A241,EnrollData2324,'2324 Jun 24 Enroll'!G$1,FALSE),'District Calculations'!$F$14)*Apport_210A2425,3)</f>
        <v>22.92</v>
      </c>
      <c r="H241">
        <f>ROUND(IF(VLOOKUP($A241,EnrollData2324,'2324 Jun 24 Enroll'!H$1,FALSE)='District Calculations'!$F$15,VLOOKUP($A241,EnrollData2324,'2324 Jun 24 Enroll'!H$1,FALSE),'District Calculations'!$F$15)*Apport_213A2425,3)</f>
        <v>23.619</v>
      </c>
      <c r="I241">
        <f>ROUND(IF(VLOOKUP($A241,EnrollData2324,'2324 Jun 24 Enroll'!I$1,FALSE)+VLOOKUP($A241,EnrollData2324,'2324 Jun 24 Enroll'!M$1,FALSE)-VLOOKUP($A241,EnrollData2324,'2324 Jun 24 Enroll'!J$1,FALSE)='District Calculations'!$F$16+'District Calculations'!$F$25-'District Calculations'!$F$17,VLOOKUP($A241,EnrollData2324,'2324 Jun 24 Enroll'!I$1,FALSE)+VLOOKUP($A241,EnrollData2324,'2324 Jun 24 Enroll'!M$1,FALSE)-VLOOKUP($A241,EnrollData2324,'2324 Jun 24 Enroll'!J$1,FALSE),'District Calculations'!$F$16+'District Calculations'!$F$25-'District Calculations'!$F$17)*Apport_216A2425,3)</f>
        <v>59.057000000000002</v>
      </c>
      <c r="J241">
        <f>ROUND(SUM(D241:I241)/(IF(VLOOKUP($A241,EnrollData2324,'2324 Jun 24 Enroll'!M$1,FALSE)='District Calculations'!$F$25,VLOOKUP($A241,EnrollData2324,'2324 Jun 24 Enroll'!M$1,FALSE),'District Calculations'!$F$25)+IF(VLOOKUP($A241,EnrollData2324,'2324 Jun 24 Enroll'!D$1,FALSE)='District Calculations'!$F$11,VLOOKUP($A241,EnrollData2324,'2324 Jun 24 Enroll'!D$1,FALSE),'District Calculations'!$F$11)),5)</f>
        <v>5.6520000000000001E-2</v>
      </c>
      <c r="K241" s="11">
        <f t="shared" si="50"/>
        <v>4.385E-3</v>
      </c>
      <c r="L241">
        <f>ROUND(IF(VLOOKUP($A241,EnrollData2324,'2324 Jun 24 Enroll'!D$1,FALSE)='District Calculations'!$F$11,VLOOKUP($A241,EnrollData2324,'2324 Jun 24 Enroll'!D$1,FALSE),'District Calculations'!$F$11)*K241,3)</f>
        <v>0</v>
      </c>
      <c r="M241">
        <f>ROUND(IF(VLOOKUP($A241,EnrollData2324,'2324 Jun 24 Enroll'!E$1,FALSE)='District Calculations'!$F$12,VLOOKUP($A241,EnrollData2324,'2324 Jun 24 Enroll'!E$1,FALSE),'District Calculations'!$F$12)*K241,3)</f>
        <v>3.5539999999999998</v>
      </c>
      <c r="N241">
        <f>ROUND(IF(VLOOKUP($A241,EnrollData2324,'2324 Jun 24 Enroll'!F$1,FALSE)='District Calculations'!$F$13,VLOOKUP($A241,EnrollData2324,'2324 Jun 24 Enroll'!F$1,FALSE),'District Calculations'!$F$13)*Apport_223A2425,3)</f>
        <v>0.84599999999999997</v>
      </c>
      <c r="O241">
        <f>ROUND(IF(VLOOKUP($A241,EnrollData2324,'2324 Jun 24 Enroll'!G$1,FALSE)='District Calculations'!$F$14,VLOOKUP($A241,EnrollData2324,'2324 Jun 24 Enroll'!G$1,FALSE),'District Calculations'!$F$14)*Apport_211A2425,3)</f>
        <v>1.877</v>
      </c>
      <c r="P241">
        <f>ROUND(IF(VLOOKUP($A241,EnrollData2324,'2324 Jun 24 Enroll'!H$1,FALSE)='District Calculations'!$F$14,VLOOKUP($A241,EnrollData2324,'2324 Jun 24 Enroll'!H$1,FALSE),'District Calculations'!$F$14)*Apport_214A2425,3)</f>
        <v>1.875</v>
      </c>
      <c r="Q241">
        <f>ROUND(IF(VLOOKUP($A241,EnrollData2324,'2324 Jun 24 Enroll'!I$1,FALSE)+VLOOKUP($A241,EnrollData2324,'2324 Jun 24 Enroll'!M$1,FALSE)-VLOOKUP($A241,EnrollData2324,'2324 Jun 24 Enroll'!J$1,FALSE)='District Calculations'!$F$16+'District Calculations'!$F$25-'District Calculations'!$F$17,VLOOKUP($A241,EnrollData2324,'2324 Jun 24 Enroll'!I$1,FALSE)+VLOOKUP($A241,EnrollData2324,'2324 Jun 24 Enroll'!M$1,FALSE)-VLOOKUP($A241,EnrollData2324,'2324 Jun 24 Enroll'!J$1,FALSE),'District Calculations'!$F$16+'District Calculations'!$F$25-'District Calculations'!$F$17)*Apport_217A2425,3)</f>
        <v>4.7130000000000001</v>
      </c>
      <c r="R241">
        <f>ROUND(SUM(L241:Q241)/IF(VLOOKUP($A241,EnrollData2324,'2324 Jun 24 Enroll'!M$1,FALSE)+VLOOKUP($A241,EnrollData2324,'2324 Jun 24 Enroll'!D$1,FALSE)='District Calculations'!$F$25+'District Calculations'!$F$11,VLOOKUP($A241,EnrollData2324,'2324 Jun 24 Enroll'!M$1,FALSE)+VLOOKUP($A241,EnrollData2324,'2324 Jun 24 Enroll'!D$1,FALSE),'District Calculations'!$F$25+'District Calculations'!$F$11),5)</f>
        <v>4.1200000000000004E-3</v>
      </c>
      <c r="S241" s="11">
        <f t="shared" si="51"/>
        <v>1.8734299999999999E-2</v>
      </c>
      <c r="T241">
        <f>ROUND(IF(VLOOKUP($A241,EnrollData2324,'2324 Jun 24 Enroll'!D$1,FALSE)='District Calculations'!$F$11,VLOOKUP($A241,EnrollData2324,'2324 Jun 24 Enroll'!D$1,FALSE),'District Calculations'!$F$11)*S241,3)</f>
        <v>0</v>
      </c>
      <c r="U241">
        <f>ROUND(IF(VLOOKUP($A241,EnrollData2324,'2324 Jun 24 Enroll'!E$1,FALSE)='District Calculations'!$F$12,VLOOKUP($A241,EnrollData2324,'2324 Jun 24 Enroll'!E$1,FALSE),'District Calculations'!$F$12)*S241,3)</f>
        <v>15.183999999999999</v>
      </c>
      <c r="V241">
        <f>ROUND(IF(VLOOKUP($A241,EnrollData2324,'2324 Jun 24 Enroll'!F$1,FALSE)='District Calculations'!$F$13,VLOOKUP($A241,EnrollData2324,'2324 Jun 24 Enroll'!F$1,FALSE),'District Calculations'!$F$13)*Apport_224A2425,3)</f>
        <v>3.7109999999999999</v>
      </c>
      <c r="W241">
        <f>ROUND(IF(VLOOKUP($A241,EnrollData2324,'2324 Jun 24 Enroll'!G$1,FALSE)='District Calculations'!$F$14,VLOOKUP($A241,EnrollData2324,'2324 Jun 24 Enroll'!G$1,FALSE),'District Calculations'!$F$14)*Apport_212A2425,3)</f>
        <v>8.2279999999999998</v>
      </c>
      <c r="X241">
        <f>ROUND(IF(VLOOKUP($A241,EnrollData2324,'2324 Jun 24 Enroll'!H$1,FALSE)='District Calculations'!$F$14,VLOOKUP($A241,EnrollData2324,'2324 Jun 24 Enroll'!H$1,FALSE),'District Calculations'!$F$14)*Apport_215A2425,3)</f>
        <v>8.1180000000000003</v>
      </c>
      <c r="Y241">
        <f>ROUND(IF(VLOOKUP($A241,EnrollData2324,'2324 Jun 24 Enroll'!I$1,FALSE)+VLOOKUP($A241,EnrollData2324,'2324 Jun 24 Enroll'!M$1,FALSE)-VLOOKUP($A241,EnrollData2324,'2324 Jun 24 Enroll'!J$1,FALSE)='District Calculations'!$F$16+'District Calculations'!$F$25-'District Calculations'!$F$17,VLOOKUP($A241,EnrollData2324,'2324 Jun 24 Enroll'!I$1,FALSE)+VLOOKUP($A241,EnrollData2324,'2324 Jun 24 Enroll'!M$1,FALSE)-VLOOKUP($A241,EnrollData2324,'2324 Jun 24 Enroll'!J$1,FALSE),'District Calculations'!$F$16+'District Calculations'!$F$25-'District Calculations'!$F$17)*Apport_218A2425,3)</f>
        <v>20.257999999999999</v>
      </c>
      <c r="Z241">
        <f>ROUND(SUM(T241:Y241)/IF(VLOOKUP($A241,EnrollData2324,'2324 Jun 24 Enroll'!M$1,FALSE)+VLOOKUP($A241,EnrollData2324,'2324 Jun 24 Enroll'!D$1,FALSE)='District Calculations'!$F$25+'District Calculations'!$F$11,VLOOKUP($A241,EnrollData2324,'2324 Jun 24 Enroll'!M$1,FALSE)+VLOOKUP($A241,EnrollData2324,'2324 Jun 24 Enroll'!D$1,FALSE),'District Calculations'!$F$25+'District Calculations'!$F$11),5)</f>
        <v>1.7780000000000001E-2</v>
      </c>
      <c r="AA241" s="6">
        <f>ROUND($J241*CIS_Base_Salary2425*VLOOKUP($A241,EnrollData2324,'2324 Jun 24 Enroll'!AH$1,FALSE),2)</f>
        <v>4774.2</v>
      </c>
      <c r="AB241" s="6">
        <f>ROUND($J241*CIS_Inc_Salary2425*(VLOOKUP($A241,EnrollData2324,'2324 Jun 24 Enroll'!AI$1,FALSE)+VLOOKUP($A241,EnrollData2324,'2324 Jun 24 Enroll'!AJ$1,FALSE)),2)-AA241</f>
        <v>176.61999999999989</v>
      </c>
      <c r="AC241" s="6" cm="1">
        <f t="array" ref="AC241">ROUND($R241*CAS_Base_Salary2425*VLOOKUP($A241,EnrollData2324,'2324 Jun 24 Enroll'!AH$1,FALSE),2)</f>
        <v>516.58000000000004</v>
      </c>
      <c r="AD241" s="6">
        <f>ROUND($R241*CAS_Inc_Salary2425*VLOOKUP($A241,EnrollData2324,'2324 Jun 24 Enroll'!AI$1,FALSE),2)-AC241</f>
        <v>19.110000000000014</v>
      </c>
      <c r="AE241" s="6">
        <f>ROUND($Z241*CLS_Base_Salary2425*VLOOKUP($A241,EnrollData2324,'2324 Jun 24 Enroll'!AH$1,FALSE),2)</f>
        <v>1077.3900000000001</v>
      </c>
      <c r="AF241" s="6">
        <f>ROUND($Z241*CLS_Inc_Salary2425*VLOOKUP($A241,EnrollData2324,'2324 Jun 24 Enroll'!AI$1,FALSE),2)-AE241</f>
        <v>39.8599999999999</v>
      </c>
      <c r="AG241" cm="1">
        <f t="array" ref="AG241">ROUND(($J241+$R241)*Apport_124X2425,2)</f>
        <v>800.45</v>
      </c>
      <c r="AH241" s="69" cm="1">
        <f t="array" ref="AH241">ROUND(($J241+$R241)*Apport_621X2425*Apport_125XC2425,2)-AG241</f>
        <v>73.899999999999977</v>
      </c>
      <c r="AI241" cm="1">
        <f t="array" ref="AI241">ROUND($Z241*Apport_124X2425,2)</f>
        <v>234.7</v>
      </c>
      <c r="AJ241">
        <f t="shared" si="52"/>
        <v>124.71000000000004</v>
      </c>
      <c r="AK241">
        <f t="shared" si="53"/>
        <v>960.28</v>
      </c>
      <c r="AL241">
        <f t="shared" si="54"/>
        <v>34.270000000000003</v>
      </c>
      <c r="AM241">
        <f t="shared" si="55"/>
        <v>233.36</v>
      </c>
      <c r="AN241">
        <f t="shared" si="56"/>
        <v>7.24</v>
      </c>
      <c r="AO241">
        <f>ROUND(($J241*CIS_Inc_Salary2425*(VLOOKUP($A241,EnrollData2324,'2324 Jun 24 Enroll'!AI$1,FALSE)+VLOOKUP($A241,EnrollData2324,'2324 Jun 24 Enroll'!AJ$1,FALSE))/Apport_613Xpd)*Apport_614Xpd,2)</f>
        <v>82.51</v>
      </c>
      <c r="AP241">
        <f t="shared" si="57"/>
        <v>14.45</v>
      </c>
      <c r="AQ241">
        <f t="shared" si="48"/>
        <v>31.48</v>
      </c>
      <c r="AR241" s="6">
        <f>ROUND((VLOOKUP($A241,EnrollData2324,'2324 Jun 24 Enroll'!D$1,FALSE)*Apport_M802425+VLOOKUP($A241,EnrollData2324,'2324 Jun 24 Enroll'!M$1,FALSE)*Apport_M802425+(VLOOKUP($A241,EnrollData2324,'2324 Jun 24 Enroll'!P$1,FALSE)+VLOOKUP($A241,EnrollData2324,'2324 Jun 24 Enroll'!Q$1,FALSE)+VLOOKUP($A241,EnrollData2324,'2324 Jun 24 Enroll'!R$1,FALSE)+VLOOKUP($A241,EnrollData2324,'2324 Jun 24 Enroll'!I$1,FALSE)+VLOOKUP($A241,EnrollData2324,'2324 Jun 24 Enroll'!N$1,FALSE)+VLOOKUP($A241,EnrollData2324,'2324 Jun 24 Enroll'!O$1,FALSE)+VLOOKUP($A241,EnrollData2324,'2324 Jun 24 Enroll'!K$1,FALSE)+VLOOKUP($A241,EnrollData2324,'2324 Jun 24 Enroll'!L$1,FALSE))*Apport_M812425)/(VLOOKUP($A241,EnrollData2324,'2324 Jun 24 Enroll'!M$1,FALSE)+VLOOKUP($A241,EnrollData2324,'2324 Jun 24 Enroll'!D$1,FALSE)),2)</f>
        <v>1580.67</v>
      </c>
      <c r="AS241" s="7">
        <f t="shared" si="49"/>
        <v>10781.78</v>
      </c>
    </row>
    <row r="242" spans="1:45">
      <c r="A242" s="40" t="s">
        <v>488</v>
      </c>
      <c r="B242" s="40" t="s">
        <v>489</v>
      </c>
      <c r="C242" s="11">
        <f>ROUND((IFERROR((1/IF(VLOOKUP($A242,EnrollData2324,28,FALSE)='District Calculations'!$F$10,VLOOKUP($A242,EnrollData2324,28,FALSE),'District Calculations'!$F$10))*(1+Apport_Z315),0))+Apport_201A2425,6)</f>
        <v>7.4580999999999995E-2</v>
      </c>
      <c r="D242">
        <f>ROUND(IF(VLOOKUP($A242,EnrollData2324,'2324 Jun 24 Enroll'!D$1,FALSE)='District Calculations'!$F$11,VLOOKUP($A242,EnrollData2324,'2324 Jun 24 Enroll'!D$1,FALSE),'District Calculations'!$F$11)*C242,3)</f>
        <v>0</v>
      </c>
      <c r="E242">
        <f>ROUND(IF(VLOOKUP($A242,EnrollData2324,'2324 Jun 24 Enroll'!E$1,FALSE)='District Calculations'!$F$12,VLOOKUP($A242,EnrollData2324,'2324 Jun 24 Enroll'!E$1,FALSE),'District Calculations'!$F$12)*C242,3)</f>
        <v>60.447000000000003</v>
      </c>
      <c r="F242">
        <f>ROUND(IF(VLOOKUP($A242,EnrollData2324,'2324 Jun 24 Enroll'!F$1,FALSE)='District Calculations'!$F$13,VLOOKUP($A242,EnrollData2324,'2324 Jun 24 Enroll'!F$1,FALSE),'District Calculations'!$F$13)*Apport_222A2425,3)</f>
        <v>10.337999999999999</v>
      </c>
      <c r="G242">
        <f>ROUND(IF(VLOOKUP($A242,EnrollData2324,'2324 Jun 24 Enroll'!G$1,FALSE)='District Calculations'!$F$14,VLOOKUP($A242,EnrollData2324,'2324 Jun 24 Enroll'!G$1,FALSE),'District Calculations'!$F$14)*Apport_210A2425,3)</f>
        <v>22.92</v>
      </c>
      <c r="H242">
        <f>ROUND(IF(VLOOKUP($A242,EnrollData2324,'2324 Jun 24 Enroll'!H$1,FALSE)='District Calculations'!$F$15,VLOOKUP($A242,EnrollData2324,'2324 Jun 24 Enroll'!H$1,FALSE),'District Calculations'!$F$15)*Apport_213A2425,3)</f>
        <v>23.619</v>
      </c>
      <c r="I242">
        <f>ROUND(IF(VLOOKUP($A242,EnrollData2324,'2324 Jun 24 Enroll'!I$1,FALSE)+VLOOKUP($A242,EnrollData2324,'2324 Jun 24 Enroll'!M$1,FALSE)-VLOOKUP($A242,EnrollData2324,'2324 Jun 24 Enroll'!J$1,FALSE)='District Calculations'!$F$16+'District Calculations'!$F$25-'District Calculations'!$F$17,VLOOKUP($A242,EnrollData2324,'2324 Jun 24 Enroll'!I$1,FALSE)+VLOOKUP($A242,EnrollData2324,'2324 Jun 24 Enroll'!M$1,FALSE)-VLOOKUP($A242,EnrollData2324,'2324 Jun 24 Enroll'!J$1,FALSE),'District Calculations'!$F$16+'District Calculations'!$F$25-'District Calculations'!$F$17)*Apport_216A2425,3)</f>
        <v>59.057000000000002</v>
      </c>
      <c r="J242">
        <f>ROUND(SUM(D242:I242)/(IF(VLOOKUP($A242,EnrollData2324,'2324 Jun 24 Enroll'!M$1,FALSE)='District Calculations'!$F$25,VLOOKUP($A242,EnrollData2324,'2324 Jun 24 Enroll'!M$1,FALSE),'District Calculations'!$F$25)+IF(VLOOKUP($A242,EnrollData2324,'2324 Jun 24 Enroll'!D$1,FALSE)='District Calculations'!$F$11,VLOOKUP($A242,EnrollData2324,'2324 Jun 24 Enroll'!D$1,FALSE),'District Calculations'!$F$11)),5)</f>
        <v>5.6520000000000001E-2</v>
      </c>
      <c r="K242" s="11">
        <f t="shared" si="50"/>
        <v>4.385E-3</v>
      </c>
      <c r="L242">
        <f>ROUND(IF(VLOOKUP($A242,EnrollData2324,'2324 Jun 24 Enroll'!D$1,FALSE)='District Calculations'!$F$11,VLOOKUP($A242,EnrollData2324,'2324 Jun 24 Enroll'!D$1,FALSE),'District Calculations'!$F$11)*K242,3)</f>
        <v>0</v>
      </c>
      <c r="M242">
        <f>ROUND(IF(VLOOKUP($A242,EnrollData2324,'2324 Jun 24 Enroll'!E$1,FALSE)='District Calculations'!$F$12,VLOOKUP($A242,EnrollData2324,'2324 Jun 24 Enroll'!E$1,FALSE),'District Calculations'!$F$12)*K242,3)</f>
        <v>3.5539999999999998</v>
      </c>
      <c r="N242">
        <f>ROUND(IF(VLOOKUP($A242,EnrollData2324,'2324 Jun 24 Enroll'!F$1,FALSE)='District Calculations'!$F$13,VLOOKUP($A242,EnrollData2324,'2324 Jun 24 Enroll'!F$1,FALSE),'District Calculations'!$F$13)*Apport_223A2425,3)</f>
        <v>0.84599999999999997</v>
      </c>
      <c r="O242">
        <f>ROUND(IF(VLOOKUP($A242,EnrollData2324,'2324 Jun 24 Enroll'!G$1,FALSE)='District Calculations'!$F$14,VLOOKUP($A242,EnrollData2324,'2324 Jun 24 Enroll'!G$1,FALSE),'District Calculations'!$F$14)*Apport_211A2425,3)</f>
        <v>1.877</v>
      </c>
      <c r="P242">
        <f>ROUND(IF(VLOOKUP($A242,EnrollData2324,'2324 Jun 24 Enroll'!H$1,FALSE)='District Calculations'!$F$14,VLOOKUP($A242,EnrollData2324,'2324 Jun 24 Enroll'!H$1,FALSE),'District Calculations'!$F$14)*Apport_214A2425,3)</f>
        <v>1.875</v>
      </c>
      <c r="Q242">
        <f>ROUND(IF(VLOOKUP($A242,EnrollData2324,'2324 Jun 24 Enroll'!I$1,FALSE)+VLOOKUP($A242,EnrollData2324,'2324 Jun 24 Enroll'!M$1,FALSE)-VLOOKUP($A242,EnrollData2324,'2324 Jun 24 Enroll'!J$1,FALSE)='District Calculations'!$F$16+'District Calculations'!$F$25-'District Calculations'!$F$17,VLOOKUP($A242,EnrollData2324,'2324 Jun 24 Enroll'!I$1,FALSE)+VLOOKUP($A242,EnrollData2324,'2324 Jun 24 Enroll'!M$1,FALSE)-VLOOKUP($A242,EnrollData2324,'2324 Jun 24 Enroll'!J$1,FALSE),'District Calculations'!$F$16+'District Calculations'!$F$25-'District Calculations'!$F$17)*Apport_217A2425,3)</f>
        <v>4.7130000000000001</v>
      </c>
      <c r="R242">
        <f>ROUND(SUM(L242:Q242)/IF(VLOOKUP($A242,EnrollData2324,'2324 Jun 24 Enroll'!M$1,FALSE)+VLOOKUP($A242,EnrollData2324,'2324 Jun 24 Enroll'!D$1,FALSE)='District Calculations'!$F$25+'District Calculations'!$F$11,VLOOKUP($A242,EnrollData2324,'2324 Jun 24 Enroll'!M$1,FALSE)+VLOOKUP($A242,EnrollData2324,'2324 Jun 24 Enroll'!D$1,FALSE),'District Calculations'!$F$25+'District Calculations'!$F$11),5)</f>
        <v>4.1200000000000004E-3</v>
      </c>
      <c r="S242" s="11">
        <f t="shared" si="51"/>
        <v>1.8734299999999999E-2</v>
      </c>
      <c r="T242">
        <f>ROUND(IF(VLOOKUP($A242,EnrollData2324,'2324 Jun 24 Enroll'!D$1,FALSE)='District Calculations'!$F$11,VLOOKUP($A242,EnrollData2324,'2324 Jun 24 Enroll'!D$1,FALSE),'District Calculations'!$F$11)*S242,3)</f>
        <v>0</v>
      </c>
      <c r="U242">
        <f>ROUND(IF(VLOOKUP($A242,EnrollData2324,'2324 Jun 24 Enroll'!E$1,FALSE)='District Calculations'!$F$12,VLOOKUP($A242,EnrollData2324,'2324 Jun 24 Enroll'!E$1,FALSE),'District Calculations'!$F$12)*S242,3)</f>
        <v>15.183999999999999</v>
      </c>
      <c r="V242">
        <f>ROUND(IF(VLOOKUP($A242,EnrollData2324,'2324 Jun 24 Enroll'!F$1,FALSE)='District Calculations'!$F$13,VLOOKUP($A242,EnrollData2324,'2324 Jun 24 Enroll'!F$1,FALSE),'District Calculations'!$F$13)*Apport_224A2425,3)</f>
        <v>3.7109999999999999</v>
      </c>
      <c r="W242">
        <f>ROUND(IF(VLOOKUP($A242,EnrollData2324,'2324 Jun 24 Enroll'!G$1,FALSE)='District Calculations'!$F$14,VLOOKUP($A242,EnrollData2324,'2324 Jun 24 Enroll'!G$1,FALSE),'District Calculations'!$F$14)*Apport_212A2425,3)</f>
        <v>8.2279999999999998</v>
      </c>
      <c r="X242">
        <f>ROUND(IF(VLOOKUP($A242,EnrollData2324,'2324 Jun 24 Enroll'!H$1,FALSE)='District Calculations'!$F$14,VLOOKUP($A242,EnrollData2324,'2324 Jun 24 Enroll'!H$1,FALSE),'District Calculations'!$F$14)*Apport_215A2425,3)</f>
        <v>8.1180000000000003</v>
      </c>
      <c r="Y242">
        <f>ROUND(IF(VLOOKUP($A242,EnrollData2324,'2324 Jun 24 Enroll'!I$1,FALSE)+VLOOKUP($A242,EnrollData2324,'2324 Jun 24 Enroll'!M$1,FALSE)-VLOOKUP($A242,EnrollData2324,'2324 Jun 24 Enroll'!J$1,FALSE)='District Calculations'!$F$16+'District Calculations'!$F$25-'District Calculations'!$F$17,VLOOKUP($A242,EnrollData2324,'2324 Jun 24 Enroll'!I$1,FALSE)+VLOOKUP($A242,EnrollData2324,'2324 Jun 24 Enroll'!M$1,FALSE)-VLOOKUP($A242,EnrollData2324,'2324 Jun 24 Enroll'!J$1,FALSE),'District Calculations'!$F$16+'District Calculations'!$F$25-'District Calculations'!$F$17)*Apport_218A2425,3)</f>
        <v>20.257999999999999</v>
      </c>
      <c r="Z242">
        <f>ROUND(SUM(T242:Y242)/IF(VLOOKUP($A242,EnrollData2324,'2324 Jun 24 Enroll'!M$1,FALSE)+VLOOKUP($A242,EnrollData2324,'2324 Jun 24 Enroll'!D$1,FALSE)='District Calculations'!$F$25+'District Calculations'!$F$11,VLOOKUP($A242,EnrollData2324,'2324 Jun 24 Enroll'!M$1,FALSE)+VLOOKUP($A242,EnrollData2324,'2324 Jun 24 Enroll'!D$1,FALSE),'District Calculations'!$F$25+'District Calculations'!$F$11),5)</f>
        <v>1.7780000000000001E-2</v>
      </c>
      <c r="AA242" s="6">
        <f>ROUND($J242*CIS_Base_Salary2425*VLOOKUP($A242,EnrollData2324,'2324 Jun 24 Enroll'!AH$1,FALSE),2)</f>
        <v>4774.2</v>
      </c>
      <c r="AB242" s="6">
        <f>ROUND($J242*CIS_Inc_Salary2425*(VLOOKUP($A242,EnrollData2324,'2324 Jun 24 Enroll'!AI$1,FALSE)+VLOOKUP($A242,EnrollData2324,'2324 Jun 24 Enroll'!AJ$1,FALSE)),2)-AA242</f>
        <v>176.61999999999989</v>
      </c>
      <c r="AC242" s="6" cm="1">
        <f t="array" ref="AC242">ROUND($R242*CAS_Base_Salary2425*VLOOKUP($A242,EnrollData2324,'2324 Jun 24 Enroll'!AH$1,FALSE),2)</f>
        <v>516.58000000000004</v>
      </c>
      <c r="AD242" s="6">
        <f>ROUND($R242*CAS_Inc_Salary2425*VLOOKUP($A242,EnrollData2324,'2324 Jun 24 Enroll'!AI$1,FALSE),2)-AC242</f>
        <v>19.110000000000014</v>
      </c>
      <c r="AE242" s="6">
        <f>ROUND($Z242*CLS_Base_Salary2425*VLOOKUP($A242,EnrollData2324,'2324 Jun 24 Enroll'!AH$1,FALSE),2)</f>
        <v>1077.3900000000001</v>
      </c>
      <c r="AF242" s="6">
        <f>ROUND($Z242*CLS_Inc_Salary2425*VLOOKUP($A242,EnrollData2324,'2324 Jun 24 Enroll'!AI$1,FALSE),2)-AE242</f>
        <v>39.8599999999999</v>
      </c>
      <c r="AG242" cm="1">
        <f t="array" ref="AG242">ROUND(($J242+$R242)*Apport_124X2425,2)</f>
        <v>800.45</v>
      </c>
      <c r="AH242" s="69" cm="1">
        <f t="array" ref="AH242">ROUND(($J242+$R242)*Apport_621X2425*Apport_125XC2425,2)-AG242</f>
        <v>73.899999999999977</v>
      </c>
      <c r="AI242" cm="1">
        <f t="array" ref="AI242">ROUND($Z242*Apport_124X2425,2)</f>
        <v>234.7</v>
      </c>
      <c r="AJ242">
        <f t="shared" si="52"/>
        <v>124.71000000000004</v>
      </c>
      <c r="AK242">
        <f t="shared" si="53"/>
        <v>960.28</v>
      </c>
      <c r="AL242">
        <f t="shared" si="54"/>
        <v>34.270000000000003</v>
      </c>
      <c r="AM242">
        <f t="shared" si="55"/>
        <v>233.36</v>
      </c>
      <c r="AN242">
        <f t="shared" si="56"/>
        <v>7.24</v>
      </c>
      <c r="AO242">
        <f>ROUND(($J242*CIS_Inc_Salary2425*(VLOOKUP($A242,EnrollData2324,'2324 Jun 24 Enroll'!AI$1,FALSE)+VLOOKUP($A242,EnrollData2324,'2324 Jun 24 Enroll'!AJ$1,FALSE))/Apport_613Xpd)*Apport_614Xpd,2)</f>
        <v>82.51</v>
      </c>
      <c r="AP242">
        <f t="shared" si="57"/>
        <v>14.45</v>
      </c>
      <c r="AQ242">
        <f t="shared" si="48"/>
        <v>31.48</v>
      </c>
      <c r="AR242" s="6">
        <f>ROUND((VLOOKUP($A242,EnrollData2324,'2324 Jun 24 Enroll'!D$1,FALSE)*Apport_M802425+VLOOKUP($A242,EnrollData2324,'2324 Jun 24 Enroll'!M$1,FALSE)*Apport_M802425+(VLOOKUP($A242,EnrollData2324,'2324 Jun 24 Enroll'!P$1,FALSE)+VLOOKUP($A242,EnrollData2324,'2324 Jun 24 Enroll'!Q$1,FALSE)+VLOOKUP($A242,EnrollData2324,'2324 Jun 24 Enroll'!R$1,FALSE)+VLOOKUP($A242,EnrollData2324,'2324 Jun 24 Enroll'!I$1,FALSE)+VLOOKUP($A242,EnrollData2324,'2324 Jun 24 Enroll'!N$1,FALSE)+VLOOKUP($A242,EnrollData2324,'2324 Jun 24 Enroll'!O$1,FALSE)+VLOOKUP($A242,EnrollData2324,'2324 Jun 24 Enroll'!K$1,FALSE)+VLOOKUP($A242,EnrollData2324,'2324 Jun 24 Enroll'!L$1,FALSE))*Apport_M812425)/(VLOOKUP($A242,EnrollData2324,'2324 Jun 24 Enroll'!M$1,FALSE)+VLOOKUP($A242,EnrollData2324,'2324 Jun 24 Enroll'!D$1,FALSE)),2)</f>
        <v>1605.93</v>
      </c>
      <c r="AS242" s="7">
        <f t="shared" si="49"/>
        <v>10807.04</v>
      </c>
    </row>
    <row r="243" spans="1:45">
      <c r="A243" s="40" t="s">
        <v>787</v>
      </c>
      <c r="B243" s="40" t="s">
        <v>788</v>
      </c>
      <c r="C243" s="11">
        <f>ROUND((IFERROR((1/IF(VLOOKUP($A243,EnrollData2324,28,FALSE)='District Calculations'!$F$10,VLOOKUP($A243,EnrollData2324,28,FALSE),'District Calculations'!$F$10))*(1+Apport_Z315),0))+Apport_201A2425,6)</f>
        <v>7.4580999999999995E-2</v>
      </c>
      <c r="D243">
        <f>ROUND(IF(VLOOKUP($A243,EnrollData2324,'2324 Jun 24 Enroll'!D$1,FALSE)='District Calculations'!$F$11,VLOOKUP($A243,EnrollData2324,'2324 Jun 24 Enroll'!D$1,FALSE),'District Calculations'!$F$11)*C243,3)</f>
        <v>0</v>
      </c>
      <c r="E243">
        <f>ROUND(IF(VLOOKUP($A243,EnrollData2324,'2324 Jun 24 Enroll'!E$1,FALSE)='District Calculations'!$F$12,VLOOKUP($A243,EnrollData2324,'2324 Jun 24 Enroll'!E$1,FALSE),'District Calculations'!$F$12)*C243,3)</f>
        <v>60.447000000000003</v>
      </c>
      <c r="F243">
        <f>ROUND(IF(VLOOKUP($A243,EnrollData2324,'2324 Jun 24 Enroll'!F$1,FALSE)='District Calculations'!$F$13,VLOOKUP($A243,EnrollData2324,'2324 Jun 24 Enroll'!F$1,FALSE),'District Calculations'!$F$13)*Apport_222A2425,3)</f>
        <v>10.337999999999999</v>
      </c>
      <c r="G243">
        <f>ROUND(IF(VLOOKUP($A243,EnrollData2324,'2324 Jun 24 Enroll'!G$1,FALSE)='District Calculations'!$F$14,VLOOKUP($A243,EnrollData2324,'2324 Jun 24 Enroll'!G$1,FALSE),'District Calculations'!$F$14)*Apport_210A2425,3)</f>
        <v>22.92</v>
      </c>
      <c r="H243">
        <f>ROUND(IF(VLOOKUP($A243,EnrollData2324,'2324 Jun 24 Enroll'!H$1,FALSE)='District Calculations'!$F$15,VLOOKUP($A243,EnrollData2324,'2324 Jun 24 Enroll'!H$1,FALSE),'District Calculations'!$F$15)*Apport_213A2425,3)</f>
        <v>23.619</v>
      </c>
      <c r="I243">
        <f>ROUND(IF(VLOOKUP($A243,EnrollData2324,'2324 Jun 24 Enroll'!I$1,FALSE)+VLOOKUP($A243,EnrollData2324,'2324 Jun 24 Enroll'!M$1,FALSE)-VLOOKUP($A243,EnrollData2324,'2324 Jun 24 Enroll'!J$1,FALSE)='District Calculations'!$F$16+'District Calculations'!$F$25-'District Calculations'!$F$17,VLOOKUP($A243,EnrollData2324,'2324 Jun 24 Enroll'!I$1,FALSE)+VLOOKUP($A243,EnrollData2324,'2324 Jun 24 Enroll'!M$1,FALSE)-VLOOKUP($A243,EnrollData2324,'2324 Jun 24 Enroll'!J$1,FALSE),'District Calculations'!$F$16+'District Calculations'!$F$25-'District Calculations'!$F$17)*Apport_216A2425,3)</f>
        <v>59.057000000000002</v>
      </c>
      <c r="J243">
        <f>ROUND(SUM(D243:I243)/(IF(VLOOKUP($A243,EnrollData2324,'2324 Jun 24 Enroll'!M$1,FALSE)='District Calculations'!$F$25,VLOOKUP($A243,EnrollData2324,'2324 Jun 24 Enroll'!M$1,FALSE),'District Calculations'!$F$25)+IF(VLOOKUP($A243,EnrollData2324,'2324 Jun 24 Enroll'!D$1,FALSE)='District Calculations'!$F$11,VLOOKUP($A243,EnrollData2324,'2324 Jun 24 Enroll'!D$1,FALSE),'District Calculations'!$F$11)),5)</f>
        <v>5.6520000000000001E-2</v>
      </c>
      <c r="K243" s="11">
        <f t="shared" si="50"/>
        <v>4.385E-3</v>
      </c>
      <c r="L243">
        <f>ROUND(IF(VLOOKUP($A243,EnrollData2324,'2324 Jun 24 Enroll'!D$1,FALSE)='District Calculations'!$F$11,VLOOKUP($A243,EnrollData2324,'2324 Jun 24 Enroll'!D$1,FALSE),'District Calculations'!$F$11)*K243,3)</f>
        <v>0</v>
      </c>
      <c r="M243">
        <f>ROUND(IF(VLOOKUP($A243,EnrollData2324,'2324 Jun 24 Enroll'!E$1,FALSE)='District Calculations'!$F$12,VLOOKUP($A243,EnrollData2324,'2324 Jun 24 Enroll'!E$1,FALSE),'District Calculations'!$F$12)*K243,3)</f>
        <v>3.5539999999999998</v>
      </c>
      <c r="N243">
        <f>ROUND(IF(VLOOKUP($A243,EnrollData2324,'2324 Jun 24 Enroll'!F$1,FALSE)='District Calculations'!$F$13,VLOOKUP($A243,EnrollData2324,'2324 Jun 24 Enroll'!F$1,FALSE),'District Calculations'!$F$13)*Apport_223A2425,3)</f>
        <v>0.84599999999999997</v>
      </c>
      <c r="O243">
        <f>ROUND(IF(VLOOKUP($A243,EnrollData2324,'2324 Jun 24 Enroll'!G$1,FALSE)='District Calculations'!$F$14,VLOOKUP($A243,EnrollData2324,'2324 Jun 24 Enroll'!G$1,FALSE),'District Calculations'!$F$14)*Apport_211A2425,3)</f>
        <v>1.877</v>
      </c>
      <c r="P243">
        <f>ROUND(IF(VLOOKUP($A243,EnrollData2324,'2324 Jun 24 Enroll'!H$1,FALSE)='District Calculations'!$F$14,VLOOKUP($A243,EnrollData2324,'2324 Jun 24 Enroll'!H$1,FALSE),'District Calculations'!$F$14)*Apport_214A2425,3)</f>
        <v>1.875</v>
      </c>
      <c r="Q243">
        <f>ROUND(IF(VLOOKUP($A243,EnrollData2324,'2324 Jun 24 Enroll'!I$1,FALSE)+VLOOKUP($A243,EnrollData2324,'2324 Jun 24 Enroll'!M$1,FALSE)-VLOOKUP($A243,EnrollData2324,'2324 Jun 24 Enroll'!J$1,FALSE)='District Calculations'!$F$16+'District Calculations'!$F$25-'District Calculations'!$F$17,VLOOKUP($A243,EnrollData2324,'2324 Jun 24 Enroll'!I$1,FALSE)+VLOOKUP($A243,EnrollData2324,'2324 Jun 24 Enroll'!M$1,FALSE)-VLOOKUP($A243,EnrollData2324,'2324 Jun 24 Enroll'!J$1,FALSE),'District Calculations'!$F$16+'District Calculations'!$F$25-'District Calculations'!$F$17)*Apport_217A2425,3)</f>
        <v>4.7130000000000001</v>
      </c>
      <c r="R243">
        <f>ROUND(SUM(L243:Q243)/IF(VLOOKUP($A243,EnrollData2324,'2324 Jun 24 Enroll'!M$1,FALSE)+VLOOKUP($A243,EnrollData2324,'2324 Jun 24 Enroll'!D$1,FALSE)='District Calculations'!$F$25+'District Calculations'!$F$11,VLOOKUP($A243,EnrollData2324,'2324 Jun 24 Enroll'!M$1,FALSE)+VLOOKUP($A243,EnrollData2324,'2324 Jun 24 Enroll'!D$1,FALSE),'District Calculations'!$F$25+'District Calculations'!$F$11),5)</f>
        <v>4.1200000000000004E-3</v>
      </c>
      <c r="S243" s="11">
        <f t="shared" si="51"/>
        <v>1.8734299999999999E-2</v>
      </c>
      <c r="T243">
        <f>ROUND(IF(VLOOKUP($A243,EnrollData2324,'2324 Jun 24 Enroll'!D$1,FALSE)='District Calculations'!$F$11,VLOOKUP($A243,EnrollData2324,'2324 Jun 24 Enroll'!D$1,FALSE),'District Calculations'!$F$11)*S243,3)</f>
        <v>0</v>
      </c>
      <c r="U243">
        <f>ROUND(IF(VLOOKUP($A243,EnrollData2324,'2324 Jun 24 Enroll'!E$1,FALSE)='District Calculations'!$F$12,VLOOKUP($A243,EnrollData2324,'2324 Jun 24 Enroll'!E$1,FALSE),'District Calculations'!$F$12)*S243,3)</f>
        <v>15.183999999999999</v>
      </c>
      <c r="V243">
        <f>ROUND(IF(VLOOKUP($A243,EnrollData2324,'2324 Jun 24 Enroll'!F$1,FALSE)='District Calculations'!$F$13,VLOOKUP($A243,EnrollData2324,'2324 Jun 24 Enroll'!F$1,FALSE),'District Calculations'!$F$13)*Apport_224A2425,3)</f>
        <v>3.7109999999999999</v>
      </c>
      <c r="W243">
        <f>ROUND(IF(VLOOKUP($A243,EnrollData2324,'2324 Jun 24 Enroll'!G$1,FALSE)='District Calculations'!$F$14,VLOOKUP($A243,EnrollData2324,'2324 Jun 24 Enroll'!G$1,FALSE),'District Calculations'!$F$14)*Apport_212A2425,3)</f>
        <v>8.2279999999999998</v>
      </c>
      <c r="X243">
        <f>ROUND(IF(VLOOKUP($A243,EnrollData2324,'2324 Jun 24 Enroll'!H$1,FALSE)='District Calculations'!$F$14,VLOOKUP($A243,EnrollData2324,'2324 Jun 24 Enroll'!H$1,FALSE),'District Calculations'!$F$14)*Apport_215A2425,3)</f>
        <v>8.1180000000000003</v>
      </c>
      <c r="Y243">
        <f>ROUND(IF(VLOOKUP($A243,EnrollData2324,'2324 Jun 24 Enroll'!I$1,FALSE)+VLOOKUP($A243,EnrollData2324,'2324 Jun 24 Enroll'!M$1,FALSE)-VLOOKUP($A243,EnrollData2324,'2324 Jun 24 Enroll'!J$1,FALSE)='District Calculations'!$F$16+'District Calculations'!$F$25-'District Calculations'!$F$17,VLOOKUP($A243,EnrollData2324,'2324 Jun 24 Enroll'!I$1,FALSE)+VLOOKUP($A243,EnrollData2324,'2324 Jun 24 Enroll'!M$1,FALSE)-VLOOKUP($A243,EnrollData2324,'2324 Jun 24 Enroll'!J$1,FALSE),'District Calculations'!$F$16+'District Calculations'!$F$25-'District Calculations'!$F$17)*Apport_218A2425,3)</f>
        <v>20.257999999999999</v>
      </c>
      <c r="Z243">
        <f>ROUND(SUM(T243:Y243)/IF(VLOOKUP($A243,EnrollData2324,'2324 Jun 24 Enroll'!M$1,FALSE)+VLOOKUP($A243,EnrollData2324,'2324 Jun 24 Enroll'!D$1,FALSE)='District Calculations'!$F$25+'District Calculations'!$F$11,VLOOKUP($A243,EnrollData2324,'2324 Jun 24 Enroll'!M$1,FALSE)+VLOOKUP($A243,EnrollData2324,'2324 Jun 24 Enroll'!D$1,FALSE),'District Calculations'!$F$25+'District Calculations'!$F$11),5)</f>
        <v>1.7780000000000001E-2</v>
      </c>
      <c r="AA243" s="6">
        <f>ROUND($J243*CIS_Base_Salary2425*VLOOKUP($A243,EnrollData2324,'2324 Jun 24 Enroll'!AH$1,FALSE),2)</f>
        <v>4774.2</v>
      </c>
      <c r="AB243" s="6">
        <f>ROUND($J243*CIS_Inc_Salary2425*(VLOOKUP($A243,EnrollData2324,'2324 Jun 24 Enroll'!AI$1,FALSE)+VLOOKUP($A243,EnrollData2324,'2324 Jun 24 Enroll'!AJ$1,FALSE)),2)-AA243</f>
        <v>353.43000000000029</v>
      </c>
      <c r="AC243" s="6" cm="1">
        <f t="array" ref="AC243">ROUND($R243*CAS_Base_Salary2425*VLOOKUP($A243,EnrollData2324,'2324 Jun 24 Enroll'!AH$1,FALSE),2)</f>
        <v>516.58000000000004</v>
      </c>
      <c r="AD243" s="6">
        <f>ROUND($R243*CAS_Inc_Salary2425*VLOOKUP($A243,EnrollData2324,'2324 Jun 24 Enroll'!AI$1,FALSE),2)-AC243</f>
        <v>19.110000000000014</v>
      </c>
      <c r="AE243" s="6">
        <f>ROUND($Z243*CLS_Base_Salary2425*VLOOKUP($A243,EnrollData2324,'2324 Jun 24 Enroll'!AH$1,FALSE),2)</f>
        <v>1077.3900000000001</v>
      </c>
      <c r="AF243" s="6">
        <f>ROUND($Z243*CLS_Inc_Salary2425*VLOOKUP($A243,EnrollData2324,'2324 Jun 24 Enroll'!AI$1,FALSE),2)-AE243</f>
        <v>39.8599999999999</v>
      </c>
      <c r="AG243" cm="1">
        <f t="array" ref="AG243">ROUND(($J243+$R243)*Apport_124X2425,2)</f>
        <v>800.45</v>
      </c>
      <c r="AH243" s="69" cm="1">
        <f t="array" ref="AH243">ROUND(($J243+$R243)*Apport_621X2425*Apport_125XC2425,2)-AG243</f>
        <v>73.899999999999977</v>
      </c>
      <c r="AI243" cm="1">
        <f t="array" ref="AI243">ROUND($Z243*Apport_124X2425,2)</f>
        <v>234.7</v>
      </c>
      <c r="AJ243">
        <f t="shared" si="52"/>
        <v>124.71000000000004</v>
      </c>
      <c r="AK243">
        <f t="shared" si="53"/>
        <v>960.28</v>
      </c>
      <c r="AL243">
        <f t="shared" si="54"/>
        <v>65.23</v>
      </c>
      <c r="AM243">
        <f t="shared" si="55"/>
        <v>233.36</v>
      </c>
      <c r="AN243">
        <f t="shared" si="56"/>
        <v>7.24</v>
      </c>
      <c r="AO243">
        <f>ROUND(($J243*CIS_Inc_Salary2425*(VLOOKUP($A243,EnrollData2324,'2324 Jun 24 Enroll'!AI$1,FALSE)+VLOOKUP($A243,EnrollData2324,'2324 Jun 24 Enroll'!AJ$1,FALSE))/Apport_613Xpd)*Apport_614Xpd,2)</f>
        <v>85.46</v>
      </c>
      <c r="AP243">
        <f t="shared" si="57"/>
        <v>14.96</v>
      </c>
      <c r="AQ243">
        <f t="shared" si="48"/>
        <v>31.48</v>
      </c>
      <c r="AR243" s="6">
        <f>ROUND((VLOOKUP($A243,EnrollData2324,'2324 Jun 24 Enroll'!D$1,FALSE)*Apport_M802425+VLOOKUP($A243,EnrollData2324,'2324 Jun 24 Enroll'!M$1,FALSE)*Apport_M802425+(VLOOKUP($A243,EnrollData2324,'2324 Jun 24 Enroll'!P$1,FALSE)+VLOOKUP($A243,EnrollData2324,'2324 Jun 24 Enroll'!Q$1,FALSE)+VLOOKUP($A243,EnrollData2324,'2324 Jun 24 Enroll'!R$1,FALSE)+VLOOKUP($A243,EnrollData2324,'2324 Jun 24 Enroll'!I$1,FALSE)+VLOOKUP($A243,EnrollData2324,'2324 Jun 24 Enroll'!N$1,FALSE)+VLOOKUP($A243,EnrollData2324,'2324 Jun 24 Enroll'!O$1,FALSE)+VLOOKUP($A243,EnrollData2324,'2324 Jun 24 Enroll'!K$1,FALSE)+VLOOKUP($A243,EnrollData2324,'2324 Jun 24 Enroll'!L$1,FALSE))*Apport_M812425)/(VLOOKUP($A243,EnrollData2324,'2324 Jun 24 Enroll'!M$1,FALSE)+VLOOKUP($A243,EnrollData2324,'2324 Jun 24 Enroll'!D$1,FALSE)),2)</f>
        <v>1603.57</v>
      </c>
      <c r="AS243" s="7">
        <f t="shared" si="49"/>
        <v>11015.909999999996</v>
      </c>
    </row>
    <row r="244" spans="1:45">
      <c r="A244" s="40" t="s">
        <v>781</v>
      </c>
      <c r="B244" s="40" t="s">
        <v>782</v>
      </c>
      <c r="C244" s="11">
        <f>ROUND((IFERROR((1/IF(VLOOKUP($A244,EnrollData2324,28,FALSE)='District Calculations'!$F$10,VLOOKUP($A244,EnrollData2324,28,FALSE),'District Calculations'!$F$10))*(1+Apport_Z315),0))+Apport_201A2425,6)</f>
        <v>7.4580999999999995E-2</v>
      </c>
      <c r="D244">
        <f>ROUND(IF(VLOOKUP($A244,EnrollData2324,'2324 Jun 24 Enroll'!D$1,FALSE)='District Calculations'!$F$11,VLOOKUP($A244,EnrollData2324,'2324 Jun 24 Enroll'!D$1,FALSE),'District Calculations'!$F$11)*C244,3)</f>
        <v>0</v>
      </c>
      <c r="E244">
        <f>ROUND(IF(VLOOKUP($A244,EnrollData2324,'2324 Jun 24 Enroll'!E$1,FALSE)='District Calculations'!$F$12,VLOOKUP($A244,EnrollData2324,'2324 Jun 24 Enroll'!E$1,FALSE),'District Calculations'!$F$12)*C244,3)</f>
        <v>60.447000000000003</v>
      </c>
      <c r="F244">
        <f>ROUND(IF(VLOOKUP($A244,EnrollData2324,'2324 Jun 24 Enroll'!F$1,FALSE)='District Calculations'!$F$13,VLOOKUP($A244,EnrollData2324,'2324 Jun 24 Enroll'!F$1,FALSE),'District Calculations'!$F$13)*Apport_222A2425,3)</f>
        <v>10.337999999999999</v>
      </c>
      <c r="G244">
        <f>ROUND(IF(VLOOKUP($A244,EnrollData2324,'2324 Jun 24 Enroll'!G$1,FALSE)='District Calculations'!$F$14,VLOOKUP($A244,EnrollData2324,'2324 Jun 24 Enroll'!G$1,FALSE),'District Calculations'!$F$14)*Apport_210A2425,3)</f>
        <v>22.92</v>
      </c>
      <c r="H244">
        <f>ROUND(IF(VLOOKUP($A244,EnrollData2324,'2324 Jun 24 Enroll'!H$1,FALSE)='District Calculations'!$F$15,VLOOKUP($A244,EnrollData2324,'2324 Jun 24 Enroll'!H$1,FALSE),'District Calculations'!$F$15)*Apport_213A2425,3)</f>
        <v>23.619</v>
      </c>
      <c r="I244">
        <f>ROUND(IF(VLOOKUP($A244,EnrollData2324,'2324 Jun 24 Enroll'!I$1,FALSE)+VLOOKUP($A244,EnrollData2324,'2324 Jun 24 Enroll'!M$1,FALSE)-VLOOKUP($A244,EnrollData2324,'2324 Jun 24 Enroll'!J$1,FALSE)='District Calculations'!$F$16+'District Calculations'!$F$25-'District Calculations'!$F$17,VLOOKUP($A244,EnrollData2324,'2324 Jun 24 Enroll'!I$1,FALSE)+VLOOKUP($A244,EnrollData2324,'2324 Jun 24 Enroll'!M$1,FALSE)-VLOOKUP($A244,EnrollData2324,'2324 Jun 24 Enroll'!J$1,FALSE),'District Calculations'!$F$16+'District Calculations'!$F$25-'District Calculations'!$F$17)*Apport_216A2425,3)</f>
        <v>59.057000000000002</v>
      </c>
      <c r="J244">
        <f>ROUND(SUM(D244:I244)/(IF(VLOOKUP($A244,EnrollData2324,'2324 Jun 24 Enroll'!M$1,FALSE)='District Calculations'!$F$25,VLOOKUP($A244,EnrollData2324,'2324 Jun 24 Enroll'!M$1,FALSE),'District Calculations'!$F$25)+IF(VLOOKUP($A244,EnrollData2324,'2324 Jun 24 Enroll'!D$1,FALSE)='District Calculations'!$F$11,VLOOKUP($A244,EnrollData2324,'2324 Jun 24 Enroll'!D$1,FALSE),'District Calculations'!$F$11)),5)</f>
        <v>5.6520000000000001E-2</v>
      </c>
      <c r="K244" s="11">
        <f t="shared" si="50"/>
        <v>4.385E-3</v>
      </c>
      <c r="L244">
        <f>ROUND(IF(VLOOKUP($A244,EnrollData2324,'2324 Jun 24 Enroll'!D$1,FALSE)='District Calculations'!$F$11,VLOOKUP($A244,EnrollData2324,'2324 Jun 24 Enroll'!D$1,FALSE),'District Calculations'!$F$11)*K244,3)</f>
        <v>0</v>
      </c>
      <c r="M244">
        <f>ROUND(IF(VLOOKUP($A244,EnrollData2324,'2324 Jun 24 Enroll'!E$1,FALSE)='District Calculations'!$F$12,VLOOKUP($A244,EnrollData2324,'2324 Jun 24 Enroll'!E$1,FALSE),'District Calculations'!$F$12)*K244,3)</f>
        <v>3.5539999999999998</v>
      </c>
      <c r="N244">
        <f>ROUND(IF(VLOOKUP($A244,EnrollData2324,'2324 Jun 24 Enroll'!F$1,FALSE)='District Calculations'!$F$13,VLOOKUP($A244,EnrollData2324,'2324 Jun 24 Enroll'!F$1,FALSE),'District Calculations'!$F$13)*Apport_223A2425,3)</f>
        <v>0.84599999999999997</v>
      </c>
      <c r="O244">
        <f>ROUND(IF(VLOOKUP($A244,EnrollData2324,'2324 Jun 24 Enroll'!G$1,FALSE)='District Calculations'!$F$14,VLOOKUP($A244,EnrollData2324,'2324 Jun 24 Enroll'!G$1,FALSE),'District Calculations'!$F$14)*Apport_211A2425,3)</f>
        <v>1.877</v>
      </c>
      <c r="P244">
        <f>ROUND(IF(VLOOKUP($A244,EnrollData2324,'2324 Jun 24 Enroll'!H$1,FALSE)='District Calculations'!$F$14,VLOOKUP($A244,EnrollData2324,'2324 Jun 24 Enroll'!H$1,FALSE),'District Calculations'!$F$14)*Apport_214A2425,3)</f>
        <v>1.875</v>
      </c>
      <c r="Q244">
        <f>ROUND(IF(VLOOKUP($A244,EnrollData2324,'2324 Jun 24 Enroll'!I$1,FALSE)+VLOOKUP($A244,EnrollData2324,'2324 Jun 24 Enroll'!M$1,FALSE)-VLOOKUP($A244,EnrollData2324,'2324 Jun 24 Enroll'!J$1,FALSE)='District Calculations'!$F$16+'District Calculations'!$F$25-'District Calculations'!$F$17,VLOOKUP($A244,EnrollData2324,'2324 Jun 24 Enroll'!I$1,FALSE)+VLOOKUP($A244,EnrollData2324,'2324 Jun 24 Enroll'!M$1,FALSE)-VLOOKUP($A244,EnrollData2324,'2324 Jun 24 Enroll'!J$1,FALSE),'District Calculations'!$F$16+'District Calculations'!$F$25-'District Calculations'!$F$17)*Apport_217A2425,3)</f>
        <v>4.7130000000000001</v>
      </c>
      <c r="R244">
        <f>ROUND(SUM(L244:Q244)/IF(VLOOKUP($A244,EnrollData2324,'2324 Jun 24 Enroll'!M$1,FALSE)+VLOOKUP($A244,EnrollData2324,'2324 Jun 24 Enroll'!D$1,FALSE)='District Calculations'!$F$25+'District Calculations'!$F$11,VLOOKUP($A244,EnrollData2324,'2324 Jun 24 Enroll'!M$1,FALSE)+VLOOKUP($A244,EnrollData2324,'2324 Jun 24 Enroll'!D$1,FALSE),'District Calculations'!$F$25+'District Calculations'!$F$11),5)</f>
        <v>4.1200000000000004E-3</v>
      </c>
      <c r="S244" s="11">
        <f t="shared" si="51"/>
        <v>1.8734299999999999E-2</v>
      </c>
      <c r="T244">
        <f>ROUND(IF(VLOOKUP($A244,EnrollData2324,'2324 Jun 24 Enroll'!D$1,FALSE)='District Calculations'!$F$11,VLOOKUP($A244,EnrollData2324,'2324 Jun 24 Enroll'!D$1,FALSE),'District Calculations'!$F$11)*S244,3)</f>
        <v>0</v>
      </c>
      <c r="U244">
        <f>ROUND(IF(VLOOKUP($A244,EnrollData2324,'2324 Jun 24 Enroll'!E$1,FALSE)='District Calculations'!$F$12,VLOOKUP($A244,EnrollData2324,'2324 Jun 24 Enroll'!E$1,FALSE),'District Calculations'!$F$12)*S244,3)</f>
        <v>15.183999999999999</v>
      </c>
      <c r="V244">
        <f>ROUND(IF(VLOOKUP($A244,EnrollData2324,'2324 Jun 24 Enroll'!F$1,FALSE)='District Calculations'!$F$13,VLOOKUP($A244,EnrollData2324,'2324 Jun 24 Enroll'!F$1,FALSE),'District Calculations'!$F$13)*Apport_224A2425,3)</f>
        <v>3.7109999999999999</v>
      </c>
      <c r="W244">
        <f>ROUND(IF(VLOOKUP($A244,EnrollData2324,'2324 Jun 24 Enroll'!G$1,FALSE)='District Calculations'!$F$14,VLOOKUP($A244,EnrollData2324,'2324 Jun 24 Enroll'!G$1,FALSE),'District Calculations'!$F$14)*Apport_212A2425,3)</f>
        <v>8.2279999999999998</v>
      </c>
      <c r="X244">
        <f>ROUND(IF(VLOOKUP($A244,EnrollData2324,'2324 Jun 24 Enroll'!H$1,FALSE)='District Calculations'!$F$14,VLOOKUP($A244,EnrollData2324,'2324 Jun 24 Enroll'!H$1,FALSE),'District Calculations'!$F$14)*Apport_215A2425,3)</f>
        <v>8.1180000000000003</v>
      </c>
      <c r="Y244">
        <f>ROUND(IF(VLOOKUP($A244,EnrollData2324,'2324 Jun 24 Enroll'!I$1,FALSE)+VLOOKUP($A244,EnrollData2324,'2324 Jun 24 Enroll'!M$1,FALSE)-VLOOKUP($A244,EnrollData2324,'2324 Jun 24 Enroll'!J$1,FALSE)='District Calculations'!$F$16+'District Calculations'!$F$25-'District Calculations'!$F$17,VLOOKUP($A244,EnrollData2324,'2324 Jun 24 Enroll'!I$1,FALSE)+VLOOKUP($A244,EnrollData2324,'2324 Jun 24 Enroll'!M$1,FALSE)-VLOOKUP($A244,EnrollData2324,'2324 Jun 24 Enroll'!J$1,FALSE),'District Calculations'!$F$16+'District Calculations'!$F$25-'District Calculations'!$F$17)*Apport_218A2425,3)</f>
        <v>20.257999999999999</v>
      </c>
      <c r="Z244">
        <f>ROUND(SUM(T244:Y244)/IF(VLOOKUP($A244,EnrollData2324,'2324 Jun 24 Enroll'!M$1,FALSE)+VLOOKUP($A244,EnrollData2324,'2324 Jun 24 Enroll'!D$1,FALSE)='District Calculations'!$F$25+'District Calculations'!$F$11,VLOOKUP($A244,EnrollData2324,'2324 Jun 24 Enroll'!M$1,FALSE)+VLOOKUP($A244,EnrollData2324,'2324 Jun 24 Enroll'!D$1,FALSE),'District Calculations'!$F$25+'District Calculations'!$F$11),5)</f>
        <v>1.7780000000000001E-2</v>
      </c>
      <c r="AA244" s="6">
        <f>ROUND($J244*CIS_Base_Salary2425*VLOOKUP($A244,EnrollData2324,'2324 Jun 24 Enroll'!AH$1,FALSE),2)</f>
        <v>4262.68</v>
      </c>
      <c r="AB244" s="6">
        <f>ROUND($J244*CIS_Inc_Salary2425*(VLOOKUP($A244,EnrollData2324,'2324 Jun 24 Enroll'!AI$1,FALSE)+VLOOKUP($A244,EnrollData2324,'2324 Jun 24 Enroll'!AJ$1,FALSE)),2)-AA244</f>
        <v>157.6899999999996</v>
      </c>
      <c r="AC244" s="6" cm="1">
        <f t="array" ref="AC244">ROUND($R244*CAS_Base_Salary2425*VLOOKUP($A244,EnrollData2324,'2324 Jun 24 Enroll'!AH$1,FALSE),2)</f>
        <v>461.23</v>
      </c>
      <c r="AD244" s="6">
        <f>ROUND($R244*CAS_Inc_Salary2425*VLOOKUP($A244,EnrollData2324,'2324 Jun 24 Enroll'!AI$1,FALSE),2)-AC244</f>
        <v>17.069999999999993</v>
      </c>
      <c r="AE244" s="6">
        <f>ROUND($Z244*CLS_Base_Salary2425*VLOOKUP($A244,EnrollData2324,'2324 Jun 24 Enroll'!AH$1,FALSE),2)</f>
        <v>961.95</v>
      </c>
      <c r="AF244" s="6">
        <f>ROUND($Z244*CLS_Inc_Salary2425*VLOOKUP($A244,EnrollData2324,'2324 Jun 24 Enroll'!AI$1,FALSE),2)-AE244</f>
        <v>35.599999999999909</v>
      </c>
      <c r="AG244" cm="1">
        <f t="array" ref="AG244">ROUND(($J244+$R244)*Apport_124X2425,2)</f>
        <v>800.45</v>
      </c>
      <c r="AH244" s="69" cm="1">
        <f t="array" ref="AH244">ROUND(($J244+$R244)*Apport_621X2425*Apport_125XC2425,2)-AG244</f>
        <v>73.899999999999977</v>
      </c>
      <c r="AI244" cm="1">
        <f t="array" ref="AI244">ROUND($Z244*Apport_124X2425,2)</f>
        <v>234.7</v>
      </c>
      <c r="AJ244">
        <f t="shared" si="52"/>
        <v>124.71000000000004</v>
      </c>
      <c r="AK244">
        <f t="shared" si="53"/>
        <v>857.39</v>
      </c>
      <c r="AL244">
        <f t="shared" si="54"/>
        <v>30.6</v>
      </c>
      <c r="AM244">
        <f t="shared" si="55"/>
        <v>208.36</v>
      </c>
      <c r="AN244">
        <f t="shared" si="56"/>
        <v>6.46</v>
      </c>
      <c r="AO244">
        <f>ROUND(($J244*CIS_Inc_Salary2425*(VLOOKUP($A244,EnrollData2324,'2324 Jun 24 Enroll'!AI$1,FALSE)+VLOOKUP($A244,EnrollData2324,'2324 Jun 24 Enroll'!AJ$1,FALSE))/Apport_613Xpd)*Apport_614Xpd,2)</f>
        <v>73.67</v>
      </c>
      <c r="AP244">
        <f t="shared" si="57"/>
        <v>12.9</v>
      </c>
      <c r="AQ244">
        <f t="shared" si="48"/>
        <v>31.48</v>
      </c>
      <c r="AR244" s="6">
        <f>ROUND((VLOOKUP($A244,EnrollData2324,'2324 Jun 24 Enroll'!D$1,FALSE)*Apport_M802425+VLOOKUP($A244,EnrollData2324,'2324 Jun 24 Enroll'!M$1,FALSE)*Apport_M802425+(VLOOKUP($A244,EnrollData2324,'2324 Jun 24 Enroll'!P$1,FALSE)+VLOOKUP($A244,EnrollData2324,'2324 Jun 24 Enroll'!Q$1,FALSE)+VLOOKUP($A244,EnrollData2324,'2324 Jun 24 Enroll'!R$1,FALSE)+VLOOKUP($A244,EnrollData2324,'2324 Jun 24 Enroll'!I$1,FALSE)+VLOOKUP($A244,EnrollData2324,'2324 Jun 24 Enroll'!N$1,FALSE)+VLOOKUP($A244,EnrollData2324,'2324 Jun 24 Enroll'!O$1,FALSE)+VLOOKUP($A244,EnrollData2324,'2324 Jun 24 Enroll'!K$1,FALSE)+VLOOKUP($A244,EnrollData2324,'2324 Jun 24 Enroll'!L$1,FALSE))*Apport_M812425)/(VLOOKUP($A244,EnrollData2324,'2324 Jun 24 Enroll'!M$1,FALSE)+VLOOKUP($A244,EnrollData2324,'2324 Jun 24 Enroll'!D$1,FALSE)),2)</f>
        <v>1602.63</v>
      </c>
      <c r="AS244" s="7">
        <f t="shared" si="49"/>
        <v>9953.4699999999975</v>
      </c>
    </row>
    <row r="245" spans="1:45">
      <c r="A245" s="40" t="s">
        <v>665</v>
      </c>
      <c r="B245" s="40" t="s">
        <v>666</v>
      </c>
      <c r="C245" s="11">
        <f>ROUND((IFERROR((1/IF(VLOOKUP($A245,EnrollData2324,28,FALSE)='District Calculations'!$F$10,VLOOKUP($A245,EnrollData2324,28,FALSE),'District Calculations'!$F$10))*(1+Apport_Z315),0))+Apport_201A2425,6)</f>
        <v>7.4580999999999995E-2</v>
      </c>
      <c r="D245">
        <f>ROUND(IF(VLOOKUP($A245,EnrollData2324,'2324 Jun 24 Enroll'!D$1,FALSE)='District Calculations'!$F$11,VLOOKUP($A245,EnrollData2324,'2324 Jun 24 Enroll'!D$1,FALSE),'District Calculations'!$F$11)*C245,3)</f>
        <v>0</v>
      </c>
      <c r="E245">
        <f>ROUND(IF(VLOOKUP($A245,EnrollData2324,'2324 Jun 24 Enroll'!E$1,FALSE)='District Calculations'!$F$12,VLOOKUP($A245,EnrollData2324,'2324 Jun 24 Enroll'!E$1,FALSE),'District Calculations'!$F$12)*C245,3)</f>
        <v>60.447000000000003</v>
      </c>
      <c r="F245">
        <f>ROUND(IF(VLOOKUP($A245,EnrollData2324,'2324 Jun 24 Enroll'!F$1,FALSE)='District Calculations'!$F$13,VLOOKUP($A245,EnrollData2324,'2324 Jun 24 Enroll'!F$1,FALSE),'District Calculations'!$F$13)*Apport_222A2425,3)</f>
        <v>10.337999999999999</v>
      </c>
      <c r="G245">
        <f>ROUND(IF(VLOOKUP($A245,EnrollData2324,'2324 Jun 24 Enroll'!G$1,FALSE)='District Calculations'!$F$14,VLOOKUP($A245,EnrollData2324,'2324 Jun 24 Enroll'!G$1,FALSE),'District Calculations'!$F$14)*Apport_210A2425,3)</f>
        <v>22.92</v>
      </c>
      <c r="H245">
        <f>ROUND(IF(VLOOKUP($A245,EnrollData2324,'2324 Jun 24 Enroll'!H$1,FALSE)='District Calculations'!$F$15,VLOOKUP($A245,EnrollData2324,'2324 Jun 24 Enroll'!H$1,FALSE),'District Calculations'!$F$15)*Apport_213A2425,3)</f>
        <v>23.619</v>
      </c>
      <c r="I245">
        <f>ROUND(IF(VLOOKUP($A245,EnrollData2324,'2324 Jun 24 Enroll'!I$1,FALSE)+VLOOKUP($A245,EnrollData2324,'2324 Jun 24 Enroll'!M$1,FALSE)-VLOOKUP($A245,EnrollData2324,'2324 Jun 24 Enroll'!J$1,FALSE)='District Calculations'!$F$16+'District Calculations'!$F$25-'District Calculations'!$F$17,VLOOKUP($A245,EnrollData2324,'2324 Jun 24 Enroll'!I$1,FALSE)+VLOOKUP($A245,EnrollData2324,'2324 Jun 24 Enroll'!M$1,FALSE)-VLOOKUP($A245,EnrollData2324,'2324 Jun 24 Enroll'!J$1,FALSE),'District Calculations'!$F$16+'District Calculations'!$F$25-'District Calculations'!$F$17)*Apport_216A2425,3)</f>
        <v>59.057000000000002</v>
      </c>
      <c r="J245">
        <f>ROUND(SUM(D245:I245)/(IF(VLOOKUP($A245,EnrollData2324,'2324 Jun 24 Enroll'!M$1,FALSE)='District Calculations'!$F$25,VLOOKUP($A245,EnrollData2324,'2324 Jun 24 Enroll'!M$1,FALSE),'District Calculations'!$F$25)+IF(VLOOKUP($A245,EnrollData2324,'2324 Jun 24 Enroll'!D$1,FALSE)='District Calculations'!$F$11,VLOOKUP($A245,EnrollData2324,'2324 Jun 24 Enroll'!D$1,FALSE),'District Calculations'!$F$11)),5)</f>
        <v>5.6520000000000001E-2</v>
      </c>
      <c r="K245" s="11">
        <f t="shared" si="50"/>
        <v>4.385E-3</v>
      </c>
      <c r="L245">
        <f>ROUND(IF(VLOOKUP($A245,EnrollData2324,'2324 Jun 24 Enroll'!D$1,FALSE)='District Calculations'!$F$11,VLOOKUP($A245,EnrollData2324,'2324 Jun 24 Enroll'!D$1,FALSE),'District Calculations'!$F$11)*K245,3)</f>
        <v>0</v>
      </c>
      <c r="M245">
        <f>ROUND(IF(VLOOKUP($A245,EnrollData2324,'2324 Jun 24 Enroll'!E$1,FALSE)='District Calculations'!$F$12,VLOOKUP($A245,EnrollData2324,'2324 Jun 24 Enroll'!E$1,FALSE),'District Calculations'!$F$12)*K245,3)</f>
        <v>3.5539999999999998</v>
      </c>
      <c r="N245">
        <f>ROUND(IF(VLOOKUP($A245,EnrollData2324,'2324 Jun 24 Enroll'!F$1,FALSE)='District Calculations'!$F$13,VLOOKUP($A245,EnrollData2324,'2324 Jun 24 Enroll'!F$1,FALSE),'District Calculations'!$F$13)*Apport_223A2425,3)</f>
        <v>0.84599999999999997</v>
      </c>
      <c r="O245">
        <f>ROUND(IF(VLOOKUP($A245,EnrollData2324,'2324 Jun 24 Enroll'!G$1,FALSE)='District Calculations'!$F$14,VLOOKUP($A245,EnrollData2324,'2324 Jun 24 Enroll'!G$1,FALSE),'District Calculations'!$F$14)*Apport_211A2425,3)</f>
        <v>1.877</v>
      </c>
      <c r="P245">
        <f>ROUND(IF(VLOOKUP($A245,EnrollData2324,'2324 Jun 24 Enroll'!H$1,FALSE)='District Calculations'!$F$14,VLOOKUP($A245,EnrollData2324,'2324 Jun 24 Enroll'!H$1,FALSE),'District Calculations'!$F$14)*Apport_214A2425,3)</f>
        <v>1.875</v>
      </c>
      <c r="Q245">
        <f>ROUND(IF(VLOOKUP($A245,EnrollData2324,'2324 Jun 24 Enroll'!I$1,FALSE)+VLOOKUP($A245,EnrollData2324,'2324 Jun 24 Enroll'!M$1,FALSE)-VLOOKUP($A245,EnrollData2324,'2324 Jun 24 Enroll'!J$1,FALSE)='District Calculations'!$F$16+'District Calculations'!$F$25-'District Calculations'!$F$17,VLOOKUP($A245,EnrollData2324,'2324 Jun 24 Enroll'!I$1,FALSE)+VLOOKUP($A245,EnrollData2324,'2324 Jun 24 Enroll'!M$1,FALSE)-VLOOKUP($A245,EnrollData2324,'2324 Jun 24 Enroll'!J$1,FALSE),'District Calculations'!$F$16+'District Calculations'!$F$25-'District Calculations'!$F$17)*Apport_217A2425,3)</f>
        <v>4.7130000000000001</v>
      </c>
      <c r="R245">
        <f>ROUND(SUM(L245:Q245)/IF(VLOOKUP($A245,EnrollData2324,'2324 Jun 24 Enroll'!M$1,FALSE)+VLOOKUP($A245,EnrollData2324,'2324 Jun 24 Enroll'!D$1,FALSE)='District Calculations'!$F$25+'District Calculations'!$F$11,VLOOKUP($A245,EnrollData2324,'2324 Jun 24 Enroll'!M$1,FALSE)+VLOOKUP($A245,EnrollData2324,'2324 Jun 24 Enroll'!D$1,FALSE),'District Calculations'!$F$25+'District Calculations'!$F$11),5)</f>
        <v>4.1200000000000004E-3</v>
      </c>
      <c r="S245" s="11">
        <f t="shared" si="51"/>
        <v>1.8734299999999999E-2</v>
      </c>
      <c r="T245">
        <f>ROUND(IF(VLOOKUP($A245,EnrollData2324,'2324 Jun 24 Enroll'!D$1,FALSE)='District Calculations'!$F$11,VLOOKUP($A245,EnrollData2324,'2324 Jun 24 Enroll'!D$1,FALSE),'District Calculations'!$F$11)*S245,3)</f>
        <v>0</v>
      </c>
      <c r="U245">
        <f>ROUND(IF(VLOOKUP($A245,EnrollData2324,'2324 Jun 24 Enroll'!E$1,FALSE)='District Calculations'!$F$12,VLOOKUP($A245,EnrollData2324,'2324 Jun 24 Enroll'!E$1,FALSE),'District Calculations'!$F$12)*S245,3)</f>
        <v>15.183999999999999</v>
      </c>
      <c r="V245">
        <f>ROUND(IF(VLOOKUP($A245,EnrollData2324,'2324 Jun 24 Enroll'!F$1,FALSE)='District Calculations'!$F$13,VLOOKUP($A245,EnrollData2324,'2324 Jun 24 Enroll'!F$1,FALSE),'District Calculations'!$F$13)*Apport_224A2425,3)</f>
        <v>3.7109999999999999</v>
      </c>
      <c r="W245">
        <f>ROUND(IF(VLOOKUP($A245,EnrollData2324,'2324 Jun 24 Enroll'!G$1,FALSE)='District Calculations'!$F$14,VLOOKUP($A245,EnrollData2324,'2324 Jun 24 Enroll'!G$1,FALSE),'District Calculations'!$F$14)*Apport_212A2425,3)</f>
        <v>8.2279999999999998</v>
      </c>
      <c r="X245">
        <f>ROUND(IF(VLOOKUP($A245,EnrollData2324,'2324 Jun 24 Enroll'!H$1,FALSE)='District Calculations'!$F$14,VLOOKUP($A245,EnrollData2324,'2324 Jun 24 Enroll'!H$1,FALSE),'District Calculations'!$F$14)*Apport_215A2425,3)</f>
        <v>8.1180000000000003</v>
      </c>
      <c r="Y245">
        <f>ROUND(IF(VLOOKUP($A245,EnrollData2324,'2324 Jun 24 Enroll'!I$1,FALSE)+VLOOKUP($A245,EnrollData2324,'2324 Jun 24 Enroll'!M$1,FALSE)-VLOOKUP($A245,EnrollData2324,'2324 Jun 24 Enroll'!J$1,FALSE)='District Calculations'!$F$16+'District Calculations'!$F$25-'District Calculations'!$F$17,VLOOKUP($A245,EnrollData2324,'2324 Jun 24 Enroll'!I$1,FALSE)+VLOOKUP($A245,EnrollData2324,'2324 Jun 24 Enroll'!M$1,FALSE)-VLOOKUP($A245,EnrollData2324,'2324 Jun 24 Enroll'!J$1,FALSE),'District Calculations'!$F$16+'District Calculations'!$F$25-'District Calculations'!$F$17)*Apport_218A2425,3)</f>
        <v>20.257999999999999</v>
      </c>
      <c r="Z245">
        <f>ROUND(SUM(T245:Y245)/IF(VLOOKUP($A245,EnrollData2324,'2324 Jun 24 Enroll'!M$1,FALSE)+VLOOKUP($A245,EnrollData2324,'2324 Jun 24 Enroll'!D$1,FALSE)='District Calculations'!$F$25+'District Calculations'!$F$11,VLOOKUP($A245,EnrollData2324,'2324 Jun 24 Enroll'!M$1,FALSE)+VLOOKUP($A245,EnrollData2324,'2324 Jun 24 Enroll'!D$1,FALSE),'District Calculations'!$F$25+'District Calculations'!$F$11),5)</f>
        <v>1.7780000000000001E-2</v>
      </c>
      <c r="AA245" s="6">
        <f>ROUND($J245*CIS_Base_Salary2425*VLOOKUP($A245,EnrollData2324,'2324 Jun 24 Enroll'!AH$1,FALSE),2)</f>
        <v>4262.68</v>
      </c>
      <c r="AB245" s="6">
        <f>ROUND($J245*CIS_Inc_Salary2425*(VLOOKUP($A245,EnrollData2324,'2324 Jun 24 Enroll'!AI$1,FALSE)+VLOOKUP($A245,EnrollData2324,'2324 Jun 24 Enroll'!AJ$1,FALSE)),2)-AA245</f>
        <v>157.6899999999996</v>
      </c>
      <c r="AC245" s="6" cm="1">
        <f t="array" ref="AC245">ROUND($R245*CAS_Base_Salary2425*VLOOKUP($A245,EnrollData2324,'2324 Jun 24 Enroll'!AH$1,FALSE),2)</f>
        <v>461.23</v>
      </c>
      <c r="AD245" s="6">
        <f>ROUND($R245*CAS_Inc_Salary2425*VLOOKUP($A245,EnrollData2324,'2324 Jun 24 Enroll'!AI$1,FALSE),2)-AC245</f>
        <v>17.069999999999993</v>
      </c>
      <c r="AE245" s="6">
        <f>ROUND($Z245*CLS_Base_Salary2425*VLOOKUP($A245,EnrollData2324,'2324 Jun 24 Enroll'!AH$1,FALSE),2)</f>
        <v>961.95</v>
      </c>
      <c r="AF245" s="6">
        <f>ROUND($Z245*CLS_Inc_Salary2425*VLOOKUP($A245,EnrollData2324,'2324 Jun 24 Enroll'!AI$1,FALSE),2)-AE245</f>
        <v>35.599999999999909</v>
      </c>
      <c r="AG245" cm="1">
        <f t="array" ref="AG245">ROUND(($J245+$R245)*Apport_124X2425,2)</f>
        <v>800.45</v>
      </c>
      <c r="AH245" s="69" cm="1">
        <f t="array" ref="AH245">ROUND(($J245+$R245)*Apport_621X2425*Apport_125XC2425,2)-AG245</f>
        <v>73.899999999999977</v>
      </c>
      <c r="AI245" cm="1">
        <f t="array" ref="AI245">ROUND($Z245*Apport_124X2425,2)</f>
        <v>234.7</v>
      </c>
      <c r="AJ245">
        <f t="shared" si="52"/>
        <v>124.71000000000004</v>
      </c>
      <c r="AK245">
        <f t="shared" si="53"/>
        <v>857.39</v>
      </c>
      <c r="AL245">
        <f t="shared" si="54"/>
        <v>30.6</v>
      </c>
      <c r="AM245">
        <f t="shared" si="55"/>
        <v>208.36</v>
      </c>
      <c r="AN245">
        <f t="shared" si="56"/>
        <v>6.46</v>
      </c>
      <c r="AO245">
        <f>ROUND(($J245*CIS_Inc_Salary2425*(VLOOKUP($A245,EnrollData2324,'2324 Jun 24 Enroll'!AI$1,FALSE)+VLOOKUP($A245,EnrollData2324,'2324 Jun 24 Enroll'!AJ$1,FALSE))/Apport_613Xpd)*Apport_614Xpd,2)</f>
        <v>73.67</v>
      </c>
      <c r="AP245">
        <f t="shared" si="57"/>
        <v>12.9</v>
      </c>
      <c r="AQ245">
        <f t="shared" si="48"/>
        <v>31.48</v>
      </c>
      <c r="AR245" s="6">
        <f>ROUND((VLOOKUP($A245,EnrollData2324,'2324 Jun 24 Enroll'!D$1,FALSE)*Apport_M802425+VLOOKUP($A245,EnrollData2324,'2324 Jun 24 Enroll'!M$1,FALSE)*Apport_M802425+(VLOOKUP($A245,EnrollData2324,'2324 Jun 24 Enroll'!P$1,FALSE)+VLOOKUP($A245,EnrollData2324,'2324 Jun 24 Enroll'!Q$1,FALSE)+VLOOKUP($A245,EnrollData2324,'2324 Jun 24 Enroll'!R$1,FALSE)+VLOOKUP($A245,EnrollData2324,'2324 Jun 24 Enroll'!I$1,FALSE)+VLOOKUP($A245,EnrollData2324,'2324 Jun 24 Enroll'!N$1,FALSE)+VLOOKUP($A245,EnrollData2324,'2324 Jun 24 Enroll'!O$1,FALSE)+VLOOKUP($A245,EnrollData2324,'2324 Jun 24 Enroll'!K$1,FALSE)+VLOOKUP($A245,EnrollData2324,'2324 Jun 24 Enroll'!L$1,FALSE))*Apport_M812425)/(VLOOKUP($A245,EnrollData2324,'2324 Jun 24 Enroll'!M$1,FALSE)+VLOOKUP($A245,EnrollData2324,'2324 Jun 24 Enroll'!D$1,FALSE)),2)</f>
        <v>1533.02</v>
      </c>
      <c r="AS245" s="7">
        <f t="shared" si="49"/>
        <v>9883.8599999999988</v>
      </c>
    </row>
    <row r="246" spans="1:45">
      <c r="A246" s="40" t="s">
        <v>492</v>
      </c>
      <c r="B246" s="40" t="s">
        <v>493</v>
      </c>
      <c r="C246" s="11">
        <f>ROUND((IFERROR((1/IF(VLOOKUP($A246,EnrollData2324,28,FALSE)='District Calculations'!$F$10,VLOOKUP($A246,EnrollData2324,28,FALSE),'District Calculations'!$F$10))*(1+Apport_Z315),0))+Apport_201A2425,6)</f>
        <v>7.4580999999999995E-2</v>
      </c>
      <c r="D246">
        <f>ROUND(IF(VLOOKUP($A246,EnrollData2324,'2324 Jun 24 Enroll'!D$1,FALSE)='District Calculations'!$F$11,VLOOKUP($A246,EnrollData2324,'2324 Jun 24 Enroll'!D$1,FALSE),'District Calculations'!$F$11)*C246,3)</f>
        <v>0</v>
      </c>
      <c r="E246">
        <f>ROUND(IF(VLOOKUP($A246,EnrollData2324,'2324 Jun 24 Enroll'!E$1,FALSE)='District Calculations'!$F$12,VLOOKUP($A246,EnrollData2324,'2324 Jun 24 Enroll'!E$1,FALSE),'District Calculations'!$F$12)*C246,3)</f>
        <v>60.447000000000003</v>
      </c>
      <c r="F246">
        <f>ROUND(IF(VLOOKUP($A246,EnrollData2324,'2324 Jun 24 Enroll'!F$1,FALSE)='District Calculations'!$F$13,VLOOKUP($A246,EnrollData2324,'2324 Jun 24 Enroll'!F$1,FALSE),'District Calculations'!$F$13)*Apport_222A2425,3)</f>
        <v>10.337999999999999</v>
      </c>
      <c r="G246">
        <f>ROUND(IF(VLOOKUP($A246,EnrollData2324,'2324 Jun 24 Enroll'!G$1,FALSE)='District Calculations'!$F$14,VLOOKUP($A246,EnrollData2324,'2324 Jun 24 Enroll'!G$1,FALSE),'District Calculations'!$F$14)*Apport_210A2425,3)</f>
        <v>22.92</v>
      </c>
      <c r="H246">
        <f>ROUND(IF(VLOOKUP($A246,EnrollData2324,'2324 Jun 24 Enroll'!H$1,FALSE)='District Calculations'!$F$15,VLOOKUP($A246,EnrollData2324,'2324 Jun 24 Enroll'!H$1,FALSE),'District Calculations'!$F$15)*Apport_213A2425,3)</f>
        <v>23.619</v>
      </c>
      <c r="I246">
        <f>ROUND(IF(VLOOKUP($A246,EnrollData2324,'2324 Jun 24 Enroll'!I$1,FALSE)+VLOOKUP($A246,EnrollData2324,'2324 Jun 24 Enroll'!M$1,FALSE)-VLOOKUP($A246,EnrollData2324,'2324 Jun 24 Enroll'!J$1,FALSE)='District Calculations'!$F$16+'District Calculations'!$F$25-'District Calculations'!$F$17,VLOOKUP($A246,EnrollData2324,'2324 Jun 24 Enroll'!I$1,FALSE)+VLOOKUP($A246,EnrollData2324,'2324 Jun 24 Enroll'!M$1,FALSE)-VLOOKUP($A246,EnrollData2324,'2324 Jun 24 Enroll'!J$1,FALSE),'District Calculations'!$F$16+'District Calculations'!$F$25-'District Calculations'!$F$17)*Apport_216A2425,3)</f>
        <v>59.057000000000002</v>
      </c>
      <c r="J246">
        <f>ROUND(SUM(D246:I246)/(IF(VLOOKUP($A246,EnrollData2324,'2324 Jun 24 Enroll'!M$1,FALSE)='District Calculations'!$F$25,VLOOKUP($A246,EnrollData2324,'2324 Jun 24 Enroll'!M$1,FALSE),'District Calculations'!$F$25)+IF(VLOOKUP($A246,EnrollData2324,'2324 Jun 24 Enroll'!D$1,FALSE)='District Calculations'!$F$11,VLOOKUP($A246,EnrollData2324,'2324 Jun 24 Enroll'!D$1,FALSE),'District Calculations'!$F$11)),5)</f>
        <v>5.6520000000000001E-2</v>
      </c>
      <c r="K246" s="11">
        <f t="shared" si="50"/>
        <v>4.385E-3</v>
      </c>
      <c r="L246">
        <f>ROUND(IF(VLOOKUP($A246,EnrollData2324,'2324 Jun 24 Enroll'!D$1,FALSE)='District Calculations'!$F$11,VLOOKUP($A246,EnrollData2324,'2324 Jun 24 Enroll'!D$1,FALSE),'District Calculations'!$F$11)*K246,3)</f>
        <v>0</v>
      </c>
      <c r="M246">
        <f>ROUND(IF(VLOOKUP($A246,EnrollData2324,'2324 Jun 24 Enroll'!E$1,FALSE)='District Calculations'!$F$12,VLOOKUP($A246,EnrollData2324,'2324 Jun 24 Enroll'!E$1,FALSE),'District Calculations'!$F$12)*K246,3)</f>
        <v>3.5539999999999998</v>
      </c>
      <c r="N246">
        <f>ROUND(IF(VLOOKUP($A246,EnrollData2324,'2324 Jun 24 Enroll'!F$1,FALSE)='District Calculations'!$F$13,VLOOKUP($A246,EnrollData2324,'2324 Jun 24 Enroll'!F$1,FALSE),'District Calculations'!$F$13)*Apport_223A2425,3)</f>
        <v>0.84599999999999997</v>
      </c>
      <c r="O246">
        <f>ROUND(IF(VLOOKUP($A246,EnrollData2324,'2324 Jun 24 Enroll'!G$1,FALSE)='District Calculations'!$F$14,VLOOKUP($A246,EnrollData2324,'2324 Jun 24 Enroll'!G$1,FALSE),'District Calculations'!$F$14)*Apport_211A2425,3)</f>
        <v>1.877</v>
      </c>
      <c r="P246">
        <f>ROUND(IF(VLOOKUP($A246,EnrollData2324,'2324 Jun 24 Enroll'!H$1,FALSE)='District Calculations'!$F$14,VLOOKUP($A246,EnrollData2324,'2324 Jun 24 Enroll'!H$1,FALSE),'District Calculations'!$F$14)*Apport_214A2425,3)</f>
        <v>1.875</v>
      </c>
      <c r="Q246">
        <f>ROUND(IF(VLOOKUP($A246,EnrollData2324,'2324 Jun 24 Enroll'!I$1,FALSE)+VLOOKUP($A246,EnrollData2324,'2324 Jun 24 Enroll'!M$1,FALSE)-VLOOKUP($A246,EnrollData2324,'2324 Jun 24 Enroll'!J$1,FALSE)='District Calculations'!$F$16+'District Calculations'!$F$25-'District Calculations'!$F$17,VLOOKUP($A246,EnrollData2324,'2324 Jun 24 Enroll'!I$1,FALSE)+VLOOKUP($A246,EnrollData2324,'2324 Jun 24 Enroll'!M$1,FALSE)-VLOOKUP($A246,EnrollData2324,'2324 Jun 24 Enroll'!J$1,FALSE),'District Calculations'!$F$16+'District Calculations'!$F$25-'District Calculations'!$F$17)*Apport_217A2425,3)</f>
        <v>4.7130000000000001</v>
      </c>
      <c r="R246">
        <f>ROUND(SUM(L246:Q246)/IF(VLOOKUP($A246,EnrollData2324,'2324 Jun 24 Enroll'!M$1,FALSE)+VLOOKUP($A246,EnrollData2324,'2324 Jun 24 Enroll'!D$1,FALSE)='District Calculations'!$F$25+'District Calculations'!$F$11,VLOOKUP($A246,EnrollData2324,'2324 Jun 24 Enroll'!M$1,FALSE)+VLOOKUP($A246,EnrollData2324,'2324 Jun 24 Enroll'!D$1,FALSE),'District Calculations'!$F$25+'District Calculations'!$F$11),5)</f>
        <v>4.1200000000000004E-3</v>
      </c>
      <c r="S246" s="11">
        <f t="shared" si="51"/>
        <v>1.8734299999999999E-2</v>
      </c>
      <c r="T246">
        <f>ROUND(IF(VLOOKUP($A246,EnrollData2324,'2324 Jun 24 Enroll'!D$1,FALSE)='District Calculations'!$F$11,VLOOKUP($A246,EnrollData2324,'2324 Jun 24 Enroll'!D$1,FALSE),'District Calculations'!$F$11)*S246,3)</f>
        <v>0</v>
      </c>
      <c r="U246">
        <f>ROUND(IF(VLOOKUP($A246,EnrollData2324,'2324 Jun 24 Enroll'!E$1,FALSE)='District Calculations'!$F$12,VLOOKUP($A246,EnrollData2324,'2324 Jun 24 Enroll'!E$1,FALSE),'District Calculations'!$F$12)*S246,3)</f>
        <v>15.183999999999999</v>
      </c>
      <c r="V246">
        <f>ROUND(IF(VLOOKUP($A246,EnrollData2324,'2324 Jun 24 Enroll'!F$1,FALSE)='District Calculations'!$F$13,VLOOKUP($A246,EnrollData2324,'2324 Jun 24 Enroll'!F$1,FALSE),'District Calculations'!$F$13)*Apport_224A2425,3)</f>
        <v>3.7109999999999999</v>
      </c>
      <c r="W246">
        <f>ROUND(IF(VLOOKUP($A246,EnrollData2324,'2324 Jun 24 Enroll'!G$1,FALSE)='District Calculations'!$F$14,VLOOKUP($A246,EnrollData2324,'2324 Jun 24 Enroll'!G$1,FALSE),'District Calculations'!$F$14)*Apport_212A2425,3)</f>
        <v>8.2279999999999998</v>
      </c>
      <c r="X246">
        <f>ROUND(IF(VLOOKUP($A246,EnrollData2324,'2324 Jun 24 Enroll'!H$1,FALSE)='District Calculations'!$F$14,VLOOKUP($A246,EnrollData2324,'2324 Jun 24 Enroll'!H$1,FALSE),'District Calculations'!$F$14)*Apport_215A2425,3)</f>
        <v>8.1180000000000003</v>
      </c>
      <c r="Y246">
        <f>ROUND(IF(VLOOKUP($A246,EnrollData2324,'2324 Jun 24 Enroll'!I$1,FALSE)+VLOOKUP($A246,EnrollData2324,'2324 Jun 24 Enroll'!M$1,FALSE)-VLOOKUP($A246,EnrollData2324,'2324 Jun 24 Enroll'!J$1,FALSE)='District Calculations'!$F$16+'District Calculations'!$F$25-'District Calculations'!$F$17,VLOOKUP($A246,EnrollData2324,'2324 Jun 24 Enroll'!I$1,FALSE)+VLOOKUP($A246,EnrollData2324,'2324 Jun 24 Enroll'!M$1,FALSE)-VLOOKUP($A246,EnrollData2324,'2324 Jun 24 Enroll'!J$1,FALSE),'District Calculations'!$F$16+'District Calculations'!$F$25-'District Calculations'!$F$17)*Apport_218A2425,3)</f>
        <v>20.257999999999999</v>
      </c>
      <c r="Z246">
        <f>ROUND(SUM(T246:Y246)/IF(VLOOKUP($A246,EnrollData2324,'2324 Jun 24 Enroll'!M$1,FALSE)+VLOOKUP($A246,EnrollData2324,'2324 Jun 24 Enroll'!D$1,FALSE)='District Calculations'!$F$25+'District Calculations'!$F$11,VLOOKUP($A246,EnrollData2324,'2324 Jun 24 Enroll'!M$1,FALSE)+VLOOKUP($A246,EnrollData2324,'2324 Jun 24 Enroll'!D$1,FALSE),'District Calculations'!$F$25+'District Calculations'!$F$11),5)</f>
        <v>1.7780000000000001E-2</v>
      </c>
      <c r="AA246" s="6">
        <f>ROUND($J246*CIS_Base_Salary2425*VLOOKUP($A246,EnrollData2324,'2324 Jun 24 Enroll'!AH$1,FALSE),2)</f>
        <v>4262.68</v>
      </c>
      <c r="AB246" s="6">
        <f>ROUND($J246*CIS_Inc_Salary2425*(VLOOKUP($A246,EnrollData2324,'2324 Jun 24 Enroll'!AI$1,FALSE)+VLOOKUP($A246,EnrollData2324,'2324 Jun 24 Enroll'!AJ$1,FALSE)),2)-AA246</f>
        <v>157.6899999999996</v>
      </c>
      <c r="AC246" s="6" cm="1">
        <f t="array" ref="AC246">ROUND($R246*CAS_Base_Salary2425*VLOOKUP($A246,EnrollData2324,'2324 Jun 24 Enroll'!AH$1,FALSE),2)</f>
        <v>461.23</v>
      </c>
      <c r="AD246" s="6">
        <f>ROUND($R246*CAS_Inc_Salary2425*VLOOKUP($A246,EnrollData2324,'2324 Jun 24 Enroll'!AI$1,FALSE),2)-AC246</f>
        <v>17.069999999999993</v>
      </c>
      <c r="AE246" s="6">
        <f>ROUND($Z246*CLS_Base_Salary2425*VLOOKUP($A246,EnrollData2324,'2324 Jun 24 Enroll'!AH$1,FALSE),2)</f>
        <v>961.95</v>
      </c>
      <c r="AF246" s="6">
        <f>ROUND($Z246*CLS_Inc_Salary2425*VLOOKUP($A246,EnrollData2324,'2324 Jun 24 Enroll'!AI$1,FALSE),2)-AE246</f>
        <v>35.599999999999909</v>
      </c>
      <c r="AG246" cm="1">
        <f t="array" ref="AG246">ROUND(($J246+$R246)*Apport_124X2425,2)</f>
        <v>800.45</v>
      </c>
      <c r="AH246" s="69" cm="1">
        <f t="array" ref="AH246">ROUND(($J246+$R246)*Apport_621X2425*Apport_125XC2425,2)-AG246</f>
        <v>73.899999999999977</v>
      </c>
      <c r="AI246" cm="1">
        <f t="array" ref="AI246">ROUND($Z246*Apport_124X2425,2)</f>
        <v>234.7</v>
      </c>
      <c r="AJ246">
        <f t="shared" si="52"/>
        <v>124.71000000000004</v>
      </c>
      <c r="AK246">
        <f t="shared" si="53"/>
        <v>857.39</v>
      </c>
      <c r="AL246">
        <f t="shared" si="54"/>
        <v>30.6</v>
      </c>
      <c r="AM246">
        <f t="shared" si="55"/>
        <v>208.36</v>
      </c>
      <c r="AN246">
        <f t="shared" si="56"/>
        <v>6.46</v>
      </c>
      <c r="AO246">
        <f>ROUND(($J246*CIS_Inc_Salary2425*(VLOOKUP($A246,EnrollData2324,'2324 Jun 24 Enroll'!AI$1,FALSE)+VLOOKUP($A246,EnrollData2324,'2324 Jun 24 Enroll'!AJ$1,FALSE))/Apport_613Xpd)*Apport_614Xpd,2)</f>
        <v>73.67</v>
      </c>
      <c r="AP246">
        <f t="shared" si="57"/>
        <v>12.9</v>
      </c>
      <c r="AQ246">
        <f t="shared" ref="AQ246:AQ305" si="58">ROUND((J246*Apport_581X)*(Apport_116X*Apport_132X),2)</f>
        <v>31.48</v>
      </c>
      <c r="AR246" s="6">
        <f>ROUND((VLOOKUP($A246,EnrollData2324,'2324 Jun 24 Enroll'!D$1,FALSE)*Apport_M802425+VLOOKUP($A246,EnrollData2324,'2324 Jun 24 Enroll'!M$1,FALSE)*Apport_M802425+(VLOOKUP($A246,EnrollData2324,'2324 Jun 24 Enroll'!P$1,FALSE)+VLOOKUP($A246,EnrollData2324,'2324 Jun 24 Enroll'!Q$1,FALSE)+VLOOKUP($A246,EnrollData2324,'2324 Jun 24 Enroll'!R$1,FALSE)+VLOOKUP($A246,EnrollData2324,'2324 Jun 24 Enroll'!I$1,FALSE)+VLOOKUP($A246,EnrollData2324,'2324 Jun 24 Enroll'!N$1,FALSE)+VLOOKUP($A246,EnrollData2324,'2324 Jun 24 Enroll'!O$1,FALSE)+VLOOKUP($A246,EnrollData2324,'2324 Jun 24 Enroll'!K$1,FALSE)+VLOOKUP($A246,EnrollData2324,'2324 Jun 24 Enroll'!L$1,FALSE))*Apport_M812425)/(VLOOKUP($A246,EnrollData2324,'2324 Jun 24 Enroll'!M$1,FALSE)+VLOOKUP($A246,EnrollData2324,'2324 Jun 24 Enroll'!D$1,FALSE)),2)</f>
        <v>1533.02</v>
      </c>
      <c r="AS246" s="7">
        <f t="shared" si="49"/>
        <v>9883.8599999999988</v>
      </c>
    </row>
    <row r="247" spans="1:45">
      <c r="A247" s="40" t="s">
        <v>623</v>
      </c>
      <c r="B247" s="40" t="s">
        <v>624</v>
      </c>
      <c r="C247" s="11">
        <f>ROUND((IFERROR((1/IF(VLOOKUP($A247,EnrollData2324,28,FALSE)='District Calculations'!$F$10,VLOOKUP($A247,EnrollData2324,28,FALSE),'District Calculations'!$F$10))*(1+Apport_Z315),0))+Apport_201A2425,6)</f>
        <v>7.4580999999999995E-2</v>
      </c>
      <c r="D247">
        <f>ROUND(IF(VLOOKUP($A247,EnrollData2324,'2324 Jun 24 Enroll'!D$1,FALSE)='District Calculations'!$F$11,VLOOKUP($A247,EnrollData2324,'2324 Jun 24 Enroll'!D$1,FALSE),'District Calculations'!$F$11)*C247,3)</f>
        <v>0</v>
      </c>
      <c r="E247">
        <f>ROUND(IF(VLOOKUP($A247,EnrollData2324,'2324 Jun 24 Enroll'!E$1,FALSE)='District Calculations'!$F$12,VLOOKUP($A247,EnrollData2324,'2324 Jun 24 Enroll'!E$1,FALSE),'District Calculations'!$F$12)*C247,3)</f>
        <v>60.447000000000003</v>
      </c>
      <c r="F247">
        <f>ROUND(IF(VLOOKUP($A247,EnrollData2324,'2324 Jun 24 Enroll'!F$1,FALSE)='District Calculations'!$F$13,VLOOKUP($A247,EnrollData2324,'2324 Jun 24 Enroll'!F$1,FALSE),'District Calculations'!$F$13)*Apport_222A2425,3)</f>
        <v>10.337999999999999</v>
      </c>
      <c r="G247">
        <f>ROUND(IF(VLOOKUP($A247,EnrollData2324,'2324 Jun 24 Enroll'!G$1,FALSE)='District Calculations'!$F$14,VLOOKUP($A247,EnrollData2324,'2324 Jun 24 Enroll'!G$1,FALSE),'District Calculations'!$F$14)*Apport_210A2425,3)</f>
        <v>22.92</v>
      </c>
      <c r="H247">
        <f>ROUND(IF(VLOOKUP($A247,EnrollData2324,'2324 Jun 24 Enroll'!H$1,FALSE)='District Calculations'!$F$15,VLOOKUP($A247,EnrollData2324,'2324 Jun 24 Enroll'!H$1,FALSE),'District Calculations'!$F$15)*Apport_213A2425,3)</f>
        <v>23.619</v>
      </c>
      <c r="I247">
        <f>ROUND(IF(VLOOKUP($A247,EnrollData2324,'2324 Jun 24 Enroll'!I$1,FALSE)+VLOOKUP($A247,EnrollData2324,'2324 Jun 24 Enroll'!M$1,FALSE)-VLOOKUP($A247,EnrollData2324,'2324 Jun 24 Enroll'!J$1,FALSE)='District Calculations'!$F$16+'District Calculations'!$F$25-'District Calculations'!$F$17,VLOOKUP($A247,EnrollData2324,'2324 Jun 24 Enroll'!I$1,FALSE)+VLOOKUP($A247,EnrollData2324,'2324 Jun 24 Enroll'!M$1,FALSE)-VLOOKUP($A247,EnrollData2324,'2324 Jun 24 Enroll'!J$1,FALSE),'District Calculations'!$F$16+'District Calculations'!$F$25-'District Calculations'!$F$17)*Apport_216A2425,3)</f>
        <v>59.057000000000002</v>
      </c>
      <c r="J247">
        <f>ROUND(SUM(D247:I247)/(IF(VLOOKUP($A247,EnrollData2324,'2324 Jun 24 Enroll'!M$1,FALSE)='District Calculations'!$F$25,VLOOKUP($A247,EnrollData2324,'2324 Jun 24 Enroll'!M$1,FALSE),'District Calculations'!$F$25)+IF(VLOOKUP($A247,EnrollData2324,'2324 Jun 24 Enroll'!D$1,FALSE)='District Calculations'!$F$11,VLOOKUP($A247,EnrollData2324,'2324 Jun 24 Enroll'!D$1,FALSE),'District Calculations'!$F$11)),5)</f>
        <v>5.6520000000000001E-2</v>
      </c>
      <c r="K247" s="11">
        <f t="shared" si="50"/>
        <v>4.385E-3</v>
      </c>
      <c r="L247">
        <f>ROUND(IF(VLOOKUP($A247,EnrollData2324,'2324 Jun 24 Enroll'!D$1,FALSE)='District Calculations'!$F$11,VLOOKUP($A247,EnrollData2324,'2324 Jun 24 Enroll'!D$1,FALSE),'District Calculations'!$F$11)*K247,3)</f>
        <v>0</v>
      </c>
      <c r="M247">
        <f>ROUND(IF(VLOOKUP($A247,EnrollData2324,'2324 Jun 24 Enroll'!E$1,FALSE)='District Calculations'!$F$12,VLOOKUP($A247,EnrollData2324,'2324 Jun 24 Enroll'!E$1,FALSE),'District Calculations'!$F$12)*K247,3)</f>
        <v>3.5539999999999998</v>
      </c>
      <c r="N247">
        <f>ROUND(IF(VLOOKUP($A247,EnrollData2324,'2324 Jun 24 Enroll'!F$1,FALSE)='District Calculations'!$F$13,VLOOKUP($A247,EnrollData2324,'2324 Jun 24 Enroll'!F$1,FALSE),'District Calculations'!$F$13)*Apport_223A2425,3)</f>
        <v>0.84599999999999997</v>
      </c>
      <c r="O247">
        <f>ROUND(IF(VLOOKUP($A247,EnrollData2324,'2324 Jun 24 Enroll'!G$1,FALSE)='District Calculations'!$F$14,VLOOKUP($A247,EnrollData2324,'2324 Jun 24 Enroll'!G$1,FALSE),'District Calculations'!$F$14)*Apport_211A2425,3)</f>
        <v>1.877</v>
      </c>
      <c r="P247">
        <f>ROUND(IF(VLOOKUP($A247,EnrollData2324,'2324 Jun 24 Enroll'!H$1,FALSE)='District Calculations'!$F$14,VLOOKUP($A247,EnrollData2324,'2324 Jun 24 Enroll'!H$1,FALSE),'District Calculations'!$F$14)*Apport_214A2425,3)</f>
        <v>1.875</v>
      </c>
      <c r="Q247">
        <f>ROUND(IF(VLOOKUP($A247,EnrollData2324,'2324 Jun 24 Enroll'!I$1,FALSE)+VLOOKUP($A247,EnrollData2324,'2324 Jun 24 Enroll'!M$1,FALSE)-VLOOKUP($A247,EnrollData2324,'2324 Jun 24 Enroll'!J$1,FALSE)='District Calculations'!$F$16+'District Calculations'!$F$25-'District Calculations'!$F$17,VLOOKUP($A247,EnrollData2324,'2324 Jun 24 Enroll'!I$1,FALSE)+VLOOKUP($A247,EnrollData2324,'2324 Jun 24 Enroll'!M$1,FALSE)-VLOOKUP($A247,EnrollData2324,'2324 Jun 24 Enroll'!J$1,FALSE),'District Calculations'!$F$16+'District Calculations'!$F$25-'District Calculations'!$F$17)*Apport_217A2425,3)</f>
        <v>4.7130000000000001</v>
      </c>
      <c r="R247">
        <f>ROUND(SUM(L247:Q247)/IF(VLOOKUP($A247,EnrollData2324,'2324 Jun 24 Enroll'!M$1,FALSE)+VLOOKUP($A247,EnrollData2324,'2324 Jun 24 Enroll'!D$1,FALSE)='District Calculations'!$F$25+'District Calculations'!$F$11,VLOOKUP($A247,EnrollData2324,'2324 Jun 24 Enroll'!M$1,FALSE)+VLOOKUP($A247,EnrollData2324,'2324 Jun 24 Enroll'!D$1,FALSE),'District Calculations'!$F$25+'District Calculations'!$F$11),5)</f>
        <v>4.1200000000000004E-3</v>
      </c>
      <c r="S247" s="11">
        <f t="shared" si="51"/>
        <v>1.8734299999999999E-2</v>
      </c>
      <c r="T247">
        <f>ROUND(IF(VLOOKUP($A247,EnrollData2324,'2324 Jun 24 Enroll'!D$1,FALSE)='District Calculations'!$F$11,VLOOKUP($A247,EnrollData2324,'2324 Jun 24 Enroll'!D$1,FALSE),'District Calculations'!$F$11)*S247,3)</f>
        <v>0</v>
      </c>
      <c r="U247">
        <f>ROUND(IF(VLOOKUP($A247,EnrollData2324,'2324 Jun 24 Enroll'!E$1,FALSE)='District Calculations'!$F$12,VLOOKUP($A247,EnrollData2324,'2324 Jun 24 Enroll'!E$1,FALSE),'District Calculations'!$F$12)*S247,3)</f>
        <v>15.183999999999999</v>
      </c>
      <c r="V247">
        <f>ROUND(IF(VLOOKUP($A247,EnrollData2324,'2324 Jun 24 Enroll'!F$1,FALSE)='District Calculations'!$F$13,VLOOKUP($A247,EnrollData2324,'2324 Jun 24 Enroll'!F$1,FALSE),'District Calculations'!$F$13)*Apport_224A2425,3)</f>
        <v>3.7109999999999999</v>
      </c>
      <c r="W247">
        <f>ROUND(IF(VLOOKUP($A247,EnrollData2324,'2324 Jun 24 Enroll'!G$1,FALSE)='District Calculations'!$F$14,VLOOKUP($A247,EnrollData2324,'2324 Jun 24 Enroll'!G$1,FALSE),'District Calculations'!$F$14)*Apport_212A2425,3)</f>
        <v>8.2279999999999998</v>
      </c>
      <c r="X247">
        <f>ROUND(IF(VLOOKUP($A247,EnrollData2324,'2324 Jun 24 Enroll'!H$1,FALSE)='District Calculations'!$F$14,VLOOKUP($A247,EnrollData2324,'2324 Jun 24 Enroll'!H$1,FALSE),'District Calculations'!$F$14)*Apport_215A2425,3)</f>
        <v>8.1180000000000003</v>
      </c>
      <c r="Y247">
        <f>ROUND(IF(VLOOKUP($A247,EnrollData2324,'2324 Jun 24 Enroll'!I$1,FALSE)+VLOOKUP($A247,EnrollData2324,'2324 Jun 24 Enroll'!M$1,FALSE)-VLOOKUP($A247,EnrollData2324,'2324 Jun 24 Enroll'!J$1,FALSE)='District Calculations'!$F$16+'District Calculations'!$F$25-'District Calculations'!$F$17,VLOOKUP($A247,EnrollData2324,'2324 Jun 24 Enroll'!I$1,FALSE)+VLOOKUP($A247,EnrollData2324,'2324 Jun 24 Enroll'!M$1,FALSE)-VLOOKUP($A247,EnrollData2324,'2324 Jun 24 Enroll'!J$1,FALSE),'District Calculations'!$F$16+'District Calculations'!$F$25-'District Calculations'!$F$17)*Apport_218A2425,3)</f>
        <v>20.257999999999999</v>
      </c>
      <c r="Z247">
        <f>ROUND(SUM(T247:Y247)/IF(VLOOKUP($A247,EnrollData2324,'2324 Jun 24 Enroll'!M$1,FALSE)+VLOOKUP($A247,EnrollData2324,'2324 Jun 24 Enroll'!D$1,FALSE)='District Calculations'!$F$25+'District Calculations'!$F$11,VLOOKUP($A247,EnrollData2324,'2324 Jun 24 Enroll'!M$1,FALSE)+VLOOKUP($A247,EnrollData2324,'2324 Jun 24 Enroll'!D$1,FALSE),'District Calculations'!$F$25+'District Calculations'!$F$11),5)</f>
        <v>1.7780000000000001E-2</v>
      </c>
      <c r="AA247" s="6">
        <f>ROUND($J247*CIS_Base_Salary2425*VLOOKUP($A247,EnrollData2324,'2324 Jun 24 Enroll'!AH$1,FALSE),2)</f>
        <v>4262.68</v>
      </c>
      <c r="AB247" s="6">
        <f>ROUND($J247*CIS_Inc_Salary2425*(VLOOKUP($A247,EnrollData2324,'2324 Jun 24 Enroll'!AI$1,FALSE)+VLOOKUP($A247,EnrollData2324,'2324 Jun 24 Enroll'!AJ$1,FALSE)),2)-AA247</f>
        <v>334.50999999999931</v>
      </c>
      <c r="AC247" s="6" cm="1">
        <f t="array" ref="AC247">ROUND($R247*CAS_Base_Salary2425*VLOOKUP($A247,EnrollData2324,'2324 Jun 24 Enroll'!AH$1,FALSE),2)</f>
        <v>461.23</v>
      </c>
      <c r="AD247" s="6">
        <f>ROUND($R247*CAS_Inc_Salary2425*VLOOKUP($A247,EnrollData2324,'2324 Jun 24 Enroll'!AI$1,FALSE),2)-AC247</f>
        <v>17.069999999999993</v>
      </c>
      <c r="AE247" s="6">
        <f>ROUND($Z247*CLS_Base_Salary2425*VLOOKUP($A247,EnrollData2324,'2324 Jun 24 Enroll'!AH$1,FALSE),2)</f>
        <v>961.95</v>
      </c>
      <c r="AF247" s="6">
        <f>ROUND($Z247*CLS_Inc_Salary2425*VLOOKUP($A247,EnrollData2324,'2324 Jun 24 Enroll'!AI$1,FALSE),2)-AE247</f>
        <v>35.599999999999909</v>
      </c>
      <c r="AG247" cm="1">
        <f t="array" ref="AG247">ROUND(($J247+$R247)*Apport_124X2425,2)</f>
        <v>800.45</v>
      </c>
      <c r="AH247" s="69" cm="1">
        <f t="array" ref="AH247">ROUND(($J247+$R247)*Apport_621X2425*Apport_125XC2425,2)-AG247</f>
        <v>73.899999999999977</v>
      </c>
      <c r="AI247" cm="1">
        <f t="array" ref="AI247">ROUND($Z247*Apport_124X2425,2)</f>
        <v>234.7</v>
      </c>
      <c r="AJ247">
        <f t="shared" si="52"/>
        <v>124.71000000000004</v>
      </c>
      <c r="AK247">
        <f t="shared" si="53"/>
        <v>857.39</v>
      </c>
      <c r="AL247">
        <f t="shared" si="54"/>
        <v>61.56</v>
      </c>
      <c r="AM247">
        <f t="shared" si="55"/>
        <v>208.36</v>
      </c>
      <c r="AN247">
        <f t="shared" si="56"/>
        <v>6.46</v>
      </c>
      <c r="AO247">
        <f>ROUND(($J247*CIS_Inc_Salary2425*(VLOOKUP($A247,EnrollData2324,'2324 Jun 24 Enroll'!AI$1,FALSE)+VLOOKUP($A247,EnrollData2324,'2324 Jun 24 Enroll'!AJ$1,FALSE))/Apport_613Xpd)*Apport_614Xpd,2)</f>
        <v>76.62</v>
      </c>
      <c r="AP247">
        <f t="shared" si="57"/>
        <v>13.42</v>
      </c>
      <c r="AQ247">
        <f t="shared" si="58"/>
        <v>31.48</v>
      </c>
      <c r="AR247" s="6">
        <f>ROUND((VLOOKUP($A247,EnrollData2324,'2324 Jun 24 Enroll'!D$1,FALSE)*Apport_M802425+VLOOKUP($A247,EnrollData2324,'2324 Jun 24 Enroll'!M$1,FALSE)*Apport_M802425+(VLOOKUP($A247,EnrollData2324,'2324 Jun 24 Enroll'!P$1,FALSE)+VLOOKUP($A247,EnrollData2324,'2324 Jun 24 Enroll'!Q$1,FALSE)+VLOOKUP($A247,EnrollData2324,'2324 Jun 24 Enroll'!R$1,FALSE)+VLOOKUP($A247,EnrollData2324,'2324 Jun 24 Enroll'!I$1,FALSE)+VLOOKUP($A247,EnrollData2324,'2324 Jun 24 Enroll'!N$1,FALSE)+VLOOKUP($A247,EnrollData2324,'2324 Jun 24 Enroll'!O$1,FALSE)+VLOOKUP($A247,EnrollData2324,'2324 Jun 24 Enroll'!K$1,FALSE)+VLOOKUP($A247,EnrollData2324,'2324 Jun 24 Enroll'!L$1,FALSE))*Apport_M812425)/(VLOOKUP($A247,EnrollData2324,'2324 Jun 24 Enroll'!M$1,FALSE)+VLOOKUP($A247,EnrollData2324,'2324 Jun 24 Enroll'!D$1,FALSE)),2)</f>
        <v>1611.67</v>
      </c>
      <c r="AS247" s="7">
        <f t="shared" si="49"/>
        <v>10173.759999999998</v>
      </c>
    </row>
    <row r="248" spans="1:45">
      <c r="A248" s="40" t="s">
        <v>584</v>
      </c>
      <c r="B248" s="40" t="s">
        <v>585</v>
      </c>
      <c r="C248" s="11">
        <f>ROUND((IFERROR((1/IF(VLOOKUP($A248,EnrollData2324,28,FALSE)='District Calculations'!$F$10,VLOOKUP($A248,EnrollData2324,28,FALSE),'District Calculations'!$F$10))*(1+Apport_Z315),0))+Apport_201A2425,6)</f>
        <v>7.4580999999999995E-2</v>
      </c>
      <c r="D248">
        <f>ROUND(IF(VLOOKUP($A248,EnrollData2324,'2324 Jun 24 Enroll'!D$1,FALSE)='District Calculations'!$F$11,VLOOKUP($A248,EnrollData2324,'2324 Jun 24 Enroll'!D$1,FALSE),'District Calculations'!$F$11)*C248,3)</f>
        <v>0</v>
      </c>
      <c r="E248">
        <f>ROUND(IF(VLOOKUP($A248,EnrollData2324,'2324 Jun 24 Enroll'!E$1,FALSE)='District Calculations'!$F$12,VLOOKUP($A248,EnrollData2324,'2324 Jun 24 Enroll'!E$1,FALSE),'District Calculations'!$F$12)*C248,3)</f>
        <v>60.447000000000003</v>
      </c>
      <c r="F248">
        <f>ROUND(IF(VLOOKUP($A248,EnrollData2324,'2324 Jun 24 Enroll'!F$1,FALSE)='District Calculations'!$F$13,VLOOKUP($A248,EnrollData2324,'2324 Jun 24 Enroll'!F$1,FALSE),'District Calculations'!$F$13)*Apport_222A2425,3)</f>
        <v>10.337999999999999</v>
      </c>
      <c r="G248">
        <f>ROUND(IF(VLOOKUP($A248,EnrollData2324,'2324 Jun 24 Enroll'!G$1,FALSE)='District Calculations'!$F$14,VLOOKUP($A248,EnrollData2324,'2324 Jun 24 Enroll'!G$1,FALSE),'District Calculations'!$F$14)*Apport_210A2425,3)</f>
        <v>22.92</v>
      </c>
      <c r="H248">
        <f>ROUND(IF(VLOOKUP($A248,EnrollData2324,'2324 Jun 24 Enroll'!H$1,FALSE)='District Calculations'!$F$15,VLOOKUP($A248,EnrollData2324,'2324 Jun 24 Enroll'!H$1,FALSE),'District Calculations'!$F$15)*Apport_213A2425,3)</f>
        <v>23.619</v>
      </c>
      <c r="I248">
        <f>ROUND(IF(VLOOKUP($A248,EnrollData2324,'2324 Jun 24 Enroll'!I$1,FALSE)+VLOOKUP($A248,EnrollData2324,'2324 Jun 24 Enroll'!M$1,FALSE)-VLOOKUP($A248,EnrollData2324,'2324 Jun 24 Enroll'!J$1,FALSE)='District Calculations'!$F$16+'District Calculations'!$F$25-'District Calculations'!$F$17,VLOOKUP($A248,EnrollData2324,'2324 Jun 24 Enroll'!I$1,FALSE)+VLOOKUP($A248,EnrollData2324,'2324 Jun 24 Enroll'!M$1,FALSE)-VLOOKUP($A248,EnrollData2324,'2324 Jun 24 Enroll'!J$1,FALSE),'District Calculations'!$F$16+'District Calculations'!$F$25-'District Calculations'!$F$17)*Apport_216A2425,3)</f>
        <v>59.057000000000002</v>
      </c>
      <c r="J248">
        <f>ROUND(SUM(D248:I248)/(IF(VLOOKUP($A248,EnrollData2324,'2324 Jun 24 Enroll'!M$1,FALSE)='District Calculations'!$F$25,VLOOKUP($A248,EnrollData2324,'2324 Jun 24 Enroll'!M$1,FALSE),'District Calculations'!$F$25)+IF(VLOOKUP($A248,EnrollData2324,'2324 Jun 24 Enroll'!D$1,FALSE)='District Calculations'!$F$11,VLOOKUP($A248,EnrollData2324,'2324 Jun 24 Enroll'!D$1,FALSE),'District Calculations'!$F$11)),5)</f>
        <v>5.6520000000000001E-2</v>
      </c>
      <c r="K248" s="11">
        <f t="shared" si="50"/>
        <v>4.385E-3</v>
      </c>
      <c r="L248">
        <f>ROUND(IF(VLOOKUP($A248,EnrollData2324,'2324 Jun 24 Enroll'!D$1,FALSE)='District Calculations'!$F$11,VLOOKUP($A248,EnrollData2324,'2324 Jun 24 Enroll'!D$1,FALSE),'District Calculations'!$F$11)*K248,3)</f>
        <v>0</v>
      </c>
      <c r="M248">
        <f>ROUND(IF(VLOOKUP($A248,EnrollData2324,'2324 Jun 24 Enroll'!E$1,FALSE)='District Calculations'!$F$12,VLOOKUP($A248,EnrollData2324,'2324 Jun 24 Enroll'!E$1,FALSE),'District Calculations'!$F$12)*K248,3)</f>
        <v>3.5539999999999998</v>
      </c>
      <c r="N248">
        <f>ROUND(IF(VLOOKUP($A248,EnrollData2324,'2324 Jun 24 Enroll'!F$1,FALSE)='District Calculations'!$F$13,VLOOKUP($A248,EnrollData2324,'2324 Jun 24 Enroll'!F$1,FALSE),'District Calculations'!$F$13)*Apport_223A2425,3)</f>
        <v>0.84599999999999997</v>
      </c>
      <c r="O248">
        <f>ROUND(IF(VLOOKUP($A248,EnrollData2324,'2324 Jun 24 Enroll'!G$1,FALSE)='District Calculations'!$F$14,VLOOKUP($A248,EnrollData2324,'2324 Jun 24 Enroll'!G$1,FALSE),'District Calculations'!$F$14)*Apport_211A2425,3)</f>
        <v>1.877</v>
      </c>
      <c r="P248">
        <f>ROUND(IF(VLOOKUP($A248,EnrollData2324,'2324 Jun 24 Enroll'!H$1,FALSE)='District Calculations'!$F$14,VLOOKUP($A248,EnrollData2324,'2324 Jun 24 Enroll'!H$1,FALSE),'District Calculations'!$F$14)*Apport_214A2425,3)</f>
        <v>1.875</v>
      </c>
      <c r="Q248">
        <f>ROUND(IF(VLOOKUP($A248,EnrollData2324,'2324 Jun 24 Enroll'!I$1,FALSE)+VLOOKUP($A248,EnrollData2324,'2324 Jun 24 Enroll'!M$1,FALSE)-VLOOKUP($A248,EnrollData2324,'2324 Jun 24 Enroll'!J$1,FALSE)='District Calculations'!$F$16+'District Calculations'!$F$25-'District Calculations'!$F$17,VLOOKUP($A248,EnrollData2324,'2324 Jun 24 Enroll'!I$1,FALSE)+VLOOKUP($A248,EnrollData2324,'2324 Jun 24 Enroll'!M$1,FALSE)-VLOOKUP($A248,EnrollData2324,'2324 Jun 24 Enroll'!J$1,FALSE),'District Calculations'!$F$16+'District Calculations'!$F$25-'District Calculations'!$F$17)*Apport_217A2425,3)</f>
        <v>4.7130000000000001</v>
      </c>
      <c r="R248">
        <f>ROUND(SUM(L248:Q248)/IF(VLOOKUP($A248,EnrollData2324,'2324 Jun 24 Enroll'!M$1,FALSE)+VLOOKUP($A248,EnrollData2324,'2324 Jun 24 Enroll'!D$1,FALSE)='District Calculations'!$F$25+'District Calculations'!$F$11,VLOOKUP($A248,EnrollData2324,'2324 Jun 24 Enroll'!M$1,FALSE)+VLOOKUP($A248,EnrollData2324,'2324 Jun 24 Enroll'!D$1,FALSE),'District Calculations'!$F$25+'District Calculations'!$F$11),5)</f>
        <v>4.1200000000000004E-3</v>
      </c>
      <c r="S248" s="11">
        <f t="shared" si="51"/>
        <v>1.8734299999999999E-2</v>
      </c>
      <c r="T248">
        <f>ROUND(IF(VLOOKUP($A248,EnrollData2324,'2324 Jun 24 Enroll'!D$1,FALSE)='District Calculations'!$F$11,VLOOKUP($A248,EnrollData2324,'2324 Jun 24 Enroll'!D$1,FALSE),'District Calculations'!$F$11)*S248,3)</f>
        <v>0</v>
      </c>
      <c r="U248">
        <f>ROUND(IF(VLOOKUP($A248,EnrollData2324,'2324 Jun 24 Enroll'!E$1,FALSE)='District Calculations'!$F$12,VLOOKUP($A248,EnrollData2324,'2324 Jun 24 Enroll'!E$1,FALSE),'District Calculations'!$F$12)*S248,3)</f>
        <v>15.183999999999999</v>
      </c>
      <c r="V248">
        <f>ROUND(IF(VLOOKUP($A248,EnrollData2324,'2324 Jun 24 Enroll'!F$1,FALSE)='District Calculations'!$F$13,VLOOKUP($A248,EnrollData2324,'2324 Jun 24 Enroll'!F$1,FALSE),'District Calculations'!$F$13)*Apport_224A2425,3)</f>
        <v>3.7109999999999999</v>
      </c>
      <c r="W248">
        <f>ROUND(IF(VLOOKUP($A248,EnrollData2324,'2324 Jun 24 Enroll'!G$1,FALSE)='District Calculations'!$F$14,VLOOKUP($A248,EnrollData2324,'2324 Jun 24 Enroll'!G$1,FALSE),'District Calculations'!$F$14)*Apport_212A2425,3)</f>
        <v>8.2279999999999998</v>
      </c>
      <c r="X248">
        <f>ROUND(IF(VLOOKUP($A248,EnrollData2324,'2324 Jun 24 Enroll'!H$1,FALSE)='District Calculations'!$F$14,VLOOKUP($A248,EnrollData2324,'2324 Jun 24 Enroll'!H$1,FALSE),'District Calculations'!$F$14)*Apport_215A2425,3)</f>
        <v>8.1180000000000003</v>
      </c>
      <c r="Y248">
        <f>ROUND(IF(VLOOKUP($A248,EnrollData2324,'2324 Jun 24 Enroll'!I$1,FALSE)+VLOOKUP($A248,EnrollData2324,'2324 Jun 24 Enroll'!M$1,FALSE)-VLOOKUP($A248,EnrollData2324,'2324 Jun 24 Enroll'!J$1,FALSE)='District Calculations'!$F$16+'District Calculations'!$F$25-'District Calculations'!$F$17,VLOOKUP($A248,EnrollData2324,'2324 Jun 24 Enroll'!I$1,FALSE)+VLOOKUP($A248,EnrollData2324,'2324 Jun 24 Enroll'!M$1,FALSE)-VLOOKUP($A248,EnrollData2324,'2324 Jun 24 Enroll'!J$1,FALSE),'District Calculations'!$F$16+'District Calculations'!$F$25-'District Calculations'!$F$17)*Apport_218A2425,3)</f>
        <v>20.257999999999999</v>
      </c>
      <c r="Z248">
        <f>ROUND(SUM(T248:Y248)/IF(VLOOKUP($A248,EnrollData2324,'2324 Jun 24 Enroll'!M$1,FALSE)+VLOOKUP($A248,EnrollData2324,'2324 Jun 24 Enroll'!D$1,FALSE)='District Calculations'!$F$25+'District Calculations'!$F$11,VLOOKUP($A248,EnrollData2324,'2324 Jun 24 Enroll'!M$1,FALSE)+VLOOKUP($A248,EnrollData2324,'2324 Jun 24 Enroll'!D$1,FALSE),'District Calculations'!$F$25+'District Calculations'!$F$11),5)</f>
        <v>1.7780000000000001E-2</v>
      </c>
      <c r="AA248" s="6">
        <f>ROUND($J248*CIS_Base_Salary2425*VLOOKUP($A248,EnrollData2324,'2324 Jun 24 Enroll'!AH$1,FALSE),2)</f>
        <v>4262.68</v>
      </c>
      <c r="AB248" s="6">
        <f>ROUND($J248*CIS_Inc_Salary2425*(VLOOKUP($A248,EnrollData2324,'2324 Jun 24 Enroll'!AI$1,FALSE)+VLOOKUP($A248,EnrollData2324,'2324 Jun 24 Enroll'!AJ$1,FALSE)),2)-AA248</f>
        <v>157.6899999999996</v>
      </c>
      <c r="AC248" s="6" cm="1">
        <f t="array" ref="AC248">ROUND($R248*CAS_Base_Salary2425*VLOOKUP($A248,EnrollData2324,'2324 Jun 24 Enroll'!AH$1,FALSE),2)</f>
        <v>461.23</v>
      </c>
      <c r="AD248" s="6">
        <f>ROUND($R248*CAS_Inc_Salary2425*VLOOKUP($A248,EnrollData2324,'2324 Jun 24 Enroll'!AI$1,FALSE),2)-AC248</f>
        <v>17.069999999999993</v>
      </c>
      <c r="AE248" s="6">
        <f>ROUND($Z248*CLS_Base_Salary2425*VLOOKUP($A248,EnrollData2324,'2324 Jun 24 Enroll'!AH$1,FALSE),2)</f>
        <v>961.95</v>
      </c>
      <c r="AF248" s="6">
        <f>ROUND($Z248*CLS_Inc_Salary2425*VLOOKUP($A248,EnrollData2324,'2324 Jun 24 Enroll'!AI$1,FALSE),2)-AE248</f>
        <v>35.599999999999909</v>
      </c>
      <c r="AG248" cm="1">
        <f t="array" ref="AG248">ROUND(($J248+$R248)*Apport_124X2425,2)</f>
        <v>800.45</v>
      </c>
      <c r="AH248" s="69" cm="1">
        <f t="array" ref="AH248">ROUND(($J248+$R248)*Apport_621X2425*Apport_125XC2425,2)-AG248</f>
        <v>73.899999999999977</v>
      </c>
      <c r="AI248" cm="1">
        <f t="array" ref="AI248">ROUND($Z248*Apport_124X2425,2)</f>
        <v>234.7</v>
      </c>
      <c r="AJ248">
        <f t="shared" si="52"/>
        <v>124.71000000000004</v>
      </c>
      <c r="AK248">
        <f t="shared" si="53"/>
        <v>857.39</v>
      </c>
      <c r="AL248">
        <f t="shared" si="54"/>
        <v>30.6</v>
      </c>
      <c r="AM248">
        <f t="shared" si="55"/>
        <v>208.36</v>
      </c>
      <c r="AN248">
        <f t="shared" si="56"/>
        <v>6.46</v>
      </c>
      <c r="AO248">
        <f>ROUND(($J248*CIS_Inc_Salary2425*(VLOOKUP($A248,EnrollData2324,'2324 Jun 24 Enroll'!AI$1,FALSE)+VLOOKUP($A248,EnrollData2324,'2324 Jun 24 Enroll'!AJ$1,FALSE))/Apport_613Xpd)*Apport_614Xpd,2)</f>
        <v>73.67</v>
      </c>
      <c r="AP248">
        <f t="shared" si="57"/>
        <v>12.9</v>
      </c>
      <c r="AQ248">
        <f t="shared" si="58"/>
        <v>31.48</v>
      </c>
      <c r="AR248" s="6">
        <f>ROUND((VLOOKUP($A248,EnrollData2324,'2324 Jun 24 Enroll'!D$1,FALSE)*Apport_M802425+VLOOKUP($A248,EnrollData2324,'2324 Jun 24 Enroll'!M$1,FALSE)*Apport_M802425+(VLOOKUP($A248,EnrollData2324,'2324 Jun 24 Enroll'!P$1,FALSE)+VLOOKUP($A248,EnrollData2324,'2324 Jun 24 Enroll'!Q$1,FALSE)+VLOOKUP($A248,EnrollData2324,'2324 Jun 24 Enroll'!R$1,FALSE)+VLOOKUP($A248,EnrollData2324,'2324 Jun 24 Enroll'!I$1,FALSE)+VLOOKUP($A248,EnrollData2324,'2324 Jun 24 Enroll'!N$1,FALSE)+VLOOKUP($A248,EnrollData2324,'2324 Jun 24 Enroll'!O$1,FALSE)+VLOOKUP($A248,EnrollData2324,'2324 Jun 24 Enroll'!K$1,FALSE)+VLOOKUP($A248,EnrollData2324,'2324 Jun 24 Enroll'!L$1,FALSE))*Apport_M812425)/(VLOOKUP($A248,EnrollData2324,'2324 Jun 24 Enroll'!M$1,FALSE)+VLOOKUP($A248,EnrollData2324,'2324 Jun 24 Enroll'!D$1,FALSE)),2)</f>
        <v>1594.34</v>
      </c>
      <c r="AS248" s="7">
        <f t="shared" ref="AS248:AS307" si="59">SUM(AA248:AR248)</f>
        <v>9945.1799999999985</v>
      </c>
    </row>
    <row r="249" spans="1:45">
      <c r="A249" s="40" t="s">
        <v>582</v>
      </c>
      <c r="B249" s="40" t="s">
        <v>583</v>
      </c>
      <c r="C249" s="11">
        <f>ROUND((IFERROR((1/IF(VLOOKUP($A249,EnrollData2324,28,FALSE)='District Calculations'!$F$10,VLOOKUP($A249,EnrollData2324,28,FALSE),'District Calculations'!$F$10))*(1+Apport_Z315),0))+Apport_201A2425,6)</f>
        <v>7.4580999999999995E-2</v>
      </c>
      <c r="D249">
        <f>ROUND(IF(VLOOKUP($A249,EnrollData2324,'2324 Jun 24 Enroll'!D$1,FALSE)='District Calculations'!$F$11,VLOOKUP($A249,EnrollData2324,'2324 Jun 24 Enroll'!D$1,FALSE),'District Calculations'!$F$11)*C249,3)</f>
        <v>0</v>
      </c>
      <c r="E249">
        <f>ROUND(IF(VLOOKUP($A249,EnrollData2324,'2324 Jun 24 Enroll'!E$1,FALSE)='District Calculations'!$F$12,VLOOKUP($A249,EnrollData2324,'2324 Jun 24 Enroll'!E$1,FALSE),'District Calculations'!$F$12)*C249,3)</f>
        <v>60.447000000000003</v>
      </c>
      <c r="F249">
        <f>ROUND(IF(VLOOKUP($A249,EnrollData2324,'2324 Jun 24 Enroll'!F$1,FALSE)='District Calculations'!$F$13,VLOOKUP($A249,EnrollData2324,'2324 Jun 24 Enroll'!F$1,FALSE),'District Calculations'!$F$13)*Apport_222A2425,3)</f>
        <v>10.337999999999999</v>
      </c>
      <c r="G249">
        <f>ROUND(IF(VLOOKUP($A249,EnrollData2324,'2324 Jun 24 Enroll'!G$1,FALSE)='District Calculations'!$F$14,VLOOKUP($A249,EnrollData2324,'2324 Jun 24 Enroll'!G$1,FALSE),'District Calculations'!$F$14)*Apport_210A2425,3)</f>
        <v>22.92</v>
      </c>
      <c r="H249">
        <f>ROUND(IF(VLOOKUP($A249,EnrollData2324,'2324 Jun 24 Enroll'!H$1,FALSE)='District Calculations'!$F$15,VLOOKUP($A249,EnrollData2324,'2324 Jun 24 Enroll'!H$1,FALSE),'District Calculations'!$F$15)*Apport_213A2425,3)</f>
        <v>23.619</v>
      </c>
      <c r="I249">
        <f>ROUND(IF(VLOOKUP($A249,EnrollData2324,'2324 Jun 24 Enroll'!I$1,FALSE)+VLOOKUP($A249,EnrollData2324,'2324 Jun 24 Enroll'!M$1,FALSE)-VLOOKUP($A249,EnrollData2324,'2324 Jun 24 Enroll'!J$1,FALSE)='District Calculations'!$F$16+'District Calculations'!$F$25-'District Calculations'!$F$17,VLOOKUP($A249,EnrollData2324,'2324 Jun 24 Enroll'!I$1,FALSE)+VLOOKUP($A249,EnrollData2324,'2324 Jun 24 Enroll'!M$1,FALSE)-VLOOKUP($A249,EnrollData2324,'2324 Jun 24 Enroll'!J$1,FALSE),'District Calculations'!$F$16+'District Calculations'!$F$25-'District Calculations'!$F$17)*Apport_216A2425,3)</f>
        <v>59.057000000000002</v>
      </c>
      <c r="J249">
        <f>ROUND(SUM(D249:I249)/(IF(VLOOKUP($A249,EnrollData2324,'2324 Jun 24 Enroll'!M$1,FALSE)='District Calculations'!$F$25,VLOOKUP($A249,EnrollData2324,'2324 Jun 24 Enroll'!M$1,FALSE),'District Calculations'!$F$25)+IF(VLOOKUP($A249,EnrollData2324,'2324 Jun 24 Enroll'!D$1,FALSE)='District Calculations'!$F$11,VLOOKUP($A249,EnrollData2324,'2324 Jun 24 Enroll'!D$1,FALSE),'District Calculations'!$F$11)),5)</f>
        <v>5.6520000000000001E-2</v>
      </c>
      <c r="K249" s="11">
        <f t="shared" si="50"/>
        <v>4.385E-3</v>
      </c>
      <c r="L249">
        <f>ROUND(IF(VLOOKUP($A249,EnrollData2324,'2324 Jun 24 Enroll'!D$1,FALSE)='District Calculations'!$F$11,VLOOKUP($A249,EnrollData2324,'2324 Jun 24 Enroll'!D$1,FALSE),'District Calculations'!$F$11)*K249,3)</f>
        <v>0</v>
      </c>
      <c r="M249">
        <f>ROUND(IF(VLOOKUP($A249,EnrollData2324,'2324 Jun 24 Enroll'!E$1,FALSE)='District Calculations'!$F$12,VLOOKUP($A249,EnrollData2324,'2324 Jun 24 Enroll'!E$1,FALSE),'District Calculations'!$F$12)*K249,3)</f>
        <v>3.5539999999999998</v>
      </c>
      <c r="N249">
        <f>ROUND(IF(VLOOKUP($A249,EnrollData2324,'2324 Jun 24 Enroll'!F$1,FALSE)='District Calculations'!$F$13,VLOOKUP($A249,EnrollData2324,'2324 Jun 24 Enroll'!F$1,FALSE),'District Calculations'!$F$13)*Apport_223A2425,3)</f>
        <v>0.84599999999999997</v>
      </c>
      <c r="O249">
        <f>ROUND(IF(VLOOKUP($A249,EnrollData2324,'2324 Jun 24 Enroll'!G$1,FALSE)='District Calculations'!$F$14,VLOOKUP($A249,EnrollData2324,'2324 Jun 24 Enroll'!G$1,FALSE),'District Calculations'!$F$14)*Apport_211A2425,3)</f>
        <v>1.877</v>
      </c>
      <c r="P249">
        <f>ROUND(IF(VLOOKUP($A249,EnrollData2324,'2324 Jun 24 Enroll'!H$1,FALSE)='District Calculations'!$F$14,VLOOKUP($A249,EnrollData2324,'2324 Jun 24 Enroll'!H$1,FALSE),'District Calculations'!$F$14)*Apport_214A2425,3)</f>
        <v>1.875</v>
      </c>
      <c r="Q249">
        <f>ROUND(IF(VLOOKUP($A249,EnrollData2324,'2324 Jun 24 Enroll'!I$1,FALSE)+VLOOKUP($A249,EnrollData2324,'2324 Jun 24 Enroll'!M$1,FALSE)-VLOOKUP($A249,EnrollData2324,'2324 Jun 24 Enroll'!J$1,FALSE)='District Calculations'!$F$16+'District Calculations'!$F$25-'District Calculations'!$F$17,VLOOKUP($A249,EnrollData2324,'2324 Jun 24 Enroll'!I$1,FALSE)+VLOOKUP($A249,EnrollData2324,'2324 Jun 24 Enroll'!M$1,FALSE)-VLOOKUP($A249,EnrollData2324,'2324 Jun 24 Enroll'!J$1,FALSE),'District Calculations'!$F$16+'District Calculations'!$F$25-'District Calculations'!$F$17)*Apport_217A2425,3)</f>
        <v>4.7130000000000001</v>
      </c>
      <c r="R249">
        <f>ROUND(SUM(L249:Q249)/IF(VLOOKUP($A249,EnrollData2324,'2324 Jun 24 Enroll'!M$1,FALSE)+VLOOKUP($A249,EnrollData2324,'2324 Jun 24 Enroll'!D$1,FALSE)='District Calculations'!$F$25+'District Calculations'!$F$11,VLOOKUP($A249,EnrollData2324,'2324 Jun 24 Enroll'!M$1,FALSE)+VLOOKUP($A249,EnrollData2324,'2324 Jun 24 Enroll'!D$1,FALSE),'District Calculations'!$F$25+'District Calculations'!$F$11),5)</f>
        <v>4.1200000000000004E-3</v>
      </c>
      <c r="S249" s="11">
        <f t="shared" si="51"/>
        <v>1.8734299999999999E-2</v>
      </c>
      <c r="T249">
        <f>ROUND(IF(VLOOKUP($A249,EnrollData2324,'2324 Jun 24 Enroll'!D$1,FALSE)='District Calculations'!$F$11,VLOOKUP($A249,EnrollData2324,'2324 Jun 24 Enroll'!D$1,FALSE),'District Calculations'!$F$11)*S249,3)</f>
        <v>0</v>
      </c>
      <c r="U249">
        <f>ROUND(IF(VLOOKUP($A249,EnrollData2324,'2324 Jun 24 Enroll'!E$1,FALSE)='District Calculations'!$F$12,VLOOKUP($A249,EnrollData2324,'2324 Jun 24 Enroll'!E$1,FALSE),'District Calculations'!$F$12)*S249,3)</f>
        <v>15.183999999999999</v>
      </c>
      <c r="V249">
        <f>ROUND(IF(VLOOKUP($A249,EnrollData2324,'2324 Jun 24 Enroll'!F$1,FALSE)='District Calculations'!$F$13,VLOOKUP($A249,EnrollData2324,'2324 Jun 24 Enroll'!F$1,FALSE),'District Calculations'!$F$13)*Apport_224A2425,3)</f>
        <v>3.7109999999999999</v>
      </c>
      <c r="W249">
        <f>ROUND(IF(VLOOKUP($A249,EnrollData2324,'2324 Jun 24 Enroll'!G$1,FALSE)='District Calculations'!$F$14,VLOOKUP($A249,EnrollData2324,'2324 Jun 24 Enroll'!G$1,FALSE),'District Calculations'!$F$14)*Apport_212A2425,3)</f>
        <v>8.2279999999999998</v>
      </c>
      <c r="X249">
        <f>ROUND(IF(VLOOKUP($A249,EnrollData2324,'2324 Jun 24 Enroll'!H$1,FALSE)='District Calculations'!$F$14,VLOOKUP($A249,EnrollData2324,'2324 Jun 24 Enroll'!H$1,FALSE),'District Calculations'!$F$14)*Apport_215A2425,3)</f>
        <v>8.1180000000000003</v>
      </c>
      <c r="Y249">
        <f>ROUND(IF(VLOOKUP($A249,EnrollData2324,'2324 Jun 24 Enroll'!I$1,FALSE)+VLOOKUP($A249,EnrollData2324,'2324 Jun 24 Enroll'!M$1,FALSE)-VLOOKUP($A249,EnrollData2324,'2324 Jun 24 Enroll'!J$1,FALSE)='District Calculations'!$F$16+'District Calculations'!$F$25-'District Calculations'!$F$17,VLOOKUP($A249,EnrollData2324,'2324 Jun 24 Enroll'!I$1,FALSE)+VLOOKUP($A249,EnrollData2324,'2324 Jun 24 Enroll'!M$1,FALSE)-VLOOKUP($A249,EnrollData2324,'2324 Jun 24 Enroll'!J$1,FALSE),'District Calculations'!$F$16+'District Calculations'!$F$25-'District Calculations'!$F$17)*Apport_218A2425,3)</f>
        <v>20.257999999999999</v>
      </c>
      <c r="Z249">
        <f>ROUND(SUM(T249:Y249)/IF(VLOOKUP($A249,EnrollData2324,'2324 Jun 24 Enroll'!M$1,FALSE)+VLOOKUP($A249,EnrollData2324,'2324 Jun 24 Enroll'!D$1,FALSE)='District Calculations'!$F$25+'District Calculations'!$F$11,VLOOKUP($A249,EnrollData2324,'2324 Jun 24 Enroll'!M$1,FALSE)+VLOOKUP($A249,EnrollData2324,'2324 Jun 24 Enroll'!D$1,FALSE),'District Calculations'!$F$25+'District Calculations'!$F$11),5)</f>
        <v>1.7780000000000001E-2</v>
      </c>
      <c r="AA249" s="6">
        <f>ROUND($J249*CIS_Base_Salary2425*VLOOKUP($A249,EnrollData2324,'2324 Jun 24 Enroll'!AH$1,FALSE),2)</f>
        <v>4262.68</v>
      </c>
      <c r="AB249" s="6">
        <f>ROUND($J249*CIS_Inc_Salary2425*(VLOOKUP($A249,EnrollData2324,'2324 Jun 24 Enroll'!AI$1,FALSE)+VLOOKUP($A249,EnrollData2324,'2324 Jun 24 Enroll'!AJ$1,FALSE)),2)-AA249</f>
        <v>334.50999999999931</v>
      </c>
      <c r="AC249" s="6" cm="1">
        <f t="array" ref="AC249">ROUND($R249*CAS_Base_Salary2425*VLOOKUP($A249,EnrollData2324,'2324 Jun 24 Enroll'!AH$1,FALSE),2)</f>
        <v>461.23</v>
      </c>
      <c r="AD249" s="6">
        <f>ROUND($R249*CAS_Inc_Salary2425*VLOOKUP($A249,EnrollData2324,'2324 Jun 24 Enroll'!AI$1,FALSE),2)-AC249</f>
        <v>17.069999999999993</v>
      </c>
      <c r="AE249" s="6">
        <f>ROUND($Z249*CLS_Base_Salary2425*VLOOKUP($A249,EnrollData2324,'2324 Jun 24 Enroll'!AH$1,FALSE),2)</f>
        <v>961.95</v>
      </c>
      <c r="AF249" s="6">
        <f>ROUND($Z249*CLS_Inc_Salary2425*VLOOKUP($A249,EnrollData2324,'2324 Jun 24 Enroll'!AI$1,FALSE),2)-AE249</f>
        <v>35.599999999999909</v>
      </c>
      <c r="AG249" cm="1">
        <f t="array" ref="AG249">ROUND(($J249+$R249)*Apport_124X2425,2)</f>
        <v>800.45</v>
      </c>
      <c r="AH249" s="69" cm="1">
        <f t="array" ref="AH249">ROUND(($J249+$R249)*Apport_621X2425*Apport_125XC2425,2)-AG249</f>
        <v>73.899999999999977</v>
      </c>
      <c r="AI249" cm="1">
        <f t="array" ref="AI249">ROUND($Z249*Apport_124X2425,2)</f>
        <v>234.7</v>
      </c>
      <c r="AJ249">
        <f t="shared" si="52"/>
        <v>124.71000000000004</v>
      </c>
      <c r="AK249">
        <f t="shared" si="53"/>
        <v>857.39</v>
      </c>
      <c r="AL249">
        <f t="shared" si="54"/>
        <v>61.56</v>
      </c>
      <c r="AM249">
        <f t="shared" si="55"/>
        <v>208.36</v>
      </c>
      <c r="AN249">
        <f t="shared" si="56"/>
        <v>6.46</v>
      </c>
      <c r="AO249">
        <f>ROUND(($J249*CIS_Inc_Salary2425*(VLOOKUP($A249,EnrollData2324,'2324 Jun 24 Enroll'!AI$1,FALSE)+VLOOKUP($A249,EnrollData2324,'2324 Jun 24 Enroll'!AJ$1,FALSE))/Apport_613Xpd)*Apport_614Xpd,2)</f>
        <v>76.62</v>
      </c>
      <c r="AP249">
        <f t="shared" si="57"/>
        <v>13.42</v>
      </c>
      <c r="AQ249">
        <f t="shared" si="58"/>
        <v>31.48</v>
      </c>
      <c r="AR249" s="6">
        <f>ROUND((VLOOKUP($A249,EnrollData2324,'2324 Jun 24 Enroll'!D$1,FALSE)*Apport_M802425+VLOOKUP($A249,EnrollData2324,'2324 Jun 24 Enroll'!M$1,FALSE)*Apport_M802425+(VLOOKUP($A249,EnrollData2324,'2324 Jun 24 Enroll'!P$1,FALSE)+VLOOKUP($A249,EnrollData2324,'2324 Jun 24 Enroll'!Q$1,FALSE)+VLOOKUP($A249,EnrollData2324,'2324 Jun 24 Enroll'!R$1,FALSE)+VLOOKUP($A249,EnrollData2324,'2324 Jun 24 Enroll'!I$1,FALSE)+VLOOKUP($A249,EnrollData2324,'2324 Jun 24 Enroll'!N$1,FALSE)+VLOOKUP($A249,EnrollData2324,'2324 Jun 24 Enroll'!O$1,FALSE)+VLOOKUP($A249,EnrollData2324,'2324 Jun 24 Enroll'!K$1,FALSE)+VLOOKUP($A249,EnrollData2324,'2324 Jun 24 Enroll'!L$1,FALSE))*Apport_M812425)/(VLOOKUP($A249,EnrollData2324,'2324 Jun 24 Enroll'!M$1,FALSE)+VLOOKUP($A249,EnrollData2324,'2324 Jun 24 Enroll'!D$1,FALSE)),2)</f>
        <v>1610.23</v>
      </c>
      <c r="AS249" s="7">
        <f t="shared" si="59"/>
        <v>10172.319999999998</v>
      </c>
    </row>
    <row r="250" spans="1:45">
      <c r="A250" s="40" t="s">
        <v>372</v>
      </c>
      <c r="B250" s="40" t="s">
        <v>373</v>
      </c>
      <c r="C250" s="11">
        <f>ROUND((IFERROR((1/IF(VLOOKUP($A250,EnrollData2324,28,FALSE)='District Calculations'!$F$10,VLOOKUP($A250,EnrollData2324,28,FALSE),'District Calculations'!$F$10))*(1+Apport_Z315),0))+Apport_201A2425,6)</f>
        <v>7.4580999999999995E-2</v>
      </c>
      <c r="D250">
        <f>ROUND(IF(VLOOKUP($A250,EnrollData2324,'2324 Jun 24 Enroll'!D$1,FALSE)='District Calculations'!$F$11,VLOOKUP($A250,EnrollData2324,'2324 Jun 24 Enroll'!D$1,FALSE),'District Calculations'!$F$11)*C250,3)</f>
        <v>0</v>
      </c>
      <c r="E250">
        <f>ROUND(IF(VLOOKUP($A250,EnrollData2324,'2324 Jun 24 Enroll'!E$1,FALSE)='District Calculations'!$F$12,VLOOKUP($A250,EnrollData2324,'2324 Jun 24 Enroll'!E$1,FALSE),'District Calculations'!$F$12)*C250,3)</f>
        <v>60.447000000000003</v>
      </c>
      <c r="F250">
        <f>ROUND(IF(VLOOKUP($A250,EnrollData2324,'2324 Jun 24 Enroll'!F$1,FALSE)='District Calculations'!$F$13,VLOOKUP($A250,EnrollData2324,'2324 Jun 24 Enroll'!F$1,FALSE),'District Calculations'!$F$13)*Apport_222A2425,3)</f>
        <v>10.337999999999999</v>
      </c>
      <c r="G250">
        <f>ROUND(IF(VLOOKUP($A250,EnrollData2324,'2324 Jun 24 Enroll'!G$1,FALSE)='District Calculations'!$F$14,VLOOKUP($A250,EnrollData2324,'2324 Jun 24 Enroll'!G$1,FALSE),'District Calculations'!$F$14)*Apport_210A2425,3)</f>
        <v>22.92</v>
      </c>
      <c r="H250">
        <f>ROUND(IF(VLOOKUP($A250,EnrollData2324,'2324 Jun 24 Enroll'!H$1,FALSE)='District Calculations'!$F$15,VLOOKUP($A250,EnrollData2324,'2324 Jun 24 Enroll'!H$1,FALSE),'District Calculations'!$F$15)*Apport_213A2425,3)</f>
        <v>23.619</v>
      </c>
      <c r="I250">
        <f>ROUND(IF(VLOOKUP($A250,EnrollData2324,'2324 Jun 24 Enroll'!I$1,FALSE)+VLOOKUP($A250,EnrollData2324,'2324 Jun 24 Enroll'!M$1,FALSE)-VLOOKUP($A250,EnrollData2324,'2324 Jun 24 Enroll'!J$1,FALSE)='District Calculations'!$F$16+'District Calculations'!$F$25-'District Calculations'!$F$17,VLOOKUP($A250,EnrollData2324,'2324 Jun 24 Enroll'!I$1,FALSE)+VLOOKUP($A250,EnrollData2324,'2324 Jun 24 Enroll'!M$1,FALSE)-VLOOKUP($A250,EnrollData2324,'2324 Jun 24 Enroll'!J$1,FALSE),'District Calculations'!$F$16+'District Calculations'!$F$25-'District Calculations'!$F$17)*Apport_216A2425,3)</f>
        <v>59.057000000000002</v>
      </c>
      <c r="J250">
        <f>ROUND(SUM(D250:I250)/(IF(VLOOKUP($A250,EnrollData2324,'2324 Jun 24 Enroll'!M$1,FALSE)='District Calculations'!$F$25,VLOOKUP($A250,EnrollData2324,'2324 Jun 24 Enroll'!M$1,FALSE),'District Calculations'!$F$25)+IF(VLOOKUP($A250,EnrollData2324,'2324 Jun 24 Enroll'!D$1,FALSE)='District Calculations'!$F$11,VLOOKUP($A250,EnrollData2324,'2324 Jun 24 Enroll'!D$1,FALSE),'District Calculations'!$F$11)),5)</f>
        <v>5.6520000000000001E-2</v>
      </c>
      <c r="K250" s="11">
        <f t="shared" si="50"/>
        <v>4.385E-3</v>
      </c>
      <c r="L250">
        <f>ROUND(IF(VLOOKUP($A250,EnrollData2324,'2324 Jun 24 Enroll'!D$1,FALSE)='District Calculations'!$F$11,VLOOKUP($A250,EnrollData2324,'2324 Jun 24 Enroll'!D$1,FALSE),'District Calculations'!$F$11)*K250,3)</f>
        <v>0</v>
      </c>
      <c r="M250">
        <f>ROUND(IF(VLOOKUP($A250,EnrollData2324,'2324 Jun 24 Enroll'!E$1,FALSE)='District Calculations'!$F$12,VLOOKUP($A250,EnrollData2324,'2324 Jun 24 Enroll'!E$1,FALSE),'District Calculations'!$F$12)*K250,3)</f>
        <v>3.5539999999999998</v>
      </c>
      <c r="N250">
        <f>ROUND(IF(VLOOKUP($A250,EnrollData2324,'2324 Jun 24 Enroll'!F$1,FALSE)='District Calculations'!$F$13,VLOOKUP($A250,EnrollData2324,'2324 Jun 24 Enroll'!F$1,FALSE),'District Calculations'!$F$13)*Apport_223A2425,3)</f>
        <v>0.84599999999999997</v>
      </c>
      <c r="O250">
        <f>ROUND(IF(VLOOKUP($A250,EnrollData2324,'2324 Jun 24 Enroll'!G$1,FALSE)='District Calculations'!$F$14,VLOOKUP($A250,EnrollData2324,'2324 Jun 24 Enroll'!G$1,FALSE),'District Calculations'!$F$14)*Apport_211A2425,3)</f>
        <v>1.877</v>
      </c>
      <c r="P250">
        <f>ROUND(IF(VLOOKUP($A250,EnrollData2324,'2324 Jun 24 Enroll'!H$1,FALSE)='District Calculations'!$F$14,VLOOKUP($A250,EnrollData2324,'2324 Jun 24 Enroll'!H$1,FALSE),'District Calculations'!$F$14)*Apport_214A2425,3)</f>
        <v>1.875</v>
      </c>
      <c r="Q250">
        <f>ROUND(IF(VLOOKUP($A250,EnrollData2324,'2324 Jun 24 Enroll'!I$1,FALSE)+VLOOKUP($A250,EnrollData2324,'2324 Jun 24 Enroll'!M$1,FALSE)-VLOOKUP($A250,EnrollData2324,'2324 Jun 24 Enroll'!J$1,FALSE)='District Calculations'!$F$16+'District Calculations'!$F$25-'District Calculations'!$F$17,VLOOKUP($A250,EnrollData2324,'2324 Jun 24 Enroll'!I$1,FALSE)+VLOOKUP($A250,EnrollData2324,'2324 Jun 24 Enroll'!M$1,FALSE)-VLOOKUP($A250,EnrollData2324,'2324 Jun 24 Enroll'!J$1,FALSE),'District Calculations'!$F$16+'District Calculations'!$F$25-'District Calculations'!$F$17)*Apport_217A2425,3)</f>
        <v>4.7130000000000001</v>
      </c>
      <c r="R250">
        <f>ROUND(SUM(L250:Q250)/IF(VLOOKUP($A250,EnrollData2324,'2324 Jun 24 Enroll'!M$1,FALSE)+VLOOKUP($A250,EnrollData2324,'2324 Jun 24 Enroll'!D$1,FALSE)='District Calculations'!$F$25+'District Calculations'!$F$11,VLOOKUP($A250,EnrollData2324,'2324 Jun 24 Enroll'!M$1,FALSE)+VLOOKUP($A250,EnrollData2324,'2324 Jun 24 Enroll'!D$1,FALSE),'District Calculations'!$F$25+'District Calculations'!$F$11),5)</f>
        <v>4.1200000000000004E-3</v>
      </c>
      <c r="S250" s="11">
        <f t="shared" si="51"/>
        <v>1.8734299999999999E-2</v>
      </c>
      <c r="T250">
        <f>ROUND(IF(VLOOKUP($A250,EnrollData2324,'2324 Jun 24 Enroll'!D$1,FALSE)='District Calculations'!$F$11,VLOOKUP($A250,EnrollData2324,'2324 Jun 24 Enroll'!D$1,FALSE),'District Calculations'!$F$11)*S250,3)</f>
        <v>0</v>
      </c>
      <c r="U250">
        <f>ROUND(IF(VLOOKUP($A250,EnrollData2324,'2324 Jun 24 Enroll'!E$1,FALSE)='District Calculations'!$F$12,VLOOKUP($A250,EnrollData2324,'2324 Jun 24 Enroll'!E$1,FALSE),'District Calculations'!$F$12)*S250,3)</f>
        <v>15.183999999999999</v>
      </c>
      <c r="V250">
        <f>ROUND(IF(VLOOKUP($A250,EnrollData2324,'2324 Jun 24 Enroll'!F$1,FALSE)='District Calculations'!$F$13,VLOOKUP($A250,EnrollData2324,'2324 Jun 24 Enroll'!F$1,FALSE),'District Calculations'!$F$13)*Apport_224A2425,3)</f>
        <v>3.7109999999999999</v>
      </c>
      <c r="W250">
        <f>ROUND(IF(VLOOKUP($A250,EnrollData2324,'2324 Jun 24 Enroll'!G$1,FALSE)='District Calculations'!$F$14,VLOOKUP($A250,EnrollData2324,'2324 Jun 24 Enroll'!G$1,FALSE),'District Calculations'!$F$14)*Apport_212A2425,3)</f>
        <v>8.2279999999999998</v>
      </c>
      <c r="X250">
        <f>ROUND(IF(VLOOKUP($A250,EnrollData2324,'2324 Jun 24 Enroll'!H$1,FALSE)='District Calculations'!$F$14,VLOOKUP($A250,EnrollData2324,'2324 Jun 24 Enroll'!H$1,FALSE),'District Calculations'!$F$14)*Apport_215A2425,3)</f>
        <v>8.1180000000000003</v>
      </c>
      <c r="Y250">
        <f>ROUND(IF(VLOOKUP($A250,EnrollData2324,'2324 Jun 24 Enroll'!I$1,FALSE)+VLOOKUP($A250,EnrollData2324,'2324 Jun 24 Enroll'!M$1,FALSE)-VLOOKUP($A250,EnrollData2324,'2324 Jun 24 Enroll'!J$1,FALSE)='District Calculations'!$F$16+'District Calculations'!$F$25-'District Calculations'!$F$17,VLOOKUP($A250,EnrollData2324,'2324 Jun 24 Enroll'!I$1,FALSE)+VLOOKUP($A250,EnrollData2324,'2324 Jun 24 Enroll'!M$1,FALSE)-VLOOKUP($A250,EnrollData2324,'2324 Jun 24 Enroll'!J$1,FALSE),'District Calculations'!$F$16+'District Calculations'!$F$25-'District Calculations'!$F$17)*Apport_218A2425,3)</f>
        <v>20.257999999999999</v>
      </c>
      <c r="Z250">
        <f>ROUND(SUM(T250:Y250)/IF(VLOOKUP($A250,EnrollData2324,'2324 Jun 24 Enroll'!M$1,FALSE)+VLOOKUP($A250,EnrollData2324,'2324 Jun 24 Enroll'!D$1,FALSE)='District Calculations'!$F$25+'District Calculations'!$F$11,VLOOKUP($A250,EnrollData2324,'2324 Jun 24 Enroll'!M$1,FALSE)+VLOOKUP($A250,EnrollData2324,'2324 Jun 24 Enroll'!D$1,FALSE),'District Calculations'!$F$25+'District Calculations'!$F$11),5)</f>
        <v>1.7780000000000001E-2</v>
      </c>
      <c r="AA250" s="6">
        <f>ROUND($J250*CIS_Base_Salary2425*VLOOKUP($A250,EnrollData2324,'2324 Jun 24 Enroll'!AH$1,FALSE),2)</f>
        <v>4262.68</v>
      </c>
      <c r="AB250" s="6">
        <f>ROUND($J250*CIS_Inc_Salary2425*(VLOOKUP($A250,EnrollData2324,'2324 Jun 24 Enroll'!AI$1,FALSE)+VLOOKUP($A250,EnrollData2324,'2324 Jun 24 Enroll'!AJ$1,FALSE)),2)-AA250</f>
        <v>334.50999999999931</v>
      </c>
      <c r="AC250" s="6" cm="1">
        <f t="array" ref="AC250">ROUND($R250*CAS_Base_Salary2425*VLOOKUP($A250,EnrollData2324,'2324 Jun 24 Enroll'!AH$1,FALSE),2)</f>
        <v>461.23</v>
      </c>
      <c r="AD250" s="6">
        <f>ROUND($R250*CAS_Inc_Salary2425*VLOOKUP($A250,EnrollData2324,'2324 Jun 24 Enroll'!AI$1,FALSE),2)-AC250</f>
        <v>17.069999999999993</v>
      </c>
      <c r="AE250" s="6">
        <f>ROUND($Z250*CLS_Base_Salary2425*VLOOKUP($A250,EnrollData2324,'2324 Jun 24 Enroll'!AH$1,FALSE),2)</f>
        <v>961.95</v>
      </c>
      <c r="AF250" s="6">
        <f>ROUND($Z250*CLS_Inc_Salary2425*VLOOKUP($A250,EnrollData2324,'2324 Jun 24 Enroll'!AI$1,FALSE),2)-AE250</f>
        <v>35.599999999999909</v>
      </c>
      <c r="AG250" cm="1">
        <f t="array" ref="AG250">ROUND(($J250+$R250)*Apport_124X2425,2)</f>
        <v>800.45</v>
      </c>
      <c r="AH250" s="69" cm="1">
        <f t="array" ref="AH250">ROUND(($J250+$R250)*Apport_621X2425*Apport_125XC2425,2)-AG250</f>
        <v>73.899999999999977</v>
      </c>
      <c r="AI250" cm="1">
        <f t="array" ref="AI250">ROUND($Z250*Apport_124X2425,2)</f>
        <v>234.7</v>
      </c>
      <c r="AJ250">
        <f t="shared" si="52"/>
        <v>124.71000000000004</v>
      </c>
      <c r="AK250">
        <f t="shared" si="53"/>
        <v>857.39</v>
      </c>
      <c r="AL250">
        <f t="shared" si="54"/>
        <v>61.56</v>
      </c>
      <c r="AM250">
        <f t="shared" si="55"/>
        <v>208.36</v>
      </c>
      <c r="AN250">
        <f t="shared" si="56"/>
        <v>6.46</v>
      </c>
      <c r="AO250">
        <f>ROUND(($J250*CIS_Inc_Salary2425*(VLOOKUP($A250,EnrollData2324,'2324 Jun 24 Enroll'!AI$1,FALSE)+VLOOKUP($A250,EnrollData2324,'2324 Jun 24 Enroll'!AJ$1,FALSE))/Apport_613Xpd)*Apport_614Xpd,2)</f>
        <v>76.62</v>
      </c>
      <c r="AP250">
        <f t="shared" si="57"/>
        <v>13.42</v>
      </c>
      <c r="AQ250">
        <f t="shared" si="58"/>
        <v>31.48</v>
      </c>
      <c r="AR250" s="6">
        <f>ROUND((VLOOKUP($A250,EnrollData2324,'2324 Jun 24 Enroll'!D$1,FALSE)*Apport_M802425+VLOOKUP($A250,EnrollData2324,'2324 Jun 24 Enroll'!M$1,FALSE)*Apport_M802425+(VLOOKUP($A250,EnrollData2324,'2324 Jun 24 Enroll'!P$1,FALSE)+VLOOKUP($A250,EnrollData2324,'2324 Jun 24 Enroll'!Q$1,FALSE)+VLOOKUP($A250,EnrollData2324,'2324 Jun 24 Enroll'!R$1,FALSE)+VLOOKUP($A250,EnrollData2324,'2324 Jun 24 Enroll'!I$1,FALSE)+VLOOKUP($A250,EnrollData2324,'2324 Jun 24 Enroll'!N$1,FALSE)+VLOOKUP($A250,EnrollData2324,'2324 Jun 24 Enroll'!O$1,FALSE)+VLOOKUP($A250,EnrollData2324,'2324 Jun 24 Enroll'!K$1,FALSE)+VLOOKUP($A250,EnrollData2324,'2324 Jun 24 Enroll'!L$1,FALSE))*Apport_M812425)/(VLOOKUP($A250,EnrollData2324,'2324 Jun 24 Enroll'!M$1,FALSE)+VLOOKUP($A250,EnrollData2324,'2324 Jun 24 Enroll'!D$1,FALSE)),2)</f>
        <v>1600.95</v>
      </c>
      <c r="AS250" s="7">
        <f t="shared" si="59"/>
        <v>10163.039999999999</v>
      </c>
    </row>
    <row r="251" spans="1:45">
      <c r="A251" s="40" t="s">
        <v>474</v>
      </c>
      <c r="B251" s="40" t="s">
        <v>475</v>
      </c>
      <c r="C251" s="11">
        <f>ROUND((IFERROR((1/IF(VLOOKUP($A251,EnrollData2324,28,FALSE)='District Calculations'!$F$10,VLOOKUP($A251,EnrollData2324,28,FALSE),'District Calculations'!$F$10))*(1+Apport_Z315),0))+Apport_201A2425,6)</f>
        <v>7.4580999999999995E-2</v>
      </c>
      <c r="D251">
        <f>ROUND(IF(VLOOKUP($A251,EnrollData2324,'2324 Jun 24 Enroll'!D$1,FALSE)='District Calculations'!$F$11,VLOOKUP($A251,EnrollData2324,'2324 Jun 24 Enroll'!D$1,FALSE),'District Calculations'!$F$11)*C251,3)</f>
        <v>0</v>
      </c>
      <c r="E251">
        <f>ROUND(IF(VLOOKUP($A251,EnrollData2324,'2324 Jun 24 Enroll'!E$1,FALSE)='District Calculations'!$F$12,VLOOKUP($A251,EnrollData2324,'2324 Jun 24 Enroll'!E$1,FALSE),'District Calculations'!$F$12)*C251,3)</f>
        <v>60.447000000000003</v>
      </c>
      <c r="F251">
        <f>ROUND(IF(VLOOKUP($A251,EnrollData2324,'2324 Jun 24 Enroll'!F$1,FALSE)='District Calculations'!$F$13,VLOOKUP($A251,EnrollData2324,'2324 Jun 24 Enroll'!F$1,FALSE),'District Calculations'!$F$13)*Apport_222A2425,3)</f>
        <v>10.337999999999999</v>
      </c>
      <c r="G251">
        <f>ROUND(IF(VLOOKUP($A251,EnrollData2324,'2324 Jun 24 Enroll'!G$1,FALSE)='District Calculations'!$F$14,VLOOKUP($A251,EnrollData2324,'2324 Jun 24 Enroll'!G$1,FALSE),'District Calculations'!$F$14)*Apport_210A2425,3)</f>
        <v>22.92</v>
      </c>
      <c r="H251">
        <f>ROUND(IF(VLOOKUP($A251,EnrollData2324,'2324 Jun 24 Enroll'!H$1,FALSE)='District Calculations'!$F$15,VLOOKUP($A251,EnrollData2324,'2324 Jun 24 Enroll'!H$1,FALSE),'District Calculations'!$F$15)*Apport_213A2425,3)</f>
        <v>23.619</v>
      </c>
      <c r="I251">
        <f>ROUND(IF(VLOOKUP($A251,EnrollData2324,'2324 Jun 24 Enroll'!I$1,FALSE)+VLOOKUP($A251,EnrollData2324,'2324 Jun 24 Enroll'!M$1,FALSE)-VLOOKUP($A251,EnrollData2324,'2324 Jun 24 Enroll'!J$1,FALSE)='District Calculations'!$F$16+'District Calculations'!$F$25-'District Calculations'!$F$17,VLOOKUP($A251,EnrollData2324,'2324 Jun 24 Enroll'!I$1,FALSE)+VLOOKUP($A251,EnrollData2324,'2324 Jun 24 Enroll'!M$1,FALSE)-VLOOKUP($A251,EnrollData2324,'2324 Jun 24 Enroll'!J$1,FALSE),'District Calculations'!$F$16+'District Calculations'!$F$25-'District Calculations'!$F$17)*Apport_216A2425,3)</f>
        <v>59.057000000000002</v>
      </c>
      <c r="J251">
        <f>ROUND(SUM(D251:I251)/(IF(VLOOKUP($A251,EnrollData2324,'2324 Jun 24 Enroll'!M$1,FALSE)='District Calculations'!$F$25,VLOOKUP($A251,EnrollData2324,'2324 Jun 24 Enroll'!M$1,FALSE),'District Calculations'!$F$25)+IF(VLOOKUP($A251,EnrollData2324,'2324 Jun 24 Enroll'!D$1,FALSE)='District Calculations'!$F$11,VLOOKUP($A251,EnrollData2324,'2324 Jun 24 Enroll'!D$1,FALSE),'District Calculations'!$F$11)),5)</f>
        <v>5.6520000000000001E-2</v>
      </c>
      <c r="K251" s="11">
        <f t="shared" si="50"/>
        <v>4.385E-3</v>
      </c>
      <c r="L251">
        <f>ROUND(IF(VLOOKUP($A251,EnrollData2324,'2324 Jun 24 Enroll'!D$1,FALSE)='District Calculations'!$F$11,VLOOKUP($A251,EnrollData2324,'2324 Jun 24 Enroll'!D$1,FALSE),'District Calculations'!$F$11)*K251,3)</f>
        <v>0</v>
      </c>
      <c r="M251">
        <f>ROUND(IF(VLOOKUP($A251,EnrollData2324,'2324 Jun 24 Enroll'!E$1,FALSE)='District Calculations'!$F$12,VLOOKUP($A251,EnrollData2324,'2324 Jun 24 Enroll'!E$1,FALSE),'District Calculations'!$F$12)*K251,3)</f>
        <v>3.5539999999999998</v>
      </c>
      <c r="N251">
        <f>ROUND(IF(VLOOKUP($A251,EnrollData2324,'2324 Jun 24 Enroll'!F$1,FALSE)='District Calculations'!$F$13,VLOOKUP($A251,EnrollData2324,'2324 Jun 24 Enroll'!F$1,FALSE),'District Calculations'!$F$13)*Apport_223A2425,3)</f>
        <v>0.84599999999999997</v>
      </c>
      <c r="O251">
        <f>ROUND(IF(VLOOKUP($A251,EnrollData2324,'2324 Jun 24 Enroll'!G$1,FALSE)='District Calculations'!$F$14,VLOOKUP($A251,EnrollData2324,'2324 Jun 24 Enroll'!G$1,FALSE),'District Calculations'!$F$14)*Apport_211A2425,3)</f>
        <v>1.877</v>
      </c>
      <c r="P251">
        <f>ROUND(IF(VLOOKUP($A251,EnrollData2324,'2324 Jun 24 Enroll'!H$1,FALSE)='District Calculations'!$F$14,VLOOKUP($A251,EnrollData2324,'2324 Jun 24 Enroll'!H$1,FALSE),'District Calculations'!$F$14)*Apport_214A2425,3)</f>
        <v>1.875</v>
      </c>
      <c r="Q251">
        <f>ROUND(IF(VLOOKUP($A251,EnrollData2324,'2324 Jun 24 Enroll'!I$1,FALSE)+VLOOKUP($A251,EnrollData2324,'2324 Jun 24 Enroll'!M$1,FALSE)-VLOOKUP($A251,EnrollData2324,'2324 Jun 24 Enroll'!J$1,FALSE)='District Calculations'!$F$16+'District Calculations'!$F$25-'District Calculations'!$F$17,VLOOKUP($A251,EnrollData2324,'2324 Jun 24 Enroll'!I$1,FALSE)+VLOOKUP($A251,EnrollData2324,'2324 Jun 24 Enroll'!M$1,FALSE)-VLOOKUP($A251,EnrollData2324,'2324 Jun 24 Enroll'!J$1,FALSE),'District Calculations'!$F$16+'District Calculations'!$F$25-'District Calculations'!$F$17)*Apport_217A2425,3)</f>
        <v>4.7130000000000001</v>
      </c>
      <c r="R251">
        <f>ROUND(SUM(L251:Q251)/IF(VLOOKUP($A251,EnrollData2324,'2324 Jun 24 Enroll'!M$1,FALSE)+VLOOKUP($A251,EnrollData2324,'2324 Jun 24 Enroll'!D$1,FALSE)='District Calculations'!$F$25+'District Calculations'!$F$11,VLOOKUP($A251,EnrollData2324,'2324 Jun 24 Enroll'!M$1,FALSE)+VLOOKUP($A251,EnrollData2324,'2324 Jun 24 Enroll'!D$1,FALSE),'District Calculations'!$F$25+'District Calculations'!$F$11),5)</f>
        <v>4.1200000000000004E-3</v>
      </c>
      <c r="S251" s="11">
        <f t="shared" si="51"/>
        <v>1.8734299999999999E-2</v>
      </c>
      <c r="T251">
        <f>ROUND(IF(VLOOKUP($A251,EnrollData2324,'2324 Jun 24 Enroll'!D$1,FALSE)='District Calculations'!$F$11,VLOOKUP($A251,EnrollData2324,'2324 Jun 24 Enroll'!D$1,FALSE),'District Calculations'!$F$11)*S251,3)</f>
        <v>0</v>
      </c>
      <c r="U251">
        <f>ROUND(IF(VLOOKUP($A251,EnrollData2324,'2324 Jun 24 Enroll'!E$1,FALSE)='District Calculations'!$F$12,VLOOKUP($A251,EnrollData2324,'2324 Jun 24 Enroll'!E$1,FALSE),'District Calculations'!$F$12)*S251,3)</f>
        <v>15.183999999999999</v>
      </c>
      <c r="V251">
        <f>ROUND(IF(VLOOKUP($A251,EnrollData2324,'2324 Jun 24 Enroll'!F$1,FALSE)='District Calculations'!$F$13,VLOOKUP($A251,EnrollData2324,'2324 Jun 24 Enroll'!F$1,FALSE),'District Calculations'!$F$13)*Apport_224A2425,3)</f>
        <v>3.7109999999999999</v>
      </c>
      <c r="W251">
        <f>ROUND(IF(VLOOKUP($A251,EnrollData2324,'2324 Jun 24 Enroll'!G$1,FALSE)='District Calculations'!$F$14,VLOOKUP($A251,EnrollData2324,'2324 Jun 24 Enroll'!G$1,FALSE),'District Calculations'!$F$14)*Apport_212A2425,3)</f>
        <v>8.2279999999999998</v>
      </c>
      <c r="X251">
        <f>ROUND(IF(VLOOKUP($A251,EnrollData2324,'2324 Jun 24 Enroll'!H$1,FALSE)='District Calculations'!$F$14,VLOOKUP($A251,EnrollData2324,'2324 Jun 24 Enroll'!H$1,FALSE),'District Calculations'!$F$14)*Apport_215A2425,3)</f>
        <v>8.1180000000000003</v>
      </c>
      <c r="Y251">
        <f>ROUND(IF(VLOOKUP($A251,EnrollData2324,'2324 Jun 24 Enroll'!I$1,FALSE)+VLOOKUP($A251,EnrollData2324,'2324 Jun 24 Enroll'!M$1,FALSE)-VLOOKUP($A251,EnrollData2324,'2324 Jun 24 Enroll'!J$1,FALSE)='District Calculations'!$F$16+'District Calculations'!$F$25-'District Calculations'!$F$17,VLOOKUP($A251,EnrollData2324,'2324 Jun 24 Enroll'!I$1,FALSE)+VLOOKUP($A251,EnrollData2324,'2324 Jun 24 Enroll'!M$1,FALSE)-VLOOKUP($A251,EnrollData2324,'2324 Jun 24 Enroll'!J$1,FALSE),'District Calculations'!$F$16+'District Calculations'!$F$25-'District Calculations'!$F$17)*Apport_218A2425,3)</f>
        <v>20.257999999999999</v>
      </c>
      <c r="Z251">
        <f>ROUND(SUM(T251:Y251)/IF(VLOOKUP($A251,EnrollData2324,'2324 Jun 24 Enroll'!M$1,FALSE)+VLOOKUP($A251,EnrollData2324,'2324 Jun 24 Enroll'!D$1,FALSE)='District Calculations'!$F$25+'District Calculations'!$F$11,VLOOKUP($A251,EnrollData2324,'2324 Jun 24 Enroll'!M$1,FALSE)+VLOOKUP($A251,EnrollData2324,'2324 Jun 24 Enroll'!D$1,FALSE),'District Calculations'!$F$25+'District Calculations'!$F$11),5)</f>
        <v>1.7780000000000001E-2</v>
      </c>
      <c r="AA251" s="6">
        <f>ROUND($J251*CIS_Base_Salary2425*VLOOKUP($A251,EnrollData2324,'2324 Jun 24 Enroll'!AH$1,FALSE),2)</f>
        <v>4262.68</v>
      </c>
      <c r="AB251" s="6">
        <f>ROUND($J251*CIS_Inc_Salary2425*(VLOOKUP($A251,EnrollData2324,'2324 Jun 24 Enroll'!AI$1,FALSE)+VLOOKUP($A251,EnrollData2324,'2324 Jun 24 Enroll'!AJ$1,FALSE)),2)-AA251</f>
        <v>334.50999999999931</v>
      </c>
      <c r="AC251" s="6" cm="1">
        <f t="array" ref="AC251">ROUND($R251*CAS_Base_Salary2425*VLOOKUP($A251,EnrollData2324,'2324 Jun 24 Enroll'!AH$1,FALSE),2)</f>
        <v>461.23</v>
      </c>
      <c r="AD251" s="6">
        <f>ROUND($R251*CAS_Inc_Salary2425*VLOOKUP($A251,EnrollData2324,'2324 Jun 24 Enroll'!AI$1,FALSE),2)-AC251</f>
        <v>17.069999999999993</v>
      </c>
      <c r="AE251" s="6">
        <f>ROUND($Z251*CLS_Base_Salary2425*VLOOKUP($A251,EnrollData2324,'2324 Jun 24 Enroll'!AH$1,FALSE),2)</f>
        <v>961.95</v>
      </c>
      <c r="AF251" s="6">
        <f>ROUND($Z251*CLS_Inc_Salary2425*VLOOKUP($A251,EnrollData2324,'2324 Jun 24 Enroll'!AI$1,FALSE),2)-AE251</f>
        <v>35.599999999999909</v>
      </c>
      <c r="AG251" cm="1">
        <f t="array" ref="AG251">ROUND(($J251+$R251)*Apport_124X2425,2)</f>
        <v>800.45</v>
      </c>
      <c r="AH251" s="69" cm="1">
        <f t="array" ref="AH251">ROUND(($J251+$R251)*Apport_621X2425*Apport_125XC2425,2)-AG251</f>
        <v>73.899999999999977</v>
      </c>
      <c r="AI251" cm="1">
        <f t="array" ref="AI251">ROUND($Z251*Apport_124X2425,2)</f>
        <v>234.7</v>
      </c>
      <c r="AJ251">
        <f t="shared" si="52"/>
        <v>124.71000000000004</v>
      </c>
      <c r="AK251">
        <f t="shared" si="53"/>
        <v>857.39</v>
      </c>
      <c r="AL251">
        <f t="shared" si="54"/>
        <v>61.56</v>
      </c>
      <c r="AM251">
        <f t="shared" si="55"/>
        <v>208.36</v>
      </c>
      <c r="AN251">
        <f t="shared" si="56"/>
        <v>6.46</v>
      </c>
      <c r="AO251">
        <f>ROUND(($J251*CIS_Inc_Salary2425*(VLOOKUP($A251,EnrollData2324,'2324 Jun 24 Enroll'!AI$1,FALSE)+VLOOKUP($A251,EnrollData2324,'2324 Jun 24 Enroll'!AJ$1,FALSE))/Apport_613Xpd)*Apport_614Xpd,2)</f>
        <v>76.62</v>
      </c>
      <c r="AP251">
        <f t="shared" si="57"/>
        <v>13.42</v>
      </c>
      <c r="AQ251">
        <f t="shared" si="58"/>
        <v>31.48</v>
      </c>
      <c r="AR251" s="6">
        <f>ROUND((VLOOKUP($A251,EnrollData2324,'2324 Jun 24 Enroll'!D$1,FALSE)*Apport_M802425+VLOOKUP($A251,EnrollData2324,'2324 Jun 24 Enroll'!M$1,FALSE)*Apport_M802425+(VLOOKUP($A251,EnrollData2324,'2324 Jun 24 Enroll'!P$1,FALSE)+VLOOKUP($A251,EnrollData2324,'2324 Jun 24 Enroll'!Q$1,FALSE)+VLOOKUP($A251,EnrollData2324,'2324 Jun 24 Enroll'!R$1,FALSE)+VLOOKUP($A251,EnrollData2324,'2324 Jun 24 Enroll'!I$1,FALSE)+VLOOKUP($A251,EnrollData2324,'2324 Jun 24 Enroll'!N$1,FALSE)+VLOOKUP($A251,EnrollData2324,'2324 Jun 24 Enroll'!O$1,FALSE)+VLOOKUP($A251,EnrollData2324,'2324 Jun 24 Enroll'!K$1,FALSE)+VLOOKUP($A251,EnrollData2324,'2324 Jun 24 Enroll'!L$1,FALSE))*Apport_M812425)/(VLOOKUP($A251,EnrollData2324,'2324 Jun 24 Enroll'!M$1,FALSE)+VLOOKUP($A251,EnrollData2324,'2324 Jun 24 Enroll'!D$1,FALSE)),2)</f>
        <v>1602.88</v>
      </c>
      <c r="AS251" s="7">
        <f t="shared" si="59"/>
        <v>10164.969999999998</v>
      </c>
    </row>
    <row r="252" spans="1:45">
      <c r="A252" s="40" t="s">
        <v>378</v>
      </c>
      <c r="B252" s="40" t="s">
        <v>379</v>
      </c>
      <c r="C252" s="11">
        <f>ROUND((IFERROR((1/IF(VLOOKUP($A252,EnrollData2324,28,FALSE)='District Calculations'!$F$10,VLOOKUP($A252,EnrollData2324,28,FALSE),'District Calculations'!$F$10))*(1+Apport_Z315),0))+Apport_201A2425,6)</f>
        <v>7.4580999999999995E-2</v>
      </c>
      <c r="D252">
        <f>ROUND(IF(VLOOKUP($A252,EnrollData2324,'2324 Jun 24 Enroll'!D$1,FALSE)='District Calculations'!$F$11,VLOOKUP($A252,EnrollData2324,'2324 Jun 24 Enroll'!D$1,FALSE),'District Calculations'!$F$11)*C252,3)</f>
        <v>0</v>
      </c>
      <c r="E252">
        <f>ROUND(IF(VLOOKUP($A252,EnrollData2324,'2324 Jun 24 Enroll'!E$1,FALSE)='District Calculations'!$F$12,VLOOKUP($A252,EnrollData2324,'2324 Jun 24 Enroll'!E$1,FALSE),'District Calculations'!$F$12)*C252,3)</f>
        <v>60.447000000000003</v>
      </c>
      <c r="F252">
        <f>ROUND(IF(VLOOKUP($A252,EnrollData2324,'2324 Jun 24 Enroll'!F$1,FALSE)='District Calculations'!$F$13,VLOOKUP($A252,EnrollData2324,'2324 Jun 24 Enroll'!F$1,FALSE),'District Calculations'!$F$13)*Apport_222A2425,3)</f>
        <v>10.337999999999999</v>
      </c>
      <c r="G252">
        <f>ROUND(IF(VLOOKUP($A252,EnrollData2324,'2324 Jun 24 Enroll'!G$1,FALSE)='District Calculations'!$F$14,VLOOKUP($A252,EnrollData2324,'2324 Jun 24 Enroll'!G$1,FALSE),'District Calculations'!$F$14)*Apport_210A2425,3)</f>
        <v>22.92</v>
      </c>
      <c r="H252">
        <f>ROUND(IF(VLOOKUP($A252,EnrollData2324,'2324 Jun 24 Enroll'!H$1,FALSE)='District Calculations'!$F$15,VLOOKUP($A252,EnrollData2324,'2324 Jun 24 Enroll'!H$1,FALSE),'District Calculations'!$F$15)*Apport_213A2425,3)</f>
        <v>23.619</v>
      </c>
      <c r="I252">
        <f>ROUND(IF(VLOOKUP($A252,EnrollData2324,'2324 Jun 24 Enroll'!I$1,FALSE)+VLOOKUP($A252,EnrollData2324,'2324 Jun 24 Enroll'!M$1,FALSE)-VLOOKUP($A252,EnrollData2324,'2324 Jun 24 Enroll'!J$1,FALSE)='District Calculations'!$F$16+'District Calculations'!$F$25-'District Calculations'!$F$17,VLOOKUP($A252,EnrollData2324,'2324 Jun 24 Enroll'!I$1,FALSE)+VLOOKUP($A252,EnrollData2324,'2324 Jun 24 Enroll'!M$1,FALSE)-VLOOKUP($A252,EnrollData2324,'2324 Jun 24 Enroll'!J$1,FALSE),'District Calculations'!$F$16+'District Calculations'!$F$25-'District Calculations'!$F$17)*Apport_216A2425,3)</f>
        <v>59.057000000000002</v>
      </c>
      <c r="J252">
        <f>ROUND(SUM(D252:I252)/(IF(VLOOKUP($A252,EnrollData2324,'2324 Jun 24 Enroll'!M$1,FALSE)='District Calculations'!$F$25,VLOOKUP($A252,EnrollData2324,'2324 Jun 24 Enroll'!M$1,FALSE),'District Calculations'!$F$25)+IF(VLOOKUP($A252,EnrollData2324,'2324 Jun 24 Enroll'!D$1,FALSE)='District Calculations'!$F$11,VLOOKUP($A252,EnrollData2324,'2324 Jun 24 Enroll'!D$1,FALSE),'District Calculations'!$F$11)),5)</f>
        <v>5.6520000000000001E-2</v>
      </c>
      <c r="K252" s="11">
        <f t="shared" si="50"/>
        <v>4.385E-3</v>
      </c>
      <c r="L252">
        <f>ROUND(IF(VLOOKUP($A252,EnrollData2324,'2324 Jun 24 Enroll'!D$1,FALSE)='District Calculations'!$F$11,VLOOKUP($A252,EnrollData2324,'2324 Jun 24 Enroll'!D$1,FALSE),'District Calculations'!$F$11)*K252,3)</f>
        <v>0</v>
      </c>
      <c r="M252">
        <f>ROUND(IF(VLOOKUP($A252,EnrollData2324,'2324 Jun 24 Enroll'!E$1,FALSE)='District Calculations'!$F$12,VLOOKUP($A252,EnrollData2324,'2324 Jun 24 Enroll'!E$1,FALSE),'District Calculations'!$F$12)*K252,3)</f>
        <v>3.5539999999999998</v>
      </c>
      <c r="N252">
        <f>ROUND(IF(VLOOKUP($A252,EnrollData2324,'2324 Jun 24 Enroll'!F$1,FALSE)='District Calculations'!$F$13,VLOOKUP($A252,EnrollData2324,'2324 Jun 24 Enroll'!F$1,FALSE),'District Calculations'!$F$13)*Apport_223A2425,3)</f>
        <v>0.84599999999999997</v>
      </c>
      <c r="O252">
        <f>ROUND(IF(VLOOKUP($A252,EnrollData2324,'2324 Jun 24 Enroll'!G$1,FALSE)='District Calculations'!$F$14,VLOOKUP($A252,EnrollData2324,'2324 Jun 24 Enroll'!G$1,FALSE),'District Calculations'!$F$14)*Apport_211A2425,3)</f>
        <v>1.877</v>
      </c>
      <c r="P252">
        <f>ROUND(IF(VLOOKUP($A252,EnrollData2324,'2324 Jun 24 Enroll'!H$1,FALSE)='District Calculations'!$F$14,VLOOKUP($A252,EnrollData2324,'2324 Jun 24 Enroll'!H$1,FALSE),'District Calculations'!$F$14)*Apport_214A2425,3)</f>
        <v>1.875</v>
      </c>
      <c r="Q252">
        <f>ROUND(IF(VLOOKUP($A252,EnrollData2324,'2324 Jun 24 Enroll'!I$1,FALSE)+VLOOKUP($A252,EnrollData2324,'2324 Jun 24 Enroll'!M$1,FALSE)-VLOOKUP($A252,EnrollData2324,'2324 Jun 24 Enroll'!J$1,FALSE)='District Calculations'!$F$16+'District Calculations'!$F$25-'District Calculations'!$F$17,VLOOKUP($A252,EnrollData2324,'2324 Jun 24 Enroll'!I$1,FALSE)+VLOOKUP($A252,EnrollData2324,'2324 Jun 24 Enroll'!M$1,FALSE)-VLOOKUP($A252,EnrollData2324,'2324 Jun 24 Enroll'!J$1,FALSE),'District Calculations'!$F$16+'District Calculations'!$F$25-'District Calculations'!$F$17)*Apport_217A2425,3)</f>
        <v>4.7130000000000001</v>
      </c>
      <c r="R252">
        <f>ROUND(SUM(L252:Q252)/IF(VLOOKUP($A252,EnrollData2324,'2324 Jun 24 Enroll'!M$1,FALSE)+VLOOKUP($A252,EnrollData2324,'2324 Jun 24 Enroll'!D$1,FALSE)='District Calculations'!$F$25+'District Calculations'!$F$11,VLOOKUP($A252,EnrollData2324,'2324 Jun 24 Enroll'!M$1,FALSE)+VLOOKUP($A252,EnrollData2324,'2324 Jun 24 Enroll'!D$1,FALSE),'District Calculations'!$F$25+'District Calculations'!$F$11),5)</f>
        <v>4.1200000000000004E-3</v>
      </c>
      <c r="S252" s="11">
        <f t="shared" si="51"/>
        <v>1.8734299999999999E-2</v>
      </c>
      <c r="T252">
        <f>ROUND(IF(VLOOKUP($A252,EnrollData2324,'2324 Jun 24 Enroll'!D$1,FALSE)='District Calculations'!$F$11,VLOOKUP($A252,EnrollData2324,'2324 Jun 24 Enroll'!D$1,FALSE),'District Calculations'!$F$11)*S252,3)</f>
        <v>0</v>
      </c>
      <c r="U252">
        <f>ROUND(IF(VLOOKUP($A252,EnrollData2324,'2324 Jun 24 Enroll'!E$1,FALSE)='District Calculations'!$F$12,VLOOKUP($A252,EnrollData2324,'2324 Jun 24 Enroll'!E$1,FALSE),'District Calculations'!$F$12)*S252,3)</f>
        <v>15.183999999999999</v>
      </c>
      <c r="V252">
        <f>ROUND(IF(VLOOKUP($A252,EnrollData2324,'2324 Jun 24 Enroll'!F$1,FALSE)='District Calculations'!$F$13,VLOOKUP($A252,EnrollData2324,'2324 Jun 24 Enroll'!F$1,FALSE),'District Calculations'!$F$13)*Apport_224A2425,3)</f>
        <v>3.7109999999999999</v>
      </c>
      <c r="W252">
        <f>ROUND(IF(VLOOKUP($A252,EnrollData2324,'2324 Jun 24 Enroll'!G$1,FALSE)='District Calculations'!$F$14,VLOOKUP($A252,EnrollData2324,'2324 Jun 24 Enroll'!G$1,FALSE),'District Calculations'!$F$14)*Apport_212A2425,3)</f>
        <v>8.2279999999999998</v>
      </c>
      <c r="X252">
        <f>ROUND(IF(VLOOKUP($A252,EnrollData2324,'2324 Jun 24 Enroll'!H$1,FALSE)='District Calculations'!$F$14,VLOOKUP($A252,EnrollData2324,'2324 Jun 24 Enroll'!H$1,FALSE),'District Calculations'!$F$14)*Apport_215A2425,3)</f>
        <v>8.1180000000000003</v>
      </c>
      <c r="Y252">
        <f>ROUND(IF(VLOOKUP($A252,EnrollData2324,'2324 Jun 24 Enroll'!I$1,FALSE)+VLOOKUP($A252,EnrollData2324,'2324 Jun 24 Enroll'!M$1,FALSE)-VLOOKUP($A252,EnrollData2324,'2324 Jun 24 Enroll'!J$1,FALSE)='District Calculations'!$F$16+'District Calculations'!$F$25-'District Calculations'!$F$17,VLOOKUP($A252,EnrollData2324,'2324 Jun 24 Enroll'!I$1,FALSE)+VLOOKUP($A252,EnrollData2324,'2324 Jun 24 Enroll'!M$1,FALSE)-VLOOKUP($A252,EnrollData2324,'2324 Jun 24 Enroll'!J$1,FALSE),'District Calculations'!$F$16+'District Calculations'!$F$25-'District Calculations'!$F$17)*Apport_218A2425,3)</f>
        <v>20.257999999999999</v>
      </c>
      <c r="Z252">
        <f>ROUND(SUM(T252:Y252)/IF(VLOOKUP($A252,EnrollData2324,'2324 Jun 24 Enroll'!M$1,FALSE)+VLOOKUP($A252,EnrollData2324,'2324 Jun 24 Enroll'!D$1,FALSE)='District Calculations'!$F$25+'District Calculations'!$F$11,VLOOKUP($A252,EnrollData2324,'2324 Jun 24 Enroll'!M$1,FALSE)+VLOOKUP($A252,EnrollData2324,'2324 Jun 24 Enroll'!D$1,FALSE),'District Calculations'!$F$25+'District Calculations'!$F$11),5)</f>
        <v>1.7780000000000001E-2</v>
      </c>
      <c r="AA252" s="6">
        <f>ROUND($J252*CIS_Base_Salary2425*VLOOKUP($A252,EnrollData2324,'2324 Jun 24 Enroll'!AH$1,FALSE),2)</f>
        <v>4262.68</v>
      </c>
      <c r="AB252" s="6">
        <f>ROUND($J252*CIS_Inc_Salary2425*(VLOOKUP($A252,EnrollData2324,'2324 Jun 24 Enroll'!AI$1,FALSE)+VLOOKUP($A252,EnrollData2324,'2324 Jun 24 Enroll'!AJ$1,FALSE)),2)-AA252</f>
        <v>157.6899999999996</v>
      </c>
      <c r="AC252" s="6" cm="1">
        <f t="array" ref="AC252">ROUND($R252*CAS_Base_Salary2425*VLOOKUP($A252,EnrollData2324,'2324 Jun 24 Enroll'!AH$1,FALSE),2)</f>
        <v>461.23</v>
      </c>
      <c r="AD252" s="6">
        <f>ROUND($R252*CAS_Inc_Salary2425*VLOOKUP($A252,EnrollData2324,'2324 Jun 24 Enroll'!AI$1,FALSE),2)-AC252</f>
        <v>17.069999999999993</v>
      </c>
      <c r="AE252" s="6">
        <f>ROUND($Z252*CLS_Base_Salary2425*VLOOKUP($A252,EnrollData2324,'2324 Jun 24 Enroll'!AH$1,FALSE),2)</f>
        <v>961.95</v>
      </c>
      <c r="AF252" s="6">
        <f>ROUND($Z252*CLS_Inc_Salary2425*VLOOKUP($A252,EnrollData2324,'2324 Jun 24 Enroll'!AI$1,FALSE),2)-AE252</f>
        <v>35.599999999999909</v>
      </c>
      <c r="AG252" cm="1">
        <f t="array" ref="AG252">ROUND(($J252+$R252)*Apport_124X2425,2)</f>
        <v>800.45</v>
      </c>
      <c r="AH252" s="69" cm="1">
        <f t="array" ref="AH252">ROUND(($J252+$R252)*Apport_621X2425*Apport_125XC2425,2)-AG252</f>
        <v>73.899999999999977</v>
      </c>
      <c r="AI252" cm="1">
        <f t="array" ref="AI252">ROUND($Z252*Apport_124X2425,2)</f>
        <v>234.7</v>
      </c>
      <c r="AJ252">
        <f t="shared" si="52"/>
        <v>124.71000000000004</v>
      </c>
      <c r="AK252">
        <f t="shared" si="53"/>
        <v>857.39</v>
      </c>
      <c r="AL252">
        <f t="shared" si="54"/>
        <v>30.6</v>
      </c>
      <c r="AM252">
        <f t="shared" si="55"/>
        <v>208.36</v>
      </c>
      <c r="AN252">
        <f t="shared" si="56"/>
        <v>6.46</v>
      </c>
      <c r="AO252">
        <f>ROUND(($J252*CIS_Inc_Salary2425*(VLOOKUP($A252,EnrollData2324,'2324 Jun 24 Enroll'!AI$1,FALSE)+VLOOKUP($A252,EnrollData2324,'2324 Jun 24 Enroll'!AJ$1,FALSE))/Apport_613Xpd)*Apport_614Xpd,2)</f>
        <v>73.67</v>
      </c>
      <c r="AP252">
        <f t="shared" si="57"/>
        <v>12.9</v>
      </c>
      <c r="AQ252">
        <f t="shared" si="58"/>
        <v>31.48</v>
      </c>
      <c r="AR252" s="6">
        <f>ROUND((VLOOKUP($A252,EnrollData2324,'2324 Jun 24 Enroll'!D$1,FALSE)*Apport_M802425+VLOOKUP($A252,EnrollData2324,'2324 Jun 24 Enroll'!M$1,FALSE)*Apport_M802425+(VLOOKUP($A252,EnrollData2324,'2324 Jun 24 Enroll'!P$1,FALSE)+VLOOKUP($A252,EnrollData2324,'2324 Jun 24 Enroll'!Q$1,FALSE)+VLOOKUP($A252,EnrollData2324,'2324 Jun 24 Enroll'!R$1,FALSE)+VLOOKUP($A252,EnrollData2324,'2324 Jun 24 Enroll'!I$1,FALSE)+VLOOKUP($A252,EnrollData2324,'2324 Jun 24 Enroll'!N$1,FALSE)+VLOOKUP($A252,EnrollData2324,'2324 Jun 24 Enroll'!O$1,FALSE)+VLOOKUP($A252,EnrollData2324,'2324 Jun 24 Enroll'!K$1,FALSE)+VLOOKUP($A252,EnrollData2324,'2324 Jun 24 Enroll'!L$1,FALSE))*Apport_M812425)/(VLOOKUP($A252,EnrollData2324,'2324 Jun 24 Enroll'!M$1,FALSE)+VLOOKUP($A252,EnrollData2324,'2324 Jun 24 Enroll'!D$1,FALSE)),2)</f>
        <v>1598.58</v>
      </c>
      <c r="AS252" s="7">
        <f t="shared" si="59"/>
        <v>9949.4199999999983</v>
      </c>
    </row>
    <row r="253" spans="1:45">
      <c r="A253" s="40" t="s">
        <v>434</v>
      </c>
      <c r="B253" s="40" t="s">
        <v>435</v>
      </c>
      <c r="C253" s="11">
        <f>ROUND((IFERROR((1/IF(VLOOKUP($A253,EnrollData2324,28,FALSE)='District Calculations'!$F$10,VLOOKUP($A253,EnrollData2324,28,FALSE),'District Calculations'!$F$10))*(1+Apport_Z315),0))+Apport_201A2425,6)</f>
        <v>7.4580999999999995E-2</v>
      </c>
      <c r="D253">
        <f>ROUND(IF(VLOOKUP($A253,EnrollData2324,'2324 Jun 24 Enroll'!D$1,FALSE)='District Calculations'!$F$11,VLOOKUP($A253,EnrollData2324,'2324 Jun 24 Enroll'!D$1,FALSE),'District Calculations'!$F$11)*C253,3)</f>
        <v>0</v>
      </c>
      <c r="E253">
        <f>ROUND(IF(VLOOKUP($A253,EnrollData2324,'2324 Jun 24 Enroll'!E$1,FALSE)='District Calculations'!$F$12,VLOOKUP($A253,EnrollData2324,'2324 Jun 24 Enroll'!E$1,FALSE),'District Calculations'!$F$12)*C253,3)</f>
        <v>60.447000000000003</v>
      </c>
      <c r="F253">
        <f>ROUND(IF(VLOOKUP($A253,EnrollData2324,'2324 Jun 24 Enroll'!F$1,FALSE)='District Calculations'!$F$13,VLOOKUP($A253,EnrollData2324,'2324 Jun 24 Enroll'!F$1,FALSE),'District Calculations'!$F$13)*Apport_222A2425,3)</f>
        <v>10.337999999999999</v>
      </c>
      <c r="G253">
        <f>ROUND(IF(VLOOKUP($A253,EnrollData2324,'2324 Jun 24 Enroll'!G$1,FALSE)='District Calculations'!$F$14,VLOOKUP($A253,EnrollData2324,'2324 Jun 24 Enroll'!G$1,FALSE),'District Calculations'!$F$14)*Apport_210A2425,3)</f>
        <v>22.92</v>
      </c>
      <c r="H253">
        <f>ROUND(IF(VLOOKUP($A253,EnrollData2324,'2324 Jun 24 Enroll'!H$1,FALSE)='District Calculations'!$F$15,VLOOKUP($A253,EnrollData2324,'2324 Jun 24 Enroll'!H$1,FALSE),'District Calculations'!$F$15)*Apport_213A2425,3)</f>
        <v>23.619</v>
      </c>
      <c r="I253">
        <f>ROUND(IF(VLOOKUP($A253,EnrollData2324,'2324 Jun 24 Enroll'!I$1,FALSE)+VLOOKUP($A253,EnrollData2324,'2324 Jun 24 Enroll'!M$1,FALSE)-VLOOKUP($A253,EnrollData2324,'2324 Jun 24 Enroll'!J$1,FALSE)='District Calculations'!$F$16+'District Calculations'!$F$25-'District Calculations'!$F$17,VLOOKUP($A253,EnrollData2324,'2324 Jun 24 Enroll'!I$1,FALSE)+VLOOKUP($A253,EnrollData2324,'2324 Jun 24 Enroll'!M$1,FALSE)-VLOOKUP($A253,EnrollData2324,'2324 Jun 24 Enroll'!J$1,FALSE),'District Calculations'!$F$16+'District Calculations'!$F$25-'District Calculations'!$F$17)*Apport_216A2425,3)</f>
        <v>59.057000000000002</v>
      </c>
      <c r="J253">
        <f>ROUND(SUM(D253:I253)/(IF(VLOOKUP($A253,EnrollData2324,'2324 Jun 24 Enroll'!M$1,FALSE)='District Calculations'!$F$25,VLOOKUP($A253,EnrollData2324,'2324 Jun 24 Enroll'!M$1,FALSE),'District Calculations'!$F$25)+IF(VLOOKUP($A253,EnrollData2324,'2324 Jun 24 Enroll'!D$1,FALSE)='District Calculations'!$F$11,VLOOKUP($A253,EnrollData2324,'2324 Jun 24 Enroll'!D$1,FALSE),'District Calculations'!$F$11)),5)</f>
        <v>5.6520000000000001E-2</v>
      </c>
      <c r="K253" s="11">
        <f t="shared" si="50"/>
        <v>4.385E-3</v>
      </c>
      <c r="L253">
        <f>ROUND(IF(VLOOKUP($A253,EnrollData2324,'2324 Jun 24 Enroll'!D$1,FALSE)='District Calculations'!$F$11,VLOOKUP($A253,EnrollData2324,'2324 Jun 24 Enroll'!D$1,FALSE),'District Calculations'!$F$11)*K253,3)</f>
        <v>0</v>
      </c>
      <c r="M253">
        <f>ROUND(IF(VLOOKUP($A253,EnrollData2324,'2324 Jun 24 Enroll'!E$1,FALSE)='District Calculations'!$F$12,VLOOKUP($A253,EnrollData2324,'2324 Jun 24 Enroll'!E$1,FALSE),'District Calculations'!$F$12)*K253,3)</f>
        <v>3.5539999999999998</v>
      </c>
      <c r="N253">
        <f>ROUND(IF(VLOOKUP($A253,EnrollData2324,'2324 Jun 24 Enroll'!F$1,FALSE)='District Calculations'!$F$13,VLOOKUP($A253,EnrollData2324,'2324 Jun 24 Enroll'!F$1,FALSE),'District Calculations'!$F$13)*Apport_223A2425,3)</f>
        <v>0.84599999999999997</v>
      </c>
      <c r="O253">
        <f>ROUND(IF(VLOOKUP($A253,EnrollData2324,'2324 Jun 24 Enroll'!G$1,FALSE)='District Calculations'!$F$14,VLOOKUP($A253,EnrollData2324,'2324 Jun 24 Enroll'!G$1,FALSE),'District Calculations'!$F$14)*Apport_211A2425,3)</f>
        <v>1.877</v>
      </c>
      <c r="P253">
        <f>ROUND(IF(VLOOKUP($A253,EnrollData2324,'2324 Jun 24 Enroll'!H$1,FALSE)='District Calculations'!$F$14,VLOOKUP($A253,EnrollData2324,'2324 Jun 24 Enroll'!H$1,FALSE),'District Calculations'!$F$14)*Apport_214A2425,3)</f>
        <v>1.875</v>
      </c>
      <c r="Q253">
        <f>ROUND(IF(VLOOKUP($A253,EnrollData2324,'2324 Jun 24 Enroll'!I$1,FALSE)+VLOOKUP($A253,EnrollData2324,'2324 Jun 24 Enroll'!M$1,FALSE)-VLOOKUP($A253,EnrollData2324,'2324 Jun 24 Enroll'!J$1,FALSE)='District Calculations'!$F$16+'District Calculations'!$F$25-'District Calculations'!$F$17,VLOOKUP($A253,EnrollData2324,'2324 Jun 24 Enroll'!I$1,FALSE)+VLOOKUP($A253,EnrollData2324,'2324 Jun 24 Enroll'!M$1,FALSE)-VLOOKUP($A253,EnrollData2324,'2324 Jun 24 Enroll'!J$1,FALSE),'District Calculations'!$F$16+'District Calculations'!$F$25-'District Calculations'!$F$17)*Apport_217A2425,3)</f>
        <v>4.7130000000000001</v>
      </c>
      <c r="R253">
        <f>ROUND(SUM(L253:Q253)/IF(VLOOKUP($A253,EnrollData2324,'2324 Jun 24 Enroll'!M$1,FALSE)+VLOOKUP($A253,EnrollData2324,'2324 Jun 24 Enroll'!D$1,FALSE)='District Calculations'!$F$25+'District Calculations'!$F$11,VLOOKUP($A253,EnrollData2324,'2324 Jun 24 Enroll'!M$1,FALSE)+VLOOKUP($A253,EnrollData2324,'2324 Jun 24 Enroll'!D$1,FALSE),'District Calculations'!$F$25+'District Calculations'!$F$11),5)</f>
        <v>4.1200000000000004E-3</v>
      </c>
      <c r="S253" s="11">
        <f t="shared" si="51"/>
        <v>1.8734299999999999E-2</v>
      </c>
      <c r="T253">
        <f>ROUND(IF(VLOOKUP($A253,EnrollData2324,'2324 Jun 24 Enroll'!D$1,FALSE)='District Calculations'!$F$11,VLOOKUP($A253,EnrollData2324,'2324 Jun 24 Enroll'!D$1,FALSE),'District Calculations'!$F$11)*S253,3)</f>
        <v>0</v>
      </c>
      <c r="U253">
        <f>ROUND(IF(VLOOKUP($A253,EnrollData2324,'2324 Jun 24 Enroll'!E$1,FALSE)='District Calculations'!$F$12,VLOOKUP($A253,EnrollData2324,'2324 Jun 24 Enroll'!E$1,FALSE),'District Calculations'!$F$12)*S253,3)</f>
        <v>15.183999999999999</v>
      </c>
      <c r="V253">
        <f>ROUND(IF(VLOOKUP($A253,EnrollData2324,'2324 Jun 24 Enroll'!F$1,FALSE)='District Calculations'!$F$13,VLOOKUP($A253,EnrollData2324,'2324 Jun 24 Enroll'!F$1,FALSE),'District Calculations'!$F$13)*Apport_224A2425,3)</f>
        <v>3.7109999999999999</v>
      </c>
      <c r="W253">
        <f>ROUND(IF(VLOOKUP($A253,EnrollData2324,'2324 Jun 24 Enroll'!G$1,FALSE)='District Calculations'!$F$14,VLOOKUP($A253,EnrollData2324,'2324 Jun 24 Enroll'!G$1,FALSE),'District Calculations'!$F$14)*Apport_212A2425,3)</f>
        <v>8.2279999999999998</v>
      </c>
      <c r="X253">
        <f>ROUND(IF(VLOOKUP($A253,EnrollData2324,'2324 Jun 24 Enroll'!H$1,FALSE)='District Calculations'!$F$14,VLOOKUP($A253,EnrollData2324,'2324 Jun 24 Enroll'!H$1,FALSE),'District Calculations'!$F$14)*Apport_215A2425,3)</f>
        <v>8.1180000000000003</v>
      </c>
      <c r="Y253">
        <f>ROUND(IF(VLOOKUP($A253,EnrollData2324,'2324 Jun 24 Enroll'!I$1,FALSE)+VLOOKUP($A253,EnrollData2324,'2324 Jun 24 Enroll'!M$1,FALSE)-VLOOKUP($A253,EnrollData2324,'2324 Jun 24 Enroll'!J$1,FALSE)='District Calculations'!$F$16+'District Calculations'!$F$25-'District Calculations'!$F$17,VLOOKUP($A253,EnrollData2324,'2324 Jun 24 Enroll'!I$1,FALSE)+VLOOKUP($A253,EnrollData2324,'2324 Jun 24 Enroll'!M$1,FALSE)-VLOOKUP($A253,EnrollData2324,'2324 Jun 24 Enroll'!J$1,FALSE),'District Calculations'!$F$16+'District Calculations'!$F$25-'District Calculations'!$F$17)*Apport_218A2425,3)</f>
        <v>20.257999999999999</v>
      </c>
      <c r="Z253">
        <f>ROUND(SUM(T253:Y253)/IF(VLOOKUP($A253,EnrollData2324,'2324 Jun 24 Enroll'!M$1,FALSE)+VLOOKUP($A253,EnrollData2324,'2324 Jun 24 Enroll'!D$1,FALSE)='District Calculations'!$F$25+'District Calculations'!$F$11,VLOOKUP($A253,EnrollData2324,'2324 Jun 24 Enroll'!M$1,FALSE)+VLOOKUP($A253,EnrollData2324,'2324 Jun 24 Enroll'!D$1,FALSE),'District Calculations'!$F$25+'District Calculations'!$F$11),5)</f>
        <v>1.7780000000000001E-2</v>
      </c>
      <c r="AA253" s="6">
        <f>ROUND($J253*CIS_Base_Salary2425*VLOOKUP($A253,EnrollData2324,'2324 Jun 24 Enroll'!AH$1,FALSE),2)</f>
        <v>4262.68</v>
      </c>
      <c r="AB253" s="6">
        <f>ROUND($J253*CIS_Inc_Salary2425*(VLOOKUP($A253,EnrollData2324,'2324 Jun 24 Enroll'!AI$1,FALSE)+VLOOKUP($A253,EnrollData2324,'2324 Jun 24 Enroll'!AJ$1,FALSE)),2)-AA253</f>
        <v>334.50999999999931</v>
      </c>
      <c r="AC253" s="6" cm="1">
        <f t="array" ref="AC253">ROUND($R253*CAS_Base_Salary2425*VLOOKUP($A253,EnrollData2324,'2324 Jun 24 Enroll'!AH$1,FALSE),2)</f>
        <v>461.23</v>
      </c>
      <c r="AD253" s="6">
        <f>ROUND($R253*CAS_Inc_Salary2425*VLOOKUP($A253,EnrollData2324,'2324 Jun 24 Enroll'!AI$1,FALSE),2)-AC253</f>
        <v>17.069999999999993</v>
      </c>
      <c r="AE253" s="6">
        <f>ROUND($Z253*CLS_Base_Salary2425*VLOOKUP($A253,EnrollData2324,'2324 Jun 24 Enroll'!AH$1,FALSE),2)</f>
        <v>961.95</v>
      </c>
      <c r="AF253" s="6">
        <f>ROUND($Z253*CLS_Inc_Salary2425*VLOOKUP($A253,EnrollData2324,'2324 Jun 24 Enroll'!AI$1,FALSE),2)-AE253</f>
        <v>35.599999999999909</v>
      </c>
      <c r="AG253" cm="1">
        <f t="array" ref="AG253">ROUND(($J253+$R253)*Apport_124X2425,2)</f>
        <v>800.45</v>
      </c>
      <c r="AH253" s="69" cm="1">
        <f t="array" ref="AH253">ROUND(($J253+$R253)*Apport_621X2425*Apport_125XC2425,2)-AG253</f>
        <v>73.899999999999977</v>
      </c>
      <c r="AI253" cm="1">
        <f t="array" ref="AI253">ROUND($Z253*Apport_124X2425,2)</f>
        <v>234.7</v>
      </c>
      <c r="AJ253">
        <f t="shared" si="52"/>
        <v>124.71000000000004</v>
      </c>
      <c r="AK253">
        <f t="shared" si="53"/>
        <v>857.39</v>
      </c>
      <c r="AL253">
        <f t="shared" si="54"/>
        <v>61.56</v>
      </c>
      <c r="AM253">
        <f t="shared" si="55"/>
        <v>208.36</v>
      </c>
      <c r="AN253">
        <f t="shared" si="56"/>
        <v>6.46</v>
      </c>
      <c r="AO253">
        <f>ROUND(($J253*CIS_Inc_Salary2425*(VLOOKUP($A253,EnrollData2324,'2324 Jun 24 Enroll'!AI$1,FALSE)+VLOOKUP($A253,EnrollData2324,'2324 Jun 24 Enroll'!AJ$1,FALSE))/Apport_613Xpd)*Apport_614Xpd,2)</f>
        <v>76.62</v>
      </c>
      <c r="AP253">
        <f t="shared" si="57"/>
        <v>13.42</v>
      </c>
      <c r="AQ253">
        <f t="shared" si="58"/>
        <v>31.48</v>
      </c>
      <c r="AR253" s="6">
        <f>ROUND((VLOOKUP($A253,EnrollData2324,'2324 Jun 24 Enroll'!D$1,FALSE)*Apport_M802425+VLOOKUP($A253,EnrollData2324,'2324 Jun 24 Enroll'!M$1,FALSE)*Apport_M802425+(VLOOKUP($A253,EnrollData2324,'2324 Jun 24 Enroll'!P$1,FALSE)+VLOOKUP($A253,EnrollData2324,'2324 Jun 24 Enroll'!Q$1,FALSE)+VLOOKUP($A253,EnrollData2324,'2324 Jun 24 Enroll'!R$1,FALSE)+VLOOKUP($A253,EnrollData2324,'2324 Jun 24 Enroll'!I$1,FALSE)+VLOOKUP($A253,EnrollData2324,'2324 Jun 24 Enroll'!N$1,FALSE)+VLOOKUP($A253,EnrollData2324,'2324 Jun 24 Enroll'!O$1,FALSE)+VLOOKUP($A253,EnrollData2324,'2324 Jun 24 Enroll'!K$1,FALSE)+VLOOKUP($A253,EnrollData2324,'2324 Jun 24 Enroll'!L$1,FALSE))*Apport_M812425)/(VLOOKUP($A253,EnrollData2324,'2324 Jun 24 Enroll'!M$1,FALSE)+VLOOKUP($A253,EnrollData2324,'2324 Jun 24 Enroll'!D$1,FALSE)),2)</f>
        <v>1601.97</v>
      </c>
      <c r="AS253" s="7">
        <f t="shared" si="59"/>
        <v>10164.059999999998</v>
      </c>
    </row>
    <row r="254" spans="1:45">
      <c r="A254" s="40" t="s">
        <v>554</v>
      </c>
      <c r="B254" s="40" t="s">
        <v>555</v>
      </c>
      <c r="C254" s="11">
        <f>ROUND((IFERROR((1/IF(VLOOKUP($A254,EnrollData2324,28,FALSE)='District Calculations'!$F$10,VLOOKUP($A254,EnrollData2324,28,FALSE),'District Calculations'!$F$10))*(1+Apport_Z315),0))+Apport_201A2425,6)</f>
        <v>7.4580999999999995E-2</v>
      </c>
      <c r="D254">
        <f>ROUND(IF(VLOOKUP($A254,EnrollData2324,'2324 Jun 24 Enroll'!D$1,FALSE)='District Calculations'!$F$11,VLOOKUP($A254,EnrollData2324,'2324 Jun 24 Enroll'!D$1,FALSE),'District Calculations'!$F$11)*C254,3)</f>
        <v>0</v>
      </c>
      <c r="E254">
        <f>ROUND(IF(VLOOKUP($A254,EnrollData2324,'2324 Jun 24 Enroll'!E$1,FALSE)='District Calculations'!$F$12,VLOOKUP($A254,EnrollData2324,'2324 Jun 24 Enroll'!E$1,FALSE),'District Calculations'!$F$12)*C254,3)</f>
        <v>60.447000000000003</v>
      </c>
      <c r="F254">
        <f>ROUND(IF(VLOOKUP($A254,EnrollData2324,'2324 Jun 24 Enroll'!F$1,FALSE)='District Calculations'!$F$13,VLOOKUP($A254,EnrollData2324,'2324 Jun 24 Enroll'!F$1,FALSE),'District Calculations'!$F$13)*Apport_222A2425,3)</f>
        <v>10.337999999999999</v>
      </c>
      <c r="G254">
        <f>ROUND(IF(VLOOKUP($A254,EnrollData2324,'2324 Jun 24 Enroll'!G$1,FALSE)='District Calculations'!$F$14,VLOOKUP($A254,EnrollData2324,'2324 Jun 24 Enroll'!G$1,FALSE),'District Calculations'!$F$14)*Apport_210A2425,3)</f>
        <v>22.92</v>
      </c>
      <c r="H254">
        <f>ROUND(IF(VLOOKUP($A254,EnrollData2324,'2324 Jun 24 Enroll'!H$1,FALSE)='District Calculations'!$F$15,VLOOKUP($A254,EnrollData2324,'2324 Jun 24 Enroll'!H$1,FALSE),'District Calculations'!$F$15)*Apport_213A2425,3)</f>
        <v>23.619</v>
      </c>
      <c r="I254">
        <f>ROUND(IF(VLOOKUP($A254,EnrollData2324,'2324 Jun 24 Enroll'!I$1,FALSE)+VLOOKUP($A254,EnrollData2324,'2324 Jun 24 Enroll'!M$1,FALSE)-VLOOKUP($A254,EnrollData2324,'2324 Jun 24 Enroll'!J$1,FALSE)='District Calculations'!$F$16+'District Calculations'!$F$25-'District Calculations'!$F$17,VLOOKUP($A254,EnrollData2324,'2324 Jun 24 Enroll'!I$1,FALSE)+VLOOKUP($A254,EnrollData2324,'2324 Jun 24 Enroll'!M$1,FALSE)-VLOOKUP($A254,EnrollData2324,'2324 Jun 24 Enroll'!J$1,FALSE),'District Calculations'!$F$16+'District Calculations'!$F$25-'District Calculations'!$F$17)*Apport_216A2425,3)</f>
        <v>59.057000000000002</v>
      </c>
      <c r="J254">
        <f>ROUND(SUM(D254:I254)/(IF(VLOOKUP($A254,EnrollData2324,'2324 Jun 24 Enroll'!M$1,FALSE)='District Calculations'!$F$25,VLOOKUP($A254,EnrollData2324,'2324 Jun 24 Enroll'!M$1,FALSE),'District Calculations'!$F$25)+IF(VLOOKUP($A254,EnrollData2324,'2324 Jun 24 Enroll'!D$1,FALSE)='District Calculations'!$F$11,VLOOKUP($A254,EnrollData2324,'2324 Jun 24 Enroll'!D$1,FALSE),'District Calculations'!$F$11)),5)</f>
        <v>5.6520000000000001E-2</v>
      </c>
      <c r="K254" s="11">
        <f t="shared" si="50"/>
        <v>4.385E-3</v>
      </c>
      <c r="L254">
        <f>ROUND(IF(VLOOKUP($A254,EnrollData2324,'2324 Jun 24 Enroll'!D$1,FALSE)='District Calculations'!$F$11,VLOOKUP($A254,EnrollData2324,'2324 Jun 24 Enroll'!D$1,FALSE),'District Calculations'!$F$11)*K254,3)</f>
        <v>0</v>
      </c>
      <c r="M254">
        <f>ROUND(IF(VLOOKUP($A254,EnrollData2324,'2324 Jun 24 Enroll'!E$1,FALSE)='District Calculations'!$F$12,VLOOKUP($A254,EnrollData2324,'2324 Jun 24 Enroll'!E$1,FALSE),'District Calculations'!$F$12)*K254,3)</f>
        <v>3.5539999999999998</v>
      </c>
      <c r="N254">
        <f>ROUND(IF(VLOOKUP($A254,EnrollData2324,'2324 Jun 24 Enroll'!F$1,FALSE)='District Calculations'!$F$13,VLOOKUP($A254,EnrollData2324,'2324 Jun 24 Enroll'!F$1,FALSE),'District Calculations'!$F$13)*Apport_223A2425,3)</f>
        <v>0.84599999999999997</v>
      </c>
      <c r="O254">
        <f>ROUND(IF(VLOOKUP($A254,EnrollData2324,'2324 Jun 24 Enroll'!G$1,FALSE)='District Calculations'!$F$14,VLOOKUP($A254,EnrollData2324,'2324 Jun 24 Enroll'!G$1,FALSE),'District Calculations'!$F$14)*Apport_211A2425,3)</f>
        <v>1.877</v>
      </c>
      <c r="P254">
        <f>ROUND(IF(VLOOKUP($A254,EnrollData2324,'2324 Jun 24 Enroll'!H$1,FALSE)='District Calculations'!$F$14,VLOOKUP($A254,EnrollData2324,'2324 Jun 24 Enroll'!H$1,FALSE),'District Calculations'!$F$14)*Apport_214A2425,3)</f>
        <v>1.875</v>
      </c>
      <c r="Q254">
        <f>ROUND(IF(VLOOKUP($A254,EnrollData2324,'2324 Jun 24 Enroll'!I$1,FALSE)+VLOOKUP($A254,EnrollData2324,'2324 Jun 24 Enroll'!M$1,FALSE)-VLOOKUP($A254,EnrollData2324,'2324 Jun 24 Enroll'!J$1,FALSE)='District Calculations'!$F$16+'District Calculations'!$F$25-'District Calculations'!$F$17,VLOOKUP($A254,EnrollData2324,'2324 Jun 24 Enroll'!I$1,FALSE)+VLOOKUP($A254,EnrollData2324,'2324 Jun 24 Enroll'!M$1,FALSE)-VLOOKUP($A254,EnrollData2324,'2324 Jun 24 Enroll'!J$1,FALSE),'District Calculations'!$F$16+'District Calculations'!$F$25-'District Calculations'!$F$17)*Apport_217A2425,3)</f>
        <v>4.7130000000000001</v>
      </c>
      <c r="R254">
        <f>ROUND(SUM(L254:Q254)/IF(VLOOKUP($A254,EnrollData2324,'2324 Jun 24 Enroll'!M$1,FALSE)+VLOOKUP($A254,EnrollData2324,'2324 Jun 24 Enroll'!D$1,FALSE)='District Calculations'!$F$25+'District Calculations'!$F$11,VLOOKUP($A254,EnrollData2324,'2324 Jun 24 Enroll'!M$1,FALSE)+VLOOKUP($A254,EnrollData2324,'2324 Jun 24 Enroll'!D$1,FALSE),'District Calculations'!$F$25+'District Calculations'!$F$11),5)</f>
        <v>4.1200000000000004E-3</v>
      </c>
      <c r="S254" s="11">
        <f t="shared" si="51"/>
        <v>1.8734299999999999E-2</v>
      </c>
      <c r="T254">
        <f>ROUND(IF(VLOOKUP($A254,EnrollData2324,'2324 Jun 24 Enroll'!D$1,FALSE)='District Calculations'!$F$11,VLOOKUP($A254,EnrollData2324,'2324 Jun 24 Enroll'!D$1,FALSE),'District Calculations'!$F$11)*S254,3)</f>
        <v>0</v>
      </c>
      <c r="U254">
        <f>ROUND(IF(VLOOKUP($A254,EnrollData2324,'2324 Jun 24 Enroll'!E$1,FALSE)='District Calculations'!$F$12,VLOOKUP($A254,EnrollData2324,'2324 Jun 24 Enroll'!E$1,FALSE),'District Calculations'!$F$12)*S254,3)</f>
        <v>15.183999999999999</v>
      </c>
      <c r="V254">
        <f>ROUND(IF(VLOOKUP($A254,EnrollData2324,'2324 Jun 24 Enroll'!F$1,FALSE)='District Calculations'!$F$13,VLOOKUP($A254,EnrollData2324,'2324 Jun 24 Enroll'!F$1,FALSE),'District Calculations'!$F$13)*Apport_224A2425,3)</f>
        <v>3.7109999999999999</v>
      </c>
      <c r="W254">
        <f>ROUND(IF(VLOOKUP($A254,EnrollData2324,'2324 Jun 24 Enroll'!G$1,FALSE)='District Calculations'!$F$14,VLOOKUP($A254,EnrollData2324,'2324 Jun 24 Enroll'!G$1,FALSE),'District Calculations'!$F$14)*Apport_212A2425,3)</f>
        <v>8.2279999999999998</v>
      </c>
      <c r="X254">
        <f>ROUND(IF(VLOOKUP($A254,EnrollData2324,'2324 Jun 24 Enroll'!H$1,FALSE)='District Calculations'!$F$14,VLOOKUP($A254,EnrollData2324,'2324 Jun 24 Enroll'!H$1,FALSE),'District Calculations'!$F$14)*Apport_215A2425,3)</f>
        <v>8.1180000000000003</v>
      </c>
      <c r="Y254">
        <f>ROUND(IF(VLOOKUP($A254,EnrollData2324,'2324 Jun 24 Enroll'!I$1,FALSE)+VLOOKUP($A254,EnrollData2324,'2324 Jun 24 Enroll'!M$1,FALSE)-VLOOKUP($A254,EnrollData2324,'2324 Jun 24 Enroll'!J$1,FALSE)='District Calculations'!$F$16+'District Calculations'!$F$25-'District Calculations'!$F$17,VLOOKUP($A254,EnrollData2324,'2324 Jun 24 Enroll'!I$1,FALSE)+VLOOKUP($A254,EnrollData2324,'2324 Jun 24 Enroll'!M$1,FALSE)-VLOOKUP($A254,EnrollData2324,'2324 Jun 24 Enroll'!J$1,FALSE),'District Calculations'!$F$16+'District Calculations'!$F$25-'District Calculations'!$F$17)*Apport_218A2425,3)</f>
        <v>20.257999999999999</v>
      </c>
      <c r="Z254">
        <f>ROUND(SUM(T254:Y254)/IF(VLOOKUP($A254,EnrollData2324,'2324 Jun 24 Enroll'!M$1,FALSE)+VLOOKUP($A254,EnrollData2324,'2324 Jun 24 Enroll'!D$1,FALSE)='District Calculations'!$F$25+'District Calculations'!$F$11,VLOOKUP($A254,EnrollData2324,'2324 Jun 24 Enroll'!M$1,FALSE)+VLOOKUP($A254,EnrollData2324,'2324 Jun 24 Enroll'!D$1,FALSE),'District Calculations'!$F$25+'District Calculations'!$F$11),5)</f>
        <v>1.7780000000000001E-2</v>
      </c>
      <c r="AA254" s="6">
        <f>ROUND($J254*CIS_Base_Salary2425*VLOOKUP($A254,EnrollData2324,'2324 Jun 24 Enroll'!AH$1,FALSE),2)</f>
        <v>4262.68</v>
      </c>
      <c r="AB254" s="6">
        <f>ROUND($J254*CIS_Inc_Salary2425*(VLOOKUP($A254,EnrollData2324,'2324 Jun 24 Enroll'!AI$1,FALSE)+VLOOKUP($A254,EnrollData2324,'2324 Jun 24 Enroll'!AJ$1,FALSE)),2)-AA254</f>
        <v>157.6899999999996</v>
      </c>
      <c r="AC254" s="6" cm="1">
        <f t="array" ref="AC254">ROUND($R254*CAS_Base_Salary2425*VLOOKUP($A254,EnrollData2324,'2324 Jun 24 Enroll'!AH$1,FALSE),2)</f>
        <v>461.23</v>
      </c>
      <c r="AD254" s="6">
        <f>ROUND($R254*CAS_Inc_Salary2425*VLOOKUP($A254,EnrollData2324,'2324 Jun 24 Enroll'!AI$1,FALSE),2)-AC254</f>
        <v>17.069999999999993</v>
      </c>
      <c r="AE254" s="6">
        <f>ROUND($Z254*CLS_Base_Salary2425*VLOOKUP($A254,EnrollData2324,'2324 Jun 24 Enroll'!AH$1,FALSE),2)</f>
        <v>961.95</v>
      </c>
      <c r="AF254" s="6">
        <f>ROUND($Z254*CLS_Inc_Salary2425*VLOOKUP($A254,EnrollData2324,'2324 Jun 24 Enroll'!AI$1,FALSE),2)-AE254</f>
        <v>35.599999999999909</v>
      </c>
      <c r="AG254" cm="1">
        <f t="array" ref="AG254">ROUND(($J254+$R254)*Apport_124X2425,2)</f>
        <v>800.45</v>
      </c>
      <c r="AH254" s="69" cm="1">
        <f t="array" ref="AH254">ROUND(($J254+$R254)*Apport_621X2425*Apport_125XC2425,2)-AG254</f>
        <v>73.899999999999977</v>
      </c>
      <c r="AI254" cm="1">
        <f t="array" ref="AI254">ROUND($Z254*Apport_124X2425,2)</f>
        <v>234.7</v>
      </c>
      <c r="AJ254">
        <f t="shared" si="52"/>
        <v>124.71000000000004</v>
      </c>
      <c r="AK254">
        <f t="shared" si="53"/>
        <v>857.39</v>
      </c>
      <c r="AL254">
        <f t="shared" si="54"/>
        <v>30.6</v>
      </c>
      <c r="AM254">
        <f t="shared" si="55"/>
        <v>208.36</v>
      </c>
      <c r="AN254">
        <f t="shared" si="56"/>
        <v>6.46</v>
      </c>
      <c r="AO254">
        <f>ROUND(($J254*CIS_Inc_Salary2425*(VLOOKUP($A254,EnrollData2324,'2324 Jun 24 Enroll'!AI$1,FALSE)+VLOOKUP($A254,EnrollData2324,'2324 Jun 24 Enroll'!AJ$1,FALSE))/Apport_613Xpd)*Apport_614Xpd,2)</f>
        <v>73.67</v>
      </c>
      <c r="AP254">
        <f t="shared" si="57"/>
        <v>12.9</v>
      </c>
      <c r="AQ254">
        <f t="shared" si="58"/>
        <v>31.48</v>
      </c>
      <c r="AR254" s="6">
        <f>ROUND((VLOOKUP($A254,EnrollData2324,'2324 Jun 24 Enroll'!D$1,FALSE)*Apport_M802425+VLOOKUP($A254,EnrollData2324,'2324 Jun 24 Enroll'!M$1,FALSE)*Apport_M802425+(VLOOKUP($A254,EnrollData2324,'2324 Jun 24 Enroll'!P$1,FALSE)+VLOOKUP($A254,EnrollData2324,'2324 Jun 24 Enroll'!Q$1,FALSE)+VLOOKUP($A254,EnrollData2324,'2324 Jun 24 Enroll'!R$1,FALSE)+VLOOKUP($A254,EnrollData2324,'2324 Jun 24 Enroll'!I$1,FALSE)+VLOOKUP($A254,EnrollData2324,'2324 Jun 24 Enroll'!N$1,FALSE)+VLOOKUP($A254,EnrollData2324,'2324 Jun 24 Enroll'!O$1,FALSE)+VLOOKUP($A254,EnrollData2324,'2324 Jun 24 Enroll'!K$1,FALSE)+VLOOKUP($A254,EnrollData2324,'2324 Jun 24 Enroll'!L$1,FALSE))*Apport_M812425)/(VLOOKUP($A254,EnrollData2324,'2324 Jun 24 Enroll'!M$1,FALSE)+VLOOKUP($A254,EnrollData2324,'2324 Jun 24 Enroll'!D$1,FALSE)),2)</f>
        <v>1593.27</v>
      </c>
      <c r="AS254" s="7">
        <f t="shared" si="59"/>
        <v>9944.1099999999988</v>
      </c>
    </row>
    <row r="255" spans="1:45">
      <c r="A255" s="40" t="s">
        <v>867</v>
      </c>
      <c r="B255" s="40" t="s">
        <v>868</v>
      </c>
      <c r="C255" s="11">
        <f>ROUND((IFERROR((1/IF(VLOOKUP($A255,EnrollData2324,28,FALSE)='District Calculations'!$F$10,VLOOKUP($A255,EnrollData2324,28,FALSE),'District Calculations'!$F$10))*(1+Apport_Z315),0))+Apport_201A2425,6)</f>
        <v>7.4580999999999995E-2</v>
      </c>
      <c r="D255">
        <f>ROUND(IF(VLOOKUP($A255,EnrollData2324,'2324 Jun 24 Enroll'!D$1,FALSE)='District Calculations'!$F$11,VLOOKUP($A255,EnrollData2324,'2324 Jun 24 Enroll'!D$1,FALSE),'District Calculations'!$F$11)*C255,3)</f>
        <v>0</v>
      </c>
      <c r="E255">
        <f>ROUND(IF(VLOOKUP($A255,EnrollData2324,'2324 Jun 24 Enroll'!E$1,FALSE)='District Calculations'!$F$12,VLOOKUP($A255,EnrollData2324,'2324 Jun 24 Enroll'!E$1,FALSE),'District Calculations'!$F$12)*C255,3)</f>
        <v>60.447000000000003</v>
      </c>
      <c r="F255">
        <f>ROUND(IF(VLOOKUP($A255,EnrollData2324,'2324 Jun 24 Enroll'!F$1,FALSE)='District Calculations'!$F$13,VLOOKUP($A255,EnrollData2324,'2324 Jun 24 Enroll'!F$1,FALSE),'District Calculations'!$F$13)*Apport_222A2425,3)</f>
        <v>10.337999999999999</v>
      </c>
      <c r="G255">
        <f>ROUND(IF(VLOOKUP($A255,EnrollData2324,'2324 Jun 24 Enroll'!G$1,FALSE)='District Calculations'!$F$14,VLOOKUP($A255,EnrollData2324,'2324 Jun 24 Enroll'!G$1,FALSE),'District Calculations'!$F$14)*Apport_210A2425,3)</f>
        <v>22.92</v>
      </c>
      <c r="H255">
        <f>ROUND(IF(VLOOKUP($A255,EnrollData2324,'2324 Jun 24 Enroll'!H$1,FALSE)='District Calculations'!$F$15,VLOOKUP($A255,EnrollData2324,'2324 Jun 24 Enroll'!H$1,FALSE),'District Calculations'!$F$15)*Apport_213A2425,3)</f>
        <v>23.619</v>
      </c>
      <c r="I255">
        <f>ROUND(IF(VLOOKUP($A255,EnrollData2324,'2324 Jun 24 Enroll'!I$1,FALSE)+VLOOKUP($A255,EnrollData2324,'2324 Jun 24 Enroll'!M$1,FALSE)-VLOOKUP($A255,EnrollData2324,'2324 Jun 24 Enroll'!J$1,FALSE)='District Calculations'!$F$16+'District Calculations'!$F$25-'District Calculations'!$F$17,VLOOKUP($A255,EnrollData2324,'2324 Jun 24 Enroll'!I$1,FALSE)+VLOOKUP($A255,EnrollData2324,'2324 Jun 24 Enroll'!M$1,FALSE)-VLOOKUP($A255,EnrollData2324,'2324 Jun 24 Enroll'!J$1,FALSE),'District Calculations'!$F$16+'District Calculations'!$F$25-'District Calculations'!$F$17)*Apport_216A2425,3)</f>
        <v>59.057000000000002</v>
      </c>
      <c r="J255">
        <f>ROUND(SUM(D255:I255)/(IF(VLOOKUP($A255,EnrollData2324,'2324 Jun 24 Enroll'!M$1,FALSE)='District Calculations'!$F$25,VLOOKUP($A255,EnrollData2324,'2324 Jun 24 Enroll'!M$1,FALSE),'District Calculations'!$F$25)+IF(VLOOKUP($A255,EnrollData2324,'2324 Jun 24 Enroll'!D$1,FALSE)='District Calculations'!$F$11,VLOOKUP($A255,EnrollData2324,'2324 Jun 24 Enroll'!D$1,FALSE),'District Calculations'!$F$11)),5)</f>
        <v>5.6520000000000001E-2</v>
      </c>
      <c r="K255" s="11">
        <f t="shared" si="50"/>
        <v>4.385E-3</v>
      </c>
      <c r="L255">
        <f>ROUND(IF(VLOOKUP($A255,EnrollData2324,'2324 Jun 24 Enroll'!D$1,FALSE)='District Calculations'!$F$11,VLOOKUP($A255,EnrollData2324,'2324 Jun 24 Enroll'!D$1,FALSE),'District Calculations'!$F$11)*K255,3)</f>
        <v>0</v>
      </c>
      <c r="M255">
        <f>ROUND(IF(VLOOKUP($A255,EnrollData2324,'2324 Jun 24 Enroll'!E$1,FALSE)='District Calculations'!$F$12,VLOOKUP($A255,EnrollData2324,'2324 Jun 24 Enroll'!E$1,FALSE),'District Calculations'!$F$12)*K255,3)</f>
        <v>3.5539999999999998</v>
      </c>
      <c r="N255">
        <f>ROUND(IF(VLOOKUP($A255,EnrollData2324,'2324 Jun 24 Enroll'!F$1,FALSE)='District Calculations'!$F$13,VLOOKUP($A255,EnrollData2324,'2324 Jun 24 Enroll'!F$1,FALSE),'District Calculations'!$F$13)*Apport_223A2425,3)</f>
        <v>0.84599999999999997</v>
      </c>
      <c r="O255">
        <f>ROUND(IF(VLOOKUP($A255,EnrollData2324,'2324 Jun 24 Enroll'!G$1,FALSE)='District Calculations'!$F$14,VLOOKUP($A255,EnrollData2324,'2324 Jun 24 Enroll'!G$1,FALSE),'District Calculations'!$F$14)*Apport_211A2425,3)</f>
        <v>1.877</v>
      </c>
      <c r="P255">
        <f>ROUND(IF(VLOOKUP($A255,EnrollData2324,'2324 Jun 24 Enroll'!H$1,FALSE)='District Calculations'!$F$14,VLOOKUP($A255,EnrollData2324,'2324 Jun 24 Enroll'!H$1,FALSE),'District Calculations'!$F$14)*Apport_214A2425,3)</f>
        <v>1.875</v>
      </c>
      <c r="Q255">
        <f>ROUND(IF(VLOOKUP($A255,EnrollData2324,'2324 Jun 24 Enroll'!I$1,FALSE)+VLOOKUP($A255,EnrollData2324,'2324 Jun 24 Enroll'!M$1,FALSE)-VLOOKUP($A255,EnrollData2324,'2324 Jun 24 Enroll'!J$1,FALSE)='District Calculations'!$F$16+'District Calculations'!$F$25-'District Calculations'!$F$17,VLOOKUP($A255,EnrollData2324,'2324 Jun 24 Enroll'!I$1,FALSE)+VLOOKUP($A255,EnrollData2324,'2324 Jun 24 Enroll'!M$1,FALSE)-VLOOKUP($A255,EnrollData2324,'2324 Jun 24 Enroll'!J$1,FALSE),'District Calculations'!$F$16+'District Calculations'!$F$25-'District Calculations'!$F$17)*Apport_217A2425,3)</f>
        <v>4.7130000000000001</v>
      </c>
      <c r="R255">
        <f>ROUND(SUM(L255:Q255)/IF(VLOOKUP($A255,EnrollData2324,'2324 Jun 24 Enroll'!M$1,FALSE)+VLOOKUP($A255,EnrollData2324,'2324 Jun 24 Enroll'!D$1,FALSE)='District Calculations'!$F$25+'District Calculations'!$F$11,VLOOKUP($A255,EnrollData2324,'2324 Jun 24 Enroll'!M$1,FALSE)+VLOOKUP($A255,EnrollData2324,'2324 Jun 24 Enroll'!D$1,FALSE),'District Calculations'!$F$25+'District Calculations'!$F$11),5)</f>
        <v>4.1200000000000004E-3</v>
      </c>
      <c r="S255" s="11">
        <f t="shared" si="51"/>
        <v>1.8734299999999999E-2</v>
      </c>
      <c r="T255">
        <f>ROUND(IF(VLOOKUP($A255,EnrollData2324,'2324 Jun 24 Enroll'!D$1,FALSE)='District Calculations'!$F$11,VLOOKUP($A255,EnrollData2324,'2324 Jun 24 Enroll'!D$1,FALSE),'District Calculations'!$F$11)*S255,3)</f>
        <v>0</v>
      </c>
      <c r="U255">
        <f>ROUND(IF(VLOOKUP($A255,EnrollData2324,'2324 Jun 24 Enroll'!E$1,FALSE)='District Calculations'!$F$12,VLOOKUP($A255,EnrollData2324,'2324 Jun 24 Enroll'!E$1,FALSE),'District Calculations'!$F$12)*S255,3)</f>
        <v>15.183999999999999</v>
      </c>
      <c r="V255">
        <f>ROUND(IF(VLOOKUP($A255,EnrollData2324,'2324 Jun 24 Enroll'!F$1,FALSE)='District Calculations'!$F$13,VLOOKUP($A255,EnrollData2324,'2324 Jun 24 Enroll'!F$1,FALSE),'District Calculations'!$F$13)*Apport_224A2425,3)</f>
        <v>3.7109999999999999</v>
      </c>
      <c r="W255">
        <f>ROUND(IF(VLOOKUP($A255,EnrollData2324,'2324 Jun 24 Enroll'!G$1,FALSE)='District Calculations'!$F$14,VLOOKUP($A255,EnrollData2324,'2324 Jun 24 Enroll'!G$1,FALSE),'District Calculations'!$F$14)*Apport_212A2425,3)</f>
        <v>8.2279999999999998</v>
      </c>
      <c r="X255">
        <f>ROUND(IF(VLOOKUP($A255,EnrollData2324,'2324 Jun 24 Enroll'!H$1,FALSE)='District Calculations'!$F$14,VLOOKUP($A255,EnrollData2324,'2324 Jun 24 Enroll'!H$1,FALSE),'District Calculations'!$F$14)*Apport_215A2425,3)</f>
        <v>8.1180000000000003</v>
      </c>
      <c r="Y255">
        <f>ROUND(IF(VLOOKUP($A255,EnrollData2324,'2324 Jun 24 Enroll'!I$1,FALSE)+VLOOKUP($A255,EnrollData2324,'2324 Jun 24 Enroll'!M$1,FALSE)-VLOOKUP($A255,EnrollData2324,'2324 Jun 24 Enroll'!J$1,FALSE)='District Calculations'!$F$16+'District Calculations'!$F$25-'District Calculations'!$F$17,VLOOKUP($A255,EnrollData2324,'2324 Jun 24 Enroll'!I$1,FALSE)+VLOOKUP($A255,EnrollData2324,'2324 Jun 24 Enroll'!M$1,FALSE)-VLOOKUP($A255,EnrollData2324,'2324 Jun 24 Enroll'!J$1,FALSE),'District Calculations'!$F$16+'District Calculations'!$F$25-'District Calculations'!$F$17)*Apport_218A2425,3)</f>
        <v>20.257999999999999</v>
      </c>
      <c r="Z255">
        <f>ROUND(SUM(T255:Y255)/IF(VLOOKUP($A255,EnrollData2324,'2324 Jun 24 Enroll'!M$1,FALSE)+VLOOKUP($A255,EnrollData2324,'2324 Jun 24 Enroll'!D$1,FALSE)='District Calculations'!$F$25+'District Calculations'!$F$11,VLOOKUP($A255,EnrollData2324,'2324 Jun 24 Enroll'!M$1,FALSE)+VLOOKUP($A255,EnrollData2324,'2324 Jun 24 Enroll'!D$1,FALSE),'District Calculations'!$F$25+'District Calculations'!$F$11),5)</f>
        <v>1.7780000000000001E-2</v>
      </c>
      <c r="AA255" s="6">
        <f>ROUND($J255*CIS_Base_Salary2425*VLOOKUP($A255,EnrollData2324,'2324 Jun 24 Enroll'!AH$1,FALSE),2)</f>
        <v>4262.68</v>
      </c>
      <c r="AB255" s="6">
        <f>ROUND($J255*CIS_Inc_Salary2425*(VLOOKUP($A255,EnrollData2324,'2324 Jun 24 Enroll'!AI$1,FALSE)+VLOOKUP($A255,EnrollData2324,'2324 Jun 24 Enroll'!AJ$1,FALSE)),2)-AA255</f>
        <v>157.6899999999996</v>
      </c>
      <c r="AC255" s="6" cm="1">
        <f t="array" ref="AC255">ROUND($R255*CAS_Base_Salary2425*VLOOKUP($A255,EnrollData2324,'2324 Jun 24 Enroll'!AH$1,FALSE),2)</f>
        <v>461.23</v>
      </c>
      <c r="AD255" s="6">
        <f>ROUND($R255*CAS_Inc_Salary2425*VLOOKUP($A255,EnrollData2324,'2324 Jun 24 Enroll'!AI$1,FALSE),2)-AC255</f>
        <v>17.069999999999993</v>
      </c>
      <c r="AE255" s="6">
        <f>ROUND($Z255*CLS_Base_Salary2425*VLOOKUP($A255,EnrollData2324,'2324 Jun 24 Enroll'!AH$1,FALSE),2)</f>
        <v>961.95</v>
      </c>
      <c r="AF255" s="6">
        <f>ROUND($Z255*CLS_Inc_Salary2425*VLOOKUP($A255,EnrollData2324,'2324 Jun 24 Enroll'!AI$1,FALSE),2)-AE255</f>
        <v>35.599999999999909</v>
      </c>
      <c r="AG255" cm="1">
        <f t="array" ref="AG255">ROUND(($J255+$R255)*Apport_124X2425,2)</f>
        <v>800.45</v>
      </c>
      <c r="AH255" s="69" cm="1">
        <f t="array" ref="AH255">ROUND(($J255+$R255)*Apport_621X2425*Apport_125XC2425,2)-AG255</f>
        <v>73.899999999999977</v>
      </c>
      <c r="AI255" cm="1">
        <f t="array" ref="AI255">ROUND($Z255*Apport_124X2425,2)</f>
        <v>234.7</v>
      </c>
      <c r="AJ255">
        <f t="shared" si="52"/>
        <v>124.71000000000004</v>
      </c>
      <c r="AK255">
        <f t="shared" si="53"/>
        <v>857.39</v>
      </c>
      <c r="AL255">
        <f t="shared" si="54"/>
        <v>30.6</v>
      </c>
      <c r="AM255">
        <f t="shared" si="55"/>
        <v>208.36</v>
      </c>
      <c r="AN255">
        <f t="shared" si="56"/>
        <v>6.46</v>
      </c>
      <c r="AO255">
        <f>ROUND(($J255*CIS_Inc_Salary2425*(VLOOKUP($A255,EnrollData2324,'2324 Jun 24 Enroll'!AI$1,FALSE)+VLOOKUP($A255,EnrollData2324,'2324 Jun 24 Enroll'!AJ$1,FALSE))/Apport_613Xpd)*Apport_614Xpd,2)</f>
        <v>73.67</v>
      </c>
      <c r="AP255">
        <f t="shared" si="57"/>
        <v>12.9</v>
      </c>
      <c r="AQ255">
        <f t="shared" si="58"/>
        <v>31.48</v>
      </c>
      <c r="AR255" s="6">
        <f>ROUND((VLOOKUP($A255,EnrollData2324,'2324 Jun 24 Enroll'!D$1,FALSE)*Apport_M802425+VLOOKUP($A255,EnrollData2324,'2324 Jun 24 Enroll'!M$1,FALSE)*Apport_M802425+(VLOOKUP($A255,EnrollData2324,'2324 Jun 24 Enroll'!P$1,FALSE)+VLOOKUP($A255,EnrollData2324,'2324 Jun 24 Enroll'!Q$1,FALSE)+VLOOKUP($A255,EnrollData2324,'2324 Jun 24 Enroll'!R$1,FALSE)+VLOOKUP($A255,EnrollData2324,'2324 Jun 24 Enroll'!I$1,FALSE)+VLOOKUP($A255,EnrollData2324,'2324 Jun 24 Enroll'!N$1,FALSE)+VLOOKUP($A255,EnrollData2324,'2324 Jun 24 Enroll'!O$1,FALSE)+VLOOKUP($A255,EnrollData2324,'2324 Jun 24 Enroll'!K$1,FALSE)+VLOOKUP($A255,EnrollData2324,'2324 Jun 24 Enroll'!L$1,FALSE))*Apport_M812425)/(VLOOKUP($A255,EnrollData2324,'2324 Jun 24 Enroll'!M$1,FALSE)+VLOOKUP($A255,EnrollData2324,'2324 Jun 24 Enroll'!D$1,FALSE)),2)</f>
        <v>1629.11</v>
      </c>
      <c r="AS255" s="7">
        <f t="shared" si="59"/>
        <v>9979.9499999999989</v>
      </c>
    </row>
    <row r="256" spans="1:45">
      <c r="A256" s="40" t="s">
        <v>428</v>
      </c>
      <c r="B256" s="40" t="s">
        <v>429</v>
      </c>
      <c r="C256" s="11">
        <f>ROUND((IFERROR((1/IF(VLOOKUP($A256,EnrollData2324,28,FALSE)='District Calculations'!$F$10,VLOOKUP($A256,EnrollData2324,28,FALSE),'District Calculations'!$F$10))*(1+Apport_Z315),0))+Apport_201A2425,6)</f>
        <v>7.4580999999999995E-2</v>
      </c>
      <c r="D256">
        <f>ROUND(IF(VLOOKUP($A256,EnrollData2324,'2324 Jun 24 Enroll'!D$1,FALSE)='District Calculations'!$F$11,VLOOKUP($A256,EnrollData2324,'2324 Jun 24 Enroll'!D$1,FALSE),'District Calculations'!$F$11)*C256,3)</f>
        <v>0</v>
      </c>
      <c r="E256">
        <f>ROUND(IF(VLOOKUP($A256,EnrollData2324,'2324 Jun 24 Enroll'!E$1,FALSE)='District Calculations'!$F$12,VLOOKUP($A256,EnrollData2324,'2324 Jun 24 Enroll'!E$1,FALSE),'District Calculations'!$F$12)*C256,3)</f>
        <v>60.447000000000003</v>
      </c>
      <c r="F256">
        <f>ROUND(IF(VLOOKUP($A256,EnrollData2324,'2324 Jun 24 Enroll'!F$1,FALSE)='District Calculations'!$F$13,VLOOKUP($A256,EnrollData2324,'2324 Jun 24 Enroll'!F$1,FALSE),'District Calculations'!$F$13)*Apport_222A2425,3)</f>
        <v>10.337999999999999</v>
      </c>
      <c r="G256">
        <f>ROUND(IF(VLOOKUP($A256,EnrollData2324,'2324 Jun 24 Enroll'!G$1,FALSE)='District Calculations'!$F$14,VLOOKUP($A256,EnrollData2324,'2324 Jun 24 Enroll'!G$1,FALSE),'District Calculations'!$F$14)*Apport_210A2425,3)</f>
        <v>22.92</v>
      </c>
      <c r="H256">
        <f>ROUND(IF(VLOOKUP($A256,EnrollData2324,'2324 Jun 24 Enroll'!H$1,FALSE)='District Calculations'!$F$15,VLOOKUP($A256,EnrollData2324,'2324 Jun 24 Enroll'!H$1,FALSE),'District Calculations'!$F$15)*Apport_213A2425,3)</f>
        <v>23.619</v>
      </c>
      <c r="I256">
        <f>ROUND(IF(VLOOKUP($A256,EnrollData2324,'2324 Jun 24 Enroll'!I$1,FALSE)+VLOOKUP($A256,EnrollData2324,'2324 Jun 24 Enroll'!M$1,FALSE)-VLOOKUP($A256,EnrollData2324,'2324 Jun 24 Enroll'!J$1,FALSE)='District Calculations'!$F$16+'District Calculations'!$F$25-'District Calculations'!$F$17,VLOOKUP($A256,EnrollData2324,'2324 Jun 24 Enroll'!I$1,FALSE)+VLOOKUP($A256,EnrollData2324,'2324 Jun 24 Enroll'!M$1,FALSE)-VLOOKUP($A256,EnrollData2324,'2324 Jun 24 Enroll'!J$1,FALSE),'District Calculations'!$F$16+'District Calculations'!$F$25-'District Calculations'!$F$17)*Apport_216A2425,3)</f>
        <v>59.057000000000002</v>
      </c>
      <c r="J256">
        <f>ROUND(SUM(D256:I256)/(IF(VLOOKUP($A256,EnrollData2324,'2324 Jun 24 Enroll'!M$1,FALSE)='District Calculations'!$F$25,VLOOKUP($A256,EnrollData2324,'2324 Jun 24 Enroll'!M$1,FALSE),'District Calculations'!$F$25)+IF(VLOOKUP($A256,EnrollData2324,'2324 Jun 24 Enroll'!D$1,FALSE)='District Calculations'!$F$11,VLOOKUP($A256,EnrollData2324,'2324 Jun 24 Enroll'!D$1,FALSE),'District Calculations'!$F$11)),5)</f>
        <v>5.6520000000000001E-2</v>
      </c>
      <c r="K256" s="11">
        <f t="shared" si="50"/>
        <v>4.385E-3</v>
      </c>
      <c r="L256">
        <f>ROUND(IF(VLOOKUP($A256,EnrollData2324,'2324 Jun 24 Enroll'!D$1,FALSE)='District Calculations'!$F$11,VLOOKUP($A256,EnrollData2324,'2324 Jun 24 Enroll'!D$1,FALSE),'District Calculations'!$F$11)*K256,3)</f>
        <v>0</v>
      </c>
      <c r="M256">
        <f>ROUND(IF(VLOOKUP($A256,EnrollData2324,'2324 Jun 24 Enroll'!E$1,FALSE)='District Calculations'!$F$12,VLOOKUP($A256,EnrollData2324,'2324 Jun 24 Enroll'!E$1,FALSE),'District Calculations'!$F$12)*K256,3)</f>
        <v>3.5539999999999998</v>
      </c>
      <c r="N256">
        <f>ROUND(IF(VLOOKUP($A256,EnrollData2324,'2324 Jun 24 Enroll'!F$1,FALSE)='District Calculations'!$F$13,VLOOKUP($A256,EnrollData2324,'2324 Jun 24 Enroll'!F$1,FALSE),'District Calculations'!$F$13)*Apport_223A2425,3)</f>
        <v>0.84599999999999997</v>
      </c>
      <c r="O256">
        <f>ROUND(IF(VLOOKUP($A256,EnrollData2324,'2324 Jun 24 Enroll'!G$1,FALSE)='District Calculations'!$F$14,VLOOKUP($A256,EnrollData2324,'2324 Jun 24 Enroll'!G$1,FALSE),'District Calculations'!$F$14)*Apport_211A2425,3)</f>
        <v>1.877</v>
      </c>
      <c r="P256">
        <f>ROUND(IF(VLOOKUP($A256,EnrollData2324,'2324 Jun 24 Enroll'!H$1,FALSE)='District Calculations'!$F$14,VLOOKUP($A256,EnrollData2324,'2324 Jun 24 Enroll'!H$1,FALSE),'District Calculations'!$F$14)*Apport_214A2425,3)</f>
        <v>1.875</v>
      </c>
      <c r="Q256">
        <f>ROUND(IF(VLOOKUP($A256,EnrollData2324,'2324 Jun 24 Enroll'!I$1,FALSE)+VLOOKUP($A256,EnrollData2324,'2324 Jun 24 Enroll'!M$1,FALSE)-VLOOKUP($A256,EnrollData2324,'2324 Jun 24 Enroll'!J$1,FALSE)='District Calculations'!$F$16+'District Calculations'!$F$25-'District Calculations'!$F$17,VLOOKUP($A256,EnrollData2324,'2324 Jun 24 Enroll'!I$1,FALSE)+VLOOKUP($A256,EnrollData2324,'2324 Jun 24 Enroll'!M$1,FALSE)-VLOOKUP($A256,EnrollData2324,'2324 Jun 24 Enroll'!J$1,FALSE),'District Calculations'!$F$16+'District Calculations'!$F$25-'District Calculations'!$F$17)*Apport_217A2425,3)</f>
        <v>4.7130000000000001</v>
      </c>
      <c r="R256">
        <f>ROUND(SUM(L256:Q256)/IF(VLOOKUP($A256,EnrollData2324,'2324 Jun 24 Enroll'!M$1,FALSE)+VLOOKUP($A256,EnrollData2324,'2324 Jun 24 Enroll'!D$1,FALSE)='District Calculations'!$F$25+'District Calculations'!$F$11,VLOOKUP($A256,EnrollData2324,'2324 Jun 24 Enroll'!M$1,FALSE)+VLOOKUP($A256,EnrollData2324,'2324 Jun 24 Enroll'!D$1,FALSE),'District Calculations'!$F$25+'District Calculations'!$F$11),5)</f>
        <v>4.1200000000000004E-3</v>
      </c>
      <c r="S256" s="11">
        <f t="shared" si="51"/>
        <v>1.8734299999999999E-2</v>
      </c>
      <c r="T256">
        <f>ROUND(IF(VLOOKUP($A256,EnrollData2324,'2324 Jun 24 Enroll'!D$1,FALSE)='District Calculations'!$F$11,VLOOKUP($A256,EnrollData2324,'2324 Jun 24 Enroll'!D$1,FALSE),'District Calculations'!$F$11)*S256,3)</f>
        <v>0</v>
      </c>
      <c r="U256">
        <f>ROUND(IF(VLOOKUP($A256,EnrollData2324,'2324 Jun 24 Enroll'!E$1,FALSE)='District Calculations'!$F$12,VLOOKUP($A256,EnrollData2324,'2324 Jun 24 Enroll'!E$1,FALSE),'District Calculations'!$F$12)*S256,3)</f>
        <v>15.183999999999999</v>
      </c>
      <c r="V256">
        <f>ROUND(IF(VLOOKUP($A256,EnrollData2324,'2324 Jun 24 Enroll'!F$1,FALSE)='District Calculations'!$F$13,VLOOKUP($A256,EnrollData2324,'2324 Jun 24 Enroll'!F$1,FALSE),'District Calculations'!$F$13)*Apport_224A2425,3)</f>
        <v>3.7109999999999999</v>
      </c>
      <c r="W256">
        <f>ROUND(IF(VLOOKUP($A256,EnrollData2324,'2324 Jun 24 Enroll'!G$1,FALSE)='District Calculations'!$F$14,VLOOKUP($A256,EnrollData2324,'2324 Jun 24 Enroll'!G$1,FALSE),'District Calculations'!$F$14)*Apport_212A2425,3)</f>
        <v>8.2279999999999998</v>
      </c>
      <c r="X256">
        <f>ROUND(IF(VLOOKUP($A256,EnrollData2324,'2324 Jun 24 Enroll'!H$1,FALSE)='District Calculations'!$F$14,VLOOKUP($A256,EnrollData2324,'2324 Jun 24 Enroll'!H$1,FALSE),'District Calculations'!$F$14)*Apport_215A2425,3)</f>
        <v>8.1180000000000003</v>
      </c>
      <c r="Y256">
        <f>ROUND(IF(VLOOKUP($A256,EnrollData2324,'2324 Jun 24 Enroll'!I$1,FALSE)+VLOOKUP($A256,EnrollData2324,'2324 Jun 24 Enroll'!M$1,FALSE)-VLOOKUP($A256,EnrollData2324,'2324 Jun 24 Enroll'!J$1,FALSE)='District Calculations'!$F$16+'District Calculations'!$F$25-'District Calculations'!$F$17,VLOOKUP($A256,EnrollData2324,'2324 Jun 24 Enroll'!I$1,FALSE)+VLOOKUP($A256,EnrollData2324,'2324 Jun 24 Enroll'!M$1,FALSE)-VLOOKUP($A256,EnrollData2324,'2324 Jun 24 Enroll'!J$1,FALSE),'District Calculations'!$F$16+'District Calculations'!$F$25-'District Calculations'!$F$17)*Apport_218A2425,3)</f>
        <v>20.257999999999999</v>
      </c>
      <c r="Z256">
        <f>ROUND(SUM(T256:Y256)/IF(VLOOKUP($A256,EnrollData2324,'2324 Jun 24 Enroll'!M$1,FALSE)+VLOOKUP($A256,EnrollData2324,'2324 Jun 24 Enroll'!D$1,FALSE)='District Calculations'!$F$25+'District Calculations'!$F$11,VLOOKUP($A256,EnrollData2324,'2324 Jun 24 Enroll'!M$1,FALSE)+VLOOKUP($A256,EnrollData2324,'2324 Jun 24 Enroll'!D$1,FALSE),'District Calculations'!$F$25+'District Calculations'!$F$11),5)</f>
        <v>1.7780000000000001E-2</v>
      </c>
      <c r="AA256" s="6">
        <f>ROUND($J256*CIS_Base_Salary2425*VLOOKUP($A256,EnrollData2324,'2324 Jun 24 Enroll'!AH$1,FALSE),2)</f>
        <v>4262.68</v>
      </c>
      <c r="AB256" s="6">
        <f>ROUND($J256*CIS_Inc_Salary2425*(VLOOKUP($A256,EnrollData2324,'2324 Jun 24 Enroll'!AI$1,FALSE)+VLOOKUP($A256,EnrollData2324,'2324 Jun 24 Enroll'!AJ$1,FALSE)),2)-AA256</f>
        <v>157.6899999999996</v>
      </c>
      <c r="AC256" s="6" cm="1">
        <f t="array" ref="AC256">ROUND($R256*CAS_Base_Salary2425*VLOOKUP($A256,EnrollData2324,'2324 Jun 24 Enroll'!AH$1,FALSE),2)</f>
        <v>461.23</v>
      </c>
      <c r="AD256" s="6">
        <f>ROUND($R256*CAS_Inc_Salary2425*VLOOKUP($A256,EnrollData2324,'2324 Jun 24 Enroll'!AI$1,FALSE),2)-AC256</f>
        <v>17.069999999999993</v>
      </c>
      <c r="AE256" s="6">
        <f>ROUND($Z256*CLS_Base_Salary2425*VLOOKUP($A256,EnrollData2324,'2324 Jun 24 Enroll'!AH$1,FALSE),2)</f>
        <v>961.95</v>
      </c>
      <c r="AF256" s="6">
        <f>ROUND($Z256*CLS_Inc_Salary2425*VLOOKUP($A256,EnrollData2324,'2324 Jun 24 Enroll'!AI$1,FALSE),2)-AE256</f>
        <v>35.599999999999909</v>
      </c>
      <c r="AG256" cm="1">
        <f t="array" ref="AG256">ROUND(($J256+$R256)*Apport_124X2425,2)</f>
        <v>800.45</v>
      </c>
      <c r="AH256" s="69" cm="1">
        <f t="array" ref="AH256">ROUND(($J256+$R256)*Apport_621X2425*Apport_125XC2425,2)-AG256</f>
        <v>73.899999999999977</v>
      </c>
      <c r="AI256" cm="1">
        <f t="array" ref="AI256">ROUND($Z256*Apport_124X2425,2)</f>
        <v>234.7</v>
      </c>
      <c r="AJ256">
        <f t="shared" si="52"/>
        <v>124.71000000000004</v>
      </c>
      <c r="AK256">
        <f t="shared" si="53"/>
        <v>857.39</v>
      </c>
      <c r="AL256">
        <f t="shared" si="54"/>
        <v>30.6</v>
      </c>
      <c r="AM256">
        <f t="shared" si="55"/>
        <v>208.36</v>
      </c>
      <c r="AN256">
        <f t="shared" si="56"/>
        <v>6.46</v>
      </c>
      <c r="AO256">
        <f>ROUND(($J256*CIS_Inc_Salary2425*(VLOOKUP($A256,EnrollData2324,'2324 Jun 24 Enroll'!AI$1,FALSE)+VLOOKUP($A256,EnrollData2324,'2324 Jun 24 Enroll'!AJ$1,FALSE))/Apport_613Xpd)*Apport_614Xpd,2)</f>
        <v>73.67</v>
      </c>
      <c r="AP256">
        <f t="shared" si="57"/>
        <v>12.9</v>
      </c>
      <c r="AQ256">
        <f t="shared" si="58"/>
        <v>31.48</v>
      </c>
      <c r="AR256" s="6">
        <f>ROUND((VLOOKUP($A256,EnrollData2324,'2324 Jun 24 Enroll'!D$1,FALSE)*Apport_M802425+VLOOKUP($A256,EnrollData2324,'2324 Jun 24 Enroll'!M$1,FALSE)*Apport_M802425+(VLOOKUP($A256,EnrollData2324,'2324 Jun 24 Enroll'!P$1,FALSE)+VLOOKUP($A256,EnrollData2324,'2324 Jun 24 Enroll'!Q$1,FALSE)+VLOOKUP($A256,EnrollData2324,'2324 Jun 24 Enroll'!R$1,FALSE)+VLOOKUP($A256,EnrollData2324,'2324 Jun 24 Enroll'!I$1,FALSE)+VLOOKUP($A256,EnrollData2324,'2324 Jun 24 Enroll'!N$1,FALSE)+VLOOKUP($A256,EnrollData2324,'2324 Jun 24 Enroll'!O$1,FALSE)+VLOOKUP($A256,EnrollData2324,'2324 Jun 24 Enroll'!K$1,FALSE)+VLOOKUP($A256,EnrollData2324,'2324 Jun 24 Enroll'!L$1,FALSE))*Apport_M812425)/(VLOOKUP($A256,EnrollData2324,'2324 Jun 24 Enroll'!M$1,FALSE)+VLOOKUP($A256,EnrollData2324,'2324 Jun 24 Enroll'!D$1,FALSE)),2)</f>
        <v>1630.01</v>
      </c>
      <c r="AS256" s="7">
        <f t="shared" si="59"/>
        <v>9980.8499999999985</v>
      </c>
    </row>
    <row r="257" spans="1:45">
      <c r="A257" s="40" t="s">
        <v>731</v>
      </c>
      <c r="B257" s="40" t="s">
        <v>732</v>
      </c>
      <c r="C257" s="11">
        <f>ROUND((IFERROR((1/IF(VLOOKUP($A257,EnrollData2324,28,FALSE)='District Calculations'!$F$10,VLOOKUP($A257,EnrollData2324,28,FALSE),'District Calculations'!$F$10))*(1+Apport_Z315),0))+Apport_201A2425,6)</f>
        <v>7.4580999999999995E-2</v>
      </c>
      <c r="D257">
        <f>ROUND(IF(VLOOKUP($A257,EnrollData2324,'2324 Jun 24 Enroll'!D$1,FALSE)='District Calculations'!$F$11,VLOOKUP($A257,EnrollData2324,'2324 Jun 24 Enroll'!D$1,FALSE),'District Calculations'!$F$11)*C257,3)</f>
        <v>0</v>
      </c>
      <c r="E257">
        <f>ROUND(IF(VLOOKUP($A257,EnrollData2324,'2324 Jun 24 Enroll'!E$1,FALSE)='District Calculations'!$F$12,VLOOKUP($A257,EnrollData2324,'2324 Jun 24 Enroll'!E$1,FALSE),'District Calculations'!$F$12)*C257,3)</f>
        <v>60.447000000000003</v>
      </c>
      <c r="F257">
        <f>ROUND(IF(VLOOKUP($A257,EnrollData2324,'2324 Jun 24 Enroll'!F$1,FALSE)='District Calculations'!$F$13,VLOOKUP($A257,EnrollData2324,'2324 Jun 24 Enroll'!F$1,FALSE),'District Calculations'!$F$13)*Apport_222A2425,3)</f>
        <v>10.337999999999999</v>
      </c>
      <c r="G257">
        <f>ROUND(IF(VLOOKUP($A257,EnrollData2324,'2324 Jun 24 Enroll'!G$1,FALSE)='District Calculations'!$F$14,VLOOKUP($A257,EnrollData2324,'2324 Jun 24 Enroll'!G$1,FALSE),'District Calculations'!$F$14)*Apport_210A2425,3)</f>
        <v>22.92</v>
      </c>
      <c r="H257">
        <f>ROUND(IF(VLOOKUP($A257,EnrollData2324,'2324 Jun 24 Enroll'!H$1,FALSE)='District Calculations'!$F$15,VLOOKUP($A257,EnrollData2324,'2324 Jun 24 Enroll'!H$1,FALSE),'District Calculations'!$F$15)*Apport_213A2425,3)</f>
        <v>23.619</v>
      </c>
      <c r="I257">
        <f>ROUND(IF(VLOOKUP($A257,EnrollData2324,'2324 Jun 24 Enroll'!I$1,FALSE)+VLOOKUP($A257,EnrollData2324,'2324 Jun 24 Enroll'!M$1,FALSE)-VLOOKUP($A257,EnrollData2324,'2324 Jun 24 Enroll'!J$1,FALSE)='District Calculations'!$F$16+'District Calculations'!$F$25-'District Calculations'!$F$17,VLOOKUP($A257,EnrollData2324,'2324 Jun 24 Enroll'!I$1,FALSE)+VLOOKUP($A257,EnrollData2324,'2324 Jun 24 Enroll'!M$1,FALSE)-VLOOKUP($A257,EnrollData2324,'2324 Jun 24 Enroll'!J$1,FALSE),'District Calculations'!$F$16+'District Calculations'!$F$25-'District Calculations'!$F$17)*Apport_216A2425,3)</f>
        <v>59.057000000000002</v>
      </c>
      <c r="J257">
        <f>ROUND(SUM(D257:I257)/(IF(VLOOKUP($A257,EnrollData2324,'2324 Jun 24 Enroll'!M$1,FALSE)='District Calculations'!$F$25,VLOOKUP($A257,EnrollData2324,'2324 Jun 24 Enroll'!M$1,FALSE),'District Calculations'!$F$25)+IF(VLOOKUP($A257,EnrollData2324,'2324 Jun 24 Enroll'!D$1,FALSE)='District Calculations'!$F$11,VLOOKUP($A257,EnrollData2324,'2324 Jun 24 Enroll'!D$1,FALSE),'District Calculations'!$F$11)),5)</f>
        <v>5.6520000000000001E-2</v>
      </c>
      <c r="K257" s="11">
        <f t="shared" si="50"/>
        <v>4.385E-3</v>
      </c>
      <c r="L257">
        <f>ROUND(IF(VLOOKUP($A257,EnrollData2324,'2324 Jun 24 Enroll'!D$1,FALSE)='District Calculations'!$F$11,VLOOKUP($A257,EnrollData2324,'2324 Jun 24 Enroll'!D$1,FALSE),'District Calculations'!$F$11)*K257,3)</f>
        <v>0</v>
      </c>
      <c r="M257">
        <f>ROUND(IF(VLOOKUP($A257,EnrollData2324,'2324 Jun 24 Enroll'!E$1,FALSE)='District Calculations'!$F$12,VLOOKUP($A257,EnrollData2324,'2324 Jun 24 Enroll'!E$1,FALSE),'District Calculations'!$F$12)*K257,3)</f>
        <v>3.5539999999999998</v>
      </c>
      <c r="N257">
        <f>ROUND(IF(VLOOKUP($A257,EnrollData2324,'2324 Jun 24 Enroll'!F$1,FALSE)='District Calculations'!$F$13,VLOOKUP($A257,EnrollData2324,'2324 Jun 24 Enroll'!F$1,FALSE),'District Calculations'!$F$13)*Apport_223A2425,3)</f>
        <v>0.84599999999999997</v>
      </c>
      <c r="O257">
        <f>ROUND(IF(VLOOKUP($A257,EnrollData2324,'2324 Jun 24 Enroll'!G$1,FALSE)='District Calculations'!$F$14,VLOOKUP($A257,EnrollData2324,'2324 Jun 24 Enroll'!G$1,FALSE),'District Calculations'!$F$14)*Apport_211A2425,3)</f>
        <v>1.877</v>
      </c>
      <c r="P257">
        <f>ROUND(IF(VLOOKUP($A257,EnrollData2324,'2324 Jun 24 Enroll'!H$1,FALSE)='District Calculations'!$F$14,VLOOKUP($A257,EnrollData2324,'2324 Jun 24 Enroll'!H$1,FALSE),'District Calculations'!$F$14)*Apport_214A2425,3)</f>
        <v>1.875</v>
      </c>
      <c r="Q257">
        <f>ROUND(IF(VLOOKUP($A257,EnrollData2324,'2324 Jun 24 Enroll'!I$1,FALSE)+VLOOKUP($A257,EnrollData2324,'2324 Jun 24 Enroll'!M$1,FALSE)-VLOOKUP($A257,EnrollData2324,'2324 Jun 24 Enroll'!J$1,FALSE)='District Calculations'!$F$16+'District Calculations'!$F$25-'District Calculations'!$F$17,VLOOKUP($A257,EnrollData2324,'2324 Jun 24 Enroll'!I$1,FALSE)+VLOOKUP($A257,EnrollData2324,'2324 Jun 24 Enroll'!M$1,FALSE)-VLOOKUP($A257,EnrollData2324,'2324 Jun 24 Enroll'!J$1,FALSE),'District Calculations'!$F$16+'District Calculations'!$F$25-'District Calculations'!$F$17)*Apport_217A2425,3)</f>
        <v>4.7130000000000001</v>
      </c>
      <c r="R257">
        <f>ROUND(SUM(L257:Q257)/IF(VLOOKUP($A257,EnrollData2324,'2324 Jun 24 Enroll'!M$1,FALSE)+VLOOKUP($A257,EnrollData2324,'2324 Jun 24 Enroll'!D$1,FALSE)='District Calculations'!$F$25+'District Calculations'!$F$11,VLOOKUP($A257,EnrollData2324,'2324 Jun 24 Enroll'!M$1,FALSE)+VLOOKUP($A257,EnrollData2324,'2324 Jun 24 Enroll'!D$1,FALSE),'District Calculations'!$F$25+'District Calculations'!$F$11),5)</f>
        <v>4.1200000000000004E-3</v>
      </c>
      <c r="S257" s="11">
        <f t="shared" si="51"/>
        <v>1.8734299999999999E-2</v>
      </c>
      <c r="T257">
        <f>ROUND(IF(VLOOKUP($A257,EnrollData2324,'2324 Jun 24 Enroll'!D$1,FALSE)='District Calculations'!$F$11,VLOOKUP($A257,EnrollData2324,'2324 Jun 24 Enroll'!D$1,FALSE),'District Calculations'!$F$11)*S257,3)</f>
        <v>0</v>
      </c>
      <c r="U257">
        <f>ROUND(IF(VLOOKUP($A257,EnrollData2324,'2324 Jun 24 Enroll'!E$1,FALSE)='District Calculations'!$F$12,VLOOKUP($A257,EnrollData2324,'2324 Jun 24 Enroll'!E$1,FALSE),'District Calculations'!$F$12)*S257,3)</f>
        <v>15.183999999999999</v>
      </c>
      <c r="V257">
        <f>ROUND(IF(VLOOKUP($A257,EnrollData2324,'2324 Jun 24 Enroll'!F$1,FALSE)='District Calculations'!$F$13,VLOOKUP($A257,EnrollData2324,'2324 Jun 24 Enroll'!F$1,FALSE),'District Calculations'!$F$13)*Apport_224A2425,3)</f>
        <v>3.7109999999999999</v>
      </c>
      <c r="W257">
        <f>ROUND(IF(VLOOKUP($A257,EnrollData2324,'2324 Jun 24 Enroll'!G$1,FALSE)='District Calculations'!$F$14,VLOOKUP($A257,EnrollData2324,'2324 Jun 24 Enroll'!G$1,FALSE),'District Calculations'!$F$14)*Apport_212A2425,3)</f>
        <v>8.2279999999999998</v>
      </c>
      <c r="X257">
        <f>ROUND(IF(VLOOKUP($A257,EnrollData2324,'2324 Jun 24 Enroll'!H$1,FALSE)='District Calculations'!$F$14,VLOOKUP($A257,EnrollData2324,'2324 Jun 24 Enroll'!H$1,FALSE),'District Calculations'!$F$14)*Apport_215A2425,3)</f>
        <v>8.1180000000000003</v>
      </c>
      <c r="Y257">
        <f>ROUND(IF(VLOOKUP($A257,EnrollData2324,'2324 Jun 24 Enroll'!I$1,FALSE)+VLOOKUP($A257,EnrollData2324,'2324 Jun 24 Enroll'!M$1,FALSE)-VLOOKUP($A257,EnrollData2324,'2324 Jun 24 Enroll'!J$1,FALSE)='District Calculations'!$F$16+'District Calculations'!$F$25-'District Calculations'!$F$17,VLOOKUP($A257,EnrollData2324,'2324 Jun 24 Enroll'!I$1,FALSE)+VLOOKUP($A257,EnrollData2324,'2324 Jun 24 Enroll'!M$1,FALSE)-VLOOKUP($A257,EnrollData2324,'2324 Jun 24 Enroll'!J$1,FALSE),'District Calculations'!$F$16+'District Calculations'!$F$25-'District Calculations'!$F$17)*Apport_218A2425,3)</f>
        <v>20.257999999999999</v>
      </c>
      <c r="Z257">
        <f>ROUND(SUM(T257:Y257)/IF(VLOOKUP($A257,EnrollData2324,'2324 Jun 24 Enroll'!M$1,FALSE)+VLOOKUP($A257,EnrollData2324,'2324 Jun 24 Enroll'!D$1,FALSE)='District Calculations'!$F$25+'District Calculations'!$F$11,VLOOKUP($A257,EnrollData2324,'2324 Jun 24 Enroll'!M$1,FALSE)+VLOOKUP($A257,EnrollData2324,'2324 Jun 24 Enroll'!D$1,FALSE),'District Calculations'!$F$25+'District Calculations'!$F$11),5)</f>
        <v>1.7780000000000001E-2</v>
      </c>
      <c r="AA257" s="6">
        <f>ROUND($J257*CIS_Base_Salary2425*VLOOKUP($A257,EnrollData2324,'2324 Jun 24 Enroll'!AH$1,FALSE),2)</f>
        <v>4262.68</v>
      </c>
      <c r="AB257" s="6">
        <f>ROUND($J257*CIS_Inc_Salary2425*(VLOOKUP($A257,EnrollData2324,'2324 Jun 24 Enroll'!AI$1,FALSE)+VLOOKUP($A257,EnrollData2324,'2324 Jun 24 Enroll'!AJ$1,FALSE)),2)-AA257</f>
        <v>157.6899999999996</v>
      </c>
      <c r="AC257" s="6" cm="1">
        <f t="array" ref="AC257">ROUND($R257*CAS_Base_Salary2425*VLOOKUP($A257,EnrollData2324,'2324 Jun 24 Enroll'!AH$1,FALSE),2)</f>
        <v>461.23</v>
      </c>
      <c r="AD257" s="6">
        <f>ROUND($R257*CAS_Inc_Salary2425*VLOOKUP($A257,EnrollData2324,'2324 Jun 24 Enroll'!AI$1,FALSE),2)-AC257</f>
        <v>17.069999999999993</v>
      </c>
      <c r="AE257" s="6">
        <f>ROUND($Z257*CLS_Base_Salary2425*VLOOKUP($A257,EnrollData2324,'2324 Jun 24 Enroll'!AH$1,FALSE),2)</f>
        <v>961.95</v>
      </c>
      <c r="AF257" s="6">
        <f>ROUND($Z257*CLS_Inc_Salary2425*VLOOKUP($A257,EnrollData2324,'2324 Jun 24 Enroll'!AI$1,FALSE),2)-AE257</f>
        <v>35.599999999999909</v>
      </c>
      <c r="AG257" cm="1">
        <f t="array" ref="AG257">ROUND(($J257+$R257)*Apport_124X2425,2)</f>
        <v>800.45</v>
      </c>
      <c r="AH257" s="69" cm="1">
        <f t="array" ref="AH257">ROUND(($J257+$R257)*Apport_621X2425*Apport_125XC2425,2)-AG257</f>
        <v>73.899999999999977</v>
      </c>
      <c r="AI257" cm="1">
        <f t="array" ref="AI257">ROUND($Z257*Apport_124X2425,2)</f>
        <v>234.7</v>
      </c>
      <c r="AJ257">
        <f t="shared" si="52"/>
        <v>124.71000000000004</v>
      </c>
      <c r="AK257">
        <f t="shared" si="53"/>
        <v>857.39</v>
      </c>
      <c r="AL257">
        <f t="shared" si="54"/>
        <v>30.6</v>
      </c>
      <c r="AM257">
        <f t="shared" si="55"/>
        <v>208.36</v>
      </c>
      <c r="AN257">
        <f t="shared" si="56"/>
        <v>6.46</v>
      </c>
      <c r="AO257">
        <f>ROUND(($J257*CIS_Inc_Salary2425*(VLOOKUP($A257,EnrollData2324,'2324 Jun 24 Enroll'!AI$1,FALSE)+VLOOKUP($A257,EnrollData2324,'2324 Jun 24 Enroll'!AJ$1,FALSE))/Apport_613Xpd)*Apport_614Xpd,2)</f>
        <v>73.67</v>
      </c>
      <c r="AP257">
        <f t="shared" si="57"/>
        <v>12.9</v>
      </c>
      <c r="AQ257">
        <f t="shared" si="58"/>
        <v>31.48</v>
      </c>
      <c r="AR257" s="6">
        <f>ROUND((VLOOKUP($A257,EnrollData2324,'2324 Jun 24 Enroll'!D$1,FALSE)*Apport_M802425+VLOOKUP($A257,EnrollData2324,'2324 Jun 24 Enroll'!M$1,FALSE)*Apport_M802425+(VLOOKUP($A257,EnrollData2324,'2324 Jun 24 Enroll'!P$1,FALSE)+VLOOKUP($A257,EnrollData2324,'2324 Jun 24 Enroll'!Q$1,FALSE)+VLOOKUP($A257,EnrollData2324,'2324 Jun 24 Enroll'!R$1,FALSE)+VLOOKUP($A257,EnrollData2324,'2324 Jun 24 Enroll'!I$1,FALSE)+VLOOKUP($A257,EnrollData2324,'2324 Jun 24 Enroll'!N$1,FALSE)+VLOOKUP($A257,EnrollData2324,'2324 Jun 24 Enroll'!O$1,FALSE)+VLOOKUP($A257,EnrollData2324,'2324 Jun 24 Enroll'!K$1,FALSE)+VLOOKUP($A257,EnrollData2324,'2324 Jun 24 Enroll'!L$1,FALSE))*Apport_M812425)/(VLOOKUP($A257,EnrollData2324,'2324 Jun 24 Enroll'!M$1,FALSE)+VLOOKUP($A257,EnrollData2324,'2324 Jun 24 Enroll'!D$1,FALSE)),2)</f>
        <v>1607.21</v>
      </c>
      <c r="AS257" s="7">
        <f t="shared" si="59"/>
        <v>9958.0499999999993</v>
      </c>
    </row>
    <row r="258" spans="1:45">
      <c r="A258" s="40" t="s">
        <v>912</v>
      </c>
      <c r="B258" s="40" t="s">
        <v>907</v>
      </c>
      <c r="C258" s="11">
        <f>ROUND((IFERROR((1/IF(VLOOKUP($A258,EnrollData2324,28,FALSE)='District Calculations'!$F$10,VLOOKUP($A258,EnrollData2324,28,FALSE),'District Calculations'!$F$10))*(1+Apport_Z315),0))+Apport_201A2425,6)</f>
        <v>7.4580999999999995E-2</v>
      </c>
      <c r="D258">
        <f>ROUND(IF(VLOOKUP($A258,EnrollData2324,'2324 Jun 24 Enroll'!D$1,FALSE)='District Calculations'!$F$11,VLOOKUP($A258,EnrollData2324,'2324 Jun 24 Enroll'!D$1,FALSE),'District Calculations'!$F$11)*C258,3)</f>
        <v>0</v>
      </c>
      <c r="E258">
        <f>ROUND(IF(VLOOKUP($A258,EnrollData2324,'2324 Jun 24 Enroll'!E$1,FALSE)='District Calculations'!$F$12,VLOOKUP($A258,EnrollData2324,'2324 Jun 24 Enroll'!E$1,FALSE),'District Calculations'!$F$12)*C258,3)</f>
        <v>60.447000000000003</v>
      </c>
      <c r="F258">
        <f>ROUND(IF(VLOOKUP($A258,EnrollData2324,'2324 Jun 24 Enroll'!F$1,FALSE)='District Calculations'!$F$13,VLOOKUP($A258,EnrollData2324,'2324 Jun 24 Enroll'!F$1,FALSE),'District Calculations'!$F$13)*Apport_222A2425,3)</f>
        <v>10.337999999999999</v>
      </c>
      <c r="G258">
        <f>ROUND(IF(VLOOKUP($A258,EnrollData2324,'2324 Jun 24 Enroll'!G$1,FALSE)='District Calculations'!$F$14,VLOOKUP($A258,EnrollData2324,'2324 Jun 24 Enroll'!G$1,FALSE),'District Calculations'!$F$14)*Apport_210A2425,3)</f>
        <v>22.92</v>
      </c>
      <c r="H258">
        <f>ROUND(IF(VLOOKUP($A258,EnrollData2324,'2324 Jun 24 Enroll'!H$1,FALSE)='District Calculations'!$F$15,VLOOKUP($A258,EnrollData2324,'2324 Jun 24 Enroll'!H$1,FALSE),'District Calculations'!$F$15)*Apport_213A2425,3)</f>
        <v>23.619</v>
      </c>
      <c r="I258">
        <f>ROUND(IF(VLOOKUP($A258,EnrollData2324,'2324 Jun 24 Enroll'!I$1,FALSE)+VLOOKUP($A258,EnrollData2324,'2324 Jun 24 Enroll'!M$1,FALSE)-VLOOKUP($A258,EnrollData2324,'2324 Jun 24 Enroll'!J$1,FALSE)='District Calculations'!$F$16+'District Calculations'!$F$25-'District Calculations'!$F$17,VLOOKUP($A258,EnrollData2324,'2324 Jun 24 Enroll'!I$1,FALSE)+VLOOKUP($A258,EnrollData2324,'2324 Jun 24 Enroll'!M$1,FALSE)-VLOOKUP($A258,EnrollData2324,'2324 Jun 24 Enroll'!J$1,FALSE),'District Calculations'!$F$16+'District Calculations'!$F$25-'District Calculations'!$F$17)*Apport_216A2425,3)</f>
        <v>59.057000000000002</v>
      </c>
      <c r="J258">
        <f>ROUND(SUM(D258:I258)/(IF(VLOOKUP($A258,EnrollData2324,'2324 Jun 24 Enroll'!M$1,FALSE)='District Calculations'!$F$25,VLOOKUP($A258,EnrollData2324,'2324 Jun 24 Enroll'!M$1,FALSE),'District Calculations'!$F$25)+IF(VLOOKUP($A258,EnrollData2324,'2324 Jun 24 Enroll'!D$1,FALSE)='District Calculations'!$F$11,VLOOKUP($A258,EnrollData2324,'2324 Jun 24 Enroll'!D$1,FALSE),'District Calculations'!$F$11)),5)</f>
        <v>5.6520000000000001E-2</v>
      </c>
      <c r="K258" s="11">
        <f t="shared" si="50"/>
        <v>4.385E-3</v>
      </c>
      <c r="L258">
        <f>ROUND(IF(VLOOKUP($A258,EnrollData2324,'2324 Jun 24 Enroll'!D$1,FALSE)='District Calculations'!$F$11,VLOOKUP($A258,EnrollData2324,'2324 Jun 24 Enroll'!D$1,FALSE),'District Calculations'!$F$11)*K258,3)</f>
        <v>0</v>
      </c>
      <c r="M258">
        <f>ROUND(IF(VLOOKUP($A258,EnrollData2324,'2324 Jun 24 Enroll'!E$1,FALSE)='District Calculations'!$F$12,VLOOKUP($A258,EnrollData2324,'2324 Jun 24 Enroll'!E$1,FALSE),'District Calculations'!$F$12)*K258,3)</f>
        <v>3.5539999999999998</v>
      </c>
      <c r="N258">
        <f>ROUND(IF(VLOOKUP($A258,EnrollData2324,'2324 Jun 24 Enroll'!F$1,FALSE)='District Calculations'!$F$13,VLOOKUP($A258,EnrollData2324,'2324 Jun 24 Enroll'!F$1,FALSE),'District Calculations'!$F$13)*Apport_223A2425,3)</f>
        <v>0.84599999999999997</v>
      </c>
      <c r="O258">
        <f>ROUND(IF(VLOOKUP($A258,EnrollData2324,'2324 Jun 24 Enroll'!G$1,FALSE)='District Calculations'!$F$14,VLOOKUP($A258,EnrollData2324,'2324 Jun 24 Enroll'!G$1,FALSE),'District Calculations'!$F$14)*Apport_211A2425,3)</f>
        <v>1.877</v>
      </c>
      <c r="P258">
        <f>ROUND(IF(VLOOKUP($A258,EnrollData2324,'2324 Jun 24 Enroll'!H$1,FALSE)='District Calculations'!$F$14,VLOOKUP($A258,EnrollData2324,'2324 Jun 24 Enroll'!H$1,FALSE),'District Calculations'!$F$14)*Apport_214A2425,3)</f>
        <v>1.875</v>
      </c>
      <c r="Q258">
        <f>ROUND(IF(VLOOKUP($A258,EnrollData2324,'2324 Jun 24 Enroll'!I$1,FALSE)+VLOOKUP($A258,EnrollData2324,'2324 Jun 24 Enroll'!M$1,FALSE)-VLOOKUP($A258,EnrollData2324,'2324 Jun 24 Enroll'!J$1,FALSE)='District Calculations'!$F$16+'District Calculations'!$F$25-'District Calculations'!$F$17,VLOOKUP($A258,EnrollData2324,'2324 Jun 24 Enroll'!I$1,FALSE)+VLOOKUP($A258,EnrollData2324,'2324 Jun 24 Enroll'!M$1,FALSE)-VLOOKUP($A258,EnrollData2324,'2324 Jun 24 Enroll'!J$1,FALSE),'District Calculations'!$F$16+'District Calculations'!$F$25-'District Calculations'!$F$17)*Apport_217A2425,3)</f>
        <v>4.7130000000000001</v>
      </c>
      <c r="R258">
        <f>ROUND(SUM(L258:Q258)/IF(VLOOKUP($A258,EnrollData2324,'2324 Jun 24 Enroll'!M$1,FALSE)+VLOOKUP($A258,EnrollData2324,'2324 Jun 24 Enroll'!D$1,FALSE)='District Calculations'!$F$25+'District Calculations'!$F$11,VLOOKUP($A258,EnrollData2324,'2324 Jun 24 Enroll'!M$1,FALSE)+VLOOKUP($A258,EnrollData2324,'2324 Jun 24 Enroll'!D$1,FALSE),'District Calculations'!$F$25+'District Calculations'!$F$11),5)</f>
        <v>4.1200000000000004E-3</v>
      </c>
      <c r="S258" s="11">
        <f t="shared" si="51"/>
        <v>1.8734299999999999E-2</v>
      </c>
      <c r="T258">
        <f>ROUND(IF(VLOOKUP($A258,EnrollData2324,'2324 Jun 24 Enroll'!D$1,FALSE)='District Calculations'!$F$11,VLOOKUP($A258,EnrollData2324,'2324 Jun 24 Enroll'!D$1,FALSE),'District Calculations'!$F$11)*S258,3)</f>
        <v>0</v>
      </c>
      <c r="U258">
        <f>ROUND(IF(VLOOKUP($A258,EnrollData2324,'2324 Jun 24 Enroll'!E$1,FALSE)='District Calculations'!$F$12,VLOOKUP($A258,EnrollData2324,'2324 Jun 24 Enroll'!E$1,FALSE),'District Calculations'!$F$12)*S258,3)</f>
        <v>15.183999999999999</v>
      </c>
      <c r="V258">
        <f>ROUND(IF(VLOOKUP($A258,EnrollData2324,'2324 Jun 24 Enroll'!F$1,FALSE)='District Calculations'!$F$13,VLOOKUP($A258,EnrollData2324,'2324 Jun 24 Enroll'!F$1,FALSE),'District Calculations'!$F$13)*Apport_224A2425,3)</f>
        <v>3.7109999999999999</v>
      </c>
      <c r="W258">
        <f>ROUND(IF(VLOOKUP($A258,EnrollData2324,'2324 Jun 24 Enroll'!G$1,FALSE)='District Calculations'!$F$14,VLOOKUP($A258,EnrollData2324,'2324 Jun 24 Enroll'!G$1,FALSE),'District Calculations'!$F$14)*Apport_212A2425,3)</f>
        <v>8.2279999999999998</v>
      </c>
      <c r="X258">
        <f>ROUND(IF(VLOOKUP($A258,EnrollData2324,'2324 Jun 24 Enroll'!H$1,FALSE)='District Calculations'!$F$14,VLOOKUP($A258,EnrollData2324,'2324 Jun 24 Enroll'!H$1,FALSE),'District Calculations'!$F$14)*Apport_215A2425,3)</f>
        <v>8.1180000000000003</v>
      </c>
      <c r="Y258">
        <f>ROUND(IF(VLOOKUP($A258,EnrollData2324,'2324 Jun 24 Enroll'!I$1,FALSE)+VLOOKUP($A258,EnrollData2324,'2324 Jun 24 Enroll'!M$1,FALSE)-VLOOKUP($A258,EnrollData2324,'2324 Jun 24 Enroll'!J$1,FALSE)='District Calculations'!$F$16+'District Calculations'!$F$25-'District Calculations'!$F$17,VLOOKUP($A258,EnrollData2324,'2324 Jun 24 Enroll'!I$1,FALSE)+VLOOKUP($A258,EnrollData2324,'2324 Jun 24 Enroll'!M$1,FALSE)-VLOOKUP($A258,EnrollData2324,'2324 Jun 24 Enroll'!J$1,FALSE),'District Calculations'!$F$16+'District Calculations'!$F$25-'District Calculations'!$F$17)*Apport_218A2425,3)</f>
        <v>20.257999999999999</v>
      </c>
      <c r="Z258">
        <f>ROUND(SUM(T258:Y258)/IF(VLOOKUP($A258,EnrollData2324,'2324 Jun 24 Enroll'!M$1,FALSE)+VLOOKUP($A258,EnrollData2324,'2324 Jun 24 Enroll'!D$1,FALSE)='District Calculations'!$F$25+'District Calculations'!$F$11,VLOOKUP($A258,EnrollData2324,'2324 Jun 24 Enroll'!M$1,FALSE)+VLOOKUP($A258,EnrollData2324,'2324 Jun 24 Enroll'!D$1,FALSE),'District Calculations'!$F$25+'District Calculations'!$F$11),5)</f>
        <v>1.7780000000000001E-2</v>
      </c>
      <c r="AA258" s="6">
        <f>ROUND($J258*CIS_Base_Salary2425*VLOOKUP($A258,EnrollData2324,'2324 Jun 24 Enroll'!AH$1,FALSE),2)</f>
        <v>4262.68</v>
      </c>
      <c r="AB258" s="6">
        <f>ROUND($J258*CIS_Inc_Salary2425*(VLOOKUP($A258,EnrollData2324,'2324 Jun 24 Enroll'!AI$1,FALSE)+VLOOKUP($A258,EnrollData2324,'2324 Jun 24 Enroll'!AJ$1,FALSE)),2)-AA258</f>
        <v>157.6899999999996</v>
      </c>
      <c r="AC258" s="6" cm="1">
        <f t="array" ref="AC258">ROUND($R258*CAS_Base_Salary2425*VLOOKUP($A258,EnrollData2324,'2324 Jun 24 Enroll'!AH$1,FALSE),2)</f>
        <v>461.23</v>
      </c>
      <c r="AD258" s="6">
        <f>ROUND($R258*CAS_Inc_Salary2425*VLOOKUP($A258,EnrollData2324,'2324 Jun 24 Enroll'!AI$1,FALSE),2)-AC258</f>
        <v>17.069999999999993</v>
      </c>
      <c r="AE258" s="6">
        <f>ROUND($Z258*CLS_Base_Salary2425*VLOOKUP($A258,EnrollData2324,'2324 Jun 24 Enroll'!AH$1,FALSE),2)</f>
        <v>961.95</v>
      </c>
      <c r="AF258" s="6">
        <f>ROUND($Z258*CLS_Inc_Salary2425*VLOOKUP($A258,EnrollData2324,'2324 Jun 24 Enroll'!AI$1,FALSE),2)-AE258</f>
        <v>35.599999999999909</v>
      </c>
      <c r="AG258" cm="1">
        <f t="array" ref="AG258">ROUND(($J258+$R258)*Apport_124X2425,2)</f>
        <v>800.45</v>
      </c>
      <c r="AH258" s="69" cm="1">
        <f t="array" ref="AH258">ROUND(($J258+$R258)*Apport_621X2425*Apport_125XC2425,2)-AG258</f>
        <v>73.899999999999977</v>
      </c>
      <c r="AI258" cm="1">
        <f t="array" ref="AI258">ROUND($Z258*Apport_124X2425,2)</f>
        <v>234.7</v>
      </c>
      <c r="AJ258">
        <f t="shared" si="52"/>
        <v>124.71000000000004</v>
      </c>
      <c r="AK258">
        <f t="shared" si="53"/>
        <v>857.39</v>
      </c>
      <c r="AL258">
        <f t="shared" si="54"/>
        <v>30.6</v>
      </c>
      <c r="AM258">
        <f t="shared" si="55"/>
        <v>208.36</v>
      </c>
      <c r="AN258">
        <f t="shared" si="56"/>
        <v>6.46</v>
      </c>
      <c r="AO258">
        <f>ROUND(($J258*CIS_Inc_Salary2425*(VLOOKUP($A258,EnrollData2324,'2324 Jun 24 Enroll'!AI$1,FALSE)+VLOOKUP($A258,EnrollData2324,'2324 Jun 24 Enroll'!AJ$1,FALSE))/Apport_613Xpd)*Apport_614Xpd,2)</f>
        <v>73.67</v>
      </c>
      <c r="AP258">
        <f t="shared" si="57"/>
        <v>12.9</v>
      </c>
      <c r="AQ258">
        <f t="shared" si="58"/>
        <v>31.48</v>
      </c>
      <c r="AR258" s="6">
        <f>ROUND((VLOOKUP($A258,EnrollData2324,'2324 Jun 24 Enroll'!D$1,FALSE)*Apport_M802425+VLOOKUP($A258,EnrollData2324,'2324 Jun 24 Enroll'!M$1,FALSE)*Apport_M802425+(VLOOKUP($A258,EnrollData2324,'2324 Jun 24 Enroll'!P$1,FALSE)+VLOOKUP($A258,EnrollData2324,'2324 Jun 24 Enroll'!Q$1,FALSE)+VLOOKUP($A258,EnrollData2324,'2324 Jun 24 Enroll'!R$1,FALSE)+VLOOKUP($A258,EnrollData2324,'2324 Jun 24 Enroll'!I$1,FALSE)+VLOOKUP($A258,EnrollData2324,'2324 Jun 24 Enroll'!N$1,FALSE)+VLOOKUP($A258,EnrollData2324,'2324 Jun 24 Enroll'!O$1,FALSE)+VLOOKUP($A258,EnrollData2324,'2324 Jun 24 Enroll'!K$1,FALSE)+VLOOKUP($A258,EnrollData2324,'2324 Jun 24 Enroll'!L$1,FALSE))*Apport_M812425)/(VLOOKUP($A258,EnrollData2324,'2324 Jun 24 Enroll'!M$1,FALSE)+VLOOKUP($A258,EnrollData2324,'2324 Jun 24 Enroll'!D$1,FALSE)),2)</f>
        <v>1547.57</v>
      </c>
      <c r="AS258" s="7">
        <f t="shared" si="59"/>
        <v>9898.409999999998</v>
      </c>
    </row>
    <row r="259" spans="1:45">
      <c r="A259" s="40" t="s">
        <v>1017</v>
      </c>
      <c r="B259" s="40" t="s">
        <v>1018</v>
      </c>
      <c r="C259" s="11">
        <f>ROUND((IFERROR((1/IF(VLOOKUP($A259,EnrollData2324,28,FALSE)='District Calculations'!$F$10,VLOOKUP($A259,EnrollData2324,28,FALSE),'District Calculations'!$F$10))*(1+Apport_Z315),0))+Apport_201A2425,6)</f>
        <v>7.4580999999999995E-2</v>
      </c>
      <c r="D259">
        <f>ROUND(IF(VLOOKUP($A259,EnrollData2324,'2324 Jun 24 Enroll'!D$1,FALSE)='District Calculations'!$F$11,VLOOKUP($A259,EnrollData2324,'2324 Jun 24 Enroll'!D$1,FALSE),'District Calculations'!$F$11)*C259,3)</f>
        <v>0</v>
      </c>
      <c r="E259">
        <f>ROUND(IF(VLOOKUP($A259,EnrollData2324,'2324 Jun 24 Enroll'!E$1,FALSE)='District Calculations'!$F$12,VLOOKUP($A259,EnrollData2324,'2324 Jun 24 Enroll'!E$1,FALSE),'District Calculations'!$F$12)*C259,3)</f>
        <v>60.447000000000003</v>
      </c>
      <c r="F259">
        <f>ROUND(IF(VLOOKUP($A259,EnrollData2324,'2324 Jun 24 Enroll'!F$1,FALSE)='District Calculations'!$F$13,VLOOKUP($A259,EnrollData2324,'2324 Jun 24 Enroll'!F$1,FALSE),'District Calculations'!$F$13)*Apport_222A2425,3)</f>
        <v>10.337999999999999</v>
      </c>
      <c r="G259">
        <f>ROUND(IF(VLOOKUP($A259,EnrollData2324,'2324 Jun 24 Enroll'!G$1,FALSE)='District Calculations'!$F$14,VLOOKUP($A259,EnrollData2324,'2324 Jun 24 Enroll'!G$1,FALSE),'District Calculations'!$F$14)*Apport_210A2425,3)</f>
        <v>22.92</v>
      </c>
      <c r="H259">
        <f>ROUND(IF(VLOOKUP($A259,EnrollData2324,'2324 Jun 24 Enroll'!H$1,FALSE)='District Calculations'!$F$15,VLOOKUP($A259,EnrollData2324,'2324 Jun 24 Enroll'!H$1,FALSE),'District Calculations'!$F$15)*Apport_213A2425,3)</f>
        <v>23.619</v>
      </c>
      <c r="I259">
        <f>ROUND(IF(VLOOKUP($A259,EnrollData2324,'2324 Jun 24 Enroll'!I$1,FALSE)+VLOOKUP($A259,EnrollData2324,'2324 Jun 24 Enroll'!M$1,FALSE)-VLOOKUP($A259,EnrollData2324,'2324 Jun 24 Enroll'!J$1,FALSE)='District Calculations'!$F$16+'District Calculations'!$F$25-'District Calculations'!$F$17,VLOOKUP($A259,EnrollData2324,'2324 Jun 24 Enroll'!I$1,FALSE)+VLOOKUP($A259,EnrollData2324,'2324 Jun 24 Enroll'!M$1,FALSE)-VLOOKUP($A259,EnrollData2324,'2324 Jun 24 Enroll'!J$1,FALSE),'District Calculations'!$F$16+'District Calculations'!$F$25-'District Calculations'!$F$17)*Apport_216A2425,3)</f>
        <v>59.057000000000002</v>
      </c>
      <c r="J259">
        <f>ROUND(SUM(D259:I259)/(IF(VLOOKUP($A259,EnrollData2324,'2324 Jun 24 Enroll'!M$1,FALSE)='District Calculations'!$F$25,VLOOKUP($A259,EnrollData2324,'2324 Jun 24 Enroll'!M$1,FALSE),'District Calculations'!$F$25)+IF(VLOOKUP($A259,EnrollData2324,'2324 Jun 24 Enroll'!D$1,FALSE)='District Calculations'!$F$11,VLOOKUP($A259,EnrollData2324,'2324 Jun 24 Enroll'!D$1,FALSE),'District Calculations'!$F$11)),5)</f>
        <v>5.6520000000000001E-2</v>
      </c>
      <c r="K259" s="11">
        <f t="shared" si="50"/>
        <v>4.385E-3</v>
      </c>
      <c r="L259">
        <f>ROUND(IF(VLOOKUP($A259,EnrollData2324,'2324 Jun 24 Enroll'!D$1,FALSE)='District Calculations'!$F$11,VLOOKUP($A259,EnrollData2324,'2324 Jun 24 Enroll'!D$1,FALSE),'District Calculations'!$F$11)*K259,3)</f>
        <v>0</v>
      </c>
      <c r="M259">
        <f>ROUND(IF(VLOOKUP($A259,EnrollData2324,'2324 Jun 24 Enroll'!E$1,FALSE)='District Calculations'!$F$12,VLOOKUP($A259,EnrollData2324,'2324 Jun 24 Enroll'!E$1,FALSE),'District Calculations'!$F$12)*K259,3)</f>
        <v>3.5539999999999998</v>
      </c>
      <c r="N259">
        <f>ROUND(IF(VLOOKUP($A259,EnrollData2324,'2324 Jun 24 Enroll'!F$1,FALSE)='District Calculations'!$F$13,VLOOKUP($A259,EnrollData2324,'2324 Jun 24 Enroll'!F$1,FALSE),'District Calculations'!$F$13)*Apport_223A2425,3)</f>
        <v>0.84599999999999997</v>
      </c>
      <c r="O259">
        <f>ROUND(IF(VLOOKUP($A259,EnrollData2324,'2324 Jun 24 Enroll'!G$1,FALSE)='District Calculations'!$F$14,VLOOKUP($A259,EnrollData2324,'2324 Jun 24 Enroll'!G$1,FALSE),'District Calculations'!$F$14)*Apport_211A2425,3)</f>
        <v>1.877</v>
      </c>
      <c r="P259">
        <f>ROUND(IF(VLOOKUP($A259,EnrollData2324,'2324 Jun 24 Enroll'!H$1,FALSE)='District Calculations'!$F$14,VLOOKUP($A259,EnrollData2324,'2324 Jun 24 Enroll'!H$1,FALSE),'District Calculations'!$F$14)*Apport_214A2425,3)</f>
        <v>1.875</v>
      </c>
      <c r="Q259">
        <f>ROUND(IF(VLOOKUP($A259,EnrollData2324,'2324 Jun 24 Enroll'!I$1,FALSE)+VLOOKUP($A259,EnrollData2324,'2324 Jun 24 Enroll'!M$1,FALSE)-VLOOKUP($A259,EnrollData2324,'2324 Jun 24 Enroll'!J$1,FALSE)='District Calculations'!$F$16+'District Calculations'!$F$25-'District Calculations'!$F$17,VLOOKUP($A259,EnrollData2324,'2324 Jun 24 Enroll'!I$1,FALSE)+VLOOKUP($A259,EnrollData2324,'2324 Jun 24 Enroll'!M$1,FALSE)-VLOOKUP($A259,EnrollData2324,'2324 Jun 24 Enroll'!J$1,FALSE),'District Calculations'!$F$16+'District Calculations'!$F$25-'District Calculations'!$F$17)*Apport_217A2425,3)</f>
        <v>4.7130000000000001</v>
      </c>
      <c r="R259">
        <f>ROUND(SUM(L259:Q259)/IF(VLOOKUP($A259,EnrollData2324,'2324 Jun 24 Enroll'!M$1,FALSE)+VLOOKUP($A259,EnrollData2324,'2324 Jun 24 Enroll'!D$1,FALSE)='District Calculations'!$F$25+'District Calculations'!$F$11,VLOOKUP($A259,EnrollData2324,'2324 Jun 24 Enroll'!M$1,FALSE)+VLOOKUP($A259,EnrollData2324,'2324 Jun 24 Enroll'!D$1,FALSE),'District Calculations'!$F$25+'District Calculations'!$F$11),5)</f>
        <v>4.1200000000000004E-3</v>
      </c>
      <c r="S259" s="11">
        <f t="shared" si="51"/>
        <v>1.8734299999999999E-2</v>
      </c>
      <c r="T259">
        <f>ROUND(IF(VLOOKUP($A259,EnrollData2324,'2324 Jun 24 Enroll'!D$1,FALSE)='District Calculations'!$F$11,VLOOKUP($A259,EnrollData2324,'2324 Jun 24 Enroll'!D$1,FALSE),'District Calculations'!$F$11)*S259,3)</f>
        <v>0</v>
      </c>
      <c r="U259">
        <f>ROUND(IF(VLOOKUP($A259,EnrollData2324,'2324 Jun 24 Enroll'!E$1,FALSE)='District Calculations'!$F$12,VLOOKUP($A259,EnrollData2324,'2324 Jun 24 Enroll'!E$1,FALSE),'District Calculations'!$F$12)*S259,3)</f>
        <v>15.183999999999999</v>
      </c>
      <c r="V259">
        <f>ROUND(IF(VLOOKUP($A259,EnrollData2324,'2324 Jun 24 Enroll'!F$1,FALSE)='District Calculations'!$F$13,VLOOKUP($A259,EnrollData2324,'2324 Jun 24 Enroll'!F$1,FALSE),'District Calculations'!$F$13)*Apport_224A2425,3)</f>
        <v>3.7109999999999999</v>
      </c>
      <c r="W259">
        <f>ROUND(IF(VLOOKUP($A259,EnrollData2324,'2324 Jun 24 Enroll'!G$1,FALSE)='District Calculations'!$F$14,VLOOKUP($A259,EnrollData2324,'2324 Jun 24 Enroll'!G$1,FALSE),'District Calculations'!$F$14)*Apport_212A2425,3)</f>
        <v>8.2279999999999998</v>
      </c>
      <c r="X259">
        <f>ROUND(IF(VLOOKUP($A259,EnrollData2324,'2324 Jun 24 Enroll'!H$1,FALSE)='District Calculations'!$F$14,VLOOKUP($A259,EnrollData2324,'2324 Jun 24 Enroll'!H$1,FALSE),'District Calculations'!$F$14)*Apport_215A2425,3)</f>
        <v>8.1180000000000003</v>
      </c>
      <c r="Y259">
        <f>ROUND(IF(VLOOKUP($A259,EnrollData2324,'2324 Jun 24 Enroll'!I$1,FALSE)+VLOOKUP($A259,EnrollData2324,'2324 Jun 24 Enroll'!M$1,FALSE)-VLOOKUP($A259,EnrollData2324,'2324 Jun 24 Enroll'!J$1,FALSE)='District Calculations'!$F$16+'District Calculations'!$F$25-'District Calculations'!$F$17,VLOOKUP($A259,EnrollData2324,'2324 Jun 24 Enroll'!I$1,FALSE)+VLOOKUP($A259,EnrollData2324,'2324 Jun 24 Enroll'!M$1,FALSE)-VLOOKUP($A259,EnrollData2324,'2324 Jun 24 Enroll'!J$1,FALSE),'District Calculations'!$F$16+'District Calculations'!$F$25-'District Calculations'!$F$17)*Apport_218A2425,3)</f>
        <v>20.257999999999999</v>
      </c>
      <c r="Z259">
        <f>ROUND(SUM(T259:Y259)/IF(VLOOKUP($A259,EnrollData2324,'2324 Jun 24 Enroll'!M$1,FALSE)+VLOOKUP($A259,EnrollData2324,'2324 Jun 24 Enroll'!D$1,FALSE)='District Calculations'!$F$25+'District Calculations'!$F$11,VLOOKUP($A259,EnrollData2324,'2324 Jun 24 Enroll'!M$1,FALSE)+VLOOKUP($A259,EnrollData2324,'2324 Jun 24 Enroll'!D$1,FALSE),'District Calculations'!$F$25+'District Calculations'!$F$11),5)</f>
        <v>1.7780000000000001E-2</v>
      </c>
      <c r="AA259" s="6">
        <f>ROUND($J259*CIS_Base_Salary2425*VLOOKUP($A259,EnrollData2324,'2324 Jun 24 Enroll'!AH$1,FALSE),2)</f>
        <v>4262.68</v>
      </c>
      <c r="AB259" s="6">
        <f>ROUND($J259*CIS_Inc_Salary2425*(VLOOKUP($A259,EnrollData2324,'2324 Jun 24 Enroll'!AI$1,FALSE)+VLOOKUP($A259,EnrollData2324,'2324 Jun 24 Enroll'!AJ$1,FALSE)),2)-AA259</f>
        <v>157.6899999999996</v>
      </c>
      <c r="AC259" s="6" cm="1">
        <f t="array" ref="AC259">ROUND($R259*CAS_Base_Salary2425*VLOOKUP($A259,EnrollData2324,'2324 Jun 24 Enroll'!AH$1,FALSE),2)</f>
        <v>461.23</v>
      </c>
      <c r="AD259" s="6">
        <f>ROUND($R259*CAS_Inc_Salary2425*VLOOKUP($A259,EnrollData2324,'2324 Jun 24 Enroll'!AI$1,FALSE),2)-AC259</f>
        <v>17.069999999999993</v>
      </c>
      <c r="AE259" s="6">
        <f>ROUND($Z259*CLS_Base_Salary2425*VLOOKUP($A259,EnrollData2324,'2324 Jun 24 Enroll'!AH$1,FALSE),2)</f>
        <v>961.95</v>
      </c>
      <c r="AF259" s="6">
        <f>ROUND($Z259*CLS_Inc_Salary2425*VLOOKUP($A259,EnrollData2324,'2324 Jun 24 Enroll'!AI$1,FALSE),2)-AE259</f>
        <v>35.599999999999909</v>
      </c>
      <c r="AG259" cm="1">
        <f t="array" ref="AG259">ROUND(($J259+$R259)*Apport_124X2425,2)</f>
        <v>800.45</v>
      </c>
      <c r="AH259" s="69" cm="1">
        <f t="array" ref="AH259">ROUND(($J259+$R259)*Apport_621X2425*Apport_125XC2425,2)-AG259</f>
        <v>73.899999999999977</v>
      </c>
      <c r="AI259" cm="1">
        <f t="array" ref="AI259">ROUND($Z259*Apport_124X2425,2)</f>
        <v>234.7</v>
      </c>
      <c r="AJ259">
        <f t="shared" si="52"/>
        <v>124.71000000000004</v>
      </c>
      <c r="AK259">
        <f t="shared" si="53"/>
        <v>857.39</v>
      </c>
      <c r="AL259">
        <f t="shared" si="54"/>
        <v>30.6</v>
      </c>
      <c r="AM259">
        <f t="shared" si="55"/>
        <v>208.36</v>
      </c>
      <c r="AN259">
        <f t="shared" si="56"/>
        <v>6.46</v>
      </c>
      <c r="AO259">
        <f>ROUND(($J259*CIS_Inc_Salary2425*(VLOOKUP($A259,EnrollData2324,'2324 Jun 24 Enroll'!AI$1,FALSE)+VLOOKUP($A259,EnrollData2324,'2324 Jun 24 Enroll'!AJ$1,FALSE))/Apport_613Xpd)*Apport_614Xpd,2)</f>
        <v>73.67</v>
      </c>
      <c r="AP259">
        <f t="shared" si="57"/>
        <v>12.9</v>
      </c>
      <c r="AQ259">
        <f t="shared" si="58"/>
        <v>31.48</v>
      </c>
      <c r="AR259" s="6">
        <f>ROUND((VLOOKUP($A259,EnrollData2324,'2324 Jun 24 Enroll'!D$1,FALSE)*Apport_M802425+VLOOKUP($A259,EnrollData2324,'2324 Jun 24 Enroll'!M$1,FALSE)*Apport_M802425+(VLOOKUP($A259,EnrollData2324,'2324 Jun 24 Enroll'!P$1,FALSE)+VLOOKUP($A259,EnrollData2324,'2324 Jun 24 Enroll'!Q$1,FALSE)+VLOOKUP($A259,EnrollData2324,'2324 Jun 24 Enroll'!R$1,FALSE)+VLOOKUP($A259,EnrollData2324,'2324 Jun 24 Enroll'!I$1,FALSE)+VLOOKUP($A259,EnrollData2324,'2324 Jun 24 Enroll'!N$1,FALSE)+VLOOKUP($A259,EnrollData2324,'2324 Jun 24 Enroll'!O$1,FALSE)+VLOOKUP($A259,EnrollData2324,'2324 Jun 24 Enroll'!K$1,FALSE)+VLOOKUP($A259,EnrollData2324,'2324 Jun 24 Enroll'!L$1,FALSE))*Apport_M812425)/(VLOOKUP($A259,EnrollData2324,'2324 Jun 24 Enroll'!M$1,FALSE)+VLOOKUP($A259,EnrollData2324,'2324 Jun 24 Enroll'!D$1,FALSE)),2)</f>
        <v>1737.05</v>
      </c>
      <c r="AS259" s="7">
        <f t="shared" si="59"/>
        <v>10087.889999999998</v>
      </c>
    </row>
    <row r="260" spans="1:45">
      <c r="A260" s="40" t="s">
        <v>908</v>
      </c>
      <c r="B260" s="40" t="s">
        <v>903</v>
      </c>
      <c r="C260" s="11">
        <f>ROUND((IFERROR((1/IF(VLOOKUP($A260,EnrollData2324,28,FALSE)='District Calculations'!$F$10,VLOOKUP($A260,EnrollData2324,28,FALSE),'District Calculations'!$F$10))*(1+Apport_Z315),0))+Apport_201A2425,6)</f>
        <v>7.4580999999999995E-2</v>
      </c>
      <c r="D260">
        <f>ROUND(IF(VLOOKUP($A260,EnrollData2324,'2324 Jun 24 Enroll'!D$1,FALSE)='District Calculations'!$F$11,VLOOKUP($A260,EnrollData2324,'2324 Jun 24 Enroll'!D$1,FALSE),'District Calculations'!$F$11)*C260,3)</f>
        <v>0</v>
      </c>
      <c r="E260">
        <f>ROUND(IF(VLOOKUP($A260,EnrollData2324,'2324 Jun 24 Enroll'!E$1,FALSE)='District Calculations'!$F$12,VLOOKUP($A260,EnrollData2324,'2324 Jun 24 Enroll'!E$1,FALSE),'District Calculations'!$F$12)*C260,3)</f>
        <v>60.447000000000003</v>
      </c>
      <c r="F260">
        <f>ROUND(IF(VLOOKUP($A260,EnrollData2324,'2324 Jun 24 Enroll'!F$1,FALSE)='District Calculations'!$F$13,VLOOKUP($A260,EnrollData2324,'2324 Jun 24 Enroll'!F$1,FALSE),'District Calculations'!$F$13)*Apport_222A2425,3)</f>
        <v>10.337999999999999</v>
      </c>
      <c r="G260">
        <f>ROUND(IF(VLOOKUP($A260,EnrollData2324,'2324 Jun 24 Enroll'!G$1,FALSE)='District Calculations'!$F$14,VLOOKUP($A260,EnrollData2324,'2324 Jun 24 Enroll'!G$1,FALSE),'District Calculations'!$F$14)*Apport_210A2425,3)</f>
        <v>22.92</v>
      </c>
      <c r="H260">
        <f>ROUND(IF(VLOOKUP($A260,EnrollData2324,'2324 Jun 24 Enroll'!H$1,FALSE)='District Calculations'!$F$15,VLOOKUP($A260,EnrollData2324,'2324 Jun 24 Enroll'!H$1,FALSE),'District Calculations'!$F$15)*Apport_213A2425,3)</f>
        <v>23.619</v>
      </c>
      <c r="I260">
        <f>ROUND(IF(VLOOKUP($A260,EnrollData2324,'2324 Jun 24 Enroll'!I$1,FALSE)+VLOOKUP($A260,EnrollData2324,'2324 Jun 24 Enroll'!M$1,FALSE)-VLOOKUP($A260,EnrollData2324,'2324 Jun 24 Enroll'!J$1,FALSE)='District Calculations'!$F$16+'District Calculations'!$F$25-'District Calculations'!$F$17,VLOOKUP($A260,EnrollData2324,'2324 Jun 24 Enroll'!I$1,FALSE)+VLOOKUP($A260,EnrollData2324,'2324 Jun 24 Enroll'!M$1,FALSE)-VLOOKUP($A260,EnrollData2324,'2324 Jun 24 Enroll'!J$1,FALSE),'District Calculations'!$F$16+'District Calculations'!$F$25-'District Calculations'!$F$17)*Apport_216A2425,3)</f>
        <v>59.057000000000002</v>
      </c>
      <c r="J260">
        <f>ROUND(SUM(D260:I260)/(IF(VLOOKUP($A260,EnrollData2324,'2324 Jun 24 Enroll'!M$1,FALSE)='District Calculations'!$F$25,VLOOKUP($A260,EnrollData2324,'2324 Jun 24 Enroll'!M$1,FALSE),'District Calculations'!$F$25)+IF(VLOOKUP($A260,EnrollData2324,'2324 Jun 24 Enroll'!D$1,FALSE)='District Calculations'!$F$11,VLOOKUP($A260,EnrollData2324,'2324 Jun 24 Enroll'!D$1,FALSE),'District Calculations'!$F$11)),5)</f>
        <v>5.6520000000000001E-2</v>
      </c>
      <c r="K260" s="11">
        <f t="shared" si="50"/>
        <v>4.385E-3</v>
      </c>
      <c r="L260">
        <f>ROUND(IF(VLOOKUP($A260,EnrollData2324,'2324 Jun 24 Enroll'!D$1,FALSE)='District Calculations'!$F$11,VLOOKUP($A260,EnrollData2324,'2324 Jun 24 Enroll'!D$1,FALSE),'District Calculations'!$F$11)*K260,3)</f>
        <v>0</v>
      </c>
      <c r="M260">
        <f>ROUND(IF(VLOOKUP($A260,EnrollData2324,'2324 Jun 24 Enroll'!E$1,FALSE)='District Calculations'!$F$12,VLOOKUP($A260,EnrollData2324,'2324 Jun 24 Enroll'!E$1,FALSE),'District Calculations'!$F$12)*K260,3)</f>
        <v>3.5539999999999998</v>
      </c>
      <c r="N260">
        <f>ROUND(IF(VLOOKUP($A260,EnrollData2324,'2324 Jun 24 Enroll'!F$1,FALSE)='District Calculations'!$F$13,VLOOKUP($A260,EnrollData2324,'2324 Jun 24 Enroll'!F$1,FALSE),'District Calculations'!$F$13)*Apport_223A2425,3)</f>
        <v>0.84599999999999997</v>
      </c>
      <c r="O260">
        <f>ROUND(IF(VLOOKUP($A260,EnrollData2324,'2324 Jun 24 Enroll'!G$1,FALSE)='District Calculations'!$F$14,VLOOKUP($A260,EnrollData2324,'2324 Jun 24 Enroll'!G$1,FALSE),'District Calculations'!$F$14)*Apport_211A2425,3)</f>
        <v>1.877</v>
      </c>
      <c r="P260">
        <f>ROUND(IF(VLOOKUP($A260,EnrollData2324,'2324 Jun 24 Enroll'!H$1,FALSE)='District Calculations'!$F$14,VLOOKUP($A260,EnrollData2324,'2324 Jun 24 Enroll'!H$1,FALSE),'District Calculations'!$F$14)*Apport_214A2425,3)</f>
        <v>1.875</v>
      </c>
      <c r="Q260">
        <f>ROUND(IF(VLOOKUP($A260,EnrollData2324,'2324 Jun 24 Enroll'!I$1,FALSE)+VLOOKUP($A260,EnrollData2324,'2324 Jun 24 Enroll'!M$1,FALSE)-VLOOKUP($A260,EnrollData2324,'2324 Jun 24 Enroll'!J$1,FALSE)='District Calculations'!$F$16+'District Calculations'!$F$25-'District Calculations'!$F$17,VLOOKUP($A260,EnrollData2324,'2324 Jun 24 Enroll'!I$1,FALSE)+VLOOKUP($A260,EnrollData2324,'2324 Jun 24 Enroll'!M$1,FALSE)-VLOOKUP($A260,EnrollData2324,'2324 Jun 24 Enroll'!J$1,FALSE),'District Calculations'!$F$16+'District Calculations'!$F$25-'District Calculations'!$F$17)*Apport_217A2425,3)</f>
        <v>4.7130000000000001</v>
      </c>
      <c r="R260">
        <f>ROUND(SUM(L260:Q260)/IF(VLOOKUP($A260,EnrollData2324,'2324 Jun 24 Enroll'!M$1,FALSE)+VLOOKUP($A260,EnrollData2324,'2324 Jun 24 Enroll'!D$1,FALSE)='District Calculations'!$F$25+'District Calculations'!$F$11,VLOOKUP($A260,EnrollData2324,'2324 Jun 24 Enroll'!M$1,FALSE)+VLOOKUP($A260,EnrollData2324,'2324 Jun 24 Enroll'!D$1,FALSE),'District Calculations'!$F$25+'District Calculations'!$F$11),5)</f>
        <v>4.1200000000000004E-3</v>
      </c>
      <c r="S260" s="11">
        <f t="shared" si="51"/>
        <v>1.8734299999999999E-2</v>
      </c>
      <c r="T260">
        <f>ROUND(IF(VLOOKUP($A260,EnrollData2324,'2324 Jun 24 Enroll'!D$1,FALSE)='District Calculations'!$F$11,VLOOKUP($A260,EnrollData2324,'2324 Jun 24 Enroll'!D$1,FALSE),'District Calculations'!$F$11)*S260,3)</f>
        <v>0</v>
      </c>
      <c r="U260">
        <f>ROUND(IF(VLOOKUP($A260,EnrollData2324,'2324 Jun 24 Enroll'!E$1,FALSE)='District Calculations'!$F$12,VLOOKUP($A260,EnrollData2324,'2324 Jun 24 Enroll'!E$1,FALSE),'District Calculations'!$F$12)*S260,3)</f>
        <v>15.183999999999999</v>
      </c>
      <c r="V260">
        <f>ROUND(IF(VLOOKUP($A260,EnrollData2324,'2324 Jun 24 Enroll'!F$1,FALSE)='District Calculations'!$F$13,VLOOKUP($A260,EnrollData2324,'2324 Jun 24 Enroll'!F$1,FALSE),'District Calculations'!$F$13)*Apport_224A2425,3)</f>
        <v>3.7109999999999999</v>
      </c>
      <c r="W260">
        <f>ROUND(IF(VLOOKUP($A260,EnrollData2324,'2324 Jun 24 Enroll'!G$1,FALSE)='District Calculations'!$F$14,VLOOKUP($A260,EnrollData2324,'2324 Jun 24 Enroll'!G$1,FALSE),'District Calculations'!$F$14)*Apport_212A2425,3)</f>
        <v>8.2279999999999998</v>
      </c>
      <c r="X260">
        <f>ROUND(IF(VLOOKUP($A260,EnrollData2324,'2324 Jun 24 Enroll'!H$1,FALSE)='District Calculations'!$F$14,VLOOKUP($A260,EnrollData2324,'2324 Jun 24 Enroll'!H$1,FALSE),'District Calculations'!$F$14)*Apport_215A2425,3)</f>
        <v>8.1180000000000003</v>
      </c>
      <c r="Y260">
        <f>ROUND(IF(VLOOKUP($A260,EnrollData2324,'2324 Jun 24 Enroll'!I$1,FALSE)+VLOOKUP($A260,EnrollData2324,'2324 Jun 24 Enroll'!M$1,FALSE)-VLOOKUP($A260,EnrollData2324,'2324 Jun 24 Enroll'!J$1,FALSE)='District Calculations'!$F$16+'District Calculations'!$F$25-'District Calculations'!$F$17,VLOOKUP($A260,EnrollData2324,'2324 Jun 24 Enroll'!I$1,FALSE)+VLOOKUP($A260,EnrollData2324,'2324 Jun 24 Enroll'!M$1,FALSE)-VLOOKUP($A260,EnrollData2324,'2324 Jun 24 Enroll'!J$1,FALSE),'District Calculations'!$F$16+'District Calculations'!$F$25-'District Calculations'!$F$17)*Apport_218A2425,3)</f>
        <v>20.257999999999999</v>
      </c>
      <c r="Z260">
        <f>ROUND(SUM(T260:Y260)/IF(VLOOKUP($A260,EnrollData2324,'2324 Jun 24 Enroll'!M$1,FALSE)+VLOOKUP($A260,EnrollData2324,'2324 Jun 24 Enroll'!D$1,FALSE)='District Calculations'!$F$25+'District Calculations'!$F$11,VLOOKUP($A260,EnrollData2324,'2324 Jun 24 Enroll'!M$1,FALSE)+VLOOKUP($A260,EnrollData2324,'2324 Jun 24 Enroll'!D$1,FALSE),'District Calculations'!$F$25+'District Calculations'!$F$11),5)</f>
        <v>1.7780000000000001E-2</v>
      </c>
      <c r="AA260" s="6">
        <f>ROUND($J260*CIS_Base_Salary2425*VLOOKUP($A260,EnrollData2324,'2324 Jun 24 Enroll'!AH$1,FALSE),2)</f>
        <v>4262.68</v>
      </c>
      <c r="AB260" s="6">
        <f>ROUND($J260*CIS_Inc_Salary2425*(VLOOKUP($A260,EnrollData2324,'2324 Jun 24 Enroll'!AI$1,FALSE)+VLOOKUP($A260,EnrollData2324,'2324 Jun 24 Enroll'!AJ$1,FALSE)),2)-AA260</f>
        <v>157.6899999999996</v>
      </c>
      <c r="AC260" s="6" cm="1">
        <f t="array" ref="AC260">ROUND($R260*CAS_Base_Salary2425*VLOOKUP($A260,EnrollData2324,'2324 Jun 24 Enroll'!AH$1,FALSE),2)</f>
        <v>461.23</v>
      </c>
      <c r="AD260" s="6">
        <f>ROUND($R260*CAS_Inc_Salary2425*VLOOKUP($A260,EnrollData2324,'2324 Jun 24 Enroll'!AI$1,FALSE),2)-AC260</f>
        <v>17.069999999999993</v>
      </c>
      <c r="AE260" s="6">
        <f>ROUND($Z260*CLS_Base_Salary2425*VLOOKUP($A260,EnrollData2324,'2324 Jun 24 Enroll'!AH$1,FALSE),2)</f>
        <v>961.95</v>
      </c>
      <c r="AF260" s="6">
        <f>ROUND($Z260*CLS_Inc_Salary2425*VLOOKUP($A260,EnrollData2324,'2324 Jun 24 Enroll'!AI$1,FALSE),2)-AE260</f>
        <v>35.599999999999909</v>
      </c>
      <c r="AG260" cm="1">
        <f t="array" ref="AG260">ROUND(($J260+$R260)*Apport_124X2425,2)</f>
        <v>800.45</v>
      </c>
      <c r="AH260" s="69" cm="1">
        <f t="array" ref="AH260">ROUND(($J260+$R260)*Apport_621X2425*Apport_125XC2425,2)-AG260</f>
        <v>73.899999999999977</v>
      </c>
      <c r="AI260" cm="1">
        <f t="array" ref="AI260">ROUND($Z260*Apport_124X2425,2)</f>
        <v>234.7</v>
      </c>
      <c r="AJ260">
        <f t="shared" si="52"/>
        <v>124.71000000000004</v>
      </c>
      <c r="AK260">
        <f t="shared" si="53"/>
        <v>857.39</v>
      </c>
      <c r="AL260">
        <f t="shared" si="54"/>
        <v>30.6</v>
      </c>
      <c r="AM260">
        <f t="shared" si="55"/>
        <v>208.36</v>
      </c>
      <c r="AN260">
        <f t="shared" si="56"/>
        <v>6.46</v>
      </c>
      <c r="AO260">
        <f>ROUND(($J260*CIS_Inc_Salary2425*(VLOOKUP($A260,EnrollData2324,'2324 Jun 24 Enroll'!AI$1,FALSE)+VLOOKUP($A260,EnrollData2324,'2324 Jun 24 Enroll'!AJ$1,FALSE))/Apport_613Xpd)*Apport_614Xpd,2)</f>
        <v>73.67</v>
      </c>
      <c r="AP260">
        <f t="shared" si="57"/>
        <v>12.9</v>
      </c>
      <c r="AQ260">
        <f t="shared" si="58"/>
        <v>31.48</v>
      </c>
      <c r="AR260" s="6">
        <f>ROUND((VLOOKUP($A260,EnrollData2324,'2324 Jun 24 Enroll'!D$1,FALSE)*Apport_M802425+VLOOKUP($A260,EnrollData2324,'2324 Jun 24 Enroll'!M$1,FALSE)*Apport_M802425+(VLOOKUP($A260,EnrollData2324,'2324 Jun 24 Enroll'!P$1,FALSE)+VLOOKUP($A260,EnrollData2324,'2324 Jun 24 Enroll'!Q$1,FALSE)+VLOOKUP($A260,EnrollData2324,'2324 Jun 24 Enroll'!R$1,FALSE)+VLOOKUP($A260,EnrollData2324,'2324 Jun 24 Enroll'!I$1,FALSE)+VLOOKUP($A260,EnrollData2324,'2324 Jun 24 Enroll'!N$1,FALSE)+VLOOKUP($A260,EnrollData2324,'2324 Jun 24 Enroll'!O$1,FALSE)+VLOOKUP($A260,EnrollData2324,'2324 Jun 24 Enroll'!K$1,FALSE)+VLOOKUP($A260,EnrollData2324,'2324 Jun 24 Enroll'!L$1,FALSE))*Apport_M812425)/(VLOOKUP($A260,EnrollData2324,'2324 Jun 24 Enroll'!M$1,FALSE)+VLOOKUP($A260,EnrollData2324,'2324 Jun 24 Enroll'!D$1,FALSE)),2)</f>
        <v>1655.03</v>
      </c>
      <c r="AS260" s="7">
        <f t="shared" si="59"/>
        <v>10005.869999999999</v>
      </c>
    </row>
    <row r="261" spans="1:45">
      <c r="A261" s="40" t="s">
        <v>661</v>
      </c>
      <c r="B261" s="40" t="s">
        <v>662</v>
      </c>
      <c r="C261" s="11">
        <f>ROUND((IFERROR((1/IF(VLOOKUP($A261,EnrollData2324,28,FALSE)='District Calculations'!$F$10,VLOOKUP($A261,EnrollData2324,28,FALSE),'District Calculations'!$F$10))*(1+Apport_Z315),0))+Apport_201A2425,6)</f>
        <v>7.4580999999999995E-2</v>
      </c>
      <c r="D261">
        <f>ROUND(IF(VLOOKUP($A261,EnrollData2324,'2324 Jun 24 Enroll'!D$1,FALSE)='District Calculations'!$F$11,VLOOKUP($A261,EnrollData2324,'2324 Jun 24 Enroll'!D$1,FALSE),'District Calculations'!$F$11)*C261,3)</f>
        <v>0</v>
      </c>
      <c r="E261">
        <f>ROUND(IF(VLOOKUP($A261,EnrollData2324,'2324 Jun 24 Enroll'!E$1,FALSE)='District Calculations'!$F$12,VLOOKUP($A261,EnrollData2324,'2324 Jun 24 Enroll'!E$1,FALSE),'District Calculations'!$F$12)*C261,3)</f>
        <v>60.447000000000003</v>
      </c>
      <c r="F261">
        <f>ROUND(IF(VLOOKUP($A261,EnrollData2324,'2324 Jun 24 Enroll'!F$1,FALSE)='District Calculations'!$F$13,VLOOKUP($A261,EnrollData2324,'2324 Jun 24 Enroll'!F$1,FALSE),'District Calculations'!$F$13)*Apport_222A2425,3)</f>
        <v>10.337999999999999</v>
      </c>
      <c r="G261">
        <f>ROUND(IF(VLOOKUP($A261,EnrollData2324,'2324 Jun 24 Enroll'!G$1,FALSE)='District Calculations'!$F$14,VLOOKUP($A261,EnrollData2324,'2324 Jun 24 Enroll'!G$1,FALSE),'District Calculations'!$F$14)*Apport_210A2425,3)</f>
        <v>22.92</v>
      </c>
      <c r="H261">
        <f>ROUND(IF(VLOOKUP($A261,EnrollData2324,'2324 Jun 24 Enroll'!H$1,FALSE)='District Calculations'!$F$15,VLOOKUP($A261,EnrollData2324,'2324 Jun 24 Enroll'!H$1,FALSE),'District Calculations'!$F$15)*Apport_213A2425,3)</f>
        <v>23.619</v>
      </c>
      <c r="I261">
        <f>ROUND(IF(VLOOKUP($A261,EnrollData2324,'2324 Jun 24 Enroll'!I$1,FALSE)+VLOOKUP($A261,EnrollData2324,'2324 Jun 24 Enroll'!M$1,FALSE)-VLOOKUP($A261,EnrollData2324,'2324 Jun 24 Enroll'!J$1,FALSE)='District Calculations'!$F$16+'District Calculations'!$F$25-'District Calculations'!$F$17,VLOOKUP($A261,EnrollData2324,'2324 Jun 24 Enroll'!I$1,FALSE)+VLOOKUP($A261,EnrollData2324,'2324 Jun 24 Enroll'!M$1,FALSE)-VLOOKUP($A261,EnrollData2324,'2324 Jun 24 Enroll'!J$1,FALSE),'District Calculations'!$F$16+'District Calculations'!$F$25-'District Calculations'!$F$17)*Apport_216A2425,3)</f>
        <v>59.057000000000002</v>
      </c>
      <c r="J261">
        <f>ROUND(SUM(D261:I261)/(IF(VLOOKUP($A261,EnrollData2324,'2324 Jun 24 Enroll'!M$1,FALSE)='District Calculations'!$F$25,VLOOKUP($A261,EnrollData2324,'2324 Jun 24 Enroll'!M$1,FALSE),'District Calculations'!$F$25)+IF(VLOOKUP($A261,EnrollData2324,'2324 Jun 24 Enroll'!D$1,FALSE)='District Calculations'!$F$11,VLOOKUP($A261,EnrollData2324,'2324 Jun 24 Enroll'!D$1,FALSE),'District Calculations'!$F$11)),5)</f>
        <v>5.6520000000000001E-2</v>
      </c>
      <c r="K261" s="11">
        <f t="shared" si="50"/>
        <v>4.385E-3</v>
      </c>
      <c r="L261">
        <f>ROUND(IF(VLOOKUP($A261,EnrollData2324,'2324 Jun 24 Enroll'!D$1,FALSE)='District Calculations'!$F$11,VLOOKUP($A261,EnrollData2324,'2324 Jun 24 Enroll'!D$1,FALSE),'District Calculations'!$F$11)*K261,3)</f>
        <v>0</v>
      </c>
      <c r="M261">
        <f>ROUND(IF(VLOOKUP($A261,EnrollData2324,'2324 Jun 24 Enroll'!E$1,FALSE)='District Calculations'!$F$12,VLOOKUP($A261,EnrollData2324,'2324 Jun 24 Enroll'!E$1,FALSE),'District Calculations'!$F$12)*K261,3)</f>
        <v>3.5539999999999998</v>
      </c>
      <c r="N261">
        <f>ROUND(IF(VLOOKUP($A261,EnrollData2324,'2324 Jun 24 Enroll'!F$1,FALSE)='District Calculations'!$F$13,VLOOKUP($A261,EnrollData2324,'2324 Jun 24 Enroll'!F$1,FALSE),'District Calculations'!$F$13)*Apport_223A2425,3)</f>
        <v>0.84599999999999997</v>
      </c>
      <c r="O261">
        <f>ROUND(IF(VLOOKUP($A261,EnrollData2324,'2324 Jun 24 Enroll'!G$1,FALSE)='District Calculations'!$F$14,VLOOKUP($A261,EnrollData2324,'2324 Jun 24 Enroll'!G$1,FALSE),'District Calculations'!$F$14)*Apport_211A2425,3)</f>
        <v>1.877</v>
      </c>
      <c r="P261">
        <f>ROUND(IF(VLOOKUP($A261,EnrollData2324,'2324 Jun 24 Enroll'!H$1,FALSE)='District Calculations'!$F$14,VLOOKUP($A261,EnrollData2324,'2324 Jun 24 Enroll'!H$1,FALSE),'District Calculations'!$F$14)*Apport_214A2425,3)</f>
        <v>1.875</v>
      </c>
      <c r="Q261">
        <f>ROUND(IF(VLOOKUP($A261,EnrollData2324,'2324 Jun 24 Enroll'!I$1,FALSE)+VLOOKUP($A261,EnrollData2324,'2324 Jun 24 Enroll'!M$1,FALSE)-VLOOKUP($A261,EnrollData2324,'2324 Jun 24 Enroll'!J$1,FALSE)='District Calculations'!$F$16+'District Calculations'!$F$25-'District Calculations'!$F$17,VLOOKUP($A261,EnrollData2324,'2324 Jun 24 Enroll'!I$1,FALSE)+VLOOKUP($A261,EnrollData2324,'2324 Jun 24 Enroll'!M$1,FALSE)-VLOOKUP($A261,EnrollData2324,'2324 Jun 24 Enroll'!J$1,FALSE),'District Calculations'!$F$16+'District Calculations'!$F$25-'District Calculations'!$F$17)*Apport_217A2425,3)</f>
        <v>4.7130000000000001</v>
      </c>
      <c r="R261">
        <f>ROUND(SUM(L261:Q261)/IF(VLOOKUP($A261,EnrollData2324,'2324 Jun 24 Enroll'!M$1,FALSE)+VLOOKUP($A261,EnrollData2324,'2324 Jun 24 Enroll'!D$1,FALSE)='District Calculations'!$F$25+'District Calculations'!$F$11,VLOOKUP($A261,EnrollData2324,'2324 Jun 24 Enroll'!M$1,FALSE)+VLOOKUP($A261,EnrollData2324,'2324 Jun 24 Enroll'!D$1,FALSE),'District Calculations'!$F$25+'District Calculations'!$F$11),5)</f>
        <v>4.1200000000000004E-3</v>
      </c>
      <c r="S261" s="11">
        <f t="shared" si="51"/>
        <v>1.8734299999999999E-2</v>
      </c>
      <c r="T261">
        <f>ROUND(IF(VLOOKUP($A261,EnrollData2324,'2324 Jun 24 Enroll'!D$1,FALSE)='District Calculations'!$F$11,VLOOKUP($A261,EnrollData2324,'2324 Jun 24 Enroll'!D$1,FALSE),'District Calculations'!$F$11)*S261,3)</f>
        <v>0</v>
      </c>
      <c r="U261">
        <f>ROUND(IF(VLOOKUP($A261,EnrollData2324,'2324 Jun 24 Enroll'!E$1,FALSE)='District Calculations'!$F$12,VLOOKUP($A261,EnrollData2324,'2324 Jun 24 Enroll'!E$1,FALSE),'District Calculations'!$F$12)*S261,3)</f>
        <v>15.183999999999999</v>
      </c>
      <c r="V261">
        <f>ROUND(IF(VLOOKUP($A261,EnrollData2324,'2324 Jun 24 Enroll'!F$1,FALSE)='District Calculations'!$F$13,VLOOKUP($A261,EnrollData2324,'2324 Jun 24 Enroll'!F$1,FALSE),'District Calculations'!$F$13)*Apport_224A2425,3)</f>
        <v>3.7109999999999999</v>
      </c>
      <c r="W261">
        <f>ROUND(IF(VLOOKUP($A261,EnrollData2324,'2324 Jun 24 Enroll'!G$1,FALSE)='District Calculations'!$F$14,VLOOKUP($A261,EnrollData2324,'2324 Jun 24 Enroll'!G$1,FALSE),'District Calculations'!$F$14)*Apport_212A2425,3)</f>
        <v>8.2279999999999998</v>
      </c>
      <c r="X261">
        <f>ROUND(IF(VLOOKUP($A261,EnrollData2324,'2324 Jun 24 Enroll'!H$1,FALSE)='District Calculations'!$F$14,VLOOKUP($A261,EnrollData2324,'2324 Jun 24 Enroll'!H$1,FALSE),'District Calculations'!$F$14)*Apport_215A2425,3)</f>
        <v>8.1180000000000003</v>
      </c>
      <c r="Y261">
        <f>ROUND(IF(VLOOKUP($A261,EnrollData2324,'2324 Jun 24 Enroll'!I$1,FALSE)+VLOOKUP($A261,EnrollData2324,'2324 Jun 24 Enroll'!M$1,FALSE)-VLOOKUP($A261,EnrollData2324,'2324 Jun 24 Enroll'!J$1,FALSE)='District Calculations'!$F$16+'District Calculations'!$F$25-'District Calculations'!$F$17,VLOOKUP($A261,EnrollData2324,'2324 Jun 24 Enroll'!I$1,FALSE)+VLOOKUP($A261,EnrollData2324,'2324 Jun 24 Enroll'!M$1,FALSE)-VLOOKUP($A261,EnrollData2324,'2324 Jun 24 Enroll'!J$1,FALSE),'District Calculations'!$F$16+'District Calculations'!$F$25-'District Calculations'!$F$17)*Apport_218A2425,3)</f>
        <v>20.257999999999999</v>
      </c>
      <c r="Z261">
        <f>ROUND(SUM(T261:Y261)/IF(VLOOKUP($A261,EnrollData2324,'2324 Jun 24 Enroll'!M$1,FALSE)+VLOOKUP($A261,EnrollData2324,'2324 Jun 24 Enroll'!D$1,FALSE)='District Calculations'!$F$25+'District Calculations'!$F$11,VLOOKUP($A261,EnrollData2324,'2324 Jun 24 Enroll'!M$1,FALSE)+VLOOKUP($A261,EnrollData2324,'2324 Jun 24 Enroll'!D$1,FALSE),'District Calculations'!$F$25+'District Calculations'!$F$11),5)</f>
        <v>1.7780000000000001E-2</v>
      </c>
      <c r="AA261" s="6">
        <f>ROUND($J261*CIS_Base_Salary2425*VLOOKUP($A261,EnrollData2324,'2324 Jun 24 Enroll'!AH$1,FALSE),2)</f>
        <v>4262.68</v>
      </c>
      <c r="AB261" s="6">
        <f>ROUND($J261*CIS_Inc_Salary2425*(VLOOKUP($A261,EnrollData2324,'2324 Jun 24 Enroll'!AI$1,FALSE)+VLOOKUP($A261,EnrollData2324,'2324 Jun 24 Enroll'!AJ$1,FALSE)),2)-AA261</f>
        <v>201.89999999999964</v>
      </c>
      <c r="AC261" s="6" cm="1">
        <f t="array" ref="AC261">ROUND($R261*CAS_Base_Salary2425*VLOOKUP($A261,EnrollData2324,'2324 Jun 24 Enroll'!AH$1,FALSE),2)</f>
        <v>461.23</v>
      </c>
      <c r="AD261" s="6">
        <f>ROUND($R261*CAS_Inc_Salary2425*VLOOKUP($A261,EnrollData2324,'2324 Jun 24 Enroll'!AI$1,FALSE),2)-AC261</f>
        <v>17.069999999999993</v>
      </c>
      <c r="AE261" s="6">
        <f>ROUND($Z261*CLS_Base_Salary2425*VLOOKUP($A261,EnrollData2324,'2324 Jun 24 Enroll'!AH$1,FALSE),2)</f>
        <v>961.95</v>
      </c>
      <c r="AF261" s="6">
        <f>ROUND($Z261*CLS_Inc_Salary2425*VLOOKUP($A261,EnrollData2324,'2324 Jun 24 Enroll'!AI$1,FALSE),2)-AE261</f>
        <v>35.599999999999909</v>
      </c>
      <c r="AG261" cm="1">
        <f t="array" ref="AG261">ROUND(($J261+$R261)*Apport_124X2425,2)</f>
        <v>800.45</v>
      </c>
      <c r="AH261" s="69" cm="1">
        <f t="array" ref="AH261">ROUND(($J261+$R261)*Apport_621X2425*Apport_125XC2425,2)-AG261</f>
        <v>73.899999999999977</v>
      </c>
      <c r="AI261" cm="1">
        <f t="array" ref="AI261">ROUND($Z261*Apport_124X2425,2)</f>
        <v>234.7</v>
      </c>
      <c r="AJ261">
        <f t="shared" si="52"/>
        <v>124.71000000000004</v>
      </c>
      <c r="AK261">
        <f t="shared" si="53"/>
        <v>857.39</v>
      </c>
      <c r="AL261">
        <f t="shared" si="54"/>
        <v>38.340000000000003</v>
      </c>
      <c r="AM261">
        <f t="shared" si="55"/>
        <v>208.36</v>
      </c>
      <c r="AN261">
        <f t="shared" si="56"/>
        <v>6.46</v>
      </c>
      <c r="AO261">
        <f>ROUND(($J261*CIS_Inc_Salary2425*(VLOOKUP($A261,EnrollData2324,'2324 Jun 24 Enroll'!AI$1,FALSE)+VLOOKUP($A261,EnrollData2324,'2324 Jun 24 Enroll'!AJ$1,FALSE))/Apport_613Xpd)*Apport_614Xpd,2)</f>
        <v>74.41</v>
      </c>
      <c r="AP261">
        <f t="shared" si="57"/>
        <v>13.03</v>
      </c>
      <c r="AQ261">
        <f t="shared" si="58"/>
        <v>31.48</v>
      </c>
      <c r="AR261" s="6">
        <f>ROUND((VLOOKUP($A261,EnrollData2324,'2324 Jun 24 Enroll'!D$1,FALSE)*Apport_M802425+VLOOKUP($A261,EnrollData2324,'2324 Jun 24 Enroll'!M$1,FALSE)*Apport_M802425+(VLOOKUP($A261,EnrollData2324,'2324 Jun 24 Enroll'!P$1,FALSE)+VLOOKUP($A261,EnrollData2324,'2324 Jun 24 Enroll'!Q$1,FALSE)+VLOOKUP($A261,EnrollData2324,'2324 Jun 24 Enroll'!R$1,FALSE)+VLOOKUP($A261,EnrollData2324,'2324 Jun 24 Enroll'!I$1,FALSE)+VLOOKUP($A261,EnrollData2324,'2324 Jun 24 Enroll'!N$1,FALSE)+VLOOKUP($A261,EnrollData2324,'2324 Jun 24 Enroll'!O$1,FALSE)+VLOOKUP($A261,EnrollData2324,'2324 Jun 24 Enroll'!K$1,FALSE)+VLOOKUP($A261,EnrollData2324,'2324 Jun 24 Enroll'!L$1,FALSE))*Apport_M812425)/(VLOOKUP($A261,EnrollData2324,'2324 Jun 24 Enroll'!M$1,FALSE)+VLOOKUP($A261,EnrollData2324,'2324 Jun 24 Enroll'!D$1,FALSE)),2)</f>
        <v>1533.02</v>
      </c>
      <c r="AS261" s="7">
        <f t="shared" si="59"/>
        <v>9936.6799999999985</v>
      </c>
    </row>
    <row r="262" spans="1:45">
      <c r="A262" s="40" t="s">
        <v>380</v>
      </c>
      <c r="B262" s="40" t="s">
        <v>381</v>
      </c>
      <c r="C262" s="11">
        <f>ROUND((IFERROR((1/IF(VLOOKUP($A262,EnrollData2324,28,FALSE)='District Calculations'!$F$10,VLOOKUP($A262,EnrollData2324,28,FALSE),'District Calculations'!$F$10))*(1+Apport_Z315),0))+Apport_201A2425,6)</f>
        <v>7.4580999999999995E-2</v>
      </c>
      <c r="D262">
        <f>ROUND(IF(VLOOKUP($A262,EnrollData2324,'2324 Jun 24 Enroll'!D$1,FALSE)='District Calculations'!$F$11,VLOOKUP($A262,EnrollData2324,'2324 Jun 24 Enroll'!D$1,FALSE),'District Calculations'!$F$11)*C262,3)</f>
        <v>0</v>
      </c>
      <c r="E262">
        <f>ROUND(IF(VLOOKUP($A262,EnrollData2324,'2324 Jun 24 Enroll'!E$1,FALSE)='District Calculations'!$F$12,VLOOKUP($A262,EnrollData2324,'2324 Jun 24 Enroll'!E$1,FALSE),'District Calculations'!$F$12)*C262,3)</f>
        <v>60.447000000000003</v>
      </c>
      <c r="F262">
        <f>ROUND(IF(VLOOKUP($A262,EnrollData2324,'2324 Jun 24 Enroll'!F$1,FALSE)='District Calculations'!$F$13,VLOOKUP($A262,EnrollData2324,'2324 Jun 24 Enroll'!F$1,FALSE),'District Calculations'!$F$13)*Apport_222A2425,3)</f>
        <v>10.337999999999999</v>
      </c>
      <c r="G262">
        <f>ROUND(IF(VLOOKUP($A262,EnrollData2324,'2324 Jun 24 Enroll'!G$1,FALSE)='District Calculations'!$F$14,VLOOKUP($A262,EnrollData2324,'2324 Jun 24 Enroll'!G$1,FALSE),'District Calculations'!$F$14)*Apport_210A2425,3)</f>
        <v>22.92</v>
      </c>
      <c r="H262">
        <f>ROUND(IF(VLOOKUP($A262,EnrollData2324,'2324 Jun 24 Enroll'!H$1,FALSE)='District Calculations'!$F$15,VLOOKUP($A262,EnrollData2324,'2324 Jun 24 Enroll'!H$1,FALSE),'District Calculations'!$F$15)*Apport_213A2425,3)</f>
        <v>23.619</v>
      </c>
      <c r="I262">
        <f>ROUND(IF(VLOOKUP($A262,EnrollData2324,'2324 Jun 24 Enroll'!I$1,FALSE)+VLOOKUP($A262,EnrollData2324,'2324 Jun 24 Enroll'!M$1,FALSE)-VLOOKUP($A262,EnrollData2324,'2324 Jun 24 Enroll'!J$1,FALSE)='District Calculations'!$F$16+'District Calculations'!$F$25-'District Calculations'!$F$17,VLOOKUP($A262,EnrollData2324,'2324 Jun 24 Enroll'!I$1,FALSE)+VLOOKUP($A262,EnrollData2324,'2324 Jun 24 Enroll'!M$1,FALSE)-VLOOKUP($A262,EnrollData2324,'2324 Jun 24 Enroll'!J$1,FALSE),'District Calculations'!$F$16+'District Calculations'!$F$25-'District Calculations'!$F$17)*Apport_216A2425,3)</f>
        <v>59.057000000000002</v>
      </c>
      <c r="J262">
        <f>ROUND(SUM(D262:I262)/(IF(VLOOKUP($A262,EnrollData2324,'2324 Jun 24 Enroll'!M$1,FALSE)='District Calculations'!$F$25,VLOOKUP($A262,EnrollData2324,'2324 Jun 24 Enroll'!M$1,FALSE),'District Calculations'!$F$25)+IF(VLOOKUP($A262,EnrollData2324,'2324 Jun 24 Enroll'!D$1,FALSE)='District Calculations'!$F$11,VLOOKUP($A262,EnrollData2324,'2324 Jun 24 Enroll'!D$1,FALSE),'District Calculations'!$F$11)),5)</f>
        <v>5.6520000000000001E-2</v>
      </c>
      <c r="K262" s="11">
        <f t="shared" si="50"/>
        <v>4.385E-3</v>
      </c>
      <c r="L262">
        <f>ROUND(IF(VLOOKUP($A262,EnrollData2324,'2324 Jun 24 Enroll'!D$1,FALSE)='District Calculations'!$F$11,VLOOKUP($A262,EnrollData2324,'2324 Jun 24 Enroll'!D$1,FALSE),'District Calculations'!$F$11)*K262,3)</f>
        <v>0</v>
      </c>
      <c r="M262">
        <f>ROUND(IF(VLOOKUP($A262,EnrollData2324,'2324 Jun 24 Enroll'!E$1,FALSE)='District Calculations'!$F$12,VLOOKUP($A262,EnrollData2324,'2324 Jun 24 Enroll'!E$1,FALSE),'District Calculations'!$F$12)*K262,3)</f>
        <v>3.5539999999999998</v>
      </c>
      <c r="N262">
        <f>ROUND(IF(VLOOKUP($A262,EnrollData2324,'2324 Jun 24 Enroll'!F$1,FALSE)='District Calculations'!$F$13,VLOOKUP($A262,EnrollData2324,'2324 Jun 24 Enroll'!F$1,FALSE),'District Calculations'!$F$13)*Apport_223A2425,3)</f>
        <v>0.84599999999999997</v>
      </c>
      <c r="O262">
        <f>ROUND(IF(VLOOKUP($A262,EnrollData2324,'2324 Jun 24 Enroll'!G$1,FALSE)='District Calculations'!$F$14,VLOOKUP($A262,EnrollData2324,'2324 Jun 24 Enroll'!G$1,FALSE),'District Calculations'!$F$14)*Apport_211A2425,3)</f>
        <v>1.877</v>
      </c>
      <c r="P262">
        <f>ROUND(IF(VLOOKUP($A262,EnrollData2324,'2324 Jun 24 Enroll'!H$1,FALSE)='District Calculations'!$F$14,VLOOKUP($A262,EnrollData2324,'2324 Jun 24 Enroll'!H$1,FALSE),'District Calculations'!$F$14)*Apport_214A2425,3)</f>
        <v>1.875</v>
      </c>
      <c r="Q262">
        <f>ROUND(IF(VLOOKUP($A262,EnrollData2324,'2324 Jun 24 Enroll'!I$1,FALSE)+VLOOKUP($A262,EnrollData2324,'2324 Jun 24 Enroll'!M$1,FALSE)-VLOOKUP($A262,EnrollData2324,'2324 Jun 24 Enroll'!J$1,FALSE)='District Calculations'!$F$16+'District Calculations'!$F$25-'District Calculations'!$F$17,VLOOKUP($A262,EnrollData2324,'2324 Jun 24 Enroll'!I$1,FALSE)+VLOOKUP($A262,EnrollData2324,'2324 Jun 24 Enroll'!M$1,FALSE)-VLOOKUP($A262,EnrollData2324,'2324 Jun 24 Enroll'!J$1,FALSE),'District Calculations'!$F$16+'District Calculations'!$F$25-'District Calculations'!$F$17)*Apport_217A2425,3)</f>
        <v>4.7130000000000001</v>
      </c>
      <c r="R262">
        <f>ROUND(SUM(L262:Q262)/IF(VLOOKUP($A262,EnrollData2324,'2324 Jun 24 Enroll'!M$1,FALSE)+VLOOKUP($A262,EnrollData2324,'2324 Jun 24 Enroll'!D$1,FALSE)='District Calculations'!$F$25+'District Calculations'!$F$11,VLOOKUP($A262,EnrollData2324,'2324 Jun 24 Enroll'!M$1,FALSE)+VLOOKUP($A262,EnrollData2324,'2324 Jun 24 Enroll'!D$1,FALSE),'District Calculations'!$F$25+'District Calculations'!$F$11),5)</f>
        <v>4.1200000000000004E-3</v>
      </c>
      <c r="S262" s="11">
        <f t="shared" si="51"/>
        <v>1.8734299999999999E-2</v>
      </c>
      <c r="T262">
        <f>ROUND(IF(VLOOKUP($A262,EnrollData2324,'2324 Jun 24 Enroll'!D$1,FALSE)='District Calculations'!$F$11,VLOOKUP($A262,EnrollData2324,'2324 Jun 24 Enroll'!D$1,FALSE),'District Calculations'!$F$11)*S262,3)</f>
        <v>0</v>
      </c>
      <c r="U262">
        <f>ROUND(IF(VLOOKUP($A262,EnrollData2324,'2324 Jun 24 Enroll'!E$1,FALSE)='District Calculations'!$F$12,VLOOKUP($A262,EnrollData2324,'2324 Jun 24 Enroll'!E$1,FALSE),'District Calculations'!$F$12)*S262,3)</f>
        <v>15.183999999999999</v>
      </c>
      <c r="V262">
        <f>ROUND(IF(VLOOKUP($A262,EnrollData2324,'2324 Jun 24 Enroll'!F$1,FALSE)='District Calculations'!$F$13,VLOOKUP($A262,EnrollData2324,'2324 Jun 24 Enroll'!F$1,FALSE),'District Calculations'!$F$13)*Apport_224A2425,3)</f>
        <v>3.7109999999999999</v>
      </c>
      <c r="W262">
        <f>ROUND(IF(VLOOKUP($A262,EnrollData2324,'2324 Jun 24 Enroll'!G$1,FALSE)='District Calculations'!$F$14,VLOOKUP($A262,EnrollData2324,'2324 Jun 24 Enroll'!G$1,FALSE),'District Calculations'!$F$14)*Apport_212A2425,3)</f>
        <v>8.2279999999999998</v>
      </c>
      <c r="X262">
        <f>ROUND(IF(VLOOKUP($A262,EnrollData2324,'2324 Jun 24 Enroll'!H$1,FALSE)='District Calculations'!$F$14,VLOOKUP($A262,EnrollData2324,'2324 Jun 24 Enroll'!H$1,FALSE),'District Calculations'!$F$14)*Apport_215A2425,3)</f>
        <v>8.1180000000000003</v>
      </c>
      <c r="Y262">
        <f>ROUND(IF(VLOOKUP($A262,EnrollData2324,'2324 Jun 24 Enroll'!I$1,FALSE)+VLOOKUP($A262,EnrollData2324,'2324 Jun 24 Enroll'!M$1,FALSE)-VLOOKUP($A262,EnrollData2324,'2324 Jun 24 Enroll'!J$1,FALSE)='District Calculations'!$F$16+'District Calculations'!$F$25-'District Calculations'!$F$17,VLOOKUP($A262,EnrollData2324,'2324 Jun 24 Enroll'!I$1,FALSE)+VLOOKUP($A262,EnrollData2324,'2324 Jun 24 Enroll'!M$1,FALSE)-VLOOKUP($A262,EnrollData2324,'2324 Jun 24 Enroll'!J$1,FALSE),'District Calculations'!$F$16+'District Calculations'!$F$25-'District Calculations'!$F$17)*Apport_218A2425,3)</f>
        <v>20.257999999999999</v>
      </c>
      <c r="Z262">
        <f>ROUND(SUM(T262:Y262)/IF(VLOOKUP($A262,EnrollData2324,'2324 Jun 24 Enroll'!M$1,FALSE)+VLOOKUP($A262,EnrollData2324,'2324 Jun 24 Enroll'!D$1,FALSE)='District Calculations'!$F$25+'District Calculations'!$F$11,VLOOKUP($A262,EnrollData2324,'2324 Jun 24 Enroll'!M$1,FALSE)+VLOOKUP($A262,EnrollData2324,'2324 Jun 24 Enroll'!D$1,FALSE),'District Calculations'!$F$25+'District Calculations'!$F$11),5)</f>
        <v>1.7780000000000001E-2</v>
      </c>
      <c r="AA262" s="6">
        <f>ROUND($J262*CIS_Base_Salary2425*VLOOKUP($A262,EnrollData2324,'2324 Jun 24 Enroll'!AH$1,FALSE),2)</f>
        <v>4262.68</v>
      </c>
      <c r="AB262" s="6">
        <f>ROUND($J262*CIS_Inc_Salary2425*(VLOOKUP($A262,EnrollData2324,'2324 Jun 24 Enroll'!AI$1,FALSE)+VLOOKUP($A262,EnrollData2324,'2324 Jun 24 Enroll'!AJ$1,FALSE)),2)-AA262</f>
        <v>157.6899999999996</v>
      </c>
      <c r="AC262" s="6" cm="1">
        <f t="array" ref="AC262">ROUND($R262*CAS_Base_Salary2425*VLOOKUP($A262,EnrollData2324,'2324 Jun 24 Enroll'!AH$1,FALSE),2)</f>
        <v>461.23</v>
      </c>
      <c r="AD262" s="6">
        <f>ROUND($R262*CAS_Inc_Salary2425*VLOOKUP($A262,EnrollData2324,'2324 Jun 24 Enroll'!AI$1,FALSE),2)-AC262</f>
        <v>17.069999999999993</v>
      </c>
      <c r="AE262" s="6">
        <f>ROUND($Z262*CLS_Base_Salary2425*VLOOKUP($A262,EnrollData2324,'2324 Jun 24 Enroll'!AH$1,FALSE),2)</f>
        <v>961.95</v>
      </c>
      <c r="AF262" s="6">
        <f>ROUND($Z262*CLS_Inc_Salary2425*VLOOKUP($A262,EnrollData2324,'2324 Jun 24 Enroll'!AI$1,FALSE),2)-AE262</f>
        <v>35.599999999999909</v>
      </c>
      <c r="AG262" cm="1">
        <f t="array" ref="AG262">ROUND(($J262+$R262)*Apport_124X2425,2)</f>
        <v>800.45</v>
      </c>
      <c r="AH262" s="69" cm="1">
        <f t="array" ref="AH262">ROUND(($J262+$R262)*Apport_621X2425*Apport_125XC2425,2)-AG262</f>
        <v>73.899999999999977</v>
      </c>
      <c r="AI262" cm="1">
        <f t="array" ref="AI262">ROUND($Z262*Apport_124X2425,2)</f>
        <v>234.7</v>
      </c>
      <c r="AJ262">
        <f t="shared" si="52"/>
        <v>124.71000000000004</v>
      </c>
      <c r="AK262">
        <f t="shared" si="53"/>
        <v>857.39</v>
      </c>
      <c r="AL262">
        <f t="shared" si="54"/>
        <v>30.6</v>
      </c>
      <c r="AM262">
        <f t="shared" si="55"/>
        <v>208.36</v>
      </c>
      <c r="AN262">
        <f t="shared" si="56"/>
        <v>6.46</v>
      </c>
      <c r="AO262">
        <f>ROUND(($J262*CIS_Inc_Salary2425*(VLOOKUP($A262,EnrollData2324,'2324 Jun 24 Enroll'!AI$1,FALSE)+VLOOKUP($A262,EnrollData2324,'2324 Jun 24 Enroll'!AJ$1,FALSE))/Apport_613Xpd)*Apport_614Xpd,2)</f>
        <v>73.67</v>
      </c>
      <c r="AP262">
        <f t="shared" si="57"/>
        <v>12.9</v>
      </c>
      <c r="AQ262">
        <f t="shared" si="58"/>
        <v>31.48</v>
      </c>
      <c r="AR262" s="6">
        <f>ROUND((VLOOKUP($A262,EnrollData2324,'2324 Jun 24 Enroll'!D$1,FALSE)*Apport_M802425+VLOOKUP($A262,EnrollData2324,'2324 Jun 24 Enroll'!M$1,FALSE)*Apport_M802425+(VLOOKUP($A262,EnrollData2324,'2324 Jun 24 Enroll'!P$1,FALSE)+VLOOKUP($A262,EnrollData2324,'2324 Jun 24 Enroll'!Q$1,FALSE)+VLOOKUP($A262,EnrollData2324,'2324 Jun 24 Enroll'!R$1,FALSE)+VLOOKUP($A262,EnrollData2324,'2324 Jun 24 Enroll'!I$1,FALSE)+VLOOKUP($A262,EnrollData2324,'2324 Jun 24 Enroll'!N$1,FALSE)+VLOOKUP($A262,EnrollData2324,'2324 Jun 24 Enroll'!O$1,FALSE)+VLOOKUP($A262,EnrollData2324,'2324 Jun 24 Enroll'!K$1,FALSE)+VLOOKUP($A262,EnrollData2324,'2324 Jun 24 Enroll'!L$1,FALSE))*Apport_M812425)/(VLOOKUP($A262,EnrollData2324,'2324 Jun 24 Enroll'!M$1,FALSE)+VLOOKUP($A262,EnrollData2324,'2324 Jun 24 Enroll'!D$1,FALSE)),2)</f>
        <v>1624.21</v>
      </c>
      <c r="AS262" s="7">
        <f t="shared" si="59"/>
        <v>9975.0499999999993</v>
      </c>
    </row>
    <row r="263" spans="1:45">
      <c r="A263" s="40" t="s">
        <v>863</v>
      </c>
      <c r="B263" s="40" t="s">
        <v>864</v>
      </c>
      <c r="C263" s="11">
        <f>ROUND((IFERROR((1/IF(VLOOKUP($A263,EnrollData2324,28,FALSE)='District Calculations'!$F$10,VLOOKUP($A263,EnrollData2324,28,FALSE),'District Calculations'!$F$10))*(1+Apport_Z315),0))+Apport_201A2425,6)</f>
        <v>7.4580999999999995E-2</v>
      </c>
      <c r="D263">
        <f>ROUND(IF(VLOOKUP($A263,EnrollData2324,'2324 Jun 24 Enroll'!D$1,FALSE)='District Calculations'!$F$11,VLOOKUP($A263,EnrollData2324,'2324 Jun 24 Enroll'!D$1,FALSE),'District Calculations'!$F$11)*C263,3)</f>
        <v>0</v>
      </c>
      <c r="E263">
        <f>ROUND(IF(VLOOKUP($A263,EnrollData2324,'2324 Jun 24 Enroll'!E$1,FALSE)='District Calculations'!$F$12,VLOOKUP($A263,EnrollData2324,'2324 Jun 24 Enroll'!E$1,FALSE),'District Calculations'!$F$12)*C263,3)</f>
        <v>60.447000000000003</v>
      </c>
      <c r="F263">
        <f>ROUND(IF(VLOOKUP($A263,EnrollData2324,'2324 Jun 24 Enroll'!F$1,FALSE)='District Calculations'!$F$13,VLOOKUP($A263,EnrollData2324,'2324 Jun 24 Enroll'!F$1,FALSE),'District Calculations'!$F$13)*Apport_222A2425,3)</f>
        <v>10.337999999999999</v>
      </c>
      <c r="G263">
        <f>ROUND(IF(VLOOKUP($A263,EnrollData2324,'2324 Jun 24 Enroll'!G$1,FALSE)='District Calculations'!$F$14,VLOOKUP($A263,EnrollData2324,'2324 Jun 24 Enroll'!G$1,FALSE),'District Calculations'!$F$14)*Apport_210A2425,3)</f>
        <v>22.92</v>
      </c>
      <c r="H263">
        <f>ROUND(IF(VLOOKUP($A263,EnrollData2324,'2324 Jun 24 Enroll'!H$1,FALSE)='District Calculations'!$F$15,VLOOKUP($A263,EnrollData2324,'2324 Jun 24 Enroll'!H$1,FALSE),'District Calculations'!$F$15)*Apport_213A2425,3)</f>
        <v>23.619</v>
      </c>
      <c r="I263">
        <f>ROUND(IF(VLOOKUP($A263,EnrollData2324,'2324 Jun 24 Enroll'!I$1,FALSE)+VLOOKUP($A263,EnrollData2324,'2324 Jun 24 Enroll'!M$1,FALSE)-VLOOKUP($A263,EnrollData2324,'2324 Jun 24 Enroll'!J$1,FALSE)='District Calculations'!$F$16+'District Calculations'!$F$25-'District Calculations'!$F$17,VLOOKUP($A263,EnrollData2324,'2324 Jun 24 Enroll'!I$1,FALSE)+VLOOKUP($A263,EnrollData2324,'2324 Jun 24 Enroll'!M$1,FALSE)-VLOOKUP($A263,EnrollData2324,'2324 Jun 24 Enroll'!J$1,FALSE),'District Calculations'!$F$16+'District Calculations'!$F$25-'District Calculations'!$F$17)*Apport_216A2425,3)</f>
        <v>59.057000000000002</v>
      </c>
      <c r="J263">
        <f>ROUND(SUM(D263:I263)/(IF(VLOOKUP($A263,EnrollData2324,'2324 Jun 24 Enroll'!M$1,FALSE)='District Calculations'!$F$25,VLOOKUP($A263,EnrollData2324,'2324 Jun 24 Enroll'!M$1,FALSE),'District Calculations'!$F$25)+IF(VLOOKUP($A263,EnrollData2324,'2324 Jun 24 Enroll'!D$1,FALSE)='District Calculations'!$F$11,VLOOKUP($A263,EnrollData2324,'2324 Jun 24 Enroll'!D$1,FALSE),'District Calculations'!$F$11)),5)</f>
        <v>5.6520000000000001E-2</v>
      </c>
      <c r="K263" s="11">
        <f t="shared" si="50"/>
        <v>4.385E-3</v>
      </c>
      <c r="L263">
        <f>ROUND(IF(VLOOKUP($A263,EnrollData2324,'2324 Jun 24 Enroll'!D$1,FALSE)='District Calculations'!$F$11,VLOOKUP($A263,EnrollData2324,'2324 Jun 24 Enroll'!D$1,FALSE),'District Calculations'!$F$11)*K263,3)</f>
        <v>0</v>
      </c>
      <c r="M263">
        <f>ROUND(IF(VLOOKUP($A263,EnrollData2324,'2324 Jun 24 Enroll'!E$1,FALSE)='District Calculations'!$F$12,VLOOKUP($A263,EnrollData2324,'2324 Jun 24 Enroll'!E$1,FALSE),'District Calculations'!$F$12)*K263,3)</f>
        <v>3.5539999999999998</v>
      </c>
      <c r="N263">
        <f>ROUND(IF(VLOOKUP($A263,EnrollData2324,'2324 Jun 24 Enroll'!F$1,FALSE)='District Calculations'!$F$13,VLOOKUP($A263,EnrollData2324,'2324 Jun 24 Enroll'!F$1,FALSE),'District Calculations'!$F$13)*Apport_223A2425,3)</f>
        <v>0.84599999999999997</v>
      </c>
      <c r="O263">
        <f>ROUND(IF(VLOOKUP($A263,EnrollData2324,'2324 Jun 24 Enroll'!G$1,FALSE)='District Calculations'!$F$14,VLOOKUP($A263,EnrollData2324,'2324 Jun 24 Enroll'!G$1,FALSE),'District Calculations'!$F$14)*Apport_211A2425,3)</f>
        <v>1.877</v>
      </c>
      <c r="P263">
        <f>ROUND(IF(VLOOKUP($A263,EnrollData2324,'2324 Jun 24 Enroll'!H$1,FALSE)='District Calculations'!$F$14,VLOOKUP($A263,EnrollData2324,'2324 Jun 24 Enroll'!H$1,FALSE),'District Calculations'!$F$14)*Apport_214A2425,3)</f>
        <v>1.875</v>
      </c>
      <c r="Q263">
        <f>ROUND(IF(VLOOKUP($A263,EnrollData2324,'2324 Jun 24 Enroll'!I$1,FALSE)+VLOOKUP($A263,EnrollData2324,'2324 Jun 24 Enroll'!M$1,FALSE)-VLOOKUP($A263,EnrollData2324,'2324 Jun 24 Enroll'!J$1,FALSE)='District Calculations'!$F$16+'District Calculations'!$F$25-'District Calculations'!$F$17,VLOOKUP($A263,EnrollData2324,'2324 Jun 24 Enroll'!I$1,FALSE)+VLOOKUP($A263,EnrollData2324,'2324 Jun 24 Enroll'!M$1,FALSE)-VLOOKUP($A263,EnrollData2324,'2324 Jun 24 Enroll'!J$1,FALSE),'District Calculations'!$F$16+'District Calculations'!$F$25-'District Calculations'!$F$17)*Apport_217A2425,3)</f>
        <v>4.7130000000000001</v>
      </c>
      <c r="R263">
        <f>ROUND(SUM(L263:Q263)/IF(VLOOKUP($A263,EnrollData2324,'2324 Jun 24 Enroll'!M$1,FALSE)+VLOOKUP($A263,EnrollData2324,'2324 Jun 24 Enroll'!D$1,FALSE)='District Calculations'!$F$25+'District Calculations'!$F$11,VLOOKUP($A263,EnrollData2324,'2324 Jun 24 Enroll'!M$1,FALSE)+VLOOKUP($A263,EnrollData2324,'2324 Jun 24 Enroll'!D$1,FALSE),'District Calculations'!$F$25+'District Calculations'!$F$11),5)</f>
        <v>4.1200000000000004E-3</v>
      </c>
      <c r="S263" s="11">
        <f t="shared" si="51"/>
        <v>1.8734299999999999E-2</v>
      </c>
      <c r="T263">
        <f>ROUND(IF(VLOOKUP($A263,EnrollData2324,'2324 Jun 24 Enroll'!D$1,FALSE)='District Calculations'!$F$11,VLOOKUP($A263,EnrollData2324,'2324 Jun 24 Enroll'!D$1,FALSE),'District Calculations'!$F$11)*S263,3)</f>
        <v>0</v>
      </c>
      <c r="U263">
        <f>ROUND(IF(VLOOKUP($A263,EnrollData2324,'2324 Jun 24 Enroll'!E$1,FALSE)='District Calculations'!$F$12,VLOOKUP($A263,EnrollData2324,'2324 Jun 24 Enroll'!E$1,FALSE),'District Calculations'!$F$12)*S263,3)</f>
        <v>15.183999999999999</v>
      </c>
      <c r="V263">
        <f>ROUND(IF(VLOOKUP($A263,EnrollData2324,'2324 Jun 24 Enroll'!F$1,FALSE)='District Calculations'!$F$13,VLOOKUP($A263,EnrollData2324,'2324 Jun 24 Enroll'!F$1,FALSE),'District Calculations'!$F$13)*Apport_224A2425,3)</f>
        <v>3.7109999999999999</v>
      </c>
      <c r="W263">
        <f>ROUND(IF(VLOOKUP($A263,EnrollData2324,'2324 Jun 24 Enroll'!G$1,FALSE)='District Calculations'!$F$14,VLOOKUP($A263,EnrollData2324,'2324 Jun 24 Enroll'!G$1,FALSE),'District Calculations'!$F$14)*Apport_212A2425,3)</f>
        <v>8.2279999999999998</v>
      </c>
      <c r="X263">
        <f>ROUND(IF(VLOOKUP($A263,EnrollData2324,'2324 Jun 24 Enroll'!H$1,FALSE)='District Calculations'!$F$14,VLOOKUP($A263,EnrollData2324,'2324 Jun 24 Enroll'!H$1,FALSE),'District Calculations'!$F$14)*Apport_215A2425,3)</f>
        <v>8.1180000000000003</v>
      </c>
      <c r="Y263">
        <f>ROUND(IF(VLOOKUP($A263,EnrollData2324,'2324 Jun 24 Enroll'!I$1,FALSE)+VLOOKUP($A263,EnrollData2324,'2324 Jun 24 Enroll'!M$1,FALSE)-VLOOKUP($A263,EnrollData2324,'2324 Jun 24 Enroll'!J$1,FALSE)='District Calculations'!$F$16+'District Calculations'!$F$25-'District Calculations'!$F$17,VLOOKUP($A263,EnrollData2324,'2324 Jun 24 Enroll'!I$1,FALSE)+VLOOKUP($A263,EnrollData2324,'2324 Jun 24 Enroll'!M$1,FALSE)-VLOOKUP($A263,EnrollData2324,'2324 Jun 24 Enroll'!J$1,FALSE),'District Calculations'!$F$16+'District Calculations'!$F$25-'District Calculations'!$F$17)*Apport_218A2425,3)</f>
        <v>20.257999999999999</v>
      </c>
      <c r="Z263">
        <f>ROUND(SUM(T263:Y263)/IF(VLOOKUP($A263,EnrollData2324,'2324 Jun 24 Enroll'!M$1,FALSE)+VLOOKUP($A263,EnrollData2324,'2324 Jun 24 Enroll'!D$1,FALSE)='District Calculations'!$F$25+'District Calculations'!$F$11,VLOOKUP($A263,EnrollData2324,'2324 Jun 24 Enroll'!M$1,FALSE)+VLOOKUP($A263,EnrollData2324,'2324 Jun 24 Enroll'!D$1,FALSE),'District Calculations'!$F$25+'District Calculations'!$F$11),5)</f>
        <v>1.7780000000000001E-2</v>
      </c>
      <c r="AA263" s="6">
        <f>ROUND($J263*CIS_Base_Salary2425*VLOOKUP($A263,EnrollData2324,'2324 Jun 24 Enroll'!AH$1,FALSE),2)</f>
        <v>4262.68</v>
      </c>
      <c r="AB263" s="6">
        <f>ROUND($J263*CIS_Inc_Salary2425*(VLOOKUP($A263,EnrollData2324,'2324 Jun 24 Enroll'!AI$1,FALSE)+VLOOKUP($A263,EnrollData2324,'2324 Jun 24 Enroll'!AJ$1,FALSE)),2)-AA263</f>
        <v>157.6899999999996</v>
      </c>
      <c r="AC263" s="6" cm="1">
        <f t="array" ref="AC263">ROUND($R263*CAS_Base_Salary2425*VLOOKUP($A263,EnrollData2324,'2324 Jun 24 Enroll'!AH$1,FALSE),2)</f>
        <v>461.23</v>
      </c>
      <c r="AD263" s="6">
        <f>ROUND($R263*CAS_Inc_Salary2425*VLOOKUP($A263,EnrollData2324,'2324 Jun 24 Enroll'!AI$1,FALSE),2)-AC263</f>
        <v>17.069999999999993</v>
      </c>
      <c r="AE263" s="6">
        <f>ROUND($Z263*CLS_Base_Salary2425*VLOOKUP($A263,EnrollData2324,'2324 Jun 24 Enroll'!AH$1,FALSE),2)</f>
        <v>961.95</v>
      </c>
      <c r="AF263" s="6">
        <f>ROUND($Z263*CLS_Inc_Salary2425*VLOOKUP($A263,EnrollData2324,'2324 Jun 24 Enroll'!AI$1,FALSE),2)-AE263</f>
        <v>35.599999999999909</v>
      </c>
      <c r="AG263" cm="1">
        <f t="array" ref="AG263">ROUND(($J263+$R263)*Apport_124X2425,2)</f>
        <v>800.45</v>
      </c>
      <c r="AH263" s="69" cm="1">
        <f t="array" ref="AH263">ROUND(($J263+$R263)*Apport_621X2425*Apport_125XC2425,2)-AG263</f>
        <v>73.899999999999977</v>
      </c>
      <c r="AI263" cm="1">
        <f t="array" ref="AI263">ROUND($Z263*Apport_124X2425,2)</f>
        <v>234.7</v>
      </c>
      <c r="AJ263">
        <f t="shared" si="52"/>
        <v>124.71000000000004</v>
      </c>
      <c r="AK263">
        <f t="shared" si="53"/>
        <v>857.39</v>
      </c>
      <c r="AL263">
        <f t="shared" si="54"/>
        <v>30.6</v>
      </c>
      <c r="AM263">
        <f t="shared" si="55"/>
        <v>208.36</v>
      </c>
      <c r="AN263">
        <f t="shared" si="56"/>
        <v>6.46</v>
      </c>
      <c r="AO263">
        <f>ROUND(($J263*CIS_Inc_Salary2425*(VLOOKUP($A263,EnrollData2324,'2324 Jun 24 Enroll'!AI$1,FALSE)+VLOOKUP($A263,EnrollData2324,'2324 Jun 24 Enroll'!AJ$1,FALSE))/Apport_613Xpd)*Apport_614Xpd,2)</f>
        <v>73.67</v>
      </c>
      <c r="AP263">
        <f t="shared" si="57"/>
        <v>12.9</v>
      </c>
      <c r="AQ263">
        <f t="shared" si="58"/>
        <v>31.48</v>
      </c>
      <c r="AR263" s="6">
        <f>ROUND((VLOOKUP($A263,EnrollData2324,'2324 Jun 24 Enroll'!D$1,FALSE)*Apport_M802425+VLOOKUP($A263,EnrollData2324,'2324 Jun 24 Enroll'!M$1,FALSE)*Apport_M802425+(VLOOKUP($A263,EnrollData2324,'2324 Jun 24 Enroll'!P$1,FALSE)+VLOOKUP($A263,EnrollData2324,'2324 Jun 24 Enroll'!Q$1,FALSE)+VLOOKUP($A263,EnrollData2324,'2324 Jun 24 Enroll'!R$1,FALSE)+VLOOKUP($A263,EnrollData2324,'2324 Jun 24 Enroll'!I$1,FALSE)+VLOOKUP($A263,EnrollData2324,'2324 Jun 24 Enroll'!N$1,FALSE)+VLOOKUP($A263,EnrollData2324,'2324 Jun 24 Enroll'!O$1,FALSE)+VLOOKUP($A263,EnrollData2324,'2324 Jun 24 Enroll'!K$1,FALSE)+VLOOKUP($A263,EnrollData2324,'2324 Jun 24 Enroll'!L$1,FALSE))*Apport_M812425)/(VLOOKUP($A263,EnrollData2324,'2324 Jun 24 Enroll'!M$1,FALSE)+VLOOKUP($A263,EnrollData2324,'2324 Jun 24 Enroll'!D$1,FALSE)),2)</f>
        <v>1619.41</v>
      </c>
      <c r="AS263" s="7">
        <f t="shared" si="59"/>
        <v>9970.2499999999982</v>
      </c>
    </row>
    <row r="264" spans="1:45">
      <c r="A264" s="40" t="s">
        <v>839</v>
      </c>
      <c r="B264" s="40" t="s">
        <v>840</v>
      </c>
      <c r="C264" s="11">
        <f>ROUND((IFERROR((1/IF(VLOOKUP($A264,EnrollData2324,28,FALSE)='District Calculations'!$F$10,VLOOKUP($A264,EnrollData2324,28,FALSE),'District Calculations'!$F$10))*(1+Apport_Z315),0))+Apport_201A2425,6)</f>
        <v>7.4580999999999995E-2</v>
      </c>
      <c r="D264">
        <f>ROUND(IF(VLOOKUP($A264,EnrollData2324,'2324 Jun 24 Enroll'!D$1,FALSE)='District Calculations'!$F$11,VLOOKUP($A264,EnrollData2324,'2324 Jun 24 Enroll'!D$1,FALSE),'District Calculations'!$F$11)*C264,3)</f>
        <v>0</v>
      </c>
      <c r="E264">
        <f>ROUND(IF(VLOOKUP($A264,EnrollData2324,'2324 Jun 24 Enroll'!E$1,FALSE)='District Calculations'!$F$12,VLOOKUP($A264,EnrollData2324,'2324 Jun 24 Enroll'!E$1,FALSE),'District Calculations'!$F$12)*C264,3)</f>
        <v>60.447000000000003</v>
      </c>
      <c r="F264">
        <f>ROUND(IF(VLOOKUP($A264,EnrollData2324,'2324 Jun 24 Enroll'!F$1,FALSE)='District Calculations'!$F$13,VLOOKUP($A264,EnrollData2324,'2324 Jun 24 Enroll'!F$1,FALSE),'District Calculations'!$F$13)*Apport_222A2425,3)</f>
        <v>10.337999999999999</v>
      </c>
      <c r="G264">
        <f>ROUND(IF(VLOOKUP($A264,EnrollData2324,'2324 Jun 24 Enroll'!G$1,FALSE)='District Calculations'!$F$14,VLOOKUP($A264,EnrollData2324,'2324 Jun 24 Enroll'!G$1,FALSE),'District Calculations'!$F$14)*Apport_210A2425,3)</f>
        <v>22.92</v>
      </c>
      <c r="H264">
        <f>ROUND(IF(VLOOKUP($A264,EnrollData2324,'2324 Jun 24 Enroll'!H$1,FALSE)='District Calculations'!$F$15,VLOOKUP($A264,EnrollData2324,'2324 Jun 24 Enroll'!H$1,FALSE),'District Calculations'!$F$15)*Apport_213A2425,3)</f>
        <v>23.619</v>
      </c>
      <c r="I264">
        <f>ROUND(IF(VLOOKUP($A264,EnrollData2324,'2324 Jun 24 Enroll'!I$1,FALSE)+VLOOKUP($A264,EnrollData2324,'2324 Jun 24 Enroll'!M$1,FALSE)-VLOOKUP($A264,EnrollData2324,'2324 Jun 24 Enroll'!J$1,FALSE)='District Calculations'!$F$16+'District Calculations'!$F$25-'District Calculations'!$F$17,VLOOKUP($A264,EnrollData2324,'2324 Jun 24 Enroll'!I$1,FALSE)+VLOOKUP($A264,EnrollData2324,'2324 Jun 24 Enroll'!M$1,FALSE)-VLOOKUP($A264,EnrollData2324,'2324 Jun 24 Enroll'!J$1,FALSE),'District Calculations'!$F$16+'District Calculations'!$F$25-'District Calculations'!$F$17)*Apport_216A2425,3)</f>
        <v>59.057000000000002</v>
      </c>
      <c r="J264">
        <f>ROUND(SUM(D264:I264)/(IF(VLOOKUP($A264,EnrollData2324,'2324 Jun 24 Enroll'!M$1,FALSE)='District Calculations'!$F$25,VLOOKUP($A264,EnrollData2324,'2324 Jun 24 Enroll'!M$1,FALSE),'District Calculations'!$F$25)+IF(VLOOKUP($A264,EnrollData2324,'2324 Jun 24 Enroll'!D$1,FALSE)='District Calculations'!$F$11,VLOOKUP($A264,EnrollData2324,'2324 Jun 24 Enroll'!D$1,FALSE),'District Calculations'!$F$11)),5)</f>
        <v>5.6520000000000001E-2</v>
      </c>
      <c r="K264" s="11">
        <f t="shared" si="50"/>
        <v>4.385E-3</v>
      </c>
      <c r="L264">
        <f>ROUND(IF(VLOOKUP($A264,EnrollData2324,'2324 Jun 24 Enroll'!D$1,FALSE)='District Calculations'!$F$11,VLOOKUP($A264,EnrollData2324,'2324 Jun 24 Enroll'!D$1,FALSE),'District Calculations'!$F$11)*K264,3)</f>
        <v>0</v>
      </c>
      <c r="M264">
        <f>ROUND(IF(VLOOKUP($A264,EnrollData2324,'2324 Jun 24 Enroll'!E$1,FALSE)='District Calculations'!$F$12,VLOOKUP($A264,EnrollData2324,'2324 Jun 24 Enroll'!E$1,FALSE),'District Calculations'!$F$12)*K264,3)</f>
        <v>3.5539999999999998</v>
      </c>
      <c r="N264">
        <f>ROUND(IF(VLOOKUP($A264,EnrollData2324,'2324 Jun 24 Enroll'!F$1,FALSE)='District Calculations'!$F$13,VLOOKUP($A264,EnrollData2324,'2324 Jun 24 Enroll'!F$1,FALSE),'District Calculations'!$F$13)*Apport_223A2425,3)</f>
        <v>0.84599999999999997</v>
      </c>
      <c r="O264">
        <f>ROUND(IF(VLOOKUP($A264,EnrollData2324,'2324 Jun 24 Enroll'!G$1,FALSE)='District Calculations'!$F$14,VLOOKUP($A264,EnrollData2324,'2324 Jun 24 Enroll'!G$1,FALSE),'District Calculations'!$F$14)*Apport_211A2425,3)</f>
        <v>1.877</v>
      </c>
      <c r="P264">
        <f>ROUND(IF(VLOOKUP($A264,EnrollData2324,'2324 Jun 24 Enroll'!H$1,FALSE)='District Calculations'!$F$14,VLOOKUP($A264,EnrollData2324,'2324 Jun 24 Enroll'!H$1,FALSE),'District Calculations'!$F$14)*Apport_214A2425,3)</f>
        <v>1.875</v>
      </c>
      <c r="Q264">
        <f>ROUND(IF(VLOOKUP($A264,EnrollData2324,'2324 Jun 24 Enroll'!I$1,FALSE)+VLOOKUP($A264,EnrollData2324,'2324 Jun 24 Enroll'!M$1,FALSE)-VLOOKUP($A264,EnrollData2324,'2324 Jun 24 Enroll'!J$1,FALSE)='District Calculations'!$F$16+'District Calculations'!$F$25-'District Calculations'!$F$17,VLOOKUP($A264,EnrollData2324,'2324 Jun 24 Enroll'!I$1,FALSE)+VLOOKUP($A264,EnrollData2324,'2324 Jun 24 Enroll'!M$1,FALSE)-VLOOKUP($A264,EnrollData2324,'2324 Jun 24 Enroll'!J$1,FALSE),'District Calculations'!$F$16+'District Calculations'!$F$25-'District Calculations'!$F$17)*Apport_217A2425,3)</f>
        <v>4.7130000000000001</v>
      </c>
      <c r="R264">
        <f>ROUND(SUM(L264:Q264)/IF(VLOOKUP($A264,EnrollData2324,'2324 Jun 24 Enroll'!M$1,FALSE)+VLOOKUP($A264,EnrollData2324,'2324 Jun 24 Enroll'!D$1,FALSE)='District Calculations'!$F$25+'District Calculations'!$F$11,VLOOKUP($A264,EnrollData2324,'2324 Jun 24 Enroll'!M$1,FALSE)+VLOOKUP($A264,EnrollData2324,'2324 Jun 24 Enroll'!D$1,FALSE),'District Calculations'!$F$25+'District Calculations'!$F$11),5)</f>
        <v>4.1200000000000004E-3</v>
      </c>
      <c r="S264" s="11">
        <f t="shared" si="51"/>
        <v>1.8734299999999999E-2</v>
      </c>
      <c r="T264">
        <f>ROUND(IF(VLOOKUP($A264,EnrollData2324,'2324 Jun 24 Enroll'!D$1,FALSE)='District Calculations'!$F$11,VLOOKUP($A264,EnrollData2324,'2324 Jun 24 Enroll'!D$1,FALSE),'District Calculations'!$F$11)*S264,3)</f>
        <v>0</v>
      </c>
      <c r="U264">
        <f>ROUND(IF(VLOOKUP($A264,EnrollData2324,'2324 Jun 24 Enroll'!E$1,FALSE)='District Calculations'!$F$12,VLOOKUP($A264,EnrollData2324,'2324 Jun 24 Enroll'!E$1,FALSE),'District Calculations'!$F$12)*S264,3)</f>
        <v>15.183999999999999</v>
      </c>
      <c r="V264">
        <f>ROUND(IF(VLOOKUP($A264,EnrollData2324,'2324 Jun 24 Enroll'!F$1,FALSE)='District Calculations'!$F$13,VLOOKUP($A264,EnrollData2324,'2324 Jun 24 Enroll'!F$1,FALSE),'District Calculations'!$F$13)*Apport_224A2425,3)</f>
        <v>3.7109999999999999</v>
      </c>
      <c r="W264">
        <f>ROUND(IF(VLOOKUP($A264,EnrollData2324,'2324 Jun 24 Enroll'!G$1,FALSE)='District Calculations'!$F$14,VLOOKUP($A264,EnrollData2324,'2324 Jun 24 Enroll'!G$1,FALSE),'District Calculations'!$F$14)*Apport_212A2425,3)</f>
        <v>8.2279999999999998</v>
      </c>
      <c r="X264">
        <f>ROUND(IF(VLOOKUP($A264,EnrollData2324,'2324 Jun 24 Enroll'!H$1,FALSE)='District Calculations'!$F$14,VLOOKUP($A264,EnrollData2324,'2324 Jun 24 Enroll'!H$1,FALSE),'District Calculations'!$F$14)*Apport_215A2425,3)</f>
        <v>8.1180000000000003</v>
      </c>
      <c r="Y264">
        <f>ROUND(IF(VLOOKUP($A264,EnrollData2324,'2324 Jun 24 Enroll'!I$1,FALSE)+VLOOKUP($A264,EnrollData2324,'2324 Jun 24 Enroll'!M$1,FALSE)-VLOOKUP($A264,EnrollData2324,'2324 Jun 24 Enroll'!J$1,FALSE)='District Calculations'!$F$16+'District Calculations'!$F$25-'District Calculations'!$F$17,VLOOKUP($A264,EnrollData2324,'2324 Jun 24 Enroll'!I$1,FALSE)+VLOOKUP($A264,EnrollData2324,'2324 Jun 24 Enroll'!M$1,FALSE)-VLOOKUP($A264,EnrollData2324,'2324 Jun 24 Enroll'!J$1,FALSE),'District Calculations'!$F$16+'District Calculations'!$F$25-'District Calculations'!$F$17)*Apport_218A2425,3)</f>
        <v>20.257999999999999</v>
      </c>
      <c r="Z264">
        <f>ROUND(SUM(T264:Y264)/IF(VLOOKUP($A264,EnrollData2324,'2324 Jun 24 Enroll'!M$1,FALSE)+VLOOKUP($A264,EnrollData2324,'2324 Jun 24 Enroll'!D$1,FALSE)='District Calculations'!$F$25+'District Calculations'!$F$11,VLOOKUP($A264,EnrollData2324,'2324 Jun 24 Enroll'!M$1,FALSE)+VLOOKUP($A264,EnrollData2324,'2324 Jun 24 Enroll'!D$1,FALSE),'District Calculations'!$F$25+'District Calculations'!$F$11),5)</f>
        <v>1.7780000000000001E-2</v>
      </c>
      <c r="AA264" s="6">
        <f>ROUND($J264*CIS_Base_Salary2425*VLOOKUP($A264,EnrollData2324,'2324 Jun 24 Enroll'!AH$1,FALSE),2)</f>
        <v>4262.68</v>
      </c>
      <c r="AB264" s="6">
        <f>ROUND($J264*CIS_Inc_Salary2425*(VLOOKUP($A264,EnrollData2324,'2324 Jun 24 Enroll'!AI$1,FALSE)+VLOOKUP($A264,EnrollData2324,'2324 Jun 24 Enroll'!AJ$1,FALSE)),2)-AA264</f>
        <v>157.6899999999996</v>
      </c>
      <c r="AC264" s="6" cm="1">
        <f t="array" ref="AC264">ROUND($R264*CAS_Base_Salary2425*VLOOKUP($A264,EnrollData2324,'2324 Jun 24 Enroll'!AH$1,FALSE),2)</f>
        <v>461.23</v>
      </c>
      <c r="AD264" s="6">
        <f>ROUND($R264*CAS_Inc_Salary2425*VLOOKUP($A264,EnrollData2324,'2324 Jun 24 Enroll'!AI$1,FALSE),2)-AC264</f>
        <v>17.069999999999993</v>
      </c>
      <c r="AE264" s="6">
        <f>ROUND($Z264*CLS_Base_Salary2425*VLOOKUP($A264,EnrollData2324,'2324 Jun 24 Enroll'!AH$1,FALSE),2)</f>
        <v>961.95</v>
      </c>
      <c r="AF264" s="6">
        <f>ROUND($Z264*CLS_Inc_Salary2425*VLOOKUP($A264,EnrollData2324,'2324 Jun 24 Enroll'!AI$1,FALSE),2)-AE264</f>
        <v>35.599999999999909</v>
      </c>
      <c r="AG264" cm="1">
        <f t="array" ref="AG264">ROUND(($J264+$R264)*Apport_124X2425,2)</f>
        <v>800.45</v>
      </c>
      <c r="AH264" s="69" cm="1">
        <f t="array" ref="AH264">ROUND(($J264+$R264)*Apport_621X2425*Apport_125XC2425,2)-AG264</f>
        <v>73.899999999999977</v>
      </c>
      <c r="AI264" cm="1">
        <f t="array" ref="AI264">ROUND($Z264*Apport_124X2425,2)</f>
        <v>234.7</v>
      </c>
      <c r="AJ264">
        <f t="shared" si="52"/>
        <v>124.71000000000004</v>
      </c>
      <c r="AK264">
        <f t="shared" si="53"/>
        <v>857.39</v>
      </c>
      <c r="AL264">
        <f t="shared" si="54"/>
        <v>30.6</v>
      </c>
      <c r="AM264">
        <f t="shared" si="55"/>
        <v>208.36</v>
      </c>
      <c r="AN264">
        <f t="shared" si="56"/>
        <v>6.46</v>
      </c>
      <c r="AO264">
        <f>ROUND(($J264*CIS_Inc_Salary2425*(VLOOKUP($A264,EnrollData2324,'2324 Jun 24 Enroll'!AI$1,FALSE)+VLOOKUP($A264,EnrollData2324,'2324 Jun 24 Enroll'!AJ$1,FALSE))/Apport_613Xpd)*Apport_614Xpd,2)</f>
        <v>73.67</v>
      </c>
      <c r="AP264">
        <f t="shared" si="57"/>
        <v>12.9</v>
      </c>
      <c r="AQ264">
        <f t="shared" si="58"/>
        <v>31.48</v>
      </c>
      <c r="AR264" s="6">
        <f>ROUND((VLOOKUP($A264,EnrollData2324,'2324 Jun 24 Enroll'!D$1,FALSE)*Apport_M802425+VLOOKUP($A264,EnrollData2324,'2324 Jun 24 Enroll'!M$1,FALSE)*Apport_M802425+(VLOOKUP($A264,EnrollData2324,'2324 Jun 24 Enroll'!P$1,FALSE)+VLOOKUP($A264,EnrollData2324,'2324 Jun 24 Enroll'!Q$1,FALSE)+VLOOKUP($A264,EnrollData2324,'2324 Jun 24 Enroll'!R$1,FALSE)+VLOOKUP($A264,EnrollData2324,'2324 Jun 24 Enroll'!I$1,FALSE)+VLOOKUP($A264,EnrollData2324,'2324 Jun 24 Enroll'!N$1,FALSE)+VLOOKUP($A264,EnrollData2324,'2324 Jun 24 Enroll'!O$1,FALSE)+VLOOKUP($A264,EnrollData2324,'2324 Jun 24 Enroll'!K$1,FALSE)+VLOOKUP($A264,EnrollData2324,'2324 Jun 24 Enroll'!L$1,FALSE))*Apport_M812425)/(VLOOKUP($A264,EnrollData2324,'2324 Jun 24 Enroll'!M$1,FALSE)+VLOOKUP($A264,EnrollData2324,'2324 Jun 24 Enroll'!D$1,FALSE)),2)</f>
        <v>1701.88</v>
      </c>
      <c r="AS264" s="7">
        <f t="shared" si="59"/>
        <v>10052.719999999998</v>
      </c>
    </row>
    <row r="265" spans="1:45">
      <c r="A265" s="40" t="s">
        <v>400</v>
      </c>
      <c r="B265" s="40" t="s">
        <v>401</v>
      </c>
      <c r="C265" s="11">
        <f>ROUND((IFERROR((1/IF(VLOOKUP($A265,EnrollData2324,28,FALSE)='District Calculations'!$F$10,VLOOKUP($A265,EnrollData2324,28,FALSE),'District Calculations'!$F$10))*(1+Apport_Z315),0))+Apport_201A2425,6)</f>
        <v>7.4580999999999995E-2</v>
      </c>
      <c r="D265">
        <f>ROUND(IF(VLOOKUP($A265,EnrollData2324,'2324 Jun 24 Enroll'!D$1,FALSE)='District Calculations'!$F$11,VLOOKUP($A265,EnrollData2324,'2324 Jun 24 Enroll'!D$1,FALSE),'District Calculations'!$F$11)*C265,3)</f>
        <v>0</v>
      </c>
      <c r="E265">
        <f>ROUND(IF(VLOOKUP($A265,EnrollData2324,'2324 Jun 24 Enroll'!E$1,FALSE)='District Calculations'!$F$12,VLOOKUP($A265,EnrollData2324,'2324 Jun 24 Enroll'!E$1,FALSE),'District Calculations'!$F$12)*C265,3)</f>
        <v>60.447000000000003</v>
      </c>
      <c r="F265">
        <f>ROUND(IF(VLOOKUP($A265,EnrollData2324,'2324 Jun 24 Enroll'!F$1,FALSE)='District Calculations'!$F$13,VLOOKUP($A265,EnrollData2324,'2324 Jun 24 Enroll'!F$1,FALSE),'District Calculations'!$F$13)*Apport_222A2425,3)</f>
        <v>10.337999999999999</v>
      </c>
      <c r="G265">
        <f>ROUND(IF(VLOOKUP($A265,EnrollData2324,'2324 Jun 24 Enroll'!G$1,FALSE)='District Calculations'!$F$14,VLOOKUP($A265,EnrollData2324,'2324 Jun 24 Enroll'!G$1,FALSE),'District Calculations'!$F$14)*Apport_210A2425,3)</f>
        <v>22.92</v>
      </c>
      <c r="H265">
        <f>ROUND(IF(VLOOKUP($A265,EnrollData2324,'2324 Jun 24 Enroll'!H$1,FALSE)='District Calculations'!$F$15,VLOOKUP($A265,EnrollData2324,'2324 Jun 24 Enroll'!H$1,FALSE),'District Calculations'!$F$15)*Apport_213A2425,3)</f>
        <v>23.619</v>
      </c>
      <c r="I265">
        <f>ROUND(IF(VLOOKUP($A265,EnrollData2324,'2324 Jun 24 Enroll'!I$1,FALSE)+VLOOKUP($A265,EnrollData2324,'2324 Jun 24 Enroll'!M$1,FALSE)-VLOOKUP($A265,EnrollData2324,'2324 Jun 24 Enroll'!J$1,FALSE)='District Calculations'!$F$16+'District Calculations'!$F$25-'District Calculations'!$F$17,VLOOKUP($A265,EnrollData2324,'2324 Jun 24 Enroll'!I$1,FALSE)+VLOOKUP($A265,EnrollData2324,'2324 Jun 24 Enroll'!M$1,FALSE)-VLOOKUP($A265,EnrollData2324,'2324 Jun 24 Enroll'!J$1,FALSE),'District Calculations'!$F$16+'District Calculations'!$F$25-'District Calculations'!$F$17)*Apport_216A2425,3)</f>
        <v>59.057000000000002</v>
      </c>
      <c r="J265">
        <f>ROUND(SUM(D265:I265)/(IF(VLOOKUP($A265,EnrollData2324,'2324 Jun 24 Enroll'!M$1,FALSE)='District Calculations'!$F$25,VLOOKUP($A265,EnrollData2324,'2324 Jun 24 Enroll'!M$1,FALSE),'District Calculations'!$F$25)+IF(VLOOKUP($A265,EnrollData2324,'2324 Jun 24 Enroll'!D$1,FALSE)='District Calculations'!$F$11,VLOOKUP($A265,EnrollData2324,'2324 Jun 24 Enroll'!D$1,FALSE),'District Calculations'!$F$11)),5)</f>
        <v>5.6520000000000001E-2</v>
      </c>
      <c r="K265" s="11">
        <f t="shared" si="50"/>
        <v>4.385E-3</v>
      </c>
      <c r="L265">
        <f>ROUND(IF(VLOOKUP($A265,EnrollData2324,'2324 Jun 24 Enroll'!D$1,FALSE)='District Calculations'!$F$11,VLOOKUP($A265,EnrollData2324,'2324 Jun 24 Enroll'!D$1,FALSE),'District Calculations'!$F$11)*K265,3)</f>
        <v>0</v>
      </c>
      <c r="M265">
        <f>ROUND(IF(VLOOKUP($A265,EnrollData2324,'2324 Jun 24 Enroll'!E$1,FALSE)='District Calculations'!$F$12,VLOOKUP($A265,EnrollData2324,'2324 Jun 24 Enroll'!E$1,FALSE),'District Calculations'!$F$12)*K265,3)</f>
        <v>3.5539999999999998</v>
      </c>
      <c r="N265">
        <f>ROUND(IF(VLOOKUP($A265,EnrollData2324,'2324 Jun 24 Enroll'!F$1,FALSE)='District Calculations'!$F$13,VLOOKUP($A265,EnrollData2324,'2324 Jun 24 Enroll'!F$1,FALSE),'District Calculations'!$F$13)*Apport_223A2425,3)</f>
        <v>0.84599999999999997</v>
      </c>
      <c r="O265">
        <f>ROUND(IF(VLOOKUP($A265,EnrollData2324,'2324 Jun 24 Enroll'!G$1,FALSE)='District Calculations'!$F$14,VLOOKUP($A265,EnrollData2324,'2324 Jun 24 Enroll'!G$1,FALSE),'District Calculations'!$F$14)*Apport_211A2425,3)</f>
        <v>1.877</v>
      </c>
      <c r="P265">
        <f>ROUND(IF(VLOOKUP($A265,EnrollData2324,'2324 Jun 24 Enroll'!H$1,FALSE)='District Calculations'!$F$14,VLOOKUP($A265,EnrollData2324,'2324 Jun 24 Enroll'!H$1,FALSE),'District Calculations'!$F$14)*Apport_214A2425,3)</f>
        <v>1.875</v>
      </c>
      <c r="Q265">
        <f>ROUND(IF(VLOOKUP($A265,EnrollData2324,'2324 Jun 24 Enroll'!I$1,FALSE)+VLOOKUP($A265,EnrollData2324,'2324 Jun 24 Enroll'!M$1,FALSE)-VLOOKUP($A265,EnrollData2324,'2324 Jun 24 Enroll'!J$1,FALSE)='District Calculations'!$F$16+'District Calculations'!$F$25-'District Calculations'!$F$17,VLOOKUP($A265,EnrollData2324,'2324 Jun 24 Enroll'!I$1,FALSE)+VLOOKUP($A265,EnrollData2324,'2324 Jun 24 Enroll'!M$1,FALSE)-VLOOKUP($A265,EnrollData2324,'2324 Jun 24 Enroll'!J$1,FALSE),'District Calculations'!$F$16+'District Calculations'!$F$25-'District Calculations'!$F$17)*Apport_217A2425,3)</f>
        <v>4.7130000000000001</v>
      </c>
      <c r="R265">
        <f>ROUND(SUM(L265:Q265)/IF(VLOOKUP($A265,EnrollData2324,'2324 Jun 24 Enroll'!M$1,FALSE)+VLOOKUP($A265,EnrollData2324,'2324 Jun 24 Enroll'!D$1,FALSE)='District Calculations'!$F$25+'District Calculations'!$F$11,VLOOKUP($A265,EnrollData2324,'2324 Jun 24 Enroll'!M$1,FALSE)+VLOOKUP($A265,EnrollData2324,'2324 Jun 24 Enroll'!D$1,FALSE),'District Calculations'!$F$25+'District Calculations'!$F$11),5)</f>
        <v>4.1200000000000004E-3</v>
      </c>
      <c r="S265" s="11">
        <f t="shared" si="51"/>
        <v>1.8734299999999999E-2</v>
      </c>
      <c r="T265">
        <f>ROUND(IF(VLOOKUP($A265,EnrollData2324,'2324 Jun 24 Enroll'!D$1,FALSE)='District Calculations'!$F$11,VLOOKUP($A265,EnrollData2324,'2324 Jun 24 Enroll'!D$1,FALSE),'District Calculations'!$F$11)*S265,3)</f>
        <v>0</v>
      </c>
      <c r="U265">
        <f>ROUND(IF(VLOOKUP($A265,EnrollData2324,'2324 Jun 24 Enroll'!E$1,FALSE)='District Calculations'!$F$12,VLOOKUP($A265,EnrollData2324,'2324 Jun 24 Enroll'!E$1,FALSE),'District Calculations'!$F$12)*S265,3)</f>
        <v>15.183999999999999</v>
      </c>
      <c r="V265">
        <f>ROUND(IF(VLOOKUP($A265,EnrollData2324,'2324 Jun 24 Enroll'!F$1,FALSE)='District Calculations'!$F$13,VLOOKUP($A265,EnrollData2324,'2324 Jun 24 Enroll'!F$1,FALSE),'District Calculations'!$F$13)*Apport_224A2425,3)</f>
        <v>3.7109999999999999</v>
      </c>
      <c r="W265">
        <f>ROUND(IF(VLOOKUP($A265,EnrollData2324,'2324 Jun 24 Enroll'!G$1,FALSE)='District Calculations'!$F$14,VLOOKUP($A265,EnrollData2324,'2324 Jun 24 Enroll'!G$1,FALSE),'District Calculations'!$F$14)*Apport_212A2425,3)</f>
        <v>8.2279999999999998</v>
      </c>
      <c r="X265">
        <f>ROUND(IF(VLOOKUP($A265,EnrollData2324,'2324 Jun 24 Enroll'!H$1,FALSE)='District Calculations'!$F$14,VLOOKUP($A265,EnrollData2324,'2324 Jun 24 Enroll'!H$1,FALSE),'District Calculations'!$F$14)*Apport_215A2425,3)</f>
        <v>8.1180000000000003</v>
      </c>
      <c r="Y265">
        <f>ROUND(IF(VLOOKUP($A265,EnrollData2324,'2324 Jun 24 Enroll'!I$1,FALSE)+VLOOKUP($A265,EnrollData2324,'2324 Jun 24 Enroll'!M$1,FALSE)-VLOOKUP($A265,EnrollData2324,'2324 Jun 24 Enroll'!J$1,FALSE)='District Calculations'!$F$16+'District Calculations'!$F$25-'District Calculations'!$F$17,VLOOKUP($A265,EnrollData2324,'2324 Jun 24 Enroll'!I$1,FALSE)+VLOOKUP($A265,EnrollData2324,'2324 Jun 24 Enroll'!M$1,FALSE)-VLOOKUP($A265,EnrollData2324,'2324 Jun 24 Enroll'!J$1,FALSE),'District Calculations'!$F$16+'District Calculations'!$F$25-'District Calculations'!$F$17)*Apport_218A2425,3)</f>
        <v>20.257999999999999</v>
      </c>
      <c r="Z265">
        <f>ROUND(SUM(T265:Y265)/IF(VLOOKUP($A265,EnrollData2324,'2324 Jun 24 Enroll'!M$1,FALSE)+VLOOKUP($A265,EnrollData2324,'2324 Jun 24 Enroll'!D$1,FALSE)='District Calculations'!$F$25+'District Calculations'!$F$11,VLOOKUP($A265,EnrollData2324,'2324 Jun 24 Enroll'!M$1,FALSE)+VLOOKUP($A265,EnrollData2324,'2324 Jun 24 Enroll'!D$1,FALSE),'District Calculations'!$F$25+'District Calculations'!$F$11),5)</f>
        <v>1.7780000000000001E-2</v>
      </c>
      <c r="AA265" s="6">
        <f>ROUND($J265*CIS_Base_Salary2425*VLOOKUP($A265,EnrollData2324,'2324 Jun 24 Enroll'!AH$1,FALSE),2)</f>
        <v>4262.68</v>
      </c>
      <c r="AB265" s="6">
        <f>ROUND($J265*CIS_Inc_Salary2425*(VLOOKUP($A265,EnrollData2324,'2324 Jun 24 Enroll'!AI$1,FALSE)+VLOOKUP($A265,EnrollData2324,'2324 Jun 24 Enroll'!AJ$1,FALSE)),2)-AA265</f>
        <v>334.50999999999931</v>
      </c>
      <c r="AC265" s="6" cm="1">
        <f t="array" ref="AC265">ROUND($R265*CAS_Base_Salary2425*VLOOKUP($A265,EnrollData2324,'2324 Jun 24 Enroll'!AH$1,FALSE),2)</f>
        <v>461.23</v>
      </c>
      <c r="AD265" s="6">
        <f>ROUND($R265*CAS_Inc_Salary2425*VLOOKUP($A265,EnrollData2324,'2324 Jun 24 Enroll'!AI$1,FALSE),2)-AC265</f>
        <v>17.069999999999993</v>
      </c>
      <c r="AE265" s="6">
        <f>ROUND($Z265*CLS_Base_Salary2425*VLOOKUP($A265,EnrollData2324,'2324 Jun 24 Enroll'!AH$1,FALSE),2)</f>
        <v>961.95</v>
      </c>
      <c r="AF265" s="6">
        <f>ROUND($Z265*CLS_Inc_Salary2425*VLOOKUP($A265,EnrollData2324,'2324 Jun 24 Enroll'!AI$1,FALSE),2)-AE265</f>
        <v>35.599999999999909</v>
      </c>
      <c r="AG265" cm="1">
        <f t="array" ref="AG265">ROUND(($J265+$R265)*Apport_124X2425,2)</f>
        <v>800.45</v>
      </c>
      <c r="AH265" s="69" cm="1">
        <f t="array" ref="AH265">ROUND(($J265+$R265)*Apport_621X2425*Apport_125XC2425,2)-AG265</f>
        <v>73.899999999999977</v>
      </c>
      <c r="AI265" cm="1">
        <f t="array" ref="AI265">ROUND($Z265*Apport_124X2425,2)</f>
        <v>234.7</v>
      </c>
      <c r="AJ265">
        <f t="shared" si="52"/>
        <v>124.71000000000004</v>
      </c>
      <c r="AK265">
        <f t="shared" si="53"/>
        <v>857.39</v>
      </c>
      <c r="AL265">
        <f t="shared" si="54"/>
        <v>61.56</v>
      </c>
      <c r="AM265">
        <f t="shared" si="55"/>
        <v>208.36</v>
      </c>
      <c r="AN265">
        <f t="shared" si="56"/>
        <v>6.46</v>
      </c>
      <c r="AO265">
        <f>ROUND(($J265*CIS_Inc_Salary2425*(VLOOKUP($A265,EnrollData2324,'2324 Jun 24 Enroll'!AI$1,FALSE)+VLOOKUP($A265,EnrollData2324,'2324 Jun 24 Enroll'!AJ$1,FALSE))/Apport_613Xpd)*Apport_614Xpd,2)</f>
        <v>76.62</v>
      </c>
      <c r="AP265">
        <f t="shared" si="57"/>
        <v>13.42</v>
      </c>
      <c r="AQ265">
        <f t="shared" si="58"/>
        <v>31.48</v>
      </c>
      <c r="AR265" s="6">
        <f>ROUND((VLOOKUP($A265,EnrollData2324,'2324 Jun 24 Enroll'!D$1,FALSE)*Apport_M802425+VLOOKUP($A265,EnrollData2324,'2324 Jun 24 Enroll'!M$1,FALSE)*Apport_M802425+(VLOOKUP($A265,EnrollData2324,'2324 Jun 24 Enroll'!P$1,FALSE)+VLOOKUP($A265,EnrollData2324,'2324 Jun 24 Enroll'!Q$1,FALSE)+VLOOKUP($A265,EnrollData2324,'2324 Jun 24 Enroll'!R$1,FALSE)+VLOOKUP($A265,EnrollData2324,'2324 Jun 24 Enroll'!I$1,FALSE)+VLOOKUP($A265,EnrollData2324,'2324 Jun 24 Enroll'!N$1,FALSE)+VLOOKUP($A265,EnrollData2324,'2324 Jun 24 Enroll'!O$1,FALSE)+VLOOKUP($A265,EnrollData2324,'2324 Jun 24 Enroll'!K$1,FALSE)+VLOOKUP($A265,EnrollData2324,'2324 Jun 24 Enroll'!L$1,FALSE))*Apport_M812425)/(VLOOKUP($A265,EnrollData2324,'2324 Jun 24 Enroll'!M$1,FALSE)+VLOOKUP($A265,EnrollData2324,'2324 Jun 24 Enroll'!D$1,FALSE)),2)</f>
        <v>1601.07</v>
      </c>
      <c r="AS265" s="7">
        <f t="shared" si="59"/>
        <v>10163.159999999998</v>
      </c>
    </row>
    <row r="266" spans="1:45">
      <c r="A266" s="40" t="s">
        <v>560</v>
      </c>
      <c r="B266" s="40" t="s">
        <v>561</v>
      </c>
      <c r="C266" s="11">
        <f>ROUND((IFERROR((1/IF(VLOOKUP($A266,EnrollData2324,28,FALSE)='District Calculations'!$F$10,VLOOKUP($A266,EnrollData2324,28,FALSE),'District Calculations'!$F$10))*(1+Apport_Z315),0))+Apport_201A2425,6)</f>
        <v>7.4580999999999995E-2</v>
      </c>
      <c r="D266">
        <f>ROUND(IF(VLOOKUP($A266,EnrollData2324,'2324 Jun 24 Enroll'!D$1,FALSE)='District Calculations'!$F$11,VLOOKUP($A266,EnrollData2324,'2324 Jun 24 Enroll'!D$1,FALSE),'District Calculations'!$F$11)*C266,3)</f>
        <v>0</v>
      </c>
      <c r="E266">
        <f>ROUND(IF(VLOOKUP($A266,EnrollData2324,'2324 Jun 24 Enroll'!E$1,FALSE)='District Calculations'!$F$12,VLOOKUP($A266,EnrollData2324,'2324 Jun 24 Enroll'!E$1,FALSE),'District Calculations'!$F$12)*C266,3)</f>
        <v>60.447000000000003</v>
      </c>
      <c r="F266">
        <f>ROUND(IF(VLOOKUP($A266,EnrollData2324,'2324 Jun 24 Enroll'!F$1,FALSE)='District Calculations'!$F$13,VLOOKUP($A266,EnrollData2324,'2324 Jun 24 Enroll'!F$1,FALSE),'District Calculations'!$F$13)*Apport_222A2425,3)</f>
        <v>10.337999999999999</v>
      </c>
      <c r="G266">
        <f>ROUND(IF(VLOOKUP($A266,EnrollData2324,'2324 Jun 24 Enroll'!G$1,FALSE)='District Calculations'!$F$14,VLOOKUP($A266,EnrollData2324,'2324 Jun 24 Enroll'!G$1,FALSE),'District Calculations'!$F$14)*Apport_210A2425,3)</f>
        <v>22.92</v>
      </c>
      <c r="H266">
        <f>ROUND(IF(VLOOKUP($A266,EnrollData2324,'2324 Jun 24 Enroll'!H$1,FALSE)='District Calculations'!$F$15,VLOOKUP($A266,EnrollData2324,'2324 Jun 24 Enroll'!H$1,FALSE),'District Calculations'!$F$15)*Apport_213A2425,3)</f>
        <v>23.619</v>
      </c>
      <c r="I266">
        <f>ROUND(IF(VLOOKUP($A266,EnrollData2324,'2324 Jun 24 Enroll'!I$1,FALSE)+VLOOKUP($A266,EnrollData2324,'2324 Jun 24 Enroll'!M$1,FALSE)-VLOOKUP($A266,EnrollData2324,'2324 Jun 24 Enroll'!J$1,FALSE)='District Calculations'!$F$16+'District Calculations'!$F$25-'District Calculations'!$F$17,VLOOKUP($A266,EnrollData2324,'2324 Jun 24 Enroll'!I$1,FALSE)+VLOOKUP($A266,EnrollData2324,'2324 Jun 24 Enroll'!M$1,FALSE)-VLOOKUP($A266,EnrollData2324,'2324 Jun 24 Enroll'!J$1,FALSE),'District Calculations'!$F$16+'District Calculations'!$F$25-'District Calculations'!$F$17)*Apport_216A2425,3)</f>
        <v>59.057000000000002</v>
      </c>
      <c r="J266">
        <f>ROUND(SUM(D266:I266)/(IF(VLOOKUP($A266,EnrollData2324,'2324 Jun 24 Enroll'!M$1,FALSE)='District Calculations'!$F$25,VLOOKUP($A266,EnrollData2324,'2324 Jun 24 Enroll'!M$1,FALSE),'District Calculations'!$F$25)+IF(VLOOKUP($A266,EnrollData2324,'2324 Jun 24 Enroll'!D$1,FALSE)='District Calculations'!$F$11,VLOOKUP($A266,EnrollData2324,'2324 Jun 24 Enroll'!D$1,FALSE),'District Calculations'!$F$11)),5)</f>
        <v>5.6520000000000001E-2</v>
      </c>
      <c r="K266" s="11">
        <f t="shared" si="50"/>
        <v>4.385E-3</v>
      </c>
      <c r="L266">
        <f>ROUND(IF(VLOOKUP($A266,EnrollData2324,'2324 Jun 24 Enroll'!D$1,FALSE)='District Calculations'!$F$11,VLOOKUP($A266,EnrollData2324,'2324 Jun 24 Enroll'!D$1,FALSE),'District Calculations'!$F$11)*K266,3)</f>
        <v>0</v>
      </c>
      <c r="M266">
        <f>ROUND(IF(VLOOKUP($A266,EnrollData2324,'2324 Jun 24 Enroll'!E$1,FALSE)='District Calculations'!$F$12,VLOOKUP($A266,EnrollData2324,'2324 Jun 24 Enroll'!E$1,FALSE),'District Calculations'!$F$12)*K266,3)</f>
        <v>3.5539999999999998</v>
      </c>
      <c r="N266">
        <f>ROUND(IF(VLOOKUP($A266,EnrollData2324,'2324 Jun 24 Enroll'!F$1,FALSE)='District Calculations'!$F$13,VLOOKUP($A266,EnrollData2324,'2324 Jun 24 Enroll'!F$1,FALSE),'District Calculations'!$F$13)*Apport_223A2425,3)</f>
        <v>0.84599999999999997</v>
      </c>
      <c r="O266">
        <f>ROUND(IF(VLOOKUP($A266,EnrollData2324,'2324 Jun 24 Enroll'!G$1,FALSE)='District Calculations'!$F$14,VLOOKUP($A266,EnrollData2324,'2324 Jun 24 Enroll'!G$1,FALSE),'District Calculations'!$F$14)*Apport_211A2425,3)</f>
        <v>1.877</v>
      </c>
      <c r="P266">
        <f>ROUND(IF(VLOOKUP($A266,EnrollData2324,'2324 Jun 24 Enroll'!H$1,FALSE)='District Calculations'!$F$14,VLOOKUP($A266,EnrollData2324,'2324 Jun 24 Enroll'!H$1,FALSE),'District Calculations'!$F$14)*Apport_214A2425,3)</f>
        <v>1.875</v>
      </c>
      <c r="Q266">
        <f>ROUND(IF(VLOOKUP($A266,EnrollData2324,'2324 Jun 24 Enroll'!I$1,FALSE)+VLOOKUP($A266,EnrollData2324,'2324 Jun 24 Enroll'!M$1,FALSE)-VLOOKUP($A266,EnrollData2324,'2324 Jun 24 Enroll'!J$1,FALSE)='District Calculations'!$F$16+'District Calculations'!$F$25-'District Calculations'!$F$17,VLOOKUP($A266,EnrollData2324,'2324 Jun 24 Enroll'!I$1,FALSE)+VLOOKUP($A266,EnrollData2324,'2324 Jun 24 Enroll'!M$1,FALSE)-VLOOKUP($A266,EnrollData2324,'2324 Jun 24 Enroll'!J$1,FALSE),'District Calculations'!$F$16+'District Calculations'!$F$25-'District Calculations'!$F$17)*Apport_217A2425,3)</f>
        <v>4.7130000000000001</v>
      </c>
      <c r="R266">
        <f>ROUND(SUM(L266:Q266)/IF(VLOOKUP($A266,EnrollData2324,'2324 Jun 24 Enroll'!M$1,FALSE)+VLOOKUP($A266,EnrollData2324,'2324 Jun 24 Enroll'!D$1,FALSE)='District Calculations'!$F$25+'District Calculations'!$F$11,VLOOKUP($A266,EnrollData2324,'2324 Jun 24 Enroll'!M$1,FALSE)+VLOOKUP($A266,EnrollData2324,'2324 Jun 24 Enroll'!D$1,FALSE),'District Calculations'!$F$25+'District Calculations'!$F$11),5)</f>
        <v>4.1200000000000004E-3</v>
      </c>
      <c r="S266" s="11">
        <f t="shared" si="51"/>
        <v>1.8734299999999999E-2</v>
      </c>
      <c r="T266">
        <f>ROUND(IF(VLOOKUP($A266,EnrollData2324,'2324 Jun 24 Enroll'!D$1,FALSE)='District Calculations'!$F$11,VLOOKUP($A266,EnrollData2324,'2324 Jun 24 Enroll'!D$1,FALSE),'District Calculations'!$F$11)*S266,3)</f>
        <v>0</v>
      </c>
      <c r="U266">
        <f>ROUND(IF(VLOOKUP($A266,EnrollData2324,'2324 Jun 24 Enroll'!E$1,FALSE)='District Calculations'!$F$12,VLOOKUP($A266,EnrollData2324,'2324 Jun 24 Enroll'!E$1,FALSE),'District Calculations'!$F$12)*S266,3)</f>
        <v>15.183999999999999</v>
      </c>
      <c r="V266">
        <f>ROUND(IF(VLOOKUP($A266,EnrollData2324,'2324 Jun 24 Enroll'!F$1,FALSE)='District Calculations'!$F$13,VLOOKUP($A266,EnrollData2324,'2324 Jun 24 Enroll'!F$1,FALSE),'District Calculations'!$F$13)*Apport_224A2425,3)</f>
        <v>3.7109999999999999</v>
      </c>
      <c r="W266">
        <f>ROUND(IF(VLOOKUP($A266,EnrollData2324,'2324 Jun 24 Enroll'!G$1,FALSE)='District Calculations'!$F$14,VLOOKUP($A266,EnrollData2324,'2324 Jun 24 Enroll'!G$1,FALSE),'District Calculations'!$F$14)*Apport_212A2425,3)</f>
        <v>8.2279999999999998</v>
      </c>
      <c r="X266">
        <f>ROUND(IF(VLOOKUP($A266,EnrollData2324,'2324 Jun 24 Enroll'!H$1,FALSE)='District Calculations'!$F$14,VLOOKUP($A266,EnrollData2324,'2324 Jun 24 Enroll'!H$1,FALSE),'District Calculations'!$F$14)*Apport_215A2425,3)</f>
        <v>8.1180000000000003</v>
      </c>
      <c r="Y266">
        <f>ROUND(IF(VLOOKUP($A266,EnrollData2324,'2324 Jun 24 Enroll'!I$1,FALSE)+VLOOKUP($A266,EnrollData2324,'2324 Jun 24 Enroll'!M$1,FALSE)-VLOOKUP($A266,EnrollData2324,'2324 Jun 24 Enroll'!J$1,FALSE)='District Calculations'!$F$16+'District Calculations'!$F$25-'District Calculations'!$F$17,VLOOKUP($A266,EnrollData2324,'2324 Jun 24 Enroll'!I$1,FALSE)+VLOOKUP($A266,EnrollData2324,'2324 Jun 24 Enroll'!M$1,FALSE)-VLOOKUP($A266,EnrollData2324,'2324 Jun 24 Enroll'!J$1,FALSE),'District Calculations'!$F$16+'District Calculations'!$F$25-'District Calculations'!$F$17)*Apport_218A2425,3)</f>
        <v>20.257999999999999</v>
      </c>
      <c r="Z266">
        <f>ROUND(SUM(T266:Y266)/IF(VLOOKUP($A266,EnrollData2324,'2324 Jun 24 Enroll'!M$1,FALSE)+VLOOKUP($A266,EnrollData2324,'2324 Jun 24 Enroll'!D$1,FALSE)='District Calculations'!$F$25+'District Calculations'!$F$11,VLOOKUP($A266,EnrollData2324,'2324 Jun 24 Enroll'!M$1,FALSE)+VLOOKUP($A266,EnrollData2324,'2324 Jun 24 Enroll'!D$1,FALSE),'District Calculations'!$F$25+'District Calculations'!$F$11),5)</f>
        <v>1.7780000000000001E-2</v>
      </c>
      <c r="AA266" s="6">
        <f>ROUND($J266*CIS_Base_Salary2425*VLOOKUP($A266,EnrollData2324,'2324 Jun 24 Enroll'!AH$1,FALSE),2)</f>
        <v>4262.68</v>
      </c>
      <c r="AB266" s="6">
        <f>ROUND($J266*CIS_Inc_Salary2425*(VLOOKUP($A266,EnrollData2324,'2324 Jun 24 Enroll'!AI$1,FALSE)+VLOOKUP($A266,EnrollData2324,'2324 Jun 24 Enroll'!AJ$1,FALSE)),2)-AA266</f>
        <v>157.6899999999996</v>
      </c>
      <c r="AC266" s="6" cm="1">
        <f t="array" ref="AC266">ROUND($R266*CAS_Base_Salary2425*VLOOKUP($A266,EnrollData2324,'2324 Jun 24 Enroll'!AH$1,FALSE),2)</f>
        <v>461.23</v>
      </c>
      <c r="AD266" s="6">
        <f>ROUND($R266*CAS_Inc_Salary2425*VLOOKUP($A266,EnrollData2324,'2324 Jun 24 Enroll'!AI$1,FALSE),2)-AC266</f>
        <v>17.069999999999993</v>
      </c>
      <c r="AE266" s="6">
        <f>ROUND($Z266*CLS_Base_Salary2425*VLOOKUP($A266,EnrollData2324,'2324 Jun 24 Enroll'!AH$1,FALSE),2)</f>
        <v>961.95</v>
      </c>
      <c r="AF266" s="6">
        <f>ROUND($Z266*CLS_Inc_Salary2425*VLOOKUP($A266,EnrollData2324,'2324 Jun 24 Enroll'!AI$1,FALSE),2)-AE266</f>
        <v>35.599999999999909</v>
      </c>
      <c r="AG266" cm="1">
        <f t="array" ref="AG266">ROUND(($J266+$R266)*Apport_124X2425,2)</f>
        <v>800.45</v>
      </c>
      <c r="AH266" s="69" cm="1">
        <f t="array" ref="AH266">ROUND(($J266+$R266)*Apport_621X2425*Apport_125XC2425,2)-AG266</f>
        <v>73.899999999999977</v>
      </c>
      <c r="AI266" cm="1">
        <f t="array" ref="AI266">ROUND($Z266*Apport_124X2425,2)</f>
        <v>234.7</v>
      </c>
      <c r="AJ266">
        <f t="shared" si="52"/>
        <v>124.71000000000004</v>
      </c>
      <c r="AK266">
        <f t="shared" si="53"/>
        <v>857.39</v>
      </c>
      <c r="AL266">
        <f t="shared" si="54"/>
        <v>30.6</v>
      </c>
      <c r="AM266">
        <f t="shared" si="55"/>
        <v>208.36</v>
      </c>
      <c r="AN266">
        <f t="shared" si="56"/>
        <v>6.46</v>
      </c>
      <c r="AO266">
        <f>ROUND(($J266*CIS_Inc_Salary2425*(VLOOKUP($A266,EnrollData2324,'2324 Jun 24 Enroll'!AI$1,FALSE)+VLOOKUP($A266,EnrollData2324,'2324 Jun 24 Enroll'!AJ$1,FALSE))/Apport_613Xpd)*Apport_614Xpd,2)</f>
        <v>73.67</v>
      </c>
      <c r="AP266">
        <f t="shared" si="57"/>
        <v>12.9</v>
      </c>
      <c r="AQ266">
        <f t="shared" si="58"/>
        <v>31.48</v>
      </c>
      <c r="AR266" s="6">
        <f>ROUND((VLOOKUP($A266,EnrollData2324,'2324 Jun 24 Enroll'!D$1,FALSE)*Apport_M802425+VLOOKUP($A266,EnrollData2324,'2324 Jun 24 Enroll'!M$1,FALSE)*Apport_M802425+(VLOOKUP($A266,EnrollData2324,'2324 Jun 24 Enroll'!P$1,FALSE)+VLOOKUP($A266,EnrollData2324,'2324 Jun 24 Enroll'!Q$1,FALSE)+VLOOKUP($A266,EnrollData2324,'2324 Jun 24 Enroll'!R$1,FALSE)+VLOOKUP($A266,EnrollData2324,'2324 Jun 24 Enroll'!I$1,FALSE)+VLOOKUP($A266,EnrollData2324,'2324 Jun 24 Enroll'!N$1,FALSE)+VLOOKUP($A266,EnrollData2324,'2324 Jun 24 Enroll'!O$1,FALSE)+VLOOKUP($A266,EnrollData2324,'2324 Jun 24 Enroll'!K$1,FALSE)+VLOOKUP($A266,EnrollData2324,'2324 Jun 24 Enroll'!L$1,FALSE))*Apport_M812425)/(VLOOKUP($A266,EnrollData2324,'2324 Jun 24 Enroll'!M$1,FALSE)+VLOOKUP($A266,EnrollData2324,'2324 Jun 24 Enroll'!D$1,FALSE)),2)</f>
        <v>1654.78</v>
      </c>
      <c r="AS266" s="7">
        <f t="shared" si="59"/>
        <v>10005.619999999999</v>
      </c>
    </row>
    <row r="267" spans="1:45">
      <c r="A267" s="40" t="s">
        <v>803</v>
      </c>
      <c r="B267" s="40" t="s">
        <v>804</v>
      </c>
      <c r="C267" s="11">
        <f>ROUND((IFERROR((1/IF(VLOOKUP($A267,EnrollData2324,28,FALSE)='District Calculations'!$F$10,VLOOKUP($A267,EnrollData2324,28,FALSE),'District Calculations'!$F$10))*(1+Apport_Z315),0))+Apport_201A2425,6)</f>
        <v>7.4580999999999995E-2</v>
      </c>
      <c r="D267">
        <f>ROUND(IF(VLOOKUP($A267,EnrollData2324,'2324 Jun 24 Enroll'!D$1,FALSE)='District Calculations'!$F$11,VLOOKUP($A267,EnrollData2324,'2324 Jun 24 Enroll'!D$1,FALSE),'District Calculations'!$F$11)*C267,3)</f>
        <v>0</v>
      </c>
      <c r="E267">
        <f>ROUND(IF(VLOOKUP($A267,EnrollData2324,'2324 Jun 24 Enroll'!E$1,FALSE)='District Calculations'!$F$12,VLOOKUP($A267,EnrollData2324,'2324 Jun 24 Enroll'!E$1,FALSE),'District Calculations'!$F$12)*C267,3)</f>
        <v>60.447000000000003</v>
      </c>
      <c r="F267">
        <f>ROUND(IF(VLOOKUP($A267,EnrollData2324,'2324 Jun 24 Enroll'!F$1,FALSE)='District Calculations'!$F$13,VLOOKUP($A267,EnrollData2324,'2324 Jun 24 Enroll'!F$1,FALSE),'District Calculations'!$F$13)*Apport_222A2425,3)</f>
        <v>10.337999999999999</v>
      </c>
      <c r="G267">
        <f>ROUND(IF(VLOOKUP($A267,EnrollData2324,'2324 Jun 24 Enroll'!G$1,FALSE)='District Calculations'!$F$14,VLOOKUP($A267,EnrollData2324,'2324 Jun 24 Enroll'!G$1,FALSE),'District Calculations'!$F$14)*Apport_210A2425,3)</f>
        <v>22.92</v>
      </c>
      <c r="H267">
        <f>ROUND(IF(VLOOKUP($A267,EnrollData2324,'2324 Jun 24 Enroll'!H$1,FALSE)='District Calculations'!$F$15,VLOOKUP($A267,EnrollData2324,'2324 Jun 24 Enroll'!H$1,FALSE),'District Calculations'!$F$15)*Apport_213A2425,3)</f>
        <v>23.619</v>
      </c>
      <c r="I267">
        <f>ROUND(IF(VLOOKUP($A267,EnrollData2324,'2324 Jun 24 Enroll'!I$1,FALSE)+VLOOKUP($A267,EnrollData2324,'2324 Jun 24 Enroll'!M$1,FALSE)-VLOOKUP($A267,EnrollData2324,'2324 Jun 24 Enroll'!J$1,FALSE)='District Calculations'!$F$16+'District Calculations'!$F$25-'District Calculations'!$F$17,VLOOKUP($A267,EnrollData2324,'2324 Jun 24 Enroll'!I$1,FALSE)+VLOOKUP($A267,EnrollData2324,'2324 Jun 24 Enroll'!M$1,FALSE)-VLOOKUP($A267,EnrollData2324,'2324 Jun 24 Enroll'!J$1,FALSE),'District Calculations'!$F$16+'District Calculations'!$F$25-'District Calculations'!$F$17)*Apport_216A2425,3)</f>
        <v>59.057000000000002</v>
      </c>
      <c r="J267">
        <f>ROUND(SUM(D267:I267)/(IF(VLOOKUP($A267,EnrollData2324,'2324 Jun 24 Enroll'!M$1,FALSE)='District Calculations'!$F$25,VLOOKUP($A267,EnrollData2324,'2324 Jun 24 Enroll'!M$1,FALSE),'District Calculations'!$F$25)+IF(VLOOKUP($A267,EnrollData2324,'2324 Jun 24 Enroll'!D$1,FALSE)='District Calculations'!$F$11,VLOOKUP($A267,EnrollData2324,'2324 Jun 24 Enroll'!D$1,FALSE),'District Calculations'!$F$11)),5)</f>
        <v>5.6520000000000001E-2</v>
      </c>
      <c r="K267" s="11">
        <f t="shared" si="50"/>
        <v>4.385E-3</v>
      </c>
      <c r="L267">
        <f>ROUND(IF(VLOOKUP($A267,EnrollData2324,'2324 Jun 24 Enroll'!D$1,FALSE)='District Calculations'!$F$11,VLOOKUP($A267,EnrollData2324,'2324 Jun 24 Enroll'!D$1,FALSE),'District Calculations'!$F$11)*K267,3)</f>
        <v>0</v>
      </c>
      <c r="M267">
        <f>ROUND(IF(VLOOKUP($A267,EnrollData2324,'2324 Jun 24 Enroll'!E$1,FALSE)='District Calculations'!$F$12,VLOOKUP($A267,EnrollData2324,'2324 Jun 24 Enroll'!E$1,FALSE),'District Calculations'!$F$12)*K267,3)</f>
        <v>3.5539999999999998</v>
      </c>
      <c r="N267">
        <f>ROUND(IF(VLOOKUP($A267,EnrollData2324,'2324 Jun 24 Enroll'!F$1,FALSE)='District Calculations'!$F$13,VLOOKUP($A267,EnrollData2324,'2324 Jun 24 Enroll'!F$1,FALSE),'District Calculations'!$F$13)*Apport_223A2425,3)</f>
        <v>0.84599999999999997</v>
      </c>
      <c r="O267">
        <f>ROUND(IF(VLOOKUP($A267,EnrollData2324,'2324 Jun 24 Enroll'!G$1,FALSE)='District Calculations'!$F$14,VLOOKUP($A267,EnrollData2324,'2324 Jun 24 Enroll'!G$1,FALSE),'District Calculations'!$F$14)*Apport_211A2425,3)</f>
        <v>1.877</v>
      </c>
      <c r="P267">
        <f>ROUND(IF(VLOOKUP($A267,EnrollData2324,'2324 Jun 24 Enroll'!H$1,FALSE)='District Calculations'!$F$14,VLOOKUP($A267,EnrollData2324,'2324 Jun 24 Enroll'!H$1,FALSE),'District Calculations'!$F$14)*Apport_214A2425,3)</f>
        <v>1.875</v>
      </c>
      <c r="Q267">
        <f>ROUND(IF(VLOOKUP($A267,EnrollData2324,'2324 Jun 24 Enroll'!I$1,FALSE)+VLOOKUP($A267,EnrollData2324,'2324 Jun 24 Enroll'!M$1,FALSE)-VLOOKUP($A267,EnrollData2324,'2324 Jun 24 Enroll'!J$1,FALSE)='District Calculations'!$F$16+'District Calculations'!$F$25-'District Calculations'!$F$17,VLOOKUP($A267,EnrollData2324,'2324 Jun 24 Enroll'!I$1,FALSE)+VLOOKUP($A267,EnrollData2324,'2324 Jun 24 Enroll'!M$1,FALSE)-VLOOKUP($A267,EnrollData2324,'2324 Jun 24 Enroll'!J$1,FALSE),'District Calculations'!$F$16+'District Calculations'!$F$25-'District Calculations'!$F$17)*Apport_217A2425,3)</f>
        <v>4.7130000000000001</v>
      </c>
      <c r="R267">
        <f>ROUND(SUM(L267:Q267)/IF(VLOOKUP($A267,EnrollData2324,'2324 Jun 24 Enroll'!M$1,FALSE)+VLOOKUP($A267,EnrollData2324,'2324 Jun 24 Enroll'!D$1,FALSE)='District Calculations'!$F$25+'District Calculations'!$F$11,VLOOKUP($A267,EnrollData2324,'2324 Jun 24 Enroll'!M$1,FALSE)+VLOOKUP($A267,EnrollData2324,'2324 Jun 24 Enroll'!D$1,FALSE),'District Calculations'!$F$25+'District Calculations'!$F$11),5)</f>
        <v>4.1200000000000004E-3</v>
      </c>
      <c r="S267" s="11">
        <f t="shared" si="51"/>
        <v>1.8734299999999999E-2</v>
      </c>
      <c r="T267">
        <f>ROUND(IF(VLOOKUP($A267,EnrollData2324,'2324 Jun 24 Enroll'!D$1,FALSE)='District Calculations'!$F$11,VLOOKUP($A267,EnrollData2324,'2324 Jun 24 Enroll'!D$1,FALSE),'District Calculations'!$F$11)*S267,3)</f>
        <v>0</v>
      </c>
      <c r="U267">
        <f>ROUND(IF(VLOOKUP($A267,EnrollData2324,'2324 Jun 24 Enroll'!E$1,FALSE)='District Calculations'!$F$12,VLOOKUP($A267,EnrollData2324,'2324 Jun 24 Enroll'!E$1,FALSE),'District Calculations'!$F$12)*S267,3)</f>
        <v>15.183999999999999</v>
      </c>
      <c r="V267">
        <f>ROUND(IF(VLOOKUP($A267,EnrollData2324,'2324 Jun 24 Enroll'!F$1,FALSE)='District Calculations'!$F$13,VLOOKUP($A267,EnrollData2324,'2324 Jun 24 Enroll'!F$1,FALSE),'District Calculations'!$F$13)*Apport_224A2425,3)</f>
        <v>3.7109999999999999</v>
      </c>
      <c r="W267">
        <f>ROUND(IF(VLOOKUP($A267,EnrollData2324,'2324 Jun 24 Enroll'!G$1,FALSE)='District Calculations'!$F$14,VLOOKUP($A267,EnrollData2324,'2324 Jun 24 Enroll'!G$1,FALSE),'District Calculations'!$F$14)*Apport_212A2425,3)</f>
        <v>8.2279999999999998</v>
      </c>
      <c r="X267">
        <f>ROUND(IF(VLOOKUP($A267,EnrollData2324,'2324 Jun 24 Enroll'!H$1,FALSE)='District Calculations'!$F$14,VLOOKUP($A267,EnrollData2324,'2324 Jun 24 Enroll'!H$1,FALSE),'District Calculations'!$F$14)*Apport_215A2425,3)</f>
        <v>8.1180000000000003</v>
      </c>
      <c r="Y267">
        <f>ROUND(IF(VLOOKUP($A267,EnrollData2324,'2324 Jun 24 Enroll'!I$1,FALSE)+VLOOKUP($A267,EnrollData2324,'2324 Jun 24 Enroll'!M$1,FALSE)-VLOOKUP($A267,EnrollData2324,'2324 Jun 24 Enroll'!J$1,FALSE)='District Calculations'!$F$16+'District Calculations'!$F$25-'District Calculations'!$F$17,VLOOKUP($A267,EnrollData2324,'2324 Jun 24 Enroll'!I$1,FALSE)+VLOOKUP($A267,EnrollData2324,'2324 Jun 24 Enroll'!M$1,FALSE)-VLOOKUP($A267,EnrollData2324,'2324 Jun 24 Enroll'!J$1,FALSE),'District Calculations'!$F$16+'District Calculations'!$F$25-'District Calculations'!$F$17)*Apport_218A2425,3)</f>
        <v>20.257999999999999</v>
      </c>
      <c r="Z267">
        <f>ROUND(SUM(T267:Y267)/IF(VLOOKUP($A267,EnrollData2324,'2324 Jun 24 Enroll'!M$1,FALSE)+VLOOKUP($A267,EnrollData2324,'2324 Jun 24 Enroll'!D$1,FALSE)='District Calculations'!$F$25+'District Calculations'!$F$11,VLOOKUP($A267,EnrollData2324,'2324 Jun 24 Enroll'!M$1,FALSE)+VLOOKUP($A267,EnrollData2324,'2324 Jun 24 Enroll'!D$1,FALSE),'District Calculations'!$F$25+'District Calculations'!$F$11),5)</f>
        <v>1.7780000000000001E-2</v>
      </c>
      <c r="AA267" s="6">
        <f>ROUND($J267*CIS_Base_Salary2425*VLOOKUP($A267,EnrollData2324,'2324 Jun 24 Enroll'!AH$1,FALSE),2)</f>
        <v>4262.68</v>
      </c>
      <c r="AB267" s="6">
        <f>ROUND($J267*CIS_Inc_Salary2425*(VLOOKUP($A267,EnrollData2324,'2324 Jun 24 Enroll'!AI$1,FALSE)+VLOOKUP($A267,EnrollData2324,'2324 Jun 24 Enroll'!AJ$1,FALSE)),2)-AA267</f>
        <v>157.6899999999996</v>
      </c>
      <c r="AC267" s="6" cm="1">
        <f t="array" ref="AC267">ROUND($R267*CAS_Base_Salary2425*VLOOKUP($A267,EnrollData2324,'2324 Jun 24 Enroll'!AH$1,FALSE),2)</f>
        <v>461.23</v>
      </c>
      <c r="AD267" s="6">
        <f>ROUND($R267*CAS_Inc_Salary2425*VLOOKUP($A267,EnrollData2324,'2324 Jun 24 Enroll'!AI$1,FALSE),2)-AC267</f>
        <v>17.069999999999993</v>
      </c>
      <c r="AE267" s="6">
        <f>ROUND($Z267*CLS_Base_Salary2425*VLOOKUP($A267,EnrollData2324,'2324 Jun 24 Enroll'!AH$1,FALSE),2)</f>
        <v>961.95</v>
      </c>
      <c r="AF267" s="6">
        <f>ROUND($Z267*CLS_Inc_Salary2425*VLOOKUP($A267,EnrollData2324,'2324 Jun 24 Enroll'!AI$1,FALSE),2)-AE267</f>
        <v>35.599999999999909</v>
      </c>
      <c r="AG267" cm="1">
        <f t="array" ref="AG267">ROUND(($J267+$R267)*Apport_124X2425,2)</f>
        <v>800.45</v>
      </c>
      <c r="AH267" s="69" cm="1">
        <f t="array" ref="AH267">ROUND(($J267+$R267)*Apport_621X2425*Apport_125XC2425,2)-AG267</f>
        <v>73.899999999999977</v>
      </c>
      <c r="AI267" cm="1">
        <f t="array" ref="AI267">ROUND($Z267*Apport_124X2425,2)</f>
        <v>234.7</v>
      </c>
      <c r="AJ267">
        <f t="shared" si="52"/>
        <v>124.71000000000004</v>
      </c>
      <c r="AK267">
        <f t="shared" si="53"/>
        <v>857.39</v>
      </c>
      <c r="AL267">
        <f t="shared" si="54"/>
        <v>30.6</v>
      </c>
      <c r="AM267">
        <f t="shared" si="55"/>
        <v>208.36</v>
      </c>
      <c r="AN267">
        <f t="shared" si="56"/>
        <v>6.46</v>
      </c>
      <c r="AO267">
        <f>ROUND(($J267*CIS_Inc_Salary2425*(VLOOKUP($A267,EnrollData2324,'2324 Jun 24 Enroll'!AI$1,FALSE)+VLOOKUP($A267,EnrollData2324,'2324 Jun 24 Enroll'!AJ$1,FALSE))/Apport_613Xpd)*Apport_614Xpd,2)</f>
        <v>73.67</v>
      </c>
      <c r="AP267">
        <f t="shared" si="57"/>
        <v>12.9</v>
      </c>
      <c r="AQ267">
        <f t="shared" si="58"/>
        <v>31.48</v>
      </c>
      <c r="AR267" s="6">
        <f>ROUND((VLOOKUP($A267,EnrollData2324,'2324 Jun 24 Enroll'!D$1,FALSE)*Apport_M802425+VLOOKUP($A267,EnrollData2324,'2324 Jun 24 Enroll'!M$1,FALSE)*Apport_M802425+(VLOOKUP($A267,EnrollData2324,'2324 Jun 24 Enroll'!P$1,FALSE)+VLOOKUP($A267,EnrollData2324,'2324 Jun 24 Enroll'!Q$1,FALSE)+VLOOKUP($A267,EnrollData2324,'2324 Jun 24 Enroll'!R$1,FALSE)+VLOOKUP($A267,EnrollData2324,'2324 Jun 24 Enroll'!I$1,FALSE)+VLOOKUP($A267,EnrollData2324,'2324 Jun 24 Enroll'!N$1,FALSE)+VLOOKUP($A267,EnrollData2324,'2324 Jun 24 Enroll'!O$1,FALSE)+VLOOKUP($A267,EnrollData2324,'2324 Jun 24 Enroll'!K$1,FALSE)+VLOOKUP($A267,EnrollData2324,'2324 Jun 24 Enroll'!L$1,FALSE))*Apport_M812425)/(VLOOKUP($A267,EnrollData2324,'2324 Jun 24 Enroll'!M$1,FALSE)+VLOOKUP($A267,EnrollData2324,'2324 Jun 24 Enroll'!D$1,FALSE)),2)</f>
        <v>1533.02</v>
      </c>
      <c r="AS267" s="7">
        <f t="shared" si="59"/>
        <v>9883.8599999999988</v>
      </c>
    </row>
    <row r="268" spans="1:45">
      <c r="A268" s="40" t="s">
        <v>462</v>
      </c>
      <c r="B268" s="40" t="s">
        <v>463</v>
      </c>
      <c r="C268" s="11">
        <f>ROUND((IFERROR((1/IF(VLOOKUP($A268,EnrollData2324,28,FALSE)='District Calculations'!$F$10,VLOOKUP($A268,EnrollData2324,28,FALSE),'District Calculations'!$F$10))*(1+Apport_Z315),0))+Apport_201A2425,6)</f>
        <v>7.4580999999999995E-2</v>
      </c>
      <c r="D268">
        <f>ROUND(IF(VLOOKUP($A268,EnrollData2324,'2324 Jun 24 Enroll'!D$1,FALSE)='District Calculations'!$F$11,VLOOKUP($A268,EnrollData2324,'2324 Jun 24 Enroll'!D$1,FALSE),'District Calculations'!$F$11)*C268,3)</f>
        <v>0</v>
      </c>
      <c r="E268">
        <f>ROUND(IF(VLOOKUP($A268,EnrollData2324,'2324 Jun 24 Enroll'!E$1,FALSE)='District Calculations'!$F$12,VLOOKUP($A268,EnrollData2324,'2324 Jun 24 Enroll'!E$1,FALSE),'District Calculations'!$F$12)*C268,3)</f>
        <v>60.447000000000003</v>
      </c>
      <c r="F268">
        <f>ROUND(IF(VLOOKUP($A268,EnrollData2324,'2324 Jun 24 Enroll'!F$1,FALSE)='District Calculations'!$F$13,VLOOKUP($A268,EnrollData2324,'2324 Jun 24 Enroll'!F$1,FALSE),'District Calculations'!$F$13)*Apport_222A2425,3)</f>
        <v>10.337999999999999</v>
      </c>
      <c r="G268">
        <f>ROUND(IF(VLOOKUP($A268,EnrollData2324,'2324 Jun 24 Enroll'!G$1,FALSE)='District Calculations'!$F$14,VLOOKUP($A268,EnrollData2324,'2324 Jun 24 Enroll'!G$1,FALSE),'District Calculations'!$F$14)*Apport_210A2425,3)</f>
        <v>22.92</v>
      </c>
      <c r="H268">
        <f>ROUND(IF(VLOOKUP($A268,EnrollData2324,'2324 Jun 24 Enroll'!H$1,FALSE)='District Calculations'!$F$15,VLOOKUP($A268,EnrollData2324,'2324 Jun 24 Enroll'!H$1,FALSE),'District Calculations'!$F$15)*Apport_213A2425,3)</f>
        <v>23.619</v>
      </c>
      <c r="I268">
        <f>ROUND(IF(VLOOKUP($A268,EnrollData2324,'2324 Jun 24 Enroll'!I$1,FALSE)+VLOOKUP($A268,EnrollData2324,'2324 Jun 24 Enroll'!M$1,FALSE)-VLOOKUP($A268,EnrollData2324,'2324 Jun 24 Enroll'!J$1,FALSE)='District Calculations'!$F$16+'District Calculations'!$F$25-'District Calculations'!$F$17,VLOOKUP($A268,EnrollData2324,'2324 Jun 24 Enroll'!I$1,FALSE)+VLOOKUP($A268,EnrollData2324,'2324 Jun 24 Enroll'!M$1,FALSE)-VLOOKUP($A268,EnrollData2324,'2324 Jun 24 Enroll'!J$1,FALSE),'District Calculations'!$F$16+'District Calculations'!$F$25-'District Calculations'!$F$17)*Apport_216A2425,3)</f>
        <v>59.057000000000002</v>
      </c>
      <c r="J268">
        <f>ROUND(SUM(D268:I268)/(IF(VLOOKUP($A268,EnrollData2324,'2324 Jun 24 Enroll'!M$1,FALSE)='District Calculations'!$F$25,VLOOKUP($A268,EnrollData2324,'2324 Jun 24 Enroll'!M$1,FALSE),'District Calculations'!$F$25)+IF(VLOOKUP($A268,EnrollData2324,'2324 Jun 24 Enroll'!D$1,FALSE)='District Calculations'!$F$11,VLOOKUP($A268,EnrollData2324,'2324 Jun 24 Enroll'!D$1,FALSE),'District Calculations'!$F$11)),5)</f>
        <v>5.6520000000000001E-2</v>
      </c>
      <c r="K268" s="11">
        <f t="shared" si="50"/>
        <v>4.385E-3</v>
      </c>
      <c r="L268">
        <f>ROUND(IF(VLOOKUP($A268,EnrollData2324,'2324 Jun 24 Enroll'!D$1,FALSE)='District Calculations'!$F$11,VLOOKUP($A268,EnrollData2324,'2324 Jun 24 Enroll'!D$1,FALSE),'District Calculations'!$F$11)*K268,3)</f>
        <v>0</v>
      </c>
      <c r="M268">
        <f>ROUND(IF(VLOOKUP($A268,EnrollData2324,'2324 Jun 24 Enroll'!E$1,FALSE)='District Calculations'!$F$12,VLOOKUP($A268,EnrollData2324,'2324 Jun 24 Enroll'!E$1,FALSE),'District Calculations'!$F$12)*K268,3)</f>
        <v>3.5539999999999998</v>
      </c>
      <c r="N268">
        <f>ROUND(IF(VLOOKUP($A268,EnrollData2324,'2324 Jun 24 Enroll'!F$1,FALSE)='District Calculations'!$F$13,VLOOKUP($A268,EnrollData2324,'2324 Jun 24 Enroll'!F$1,FALSE),'District Calculations'!$F$13)*Apport_223A2425,3)</f>
        <v>0.84599999999999997</v>
      </c>
      <c r="O268">
        <f>ROUND(IF(VLOOKUP($A268,EnrollData2324,'2324 Jun 24 Enroll'!G$1,FALSE)='District Calculations'!$F$14,VLOOKUP($A268,EnrollData2324,'2324 Jun 24 Enroll'!G$1,FALSE),'District Calculations'!$F$14)*Apport_211A2425,3)</f>
        <v>1.877</v>
      </c>
      <c r="P268">
        <f>ROUND(IF(VLOOKUP($A268,EnrollData2324,'2324 Jun 24 Enroll'!H$1,FALSE)='District Calculations'!$F$14,VLOOKUP($A268,EnrollData2324,'2324 Jun 24 Enroll'!H$1,FALSE),'District Calculations'!$F$14)*Apport_214A2425,3)</f>
        <v>1.875</v>
      </c>
      <c r="Q268">
        <f>ROUND(IF(VLOOKUP($A268,EnrollData2324,'2324 Jun 24 Enroll'!I$1,FALSE)+VLOOKUP($A268,EnrollData2324,'2324 Jun 24 Enroll'!M$1,FALSE)-VLOOKUP($A268,EnrollData2324,'2324 Jun 24 Enroll'!J$1,FALSE)='District Calculations'!$F$16+'District Calculations'!$F$25-'District Calculations'!$F$17,VLOOKUP($A268,EnrollData2324,'2324 Jun 24 Enroll'!I$1,FALSE)+VLOOKUP($A268,EnrollData2324,'2324 Jun 24 Enroll'!M$1,FALSE)-VLOOKUP($A268,EnrollData2324,'2324 Jun 24 Enroll'!J$1,FALSE),'District Calculations'!$F$16+'District Calculations'!$F$25-'District Calculations'!$F$17)*Apport_217A2425,3)</f>
        <v>4.7130000000000001</v>
      </c>
      <c r="R268">
        <f>ROUND(SUM(L268:Q268)/IF(VLOOKUP($A268,EnrollData2324,'2324 Jun 24 Enroll'!M$1,FALSE)+VLOOKUP($A268,EnrollData2324,'2324 Jun 24 Enroll'!D$1,FALSE)='District Calculations'!$F$25+'District Calculations'!$F$11,VLOOKUP($A268,EnrollData2324,'2324 Jun 24 Enroll'!M$1,FALSE)+VLOOKUP($A268,EnrollData2324,'2324 Jun 24 Enroll'!D$1,FALSE),'District Calculations'!$F$25+'District Calculations'!$F$11),5)</f>
        <v>4.1200000000000004E-3</v>
      </c>
      <c r="S268" s="11">
        <f t="shared" si="51"/>
        <v>1.8734299999999999E-2</v>
      </c>
      <c r="T268">
        <f>ROUND(IF(VLOOKUP($A268,EnrollData2324,'2324 Jun 24 Enroll'!D$1,FALSE)='District Calculations'!$F$11,VLOOKUP($A268,EnrollData2324,'2324 Jun 24 Enroll'!D$1,FALSE),'District Calculations'!$F$11)*S268,3)</f>
        <v>0</v>
      </c>
      <c r="U268">
        <f>ROUND(IF(VLOOKUP($A268,EnrollData2324,'2324 Jun 24 Enroll'!E$1,FALSE)='District Calculations'!$F$12,VLOOKUP($A268,EnrollData2324,'2324 Jun 24 Enroll'!E$1,FALSE),'District Calculations'!$F$12)*S268,3)</f>
        <v>15.183999999999999</v>
      </c>
      <c r="V268">
        <f>ROUND(IF(VLOOKUP($A268,EnrollData2324,'2324 Jun 24 Enroll'!F$1,FALSE)='District Calculations'!$F$13,VLOOKUP($A268,EnrollData2324,'2324 Jun 24 Enroll'!F$1,FALSE),'District Calculations'!$F$13)*Apport_224A2425,3)</f>
        <v>3.7109999999999999</v>
      </c>
      <c r="W268">
        <f>ROUND(IF(VLOOKUP($A268,EnrollData2324,'2324 Jun 24 Enroll'!G$1,FALSE)='District Calculations'!$F$14,VLOOKUP($A268,EnrollData2324,'2324 Jun 24 Enroll'!G$1,FALSE),'District Calculations'!$F$14)*Apport_212A2425,3)</f>
        <v>8.2279999999999998</v>
      </c>
      <c r="X268">
        <f>ROUND(IF(VLOOKUP($A268,EnrollData2324,'2324 Jun 24 Enroll'!H$1,FALSE)='District Calculations'!$F$14,VLOOKUP($A268,EnrollData2324,'2324 Jun 24 Enroll'!H$1,FALSE),'District Calculations'!$F$14)*Apport_215A2425,3)</f>
        <v>8.1180000000000003</v>
      </c>
      <c r="Y268">
        <f>ROUND(IF(VLOOKUP($A268,EnrollData2324,'2324 Jun 24 Enroll'!I$1,FALSE)+VLOOKUP($A268,EnrollData2324,'2324 Jun 24 Enroll'!M$1,FALSE)-VLOOKUP($A268,EnrollData2324,'2324 Jun 24 Enroll'!J$1,FALSE)='District Calculations'!$F$16+'District Calculations'!$F$25-'District Calculations'!$F$17,VLOOKUP($A268,EnrollData2324,'2324 Jun 24 Enroll'!I$1,FALSE)+VLOOKUP($A268,EnrollData2324,'2324 Jun 24 Enroll'!M$1,FALSE)-VLOOKUP($A268,EnrollData2324,'2324 Jun 24 Enroll'!J$1,FALSE),'District Calculations'!$F$16+'District Calculations'!$F$25-'District Calculations'!$F$17)*Apport_218A2425,3)</f>
        <v>20.257999999999999</v>
      </c>
      <c r="Z268">
        <f>ROUND(SUM(T268:Y268)/IF(VLOOKUP($A268,EnrollData2324,'2324 Jun 24 Enroll'!M$1,FALSE)+VLOOKUP($A268,EnrollData2324,'2324 Jun 24 Enroll'!D$1,FALSE)='District Calculations'!$F$25+'District Calculations'!$F$11,VLOOKUP($A268,EnrollData2324,'2324 Jun 24 Enroll'!M$1,FALSE)+VLOOKUP($A268,EnrollData2324,'2324 Jun 24 Enroll'!D$1,FALSE),'District Calculations'!$F$25+'District Calculations'!$F$11),5)</f>
        <v>1.7780000000000001E-2</v>
      </c>
      <c r="AA268" s="6">
        <f>ROUND($J268*CIS_Base_Salary2425*VLOOKUP($A268,EnrollData2324,'2324 Jun 24 Enroll'!AH$1,FALSE),2)</f>
        <v>4262.68</v>
      </c>
      <c r="AB268" s="6">
        <f>ROUND($J268*CIS_Inc_Salary2425*(VLOOKUP($A268,EnrollData2324,'2324 Jun 24 Enroll'!AI$1,FALSE)+VLOOKUP($A268,EnrollData2324,'2324 Jun 24 Enroll'!AJ$1,FALSE)),2)-AA268</f>
        <v>157.6899999999996</v>
      </c>
      <c r="AC268" s="6" cm="1">
        <f t="array" ref="AC268">ROUND($R268*CAS_Base_Salary2425*VLOOKUP($A268,EnrollData2324,'2324 Jun 24 Enroll'!AH$1,FALSE),2)</f>
        <v>461.23</v>
      </c>
      <c r="AD268" s="6">
        <f>ROUND($R268*CAS_Inc_Salary2425*VLOOKUP($A268,EnrollData2324,'2324 Jun 24 Enroll'!AI$1,FALSE),2)-AC268</f>
        <v>17.069999999999993</v>
      </c>
      <c r="AE268" s="6">
        <f>ROUND($Z268*CLS_Base_Salary2425*VLOOKUP($A268,EnrollData2324,'2324 Jun 24 Enroll'!AH$1,FALSE),2)</f>
        <v>961.95</v>
      </c>
      <c r="AF268" s="6">
        <f>ROUND($Z268*CLS_Inc_Salary2425*VLOOKUP($A268,EnrollData2324,'2324 Jun 24 Enroll'!AI$1,FALSE),2)-AE268</f>
        <v>35.599999999999909</v>
      </c>
      <c r="AG268" cm="1">
        <f t="array" ref="AG268">ROUND(($J268+$R268)*Apport_124X2425,2)</f>
        <v>800.45</v>
      </c>
      <c r="AH268" s="69" cm="1">
        <f t="array" ref="AH268">ROUND(($J268+$R268)*Apport_621X2425*Apport_125XC2425,2)-AG268</f>
        <v>73.899999999999977</v>
      </c>
      <c r="AI268" cm="1">
        <f t="array" ref="AI268">ROUND($Z268*Apport_124X2425,2)</f>
        <v>234.7</v>
      </c>
      <c r="AJ268">
        <f t="shared" si="52"/>
        <v>124.71000000000004</v>
      </c>
      <c r="AK268">
        <f t="shared" si="53"/>
        <v>857.39</v>
      </c>
      <c r="AL268">
        <f t="shared" si="54"/>
        <v>30.6</v>
      </c>
      <c r="AM268">
        <f t="shared" si="55"/>
        <v>208.36</v>
      </c>
      <c r="AN268">
        <f t="shared" si="56"/>
        <v>6.46</v>
      </c>
      <c r="AO268">
        <f>ROUND(($J268*CIS_Inc_Salary2425*(VLOOKUP($A268,EnrollData2324,'2324 Jun 24 Enroll'!AI$1,FALSE)+VLOOKUP($A268,EnrollData2324,'2324 Jun 24 Enroll'!AJ$1,FALSE))/Apport_613Xpd)*Apport_614Xpd,2)</f>
        <v>73.67</v>
      </c>
      <c r="AP268">
        <f t="shared" si="57"/>
        <v>12.9</v>
      </c>
      <c r="AQ268">
        <f t="shared" si="58"/>
        <v>31.48</v>
      </c>
      <c r="AR268" s="6">
        <f>ROUND((VLOOKUP($A268,EnrollData2324,'2324 Jun 24 Enroll'!D$1,FALSE)*Apport_M802425+VLOOKUP($A268,EnrollData2324,'2324 Jun 24 Enroll'!M$1,FALSE)*Apport_M802425+(VLOOKUP($A268,EnrollData2324,'2324 Jun 24 Enroll'!P$1,FALSE)+VLOOKUP($A268,EnrollData2324,'2324 Jun 24 Enroll'!Q$1,FALSE)+VLOOKUP($A268,EnrollData2324,'2324 Jun 24 Enroll'!R$1,FALSE)+VLOOKUP($A268,EnrollData2324,'2324 Jun 24 Enroll'!I$1,FALSE)+VLOOKUP($A268,EnrollData2324,'2324 Jun 24 Enroll'!N$1,FALSE)+VLOOKUP($A268,EnrollData2324,'2324 Jun 24 Enroll'!O$1,FALSE)+VLOOKUP($A268,EnrollData2324,'2324 Jun 24 Enroll'!K$1,FALSE)+VLOOKUP($A268,EnrollData2324,'2324 Jun 24 Enroll'!L$1,FALSE))*Apport_M812425)/(VLOOKUP($A268,EnrollData2324,'2324 Jun 24 Enroll'!M$1,FALSE)+VLOOKUP($A268,EnrollData2324,'2324 Jun 24 Enroll'!D$1,FALSE)),2)</f>
        <v>1533.02</v>
      </c>
      <c r="AS268" s="7">
        <f t="shared" si="59"/>
        <v>9883.8599999999988</v>
      </c>
    </row>
    <row r="269" spans="1:45">
      <c r="A269" s="40" t="s">
        <v>396</v>
      </c>
      <c r="B269" s="40" t="s">
        <v>397</v>
      </c>
      <c r="C269" s="11">
        <f>ROUND((IFERROR((1/IF(VLOOKUP($A269,EnrollData2324,28,FALSE)='District Calculations'!$F$10,VLOOKUP($A269,EnrollData2324,28,FALSE),'District Calculations'!$F$10))*(1+Apport_Z315),0))+Apport_201A2425,6)</f>
        <v>7.4580999999999995E-2</v>
      </c>
      <c r="D269">
        <f>ROUND(IF(VLOOKUP($A269,EnrollData2324,'2324 Jun 24 Enroll'!D$1,FALSE)='District Calculations'!$F$11,VLOOKUP($A269,EnrollData2324,'2324 Jun 24 Enroll'!D$1,FALSE),'District Calculations'!$F$11)*C269,3)</f>
        <v>0</v>
      </c>
      <c r="E269">
        <f>ROUND(IF(VLOOKUP($A269,EnrollData2324,'2324 Jun 24 Enroll'!E$1,FALSE)='District Calculations'!$F$12,VLOOKUP($A269,EnrollData2324,'2324 Jun 24 Enroll'!E$1,FALSE),'District Calculations'!$F$12)*C269,3)</f>
        <v>60.447000000000003</v>
      </c>
      <c r="F269">
        <f>ROUND(IF(VLOOKUP($A269,EnrollData2324,'2324 Jun 24 Enroll'!F$1,FALSE)='District Calculations'!$F$13,VLOOKUP($A269,EnrollData2324,'2324 Jun 24 Enroll'!F$1,FALSE),'District Calculations'!$F$13)*Apport_222A2425,3)</f>
        <v>10.337999999999999</v>
      </c>
      <c r="G269">
        <f>ROUND(IF(VLOOKUP($A269,EnrollData2324,'2324 Jun 24 Enroll'!G$1,FALSE)='District Calculations'!$F$14,VLOOKUP($A269,EnrollData2324,'2324 Jun 24 Enroll'!G$1,FALSE),'District Calculations'!$F$14)*Apport_210A2425,3)</f>
        <v>22.92</v>
      </c>
      <c r="H269">
        <f>ROUND(IF(VLOOKUP($A269,EnrollData2324,'2324 Jun 24 Enroll'!H$1,FALSE)='District Calculations'!$F$15,VLOOKUP($A269,EnrollData2324,'2324 Jun 24 Enroll'!H$1,FALSE),'District Calculations'!$F$15)*Apport_213A2425,3)</f>
        <v>23.619</v>
      </c>
      <c r="I269">
        <f>ROUND(IF(VLOOKUP($A269,EnrollData2324,'2324 Jun 24 Enroll'!I$1,FALSE)+VLOOKUP($A269,EnrollData2324,'2324 Jun 24 Enroll'!M$1,FALSE)-VLOOKUP($A269,EnrollData2324,'2324 Jun 24 Enroll'!J$1,FALSE)='District Calculations'!$F$16+'District Calculations'!$F$25-'District Calculations'!$F$17,VLOOKUP($A269,EnrollData2324,'2324 Jun 24 Enroll'!I$1,FALSE)+VLOOKUP($A269,EnrollData2324,'2324 Jun 24 Enroll'!M$1,FALSE)-VLOOKUP($A269,EnrollData2324,'2324 Jun 24 Enroll'!J$1,FALSE),'District Calculations'!$F$16+'District Calculations'!$F$25-'District Calculations'!$F$17)*Apport_216A2425,3)</f>
        <v>59.057000000000002</v>
      </c>
      <c r="J269">
        <f>ROUND(SUM(D269:I269)/(IF(VLOOKUP($A269,EnrollData2324,'2324 Jun 24 Enroll'!M$1,FALSE)='District Calculations'!$F$25,VLOOKUP($A269,EnrollData2324,'2324 Jun 24 Enroll'!M$1,FALSE),'District Calculations'!$F$25)+IF(VLOOKUP($A269,EnrollData2324,'2324 Jun 24 Enroll'!D$1,FALSE)='District Calculations'!$F$11,VLOOKUP($A269,EnrollData2324,'2324 Jun 24 Enroll'!D$1,FALSE),'District Calculations'!$F$11)),5)</f>
        <v>5.6520000000000001E-2</v>
      </c>
      <c r="K269" s="11">
        <f t="shared" si="50"/>
        <v>4.385E-3</v>
      </c>
      <c r="L269">
        <f>ROUND(IF(VLOOKUP($A269,EnrollData2324,'2324 Jun 24 Enroll'!D$1,FALSE)='District Calculations'!$F$11,VLOOKUP($A269,EnrollData2324,'2324 Jun 24 Enroll'!D$1,FALSE),'District Calculations'!$F$11)*K269,3)</f>
        <v>0</v>
      </c>
      <c r="M269">
        <f>ROUND(IF(VLOOKUP($A269,EnrollData2324,'2324 Jun 24 Enroll'!E$1,FALSE)='District Calculations'!$F$12,VLOOKUP($A269,EnrollData2324,'2324 Jun 24 Enroll'!E$1,FALSE),'District Calculations'!$F$12)*K269,3)</f>
        <v>3.5539999999999998</v>
      </c>
      <c r="N269">
        <f>ROUND(IF(VLOOKUP($A269,EnrollData2324,'2324 Jun 24 Enroll'!F$1,FALSE)='District Calculations'!$F$13,VLOOKUP($A269,EnrollData2324,'2324 Jun 24 Enroll'!F$1,FALSE),'District Calculations'!$F$13)*Apport_223A2425,3)</f>
        <v>0.84599999999999997</v>
      </c>
      <c r="O269">
        <f>ROUND(IF(VLOOKUP($A269,EnrollData2324,'2324 Jun 24 Enroll'!G$1,FALSE)='District Calculations'!$F$14,VLOOKUP($A269,EnrollData2324,'2324 Jun 24 Enroll'!G$1,FALSE),'District Calculations'!$F$14)*Apport_211A2425,3)</f>
        <v>1.877</v>
      </c>
      <c r="P269">
        <f>ROUND(IF(VLOOKUP($A269,EnrollData2324,'2324 Jun 24 Enroll'!H$1,FALSE)='District Calculations'!$F$14,VLOOKUP($A269,EnrollData2324,'2324 Jun 24 Enroll'!H$1,FALSE),'District Calculations'!$F$14)*Apport_214A2425,3)</f>
        <v>1.875</v>
      </c>
      <c r="Q269">
        <f>ROUND(IF(VLOOKUP($A269,EnrollData2324,'2324 Jun 24 Enroll'!I$1,FALSE)+VLOOKUP($A269,EnrollData2324,'2324 Jun 24 Enroll'!M$1,FALSE)-VLOOKUP($A269,EnrollData2324,'2324 Jun 24 Enroll'!J$1,FALSE)='District Calculations'!$F$16+'District Calculations'!$F$25-'District Calculations'!$F$17,VLOOKUP($A269,EnrollData2324,'2324 Jun 24 Enroll'!I$1,FALSE)+VLOOKUP($A269,EnrollData2324,'2324 Jun 24 Enroll'!M$1,FALSE)-VLOOKUP($A269,EnrollData2324,'2324 Jun 24 Enroll'!J$1,FALSE),'District Calculations'!$F$16+'District Calculations'!$F$25-'District Calculations'!$F$17)*Apport_217A2425,3)</f>
        <v>4.7130000000000001</v>
      </c>
      <c r="R269">
        <f>ROUND(SUM(L269:Q269)/IF(VLOOKUP($A269,EnrollData2324,'2324 Jun 24 Enroll'!M$1,FALSE)+VLOOKUP($A269,EnrollData2324,'2324 Jun 24 Enroll'!D$1,FALSE)='District Calculations'!$F$25+'District Calculations'!$F$11,VLOOKUP($A269,EnrollData2324,'2324 Jun 24 Enroll'!M$1,FALSE)+VLOOKUP($A269,EnrollData2324,'2324 Jun 24 Enroll'!D$1,FALSE),'District Calculations'!$F$25+'District Calculations'!$F$11),5)</f>
        <v>4.1200000000000004E-3</v>
      </c>
      <c r="S269" s="11">
        <f t="shared" si="51"/>
        <v>1.8734299999999999E-2</v>
      </c>
      <c r="T269">
        <f>ROUND(IF(VLOOKUP($A269,EnrollData2324,'2324 Jun 24 Enroll'!D$1,FALSE)='District Calculations'!$F$11,VLOOKUP($A269,EnrollData2324,'2324 Jun 24 Enroll'!D$1,FALSE),'District Calculations'!$F$11)*S269,3)</f>
        <v>0</v>
      </c>
      <c r="U269">
        <f>ROUND(IF(VLOOKUP($A269,EnrollData2324,'2324 Jun 24 Enroll'!E$1,FALSE)='District Calculations'!$F$12,VLOOKUP($A269,EnrollData2324,'2324 Jun 24 Enroll'!E$1,FALSE),'District Calculations'!$F$12)*S269,3)</f>
        <v>15.183999999999999</v>
      </c>
      <c r="V269">
        <f>ROUND(IF(VLOOKUP($A269,EnrollData2324,'2324 Jun 24 Enroll'!F$1,FALSE)='District Calculations'!$F$13,VLOOKUP($A269,EnrollData2324,'2324 Jun 24 Enroll'!F$1,FALSE),'District Calculations'!$F$13)*Apport_224A2425,3)</f>
        <v>3.7109999999999999</v>
      </c>
      <c r="W269">
        <f>ROUND(IF(VLOOKUP($A269,EnrollData2324,'2324 Jun 24 Enroll'!G$1,FALSE)='District Calculations'!$F$14,VLOOKUP($A269,EnrollData2324,'2324 Jun 24 Enroll'!G$1,FALSE),'District Calculations'!$F$14)*Apport_212A2425,3)</f>
        <v>8.2279999999999998</v>
      </c>
      <c r="X269">
        <f>ROUND(IF(VLOOKUP($A269,EnrollData2324,'2324 Jun 24 Enroll'!H$1,FALSE)='District Calculations'!$F$14,VLOOKUP($A269,EnrollData2324,'2324 Jun 24 Enroll'!H$1,FALSE),'District Calculations'!$F$14)*Apport_215A2425,3)</f>
        <v>8.1180000000000003</v>
      </c>
      <c r="Y269">
        <f>ROUND(IF(VLOOKUP($A269,EnrollData2324,'2324 Jun 24 Enroll'!I$1,FALSE)+VLOOKUP($A269,EnrollData2324,'2324 Jun 24 Enroll'!M$1,FALSE)-VLOOKUP($A269,EnrollData2324,'2324 Jun 24 Enroll'!J$1,FALSE)='District Calculations'!$F$16+'District Calculations'!$F$25-'District Calculations'!$F$17,VLOOKUP($A269,EnrollData2324,'2324 Jun 24 Enroll'!I$1,FALSE)+VLOOKUP($A269,EnrollData2324,'2324 Jun 24 Enroll'!M$1,FALSE)-VLOOKUP($A269,EnrollData2324,'2324 Jun 24 Enroll'!J$1,FALSE),'District Calculations'!$F$16+'District Calculations'!$F$25-'District Calculations'!$F$17)*Apport_218A2425,3)</f>
        <v>20.257999999999999</v>
      </c>
      <c r="Z269">
        <f>ROUND(SUM(T269:Y269)/IF(VLOOKUP($A269,EnrollData2324,'2324 Jun 24 Enroll'!M$1,FALSE)+VLOOKUP($A269,EnrollData2324,'2324 Jun 24 Enroll'!D$1,FALSE)='District Calculations'!$F$25+'District Calculations'!$F$11,VLOOKUP($A269,EnrollData2324,'2324 Jun 24 Enroll'!M$1,FALSE)+VLOOKUP($A269,EnrollData2324,'2324 Jun 24 Enroll'!D$1,FALSE),'District Calculations'!$F$25+'District Calculations'!$F$11),5)</f>
        <v>1.7780000000000001E-2</v>
      </c>
      <c r="AA269" s="6">
        <f>ROUND($J269*CIS_Base_Salary2425*VLOOKUP($A269,EnrollData2324,'2324 Jun 24 Enroll'!AH$1,FALSE),2)</f>
        <v>4262.68</v>
      </c>
      <c r="AB269" s="6">
        <f>ROUND($J269*CIS_Inc_Salary2425*(VLOOKUP($A269,EnrollData2324,'2324 Jun 24 Enroll'!AI$1,FALSE)+VLOOKUP($A269,EnrollData2324,'2324 Jun 24 Enroll'!AJ$1,FALSE)),2)-AA269</f>
        <v>157.6899999999996</v>
      </c>
      <c r="AC269" s="6" cm="1">
        <f t="array" ref="AC269">ROUND($R269*CAS_Base_Salary2425*VLOOKUP($A269,EnrollData2324,'2324 Jun 24 Enroll'!AH$1,FALSE),2)</f>
        <v>461.23</v>
      </c>
      <c r="AD269" s="6">
        <f>ROUND($R269*CAS_Inc_Salary2425*VLOOKUP($A269,EnrollData2324,'2324 Jun 24 Enroll'!AI$1,FALSE),2)-AC269</f>
        <v>17.069999999999993</v>
      </c>
      <c r="AE269" s="6">
        <f>ROUND($Z269*CLS_Base_Salary2425*VLOOKUP($A269,EnrollData2324,'2324 Jun 24 Enroll'!AH$1,FALSE),2)</f>
        <v>961.95</v>
      </c>
      <c r="AF269" s="6">
        <f>ROUND($Z269*CLS_Inc_Salary2425*VLOOKUP($A269,EnrollData2324,'2324 Jun 24 Enroll'!AI$1,FALSE),2)-AE269</f>
        <v>35.599999999999909</v>
      </c>
      <c r="AG269" cm="1">
        <f t="array" ref="AG269">ROUND(($J269+$R269)*Apport_124X2425,2)</f>
        <v>800.45</v>
      </c>
      <c r="AH269" s="69" cm="1">
        <f t="array" ref="AH269">ROUND(($J269+$R269)*Apport_621X2425*Apport_125XC2425,2)-AG269</f>
        <v>73.899999999999977</v>
      </c>
      <c r="AI269" cm="1">
        <f t="array" ref="AI269">ROUND($Z269*Apport_124X2425,2)</f>
        <v>234.7</v>
      </c>
      <c r="AJ269">
        <f t="shared" si="52"/>
        <v>124.71000000000004</v>
      </c>
      <c r="AK269">
        <f t="shared" si="53"/>
        <v>857.39</v>
      </c>
      <c r="AL269">
        <f t="shared" si="54"/>
        <v>30.6</v>
      </c>
      <c r="AM269">
        <f t="shared" si="55"/>
        <v>208.36</v>
      </c>
      <c r="AN269">
        <f t="shared" si="56"/>
        <v>6.46</v>
      </c>
      <c r="AO269">
        <f>ROUND(($J269*CIS_Inc_Salary2425*(VLOOKUP($A269,EnrollData2324,'2324 Jun 24 Enroll'!AI$1,FALSE)+VLOOKUP($A269,EnrollData2324,'2324 Jun 24 Enroll'!AJ$1,FALSE))/Apport_613Xpd)*Apport_614Xpd,2)</f>
        <v>73.67</v>
      </c>
      <c r="AP269">
        <f t="shared" si="57"/>
        <v>12.9</v>
      </c>
      <c r="AQ269">
        <f t="shared" si="58"/>
        <v>31.48</v>
      </c>
      <c r="AR269" s="6">
        <f>ROUND((VLOOKUP($A269,EnrollData2324,'2324 Jun 24 Enroll'!D$1,FALSE)*Apport_M802425+VLOOKUP($A269,EnrollData2324,'2324 Jun 24 Enroll'!M$1,FALSE)*Apport_M802425+(VLOOKUP($A269,EnrollData2324,'2324 Jun 24 Enroll'!P$1,FALSE)+VLOOKUP($A269,EnrollData2324,'2324 Jun 24 Enroll'!Q$1,FALSE)+VLOOKUP($A269,EnrollData2324,'2324 Jun 24 Enroll'!R$1,FALSE)+VLOOKUP($A269,EnrollData2324,'2324 Jun 24 Enroll'!I$1,FALSE)+VLOOKUP($A269,EnrollData2324,'2324 Jun 24 Enroll'!N$1,FALSE)+VLOOKUP($A269,EnrollData2324,'2324 Jun 24 Enroll'!O$1,FALSE)+VLOOKUP($A269,EnrollData2324,'2324 Jun 24 Enroll'!K$1,FALSE)+VLOOKUP($A269,EnrollData2324,'2324 Jun 24 Enroll'!L$1,FALSE))*Apport_M812425)/(VLOOKUP($A269,EnrollData2324,'2324 Jun 24 Enroll'!M$1,FALSE)+VLOOKUP($A269,EnrollData2324,'2324 Jun 24 Enroll'!D$1,FALSE)),2)</f>
        <v>1597.97</v>
      </c>
      <c r="AS269" s="7">
        <f t="shared" si="59"/>
        <v>9948.8099999999977</v>
      </c>
    </row>
    <row r="270" spans="1:45">
      <c r="A270" s="40" t="s">
        <v>576</v>
      </c>
      <c r="B270" s="40" t="s">
        <v>577</v>
      </c>
      <c r="C270" s="11">
        <f>ROUND((IFERROR((1/IF(VLOOKUP($A270,EnrollData2324,28,FALSE)='District Calculations'!$F$10,VLOOKUP($A270,EnrollData2324,28,FALSE),'District Calculations'!$F$10))*(1+Apport_Z315),0))+Apport_201A2425,6)</f>
        <v>7.4580999999999995E-2</v>
      </c>
      <c r="D270">
        <f>ROUND(IF(VLOOKUP($A270,EnrollData2324,'2324 Jun 24 Enroll'!D$1,FALSE)='District Calculations'!$F$11,VLOOKUP($A270,EnrollData2324,'2324 Jun 24 Enroll'!D$1,FALSE),'District Calculations'!$F$11)*C270,3)</f>
        <v>0</v>
      </c>
      <c r="E270">
        <f>ROUND(IF(VLOOKUP($A270,EnrollData2324,'2324 Jun 24 Enroll'!E$1,FALSE)='District Calculations'!$F$12,VLOOKUP($A270,EnrollData2324,'2324 Jun 24 Enroll'!E$1,FALSE),'District Calculations'!$F$12)*C270,3)</f>
        <v>60.447000000000003</v>
      </c>
      <c r="F270">
        <f>ROUND(IF(VLOOKUP($A270,EnrollData2324,'2324 Jun 24 Enroll'!F$1,FALSE)='District Calculations'!$F$13,VLOOKUP($A270,EnrollData2324,'2324 Jun 24 Enroll'!F$1,FALSE),'District Calculations'!$F$13)*Apport_222A2425,3)</f>
        <v>10.337999999999999</v>
      </c>
      <c r="G270">
        <f>ROUND(IF(VLOOKUP($A270,EnrollData2324,'2324 Jun 24 Enroll'!G$1,FALSE)='District Calculations'!$F$14,VLOOKUP($A270,EnrollData2324,'2324 Jun 24 Enroll'!G$1,FALSE),'District Calculations'!$F$14)*Apport_210A2425,3)</f>
        <v>22.92</v>
      </c>
      <c r="H270">
        <f>ROUND(IF(VLOOKUP($A270,EnrollData2324,'2324 Jun 24 Enroll'!H$1,FALSE)='District Calculations'!$F$15,VLOOKUP($A270,EnrollData2324,'2324 Jun 24 Enroll'!H$1,FALSE),'District Calculations'!$F$15)*Apport_213A2425,3)</f>
        <v>23.619</v>
      </c>
      <c r="I270">
        <f>ROUND(IF(VLOOKUP($A270,EnrollData2324,'2324 Jun 24 Enroll'!I$1,FALSE)+VLOOKUP($A270,EnrollData2324,'2324 Jun 24 Enroll'!M$1,FALSE)-VLOOKUP($A270,EnrollData2324,'2324 Jun 24 Enroll'!J$1,FALSE)='District Calculations'!$F$16+'District Calculations'!$F$25-'District Calculations'!$F$17,VLOOKUP($A270,EnrollData2324,'2324 Jun 24 Enroll'!I$1,FALSE)+VLOOKUP($A270,EnrollData2324,'2324 Jun 24 Enroll'!M$1,FALSE)-VLOOKUP($A270,EnrollData2324,'2324 Jun 24 Enroll'!J$1,FALSE),'District Calculations'!$F$16+'District Calculations'!$F$25-'District Calculations'!$F$17)*Apport_216A2425,3)</f>
        <v>59.057000000000002</v>
      </c>
      <c r="J270">
        <f>ROUND(SUM(D270:I270)/(IF(VLOOKUP($A270,EnrollData2324,'2324 Jun 24 Enroll'!M$1,FALSE)='District Calculations'!$F$25,VLOOKUP($A270,EnrollData2324,'2324 Jun 24 Enroll'!M$1,FALSE),'District Calculations'!$F$25)+IF(VLOOKUP($A270,EnrollData2324,'2324 Jun 24 Enroll'!D$1,FALSE)='District Calculations'!$F$11,VLOOKUP($A270,EnrollData2324,'2324 Jun 24 Enroll'!D$1,FALSE),'District Calculations'!$F$11)),5)</f>
        <v>5.6520000000000001E-2</v>
      </c>
      <c r="K270" s="11">
        <f t="shared" si="50"/>
        <v>4.385E-3</v>
      </c>
      <c r="L270">
        <f>ROUND(IF(VLOOKUP($A270,EnrollData2324,'2324 Jun 24 Enroll'!D$1,FALSE)='District Calculations'!$F$11,VLOOKUP($A270,EnrollData2324,'2324 Jun 24 Enroll'!D$1,FALSE),'District Calculations'!$F$11)*K270,3)</f>
        <v>0</v>
      </c>
      <c r="M270">
        <f>ROUND(IF(VLOOKUP($A270,EnrollData2324,'2324 Jun 24 Enroll'!E$1,FALSE)='District Calculations'!$F$12,VLOOKUP($A270,EnrollData2324,'2324 Jun 24 Enroll'!E$1,FALSE),'District Calculations'!$F$12)*K270,3)</f>
        <v>3.5539999999999998</v>
      </c>
      <c r="N270">
        <f>ROUND(IF(VLOOKUP($A270,EnrollData2324,'2324 Jun 24 Enroll'!F$1,FALSE)='District Calculations'!$F$13,VLOOKUP($A270,EnrollData2324,'2324 Jun 24 Enroll'!F$1,FALSE),'District Calculations'!$F$13)*Apport_223A2425,3)</f>
        <v>0.84599999999999997</v>
      </c>
      <c r="O270">
        <f>ROUND(IF(VLOOKUP($A270,EnrollData2324,'2324 Jun 24 Enroll'!G$1,FALSE)='District Calculations'!$F$14,VLOOKUP($A270,EnrollData2324,'2324 Jun 24 Enroll'!G$1,FALSE),'District Calculations'!$F$14)*Apport_211A2425,3)</f>
        <v>1.877</v>
      </c>
      <c r="P270">
        <f>ROUND(IF(VLOOKUP($A270,EnrollData2324,'2324 Jun 24 Enroll'!H$1,FALSE)='District Calculations'!$F$14,VLOOKUP($A270,EnrollData2324,'2324 Jun 24 Enroll'!H$1,FALSE),'District Calculations'!$F$14)*Apport_214A2425,3)</f>
        <v>1.875</v>
      </c>
      <c r="Q270">
        <f>ROUND(IF(VLOOKUP($A270,EnrollData2324,'2324 Jun 24 Enroll'!I$1,FALSE)+VLOOKUP($A270,EnrollData2324,'2324 Jun 24 Enroll'!M$1,FALSE)-VLOOKUP($A270,EnrollData2324,'2324 Jun 24 Enroll'!J$1,FALSE)='District Calculations'!$F$16+'District Calculations'!$F$25-'District Calculations'!$F$17,VLOOKUP($A270,EnrollData2324,'2324 Jun 24 Enroll'!I$1,FALSE)+VLOOKUP($A270,EnrollData2324,'2324 Jun 24 Enroll'!M$1,FALSE)-VLOOKUP($A270,EnrollData2324,'2324 Jun 24 Enroll'!J$1,FALSE),'District Calculations'!$F$16+'District Calculations'!$F$25-'District Calculations'!$F$17)*Apport_217A2425,3)</f>
        <v>4.7130000000000001</v>
      </c>
      <c r="R270">
        <f>ROUND(SUM(L270:Q270)/IF(VLOOKUP($A270,EnrollData2324,'2324 Jun 24 Enroll'!M$1,FALSE)+VLOOKUP($A270,EnrollData2324,'2324 Jun 24 Enroll'!D$1,FALSE)='District Calculations'!$F$25+'District Calculations'!$F$11,VLOOKUP($A270,EnrollData2324,'2324 Jun 24 Enroll'!M$1,FALSE)+VLOOKUP($A270,EnrollData2324,'2324 Jun 24 Enroll'!D$1,FALSE),'District Calculations'!$F$25+'District Calculations'!$F$11),5)</f>
        <v>4.1200000000000004E-3</v>
      </c>
      <c r="S270" s="11">
        <f t="shared" si="51"/>
        <v>1.8734299999999999E-2</v>
      </c>
      <c r="T270">
        <f>ROUND(IF(VLOOKUP($A270,EnrollData2324,'2324 Jun 24 Enroll'!D$1,FALSE)='District Calculations'!$F$11,VLOOKUP($A270,EnrollData2324,'2324 Jun 24 Enroll'!D$1,FALSE),'District Calculations'!$F$11)*S270,3)</f>
        <v>0</v>
      </c>
      <c r="U270">
        <f>ROUND(IF(VLOOKUP($A270,EnrollData2324,'2324 Jun 24 Enroll'!E$1,FALSE)='District Calculations'!$F$12,VLOOKUP($A270,EnrollData2324,'2324 Jun 24 Enroll'!E$1,FALSE),'District Calculations'!$F$12)*S270,3)</f>
        <v>15.183999999999999</v>
      </c>
      <c r="V270">
        <f>ROUND(IF(VLOOKUP($A270,EnrollData2324,'2324 Jun 24 Enroll'!F$1,FALSE)='District Calculations'!$F$13,VLOOKUP($A270,EnrollData2324,'2324 Jun 24 Enroll'!F$1,FALSE),'District Calculations'!$F$13)*Apport_224A2425,3)</f>
        <v>3.7109999999999999</v>
      </c>
      <c r="W270">
        <f>ROUND(IF(VLOOKUP($A270,EnrollData2324,'2324 Jun 24 Enroll'!G$1,FALSE)='District Calculations'!$F$14,VLOOKUP($A270,EnrollData2324,'2324 Jun 24 Enroll'!G$1,FALSE),'District Calculations'!$F$14)*Apport_212A2425,3)</f>
        <v>8.2279999999999998</v>
      </c>
      <c r="X270">
        <f>ROUND(IF(VLOOKUP($A270,EnrollData2324,'2324 Jun 24 Enroll'!H$1,FALSE)='District Calculations'!$F$14,VLOOKUP($A270,EnrollData2324,'2324 Jun 24 Enroll'!H$1,FALSE),'District Calculations'!$F$14)*Apport_215A2425,3)</f>
        <v>8.1180000000000003</v>
      </c>
      <c r="Y270">
        <f>ROUND(IF(VLOOKUP($A270,EnrollData2324,'2324 Jun 24 Enroll'!I$1,FALSE)+VLOOKUP($A270,EnrollData2324,'2324 Jun 24 Enroll'!M$1,FALSE)-VLOOKUP($A270,EnrollData2324,'2324 Jun 24 Enroll'!J$1,FALSE)='District Calculations'!$F$16+'District Calculations'!$F$25-'District Calculations'!$F$17,VLOOKUP($A270,EnrollData2324,'2324 Jun 24 Enroll'!I$1,FALSE)+VLOOKUP($A270,EnrollData2324,'2324 Jun 24 Enroll'!M$1,FALSE)-VLOOKUP($A270,EnrollData2324,'2324 Jun 24 Enroll'!J$1,FALSE),'District Calculations'!$F$16+'District Calculations'!$F$25-'District Calculations'!$F$17)*Apport_218A2425,3)</f>
        <v>20.257999999999999</v>
      </c>
      <c r="Z270">
        <f>ROUND(SUM(T270:Y270)/IF(VLOOKUP($A270,EnrollData2324,'2324 Jun 24 Enroll'!M$1,FALSE)+VLOOKUP($A270,EnrollData2324,'2324 Jun 24 Enroll'!D$1,FALSE)='District Calculations'!$F$25+'District Calculations'!$F$11,VLOOKUP($A270,EnrollData2324,'2324 Jun 24 Enroll'!M$1,FALSE)+VLOOKUP($A270,EnrollData2324,'2324 Jun 24 Enroll'!D$1,FALSE),'District Calculations'!$F$25+'District Calculations'!$F$11),5)</f>
        <v>1.7780000000000001E-2</v>
      </c>
      <c r="AA270" s="6">
        <f>ROUND($J270*CIS_Base_Salary2425*VLOOKUP($A270,EnrollData2324,'2324 Jun 24 Enroll'!AH$1,FALSE),2)</f>
        <v>4262.68</v>
      </c>
      <c r="AB270" s="6">
        <f>ROUND($J270*CIS_Inc_Salary2425*(VLOOKUP($A270,EnrollData2324,'2324 Jun 24 Enroll'!AI$1,FALSE)+VLOOKUP($A270,EnrollData2324,'2324 Jun 24 Enroll'!AJ$1,FALSE)),2)-AA270</f>
        <v>157.6899999999996</v>
      </c>
      <c r="AC270" s="6" cm="1">
        <f t="array" ref="AC270">ROUND($R270*CAS_Base_Salary2425*VLOOKUP($A270,EnrollData2324,'2324 Jun 24 Enroll'!AH$1,FALSE),2)</f>
        <v>461.23</v>
      </c>
      <c r="AD270" s="6">
        <f>ROUND($R270*CAS_Inc_Salary2425*VLOOKUP($A270,EnrollData2324,'2324 Jun 24 Enroll'!AI$1,FALSE),2)-AC270</f>
        <v>17.069999999999993</v>
      </c>
      <c r="AE270" s="6">
        <f>ROUND($Z270*CLS_Base_Salary2425*VLOOKUP($A270,EnrollData2324,'2324 Jun 24 Enroll'!AH$1,FALSE),2)</f>
        <v>961.95</v>
      </c>
      <c r="AF270" s="6">
        <f>ROUND($Z270*CLS_Inc_Salary2425*VLOOKUP($A270,EnrollData2324,'2324 Jun 24 Enroll'!AI$1,FALSE),2)-AE270</f>
        <v>35.599999999999909</v>
      </c>
      <c r="AG270" cm="1">
        <f t="array" ref="AG270">ROUND(($J270+$R270)*Apport_124X2425,2)</f>
        <v>800.45</v>
      </c>
      <c r="AH270" s="69" cm="1">
        <f t="array" ref="AH270">ROUND(($J270+$R270)*Apport_621X2425*Apport_125XC2425,2)-AG270</f>
        <v>73.899999999999977</v>
      </c>
      <c r="AI270" cm="1">
        <f t="array" ref="AI270">ROUND($Z270*Apport_124X2425,2)</f>
        <v>234.7</v>
      </c>
      <c r="AJ270">
        <f t="shared" si="52"/>
        <v>124.71000000000004</v>
      </c>
      <c r="AK270">
        <f t="shared" si="53"/>
        <v>857.39</v>
      </c>
      <c r="AL270">
        <f t="shared" si="54"/>
        <v>30.6</v>
      </c>
      <c r="AM270">
        <f t="shared" si="55"/>
        <v>208.36</v>
      </c>
      <c r="AN270">
        <f t="shared" si="56"/>
        <v>6.46</v>
      </c>
      <c r="AO270">
        <f>ROUND(($J270*CIS_Inc_Salary2425*(VLOOKUP($A270,EnrollData2324,'2324 Jun 24 Enroll'!AI$1,FALSE)+VLOOKUP($A270,EnrollData2324,'2324 Jun 24 Enroll'!AJ$1,FALSE))/Apport_613Xpd)*Apport_614Xpd,2)</f>
        <v>73.67</v>
      </c>
      <c r="AP270">
        <f t="shared" si="57"/>
        <v>12.9</v>
      </c>
      <c r="AQ270">
        <f t="shared" si="58"/>
        <v>31.48</v>
      </c>
      <c r="AR270" s="6">
        <f>ROUND((VLOOKUP($A270,EnrollData2324,'2324 Jun 24 Enroll'!D$1,FALSE)*Apport_M802425+VLOOKUP($A270,EnrollData2324,'2324 Jun 24 Enroll'!M$1,FALSE)*Apport_M802425+(VLOOKUP($A270,EnrollData2324,'2324 Jun 24 Enroll'!P$1,FALSE)+VLOOKUP($A270,EnrollData2324,'2324 Jun 24 Enroll'!Q$1,FALSE)+VLOOKUP($A270,EnrollData2324,'2324 Jun 24 Enroll'!R$1,FALSE)+VLOOKUP($A270,EnrollData2324,'2324 Jun 24 Enroll'!I$1,FALSE)+VLOOKUP($A270,EnrollData2324,'2324 Jun 24 Enroll'!N$1,FALSE)+VLOOKUP($A270,EnrollData2324,'2324 Jun 24 Enroll'!O$1,FALSE)+VLOOKUP($A270,EnrollData2324,'2324 Jun 24 Enroll'!K$1,FALSE)+VLOOKUP($A270,EnrollData2324,'2324 Jun 24 Enroll'!L$1,FALSE))*Apport_M812425)/(VLOOKUP($A270,EnrollData2324,'2324 Jun 24 Enroll'!M$1,FALSE)+VLOOKUP($A270,EnrollData2324,'2324 Jun 24 Enroll'!D$1,FALSE)),2)</f>
        <v>1622.79</v>
      </c>
      <c r="AS270" s="7">
        <f t="shared" si="59"/>
        <v>9973.6299999999974</v>
      </c>
    </row>
    <row r="271" spans="1:45">
      <c r="A271" s="40" t="s">
        <v>639</v>
      </c>
      <c r="B271" s="40" t="s">
        <v>640</v>
      </c>
      <c r="C271" s="11">
        <f>ROUND((IFERROR((1/IF(VLOOKUP($A271,EnrollData2324,28,FALSE)='District Calculations'!$F$10,VLOOKUP($A271,EnrollData2324,28,FALSE),'District Calculations'!$F$10))*(1+Apport_Z315),0))+Apport_201A2425,6)</f>
        <v>7.4580999999999995E-2</v>
      </c>
      <c r="D271">
        <f>ROUND(IF(VLOOKUP($A271,EnrollData2324,'2324 Jun 24 Enroll'!D$1,FALSE)='District Calculations'!$F$11,VLOOKUP($A271,EnrollData2324,'2324 Jun 24 Enroll'!D$1,FALSE),'District Calculations'!$F$11)*C271,3)</f>
        <v>0</v>
      </c>
      <c r="E271">
        <f>ROUND(IF(VLOOKUP($A271,EnrollData2324,'2324 Jun 24 Enroll'!E$1,FALSE)='District Calculations'!$F$12,VLOOKUP($A271,EnrollData2324,'2324 Jun 24 Enroll'!E$1,FALSE),'District Calculations'!$F$12)*C271,3)</f>
        <v>60.447000000000003</v>
      </c>
      <c r="F271">
        <f>ROUND(IF(VLOOKUP($A271,EnrollData2324,'2324 Jun 24 Enroll'!F$1,FALSE)='District Calculations'!$F$13,VLOOKUP($A271,EnrollData2324,'2324 Jun 24 Enroll'!F$1,FALSE),'District Calculations'!$F$13)*Apport_222A2425,3)</f>
        <v>10.337999999999999</v>
      </c>
      <c r="G271">
        <f>ROUND(IF(VLOOKUP($A271,EnrollData2324,'2324 Jun 24 Enroll'!G$1,FALSE)='District Calculations'!$F$14,VLOOKUP($A271,EnrollData2324,'2324 Jun 24 Enroll'!G$1,FALSE),'District Calculations'!$F$14)*Apport_210A2425,3)</f>
        <v>22.92</v>
      </c>
      <c r="H271">
        <f>ROUND(IF(VLOOKUP($A271,EnrollData2324,'2324 Jun 24 Enroll'!H$1,FALSE)='District Calculations'!$F$15,VLOOKUP($A271,EnrollData2324,'2324 Jun 24 Enroll'!H$1,FALSE),'District Calculations'!$F$15)*Apport_213A2425,3)</f>
        <v>23.619</v>
      </c>
      <c r="I271">
        <f>ROUND(IF(VLOOKUP($A271,EnrollData2324,'2324 Jun 24 Enroll'!I$1,FALSE)+VLOOKUP($A271,EnrollData2324,'2324 Jun 24 Enroll'!M$1,FALSE)-VLOOKUP($A271,EnrollData2324,'2324 Jun 24 Enroll'!J$1,FALSE)='District Calculations'!$F$16+'District Calculations'!$F$25-'District Calculations'!$F$17,VLOOKUP($A271,EnrollData2324,'2324 Jun 24 Enroll'!I$1,FALSE)+VLOOKUP($A271,EnrollData2324,'2324 Jun 24 Enroll'!M$1,FALSE)-VLOOKUP($A271,EnrollData2324,'2324 Jun 24 Enroll'!J$1,FALSE),'District Calculations'!$F$16+'District Calculations'!$F$25-'District Calculations'!$F$17)*Apport_216A2425,3)</f>
        <v>59.057000000000002</v>
      </c>
      <c r="J271">
        <f>ROUND(SUM(D271:I271)/(IF(VLOOKUP($A271,EnrollData2324,'2324 Jun 24 Enroll'!M$1,FALSE)='District Calculations'!$F$25,VLOOKUP($A271,EnrollData2324,'2324 Jun 24 Enroll'!M$1,FALSE),'District Calculations'!$F$25)+IF(VLOOKUP($A271,EnrollData2324,'2324 Jun 24 Enroll'!D$1,FALSE)='District Calculations'!$F$11,VLOOKUP($A271,EnrollData2324,'2324 Jun 24 Enroll'!D$1,FALSE),'District Calculations'!$F$11)),5)</f>
        <v>5.6520000000000001E-2</v>
      </c>
      <c r="K271" s="11">
        <f t="shared" si="50"/>
        <v>4.385E-3</v>
      </c>
      <c r="L271">
        <f>ROUND(IF(VLOOKUP($A271,EnrollData2324,'2324 Jun 24 Enroll'!D$1,FALSE)='District Calculations'!$F$11,VLOOKUP($A271,EnrollData2324,'2324 Jun 24 Enroll'!D$1,FALSE),'District Calculations'!$F$11)*K271,3)</f>
        <v>0</v>
      </c>
      <c r="M271">
        <f>ROUND(IF(VLOOKUP($A271,EnrollData2324,'2324 Jun 24 Enroll'!E$1,FALSE)='District Calculations'!$F$12,VLOOKUP($A271,EnrollData2324,'2324 Jun 24 Enroll'!E$1,FALSE),'District Calculations'!$F$12)*K271,3)</f>
        <v>3.5539999999999998</v>
      </c>
      <c r="N271">
        <f>ROUND(IF(VLOOKUP($A271,EnrollData2324,'2324 Jun 24 Enroll'!F$1,FALSE)='District Calculations'!$F$13,VLOOKUP($A271,EnrollData2324,'2324 Jun 24 Enroll'!F$1,FALSE),'District Calculations'!$F$13)*Apport_223A2425,3)</f>
        <v>0.84599999999999997</v>
      </c>
      <c r="O271">
        <f>ROUND(IF(VLOOKUP($A271,EnrollData2324,'2324 Jun 24 Enroll'!G$1,FALSE)='District Calculations'!$F$14,VLOOKUP($A271,EnrollData2324,'2324 Jun 24 Enroll'!G$1,FALSE),'District Calculations'!$F$14)*Apport_211A2425,3)</f>
        <v>1.877</v>
      </c>
      <c r="P271">
        <f>ROUND(IF(VLOOKUP($A271,EnrollData2324,'2324 Jun 24 Enroll'!H$1,FALSE)='District Calculations'!$F$14,VLOOKUP($A271,EnrollData2324,'2324 Jun 24 Enroll'!H$1,FALSE),'District Calculations'!$F$14)*Apport_214A2425,3)</f>
        <v>1.875</v>
      </c>
      <c r="Q271">
        <f>ROUND(IF(VLOOKUP($A271,EnrollData2324,'2324 Jun 24 Enroll'!I$1,FALSE)+VLOOKUP($A271,EnrollData2324,'2324 Jun 24 Enroll'!M$1,FALSE)-VLOOKUP($A271,EnrollData2324,'2324 Jun 24 Enroll'!J$1,FALSE)='District Calculations'!$F$16+'District Calculations'!$F$25-'District Calculations'!$F$17,VLOOKUP($A271,EnrollData2324,'2324 Jun 24 Enroll'!I$1,FALSE)+VLOOKUP($A271,EnrollData2324,'2324 Jun 24 Enroll'!M$1,FALSE)-VLOOKUP($A271,EnrollData2324,'2324 Jun 24 Enroll'!J$1,FALSE),'District Calculations'!$F$16+'District Calculations'!$F$25-'District Calculations'!$F$17)*Apport_217A2425,3)</f>
        <v>4.7130000000000001</v>
      </c>
      <c r="R271">
        <f>ROUND(SUM(L271:Q271)/IF(VLOOKUP($A271,EnrollData2324,'2324 Jun 24 Enroll'!M$1,FALSE)+VLOOKUP($A271,EnrollData2324,'2324 Jun 24 Enroll'!D$1,FALSE)='District Calculations'!$F$25+'District Calculations'!$F$11,VLOOKUP($A271,EnrollData2324,'2324 Jun 24 Enroll'!M$1,FALSE)+VLOOKUP($A271,EnrollData2324,'2324 Jun 24 Enroll'!D$1,FALSE),'District Calculations'!$F$25+'District Calculations'!$F$11),5)</f>
        <v>4.1200000000000004E-3</v>
      </c>
      <c r="S271" s="11">
        <f t="shared" si="51"/>
        <v>1.8734299999999999E-2</v>
      </c>
      <c r="T271">
        <f>ROUND(IF(VLOOKUP($A271,EnrollData2324,'2324 Jun 24 Enroll'!D$1,FALSE)='District Calculations'!$F$11,VLOOKUP($A271,EnrollData2324,'2324 Jun 24 Enroll'!D$1,FALSE),'District Calculations'!$F$11)*S271,3)</f>
        <v>0</v>
      </c>
      <c r="U271">
        <f>ROUND(IF(VLOOKUP($A271,EnrollData2324,'2324 Jun 24 Enroll'!E$1,FALSE)='District Calculations'!$F$12,VLOOKUP($A271,EnrollData2324,'2324 Jun 24 Enroll'!E$1,FALSE),'District Calculations'!$F$12)*S271,3)</f>
        <v>15.183999999999999</v>
      </c>
      <c r="V271">
        <f>ROUND(IF(VLOOKUP($A271,EnrollData2324,'2324 Jun 24 Enroll'!F$1,FALSE)='District Calculations'!$F$13,VLOOKUP($A271,EnrollData2324,'2324 Jun 24 Enroll'!F$1,FALSE),'District Calculations'!$F$13)*Apport_224A2425,3)</f>
        <v>3.7109999999999999</v>
      </c>
      <c r="W271">
        <f>ROUND(IF(VLOOKUP($A271,EnrollData2324,'2324 Jun 24 Enroll'!G$1,FALSE)='District Calculations'!$F$14,VLOOKUP($A271,EnrollData2324,'2324 Jun 24 Enroll'!G$1,FALSE),'District Calculations'!$F$14)*Apport_212A2425,3)</f>
        <v>8.2279999999999998</v>
      </c>
      <c r="X271">
        <f>ROUND(IF(VLOOKUP($A271,EnrollData2324,'2324 Jun 24 Enroll'!H$1,FALSE)='District Calculations'!$F$14,VLOOKUP($A271,EnrollData2324,'2324 Jun 24 Enroll'!H$1,FALSE),'District Calculations'!$F$14)*Apport_215A2425,3)</f>
        <v>8.1180000000000003</v>
      </c>
      <c r="Y271">
        <f>ROUND(IF(VLOOKUP($A271,EnrollData2324,'2324 Jun 24 Enroll'!I$1,FALSE)+VLOOKUP($A271,EnrollData2324,'2324 Jun 24 Enroll'!M$1,FALSE)-VLOOKUP($A271,EnrollData2324,'2324 Jun 24 Enroll'!J$1,FALSE)='District Calculations'!$F$16+'District Calculations'!$F$25-'District Calculations'!$F$17,VLOOKUP($A271,EnrollData2324,'2324 Jun 24 Enroll'!I$1,FALSE)+VLOOKUP($A271,EnrollData2324,'2324 Jun 24 Enroll'!M$1,FALSE)-VLOOKUP($A271,EnrollData2324,'2324 Jun 24 Enroll'!J$1,FALSE),'District Calculations'!$F$16+'District Calculations'!$F$25-'District Calculations'!$F$17)*Apport_218A2425,3)</f>
        <v>20.257999999999999</v>
      </c>
      <c r="Z271">
        <f>ROUND(SUM(T271:Y271)/IF(VLOOKUP($A271,EnrollData2324,'2324 Jun 24 Enroll'!M$1,FALSE)+VLOOKUP($A271,EnrollData2324,'2324 Jun 24 Enroll'!D$1,FALSE)='District Calculations'!$F$25+'District Calculations'!$F$11,VLOOKUP($A271,EnrollData2324,'2324 Jun 24 Enroll'!M$1,FALSE)+VLOOKUP($A271,EnrollData2324,'2324 Jun 24 Enroll'!D$1,FALSE),'District Calculations'!$F$25+'District Calculations'!$F$11),5)</f>
        <v>1.7780000000000001E-2</v>
      </c>
      <c r="AA271" s="6">
        <f>ROUND($J271*CIS_Base_Salary2425*VLOOKUP($A271,EnrollData2324,'2324 Jun 24 Enroll'!AH$1,FALSE),2)</f>
        <v>4262.68</v>
      </c>
      <c r="AB271" s="6">
        <f>ROUND($J271*CIS_Inc_Salary2425*(VLOOKUP($A271,EnrollData2324,'2324 Jun 24 Enroll'!AI$1,FALSE)+VLOOKUP($A271,EnrollData2324,'2324 Jun 24 Enroll'!AJ$1,FALSE)),2)-AA271</f>
        <v>157.6899999999996</v>
      </c>
      <c r="AC271" s="6" cm="1">
        <f t="array" ref="AC271">ROUND($R271*CAS_Base_Salary2425*VLOOKUP($A271,EnrollData2324,'2324 Jun 24 Enroll'!AH$1,FALSE),2)</f>
        <v>461.23</v>
      </c>
      <c r="AD271" s="6">
        <f>ROUND($R271*CAS_Inc_Salary2425*VLOOKUP($A271,EnrollData2324,'2324 Jun 24 Enroll'!AI$1,FALSE),2)-AC271</f>
        <v>17.069999999999993</v>
      </c>
      <c r="AE271" s="6">
        <f>ROUND($Z271*CLS_Base_Salary2425*VLOOKUP($A271,EnrollData2324,'2324 Jun 24 Enroll'!AH$1,FALSE),2)</f>
        <v>961.95</v>
      </c>
      <c r="AF271" s="6">
        <f>ROUND($Z271*CLS_Inc_Salary2425*VLOOKUP($A271,EnrollData2324,'2324 Jun 24 Enroll'!AI$1,FALSE),2)-AE271</f>
        <v>35.599999999999909</v>
      </c>
      <c r="AG271" cm="1">
        <f t="array" ref="AG271">ROUND(($J271+$R271)*Apport_124X2425,2)</f>
        <v>800.45</v>
      </c>
      <c r="AH271" s="69" cm="1">
        <f t="array" ref="AH271">ROUND(($J271+$R271)*Apport_621X2425*Apport_125XC2425,2)-AG271</f>
        <v>73.899999999999977</v>
      </c>
      <c r="AI271" cm="1">
        <f t="array" ref="AI271">ROUND($Z271*Apport_124X2425,2)</f>
        <v>234.7</v>
      </c>
      <c r="AJ271">
        <f t="shared" si="52"/>
        <v>124.71000000000004</v>
      </c>
      <c r="AK271">
        <f t="shared" si="53"/>
        <v>857.39</v>
      </c>
      <c r="AL271">
        <f t="shared" si="54"/>
        <v>30.6</v>
      </c>
      <c r="AM271">
        <f t="shared" si="55"/>
        <v>208.36</v>
      </c>
      <c r="AN271">
        <f t="shared" si="56"/>
        <v>6.46</v>
      </c>
      <c r="AO271">
        <f>ROUND(($J271*CIS_Inc_Salary2425*(VLOOKUP($A271,EnrollData2324,'2324 Jun 24 Enroll'!AI$1,FALSE)+VLOOKUP($A271,EnrollData2324,'2324 Jun 24 Enroll'!AJ$1,FALSE))/Apport_613Xpd)*Apport_614Xpd,2)</f>
        <v>73.67</v>
      </c>
      <c r="AP271">
        <f t="shared" si="57"/>
        <v>12.9</v>
      </c>
      <c r="AQ271">
        <f t="shared" si="58"/>
        <v>31.48</v>
      </c>
      <c r="AR271" s="6">
        <f>ROUND((VLOOKUP($A271,EnrollData2324,'2324 Jun 24 Enroll'!D$1,FALSE)*Apport_M802425+VLOOKUP($A271,EnrollData2324,'2324 Jun 24 Enroll'!M$1,FALSE)*Apport_M802425+(VLOOKUP($A271,EnrollData2324,'2324 Jun 24 Enroll'!P$1,FALSE)+VLOOKUP($A271,EnrollData2324,'2324 Jun 24 Enroll'!Q$1,FALSE)+VLOOKUP($A271,EnrollData2324,'2324 Jun 24 Enroll'!R$1,FALSE)+VLOOKUP($A271,EnrollData2324,'2324 Jun 24 Enroll'!I$1,FALSE)+VLOOKUP($A271,EnrollData2324,'2324 Jun 24 Enroll'!N$1,FALSE)+VLOOKUP($A271,EnrollData2324,'2324 Jun 24 Enroll'!O$1,FALSE)+VLOOKUP($A271,EnrollData2324,'2324 Jun 24 Enroll'!K$1,FALSE)+VLOOKUP($A271,EnrollData2324,'2324 Jun 24 Enroll'!L$1,FALSE))*Apport_M812425)/(VLOOKUP($A271,EnrollData2324,'2324 Jun 24 Enroll'!M$1,FALSE)+VLOOKUP($A271,EnrollData2324,'2324 Jun 24 Enroll'!D$1,FALSE)),2)</f>
        <v>1652.34</v>
      </c>
      <c r="AS271" s="7">
        <f t="shared" si="59"/>
        <v>10003.179999999998</v>
      </c>
    </row>
    <row r="272" spans="1:45">
      <c r="A272" s="40" t="s">
        <v>528</v>
      </c>
      <c r="B272" s="40" t="s">
        <v>529</v>
      </c>
      <c r="C272" s="11">
        <f>ROUND((IFERROR((1/IF(VLOOKUP($A272,EnrollData2324,28,FALSE)='District Calculations'!$F$10,VLOOKUP($A272,EnrollData2324,28,FALSE),'District Calculations'!$F$10))*(1+Apport_Z315),0))+Apport_201A2425,6)</f>
        <v>7.4580999999999995E-2</v>
      </c>
      <c r="D272">
        <f>ROUND(IF(VLOOKUP($A272,EnrollData2324,'2324 Jun 24 Enroll'!D$1,FALSE)='District Calculations'!$F$11,VLOOKUP($A272,EnrollData2324,'2324 Jun 24 Enroll'!D$1,FALSE),'District Calculations'!$F$11)*C272,3)</f>
        <v>0</v>
      </c>
      <c r="E272">
        <f>ROUND(IF(VLOOKUP($A272,EnrollData2324,'2324 Jun 24 Enroll'!E$1,FALSE)='District Calculations'!$F$12,VLOOKUP($A272,EnrollData2324,'2324 Jun 24 Enroll'!E$1,FALSE),'District Calculations'!$F$12)*C272,3)</f>
        <v>60.447000000000003</v>
      </c>
      <c r="F272">
        <f>ROUND(IF(VLOOKUP($A272,EnrollData2324,'2324 Jun 24 Enroll'!F$1,FALSE)='District Calculations'!$F$13,VLOOKUP($A272,EnrollData2324,'2324 Jun 24 Enroll'!F$1,FALSE),'District Calculations'!$F$13)*Apport_222A2425,3)</f>
        <v>10.337999999999999</v>
      </c>
      <c r="G272">
        <f>ROUND(IF(VLOOKUP($A272,EnrollData2324,'2324 Jun 24 Enroll'!G$1,FALSE)='District Calculations'!$F$14,VLOOKUP($A272,EnrollData2324,'2324 Jun 24 Enroll'!G$1,FALSE),'District Calculations'!$F$14)*Apport_210A2425,3)</f>
        <v>22.92</v>
      </c>
      <c r="H272">
        <f>ROUND(IF(VLOOKUP($A272,EnrollData2324,'2324 Jun 24 Enroll'!H$1,FALSE)='District Calculations'!$F$15,VLOOKUP($A272,EnrollData2324,'2324 Jun 24 Enroll'!H$1,FALSE),'District Calculations'!$F$15)*Apport_213A2425,3)</f>
        <v>23.619</v>
      </c>
      <c r="I272">
        <f>ROUND(IF(VLOOKUP($A272,EnrollData2324,'2324 Jun 24 Enroll'!I$1,FALSE)+VLOOKUP($A272,EnrollData2324,'2324 Jun 24 Enroll'!M$1,FALSE)-VLOOKUP($A272,EnrollData2324,'2324 Jun 24 Enroll'!J$1,FALSE)='District Calculations'!$F$16+'District Calculations'!$F$25-'District Calculations'!$F$17,VLOOKUP($A272,EnrollData2324,'2324 Jun 24 Enroll'!I$1,FALSE)+VLOOKUP($A272,EnrollData2324,'2324 Jun 24 Enroll'!M$1,FALSE)-VLOOKUP($A272,EnrollData2324,'2324 Jun 24 Enroll'!J$1,FALSE),'District Calculations'!$F$16+'District Calculations'!$F$25-'District Calculations'!$F$17)*Apport_216A2425,3)</f>
        <v>59.057000000000002</v>
      </c>
      <c r="J272">
        <f>ROUND(SUM(D272:I272)/(IF(VLOOKUP($A272,EnrollData2324,'2324 Jun 24 Enroll'!M$1,FALSE)='District Calculations'!$F$25,VLOOKUP($A272,EnrollData2324,'2324 Jun 24 Enroll'!M$1,FALSE),'District Calculations'!$F$25)+IF(VLOOKUP($A272,EnrollData2324,'2324 Jun 24 Enroll'!D$1,FALSE)='District Calculations'!$F$11,VLOOKUP($A272,EnrollData2324,'2324 Jun 24 Enroll'!D$1,FALSE),'District Calculations'!$F$11)),5)</f>
        <v>5.6520000000000001E-2</v>
      </c>
      <c r="K272" s="11">
        <f t="shared" si="50"/>
        <v>4.385E-3</v>
      </c>
      <c r="L272">
        <f>ROUND(IF(VLOOKUP($A272,EnrollData2324,'2324 Jun 24 Enroll'!D$1,FALSE)='District Calculations'!$F$11,VLOOKUP($A272,EnrollData2324,'2324 Jun 24 Enroll'!D$1,FALSE),'District Calculations'!$F$11)*K272,3)</f>
        <v>0</v>
      </c>
      <c r="M272">
        <f>ROUND(IF(VLOOKUP($A272,EnrollData2324,'2324 Jun 24 Enroll'!E$1,FALSE)='District Calculations'!$F$12,VLOOKUP($A272,EnrollData2324,'2324 Jun 24 Enroll'!E$1,FALSE),'District Calculations'!$F$12)*K272,3)</f>
        <v>3.5539999999999998</v>
      </c>
      <c r="N272">
        <f>ROUND(IF(VLOOKUP($A272,EnrollData2324,'2324 Jun 24 Enroll'!F$1,FALSE)='District Calculations'!$F$13,VLOOKUP($A272,EnrollData2324,'2324 Jun 24 Enroll'!F$1,FALSE),'District Calculations'!$F$13)*Apport_223A2425,3)</f>
        <v>0.84599999999999997</v>
      </c>
      <c r="O272">
        <f>ROUND(IF(VLOOKUP($A272,EnrollData2324,'2324 Jun 24 Enroll'!G$1,FALSE)='District Calculations'!$F$14,VLOOKUP($A272,EnrollData2324,'2324 Jun 24 Enroll'!G$1,FALSE),'District Calculations'!$F$14)*Apport_211A2425,3)</f>
        <v>1.877</v>
      </c>
      <c r="P272">
        <f>ROUND(IF(VLOOKUP($A272,EnrollData2324,'2324 Jun 24 Enroll'!H$1,FALSE)='District Calculations'!$F$14,VLOOKUP($A272,EnrollData2324,'2324 Jun 24 Enroll'!H$1,FALSE),'District Calculations'!$F$14)*Apport_214A2425,3)</f>
        <v>1.875</v>
      </c>
      <c r="Q272">
        <f>ROUND(IF(VLOOKUP($A272,EnrollData2324,'2324 Jun 24 Enroll'!I$1,FALSE)+VLOOKUP($A272,EnrollData2324,'2324 Jun 24 Enroll'!M$1,FALSE)-VLOOKUP($A272,EnrollData2324,'2324 Jun 24 Enroll'!J$1,FALSE)='District Calculations'!$F$16+'District Calculations'!$F$25-'District Calculations'!$F$17,VLOOKUP($A272,EnrollData2324,'2324 Jun 24 Enroll'!I$1,FALSE)+VLOOKUP($A272,EnrollData2324,'2324 Jun 24 Enroll'!M$1,FALSE)-VLOOKUP($A272,EnrollData2324,'2324 Jun 24 Enroll'!J$1,FALSE),'District Calculations'!$F$16+'District Calculations'!$F$25-'District Calculations'!$F$17)*Apport_217A2425,3)</f>
        <v>4.7130000000000001</v>
      </c>
      <c r="R272">
        <f>ROUND(SUM(L272:Q272)/IF(VLOOKUP($A272,EnrollData2324,'2324 Jun 24 Enroll'!M$1,FALSE)+VLOOKUP($A272,EnrollData2324,'2324 Jun 24 Enroll'!D$1,FALSE)='District Calculations'!$F$25+'District Calculations'!$F$11,VLOOKUP($A272,EnrollData2324,'2324 Jun 24 Enroll'!M$1,FALSE)+VLOOKUP($A272,EnrollData2324,'2324 Jun 24 Enroll'!D$1,FALSE),'District Calculations'!$F$25+'District Calculations'!$F$11),5)</f>
        <v>4.1200000000000004E-3</v>
      </c>
      <c r="S272" s="11">
        <f t="shared" si="51"/>
        <v>1.8734299999999999E-2</v>
      </c>
      <c r="T272">
        <f>ROUND(IF(VLOOKUP($A272,EnrollData2324,'2324 Jun 24 Enroll'!D$1,FALSE)='District Calculations'!$F$11,VLOOKUP($A272,EnrollData2324,'2324 Jun 24 Enroll'!D$1,FALSE),'District Calculations'!$F$11)*S272,3)</f>
        <v>0</v>
      </c>
      <c r="U272">
        <f>ROUND(IF(VLOOKUP($A272,EnrollData2324,'2324 Jun 24 Enroll'!E$1,FALSE)='District Calculations'!$F$12,VLOOKUP($A272,EnrollData2324,'2324 Jun 24 Enroll'!E$1,FALSE),'District Calculations'!$F$12)*S272,3)</f>
        <v>15.183999999999999</v>
      </c>
      <c r="V272">
        <f>ROUND(IF(VLOOKUP($A272,EnrollData2324,'2324 Jun 24 Enroll'!F$1,FALSE)='District Calculations'!$F$13,VLOOKUP($A272,EnrollData2324,'2324 Jun 24 Enroll'!F$1,FALSE),'District Calculations'!$F$13)*Apport_224A2425,3)</f>
        <v>3.7109999999999999</v>
      </c>
      <c r="W272">
        <f>ROUND(IF(VLOOKUP($A272,EnrollData2324,'2324 Jun 24 Enroll'!G$1,FALSE)='District Calculations'!$F$14,VLOOKUP($A272,EnrollData2324,'2324 Jun 24 Enroll'!G$1,FALSE),'District Calculations'!$F$14)*Apport_212A2425,3)</f>
        <v>8.2279999999999998</v>
      </c>
      <c r="X272">
        <f>ROUND(IF(VLOOKUP($A272,EnrollData2324,'2324 Jun 24 Enroll'!H$1,FALSE)='District Calculations'!$F$14,VLOOKUP($A272,EnrollData2324,'2324 Jun 24 Enroll'!H$1,FALSE),'District Calculations'!$F$14)*Apport_215A2425,3)</f>
        <v>8.1180000000000003</v>
      </c>
      <c r="Y272">
        <f>ROUND(IF(VLOOKUP($A272,EnrollData2324,'2324 Jun 24 Enroll'!I$1,FALSE)+VLOOKUP($A272,EnrollData2324,'2324 Jun 24 Enroll'!M$1,FALSE)-VLOOKUP($A272,EnrollData2324,'2324 Jun 24 Enroll'!J$1,FALSE)='District Calculations'!$F$16+'District Calculations'!$F$25-'District Calculations'!$F$17,VLOOKUP($A272,EnrollData2324,'2324 Jun 24 Enroll'!I$1,FALSE)+VLOOKUP($A272,EnrollData2324,'2324 Jun 24 Enroll'!M$1,FALSE)-VLOOKUP($A272,EnrollData2324,'2324 Jun 24 Enroll'!J$1,FALSE),'District Calculations'!$F$16+'District Calculations'!$F$25-'District Calculations'!$F$17)*Apport_218A2425,3)</f>
        <v>20.257999999999999</v>
      </c>
      <c r="Z272">
        <f>ROUND(SUM(T272:Y272)/IF(VLOOKUP($A272,EnrollData2324,'2324 Jun 24 Enroll'!M$1,FALSE)+VLOOKUP($A272,EnrollData2324,'2324 Jun 24 Enroll'!D$1,FALSE)='District Calculations'!$F$25+'District Calculations'!$F$11,VLOOKUP($A272,EnrollData2324,'2324 Jun 24 Enroll'!M$1,FALSE)+VLOOKUP($A272,EnrollData2324,'2324 Jun 24 Enroll'!D$1,FALSE),'District Calculations'!$F$25+'District Calculations'!$F$11),5)</f>
        <v>1.7780000000000001E-2</v>
      </c>
      <c r="AA272" s="6">
        <f>ROUND($J272*CIS_Base_Salary2425*VLOOKUP($A272,EnrollData2324,'2324 Jun 24 Enroll'!AH$1,FALSE),2)</f>
        <v>4262.68</v>
      </c>
      <c r="AB272" s="6">
        <f>ROUND($J272*CIS_Inc_Salary2425*(VLOOKUP($A272,EnrollData2324,'2324 Jun 24 Enroll'!AI$1,FALSE)+VLOOKUP($A272,EnrollData2324,'2324 Jun 24 Enroll'!AJ$1,FALSE)),2)-AA272</f>
        <v>201.89999999999964</v>
      </c>
      <c r="AC272" s="6" cm="1">
        <f t="array" ref="AC272">ROUND($R272*CAS_Base_Salary2425*VLOOKUP($A272,EnrollData2324,'2324 Jun 24 Enroll'!AH$1,FALSE),2)</f>
        <v>461.23</v>
      </c>
      <c r="AD272" s="6">
        <f>ROUND($R272*CAS_Inc_Salary2425*VLOOKUP($A272,EnrollData2324,'2324 Jun 24 Enroll'!AI$1,FALSE),2)-AC272</f>
        <v>17.069999999999993</v>
      </c>
      <c r="AE272" s="6">
        <f>ROUND($Z272*CLS_Base_Salary2425*VLOOKUP($A272,EnrollData2324,'2324 Jun 24 Enroll'!AH$1,FALSE),2)</f>
        <v>961.95</v>
      </c>
      <c r="AF272" s="6">
        <f>ROUND($Z272*CLS_Inc_Salary2425*VLOOKUP($A272,EnrollData2324,'2324 Jun 24 Enroll'!AI$1,FALSE),2)-AE272</f>
        <v>35.599999999999909</v>
      </c>
      <c r="AG272" cm="1">
        <f t="array" ref="AG272">ROUND(($J272+$R272)*Apport_124X2425,2)</f>
        <v>800.45</v>
      </c>
      <c r="AH272" s="69" cm="1">
        <f t="array" ref="AH272">ROUND(($J272+$R272)*Apport_621X2425*Apport_125XC2425,2)-AG272</f>
        <v>73.899999999999977</v>
      </c>
      <c r="AI272" cm="1">
        <f t="array" ref="AI272">ROUND($Z272*Apport_124X2425,2)</f>
        <v>234.7</v>
      </c>
      <c r="AJ272">
        <f t="shared" si="52"/>
        <v>124.71000000000004</v>
      </c>
      <c r="AK272">
        <f t="shared" si="53"/>
        <v>857.39</v>
      </c>
      <c r="AL272">
        <f t="shared" si="54"/>
        <v>38.340000000000003</v>
      </c>
      <c r="AM272">
        <f t="shared" si="55"/>
        <v>208.36</v>
      </c>
      <c r="AN272">
        <f t="shared" si="56"/>
        <v>6.46</v>
      </c>
      <c r="AO272">
        <f>ROUND(($J272*CIS_Inc_Salary2425*(VLOOKUP($A272,EnrollData2324,'2324 Jun 24 Enroll'!AI$1,FALSE)+VLOOKUP($A272,EnrollData2324,'2324 Jun 24 Enroll'!AJ$1,FALSE))/Apport_613Xpd)*Apport_614Xpd,2)</f>
        <v>74.41</v>
      </c>
      <c r="AP272">
        <f t="shared" si="57"/>
        <v>13.03</v>
      </c>
      <c r="AQ272">
        <f t="shared" si="58"/>
        <v>31.48</v>
      </c>
      <c r="AR272" s="6">
        <f>ROUND((VLOOKUP($A272,EnrollData2324,'2324 Jun 24 Enroll'!D$1,FALSE)*Apport_M802425+VLOOKUP($A272,EnrollData2324,'2324 Jun 24 Enroll'!M$1,FALSE)*Apport_M802425+(VLOOKUP($A272,EnrollData2324,'2324 Jun 24 Enroll'!P$1,FALSE)+VLOOKUP($A272,EnrollData2324,'2324 Jun 24 Enroll'!Q$1,FALSE)+VLOOKUP($A272,EnrollData2324,'2324 Jun 24 Enroll'!R$1,FALSE)+VLOOKUP($A272,EnrollData2324,'2324 Jun 24 Enroll'!I$1,FALSE)+VLOOKUP($A272,EnrollData2324,'2324 Jun 24 Enroll'!N$1,FALSE)+VLOOKUP($A272,EnrollData2324,'2324 Jun 24 Enroll'!O$1,FALSE)+VLOOKUP($A272,EnrollData2324,'2324 Jun 24 Enroll'!K$1,FALSE)+VLOOKUP($A272,EnrollData2324,'2324 Jun 24 Enroll'!L$1,FALSE))*Apport_M812425)/(VLOOKUP($A272,EnrollData2324,'2324 Jun 24 Enroll'!M$1,FALSE)+VLOOKUP($A272,EnrollData2324,'2324 Jun 24 Enroll'!D$1,FALSE)),2)</f>
        <v>1644.34</v>
      </c>
      <c r="AS272" s="7">
        <f t="shared" si="59"/>
        <v>10047.999999999998</v>
      </c>
    </row>
    <row r="273" spans="1:45">
      <c r="A273" s="40" t="s">
        <v>893</v>
      </c>
      <c r="B273" s="40" t="s">
        <v>894</v>
      </c>
      <c r="C273" s="11">
        <f>ROUND((IFERROR((1/IF(VLOOKUP($A273,EnrollData2324,28,FALSE)='District Calculations'!$F$10,VLOOKUP($A273,EnrollData2324,28,FALSE),'District Calculations'!$F$10))*(1+Apport_Z315),0))+Apport_201A2425,6)</f>
        <v>7.4580999999999995E-2</v>
      </c>
      <c r="D273">
        <f>ROUND(IF(VLOOKUP($A273,EnrollData2324,'2324 Jun 24 Enroll'!D$1,FALSE)='District Calculations'!$F$11,VLOOKUP($A273,EnrollData2324,'2324 Jun 24 Enroll'!D$1,FALSE),'District Calculations'!$F$11)*C273,3)</f>
        <v>0</v>
      </c>
      <c r="E273">
        <f>ROUND(IF(VLOOKUP($A273,EnrollData2324,'2324 Jun 24 Enroll'!E$1,FALSE)='District Calculations'!$F$12,VLOOKUP($A273,EnrollData2324,'2324 Jun 24 Enroll'!E$1,FALSE),'District Calculations'!$F$12)*C273,3)</f>
        <v>60.447000000000003</v>
      </c>
      <c r="F273">
        <f>ROUND(IF(VLOOKUP($A273,EnrollData2324,'2324 Jun 24 Enroll'!F$1,FALSE)='District Calculations'!$F$13,VLOOKUP($A273,EnrollData2324,'2324 Jun 24 Enroll'!F$1,FALSE),'District Calculations'!$F$13)*Apport_222A2425,3)</f>
        <v>10.337999999999999</v>
      </c>
      <c r="G273">
        <f>ROUND(IF(VLOOKUP($A273,EnrollData2324,'2324 Jun 24 Enroll'!G$1,FALSE)='District Calculations'!$F$14,VLOOKUP($A273,EnrollData2324,'2324 Jun 24 Enroll'!G$1,FALSE),'District Calculations'!$F$14)*Apport_210A2425,3)</f>
        <v>22.92</v>
      </c>
      <c r="H273">
        <f>ROUND(IF(VLOOKUP($A273,EnrollData2324,'2324 Jun 24 Enroll'!H$1,FALSE)='District Calculations'!$F$15,VLOOKUP($A273,EnrollData2324,'2324 Jun 24 Enroll'!H$1,FALSE),'District Calculations'!$F$15)*Apport_213A2425,3)</f>
        <v>23.619</v>
      </c>
      <c r="I273">
        <f>ROUND(IF(VLOOKUP($A273,EnrollData2324,'2324 Jun 24 Enroll'!I$1,FALSE)+VLOOKUP($A273,EnrollData2324,'2324 Jun 24 Enroll'!M$1,FALSE)-VLOOKUP($A273,EnrollData2324,'2324 Jun 24 Enroll'!J$1,FALSE)='District Calculations'!$F$16+'District Calculations'!$F$25-'District Calculations'!$F$17,VLOOKUP($A273,EnrollData2324,'2324 Jun 24 Enroll'!I$1,FALSE)+VLOOKUP($A273,EnrollData2324,'2324 Jun 24 Enroll'!M$1,FALSE)-VLOOKUP($A273,EnrollData2324,'2324 Jun 24 Enroll'!J$1,FALSE),'District Calculations'!$F$16+'District Calculations'!$F$25-'District Calculations'!$F$17)*Apport_216A2425,3)</f>
        <v>59.057000000000002</v>
      </c>
      <c r="J273">
        <f>ROUND(SUM(D273:I273)/(IF(VLOOKUP($A273,EnrollData2324,'2324 Jun 24 Enroll'!M$1,FALSE)='District Calculations'!$F$25,VLOOKUP($A273,EnrollData2324,'2324 Jun 24 Enroll'!M$1,FALSE),'District Calculations'!$F$25)+IF(VLOOKUP($A273,EnrollData2324,'2324 Jun 24 Enroll'!D$1,FALSE)='District Calculations'!$F$11,VLOOKUP($A273,EnrollData2324,'2324 Jun 24 Enroll'!D$1,FALSE),'District Calculations'!$F$11)),5)</f>
        <v>5.6520000000000001E-2</v>
      </c>
      <c r="K273" s="11">
        <f t="shared" si="50"/>
        <v>4.385E-3</v>
      </c>
      <c r="L273">
        <f>ROUND(IF(VLOOKUP($A273,EnrollData2324,'2324 Jun 24 Enroll'!D$1,FALSE)='District Calculations'!$F$11,VLOOKUP($A273,EnrollData2324,'2324 Jun 24 Enroll'!D$1,FALSE),'District Calculations'!$F$11)*K273,3)</f>
        <v>0</v>
      </c>
      <c r="M273">
        <f>ROUND(IF(VLOOKUP($A273,EnrollData2324,'2324 Jun 24 Enroll'!E$1,FALSE)='District Calculations'!$F$12,VLOOKUP($A273,EnrollData2324,'2324 Jun 24 Enroll'!E$1,FALSE),'District Calculations'!$F$12)*K273,3)</f>
        <v>3.5539999999999998</v>
      </c>
      <c r="N273">
        <f>ROUND(IF(VLOOKUP($A273,EnrollData2324,'2324 Jun 24 Enroll'!F$1,FALSE)='District Calculations'!$F$13,VLOOKUP($A273,EnrollData2324,'2324 Jun 24 Enroll'!F$1,FALSE),'District Calculations'!$F$13)*Apport_223A2425,3)</f>
        <v>0.84599999999999997</v>
      </c>
      <c r="O273">
        <f>ROUND(IF(VLOOKUP($A273,EnrollData2324,'2324 Jun 24 Enroll'!G$1,FALSE)='District Calculations'!$F$14,VLOOKUP($A273,EnrollData2324,'2324 Jun 24 Enroll'!G$1,FALSE),'District Calculations'!$F$14)*Apport_211A2425,3)</f>
        <v>1.877</v>
      </c>
      <c r="P273">
        <f>ROUND(IF(VLOOKUP($A273,EnrollData2324,'2324 Jun 24 Enroll'!H$1,FALSE)='District Calculations'!$F$14,VLOOKUP($A273,EnrollData2324,'2324 Jun 24 Enroll'!H$1,FALSE),'District Calculations'!$F$14)*Apport_214A2425,3)</f>
        <v>1.875</v>
      </c>
      <c r="Q273">
        <f>ROUND(IF(VLOOKUP($A273,EnrollData2324,'2324 Jun 24 Enroll'!I$1,FALSE)+VLOOKUP($A273,EnrollData2324,'2324 Jun 24 Enroll'!M$1,FALSE)-VLOOKUP($A273,EnrollData2324,'2324 Jun 24 Enroll'!J$1,FALSE)='District Calculations'!$F$16+'District Calculations'!$F$25-'District Calculations'!$F$17,VLOOKUP($A273,EnrollData2324,'2324 Jun 24 Enroll'!I$1,FALSE)+VLOOKUP($A273,EnrollData2324,'2324 Jun 24 Enroll'!M$1,FALSE)-VLOOKUP($A273,EnrollData2324,'2324 Jun 24 Enroll'!J$1,FALSE),'District Calculations'!$F$16+'District Calculations'!$F$25-'District Calculations'!$F$17)*Apport_217A2425,3)</f>
        <v>4.7130000000000001</v>
      </c>
      <c r="R273">
        <f>ROUND(SUM(L273:Q273)/IF(VLOOKUP($A273,EnrollData2324,'2324 Jun 24 Enroll'!M$1,FALSE)+VLOOKUP($A273,EnrollData2324,'2324 Jun 24 Enroll'!D$1,FALSE)='District Calculations'!$F$25+'District Calculations'!$F$11,VLOOKUP($A273,EnrollData2324,'2324 Jun 24 Enroll'!M$1,FALSE)+VLOOKUP($A273,EnrollData2324,'2324 Jun 24 Enroll'!D$1,FALSE),'District Calculations'!$F$25+'District Calculations'!$F$11),5)</f>
        <v>4.1200000000000004E-3</v>
      </c>
      <c r="S273" s="11">
        <f t="shared" si="51"/>
        <v>1.8734299999999999E-2</v>
      </c>
      <c r="T273">
        <f>ROUND(IF(VLOOKUP($A273,EnrollData2324,'2324 Jun 24 Enroll'!D$1,FALSE)='District Calculations'!$F$11,VLOOKUP($A273,EnrollData2324,'2324 Jun 24 Enroll'!D$1,FALSE),'District Calculations'!$F$11)*S273,3)</f>
        <v>0</v>
      </c>
      <c r="U273">
        <f>ROUND(IF(VLOOKUP($A273,EnrollData2324,'2324 Jun 24 Enroll'!E$1,FALSE)='District Calculations'!$F$12,VLOOKUP($A273,EnrollData2324,'2324 Jun 24 Enroll'!E$1,FALSE),'District Calculations'!$F$12)*S273,3)</f>
        <v>15.183999999999999</v>
      </c>
      <c r="V273">
        <f>ROUND(IF(VLOOKUP($A273,EnrollData2324,'2324 Jun 24 Enroll'!F$1,FALSE)='District Calculations'!$F$13,VLOOKUP($A273,EnrollData2324,'2324 Jun 24 Enroll'!F$1,FALSE),'District Calculations'!$F$13)*Apport_224A2425,3)</f>
        <v>3.7109999999999999</v>
      </c>
      <c r="W273">
        <f>ROUND(IF(VLOOKUP($A273,EnrollData2324,'2324 Jun 24 Enroll'!G$1,FALSE)='District Calculations'!$F$14,VLOOKUP($A273,EnrollData2324,'2324 Jun 24 Enroll'!G$1,FALSE),'District Calculations'!$F$14)*Apport_212A2425,3)</f>
        <v>8.2279999999999998</v>
      </c>
      <c r="X273">
        <f>ROUND(IF(VLOOKUP($A273,EnrollData2324,'2324 Jun 24 Enroll'!H$1,FALSE)='District Calculations'!$F$14,VLOOKUP($A273,EnrollData2324,'2324 Jun 24 Enroll'!H$1,FALSE),'District Calculations'!$F$14)*Apport_215A2425,3)</f>
        <v>8.1180000000000003</v>
      </c>
      <c r="Y273">
        <f>ROUND(IF(VLOOKUP($A273,EnrollData2324,'2324 Jun 24 Enroll'!I$1,FALSE)+VLOOKUP($A273,EnrollData2324,'2324 Jun 24 Enroll'!M$1,FALSE)-VLOOKUP($A273,EnrollData2324,'2324 Jun 24 Enroll'!J$1,FALSE)='District Calculations'!$F$16+'District Calculations'!$F$25-'District Calculations'!$F$17,VLOOKUP($A273,EnrollData2324,'2324 Jun 24 Enroll'!I$1,FALSE)+VLOOKUP($A273,EnrollData2324,'2324 Jun 24 Enroll'!M$1,FALSE)-VLOOKUP($A273,EnrollData2324,'2324 Jun 24 Enroll'!J$1,FALSE),'District Calculations'!$F$16+'District Calculations'!$F$25-'District Calculations'!$F$17)*Apport_218A2425,3)</f>
        <v>20.257999999999999</v>
      </c>
      <c r="Z273">
        <f>ROUND(SUM(T273:Y273)/IF(VLOOKUP($A273,EnrollData2324,'2324 Jun 24 Enroll'!M$1,FALSE)+VLOOKUP($A273,EnrollData2324,'2324 Jun 24 Enroll'!D$1,FALSE)='District Calculations'!$F$25+'District Calculations'!$F$11,VLOOKUP($A273,EnrollData2324,'2324 Jun 24 Enroll'!M$1,FALSE)+VLOOKUP($A273,EnrollData2324,'2324 Jun 24 Enroll'!D$1,FALSE),'District Calculations'!$F$25+'District Calculations'!$F$11),5)</f>
        <v>1.7780000000000001E-2</v>
      </c>
      <c r="AA273" s="6">
        <f>ROUND($J273*CIS_Base_Salary2425*VLOOKUP($A273,EnrollData2324,'2324 Jun 24 Enroll'!AH$1,FALSE),2)</f>
        <v>4518.4399999999996</v>
      </c>
      <c r="AB273" s="6">
        <f>ROUND($J273*CIS_Inc_Salary2425*(VLOOKUP($A273,EnrollData2324,'2324 Jun 24 Enroll'!AI$1,FALSE)+VLOOKUP($A273,EnrollData2324,'2324 Jun 24 Enroll'!AJ$1,FALSE)),2)-AA273</f>
        <v>167.16000000000076</v>
      </c>
      <c r="AC273" s="6" cm="1">
        <f t="array" ref="AC273">ROUND($R273*CAS_Base_Salary2425*VLOOKUP($A273,EnrollData2324,'2324 Jun 24 Enroll'!AH$1,FALSE),2)</f>
        <v>488.91</v>
      </c>
      <c r="AD273" s="6">
        <f>ROUND($R273*CAS_Inc_Salary2425*VLOOKUP($A273,EnrollData2324,'2324 Jun 24 Enroll'!AI$1,FALSE),2)-AC273</f>
        <v>18.089999999999975</v>
      </c>
      <c r="AE273" s="6">
        <f>ROUND($Z273*CLS_Base_Salary2425*VLOOKUP($A273,EnrollData2324,'2324 Jun 24 Enroll'!AH$1,FALSE),2)</f>
        <v>1019.67</v>
      </c>
      <c r="AF273" s="6">
        <f>ROUND($Z273*CLS_Inc_Salary2425*VLOOKUP($A273,EnrollData2324,'2324 Jun 24 Enroll'!AI$1,FALSE),2)-AE273</f>
        <v>37.730000000000132</v>
      </c>
      <c r="AG273" cm="1">
        <f t="array" ref="AG273">ROUND(($J273+$R273)*Apport_124X2425,2)</f>
        <v>800.45</v>
      </c>
      <c r="AH273" s="69" cm="1">
        <f t="array" ref="AH273">ROUND(($J273+$R273)*Apport_621X2425*Apport_125XC2425,2)-AG273</f>
        <v>73.899999999999977</v>
      </c>
      <c r="AI273" cm="1">
        <f t="array" ref="AI273">ROUND($Z273*Apport_124X2425,2)</f>
        <v>234.7</v>
      </c>
      <c r="AJ273">
        <f t="shared" si="52"/>
        <v>124.71000000000004</v>
      </c>
      <c r="AK273">
        <f t="shared" si="53"/>
        <v>908.83</v>
      </c>
      <c r="AL273">
        <f t="shared" si="54"/>
        <v>32.44</v>
      </c>
      <c r="AM273">
        <f t="shared" si="55"/>
        <v>220.86</v>
      </c>
      <c r="AN273">
        <f t="shared" si="56"/>
        <v>6.85</v>
      </c>
      <c r="AO273">
        <f>ROUND(($J273*CIS_Inc_Salary2425*(VLOOKUP($A273,EnrollData2324,'2324 Jun 24 Enroll'!AI$1,FALSE)+VLOOKUP($A273,EnrollData2324,'2324 Jun 24 Enroll'!AJ$1,FALSE))/Apport_613Xpd)*Apport_614Xpd,2)</f>
        <v>78.09</v>
      </c>
      <c r="AP273">
        <f t="shared" si="57"/>
        <v>13.67</v>
      </c>
      <c r="AQ273">
        <f t="shared" si="58"/>
        <v>31.48</v>
      </c>
      <c r="AR273" s="6">
        <f>ROUND((VLOOKUP($A273,EnrollData2324,'2324 Jun 24 Enroll'!D$1,FALSE)*Apport_M802425+VLOOKUP($A273,EnrollData2324,'2324 Jun 24 Enroll'!M$1,FALSE)*Apport_M802425+(VLOOKUP($A273,EnrollData2324,'2324 Jun 24 Enroll'!P$1,FALSE)+VLOOKUP($A273,EnrollData2324,'2324 Jun 24 Enroll'!Q$1,FALSE)+VLOOKUP($A273,EnrollData2324,'2324 Jun 24 Enroll'!R$1,FALSE)+VLOOKUP($A273,EnrollData2324,'2324 Jun 24 Enroll'!I$1,FALSE)+VLOOKUP($A273,EnrollData2324,'2324 Jun 24 Enroll'!N$1,FALSE)+VLOOKUP($A273,EnrollData2324,'2324 Jun 24 Enroll'!O$1,FALSE)+VLOOKUP($A273,EnrollData2324,'2324 Jun 24 Enroll'!K$1,FALSE)+VLOOKUP($A273,EnrollData2324,'2324 Jun 24 Enroll'!L$1,FALSE))*Apport_M812425)/(VLOOKUP($A273,EnrollData2324,'2324 Jun 24 Enroll'!M$1,FALSE)+VLOOKUP($A273,EnrollData2324,'2324 Jun 24 Enroll'!D$1,FALSE)),2)</f>
        <v>1597.38</v>
      </c>
      <c r="AS273" s="7">
        <f t="shared" si="59"/>
        <v>10373.36</v>
      </c>
    </row>
    <row r="274" spans="1:45">
      <c r="A274" s="40" t="s">
        <v>637</v>
      </c>
      <c r="B274" s="40" t="s">
        <v>638</v>
      </c>
      <c r="C274" s="11">
        <f>ROUND((IFERROR((1/IF(VLOOKUP($A274,EnrollData2324,28,FALSE)='District Calculations'!$F$10,VLOOKUP($A274,EnrollData2324,28,FALSE),'District Calculations'!$F$10))*(1+Apport_Z315),0))+Apport_201A2425,6)</f>
        <v>7.4580999999999995E-2</v>
      </c>
      <c r="D274">
        <f>ROUND(IF(VLOOKUP($A274,EnrollData2324,'2324 Jun 24 Enroll'!D$1,FALSE)='District Calculations'!$F$11,VLOOKUP($A274,EnrollData2324,'2324 Jun 24 Enroll'!D$1,FALSE),'District Calculations'!$F$11)*C274,3)</f>
        <v>0</v>
      </c>
      <c r="E274">
        <f>ROUND(IF(VLOOKUP($A274,EnrollData2324,'2324 Jun 24 Enroll'!E$1,FALSE)='District Calculations'!$F$12,VLOOKUP($A274,EnrollData2324,'2324 Jun 24 Enroll'!E$1,FALSE),'District Calculations'!$F$12)*C274,3)</f>
        <v>60.447000000000003</v>
      </c>
      <c r="F274">
        <f>ROUND(IF(VLOOKUP($A274,EnrollData2324,'2324 Jun 24 Enroll'!F$1,FALSE)='District Calculations'!$F$13,VLOOKUP($A274,EnrollData2324,'2324 Jun 24 Enroll'!F$1,FALSE),'District Calculations'!$F$13)*Apport_222A2425,3)</f>
        <v>10.337999999999999</v>
      </c>
      <c r="G274">
        <f>ROUND(IF(VLOOKUP($A274,EnrollData2324,'2324 Jun 24 Enroll'!G$1,FALSE)='District Calculations'!$F$14,VLOOKUP($A274,EnrollData2324,'2324 Jun 24 Enroll'!G$1,FALSE),'District Calculations'!$F$14)*Apport_210A2425,3)</f>
        <v>22.92</v>
      </c>
      <c r="H274">
        <f>ROUND(IF(VLOOKUP($A274,EnrollData2324,'2324 Jun 24 Enroll'!H$1,FALSE)='District Calculations'!$F$15,VLOOKUP($A274,EnrollData2324,'2324 Jun 24 Enroll'!H$1,FALSE),'District Calculations'!$F$15)*Apport_213A2425,3)</f>
        <v>23.619</v>
      </c>
      <c r="I274">
        <f>ROUND(IF(VLOOKUP($A274,EnrollData2324,'2324 Jun 24 Enroll'!I$1,FALSE)+VLOOKUP($A274,EnrollData2324,'2324 Jun 24 Enroll'!M$1,FALSE)-VLOOKUP($A274,EnrollData2324,'2324 Jun 24 Enroll'!J$1,FALSE)='District Calculations'!$F$16+'District Calculations'!$F$25-'District Calculations'!$F$17,VLOOKUP($A274,EnrollData2324,'2324 Jun 24 Enroll'!I$1,FALSE)+VLOOKUP($A274,EnrollData2324,'2324 Jun 24 Enroll'!M$1,FALSE)-VLOOKUP($A274,EnrollData2324,'2324 Jun 24 Enroll'!J$1,FALSE),'District Calculations'!$F$16+'District Calculations'!$F$25-'District Calculations'!$F$17)*Apport_216A2425,3)</f>
        <v>59.057000000000002</v>
      </c>
      <c r="J274">
        <f>ROUND(SUM(D274:I274)/(IF(VLOOKUP($A274,EnrollData2324,'2324 Jun 24 Enroll'!M$1,FALSE)='District Calculations'!$F$25,VLOOKUP($A274,EnrollData2324,'2324 Jun 24 Enroll'!M$1,FALSE),'District Calculations'!$F$25)+IF(VLOOKUP($A274,EnrollData2324,'2324 Jun 24 Enroll'!D$1,FALSE)='District Calculations'!$F$11,VLOOKUP($A274,EnrollData2324,'2324 Jun 24 Enroll'!D$1,FALSE),'District Calculations'!$F$11)),5)</f>
        <v>5.6520000000000001E-2</v>
      </c>
      <c r="K274" s="11">
        <f t="shared" si="50"/>
        <v>4.385E-3</v>
      </c>
      <c r="L274">
        <f>ROUND(IF(VLOOKUP($A274,EnrollData2324,'2324 Jun 24 Enroll'!D$1,FALSE)='District Calculations'!$F$11,VLOOKUP($A274,EnrollData2324,'2324 Jun 24 Enroll'!D$1,FALSE),'District Calculations'!$F$11)*K274,3)</f>
        <v>0</v>
      </c>
      <c r="M274">
        <f>ROUND(IF(VLOOKUP($A274,EnrollData2324,'2324 Jun 24 Enroll'!E$1,FALSE)='District Calculations'!$F$12,VLOOKUP($A274,EnrollData2324,'2324 Jun 24 Enroll'!E$1,FALSE),'District Calculations'!$F$12)*K274,3)</f>
        <v>3.5539999999999998</v>
      </c>
      <c r="N274">
        <f>ROUND(IF(VLOOKUP($A274,EnrollData2324,'2324 Jun 24 Enroll'!F$1,FALSE)='District Calculations'!$F$13,VLOOKUP($A274,EnrollData2324,'2324 Jun 24 Enroll'!F$1,FALSE),'District Calculations'!$F$13)*Apport_223A2425,3)</f>
        <v>0.84599999999999997</v>
      </c>
      <c r="O274">
        <f>ROUND(IF(VLOOKUP($A274,EnrollData2324,'2324 Jun 24 Enroll'!G$1,FALSE)='District Calculations'!$F$14,VLOOKUP($A274,EnrollData2324,'2324 Jun 24 Enroll'!G$1,FALSE),'District Calculations'!$F$14)*Apport_211A2425,3)</f>
        <v>1.877</v>
      </c>
      <c r="P274">
        <f>ROUND(IF(VLOOKUP($A274,EnrollData2324,'2324 Jun 24 Enroll'!H$1,FALSE)='District Calculations'!$F$14,VLOOKUP($A274,EnrollData2324,'2324 Jun 24 Enroll'!H$1,FALSE),'District Calculations'!$F$14)*Apport_214A2425,3)</f>
        <v>1.875</v>
      </c>
      <c r="Q274">
        <f>ROUND(IF(VLOOKUP($A274,EnrollData2324,'2324 Jun 24 Enroll'!I$1,FALSE)+VLOOKUP($A274,EnrollData2324,'2324 Jun 24 Enroll'!M$1,FALSE)-VLOOKUP($A274,EnrollData2324,'2324 Jun 24 Enroll'!J$1,FALSE)='District Calculations'!$F$16+'District Calculations'!$F$25-'District Calculations'!$F$17,VLOOKUP($A274,EnrollData2324,'2324 Jun 24 Enroll'!I$1,FALSE)+VLOOKUP($A274,EnrollData2324,'2324 Jun 24 Enroll'!M$1,FALSE)-VLOOKUP($A274,EnrollData2324,'2324 Jun 24 Enroll'!J$1,FALSE),'District Calculations'!$F$16+'District Calculations'!$F$25-'District Calculations'!$F$17)*Apport_217A2425,3)</f>
        <v>4.7130000000000001</v>
      </c>
      <c r="R274">
        <f>ROUND(SUM(L274:Q274)/IF(VLOOKUP($A274,EnrollData2324,'2324 Jun 24 Enroll'!M$1,FALSE)+VLOOKUP($A274,EnrollData2324,'2324 Jun 24 Enroll'!D$1,FALSE)='District Calculations'!$F$25+'District Calculations'!$F$11,VLOOKUP($A274,EnrollData2324,'2324 Jun 24 Enroll'!M$1,FALSE)+VLOOKUP($A274,EnrollData2324,'2324 Jun 24 Enroll'!D$1,FALSE),'District Calculations'!$F$25+'District Calculations'!$F$11),5)</f>
        <v>4.1200000000000004E-3</v>
      </c>
      <c r="S274" s="11">
        <f t="shared" si="51"/>
        <v>1.8734299999999999E-2</v>
      </c>
      <c r="T274">
        <f>ROUND(IF(VLOOKUP($A274,EnrollData2324,'2324 Jun 24 Enroll'!D$1,FALSE)='District Calculations'!$F$11,VLOOKUP($A274,EnrollData2324,'2324 Jun 24 Enroll'!D$1,FALSE),'District Calculations'!$F$11)*S274,3)</f>
        <v>0</v>
      </c>
      <c r="U274">
        <f>ROUND(IF(VLOOKUP($A274,EnrollData2324,'2324 Jun 24 Enroll'!E$1,FALSE)='District Calculations'!$F$12,VLOOKUP($A274,EnrollData2324,'2324 Jun 24 Enroll'!E$1,FALSE),'District Calculations'!$F$12)*S274,3)</f>
        <v>15.183999999999999</v>
      </c>
      <c r="V274">
        <f>ROUND(IF(VLOOKUP($A274,EnrollData2324,'2324 Jun 24 Enroll'!F$1,FALSE)='District Calculations'!$F$13,VLOOKUP($A274,EnrollData2324,'2324 Jun 24 Enroll'!F$1,FALSE),'District Calculations'!$F$13)*Apport_224A2425,3)</f>
        <v>3.7109999999999999</v>
      </c>
      <c r="W274">
        <f>ROUND(IF(VLOOKUP($A274,EnrollData2324,'2324 Jun 24 Enroll'!G$1,FALSE)='District Calculations'!$F$14,VLOOKUP($A274,EnrollData2324,'2324 Jun 24 Enroll'!G$1,FALSE),'District Calculations'!$F$14)*Apport_212A2425,3)</f>
        <v>8.2279999999999998</v>
      </c>
      <c r="X274">
        <f>ROUND(IF(VLOOKUP($A274,EnrollData2324,'2324 Jun 24 Enroll'!H$1,FALSE)='District Calculations'!$F$14,VLOOKUP($A274,EnrollData2324,'2324 Jun 24 Enroll'!H$1,FALSE),'District Calculations'!$F$14)*Apport_215A2425,3)</f>
        <v>8.1180000000000003</v>
      </c>
      <c r="Y274">
        <f>ROUND(IF(VLOOKUP($A274,EnrollData2324,'2324 Jun 24 Enroll'!I$1,FALSE)+VLOOKUP($A274,EnrollData2324,'2324 Jun 24 Enroll'!M$1,FALSE)-VLOOKUP($A274,EnrollData2324,'2324 Jun 24 Enroll'!J$1,FALSE)='District Calculations'!$F$16+'District Calculations'!$F$25-'District Calculations'!$F$17,VLOOKUP($A274,EnrollData2324,'2324 Jun 24 Enroll'!I$1,FALSE)+VLOOKUP($A274,EnrollData2324,'2324 Jun 24 Enroll'!M$1,FALSE)-VLOOKUP($A274,EnrollData2324,'2324 Jun 24 Enroll'!J$1,FALSE),'District Calculations'!$F$16+'District Calculations'!$F$25-'District Calculations'!$F$17)*Apport_218A2425,3)</f>
        <v>20.257999999999999</v>
      </c>
      <c r="Z274">
        <f>ROUND(SUM(T274:Y274)/IF(VLOOKUP($A274,EnrollData2324,'2324 Jun 24 Enroll'!M$1,FALSE)+VLOOKUP($A274,EnrollData2324,'2324 Jun 24 Enroll'!D$1,FALSE)='District Calculations'!$F$25+'District Calculations'!$F$11,VLOOKUP($A274,EnrollData2324,'2324 Jun 24 Enroll'!M$1,FALSE)+VLOOKUP($A274,EnrollData2324,'2324 Jun 24 Enroll'!D$1,FALSE),'District Calculations'!$F$25+'District Calculations'!$F$11),5)</f>
        <v>1.7780000000000001E-2</v>
      </c>
      <c r="AA274" s="6">
        <f>ROUND($J274*CIS_Base_Salary2425*VLOOKUP($A274,EnrollData2324,'2324 Jun 24 Enroll'!AH$1,FALSE),2)</f>
        <v>4262.68</v>
      </c>
      <c r="AB274" s="6">
        <f>ROUND($J274*CIS_Inc_Salary2425*(VLOOKUP($A274,EnrollData2324,'2324 Jun 24 Enroll'!AI$1,FALSE)+VLOOKUP($A274,EnrollData2324,'2324 Jun 24 Enroll'!AJ$1,FALSE)),2)-AA274</f>
        <v>157.6899999999996</v>
      </c>
      <c r="AC274" s="6" cm="1">
        <f t="array" ref="AC274">ROUND($R274*CAS_Base_Salary2425*VLOOKUP($A274,EnrollData2324,'2324 Jun 24 Enroll'!AH$1,FALSE),2)</f>
        <v>461.23</v>
      </c>
      <c r="AD274" s="6">
        <f>ROUND($R274*CAS_Inc_Salary2425*VLOOKUP($A274,EnrollData2324,'2324 Jun 24 Enroll'!AI$1,FALSE),2)-AC274</f>
        <v>17.069999999999993</v>
      </c>
      <c r="AE274" s="6">
        <f>ROUND($Z274*CLS_Base_Salary2425*VLOOKUP($A274,EnrollData2324,'2324 Jun 24 Enroll'!AH$1,FALSE),2)</f>
        <v>961.95</v>
      </c>
      <c r="AF274" s="6">
        <f>ROUND($Z274*CLS_Inc_Salary2425*VLOOKUP($A274,EnrollData2324,'2324 Jun 24 Enroll'!AI$1,FALSE),2)-AE274</f>
        <v>35.599999999999909</v>
      </c>
      <c r="AG274" cm="1">
        <f t="array" ref="AG274">ROUND(($J274+$R274)*Apport_124X2425,2)</f>
        <v>800.45</v>
      </c>
      <c r="AH274" s="69" cm="1">
        <f t="array" ref="AH274">ROUND(($J274+$R274)*Apport_621X2425*Apport_125XC2425,2)-AG274</f>
        <v>73.899999999999977</v>
      </c>
      <c r="AI274" cm="1">
        <f t="array" ref="AI274">ROUND($Z274*Apport_124X2425,2)</f>
        <v>234.7</v>
      </c>
      <c r="AJ274">
        <f t="shared" si="52"/>
        <v>124.71000000000004</v>
      </c>
      <c r="AK274">
        <f t="shared" si="53"/>
        <v>857.39</v>
      </c>
      <c r="AL274">
        <f t="shared" si="54"/>
        <v>30.6</v>
      </c>
      <c r="AM274">
        <f t="shared" si="55"/>
        <v>208.36</v>
      </c>
      <c r="AN274">
        <f t="shared" si="56"/>
        <v>6.46</v>
      </c>
      <c r="AO274">
        <f>ROUND(($J274*CIS_Inc_Salary2425*(VLOOKUP($A274,EnrollData2324,'2324 Jun 24 Enroll'!AI$1,FALSE)+VLOOKUP($A274,EnrollData2324,'2324 Jun 24 Enroll'!AJ$1,FALSE))/Apport_613Xpd)*Apport_614Xpd,2)</f>
        <v>73.67</v>
      </c>
      <c r="AP274">
        <f t="shared" si="57"/>
        <v>12.9</v>
      </c>
      <c r="AQ274">
        <f t="shared" si="58"/>
        <v>31.48</v>
      </c>
      <c r="AR274" s="6">
        <f>ROUND((VLOOKUP($A274,EnrollData2324,'2324 Jun 24 Enroll'!D$1,FALSE)*Apport_M802425+VLOOKUP($A274,EnrollData2324,'2324 Jun 24 Enroll'!M$1,FALSE)*Apport_M802425+(VLOOKUP($A274,EnrollData2324,'2324 Jun 24 Enroll'!P$1,FALSE)+VLOOKUP($A274,EnrollData2324,'2324 Jun 24 Enroll'!Q$1,FALSE)+VLOOKUP($A274,EnrollData2324,'2324 Jun 24 Enroll'!R$1,FALSE)+VLOOKUP($A274,EnrollData2324,'2324 Jun 24 Enroll'!I$1,FALSE)+VLOOKUP($A274,EnrollData2324,'2324 Jun 24 Enroll'!N$1,FALSE)+VLOOKUP($A274,EnrollData2324,'2324 Jun 24 Enroll'!O$1,FALSE)+VLOOKUP($A274,EnrollData2324,'2324 Jun 24 Enroll'!K$1,FALSE)+VLOOKUP($A274,EnrollData2324,'2324 Jun 24 Enroll'!L$1,FALSE))*Apport_M812425)/(VLOOKUP($A274,EnrollData2324,'2324 Jun 24 Enroll'!M$1,FALSE)+VLOOKUP($A274,EnrollData2324,'2324 Jun 24 Enroll'!D$1,FALSE)),2)</f>
        <v>1600.09</v>
      </c>
      <c r="AS274" s="7">
        <f t="shared" si="59"/>
        <v>9950.9299999999985</v>
      </c>
    </row>
    <row r="275" spans="1:45">
      <c r="A275" s="40" t="s">
        <v>311</v>
      </c>
      <c r="B275" s="40" t="s">
        <v>312</v>
      </c>
      <c r="C275" s="11">
        <f>ROUND((IFERROR((1/IF(VLOOKUP($A275,EnrollData2324,28,FALSE)='District Calculations'!$F$10,VLOOKUP($A275,EnrollData2324,28,FALSE),'District Calculations'!$F$10))*(1+Apport_Z315),0))+Apport_201A2425,6)</f>
        <v>7.4580999999999995E-2</v>
      </c>
      <c r="D275">
        <f>ROUND(IF(VLOOKUP($A275,EnrollData2324,'2324 Jun 24 Enroll'!D$1,FALSE)='District Calculations'!$F$11,VLOOKUP($A275,EnrollData2324,'2324 Jun 24 Enroll'!D$1,FALSE),'District Calculations'!$F$11)*C275,3)</f>
        <v>0</v>
      </c>
      <c r="E275">
        <f>ROUND(IF(VLOOKUP($A275,EnrollData2324,'2324 Jun 24 Enroll'!E$1,FALSE)='District Calculations'!$F$12,VLOOKUP($A275,EnrollData2324,'2324 Jun 24 Enroll'!E$1,FALSE),'District Calculations'!$F$12)*C275,3)</f>
        <v>60.447000000000003</v>
      </c>
      <c r="F275">
        <f>ROUND(IF(VLOOKUP($A275,EnrollData2324,'2324 Jun 24 Enroll'!F$1,FALSE)='District Calculations'!$F$13,VLOOKUP($A275,EnrollData2324,'2324 Jun 24 Enroll'!F$1,FALSE),'District Calculations'!$F$13)*Apport_222A2425,3)</f>
        <v>10.337999999999999</v>
      </c>
      <c r="G275">
        <f>ROUND(IF(VLOOKUP($A275,EnrollData2324,'2324 Jun 24 Enroll'!G$1,FALSE)='District Calculations'!$F$14,VLOOKUP($A275,EnrollData2324,'2324 Jun 24 Enroll'!G$1,FALSE),'District Calculations'!$F$14)*Apport_210A2425,3)</f>
        <v>22.92</v>
      </c>
      <c r="H275">
        <f>ROUND(IF(VLOOKUP($A275,EnrollData2324,'2324 Jun 24 Enroll'!H$1,FALSE)='District Calculations'!$F$15,VLOOKUP($A275,EnrollData2324,'2324 Jun 24 Enroll'!H$1,FALSE),'District Calculations'!$F$15)*Apport_213A2425,3)</f>
        <v>23.619</v>
      </c>
      <c r="I275">
        <f>ROUND(IF(VLOOKUP($A275,EnrollData2324,'2324 Jun 24 Enroll'!I$1,FALSE)+VLOOKUP($A275,EnrollData2324,'2324 Jun 24 Enroll'!M$1,FALSE)-VLOOKUP($A275,EnrollData2324,'2324 Jun 24 Enroll'!J$1,FALSE)='District Calculations'!$F$16+'District Calculations'!$F$25-'District Calculations'!$F$17,VLOOKUP($A275,EnrollData2324,'2324 Jun 24 Enroll'!I$1,FALSE)+VLOOKUP($A275,EnrollData2324,'2324 Jun 24 Enroll'!M$1,FALSE)-VLOOKUP($A275,EnrollData2324,'2324 Jun 24 Enroll'!J$1,FALSE),'District Calculations'!$F$16+'District Calculations'!$F$25-'District Calculations'!$F$17)*Apport_216A2425,3)</f>
        <v>59.057000000000002</v>
      </c>
      <c r="J275">
        <f>ROUND(SUM(D275:I275)/(IF(VLOOKUP($A275,EnrollData2324,'2324 Jun 24 Enroll'!M$1,FALSE)='District Calculations'!$F$25,VLOOKUP($A275,EnrollData2324,'2324 Jun 24 Enroll'!M$1,FALSE),'District Calculations'!$F$25)+IF(VLOOKUP($A275,EnrollData2324,'2324 Jun 24 Enroll'!D$1,FALSE)='District Calculations'!$F$11,VLOOKUP($A275,EnrollData2324,'2324 Jun 24 Enroll'!D$1,FALSE),'District Calculations'!$F$11)),5)</f>
        <v>5.6520000000000001E-2</v>
      </c>
      <c r="K275" s="11">
        <f t="shared" si="50"/>
        <v>4.385E-3</v>
      </c>
      <c r="L275">
        <f>ROUND(IF(VLOOKUP($A275,EnrollData2324,'2324 Jun 24 Enroll'!D$1,FALSE)='District Calculations'!$F$11,VLOOKUP($A275,EnrollData2324,'2324 Jun 24 Enroll'!D$1,FALSE),'District Calculations'!$F$11)*K275,3)</f>
        <v>0</v>
      </c>
      <c r="M275">
        <f>ROUND(IF(VLOOKUP($A275,EnrollData2324,'2324 Jun 24 Enroll'!E$1,FALSE)='District Calculations'!$F$12,VLOOKUP($A275,EnrollData2324,'2324 Jun 24 Enroll'!E$1,FALSE),'District Calculations'!$F$12)*K275,3)</f>
        <v>3.5539999999999998</v>
      </c>
      <c r="N275">
        <f>ROUND(IF(VLOOKUP($A275,EnrollData2324,'2324 Jun 24 Enroll'!F$1,FALSE)='District Calculations'!$F$13,VLOOKUP($A275,EnrollData2324,'2324 Jun 24 Enroll'!F$1,FALSE),'District Calculations'!$F$13)*Apport_223A2425,3)</f>
        <v>0.84599999999999997</v>
      </c>
      <c r="O275">
        <f>ROUND(IF(VLOOKUP($A275,EnrollData2324,'2324 Jun 24 Enroll'!G$1,FALSE)='District Calculations'!$F$14,VLOOKUP($A275,EnrollData2324,'2324 Jun 24 Enroll'!G$1,FALSE),'District Calculations'!$F$14)*Apport_211A2425,3)</f>
        <v>1.877</v>
      </c>
      <c r="P275">
        <f>ROUND(IF(VLOOKUP($A275,EnrollData2324,'2324 Jun 24 Enroll'!H$1,FALSE)='District Calculations'!$F$14,VLOOKUP($A275,EnrollData2324,'2324 Jun 24 Enroll'!H$1,FALSE),'District Calculations'!$F$14)*Apport_214A2425,3)</f>
        <v>1.875</v>
      </c>
      <c r="Q275">
        <f>ROUND(IF(VLOOKUP($A275,EnrollData2324,'2324 Jun 24 Enroll'!I$1,FALSE)+VLOOKUP($A275,EnrollData2324,'2324 Jun 24 Enroll'!M$1,FALSE)-VLOOKUP($A275,EnrollData2324,'2324 Jun 24 Enroll'!J$1,FALSE)='District Calculations'!$F$16+'District Calculations'!$F$25-'District Calculations'!$F$17,VLOOKUP($A275,EnrollData2324,'2324 Jun 24 Enroll'!I$1,FALSE)+VLOOKUP($A275,EnrollData2324,'2324 Jun 24 Enroll'!M$1,FALSE)-VLOOKUP($A275,EnrollData2324,'2324 Jun 24 Enroll'!J$1,FALSE),'District Calculations'!$F$16+'District Calculations'!$F$25-'District Calculations'!$F$17)*Apport_217A2425,3)</f>
        <v>4.7130000000000001</v>
      </c>
      <c r="R275">
        <f>ROUND(SUM(L275:Q275)/IF(VLOOKUP($A275,EnrollData2324,'2324 Jun 24 Enroll'!M$1,FALSE)+VLOOKUP($A275,EnrollData2324,'2324 Jun 24 Enroll'!D$1,FALSE)='District Calculations'!$F$25+'District Calculations'!$F$11,VLOOKUP($A275,EnrollData2324,'2324 Jun 24 Enroll'!M$1,FALSE)+VLOOKUP($A275,EnrollData2324,'2324 Jun 24 Enroll'!D$1,FALSE),'District Calculations'!$F$25+'District Calculations'!$F$11),5)</f>
        <v>4.1200000000000004E-3</v>
      </c>
      <c r="S275" s="11">
        <f t="shared" si="51"/>
        <v>1.8734299999999999E-2</v>
      </c>
      <c r="T275">
        <f>ROUND(IF(VLOOKUP($A275,EnrollData2324,'2324 Jun 24 Enroll'!D$1,FALSE)='District Calculations'!$F$11,VLOOKUP($A275,EnrollData2324,'2324 Jun 24 Enroll'!D$1,FALSE),'District Calculations'!$F$11)*S275,3)</f>
        <v>0</v>
      </c>
      <c r="U275">
        <f>ROUND(IF(VLOOKUP($A275,EnrollData2324,'2324 Jun 24 Enroll'!E$1,FALSE)='District Calculations'!$F$12,VLOOKUP($A275,EnrollData2324,'2324 Jun 24 Enroll'!E$1,FALSE),'District Calculations'!$F$12)*S275,3)</f>
        <v>15.183999999999999</v>
      </c>
      <c r="V275">
        <f>ROUND(IF(VLOOKUP($A275,EnrollData2324,'2324 Jun 24 Enroll'!F$1,FALSE)='District Calculations'!$F$13,VLOOKUP($A275,EnrollData2324,'2324 Jun 24 Enroll'!F$1,FALSE),'District Calculations'!$F$13)*Apport_224A2425,3)</f>
        <v>3.7109999999999999</v>
      </c>
      <c r="W275">
        <f>ROUND(IF(VLOOKUP($A275,EnrollData2324,'2324 Jun 24 Enroll'!G$1,FALSE)='District Calculations'!$F$14,VLOOKUP($A275,EnrollData2324,'2324 Jun 24 Enroll'!G$1,FALSE),'District Calculations'!$F$14)*Apport_212A2425,3)</f>
        <v>8.2279999999999998</v>
      </c>
      <c r="X275">
        <f>ROUND(IF(VLOOKUP($A275,EnrollData2324,'2324 Jun 24 Enroll'!H$1,FALSE)='District Calculations'!$F$14,VLOOKUP($A275,EnrollData2324,'2324 Jun 24 Enroll'!H$1,FALSE),'District Calculations'!$F$14)*Apport_215A2425,3)</f>
        <v>8.1180000000000003</v>
      </c>
      <c r="Y275">
        <f>ROUND(IF(VLOOKUP($A275,EnrollData2324,'2324 Jun 24 Enroll'!I$1,FALSE)+VLOOKUP($A275,EnrollData2324,'2324 Jun 24 Enroll'!M$1,FALSE)-VLOOKUP($A275,EnrollData2324,'2324 Jun 24 Enroll'!J$1,FALSE)='District Calculations'!$F$16+'District Calculations'!$F$25-'District Calculations'!$F$17,VLOOKUP($A275,EnrollData2324,'2324 Jun 24 Enroll'!I$1,FALSE)+VLOOKUP($A275,EnrollData2324,'2324 Jun 24 Enroll'!M$1,FALSE)-VLOOKUP($A275,EnrollData2324,'2324 Jun 24 Enroll'!J$1,FALSE),'District Calculations'!$F$16+'District Calculations'!$F$25-'District Calculations'!$F$17)*Apport_218A2425,3)</f>
        <v>20.257999999999999</v>
      </c>
      <c r="Z275">
        <f>ROUND(SUM(T275:Y275)/IF(VLOOKUP($A275,EnrollData2324,'2324 Jun 24 Enroll'!M$1,FALSE)+VLOOKUP($A275,EnrollData2324,'2324 Jun 24 Enroll'!D$1,FALSE)='District Calculations'!$F$25+'District Calculations'!$F$11,VLOOKUP($A275,EnrollData2324,'2324 Jun 24 Enroll'!M$1,FALSE)+VLOOKUP($A275,EnrollData2324,'2324 Jun 24 Enroll'!D$1,FALSE),'District Calculations'!$F$25+'District Calculations'!$F$11),5)</f>
        <v>1.7780000000000001E-2</v>
      </c>
      <c r="AA275" s="6">
        <f>ROUND($J275*CIS_Base_Salary2425*VLOOKUP($A275,EnrollData2324,'2324 Jun 24 Enroll'!AH$1,FALSE),2)</f>
        <v>4262.68</v>
      </c>
      <c r="AB275" s="6">
        <f>ROUND($J275*CIS_Inc_Salary2425*(VLOOKUP($A275,EnrollData2324,'2324 Jun 24 Enroll'!AI$1,FALSE)+VLOOKUP($A275,EnrollData2324,'2324 Jun 24 Enroll'!AJ$1,FALSE)),2)-AA275</f>
        <v>157.6899999999996</v>
      </c>
      <c r="AC275" s="6" cm="1">
        <f t="array" ref="AC275">ROUND($R275*CAS_Base_Salary2425*VLOOKUP($A275,EnrollData2324,'2324 Jun 24 Enroll'!AH$1,FALSE),2)</f>
        <v>461.23</v>
      </c>
      <c r="AD275" s="6">
        <f>ROUND($R275*CAS_Inc_Salary2425*VLOOKUP($A275,EnrollData2324,'2324 Jun 24 Enroll'!AI$1,FALSE),2)-AC275</f>
        <v>17.069999999999993</v>
      </c>
      <c r="AE275" s="6">
        <f>ROUND($Z275*CLS_Base_Salary2425*VLOOKUP($A275,EnrollData2324,'2324 Jun 24 Enroll'!AH$1,FALSE),2)</f>
        <v>961.95</v>
      </c>
      <c r="AF275" s="6">
        <f>ROUND($Z275*CLS_Inc_Salary2425*VLOOKUP($A275,EnrollData2324,'2324 Jun 24 Enroll'!AI$1,FALSE),2)-AE275</f>
        <v>35.599999999999909</v>
      </c>
      <c r="AG275" cm="1">
        <f t="array" ref="AG275">ROUND(($J275+$R275)*Apport_124X2425,2)</f>
        <v>800.45</v>
      </c>
      <c r="AH275" s="69" cm="1">
        <f t="array" ref="AH275">ROUND(($J275+$R275)*Apport_621X2425*Apport_125XC2425,2)-AG275</f>
        <v>73.899999999999977</v>
      </c>
      <c r="AI275" cm="1">
        <f t="array" ref="AI275">ROUND($Z275*Apport_124X2425,2)</f>
        <v>234.7</v>
      </c>
      <c r="AJ275">
        <f t="shared" si="52"/>
        <v>124.71000000000004</v>
      </c>
      <c r="AK275">
        <f t="shared" si="53"/>
        <v>857.39</v>
      </c>
      <c r="AL275">
        <f t="shared" si="54"/>
        <v>30.6</v>
      </c>
      <c r="AM275">
        <f t="shared" si="55"/>
        <v>208.36</v>
      </c>
      <c r="AN275">
        <f t="shared" si="56"/>
        <v>6.46</v>
      </c>
      <c r="AO275">
        <f>ROUND(($J275*CIS_Inc_Salary2425*(VLOOKUP($A275,EnrollData2324,'2324 Jun 24 Enroll'!AI$1,FALSE)+VLOOKUP($A275,EnrollData2324,'2324 Jun 24 Enroll'!AJ$1,FALSE))/Apport_613Xpd)*Apport_614Xpd,2)</f>
        <v>73.67</v>
      </c>
      <c r="AP275">
        <f t="shared" si="57"/>
        <v>12.9</v>
      </c>
      <c r="AQ275">
        <f t="shared" si="58"/>
        <v>31.48</v>
      </c>
      <c r="AR275" s="6">
        <f>ROUND((VLOOKUP($A275,EnrollData2324,'2324 Jun 24 Enroll'!D$1,FALSE)*Apport_M802425+VLOOKUP($A275,EnrollData2324,'2324 Jun 24 Enroll'!M$1,FALSE)*Apport_M802425+(VLOOKUP($A275,EnrollData2324,'2324 Jun 24 Enroll'!P$1,FALSE)+VLOOKUP($A275,EnrollData2324,'2324 Jun 24 Enroll'!Q$1,FALSE)+VLOOKUP($A275,EnrollData2324,'2324 Jun 24 Enroll'!R$1,FALSE)+VLOOKUP($A275,EnrollData2324,'2324 Jun 24 Enroll'!I$1,FALSE)+VLOOKUP($A275,EnrollData2324,'2324 Jun 24 Enroll'!N$1,FALSE)+VLOOKUP($A275,EnrollData2324,'2324 Jun 24 Enroll'!O$1,FALSE)+VLOOKUP($A275,EnrollData2324,'2324 Jun 24 Enroll'!K$1,FALSE)+VLOOKUP($A275,EnrollData2324,'2324 Jun 24 Enroll'!L$1,FALSE))*Apport_M812425)/(VLOOKUP($A275,EnrollData2324,'2324 Jun 24 Enroll'!M$1,FALSE)+VLOOKUP($A275,EnrollData2324,'2324 Jun 24 Enroll'!D$1,FALSE)),2)</f>
        <v>1609.24</v>
      </c>
      <c r="AS275" s="7">
        <f t="shared" si="59"/>
        <v>9960.0799999999981</v>
      </c>
    </row>
    <row r="276" spans="1:45">
      <c r="A276" s="40" t="s">
        <v>313</v>
      </c>
      <c r="B276" s="40" t="s">
        <v>314</v>
      </c>
      <c r="C276" s="11">
        <f>ROUND((IFERROR((1/IF(VLOOKUP($A276,EnrollData2324,28,FALSE)='District Calculations'!$F$10,VLOOKUP($A276,EnrollData2324,28,FALSE),'District Calculations'!$F$10))*(1+Apport_Z315),0))+Apport_201A2425,6)</f>
        <v>7.4580999999999995E-2</v>
      </c>
      <c r="D276">
        <f>ROUND(IF(VLOOKUP($A276,EnrollData2324,'2324 Jun 24 Enroll'!D$1,FALSE)='District Calculations'!$F$11,VLOOKUP($A276,EnrollData2324,'2324 Jun 24 Enroll'!D$1,FALSE),'District Calculations'!$F$11)*C276,3)</f>
        <v>0</v>
      </c>
      <c r="E276">
        <f>ROUND(IF(VLOOKUP($A276,EnrollData2324,'2324 Jun 24 Enroll'!E$1,FALSE)='District Calculations'!$F$12,VLOOKUP($A276,EnrollData2324,'2324 Jun 24 Enroll'!E$1,FALSE),'District Calculations'!$F$12)*C276,3)</f>
        <v>60.447000000000003</v>
      </c>
      <c r="F276">
        <f>ROUND(IF(VLOOKUP($A276,EnrollData2324,'2324 Jun 24 Enroll'!F$1,FALSE)='District Calculations'!$F$13,VLOOKUP($A276,EnrollData2324,'2324 Jun 24 Enroll'!F$1,FALSE),'District Calculations'!$F$13)*Apport_222A2425,3)</f>
        <v>10.337999999999999</v>
      </c>
      <c r="G276">
        <f>ROUND(IF(VLOOKUP($A276,EnrollData2324,'2324 Jun 24 Enroll'!G$1,FALSE)='District Calculations'!$F$14,VLOOKUP($A276,EnrollData2324,'2324 Jun 24 Enroll'!G$1,FALSE),'District Calculations'!$F$14)*Apport_210A2425,3)</f>
        <v>22.92</v>
      </c>
      <c r="H276">
        <f>ROUND(IF(VLOOKUP($A276,EnrollData2324,'2324 Jun 24 Enroll'!H$1,FALSE)='District Calculations'!$F$15,VLOOKUP($A276,EnrollData2324,'2324 Jun 24 Enroll'!H$1,FALSE),'District Calculations'!$F$15)*Apport_213A2425,3)</f>
        <v>23.619</v>
      </c>
      <c r="I276">
        <f>ROUND(IF(VLOOKUP($A276,EnrollData2324,'2324 Jun 24 Enroll'!I$1,FALSE)+VLOOKUP($A276,EnrollData2324,'2324 Jun 24 Enroll'!M$1,FALSE)-VLOOKUP($A276,EnrollData2324,'2324 Jun 24 Enroll'!J$1,FALSE)='District Calculations'!$F$16+'District Calculations'!$F$25-'District Calculations'!$F$17,VLOOKUP($A276,EnrollData2324,'2324 Jun 24 Enroll'!I$1,FALSE)+VLOOKUP($A276,EnrollData2324,'2324 Jun 24 Enroll'!M$1,FALSE)-VLOOKUP($A276,EnrollData2324,'2324 Jun 24 Enroll'!J$1,FALSE),'District Calculations'!$F$16+'District Calculations'!$F$25-'District Calculations'!$F$17)*Apport_216A2425,3)</f>
        <v>59.057000000000002</v>
      </c>
      <c r="J276">
        <f>ROUND(SUM(D276:I276)/(IF(VLOOKUP($A276,EnrollData2324,'2324 Jun 24 Enroll'!M$1,FALSE)='District Calculations'!$F$25,VLOOKUP($A276,EnrollData2324,'2324 Jun 24 Enroll'!M$1,FALSE),'District Calculations'!$F$25)+IF(VLOOKUP($A276,EnrollData2324,'2324 Jun 24 Enroll'!D$1,FALSE)='District Calculations'!$F$11,VLOOKUP($A276,EnrollData2324,'2324 Jun 24 Enroll'!D$1,FALSE),'District Calculations'!$F$11)),5)</f>
        <v>5.6520000000000001E-2</v>
      </c>
      <c r="K276" s="11">
        <f t="shared" si="50"/>
        <v>4.385E-3</v>
      </c>
      <c r="L276">
        <f>ROUND(IF(VLOOKUP($A276,EnrollData2324,'2324 Jun 24 Enroll'!D$1,FALSE)='District Calculations'!$F$11,VLOOKUP($A276,EnrollData2324,'2324 Jun 24 Enroll'!D$1,FALSE),'District Calculations'!$F$11)*K276,3)</f>
        <v>0</v>
      </c>
      <c r="M276">
        <f>ROUND(IF(VLOOKUP($A276,EnrollData2324,'2324 Jun 24 Enroll'!E$1,FALSE)='District Calculations'!$F$12,VLOOKUP($A276,EnrollData2324,'2324 Jun 24 Enroll'!E$1,FALSE),'District Calculations'!$F$12)*K276,3)</f>
        <v>3.5539999999999998</v>
      </c>
      <c r="N276">
        <f>ROUND(IF(VLOOKUP($A276,EnrollData2324,'2324 Jun 24 Enroll'!F$1,FALSE)='District Calculations'!$F$13,VLOOKUP($A276,EnrollData2324,'2324 Jun 24 Enroll'!F$1,FALSE),'District Calculations'!$F$13)*Apport_223A2425,3)</f>
        <v>0.84599999999999997</v>
      </c>
      <c r="O276">
        <f>ROUND(IF(VLOOKUP($A276,EnrollData2324,'2324 Jun 24 Enroll'!G$1,FALSE)='District Calculations'!$F$14,VLOOKUP($A276,EnrollData2324,'2324 Jun 24 Enroll'!G$1,FALSE),'District Calculations'!$F$14)*Apport_211A2425,3)</f>
        <v>1.877</v>
      </c>
      <c r="P276">
        <f>ROUND(IF(VLOOKUP($A276,EnrollData2324,'2324 Jun 24 Enroll'!H$1,FALSE)='District Calculations'!$F$14,VLOOKUP($A276,EnrollData2324,'2324 Jun 24 Enroll'!H$1,FALSE),'District Calculations'!$F$14)*Apport_214A2425,3)</f>
        <v>1.875</v>
      </c>
      <c r="Q276">
        <f>ROUND(IF(VLOOKUP($A276,EnrollData2324,'2324 Jun 24 Enroll'!I$1,FALSE)+VLOOKUP($A276,EnrollData2324,'2324 Jun 24 Enroll'!M$1,FALSE)-VLOOKUP($A276,EnrollData2324,'2324 Jun 24 Enroll'!J$1,FALSE)='District Calculations'!$F$16+'District Calculations'!$F$25-'District Calculations'!$F$17,VLOOKUP($A276,EnrollData2324,'2324 Jun 24 Enroll'!I$1,FALSE)+VLOOKUP($A276,EnrollData2324,'2324 Jun 24 Enroll'!M$1,FALSE)-VLOOKUP($A276,EnrollData2324,'2324 Jun 24 Enroll'!J$1,FALSE),'District Calculations'!$F$16+'District Calculations'!$F$25-'District Calculations'!$F$17)*Apport_217A2425,3)</f>
        <v>4.7130000000000001</v>
      </c>
      <c r="R276">
        <f>ROUND(SUM(L276:Q276)/IF(VLOOKUP($A276,EnrollData2324,'2324 Jun 24 Enroll'!M$1,FALSE)+VLOOKUP($A276,EnrollData2324,'2324 Jun 24 Enroll'!D$1,FALSE)='District Calculations'!$F$25+'District Calculations'!$F$11,VLOOKUP($A276,EnrollData2324,'2324 Jun 24 Enroll'!M$1,FALSE)+VLOOKUP($A276,EnrollData2324,'2324 Jun 24 Enroll'!D$1,FALSE),'District Calculations'!$F$25+'District Calculations'!$F$11),5)</f>
        <v>4.1200000000000004E-3</v>
      </c>
      <c r="S276" s="11">
        <f t="shared" si="51"/>
        <v>1.8734299999999999E-2</v>
      </c>
      <c r="T276">
        <f>ROUND(IF(VLOOKUP($A276,EnrollData2324,'2324 Jun 24 Enroll'!D$1,FALSE)='District Calculations'!$F$11,VLOOKUP($A276,EnrollData2324,'2324 Jun 24 Enroll'!D$1,FALSE),'District Calculations'!$F$11)*S276,3)</f>
        <v>0</v>
      </c>
      <c r="U276">
        <f>ROUND(IF(VLOOKUP($A276,EnrollData2324,'2324 Jun 24 Enroll'!E$1,FALSE)='District Calculations'!$F$12,VLOOKUP($A276,EnrollData2324,'2324 Jun 24 Enroll'!E$1,FALSE),'District Calculations'!$F$12)*S276,3)</f>
        <v>15.183999999999999</v>
      </c>
      <c r="V276">
        <f>ROUND(IF(VLOOKUP($A276,EnrollData2324,'2324 Jun 24 Enroll'!F$1,FALSE)='District Calculations'!$F$13,VLOOKUP($A276,EnrollData2324,'2324 Jun 24 Enroll'!F$1,FALSE),'District Calculations'!$F$13)*Apport_224A2425,3)</f>
        <v>3.7109999999999999</v>
      </c>
      <c r="W276">
        <f>ROUND(IF(VLOOKUP($A276,EnrollData2324,'2324 Jun 24 Enroll'!G$1,FALSE)='District Calculations'!$F$14,VLOOKUP($A276,EnrollData2324,'2324 Jun 24 Enroll'!G$1,FALSE),'District Calculations'!$F$14)*Apport_212A2425,3)</f>
        <v>8.2279999999999998</v>
      </c>
      <c r="X276">
        <f>ROUND(IF(VLOOKUP($A276,EnrollData2324,'2324 Jun 24 Enroll'!H$1,FALSE)='District Calculations'!$F$14,VLOOKUP($A276,EnrollData2324,'2324 Jun 24 Enroll'!H$1,FALSE),'District Calculations'!$F$14)*Apport_215A2425,3)</f>
        <v>8.1180000000000003</v>
      </c>
      <c r="Y276">
        <f>ROUND(IF(VLOOKUP($A276,EnrollData2324,'2324 Jun 24 Enroll'!I$1,FALSE)+VLOOKUP($A276,EnrollData2324,'2324 Jun 24 Enroll'!M$1,FALSE)-VLOOKUP($A276,EnrollData2324,'2324 Jun 24 Enroll'!J$1,FALSE)='District Calculations'!$F$16+'District Calculations'!$F$25-'District Calculations'!$F$17,VLOOKUP($A276,EnrollData2324,'2324 Jun 24 Enroll'!I$1,FALSE)+VLOOKUP($A276,EnrollData2324,'2324 Jun 24 Enroll'!M$1,FALSE)-VLOOKUP($A276,EnrollData2324,'2324 Jun 24 Enroll'!J$1,FALSE),'District Calculations'!$F$16+'District Calculations'!$F$25-'District Calculations'!$F$17)*Apport_218A2425,3)</f>
        <v>20.257999999999999</v>
      </c>
      <c r="Z276">
        <f>ROUND(SUM(T276:Y276)/IF(VLOOKUP($A276,EnrollData2324,'2324 Jun 24 Enroll'!M$1,FALSE)+VLOOKUP($A276,EnrollData2324,'2324 Jun 24 Enroll'!D$1,FALSE)='District Calculations'!$F$25+'District Calculations'!$F$11,VLOOKUP($A276,EnrollData2324,'2324 Jun 24 Enroll'!M$1,FALSE)+VLOOKUP($A276,EnrollData2324,'2324 Jun 24 Enroll'!D$1,FALSE),'District Calculations'!$F$25+'District Calculations'!$F$11),5)</f>
        <v>1.7780000000000001E-2</v>
      </c>
      <c r="AA276" s="6">
        <f>ROUND($J276*CIS_Base_Salary2425*VLOOKUP($A276,EnrollData2324,'2324 Jun 24 Enroll'!AH$1,FALSE),2)</f>
        <v>4262.68</v>
      </c>
      <c r="AB276" s="6">
        <f>ROUND($J276*CIS_Inc_Salary2425*(VLOOKUP($A276,EnrollData2324,'2324 Jun 24 Enroll'!AI$1,FALSE)+VLOOKUP($A276,EnrollData2324,'2324 Jun 24 Enroll'!AJ$1,FALSE)),2)-AA276</f>
        <v>334.50999999999931</v>
      </c>
      <c r="AC276" s="6" cm="1">
        <f t="array" ref="AC276">ROUND($R276*CAS_Base_Salary2425*VLOOKUP($A276,EnrollData2324,'2324 Jun 24 Enroll'!AH$1,FALSE),2)</f>
        <v>461.23</v>
      </c>
      <c r="AD276" s="6">
        <f>ROUND($R276*CAS_Inc_Salary2425*VLOOKUP($A276,EnrollData2324,'2324 Jun 24 Enroll'!AI$1,FALSE),2)-AC276</f>
        <v>17.069999999999993</v>
      </c>
      <c r="AE276" s="6">
        <f>ROUND($Z276*CLS_Base_Salary2425*VLOOKUP($A276,EnrollData2324,'2324 Jun 24 Enroll'!AH$1,FALSE),2)</f>
        <v>961.95</v>
      </c>
      <c r="AF276" s="6">
        <f>ROUND($Z276*CLS_Inc_Salary2425*VLOOKUP($A276,EnrollData2324,'2324 Jun 24 Enroll'!AI$1,FALSE),2)-AE276</f>
        <v>35.599999999999909</v>
      </c>
      <c r="AG276" cm="1">
        <f t="array" ref="AG276">ROUND(($J276+$R276)*Apport_124X2425,2)</f>
        <v>800.45</v>
      </c>
      <c r="AH276" s="69" cm="1">
        <f t="array" ref="AH276">ROUND(($J276+$R276)*Apport_621X2425*Apport_125XC2425,2)-AG276</f>
        <v>73.899999999999977</v>
      </c>
      <c r="AI276" cm="1">
        <f t="array" ref="AI276">ROUND($Z276*Apport_124X2425,2)</f>
        <v>234.7</v>
      </c>
      <c r="AJ276">
        <f t="shared" si="52"/>
        <v>124.71000000000004</v>
      </c>
      <c r="AK276">
        <f t="shared" si="53"/>
        <v>857.39</v>
      </c>
      <c r="AL276">
        <f t="shared" si="54"/>
        <v>61.56</v>
      </c>
      <c r="AM276">
        <f t="shared" si="55"/>
        <v>208.36</v>
      </c>
      <c r="AN276">
        <f t="shared" si="56"/>
        <v>6.46</v>
      </c>
      <c r="AO276">
        <f>ROUND(($J276*CIS_Inc_Salary2425*(VLOOKUP($A276,EnrollData2324,'2324 Jun 24 Enroll'!AI$1,FALSE)+VLOOKUP($A276,EnrollData2324,'2324 Jun 24 Enroll'!AJ$1,FALSE))/Apport_613Xpd)*Apport_614Xpd,2)</f>
        <v>76.62</v>
      </c>
      <c r="AP276">
        <f t="shared" si="57"/>
        <v>13.42</v>
      </c>
      <c r="AQ276">
        <f t="shared" si="58"/>
        <v>31.48</v>
      </c>
      <c r="AR276" s="6">
        <f>ROUND((VLOOKUP($A276,EnrollData2324,'2324 Jun 24 Enroll'!D$1,FALSE)*Apport_M802425+VLOOKUP($A276,EnrollData2324,'2324 Jun 24 Enroll'!M$1,FALSE)*Apport_M802425+(VLOOKUP($A276,EnrollData2324,'2324 Jun 24 Enroll'!P$1,FALSE)+VLOOKUP($A276,EnrollData2324,'2324 Jun 24 Enroll'!Q$1,FALSE)+VLOOKUP($A276,EnrollData2324,'2324 Jun 24 Enroll'!R$1,FALSE)+VLOOKUP($A276,EnrollData2324,'2324 Jun 24 Enroll'!I$1,FALSE)+VLOOKUP($A276,EnrollData2324,'2324 Jun 24 Enroll'!N$1,FALSE)+VLOOKUP($A276,EnrollData2324,'2324 Jun 24 Enroll'!O$1,FALSE)+VLOOKUP($A276,EnrollData2324,'2324 Jun 24 Enroll'!K$1,FALSE)+VLOOKUP($A276,EnrollData2324,'2324 Jun 24 Enroll'!L$1,FALSE))*Apport_M812425)/(VLOOKUP($A276,EnrollData2324,'2324 Jun 24 Enroll'!M$1,FALSE)+VLOOKUP($A276,EnrollData2324,'2324 Jun 24 Enroll'!D$1,FALSE)),2)</f>
        <v>1612.45</v>
      </c>
      <c r="AS276" s="7">
        <f t="shared" si="59"/>
        <v>10174.539999999999</v>
      </c>
    </row>
    <row r="277" spans="1:45">
      <c r="A277" s="40" t="s">
        <v>715</v>
      </c>
      <c r="B277" s="40" t="s">
        <v>716</v>
      </c>
      <c r="C277" s="11">
        <f>ROUND((IFERROR((1/IF(VLOOKUP($A277,EnrollData2324,28,FALSE)='District Calculations'!$F$10,VLOOKUP($A277,EnrollData2324,28,FALSE),'District Calculations'!$F$10))*(1+Apport_Z315),0))+Apport_201A2425,6)</f>
        <v>7.4580999999999995E-2</v>
      </c>
      <c r="D277">
        <f>ROUND(IF(VLOOKUP($A277,EnrollData2324,'2324 Jun 24 Enroll'!D$1,FALSE)='District Calculations'!$F$11,VLOOKUP($A277,EnrollData2324,'2324 Jun 24 Enroll'!D$1,FALSE),'District Calculations'!$F$11)*C277,3)</f>
        <v>0</v>
      </c>
      <c r="E277">
        <f>ROUND(IF(VLOOKUP($A277,EnrollData2324,'2324 Jun 24 Enroll'!E$1,FALSE)='District Calculations'!$F$12,VLOOKUP($A277,EnrollData2324,'2324 Jun 24 Enroll'!E$1,FALSE),'District Calculations'!$F$12)*C277,3)</f>
        <v>60.447000000000003</v>
      </c>
      <c r="F277">
        <f>ROUND(IF(VLOOKUP($A277,EnrollData2324,'2324 Jun 24 Enroll'!F$1,FALSE)='District Calculations'!$F$13,VLOOKUP($A277,EnrollData2324,'2324 Jun 24 Enroll'!F$1,FALSE),'District Calculations'!$F$13)*Apport_222A2425,3)</f>
        <v>10.337999999999999</v>
      </c>
      <c r="G277">
        <f>ROUND(IF(VLOOKUP($A277,EnrollData2324,'2324 Jun 24 Enroll'!G$1,FALSE)='District Calculations'!$F$14,VLOOKUP($A277,EnrollData2324,'2324 Jun 24 Enroll'!G$1,FALSE),'District Calculations'!$F$14)*Apport_210A2425,3)</f>
        <v>22.92</v>
      </c>
      <c r="H277">
        <f>ROUND(IF(VLOOKUP($A277,EnrollData2324,'2324 Jun 24 Enroll'!H$1,FALSE)='District Calculations'!$F$15,VLOOKUP($A277,EnrollData2324,'2324 Jun 24 Enroll'!H$1,FALSE),'District Calculations'!$F$15)*Apport_213A2425,3)</f>
        <v>23.619</v>
      </c>
      <c r="I277">
        <f>ROUND(IF(VLOOKUP($A277,EnrollData2324,'2324 Jun 24 Enroll'!I$1,FALSE)+VLOOKUP($A277,EnrollData2324,'2324 Jun 24 Enroll'!M$1,FALSE)-VLOOKUP($A277,EnrollData2324,'2324 Jun 24 Enroll'!J$1,FALSE)='District Calculations'!$F$16+'District Calculations'!$F$25-'District Calculations'!$F$17,VLOOKUP($A277,EnrollData2324,'2324 Jun 24 Enroll'!I$1,FALSE)+VLOOKUP($A277,EnrollData2324,'2324 Jun 24 Enroll'!M$1,FALSE)-VLOOKUP($A277,EnrollData2324,'2324 Jun 24 Enroll'!J$1,FALSE),'District Calculations'!$F$16+'District Calculations'!$F$25-'District Calculations'!$F$17)*Apport_216A2425,3)</f>
        <v>59.057000000000002</v>
      </c>
      <c r="J277">
        <f>ROUND(SUM(D277:I277)/(IF(VLOOKUP($A277,EnrollData2324,'2324 Jun 24 Enroll'!M$1,FALSE)='District Calculations'!$F$25,VLOOKUP($A277,EnrollData2324,'2324 Jun 24 Enroll'!M$1,FALSE),'District Calculations'!$F$25)+IF(VLOOKUP($A277,EnrollData2324,'2324 Jun 24 Enroll'!D$1,FALSE)='District Calculations'!$F$11,VLOOKUP($A277,EnrollData2324,'2324 Jun 24 Enroll'!D$1,FALSE),'District Calculations'!$F$11)),5)</f>
        <v>5.6520000000000001E-2</v>
      </c>
      <c r="K277" s="11">
        <f t="shared" si="50"/>
        <v>4.385E-3</v>
      </c>
      <c r="L277">
        <f>ROUND(IF(VLOOKUP($A277,EnrollData2324,'2324 Jun 24 Enroll'!D$1,FALSE)='District Calculations'!$F$11,VLOOKUP($A277,EnrollData2324,'2324 Jun 24 Enroll'!D$1,FALSE),'District Calculations'!$F$11)*K277,3)</f>
        <v>0</v>
      </c>
      <c r="M277">
        <f>ROUND(IF(VLOOKUP($A277,EnrollData2324,'2324 Jun 24 Enroll'!E$1,FALSE)='District Calculations'!$F$12,VLOOKUP($A277,EnrollData2324,'2324 Jun 24 Enroll'!E$1,FALSE),'District Calculations'!$F$12)*K277,3)</f>
        <v>3.5539999999999998</v>
      </c>
      <c r="N277">
        <f>ROUND(IF(VLOOKUP($A277,EnrollData2324,'2324 Jun 24 Enroll'!F$1,FALSE)='District Calculations'!$F$13,VLOOKUP($A277,EnrollData2324,'2324 Jun 24 Enroll'!F$1,FALSE),'District Calculations'!$F$13)*Apport_223A2425,3)</f>
        <v>0.84599999999999997</v>
      </c>
      <c r="O277">
        <f>ROUND(IF(VLOOKUP($A277,EnrollData2324,'2324 Jun 24 Enroll'!G$1,FALSE)='District Calculations'!$F$14,VLOOKUP($A277,EnrollData2324,'2324 Jun 24 Enroll'!G$1,FALSE),'District Calculations'!$F$14)*Apport_211A2425,3)</f>
        <v>1.877</v>
      </c>
      <c r="P277">
        <f>ROUND(IF(VLOOKUP($A277,EnrollData2324,'2324 Jun 24 Enroll'!H$1,FALSE)='District Calculations'!$F$14,VLOOKUP($A277,EnrollData2324,'2324 Jun 24 Enroll'!H$1,FALSE),'District Calculations'!$F$14)*Apport_214A2425,3)</f>
        <v>1.875</v>
      </c>
      <c r="Q277">
        <f>ROUND(IF(VLOOKUP($A277,EnrollData2324,'2324 Jun 24 Enroll'!I$1,FALSE)+VLOOKUP($A277,EnrollData2324,'2324 Jun 24 Enroll'!M$1,FALSE)-VLOOKUP($A277,EnrollData2324,'2324 Jun 24 Enroll'!J$1,FALSE)='District Calculations'!$F$16+'District Calculations'!$F$25-'District Calculations'!$F$17,VLOOKUP($A277,EnrollData2324,'2324 Jun 24 Enroll'!I$1,FALSE)+VLOOKUP($A277,EnrollData2324,'2324 Jun 24 Enroll'!M$1,FALSE)-VLOOKUP($A277,EnrollData2324,'2324 Jun 24 Enroll'!J$1,FALSE),'District Calculations'!$F$16+'District Calculations'!$F$25-'District Calculations'!$F$17)*Apport_217A2425,3)</f>
        <v>4.7130000000000001</v>
      </c>
      <c r="R277">
        <f>ROUND(SUM(L277:Q277)/IF(VLOOKUP($A277,EnrollData2324,'2324 Jun 24 Enroll'!M$1,FALSE)+VLOOKUP($A277,EnrollData2324,'2324 Jun 24 Enroll'!D$1,FALSE)='District Calculations'!$F$25+'District Calculations'!$F$11,VLOOKUP($A277,EnrollData2324,'2324 Jun 24 Enroll'!M$1,FALSE)+VLOOKUP($A277,EnrollData2324,'2324 Jun 24 Enroll'!D$1,FALSE),'District Calculations'!$F$25+'District Calculations'!$F$11),5)</f>
        <v>4.1200000000000004E-3</v>
      </c>
      <c r="S277" s="11">
        <f t="shared" si="51"/>
        <v>1.8734299999999999E-2</v>
      </c>
      <c r="T277">
        <f>ROUND(IF(VLOOKUP($A277,EnrollData2324,'2324 Jun 24 Enroll'!D$1,FALSE)='District Calculations'!$F$11,VLOOKUP($A277,EnrollData2324,'2324 Jun 24 Enroll'!D$1,FALSE),'District Calculations'!$F$11)*S277,3)</f>
        <v>0</v>
      </c>
      <c r="U277">
        <f>ROUND(IF(VLOOKUP($A277,EnrollData2324,'2324 Jun 24 Enroll'!E$1,FALSE)='District Calculations'!$F$12,VLOOKUP($A277,EnrollData2324,'2324 Jun 24 Enroll'!E$1,FALSE),'District Calculations'!$F$12)*S277,3)</f>
        <v>15.183999999999999</v>
      </c>
      <c r="V277">
        <f>ROUND(IF(VLOOKUP($A277,EnrollData2324,'2324 Jun 24 Enroll'!F$1,FALSE)='District Calculations'!$F$13,VLOOKUP($A277,EnrollData2324,'2324 Jun 24 Enroll'!F$1,FALSE),'District Calculations'!$F$13)*Apport_224A2425,3)</f>
        <v>3.7109999999999999</v>
      </c>
      <c r="W277">
        <f>ROUND(IF(VLOOKUP($A277,EnrollData2324,'2324 Jun 24 Enroll'!G$1,FALSE)='District Calculations'!$F$14,VLOOKUP($A277,EnrollData2324,'2324 Jun 24 Enroll'!G$1,FALSE),'District Calculations'!$F$14)*Apport_212A2425,3)</f>
        <v>8.2279999999999998</v>
      </c>
      <c r="X277">
        <f>ROUND(IF(VLOOKUP($A277,EnrollData2324,'2324 Jun 24 Enroll'!H$1,FALSE)='District Calculations'!$F$14,VLOOKUP($A277,EnrollData2324,'2324 Jun 24 Enroll'!H$1,FALSE),'District Calculations'!$F$14)*Apport_215A2425,3)</f>
        <v>8.1180000000000003</v>
      </c>
      <c r="Y277">
        <f>ROUND(IF(VLOOKUP($A277,EnrollData2324,'2324 Jun 24 Enroll'!I$1,FALSE)+VLOOKUP($A277,EnrollData2324,'2324 Jun 24 Enroll'!M$1,FALSE)-VLOOKUP($A277,EnrollData2324,'2324 Jun 24 Enroll'!J$1,FALSE)='District Calculations'!$F$16+'District Calculations'!$F$25-'District Calculations'!$F$17,VLOOKUP($A277,EnrollData2324,'2324 Jun 24 Enroll'!I$1,FALSE)+VLOOKUP($A277,EnrollData2324,'2324 Jun 24 Enroll'!M$1,FALSE)-VLOOKUP($A277,EnrollData2324,'2324 Jun 24 Enroll'!J$1,FALSE),'District Calculations'!$F$16+'District Calculations'!$F$25-'District Calculations'!$F$17)*Apport_218A2425,3)</f>
        <v>20.257999999999999</v>
      </c>
      <c r="Z277">
        <f>ROUND(SUM(T277:Y277)/IF(VLOOKUP($A277,EnrollData2324,'2324 Jun 24 Enroll'!M$1,FALSE)+VLOOKUP($A277,EnrollData2324,'2324 Jun 24 Enroll'!D$1,FALSE)='District Calculations'!$F$25+'District Calculations'!$F$11,VLOOKUP($A277,EnrollData2324,'2324 Jun 24 Enroll'!M$1,FALSE)+VLOOKUP($A277,EnrollData2324,'2324 Jun 24 Enroll'!D$1,FALSE),'District Calculations'!$F$25+'District Calculations'!$F$11),5)</f>
        <v>1.7780000000000001E-2</v>
      </c>
      <c r="AA277" s="6">
        <f>ROUND($J277*CIS_Base_Salary2425*VLOOKUP($A277,EnrollData2324,'2324 Jun 24 Enroll'!AH$1,FALSE),2)</f>
        <v>4262.68</v>
      </c>
      <c r="AB277" s="6">
        <f>ROUND($J277*CIS_Inc_Salary2425*(VLOOKUP($A277,EnrollData2324,'2324 Jun 24 Enroll'!AI$1,FALSE)+VLOOKUP($A277,EnrollData2324,'2324 Jun 24 Enroll'!AJ$1,FALSE)),2)-AA277</f>
        <v>157.6899999999996</v>
      </c>
      <c r="AC277" s="6" cm="1">
        <f t="array" ref="AC277">ROUND($R277*CAS_Base_Salary2425*VLOOKUP($A277,EnrollData2324,'2324 Jun 24 Enroll'!AH$1,FALSE),2)</f>
        <v>461.23</v>
      </c>
      <c r="AD277" s="6">
        <f>ROUND($R277*CAS_Inc_Salary2425*VLOOKUP($A277,EnrollData2324,'2324 Jun 24 Enroll'!AI$1,FALSE),2)-AC277</f>
        <v>17.069999999999993</v>
      </c>
      <c r="AE277" s="6">
        <f>ROUND($Z277*CLS_Base_Salary2425*VLOOKUP($A277,EnrollData2324,'2324 Jun 24 Enroll'!AH$1,FALSE),2)</f>
        <v>961.95</v>
      </c>
      <c r="AF277" s="6">
        <f>ROUND($Z277*CLS_Inc_Salary2425*VLOOKUP($A277,EnrollData2324,'2324 Jun 24 Enroll'!AI$1,FALSE),2)-AE277</f>
        <v>35.599999999999909</v>
      </c>
      <c r="AG277" cm="1">
        <f t="array" ref="AG277">ROUND(($J277+$R277)*Apport_124X2425,2)</f>
        <v>800.45</v>
      </c>
      <c r="AH277" s="69" cm="1">
        <f t="array" ref="AH277">ROUND(($J277+$R277)*Apport_621X2425*Apport_125XC2425,2)-AG277</f>
        <v>73.899999999999977</v>
      </c>
      <c r="AI277" cm="1">
        <f t="array" ref="AI277">ROUND($Z277*Apport_124X2425,2)</f>
        <v>234.7</v>
      </c>
      <c r="AJ277">
        <f t="shared" si="52"/>
        <v>124.71000000000004</v>
      </c>
      <c r="AK277">
        <f t="shared" si="53"/>
        <v>857.39</v>
      </c>
      <c r="AL277">
        <f t="shared" si="54"/>
        <v>30.6</v>
      </c>
      <c r="AM277">
        <f t="shared" si="55"/>
        <v>208.36</v>
      </c>
      <c r="AN277">
        <f t="shared" si="56"/>
        <v>6.46</v>
      </c>
      <c r="AO277">
        <f>ROUND(($J277*CIS_Inc_Salary2425*(VLOOKUP($A277,EnrollData2324,'2324 Jun 24 Enroll'!AI$1,FALSE)+VLOOKUP($A277,EnrollData2324,'2324 Jun 24 Enroll'!AJ$1,FALSE))/Apport_613Xpd)*Apport_614Xpd,2)</f>
        <v>73.67</v>
      </c>
      <c r="AP277">
        <f t="shared" si="57"/>
        <v>12.9</v>
      </c>
      <c r="AQ277">
        <f t="shared" si="58"/>
        <v>31.48</v>
      </c>
      <c r="AR277" s="6">
        <f>ROUND((VLOOKUP($A277,EnrollData2324,'2324 Jun 24 Enroll'!D$1,FALSE)*Apport_M802425+VLOOKUP($A277,EnrollData2324,'2324 Jun 24 Enroll'!M$1,FALSE)*Apport_M802425+(VLOOKUP($A277,EnrollData2324,'2324 Jun 24 Enroll'!P$1,FALSE)+VLOOKUP($A277,EnrollData2324,'2324 Jun 24 Enroll'!Q$1,FALSE)+VLOOKUP($A277,EnrollData2324,'2324 Jun 24 Enroll'!R$1,FALSE)+VLOOKUP($A277,EnrollData2324,'2324 Jun 24 Enroll'!I$1,FALSE)+VLOOKUP($A277,EnrollData2324,'2324 Jun 24 Enroll'!N$1,FALSE)+VLOOKUP($A277,EnrollData2324,'2324 Jun 24 Enroll'!O$1,FALSE)+VLOOKUP($A277,EnrollData2324,'2324 Jun 24 Enroll'!K$1,FALSE)+VLOOKUP($A277,EnrollData2324,'2324 Jun 24 Enroll'!L$1,FALSE))*Apport_M812425)/(VLOOKUP($A277,EnrollData2324,'2324 Jun 24 Enroll'!M$1,FALSE)+VLOOKUP($A277,EnrollData2324,'2324 Jun 24 Enroll'!D$1,FALSE)),2)</f>
        <v>1590.98</v>
      </c>
      <c r="AS277" s="7">
        <f t="shared" si="59"/>
        <v>9941.8199999999979</v>
      </c>
    </row>
    <row r="278" spans="1:45">
      <c r="A278" s="40" t="s">
        <v>496</v>
      </c>
      <c r="B278" s="40" t="s">
        <v>497</v>
      </c>
      <c r="C278" s="11">
        <f>ROUND((IFERROR((1/IF(VLOOKUP($A278,EnrollData2324,28,FALSE)='District Calculations'!$F$10,VLOOKUP($A278,EnrollData2324,28,FALSE),'District Calculations'!$F$10))*(1+Apport_Z315),0))+Apport_201A2425,6)</f>
        <v>7.4580999999999995E-2</v>
      </c>
      <c r="D278">
        <f>ROUND(IF(VLOOKUP($A278,EnrollData2324,'2324 Jun 24 Enroll'!D$1,FALSE)='District Calculations'!$F$11,VLOOKUP($A278,EnrollData2324,'2324 Jun 24 Enroll'!D$1,FALSE),'District Calculations'!$F$11)*C278,3)</f>
        <v>0</v>
      </c>
      <c r="E278">
        <f>ROUND(IF(VLOOKUP($A278,EnrollData2324,'2324 Jun 24 Enroll'!E$1,FALSE)='District Calculations'!$F$12,VLOOKUP($A278,EnrollData2324,'2324 Jun 24 Enroll'!E$1,FALSE),'District Calculations'!$F$12)*C278,3)</f>
        <v>60.447000000000003</v>
      </c>
      <c r="F278">
        <f>ROUND(IF(VLOOKUP($A278,EnrollData2324,'2324 Jun 24 Enroll'!F$1,FALSE)='District Calculations'!$F$13,VLOOKUP($A278,EnrollData2324,'2324 Jun 24 Enroll'!F$1,FALSE),'District Calculations'!$F$13)*Apport_222A2425,3)</f>
        <v>10.337999999999999</v>
      </c>
      <c r="G278">
        <f>ROUND(IF(VLOOKUP($A278,EnrollData2324,'2324 Jun 24 Enroll'!G$1,FALSE)='District Calculations'!$F$14,VLOOKUP($A278,EnrollData2324,'2324 Jun 24 Enroll'!G$1,FALSE),'District Calculations'!$F$14)*Apport_210A2425,3)</f>
        <v>22.92</v>
      </c>
      <c r="H278">
        <f>ROUND(IF(VLOOKUP($A278,EnrollData2324,'2324 Jun 24 Enroll'!H$1,FALSE)='District Calculations'!$F$15,VLOOKUP($A278,EnrollData2324,'2324 Jun 24 Enroll'!H$1,FALSE),'District Calculations'!$F$15)*Apport_213A2425,3)</f>
        <v>23.619</v>
      </c>
      <c r="I278">
        <f>ROUND(IF(VLOOKUP($A278,EnrollData2324,'2324 Jun 24 Enroll'!I$1,FALSE)+VLOOKUP($A278,EnrollData2324,'2324 Jun 24 Enroll'!M$1,FALSE)-VLOOKUP($A278,EnrollData2324,'2324 Jun 24 Enroll'!J$1,FALSE)='District Calculations'!$F$16+'District Calculations'!$F$25-'District Calculations'!$F$17,VLOOKUP($A278,EnrollData2324,'2324 Jun 24 Enroll'!I$1,FALSE)+VLOOKUP($A278,EnrollData2324,'2324 Jun 24 Enroll'!M$1,FALSE)-VLOOKUP($A278,EnrollData2324,'2324 Jun 24 Enroll'!J$1,FALSE),'District Calculations'!$F$16+'District Calculations'!$F$25-'District Calculations'!$F$17)*Apport_216A2425,3)</f>
        <v>59.057000000000002</v>
      </c>
      <c r="J278">
        <f>ROUND(SUM(D278:I278)/(IF(VLOOKUP($A278,EnrollData2324,'2324 Jun 24 Enroll'!M$1,FALSE)='District Calculations'!$F$25,VLOOKUP($A278,EnrollData2324,'2324 Jun 24 Enroll'!M$1,FALSE),'District Calculations'!$F$25)+IF(VLOOKUP($A278,EnrollData2324,'2324 Jun 24 Enroll'!D$1,FALSE)='District Calculations'!$F$11,VLOOKUP($A278,EnrollData2324,'2324 Jun 24 Enroll'!D$1,FALSE),'District Calculations'!$F$11)),5)</f>
        <v>5.6520000000000001E-2</v>
      </c>
      <c r="K278" s="11">
        <f t="shared" si="50"/>
        <v>4.385E-3</v>
      </c>
      <c r="L278">
        <f>ROUND(IF(VLOOKUP($A278,EnrollData2324,'2324 Jun 24 Enroll'!D$1,FALSE)='District Calculations'!$F$11,VLOOKUP($A278,EnrollData2324,'2324 Jun 24 Enroll'!D$1,FALSE),'District Calculations'!$F$11)*K278,3)</f>
        <v>0</v>
      </c>
      <c r="M278">
        <f>ROUND(IF(VLOOKUP($A278,EnrollData2324,'2324 Jun 24 Enroll'!E$1,FALSE)='District Calculations'!$F$12,VLOOKUP($A278,EnrollData2324,'2324 Jun 24 Enroll'!E$1,FALSE),'District Calculations'!$F$12)*K278,3)</f>
        <v>3.5539999999999998</v>
      </c>
      <c r="N278">
        <f>ROUND(IF(VLOOKUP($A278,EnrollData2324,'2324 Jun 24 Enroll'!F$1,FALSE)='District Calculations'!$F$13,VLOOKUP($A278,EnrollData2324,'2324 Jun 24 Enroll'!F$1,FALSE),'District Calculations'!$F$13)*Apport_223A2425,3)</f>
        <v>0.84599999999999997</v>
      </c>
      <c r="O278">
        <f>ROUND(IF(VLOOKUP($A278,EnrollData2324,'2324 Jun 24 Enroll'!G$1,FALSE)='District Calculations'!$F$14,VLOOKUP($A278,EnrollData2324,'2324 Jun 24 Enroll'!G$1,FALSE),'District Calculations'!$F$14)*Apport_211A2425,3)</f>
        <v>1.877</v>
      </c>
      <c r="P278">
        <f>ROUND(IF(VLOOKUP($A278,EnrollData2324,'2324 Jun 24 Enroll'!H$1,FALSE)='District Calculations'!$F$14,VLOOKUP($A278,EnrollData2324,'2324 Jun 24 Enroll'!H$1,FALSE),'District Calculations'!$F$14)*Apport_214A2425,3)</f>
        <v>1.875</v>
      </c>
      <c r="Q278">
        <f>ROUND(IF(VLOOKUP($A278,EnrollData2324,'2324 Jun 24 Enroll'!I$1,FALSE)+VLOOKUP($A278,EnrollData2324,'2324 Jun 24 Enroll'!M$1,FALSE)-VLOOKUP($A278,EnrollData2324,'2324 Jun 24 Enroll'!J$1,FALSE)='District Calculations'!$F$16+'District Calculations'!$F$25-'District Calculations'!$F$17,VLOOKUP($A278,EnrollData2324,'2324 Jun 24 Enroll'!I$1,FALSE)+VLOOKUP($A278,EnrollData2324,'2324 Jun 24 Enroll'!M$1,FALSE)-VLOOKUP($A278,EnrollData2324,'2324 Jun 24 Enroll'!J$1,FALSE),'District Calculations'!$F$16+'District Calculations'!$F$25-'District Calculations'!$F$17)*Apport_217A2425,3)</f>
        <v>4.7130000000000001</v>
      </c>
      <c r="R278">
        <f>ROUND(SUM(L278:Q278)/IF(VLOOKUP($A278,EnrollData2324,'2324 Jun 24 Enroll'!M$1,FALSE)+VLOOKUP($A278,EnrollData2324,'2324 Jun 24 Enroll'!D$1,FALSE)='District Calculations'!$F$25+'District Calculations'!$F$11,VLOOKUP($A278,EnrollData2324,'2324 Jun 24 Enroll'!M$1,FALSE)+VLOOKUP($A278,EnrollData2324,'2324 Jun 24 Enroll'!D$1,FALSE),'District Calculations'!$F$25+'District Calculations'!$F$11),5)</f>
        <v>4.1200000000000004E-3</v>
      </c>
      <c r="S278" s="11">
        <f t="shared" si="51"/>
        <v>1.8734299999999999E-2</v>
      </c>
      <c r="T278">
        <f>ROUND(IF(VLOOKUP($A278,EnrollData2324,'2324 Jun 24 Enroll'!D$1,FALSE)='District Calculations'!$F$11,VLOOKUP($A278,EnrollData2324,'2324 Jun 24 Enroll'!D$1,FALSE),'District Calculations'!$F$11)*S278,3)</f>
        <v>0</v>
      </c>
      <c r="U278">
        <f>ROUND(IF(VLOOKUP($A278,EnrollData2324,'2324 Jun 24 Enroll'!E$1,FALSE)='District Calculations'!$F$12,VLOOKUP($A278,EnrollData2324,'2324 Jun 24 Enroll'!E$1,FALSE),'District Calculations'!$F$12)*S278,3)</f>
        <v>15.183999999999999</v>
      </c>
      <c r="V278">
        <f>ROUND(IF(VLOOKUP($A278,EnrollData2324,'2324 Jun 24 Enroll'!F$1,FALSE)='District Calculations'!$F$13,VLOOKUP($A278,EnrollData2324,'2324 Jun 24 Enroll'!F$1,FALSE),'District Calculations'!$F$13)*Apport_224A2425,3)</f>
        <v>3.7109999999999999</v>
      </c>
      <c r="W278">
        <f>ROUND(IF(VLOOKUP($A278,EnrollData2324,'2324 Jun 24 Enroll'!G$1,FALSE)='District Calculations'!$F$14,VLOOKUP($A278,EnrollData2324,'2324 Jun 24 Enroll'!G$1,FALSE),'District Calculations'!$F$14)*Apport_212A2425,3)</f>
        <v>8.2279999999999998</v>
      </c>
      <c r="X278">
        <f>ROUND(IF(VLOOKUP($A278,EnrollData2324,'2324 Jun 24 Enroll'!H$1,FALSE)='District Calculations'!$F$14,VLOOKUP($A278,EnrollData2324,'2324 Jun 24 Enroll'!H$1,FALSE),'District Calculations'!$F$14)*Apport_215A2425,3)</f>
        <v>8.1180000000000003</v>
      </c>
      <c r="Y278">
        <f>ROUND(IF(VLOOKUP($A278,EnrollData2324,'2324 Jun 24 Enroll'!I$1,FALSE)+VLOOKUP($A278,EnrollData2324,'2324 Jun 24 Enroll'!M$1,FALSE)-VLOOKUP($A278,EnrollData2324,'2324 Jun 24 Enroll'!J$1,FALSE)='District Calculations'!$F$16+'District Calculations'!$F$25-'District Calculations'!$F$17,VLOOKUP($A278,EnrollData2324,'2324 Jun 24 Enroll'!I$1,FALSE)+VLOOKUP($A278,EnrollData2324,'2324 Jun 24 Enroll'!M$1,FALSE)-VLOOKUP($A278,EnrollData2324,'2324 Jun 24 Enroll'!J$1,FALSE),'District Calculations'!$F$16+'District Calculations'!$F$25-'District Calculations'!$F$17)*Apport_218A2425,3)</f>
        <v>20.257999999999999</v>
      </c>
      <c r="Z278">
        <f>ROUND(SUM(T278:Y278)/IF(VLOOKUP($A278,EnrollData2324,'2324 Jun 24 Enroll'!M$1,FALSE)+VLOOKUP($A278,EnrollData2324,'2324 Jun 24 Enroll'!D$1,FALSE)='District Calculations'!$F$25+'District Calculations'!$F$11,VLOOKUP($A278,EnrollData2324,'2324 Jun 24 Enroll'!M$1,FALSE)+VLOOKUP($A278,EnrollData2324,'2324 Jun 24 Enroll'!D$1,FALSE),'District Calculations'!$F$25+'District Calculations'!$F$11),5)</f>
        <v>1.7780000000000001E-2</v>
      </c>
      <c r="AA278" s="6">
        <f>ROUND($J278*CIS_Base_Salary2425*VLOOKUP($A278,EnrollData2324,'2324 Jun 24 Enroll'!AH$1,FALSE),2)</f>
        <v>4262.68</v>
      </c>
      <c r="AB278" s="6">
        <f>ROUND($J278*CIS_Inc_Salary2425*(VLOOKUP($A278,EnrollData2324,'2324 Jun 24 Enroll'!AI$1,FALSE)+VLOOKUP($A278,EnrollData2324,'2324 Jun 24 Enroll'!AJ$1,FALSE)),2)-AA278</f>
        <v>157.6899999999996</v>
      </c>
      <c r="AC278" s="6" cm="1">
        <f t="array" ref="AC278">ROUND($R278*CAS_Base_Salary2425*VLOOKUP($A278,EnrollData2324,'2324 Jun 24 Enroll'!AH$1,FALSE),2)</f>
        <v>461.23</v>
      </c>
      <c r="AD278" s="6">
        <f>ROUND($R278*CAS_Inc_Salary2425*VLOOKUP($A278,EnrollData2324,'2324 Jun 24 Enroll'!AI$1,FALSE),2)-AC278</f>
        <v>17.069999999999993</v>
      </c>
      <c r="AE278" s="6">
        <f>ROUND($Z278*CLS_Base_Salary2425*VLOOKUP($A278,EnrollData2324,'2324 Jun 24 Enroll'!AH$1,FALSE),2)</f>
        <v>961.95</v>
      </c>
      <c r="AF278" s="6">
        <f>ROUND($Z278*CLS_Inc_Salary2425*VLOOKUP($A278,EnrollData2324,'2324 Jun 24 Enroll'!AI$1,FALSE),2)-AE278</f>
        <v>35.599999999999909</v>
      </c>
      <c r="AG278" cm="1">
        <f t="array" ref="AG278">ROUND(($J278+$R278)*Apport_124X2425,2)</f>
        <v>800.45</v>
      </c>
      <c r="AH278" s="69" cm="1">
        <f t="array" ref="AH278">ROUND(($J278+$R278)*Apport_621X2425*Apport_125XC2425,2)-AG278</f>
        <v>73.899999999999977</v>
      </c>
      <c r="AI278" cm="1">
        <f t="array" ref="AI278">ROUND($Z278*Apport_124X2425,2)</f>
        <v>234.7</v>
      </c>
      <c r="AJ278">
        <f t="shared" si="52"/>
        <v>124.71000000000004</v>
      </c>
      <c r="AK278">
        <f t="shared" si="53"/>
        <v>857.39</v>
      </c>
      <c r="AL278">
        <f t="shared" si="54"/>
        <v>30.6</v>
      </c>
      <c r="AM278">
        <f t="shared" si="55"/>
        <v>208.36</v>
      </c>
      <c r="AN278">
        <f t="shared" si="56"/>
        <v>6.46</v>
      </c>
      <c r="AO278">
        <f>ROUND(($J278*CIS_Inc_Salary2425*(VLOOKUP($A278,EnrollData2324,'2324 Jun 24 Enroll'!AI$1,FALSE)+VLOOKUP($A278,EnrollData2324,'2324 Jun 24 Enroll'!AJ$1,FALSE))/Apport_613Xpd)*Apport_614Xpd,2)</f>
        <v>73.67</v>
      </c>
      <c r="AP278">
        <f t="shared" si="57"/>
        <v>12.9</v>
      </c>
      <c r="AQ278">
        <f t="shared" si="58"/>
        <v>31.48</v>
      </c>
      <c r="AR278" s="6">
        <f>ROUND((VLOOKUP($A278,EnrollData2324,'2324 Jun 24 Enroll'!D$1,FALSE)*Apport_M802425+VLOOKUP($A278,EnrollData2324,'2324 Jun 24 Enroll'!M$1,FALSE)*Apport_M802425+(VLOOKUP($A278,EnrollData2324,'2324 Jun 24 Enroll'!P$1,FALSE)+VLOOKUP($A278,EnrollData2324,'2324 Jun 24 Enroll'!Q$1,FALSE)+VLOOKUP($A278,EnrollData2324,'2324 Jun 24 Enroll'!R$1,FALSE)+VLOOKUP($A278,EnrollData2324,'2324 Jun 24 Enroll'!I$1,FALSE)+VLOOKUP($A278,EnrollData2324,'2324 Jun 24 Enroll'!N$1,FALSE)+VLOOKUP($A278,EnrollData2324,'2324 Jun 24 Enroll'!O$1,FALSE)+VLOOKUP($A278,EnrollData2324,'2324 Jun 24 Enroll'!K$1,FALSE)+VLOOKUP($A278,EnrollData2324,'2324 Jun 24 Enroll'!L$1,FALSE))*Apport_M812425)/(VLOOKUP($A278,EnrollData2324,'2324 Jun 24 Enroll'!M$1,FALSE)+VLOOKUP($A278,EnrollData2324,'2324 Jun 24 Enroll'!D$1,FALSE)),2)</f>
        <v>1533.02</v>
      </c>
      <c r="AS278" s="7">
        <f t="shared" si="59"/>
        <v>9883.8599999999988</v>
      </c>
    </row>
    <row r="279" spans="1:45">
      <c r="A279" s="40" t="s">
        <v>735</v>
      </c>
      <c r="B279" s="40" t="s">
        <v>736</v>
      </c>
      <c r="C279" s="11">
        <f>ROUND((IFERROR((1/IF(VLOOKUP($A279,EnrollData2324,28,FALSE)='District Calculations'!$F$10,VLOOKUP($A279,EnrollData2324,28,FALSE),'District Calculations'!$F$10))*(1+Apport_Z315),0))+Apport_201A2425,6)</f>
        <v>7.4580999999999995E-2</v>
      </c>
      <c r="D279">
        <f>ROUND(IF(VLOOKUP($A279,EnrollData2324,'2324 Jun 24 Enroll'!D$1,FALSE)='District Calculations'!$F$11,VLOOKUP($A279,EnrollData2324,'2324 Jun 24 Enroll'!D$1,FALSE),'District Calculations'!$F$11)*C279,3)</f>
        <v>0</v>
      </c>
      <c r="E279">
        <f>ROUND(IF(VLOOKUP($A279,EnrollData2324,'2324 Jun 24 Enroll'!E$1,FALSE)='District Calculations'!$F$12,VLOOKUP($A279,EnrollData2324,'2324 Jun 24 Enroll'!E$1,FALSE),'District Calculations'!$F$12)*C279,3)</f>
        <v>60.447000000000003</v>
      </c>
      <c r="F279">
        <f>ROUND(IF(VLOOKUP($A279,EnrollData2324,'2324 Jun 24 Enroll'!F$1,FALSE)='District Calculations'!$F$13,VLOOKUP($A279,EnrollData2324,'2324 Jun 24 Enroll'!F$1,FALSE),'District Calculations'!$F$13)*Apport_222A2425,3)</f>
        <v>10.337999999999999</v>
      </c>
      <c r="G279">
        <f>ROUND(IF(VLOOKUP($A279,EnrollData2324,'2324 Jun 24 Enroll'!G$1,FALSE)='District Calculations'!$F$14,VLOOKUP($A279,EnrollData2324,'2324 Jun 24 Enroll'!G$1,FALSE),'District Calculations'!$F$14)*Apport_210A2425,3)</f>
        <v>22.92</v>
      </c>
      <c r="H279">
        <f>ROUND(IF(VLOOKUP($A279,EnrollData2324,'2324 Jun 24 Enroll'!H$1,FALSE)='District Calculations'!$F$15,VLOOKUP($A279,EnrollData2324,'2324 Jun 24 Enroll'!H$1,FALSE),'District Calculations'!$F$15)*Apport_213A2425,3)</f>
        <v>23.619</v>
      </c>
      <c r="I279">
        <f>ROUND(IF(VLOOKUP($A279,EnrollData2324,'2324 Jun 24 Enroll'!I$1,FALSE)+VLOOKUP($A279,EnrollData2324,'2324 Jun 24 Enroll'!M$1,FALSE)-VLOOKUP($A279,EnrollData2324,'2324 Jun 24 Enroll'!J$1,FALSE)='District Calculations'!$F$16+'District Calculations'!$F$25-'District Calculations'!$F$17,VLOOKUP($A279,EnrollData2324,'2324 Jun 24 Enroll'!I$1,FALSE)+VLOOKUP($A279,EnrollData2324,'2324 Jun 24 Enroll'!M$1,FALSE)-VLOOKUP($A279,EnrollData2324,'2324 Jun 24 Enroll'!J$1,FALSE),'District Calculations'!$F$16+'District Calculations'!$F$25-'District Calculations'!$F$17)*Apport_216A2425,3)</f>
        <v>59.057000000000002</v>
      </c>
      <c r="J279">
        <f>ROUND(SUM(D279:I279)/(IF(VLOOKUP($A279,EnrollData2324,'2324 Jun 24 Enroll'!M$1,FALSE)='District Calculations'!$F$25,VLOOKUP($A279,EnrollData2324,'2324 Jun 24 Enroll'!M$1,FALSE),'District Calculations'!$F$25)+IF(VLOOKUP($A279,EnrollData2324,'2324 Jun 24 Enroll'!D$1,FALSE)='District Calculations'!$F$11,VLOOKUP($A279,EnrollData2324,'2324 Jun 24 Enroll'!D$1,FALSE),'District Calculations'!$F$11)),5)</f>
        <v>5.6520000000000001E-2</v>
      </c>
      <c r="K279" s="11">
        <f t="shared" si="50"/>
        <v>4.385E-3</v>
      </c>
      <c r="L279">
        <f>ROUND(IF(VLOOKUP($A279,EnrollData2324,'2324 Jun 24 Enroll'!D$1,FALSE)='District Calculations'!$F$11,VLOOKUP($A279,EnrollData2324,'2324 Jun 24 Enroll'!D$1,FALSE),'District Calculations'!$F$11)*K279,3)</f>
        <v>0</v>
      </c>
      <c r="M279">
        <f>ROUND(IF(VLOOKUP($A279,EnrollData2324,'2324 Jun 24 Enroll'!E$1,FALSE)='District Calculations'!$F$12,VLOOKUP($A279,EnrollData2324,'2324 Jun 24 Enroll'!E$1,FALSE),'District Calculations'!$F$12)*K279,3)</f>
        <v>3.5539999999999998</v>
      </c>
      <c r="N279">
        <f>ROUND(IF(VLOOKUP($A279,EnrollData2324,'2324 Jun 24 Enroll'!F$1,FALSE)='District Calculations'!$F$13,VLOOKUP($A279,EnrollData2324,'2324 Jun 24 Enroll'!F$1,FALSE),'District Calculations'!$F$13)*Apport_223A2425,3)</f>
        <v>0.84599999999999997</v>
      </c>
      <c r="O279">
        <f>ROUND(IF(VLOOKUP($A279,EnrollData2324,'2324 Jun 24 Enroll'!G$1,FALSE)='District Calculations'!$F$14,VLOOKUP($A279,EnrollData2324,'2324 Jun 24 Enroll'!G$1,FALSE),'District Calculations'!$F$14)*Apport_211A2425,3)</f>
        <v>1.877</v>
      </c>
      <c r="P279">
        <f>ROUND(IF(VLOOKUP($A279,EnrollData2324,'2324 Jun 24 Enroll'!H$1,FALSE)='District Calculations'!$F$14,VLOOKUP($A279,EnrollData2324,'2324 Jun 24 Enroll'!H$1,FALSE),'District Calculations'!$F$14)*Apport_214A2425,3)</f>
        <v>1.875</v>
      </c>
      <c r="Q279">
        <f>ROUND(IF(VLOOKUP($A279,EnrollData2324,'2324 Jun 24 Enroll'!I$1,FALSE)+VLOOKUP($A279,EnrollData2324,'2324 Jun 24 Enroll'!M$1,FALSE)-VLOOKUP($A279,EnrollData2324,'2324 Jun 24 Enroll'!J$1,FALSE)='District Calculations'!$F$16+'District Calculations'!$F$25-'District Calculations'!$F$17,VLOOKUP($A279,EnrollData2324,'2324 Jun 24 Enroll'!I$1,FALSE)+VLOOKUP($A279,EnrollData2324,'2324 Jun 24 Enroll'!M$1,FALSE)-VLOOKUP($A279,EnrollData2324,'2324 Jun 24 Enroll'!J$1,FALSE),'District Calculations'!$F$16+'District Calculations'!$F$25-'District Calculations'!$F$17)*Apport_217A2425,3)</f>
        <v>4.7130000000000001</v>
      </c>
      <c r="R279">
        <f>ROUND(SUM(L279:Q279)/IF(VLOOKUP($A279,EnrollData2324,'2324 Jun 24 Enroll'!M$1,FALSE)+VLOOKUP($A279,EnrollData2324,'2324 Jun 24 Enroll'!D$1,FALSE)='District Calculations'!$F$25+'District Calculations'!$F$11,VLOOKUP($A279,EnrollData2324,'2324 Jun 24 Enroll'!M$1,FALSE)+VLOOKUP($A279,EnrollData2324,'2324 Jun 24 Enroll'!D$1,FALSE),'District Calculations'!$F$25+'District Calculations'!$F$11),5)</f>
        <v>4.1200000000000004E-3</v>
      </c>
      <c r="S279" s="11">
        <f t="shared" si="51"/>
        <v>1.8734299999999999E-2</v>
      </c>
      <c r="T279">
        <f>ROUND(IF(VLOOKUP($A279,EnrollData2324,'2324 Jun 24 Enroll'!D$1,FALSE)='District Calculations'!$F$11,VLOOKUP($A279,EnrollData2324,'2324 Jun 24 Enroll'!D$1,FALSE),'District Calculations'!$F$11)*S279,3)</f>
        <v>0</v>
      </c>
      <c r="U279">
        <f>ROUND(IF(VLOOKUP($A279,EnrollData2324,'2324 Jun 24 Enroll'!E$1,FALSE)='District Calculations'!$F$12,VLOOKUP($A279,EnrollData2324,'2324 Jun 24 Enroll'!E$1,FALSE),'District Calculations'!$F$12)*S279,3)</f>
        <v>15.183999999999999</v>
      </c>
      <c r="V279">
        <f>ROUND(IF(VLOOKUP($A279,EnrollData2324,'2324 Jun 24 Enroll'!F$1,FALSE)='District Calculations'!$F$13,VLOOKUP($A279,EnrollData2324,'2324 Jun 24 Enroll'!F$1,FALSE),'District Calculations'!$F$13)*Apport_224A2425,3)</f>
        <v>3.7109999999999999</v>
      </c>
      <c r="W279">
        <f>ROUND(IF(VLOOKUP($A279,EnrollData2324,'2324 Jun 24 Enroll'!G$1,FALSE)='District Calculations'!$F$14,VLOOKUP($A279,EnrollData2324,'2324 Jun 24 Enroll'!G$1,FALSE),'District Calculations'!$F$14)*Apport_212A2425,3)</f>
        <v>8.2279999999999998</v>
      </c>
      <c r="X279">
        <f>ROUND(IF(VLOOKUP($A279,EnrollData2324,'2324 Jun 24 Enroll'!H$1,FALSE)='District Calculations'!$F$14,VLOOKUP($A279,EnrollData2324,'2324 Jun 24 Enroll'!H$1,FALSE),'District Calculations'!$F$14)*Apport_215A2425,3)</f>
        <v>8.1180000000000003</v>
      </c>
      <c r="Y279">
        <f>ROUND(IF(VLOOKUP($A279,EnrollData2324,'2324 Jun 24 Enroll'!I$1,FALSE)+VLOOKUP($A279,EnrollData2324,'2324 Jun 24 Enroll'!M$1,FALSE)-VLOOKUP($A279,EnrollData2324,'2324 Jun 24 Enroll'!J$1,FALSE)='District Calculations'!$F$16+'District Calculations'!$F$25-'District Calculations'!$F$17,VLOOKUP($A279,EnrollData2324,'2324 Jun 24 Enroll'!I$1,FALSE)+VLOOKUP($A279,EnrollData2324,'2324 Jun 24 Enroll'!M$1,FALSE)-VLOOKUP($A279,EnrollData2324,'2324 Jun 24 Enroll'!J$1,FALSE),'District Calculations'!$F$16+'District Calculations'!$F$25-'District Calculations'!$F$17)*Apport_218A2425,3)</f>
        <v>20.257999999999999</v>
      </c>
      <c r="Z279">
        <f>ROUND(SUM(T279:Y279)/IF(VLOOKUP($A279,EnrollData2324,'2324 Jun 24 Enroll'!M$1,FALSE)+VLOOKUP($A279,EnrollData2324,'2324 Jun 24 Enroll'!D$1,FALSE)='District Calculations'!$F$25+'District Calculations'!$F$11,VLOOKUP($A279,EnrollData2324,'2324 Jun 24 Enroll'!M$1,FALSE)+VLOOKUP($A279,EnrollData2324,'2324 Jun 24 Enroll'!D$1,FALSE),'District Calculations'!$F$25+'District Calculations'!$F$11),5)</f>
        <v>1.7780000000000001E-2</v>
      </c>
      <c r="AA279" s="6">
        <f>ROUND($J279*CIS_Base_Salary2425*VLOOKUP($A279,EnrollData2324,'2324 Jun 24 Enroll'!AH$1,FALSE),2)</f>
        <v>4262.68</v>
      </c>
      <c r="AB279" s="6">
        <f>ROUND($J279*CIS_Inc_Salary2425*(VLOOKUP($A279,EnrollData2324,'2324 Jun 24 Enroll'!AI$1,FALSE)+VLOOKUP($A279,EnrollData2324,'2324 Jun 24 Enroll'!AJ$1,FALSE)),2)-AA279</f>
        <v>157.6899999999996</v>
      </c>
      <c r="AC279" s="6" cm="1">
        <f t="array" ref="AC279">ROUND($R279*CAS_Base_Salary2425*VLOOKUP($A279,EnrollData2324,'2324 Jun 24 Enroll'!AH$1,FALSE),2)</f>
        <v>461.23</v>
      </c>
      <c r="AD279" s="6">
        <f>ROUND($R279*CAS_Inc_Salary2425*VLOOKUP($A279,EnrollData2324,'2324 Jun 24 Enroll'!AI$1,FALSE),2)-AC279</f>
        <v>17.069999999999993</v>
      </c>
      <c r="AE279" s="6">
        <f>ROUND($Z279*CLS_Base_Salary2425*VLOOKUP($A279,EnrollData2324,'2324 Jun 24 Enroll'!AH$1,FALSE),2)</f>
        <v>961.95</v>
      </c>
      <c r="AF279" s="6">
        <f>ROUND($Z279*CLS_Inc_Salary2425*VLOOKUP($A279,EnrollData2324,'2324 Jun 24 Enroll'!AI$1,FALSE),2)-AE279</f>
        <v>35.599999999999909</v>
      </c>
      <c r="AG279" cm="1">
        <f t="array" ref="AG279">ROUND(($J279+$R279)*Apport_124X2425,2)</f>
        <v>800.45</v>
      </c>
      <c r="AH279" s="69" cm="1">
        <f t="array" ref="AH279">ROUND(($J279+$R279)*Apport_621X2425*Apport_125XC2425,2)-AG279</f>
        <v>73.899999999999977</v>
      </c>
      <c r="AI279" cm="1">
        <f t="array" ref="AI279">ROUND($Z279*Apport_124X2425,2)</f>
        <v>234.7</v>
      </c>
      <c r="AJ279">
        <f t="shared" si="52"/>
        <v>124.71000000000004</v>
      </c>
      <c r="AK279">
        <f t="shared" si="53"/>
        <v>857.39</v>
      </c>
      <c r="AL279">
        <f t="shared" si="54"/>
        <v>30.6</v>
      </c>
      <c r="AM279">
        <f t="shared" si="55"/>
        <v>208.36</v>
      </c>
      <c r="AN279">
        <f t="shared" si="56"/>
        <v>6.46</v>
      </c>
      <c r="AO279">
        <f>ROUND(($J279*CIS_Inc_Salary2425*(VLOOKUP($A279,EnrollData2324,'2324 Jun 24 Enroll'!AI$1,FALSE)+VLOOKUP($A279,EnrollData2324,'2324 Jun 24 Enroll'!AJ$1,FALSE))/Apport_613Xpd)*Apport_614Xpd,2)</f>
        <v>73.67</v>
      </c>
      <c r="AP279">
        <f t="shared" si="57"/>
        <v>12.9</v>
      </c>
      <c r="AQ279">
        <f t="shared" si="58"/>
        <v>31.48</v>
      </c>
      <c r="AR279" s="6">
        <f>ROUND((VLOOKUP($A279,EnrollData2324,'2324 Jun 24 Enroll'!D$1,FALSE)*Apport_M802425+VLOOKUP($A279,EnrollData2324,'2324 Jun 24 Enroll'!M$1,FALSE)*Apport_M802425+(VLOOKUP($A279,EnrollData2324,'2324 Jun 24 Enroll'!P$1,FALSE)+VLOOKUP($A279,EnrollData2324,'2324 Jun 24 Enroll'!Q$1,FALSE)+VLOOKUP($A279,EnrollData2324,'2324 Jun 24 Enroll'!R$1,FALSE)+VLOOKUP($A279,EnrollData2324,'2324 Jun 24 Enroll'!I$1,FALSE)+VLOOKUP($A279,EnrollData2324,'2324 Jun 24 Enroll'!N$1,FALSE)+VLOOKUP($A279,EnrollData2324,'2324 Jun 24 Enroll'!O$1,FALSE)+VLOOKUP($A279,EnrollData2324,'2324 Jun 24 Enroll'!K$1,FALSE)+VLOOKUP($A279,EnrollData2324,'2324 Jun 24 Enroll'!L$1,FALSE))*Apport_M812425)/(VLOOKUP($A279,EnrollData2324,'2324 Jun 24 Enroll'!M$1,FALSE)+VLOOKUP($A279,EnrollData2324,'2324 Jun 24 Enroll'!D$1,FALSE)),2)</f>
        <v>1592.9</v>
      </c>
      <c r="AS279" s="7">
        <f t="shared" si="59"/>
        <v>9943.739999999998</v>
      </c>
    </row>
    <row r="280" spans="1:45">
      <c r="A280" s="40" t="s">
        <v>817</v>
      </c>
      <c r="B280" s="40" t="s">
        <v>818</v>
      </c>
      <c r="C280" s="11">
        <f>ROUND((IFERROR((1/IF(VLOOKUP($A280,EnrollData2324,28,FALSE)='District Calculations'!$F$10,VLOOKUP($A280,EnrollData2324,28,FALSE),'District Calculations'!$F$10))*(1+Apport_Z315),0))+Apport_201A2425,6)</f>
        <v>7.4580999999999995E-2</v>
      </c>
      <c r="D280">
        <f>ROUND(IF(VLOOKUP($A280,EnrollData2324,'2324 Jun 24 Enroll'!D$1,FALSE)='District Calculations'!$F$11,VLOOKUP($A280,EnrollData2324,'2324 Jun 24 Enroll'!D$1,FALSE),'District Calculations'!$F$11)*C280,3)</f>
        <v>0</v>
      </c>
      <c r="E280">
        <f>ROUND(IF(VLOOKUP($A280,EnrollData2324,'2324 Jun 24 Enroll'!E$1,FALSE)='District Calculations'!$F$12,VLOOKUP($A280,EnrollData2324,'2324 Jun 24 Enroll'!E$1,FALSE),'District Calculations'!$F$12)*C280,3)</f>
        <v>60.447000000000003</v>
      </c>
      <c r="F280">
        <f>ROUND(IF(VLOOKUP($A280,EnrollData2324,'2324 Jun 24 Enroll'!F$1,FALSE)='District Calculations'!$F$13,VLOOKUP($A280,EnrollData2324,'2324 Jun 24 Enroll'!F$1,FALSE),'District Calculations'!$F$13)*Apport_222A2425,3)</f>
        <v>10.337999999999999</v>
      </c>
      <c r="G280">
        <f>ROUND(IF(VLOOKUP($A280,EnrollData2324,'2324 Jun 24 Enroll'!G$1,FALSE)='District Calculations'!$F$14,VLOOKUP($A280,EnrollData2324,'2324 Jun 24 Enroll'!G$1,FALSE),'District Calculations'!$F$14)*Apport_210A2425,3)</f>
        <v>22.92</v>
      </c>
      <c r="H280">
        <f>ROUND(IF(VLOOKUP($A280,EnrollData2324,'2324 Jun 24 Enroll'!H$1,FALSE)='District Calculations'!$F$15,VLOOKUP($A280,EnrollData2324,'2324 Jun 24 Enroll'!H$1,FALSE),'District Calculations'!$F$15)*Apport_213A2425,3)</f>
        <v>23.619</v>
      </c>
      <c r="I280">
        <f>ROUND(IF(VLOOKUP($A280,EnrollData2324,'2324 Jun 24 Enroll'!I$1,FALSE)+VLOOKUP($A280,EnrollData2324,'2324 Jun 24 Enroll'!M$1,FALSE)-VLOOKUP($A280,EnrollData2324,'2324 Jun 24 Enroll'!J$1,FALSE)='District Calculations'!$F$16+'District Calculations'!$F$25-'District Calculations'!$F$17,VLOOKUP($A280,EnrollData2324,'2324 Jun 24 Enroll'!I$1,FALSE)+VLOOKUP($A280,EnrollData2324,'2324 Jun 24 Enroll'!M$1,FALSE)-VLOOKUP($A280,EnrollData2324,'2324 Jun 24 Enroll'!J$1,FALSE),'District Calculations'!$F$16+'District Calculations'!$F$25-'District Calculations'!$F$17)*Apport_216A2425,3)</f>
        <v>59.057000000000002</v>
      </c>
      <c r="J280">
        <f>ROUND(SUM(D280:I280)/(IF(VLOOKUP($A280,EnrollData2324,'2324 Jun 24 Enroll'!M$1,FALSE)='District Calculations'!$F$25,VLOOKUP($A280,EnrollData2324,'2324 Jun 24 Enroll'!M$1,FALSE),'District Calculations'!$F$25)+IF(VLOOKUP($A280,EnrollData2324,'2324 Jun 24 Enroll'!D$1,FALSE)='District Calculations'!$F$11,VLOOKUP($A280,EnrollData2324,'2324 Jun 24 Enroll'!D$1,FALSE),'District Calculations'!$F$11)),5)</f>
        <v>5.6520000000000001E-2</v>
      </c>
      <c r="K280" s="11">
        <f t="shared" si="50"/>
        <v>4.385E-3</v>
      </c>
      <c r="L280">
        <f>ROUND(IF(VLOOKUP($A280,EnrollData2324,'2324 Jun 24 Enroll'!D$1,FALSE)='District Calculations'!$F$11,VLOOKUP($A280,EnrollData2324,'2324 Jun 24 Enroll'!D$1,FALSE),'District Calculations'!$F$11)*K280,3)</f>
        <v>0</v>
      </c>
      <c r="M280">
        <f>ROUND(IF(VLOOKUP($A280,EnrollData2324,'2324 Jun 24 Enroll'!E$1,FALSE)='District Calculations'!$F$12,VLOOKUP($A280,EnrollData2324,'2324 Jun 24 Enroll'!E$1,FALSE),'District Calculations'!$F$12)*K280,3)</f>
        <v>3.5539999999999998</v>
      </c>
      <c r="N280">
        <f>ROUND(IF(VLOOKUP($A280,EnrollData2324,'2324 Jun 24 Enroll'!F$1,FALSE)='District Calculations'!$F$13,VLOOKUP($A280,EnrollData2324,'2324 Jun 24 Enroll'!F$1,FALSE),'District Calculations'!$F$13)*Apport_223A2425,3)</f>
        <v>0.84599999999999997</v>
      </c>
      <c r="O280">
        <f>ROUND(IF(VLOOKUP($A280,EnrollData2324,'2324 Jun 24 Enroll'!G$1,FALSE)='District Calculations'!$F$14,VLOOKUP($A280,EnrollData2324,'2324 Jun 24 Enroll'!G$1,FALSE),'District Calculations'!$F$14)*Apport_211A2425,3)</f>
        <v>1.877</v>
      </c>
      <c r="P280">
        <f>ROUND(IF(VLOOKUP($A280,EnrollData2324,'2324 Jun 24 Enroll'!H$1,FALSE)='District Calculations'!$F$14,VLOOKUP($A280,EnrollData2324,'2324 Jun 24 Enroll'!H$1,FALSE),'District Calculations'!$F$14)*Apport_214A2425,3)</f>
        <v>1.875</v>
      </c>
      <c r="Q280">
        <f>ROUND(IF(VLOOKUP($A280,EnrollData2324,'2324 Jun 24 Enroll'!I$1,FALSE)+VLOOKUP($A280,EnrollData2324,'2324 Jun 24 Enroll'!M$1,FALSE)-VLOOKUP($A280,EnrollData2324,'2324 Jun 24 Enroll'!J$1,FALSE)='District Calculations'!$F$16+'District Calculations'!$F$25-'District Calculations'!$F$17,VLOOKUP($A280,EnrollData2324,'2324 Jun 24 Enroll'!I$1,FALSE)+VLOOKUP($A280,EnrollData2324,'2324 Jun 24 Enroll'!M$1,FALSE)-VLOOKUP($A280,EnrollData2324,'2324 Jun 24 Enroll'!J$1,FALSE),'District Calculations'!$F$16+'District Calculations'!$F$25-'District Calculations'!$F$17)*Apport_217A2425,3)</f>
        <v>4.7130000000000001</v>
      </c>
      <c r="R280">
        <f>ROUND(SUM(L280:Q280)/IF(VLOOKUP($A280,EnrollData2324,'2324 Jun 24 Enroll'!M$1,FALSE)+VLOOKUP($A280,EnrollData2324,'2324 Jun 24 Enroll'!D$1,FALSE)='District Calculations'!$F$25+'District Calculations'!$F$11,VLOOKUP($A280,EnrollData2324,'2324 Jun 24 Enroll'!M$1,FALSE)+VLOOKUP($A280,EnrollData2324,'2324 Jun 24 Enroll'!D$1,FALSE),'District Calculations'!$F$25+'District Calculations'!$F$11),5)</f>
        <v>4.1200000000000004E-3</v>
      </c>
      <c r="S280" s="11">
        <f t="shared" si="51"/>
        <v>1.8734299999999999E-2</v>
      </c>
      <c r="T280">
        <f>ROUND(IF(VLOOKUP($A280,EnrollData2324,'2324 Jun 24 Enroll'!D$1,FALSE)='District Calculations'!$F$11,VLOOKUP($A280,EnrollData2324,'2324 Jun 24 Enroll'!D$1,FALSE),'District Calculations'!$F$11)*S280,3)</f>
        <v>0</v>
      </c>
      <c r="U280">
        <f>ROUND(IF(VLOOKUP($A280,EnrollData2324,'2324 Jun 24 Enroll'!E$1,FALSE)='District Calculations'!$F$12,VLOOKUP($A280,EnrollData2324,'2324 Jun 24 Enroll'!E$1,FALSE),'District Calculations'!$F$12)*S280,3)</f>
        <v>15.183999999999999</v>
      </c>
      <c r="V280">
        <f>ROUND(IF(VLOOKUP($A280,EnrollData2324,'2324 Jun 24 Enroll'!F$1,FALSE)='District Calculations'!$F$13,VLOOKUP($A280,EnrollData2324,'2324 Jun 24 Enroll'!F$1,FALSE),'District Calculations'!$F$13)*Apport_224A2425,3)</f>
        <v>3.7109999999999999</v>
      </c>
      <c r="W280">
        <f>ROUND(IF(VLOOKUP($A280,EnrollData2324,'2324 Jun 24 Enroll'!G$1,FALSE)='District Calculations'!$F$14,VLOOKUP($A280,EnrollData2324,'2324 Jun 24 Enroll'!G$1,FALSE),'District Calculations'!$F$14)*Apport_212A2425,3)</f>
        <v>8.2279999999999998</v>
      </c>
      <c r="X280">
        <f>ROUND(IF(VLOOKUP($A280,EnrollData2324,'2324 Jun 24 Enroll'!H$1,FALSE)='District Calculations'!$F$14,VLOOKUP($A280,EnrollData2324,'2324 Jun 24 Enroll'!H$1,FALSE),'District Calculations'!$F$14)*Apport_215A2425,3)</f>
        <v>8.1180000000000003</v>
      </c>
      <c r="Y280">
        <f>ROUND(IF(VLOOKUP($A280,EnrollData2324,'2324 Jun 24 Enroll'!I$1,FALSE)+VLOOKUP($A280,EnrollData2324,'2324 Jun 24 Enroll'!M$1,FALSE)-VLOOKUP($A280,EnrollData2324,'2324 Jun 24 Enroll'!J$1,FALSE)='District Calculations'!$F$16+'District Calculations'!$F$25-'District Calculations'!$F$17,VLOOKUP($A280,EnrollData2324,'2324 Jun 24 Enroll'!I$1,FALSE)+VLOOKUP($A280,EnrollData2324,'2324 Jun 24 Enroll'!M$1,FALSE)-VLOOKUP($A280,EnrollData2324,'2324 Jun 24 Enroll'!J$1,FALSE),'District Calculations'!$F$16+'District Calculations'!$F$25-'District Calculations'!$F$17)*Apport_218A2425,3)</f>
        <v>20.257999999999999</v>
      </c>
      <c r="Z280">
        <f>ROUND(SUM(T280:Y280)/IF(VLOOKUP($A280,EnrollData2324,'2324 Jun 24 Enroll'!M$1,FALSE)+VLOOKUP($A280,EnrollData2324,'2324 Jun 24 Enroll'!D$1,FALSE)='District Calculations'!$F$25+'District Calculations'!$F$11,VLOOKUP($A280,EnrollData2324,'2324 Jun 24 Enroll'!M$1,FALSE)+VLOOKUP($A280,EnrollData2324,'2324 Jun 24 Enroll'!D$1,FALSE),'District Calculations'!$F$25+'District Calculations'!$F$11),5)</f>
        <v>1.7780000000000001E-2</v>
      </c>
      <c r="AA280" s="6">
        <f>ROUND($J280*CIS_Base_Salary2425*VLOOKUP($A280,EnrollData2324,'2324 Jun 24 Enroll'!AH$1,FALSE),2)</f>
        <v>4262.68</v>
      </c>
      <c r="AB280" s="6">
        <f>ROUND($J280*CIS_Inc_Salary2425*(VLOOKUP($A280,EnrollData2324,'2324 Jun 24 Enroll'!AI$1,FALSE)+VLOOKUP($A280,EnrollData2324,'2324 Jun 24 Enroll'!AJ$1,FALSE)),2)-AA280</f>
        <v>157.6899999999996</v>
      </c>
      <c r="AC280" s="6" cm="1">
        <f t="array" ref="AC280">ROUND($R280*CAS_Base_Salary2425*VLOOKUP($A280,EnrollData2324,'2324 Jun 24 Enroll'!AH$1,FALSE),2)</f>
        <v>461.23</v>
      </c>
      <c r="AD280" s="6">
        <f>ROUND($R280*CAS_Inc_Salary2425*VLOOKUP($A280,EnrollData2324,'2324 Jun 24 Enroll'!AI$1,FALSE),2)-AC280</f>
        <v>17.069999999999993</v>
      </c>
      <c r="AE280" s="6">
        <f>ROUND($Z280*CLS_Base_Salary2425*VLOOKUP($A280,EnrollData2324,'2324 Jun 24 Enroll'!AH$1,FALSE),2)</f>
        <v>961.95</v>
      </c>
      <c r="AF280" s="6">
        <f>ROUND($Z280*CLS_Inc_Salary2425*VLOOKUP($A280,EnrollData2324,'2324 Jun 24 Enroll'!AI$1,FALSE),2)-AE280</f>
        <v>35.599999999999909</v>
      </c>
      <c r="AG280" cm="1">
        <f t="array" ref="AG280">ROUND(($J280+$R280)*Apport_124X2425,2)</f>
        <v>800.45</v>
      </c>
      <c r="AH280" s="69" cm="1">
        <f t="array" ref="AH280">ROUND(($J280+$R280)*Apport_621X2425*Apport_125XC2425,2)-AG280</f>
        <v>73.899999999999977</v>
      </c>
      <c r="AI280" cm="1">
        <f t="array" ref="AI280">ROUND($Z280*Apport_124X2425,2)</f>
        <v>234.7</v>
      </c>
      <c r="AJ280">
        <f t="shared" si="52"/>
        <v>124.71000000000004</v>
      </c>
      <c r="AK280">
        <f t="shared" si="53"/>
        <v>857.39</v>
      </c>
      <c r="AL280">
        <f t="shared" si="54"/>
        <v>30.6</v>
      </c>
      <c r="AM280">
        <f t="shared" si="55"/>
        <v>208.36</v>
      </c>
      <c r="AN280">
        <f t="shared" si="56"/>
        <v>6.46</v>
      </c>
      <c r="AO280">
        <f>ROUND(($J280*CIS_Inc_Salary2425*(VLOOKUP($A280,EnrollData2324,'2324 Jun 24 Enroll'!AI$1,FALSE)+VLOOKUP($A280,EnrollData2324,'2324 Jun 24 Enroll'!AJ$1,FALSE))/Apport_613Xpd)*Apport_614Xpd,2)</f>
        <v>73.67</v>
      </c>
      <c r="AP280">
        <f t="shared" si="57"/>
        <v>12.9</v>
      </c>
      <c r="AQ280">
        <f t="shared" si="58"/>
        <v>31.48</v>
      </c>
      <c r="AR280" s="6">
        <f>ROUND((VLOOKUP($A280,EnrollData2324,'2324 Jun 24 Enroll'!D$1,FALSE)*Apport_M802425+VLOOKUP($A280,EnrollData2324,'2324 Jun 24 Enroll'!M$1,FALSE)*Apport_M802425+(VLOOKUP($A280,EnrollData2324,'2324 Jun 24 Enroll'!P$1,FALSE)+VLOOKUP($A280,EnrollData2324,'2324 Jun 24 Enroll'!Q$1,FALSE)+VLOOKUP($A280,EnrollData2324,'2324 Jun 24 Enroll'!R$1,FALSE)+VLOOKUP($A280,EnrollData2324,'2324 Jun 24 Enroll'!I$1,FALSE)+VLOOKUP($A280,EnrollData2324,'2324 Jun 24 Enroll'!N$1,FALSE)+VLOOKUP($A280,EnrollData2324,'2324 Jun 24 Enroll'!O$1,FALSE)+VLOOKUP($A280,EnrollData2324,'2324 Jun 24 Enroll'!K$1,FALSE)+VLOOKUP($A280,EnrollData2324,'2324 Jun 24 Enroll'!L$1,FALSE))*Apport_M812425)/(VLOOKUP($A280,EnrollData2324,'2324 Jun 24 Enroll'!M$1,FALSE)+VLOOKUP($A280,EnrollData2324,'2324 Jun 24 Enroll'!D$1,FALSE)),2)</f>
        <v>1594.05</v>
      </c>
      <c r="AS280" s="7">
        <f t="shared" si="59"/>
        <v>9944.8899999999976</v>
      </c>
    </row>
    <row r="281" spans="1:45">
      <c r="A281" s="40" t="s">
        <v>932</v>
      </c>
      <c r="B281" s="40" t="s">
        <v>1019</v>
      </c>
      <c r="C281" s="11">
        <f>ROUND((IFERROR((1/IF(VLOOKUP($A281,EnrollData2324,28,FALSE)='District Calculations'!$F$10,VLOOKUP($A281,EnrollData2324,28,FALSE),'District Calculations'!$F$10))*(1+Apport_Z315),0))+Apport_201A2425,6)</f>
        <v>7.4580999999999995E-2</v>
      </c>
      <c r="D281">
        <f>ROUND(IF(VLOOKUP($A281,EnrollData2324,'2324 Jun 24 Enroll'!D$1,FALSE)='District Calculations'!$F$11,VLOOKUP($A281,EnrollData2324,'2324 Jun 24 Enroll'!D$1,FALSE),'District Calculations'!$F$11)*C281,3)</f>
        <v>0</v>
      </c>
      <c r="E281">
        <f>ROUND(IF(VLOOKUP($A281,EnrollData2324,'2324 Jun 24 Enroll'!E$1,FALSE)='District Calculations'!$F$12,VLOOKUP($A281,EnrollData2324,'2324 Jun 24 Enroll'!E$1,FALSE),'District Calculations'!$F$12)*C281,3)</f>
        <v>60.447000000000003</v>
      </c>
      <c r="F281">
        <f>ROUND(IF(VLOOKUP($A281,EnrollData2324,'2324 Jun 24 Enroll'!F$1,FALSE)='District Calculations'!$F$13,VLOOKUP($A281,EnrollData2324,'2324 Jun 24 Enroll'!F$1,FALSE),'District Calculations'!$F$13)*Apport_222A2425,3)</f>
        <v>10.337999999999999</v>
      </c>
      <c r="G281">
        <f>ROUND(IF(VLOOKUP($A281,EnrollData2324,'2324 Jun 24 Enroll'!G$1,FALSE)='District Calculations'!$F$14,VLOOKUP($A281,EnrollData2324,'2324 Jun 24 Enroll'!G$1,FALSE),'District Calculations'!$F$14)*Apport_210A2425,3)</f>
        <v>22.92</v>
      </c>
      <c r="H281">
        <f>ROUND(IF(VLOOKUP($A281,EnrollData2324,'2324 Jun 24 Enroll'!H$1,FALSE)='District Calculations'!$F$15,VLOOKUP($A281,EnrollData2324,'2324 Jun 24 Enroll'!H$1,FALSE),'District Calculations'!$F$15)*Apport_213A2425,3)</f>
        <v>23.619</v>
      </c>
      <c r="I281">
        <f>ROUND(IF(VLOOKUP($A281,EnrollData2324,'2324 Jun 24 Enroll'!I$1,FALSE)+VLOOKUP($A281,EnrollData2324,'2324 Jun 24 Enroll'!M$1,FALSE)-VLOOKUP($A281,EnrollData2324,'2324 Jun 24 Enroll'!J$1,FALSE)='District Calculations'!$F$16+'District Calculations'!$F$25-'District Calculations'!$F$17,VLOOKUP($A281,EnrollData2324,'2324 Jun 24 Enroll'!I$1,FALSE)+VLOOKUP($A281,EnrollData2324,'2324 Jun 24 Enroll'!M$1,FALSE)-VLOOKUP($A281,EnrollData2324,'2324 Jun 24 Enroll'!J$1,FALSE),'District Calculations'!$F$16+'District Calculations'!$F$25-'District Calculations'!$F$17)*Apport_216A2425,3)</f>
        <v>59.057000000000002</v>
      </c>
      <c r="J281">
        <f>ROUND(SUM(D281:I281)/(IF(VLOOKUP($A281,EnrollData2324,'2324 Jun 24 Enroll'!M$1,FALSE)='District Calculations'!$F$25,VLOOKUP($A281,EnrollData2324,'2324 Jun 24 Enroll'!M$1,FALSE),'District Calculations'!$F$25)+IF(VLOOKUP($A281,EnrollData2324,'2324 Jun 24 Enroll'!D$1,FALSE)='District Calculations'!$F$11,VLOOKUP($A281,EnrollData2324,'2324 Jun 24 Enroll'!D$1,FALSE),'District Calculations'!$F$11)),5)</f>
        <v>5.6520000000000001E-2</v>
      </c>
      <c r="K281" s="11">
        <f t="shared" si="50"/>
        <v>4.385E-3</v>
      </c>
      <c r="L281">
        <f>ROUND(IF(VLOOKUP($A281,EnrollData2324,'2324 Jun 24 Enroll'!D$1,FALSE)='District Calculations'!$F$11,VLOOKUP($A281,EnrollData2324,'2324 Jun 24 Enroll'!D$1,FALSE),'District Calculations'!$F$11)*K281,3)</f>
        <v>0</v>
      </c>
      <c r="M281">
        <f>ROUND(IF(VLOOKUP($A281,EnrollData2324,'2324 Jun 24 Enroll'!E$1,FALSE)='District Calculations'!$F$12,VLOOKUP($A281,EnrollData2324,'2324 Jun 24 Enroll'!E$1,FALSE),'District Calculations'!$F$12)*K281,3)</f>
        <v>3.5539999999999998</v>
      </c>
      <c r="N281">
        <f>ROUND(IF(VLOOKUP($A281,EnrollData2324,'2324 Jun 24 Enroll'!F$1,FALSE)='District Calculations'!$F$13,VLOOKUP($A281,EnrollData2324,'2324 Jun 24 Enroll'!F$1,FALSE),'District Calculations'!$F$13)*Apport_223A2425,3)</f>
        <v>0.84599999999999997</v>
      </c>
      <c r="O281">
        <f>ROUND(IF(VLOOKUP($A281,EnrollData2324,'2324 Jun 24 Enroll'!G$1,FALSE)='District Calculations'!$F$14,VLOOKUP($A281,EnrollData2324,'2324 Jun 24 Enroll'!G$1,FALSE),'District Calculations'!$F$14)*Apport_211A2425,3)</f>
        <v>1.877</v>
      </c>
      <c r="P281">
        <f>ROUND(IF(VLOOKUP($A281,EnrollData2324,'2324 Jun 24 Enroll'!H$1,FALSE)='District Calculations'!$F$14,VLOOKUP($A281,EnrollData2324,'2324 Jun 24 Enroll'!H$1,FALSE),'District Calculations'!$F$14)*Apport_214A2425,3)</f>
        <v>1.875</v>
      </c>
      <c r="Q281">
        <f>ROUND(IF(VLOOKUP($A281,EnrollData2324,'2324 Jun 24 Enroll'!I$1,FALSE)+VLOOKUP($A281,EnrollData2324,'2324 Jun 24 Enroll'!M$1,FALSE)-VLOOKUP($A281,EnrollData2324,'2324 Jun 24 Enroll'!J$1,FALSE)='District Calculations'!$F$16+'District Calculations'!$F$25-'District Calculations'!$F$17,VLOOKUP($A281,EnrollData2324,'2324 Jun 24 Enroll'!I$1,FALSE)+VLOOKUP($A281,EnrollData2324,'2324 Jun 24 Enroll'!M$1,FALSE)-VLOOKUP($A281,EnrollData2324,'2324 Jun 24 Enroll'!J$1,FALSE),'District Calculations'!$F$16+'District Calculations'!$F$25-'District Calculations'!$F$17)*Apport_217A2425,3)</f>
        <v>4.7130000000000001</v>
      </c>
      <c r="R281">
        <f>ROUND(SUM(L281:Q281)/IF(VLOOKUP($A281,EnrollData2324,'2324 Jun 24 Enroll'!M$1,FALSE)+VLOOKUP($A281,EnrollData2324,'2324 Jun 24 Enroll'!D$1,FALSE)='District Calculations'!$F$25+'District Calculations'!$F$11,VLOOKUP($A281,EnrollData2324,'2324 Jun 24 Enroll'!M$1,FALSE)+VLOOKUP($A281,EnrollData2324,'2324 Jun 24 Enroll'!D$1,FALSE),'District Calculations'!$F$25+'District Calculations'!$F$11),5)</f>
        <v>4.1200000000000004E-3</v>
      </c>
      <c r="S281" s="11">
        <f t="shared" si="51"/>
        <v>1.8734299999999999E-2</v>
      </c>
      <c r="T281">
        <f>ROUND(IF(VLOOKUP($A281,EnrollData2324,'2324 Jun 24 Enroll'!D$1,FALSE)='District Calculations'!$F$11,VLOOKUP($A281,EnrollData2324,'2324 Jun 24 Enroll'!D$1,FALSE),'District Calculations'!$F$11)*S281,3)</f>
        <v>0</v>
      </c>
      <c r="U281">
        <f>ROUND(IF(VLOOKUP($A281,EnrollData2324,'2324 Jun 24 Enroll'!E$1,FALSE)='District Calculations'!$F$12,VLOOKUP($A281,EnrollData2324,'2324 Jun 24 Enroll'!E$1,FALSE),'District Calculations'!$F$12)*S281,3)</f>
        <v>15.183999999999999</v>
      </c>
      <c r="V281">
        <f>ROUND(IF(VLOOKUP($A281,EnrollData2324,'2324 Jun 24 Enroll'!F$1,FALSE)='District Calculations'!$F$13,VLOOKUP($A281,EnrollData2324,'2324 Jun 24 Enroll'!F$1,FALSE),'District Calculations'!$F$13)*Apport_224A2425,3)</f>
        <v>3.7109999999999999</v>
      </c>
      <c r="W281">
        <f>ROUND(IF(VLOOKUP($A281,EnrollData2324,'2324 Jun 24 Enroll'!G$1,FALSE)='District Calculations'!$F$14,VLOOKUP($A281,EnrollData2324,'2324 Jun 24 Enroll'!G$1,FALSE),'District Calculations'!$F$14)*Apport_212A2425,3)</f>
        <v>8.2279999999999998</v>
      </c>
      <c r="X281">
        <f>ROUND(IF(VLOOKUP($A281,EnrollData2324,'2324 Jun 24 Enroll'!H$1,FALSE)='District Calculations'!$F$14,VLOOKUP($A281,EnrollData2324,'2324 Jun 24 Enroll'!H$1,FALSE),'District Calculations'!$F$14)*Apport_215A2425,3)</f>
        <v>8.1180000000000003</v>
      </c>
      <c r="Y281">
        <f>ROUND(IF(VLOOKUP($A281,EnrollData2324,'2324 Jun 24 Enroll'!I$1,FALSE)+VLOOKUP($A281,EnrollData2324,'2324 Jun 24 Enroll'!M$1,FALSE)-VLOOKUP($A281,EnrollData2324,'2324 Jun 24 Enroll'!J$1,FALSE)='District Calculations'!$F$16+'District Calculations'!$F$25-'District Calculations'!$F$17,VLOOKUP($A281,EnrollData2324,'2324 Jun 24 Enroll'!I$1,FALSE)+VLOOKUP($A281,EnrollData2324,'2324 Jun 24 Enroll'!M$1,FALSE)-VLOOKUP($A281,EnrollData2324,'2324 Jun 24 Enroll'!J$1,FALSE),'District Calculations'!$F$16+'District Calculations'!$F$25-'District Calculations'!$F$17)*Apport_218A2425,3)</f>
        <v>20.257999999999999</v>
      </c>
      <c r="Z281">
        <f>ROUND(SUM(T281:Y281)/IF(VLOOKUP($A281,EnrollData2324,'2324 Jun 24 Enroll'!M$1,FALSE)+VLOOKUP($A281,EnrollData2324,'2324 Jun 24 Enroll'!D$1,FALSE)='District Calculations'!$F$25+'District Calculations'!$F$11,VLOOKUP($A281,EnrollData2324,'2324 Jun 24 Enroll'!M$1,FALSE)+VLOOKUP($A281,EnrollData2324,'2324 Jun 24 Enroll'!D$1,FALSE),'District Calculations'!$F$25+'District Calculations'!$F$11),5)</f>
        <v>1.7780000000000001E-2</v>
      </c>
      <c r="AA281" s="6">
        <f>ROUND($J281*CIS_Base_Salary2425*VLOOKUP($A281,EnrollData2324,'2324 Jun 24 Enroll'!AH$1,FALSE),2)</f>
        <v>4262.68</v>
      </c>
      <c r="AB281" s="6">
        <f>ROUND($J281*CIS_Inc_Salary2425*(VLOOKUP($A281,EnrollData2324,'2324 Jun 24 Enroll'!AI$1,FALSE)+VLOOKUP($A281,EnrollData2324,'2324 Jun 24 Enroll'!AJ$1,FALSE)),2)-AA281</f>
        <v>157.6899999999996</v>
      </c>
      <c r="AC281" s="6" cm="1">
        <f t="array" ref="AC281">ROUND($R281*CAS_Base_Salary2425*VLOOKUP($A281,EnrollData2324,'2324 Jun 24 Enroll'!AH$1,FALSE),2)</f>
        <v>461.23</v>
      </c>
      <c r="AD281" s="6">
        <f>ROUND($R281*CAS_Inc_Salary2425*VLOOKUP($A281,EnrollData2324,'2324 Jun 24 Enroll'!AI$1,FALSE),2)-AC281</f>
        <v>17.069999999999993</v>
      </c>
      <c r="AE281" s="6">
        <f>ROUND($Z281*CLS_Base_Salary2425*VLOOKUP($A281,EnrollData2324,'2324 Jun 24 Enroll'!AH$1,FALSE),2)</f>
        <v>961.95</v>
      </c>
      <c r="AF281" s="6">
        <f>ROUND($Z281*CLS_Inc_Salary2425*VLOOKUP($A281,EnrollData2324,'2324 Jun 24 Enroll'!AI$1,FALSE),2)-AE281</f>
        <v>35.599999999999909</v>
      </c>
      <c r="AG281" cm="1">
        <f t="array" ref="AG281">ROUND(($J281+$R281)*Apport_124X2425,2)</f>
        <v>800.45</v>
      </c>
      <c r="AH281" s="69" cm="1">
        <f t="array" ref="AH281">ROUND(($J281+$R281)*Apport_621X2425*Apport_125XC2425,2)-AG281</f>
        <v>73.899999999999977</v>
      </c>
      <c r="AI281" cm="1">
        <f t="array" ref="AI281">ROUND($Z281*Apport_124X2425,2)</f>
        <v>234.7</v>
      </c>
      <c r="AJ281">
        <f t="shared" si="52"/>
        <v>124.71000000000004</v>
      </c>
      <c r="AK281">
        <f t="shared" si="53"/>
        <v>857.39</v>
      </c>
      <c r="AL281">
        <f t="shared" si="54"/>
        <v>30.6</v>
      </c>
      <c r="AM281">
        <f t="shared" si="55"/>
        <v>208.36</v>
      </c>
      <c r="AN281">
        <f t="shared" si="56"/>
        <v>6.46</v>
      </c>
      <c r="AO281">
        <f>ROUND(($J281*CIS_Inc_Salary2425*(VLOOKUP($A281,EnrollData2324,'2324 Jun 24 Enroll'!AI$1,FALSE)+VLOOKUP($A281,EnrollData2324,'2324 Jun 24 Enroll'!AJ$1,FALSE))/Apport_613Xpd)*Apport_614Xpd,2)</f>
        <v>73.67</v>
      </c>
      <c r="AP281">
        <f t="shared" si="57"/>
        <v>12.9</v>
      </c>
      <c r="AQ281">
        <f t="shared" si="58"/>
        <v>31.48</v>
      </c>
      <c r="AR281" s="6">
        <f>ROUND((VLOOKUP($A281,EnrollData2324,'2324 Jun 24 Enroll'!D$1,FALSE)*Apport_M802425+VLOOKUP($A281,EnrollData2324,'2324 Jun 24 Enroll'!M$1,FALSE)*Apport_M802425+(VLOOKUP($A281,EnrollData2324,'2324 Jun 24 Enroll'!P$1,FALSE)+VLOOKUP($A281,EnrollData2324,'2324 Jun 24 Enroll'!Q$1,FALSE)+VLOOKUP($A281,EnrollData2324,'2324 Jun 24 Enroll'!R$1,FALSE)+VLOOKUP($A281,EnrollData2324,'2324 Jun 24 Enroll'!I$1,FALSE)+VLOOKUP($A281,EnrollData2324,'2324 Jun 24 Enroll'!N$1,FALSE)+VLOOKUP($A281,EnrollData2324,'2324 Jun 24 Enroll'!O$1,FALSE)+VLOOKUP($A281,EnrollData2324,'2324 Jun 24 Enroll'!K$1,FALSE)+VLOOKUP($A281,EnrollData2324,'2324 Jun 24 Enroll'!L$1,FALSE))*Apport_M812425)/(VLOOKUP($A281,EnrollData2324,'2324 Jun 24 Enroll'!M$1,FALSE)+VLOOKUP($A281,EnrollData2324,'2324 Jun 24 Enroll'!D$1,FALSE)),2)</f>
        <v>1533.02</v>
      </c>
      <c r="AS281" s="7">
        <f t="shared" si="59"/>
        <v>9883.8599999999988</v>
      </c>
    </row>
    <row r="282" spans="1:45">
      <c r="A282" s="40" t="s">
        <v>851</v>
      </c>
      <c r="B282" s="40" t="s">
        <v>852</v>
      </c>
      <c r="C282" s="11">
        <f>ROUND((IFERROR((1/IF(VLOOKUP($A282,EnrollData2324,28,FALSE)='District Calculations'!$F$10,VLOOKUP($A282,EnrollData2324,28,FALSE),'District Calculations'!$F$10))*(1+Apport_Z315),0))+Apport_201A2425,6)</f>
        <v>7.4580999999999995E-2</v>
      </c>
      <c r="D282">
        <f>ROUND(IF(VLOOKUP($A282,EnrollData2324,'2324 Jun 24 Enroll'!D$1,FALSE)='District Calculations'!$F$11,VLOOKUP($A282,EnrollData2324,'2324 Jun 24 Enroll'!D$1,FALSE),'District Calculations'!$F$11)*C282,3)</f>
        <v>0</v>
      </c>
      <c r="E282">
        <f>ROUND(IF(VLOOKUP($A282,EnrollData2324,'2324 Jun 24 Enroll'!E$1,FALSE)='District Calculations'!$F$12,VLOOKUP($A282,EnrollData2324,'2324 Jun 24 Enroll'!E$1,FALSE),'District Calculations'!$F$12)*C282,3)</f>
        <v>60.447000000000003</v>
      </c>
      <c r="F282">
        <f>ROUND(IF(VLOOKUP($A282,EnrollData2324,'2324 Jun 24 Enroll'!F$1,FALSE)='District Calculations'!$F$13,VLOOKUP($A282,EnrollData2324,'2324 Jun 24 Enroll'!F$1,FALSE),'District Calculations'!$F$13)*Apport_222A2425,3)</f>
        <v>10.337999999999999</v>
      </c>
      <c r="G282">
        <f>ROUND(IF(VLOOKUP($A282,EnrollData2324,'2324 Jun 24 Enroll'!G$1,FALSE)='District Calculations'!$F$14,VLOOKUP($A282,EnrollData2324,'2324 Jun 24 Enroll'!G$1,FALSE),'District Calculations'!$F$14)*Apport_210A2425,3)</f>
        <v>22.92</v>
      </c>
      <c r="H282">
        <f>ROUND(IF(VLOOKUP($A282,EnrollData2324,'2324 Jun 24 Enroll'!H$1,FALSE)='District Calculations'!$F$15,VLOOKUP($A282,EnrollData2324,'2324 Jun 24 Enroll'!H$1,FALSE),'District Calculations'!$F$15)*Apport_213A2425,3)</f>
        <v>23.619</v>
      </c>
      <c r="I282">
        <f>ROUND(IF(VLOOKUP($A282,EnrollData2324,'2324 Jun 24 Enroll'!I$1,FALSE)+VLOOKUP($A282,EnrollData2324,'2324 Jun 24 Enroll'!M$1,FALSE)-VLOOKUP($A282,EnrollData2324,'2324 Jun 24 Enroll'!J$1,FALSE)='District Calculations'!$F$16+'District Calculations'!$F$25-'District Calculations'!$F$17,VLOOKUP($A282,EnrollData2324,'2324 Jun 24 Enroll'!I$1,FALSE)+VLOOKUP($A282,EnrollData2324,'2324 Jun 24 Enroll'!M$1,FALSE)-VLOOKUP($A282,EnrollData2324,'2324 Jun 24 Enroll'!J$1,FALSE),'District Calculations'!$F$16+'District Calculations'!$F$25-'District Calculations'!$F$17)*Apport_216A2425,3)</f>
        <v>59.057000000000002</v>
      </c>
      <c r="J282">
        <f>ROUND(SUM(D282:I282)/(IF(VLOOKUP($A282,EnrollData2324,'2324 Jun 24 Enroll'!M$1,FALSE)='District Calculations'!$F$25,VLOOKUP($A282,EnrollData2324,'2324 Jun 24 Enroll'!M$1,FALSE),'District Calculations'!$F$25)+IF(VLOOKUP($A282,EnrollData2324,'2324 Jun 24 Enroll'!D$1,FALSE)='District Calculations'!$F$11,VLOOKUP($A282,EnrollData2324,'2324 Jun 24 Enroll'!D$1,FALSE),'District Calculations'!$F$11)),5)</f>
        <v>5.6520000000000001E-2</v>
      </c>
      <c r="K282" s="11">
        <f t="shared" si="50"/>
        <v>4.385E-3</v>
      </c>
      <c r="L282">
        <f>ROUND(IF(VLOOKUP($A282,EnrollData2324,'2324 Jun 24 Enroll'!D$1,FALSE)='District Calculations'!$F$11,VLOOKUP($A282,EnrollData2324,'2324 Jun 24 Enroll'!D$1,FALSE),'District Calculations'!$F$11)*K282,3)</f>
        <v>0</v>
      </c>
      <c r="M282">
        <f>ROUND(IF(VLOOKUP($A282,EnrollData2324,'2324 Jun 24 Enroll'!E$1,FALSE)='District Calculations'!$F$12,VLOOKUP($A282,EnrollData2324,'2324 Jun 24 Enroll'!E$1,FALSE),'District Calculations'!$F$12)*K282,3)</f>
        <v>3.5539999999999998</v>
      </c>
      <c r="N282">
        <f>ROUND(IF(VLOOKUP($A282,EnrollData2324,'2324 Jun 24 Enroll'!F$1,FALSE)='District Calculations'!$F$13,VLOOKUP($A282,EnrollData2324,'2324 Jun 24 Enroll'!F$1,FALSE),'District Calculations'!$F$13)*Apport_223A2425,3)</f>
        <v>0.84599999999999997</v>
      </c>
      <c r="O282">
        <f>ROUND(IF(VLOOKUP($A282,EnrollData2324,'2324 Jun 24 Enroll'!G$1,FALSE)='District Calculations'!$F$14,VLOOKUP($A282,EnrollData2324,'2324 Jun 24 Enroll'!G$1,FALSE),'District Calculations'!$F$14)*Apport_211A2425,3)</f>
        <v>1.877</v>
      </c>
      <c r="P282">
        <f>ROUND(IF(VLOOKUP($A282,EnrollData2324,'2324 Jun 24 Enroll'!H$1,FALSE)='District Calculations'!$F$14,VLOOKUP($A282,EnrollData2324,'2324 Jun 24 Enroll'!H$1,FALSE),'District Calculations'!$F$14)*Apport_214A2425,3)</f>
        <v>1.875</v>
      </c>
      <c r="Q282">
        <f>ROUND(IF(VLOOKUP($A282,EnrollData2324,'2324 Jun 24 Enroll'!I$1,FALSE)+VLOOKUP($A282,EnrollData2324,'2324 Jun 24 Enroll'!M$1,FALSE)-VLOOKUP($A282,EnrollData2324,'2324 Jun 24 Enroll'!J$1,FALSE)='District Calculations'!$F$16+'District Calculations'!$F$25-'District Calculations'!$F$17,VLOOKUP($A282,EnrollData2324,'2324 Jun 24 Enroll'!I$1,FALSE)+VLOOKUP($A282,EnrollData2324,'2324 Jun 24 Enroll'!M$1,FALSE)-VLOOKUP($A282,EnrollData2324,'2324 Jun 24 Enroll'!J$1,FALSE),'District Calculations'!$F$16+'District Calculations'!$F$25-'District Calculations'!$F$17)*Apport_217A2425,3)</f>
        <v>4.7130000000000001</v>
      </c>
      <c r="R282">
        <f>ROUND(SUM(L282:Q282)/IF(VLOOKUP($A282,EnrollData2324,'2324 Jun 24 Enroll'!M$1,FALSE)+VLOOKUP($A282,EnrollData2324,'2324 Jun 24 Enroll'!D$1,FALSE)='District Calculations'!$F$25+'District Calculations'!$F$11,VLOOKUP($A282,EnrollData2324,'2324 Jun 24 Enroll'!M$1,FALSE)+VLOOKUP($A282,EnrollData2324,'2324 Jun 24 Enroll'!D$1,FALSE),'District Calculations'!$F$25+'District Calculations'!$F$11),5)</f>
        <v>4.1200000000000004E-3</v>
      </c>
      <c r="S282" s="11">
        <f t="shared" si="51"/>
        <v>1.8734299999999999E-2</v>
      </c>
      <c r="T282">
        <f>ROUND(IF(VLOOKUP($A282,EnrollData2324,'2324 Jun 24 Enroll'!D$1,FALSE)='District Calculations'!$F$11,VLOOKUP($A282,EnrollData2324,'2324 Jun 24 Enroll'!D$1,FALSE),'District Calculations'!$F$11)*S282,3)</f>
        <v>0</v>
      </c>
      <c r="U282">
        <f>ROUND(IF(VLOOKUP($A282,EnrollData2324,'2324 Jun 24 Enroll'!E$1,FALSE)='District Calculations'!$F$12,VLOOKUP($A282,EnrollData2324,'2324 Jun 24 Enroll'!E$1,FALSE),'District Calculations'!$F$12)*S282,3)</f>
        <v>15.183999999999999</v>
      </c>
      <c r="V282">
        <f>ROUND(IF(VLOOKUP($A282,EnrollData2324,'2324 Jun 24 Enroll'!F$1,FALSE)='District Calculations'!$F$13,VLOOKUP($A282,EnrollData2324,'2324 Jun 24 Enroll'!F$1,FALSE),'District Calculations'!$F$13)*Apport_224A2425,3)</f>
        <v>3.7109999999999999</v>
      </c>
      <c r="W282">
        <f>ROUND(IF(VLOOKUP($A282,EnrollData2324,'2324 Jun 24 Enroll'!G$1,FALSE)='District Calculations'!$F$14,VLOOKUP($A282,EnrollData2324,'2324 Jun 24 Enroll'!G$1,FALSE),'District Calculations'!$F$14)*Apport_212A2425,3)</f>
        <v>8.2279999999999998</v>
      </c>
      <c r="X282">
        <f>ROUND(IF(VLOOKUP($A282,EnrollData2324,'2324 Jun 24 Enroll'!H$1,FALSE)='District Calculations'!$F$14,VLOOKUP($A282,EnrollData2324,'2324 Jun 24 Enroll'!H$1,FALSE),'District Calculations'!$F$14)*Apport_215A2425,3)</f>
        <v>8.1180000000000003</v>
      </c>
      <c r="Y282">
        <f>ROUND(IF(VLOOKUP($A282,EnrollData2324,'2324 Jun 24 Enroll'!I$1,FALSE)+VLOOKUP($A282,EnrollData2324,'2324 Jun 24 Enroll'!M$1,FALSE)-VLOOKUP($A282,EnrollData2324,'2324 Jun 24 Enroll'!J$1,FALSE)='District Calculations'!$F$16+'District Calculations'!$F$25-'District Calculations'!$F$17,VLOOKUP($A282,EnrollData2324,'2324 Jun 24 Enroll'!I$1,FALSE)+VLOOKUP($A282,EnrollData2324,'2324 Jun 24 Enroll'!M$1,FALSE)-VLOOKUP($A282,EnrollData2324,'2324 Jun 24 Enroll'!J$1,FALSE),'District Calculations'!$F$16+'District Calculations'!$F$25-'District Calculations'!$F$17)*Apport_218A2425,3)</f>
        <v>20.257999999999999</v>
      </c>
      <c r="Z282">
        <f>ROUND(SUM(T282:Y282)/IF(VLOOKUP($A282,EnrollData2324,'2324 Jun 24 Enroll'!M$1,FALSE)+VLOOKUP($A282,EnrollData2324,'2324 Jun 24 Enroll'!D$1,FALSE)='District Calculations'!$F$25+'District Calculations'!$F$11,VLOOKUP($A282,EnrollData2324,'2324 Jun 24 Enroll'!M$1,FALSE)+VLOOKUP($A282,EnrollData2324,'2324 Jun 24 Enroll'!D$1,FALSE),'District Calculations'!$F$25+'District Calculations'!$F$11),5)</f>
        <v>1.7780000000000001E-2</v>
      </c>
      <c r="AA282" s="6">
        <f>ROUND($J282*CIS_Base_Salary2425*VLOOKUP($A282,EnrollData2324,'2324 Jun 24 Enroll'!AH$1,FALSE),2)</f>
        <v>4262.68</v>
      </c>
      <c r="AB282" s="6">
        <f>ROUND($J282*CIS_Inc_Salary2425*(VLOOKUP($A282,EnrollData2324,'2324 Jun 24 Enroll'!AI$1,FALSE)+VLOOKUP($A282,EnrollData2324,'2324 Jun 24 Enroll'!AJ$1,FALSE)),2)-AA282</f>
        <v>201.89999999999964</v>
      </c>
      <c r="AC282" s="6" cm="1">
        <f t="array" ref="AC282">ROUND($R282*CAS_Base_Salary2425*VLOOKUP($A282,EnrollData2324,'2324 Jun 24 Enroll'!AH$1,FALSE),2)</f>
        <v>461.23</v>
      </c>
      <c r="AD282" s="6">
        <f>ROUND($R282*CAS_Inc_Salary2425*VLOOKUP($A282,EnrollData2324,'2324 Jun 24 Enroll'!AI$1,FALSE),2)-AC282</f>
        <v>17.069999999999993</v>
      </c>
      <c r="AE282" s="6">
        <f>ROUND($Z282*CLS_Base_Salary2425*VLOOKUP($A282,EnrollData2324,'2324 Jun 24 Enroll'!AH$1,FALSE),2)</f>
        <v>961.95</v>
      </c>
      <c r="AF282" s="6">
        <f>ROUND($Z282*CLS_Inc_Salary2425*VLOOKUP($A282,EnrollData2324,'2324 Jun 24 Enroll'!AI$1,FALSE),2)-AE282</f>
        <v>35.599999999999909</v>
      </c>
      <c r="AG282" cm="1">
        <f t="array" ref="AG282">ROUND(($J282+$R282)*Apport_124X2425,2)</f>
        <v>800.45</v>
      </c>
      <c r="AH282" s="69" cm="1">
        <f t="array" ref="AH282">ROUND(($J282+$R282)*Apport_621X2425*Apport_125XC2425,2)-AG282</f>
        <v>73.899999999999977</v>
      </c>
      <c r="AI282" cm="1">
        <f t="array" ref="AI282">ROUND($Z282*Apport_124X2425,2)</f>
        <v>234.7</v>
      </c>
      <c r="AJ282">
        <f t="shared" si="52"/>
        <v>124.71000000000004</v>
      </c>
      <c r="AK282">
        <f t="shared" si="53"/>
        <v>857.39</v>
      </c>
      <c r="AL282">
        <f t="shared" si="54"/>
        <v>38.340000000000003</v>
      </c>
      <c r="AM282">
        <f t="shared" si="55"/>
        <v>208.36</v>
      </c>
      <c r="AN282">
        <f t="shared" si="56"/>
        <v>6.46</v>
      </c>
      <c r="AO282">
        <f>ROUND(($J282*CIS_Inc_Salary2425*(VLOOKUP($A282,EnrollData2324,'2324 Jun 24 Enroll'!AI$1,FALSE)+VLOOKUP($A282,EnrollData2324,'2324 Jun 24 Enroll'!AJ$1,FALSE))/Apport_613Xpd)*Apport_614Xpd,2)</f>
        <v>74.41</v>
      </c>
      <c r="AP282">
        <f t="shared" si="57"/>
        <v>13.03</v>
      </c>
      <c r="AQ282">
        <f t="shared" si="58"/>
        <v>31.48</v>
      </c>
      <c r="AR282" s="6">
        <f>ROUND((VLOOKUP($A282,EnrollData2324,'2324 Jun 24 Enroll'!D$1,FALSE)*Apport_M802425+VLOOKUP($A282,EnrollData2324,'2324 Jun 24 Enroll'!M$1,FALSE)*Apport_M802425+(VLOOKUP($A282,EnrollData2324,'2324 Jun 24 Enroll'!P$1,FALSE)+VLOOKUP($A282,EnrollData2324,'2324 Jun 24 Enroll'!Q$1,FALSE)+VLOOKUP($A282,EnrollData2324,'2324 Jun 24 Enroll'!R$1,FALSE)+VLOOKUP($A282,EnrollData2324,'2324 Jun 24 Enroll'!I$1,FALSE)+VLOOKUP($A282,EnrollData2324,'2324 Jun 24 Enroll'!N$1,FALSE)+VLOOKUP($A282,EnrollData2324,'2324 Jun 24 Enroll'!O$1,FALSE)+VLOOKUP($A282,EnrollData2324,'2324 Jun 24 Enroll'!K$1,FALSE)+VLOOKUP($A282,EnrollData2324,'2324 Jun 24 Enroll'!L$1,FALSE))*Apport_M812425)/(VLOOKUP($A282,EnrollData2324,'2324 Jun 24 Enroll'!M$1,FALSE)+VLOOKUP($A282,EnrollData2324,'2324 Jun 24 Enroll'!D$1,FALSE)),2)</f>
        <v>1610.64</v>
      </c>
      <c r="AS282" s="7">
        <f t="shared" si="59"/>
        <v>10014.299999999997</v>
      </c>
    </row>
    <row r="283" spans="1:45">
      <c r="A283" s="40" t="s">
        <v>392</v>
      </c>
      <c r="B283" s="40" t="s">
        <v>393</v>
      </c>
      <c r="C283" s="11">
        <f>ROUND((IFERROR((1/IF(VLOOKUP($A283,EnrollData2324,28,FALSE)='District Calculations'!$F$10,VLOOKUP($A283,EnrollData2324,28,FALSE),'District Calculations'!$F$10))*(1+Apport_Z315),0))+Apport_201A2425,6)</f>
        <v>7.4580999999999995E-2</v>
      </c>
      <c r="D283">
        <f>ROUND(IF(VLOOKUP($A283,EnrollData2324,'2324 Jun 24 Enroll'!D$1,FALSE)='District Calculations'!$F$11,VLOOKUP($A283,EnrollData2324,'2324 Jun 24 Enroll'!D$1,FALSE),'District Calculations'!$F$11)*C283,3)</f>
        <v>0</v>
      </c>
      <c r="E283">
        <f>ROUND(IF(VLOOKUP($A283,EnrollData2324,'2324 Jun 24 Enroll'!E$1,FALSE)='District Calculations'!$F$12,VLOOKUP($A283,EnrollData2324,'2324 Jun 24 Enroll'!E$1,FALSE),'District Calculations'!$F$12)*C283,3)</f>
        <v>60.447000000000003</v>
      </c>
      <c r="F283">
        <f>ROUND(IF(VLOOKUP($A283,EnrollData2324,'2324 Jun 24 Enroll'!F$1,FALSE)='District Calculations'!$F$13,VLOOKUP($A283,EnrollData2324,'2324 Jun 24 Enroll'!F$1,FALSE),'District Calculations'!$F$13)*Apport_222A2425,3)</f>
        <v>10.337999999999999</v>
      </c>
      <c r="G283">
        <f>ROUND(IF(VLOOKUP($A283,EnrollData2324,'2324 Jun 24 Enroll'!G$1,FALSE)='District Calculations'!$F$14,VLOOKUP($A283,EnrollData2324,'2324 Jun 24 Enroll'!G$1,FALSE),'District Calculations'!$F$14)*Apport_210A2425,3)</f>
        <v>22.92</v>
      </c>
      <c r="H283">
        <f>ROUND(IF(VLOOKUP($A283,EnrollData2324,'2324 Jun 24 Enroll'!H$1,FALSE)='District Calculations'!$F$15,VLOOKUP($A283,EnrollData2324,'2324 Jun 24 Enroll'!H$1,FALSE),'District Calculations'!$F$15)*Apport_213A2425,3)</f>
        <v>23.619</v>
      </c>
      <c r="I283">
        <f>ROUND(IF(VLOOKUP($A283,EnrollData2324,'2324 Jun 24 Enroll'!I$1,FALSE)+VLOOKUP($A283,EnrollData2324,'2324 Jun 24 Enroll'!M$1,FALSE)-VLOOKUP($A283,EnrollData2324,'2324 Jun 24 Enroll'!J$1,FALSE)='District Calculations'!$F$16+'District Calculations'!$F$25-'District Calculations'!$F$17,VLOOKUP($A283,EnrollData2324,'2324 Jun 24 Enroll'!I$1,FALSE)+VLOOKUP($A283,EnrollData2324,'2324 Jun 24 Enroll'!M$1,FALSE)-VLOOKUP($A283,EnrollData2324,'2324 Jun 24 Enroll'!J$1,FALSE),'District Calculations'!$F$16+'District Calculations'!$F$25-'District Calculations'!$F$17)*Apport_216A2425,3)</f>
        <v>59.057000000000002</v>
      </c>
      <c r="J283">
        <f>ROUND(SUM(D283:I283)/(IF(VLOOKUP($A283,EnrollData2324,'2324 Jun 24 Enroll'!M$1,FALSE)='District Calculations'!$F$25,VLOOKUP($A283,EnrollData2324,'2324 Jun 24 Enroll'!M$1,FALSE),'District Calculations'!$F$25)+IF(VLOOKUP($A283,EnrollData2324,'2324 Jun 24 Enroll'!D$1,FALSE)='District Calculations'!$F$11,VLOOKUP($A283,EnrollData2324,'2324 Jun 24 Enroll'!D$1,FALSE),'District Calculations'!$F$11)),5)</f>
        <v>5.6520000000000001E-2</v>
      </c>
      <c r="K283" s="11">
        <f t="shared" si="50"/>
        <v>4.385E-3</v>
      </c>
      <c r="L283">
        <f>ROUND(IF(VLOOKUP($A283,EnrollData2324,'2324 Jun 24 Enroll'!D$1,FALSE)='District Calculations'!$F$11,VLOOKUP($A283,EnrollData2324,'2324 Jun 24 Enroll'!D$1,FALSE),'District Calculations'!$F$11)*K283,3)</f>
        <v>0</v>
      </c>
      <c r="M283">
        <f>ROUND(IF(VLOOKUP($A283,EnrollData2324,'2324 Jun 24 Enroll'!E$1,FALSE)='District Calculations'!$F$12,VLOOKUP($A283,EnrollData2324,'2324 Jun 24 Enroll'!E$1,FALSE),'District Calculations'!$F$12)*K283,3)</f>
        <v>3.5539999999999998</v>
      </c>
      <c r="N283">
        <f>ROUND(IF(VLOOKUP($A283,EnrollData2324,'2324 Jun 24 Enroll'!F$1,FALSE)='District Calculations'!$F$13,VLOOKUP($A283,EnrollData2324,'2324 Jun 24 Enroll'!F$1,FALSE),'District Calculations'!$F$13)*Apport_223A2425,3)</f>
        <v>0.84599999999999997</v>
      </c>
      <c r="O283">
        <f>ROUND(IF(VLOOKUP($A283,EnrollData2324,'2324 Jun 24 Enroll'!G$1,FALSE)='District Calculations'!$F$14,VLOOKUP($A283,EnrollData2324,'2324 Jun 24 Enroll'!G$1,FALSE),'District Calculations'!$F$14)*Apport_211A2425,3)</f>
        <v>1.877</v>
      </c>
      <c r="P283">
        <f>ROUND(IF(VLOOKUP($A283,EnrollData2324,'2324 Jun 24 Enroll'!H$1,FALSE)='District Calculations'!$F$14,VLOOKUP($A283,EnrollData2324,'2324 Jun 24 Enroll'!H$1,FALSE),'District Calculations'!$F$14)*Apport_214A2425,3)</f>
        <v>1.875</v>
      </c>
      <c r="Q283">
        <f>ROUND(IF(VLOOKUP($A283,EnrollData2324,'2324 Jun 24 Enroll'!I$1,FALSE)+VLOOKUP($A283,EnrollData2324,'2324 Jun 24 Enroll'!M$1,FALSE)-VLOOKUP($A283,EnrollData2324,'2324 Jun 24 Enroll'!J$1,FALSE)='District Calculations'!$F$16+'District Calculations'!$F$25-'District Calculations'!$F$17,VLOOKUP($A283,EnrollData2324,'2324 Jun 24 Enroll'!I$1,FALSE)+VLOOKUP($A283,EnrollData2324,'2324 Jun 24 Enroll'!M$1,FALSE)-VLOOKUP($A283,EnrollData2324,'2324 Jun 24 Enroll'!J$1,FALSE),'District Calculations'!$F$16+'District Calculations'!$F$25-'District Calculations'!$F$17)*Apport_217A2425,3)</f>
        <v>4.7130000000000001</v>
      </c>
      <c r="R283">
        <f>ROUND(SUM(L283:Q283)/IF(VLOOKUP($A283,EnrollData2324,'2324 Jun 24 Enroll'!M$1,FALSE)+VLOOKUP($A283,EnrollData2324,'2324 Jun 24 Enroll'!D$1,FALSE)='District Calculations'!$F$25+'District Calculations'!$F$11,VLOOKUP($A283,EnrollData2324,'2324 Jun 24 Enroll'!M$1,FALSE)+VLOOKUP($A283,EnrollData2324,'2324 Jun 24 Enroll'!D$1,FALSE),'District Calculations'!$F$25+'District Calculations'!$F$11),5)</f>
        <v>4.1200000000000004E-3</v>
      </c>
      <c r="S283" s="11">
        <f t="shared" si="51"/>
        <v>1.8734299999999999E-2</v>
      </c>
      <c r="T283">
        <f>ROUND(IF(VLOOKUP($A283,EnrollData2324,'2324 Jun 24 Enroll'!D$1,FALSE)='District Calculations'!$F$11,VLOOKUP($A283,EnrollData2324,'2324 Jun 24 Enroll'!D$1,FALSE),'District Calculations'!$F$11)*S283,3)</f>
        <v>0</v>
      </c>
      <c r="U283">
        <f>ROUND(IF(VLOOKUP($A283,EnrollData2324,'2324 Jun 24 Enroll'!E$1,FALSE)='District Calculations'!$F$12,VLOOKUP($A283,EnrollData2324,'2324 Jun 24 Enroll'!E$1,FALSE),'District Calculations'!$F$12)*S283,3)</f>
        <v>15.183999999999999</v>
      </c>
      <c r="V283">
        <f>ROUND(IF(VLOOKUP($A283,EnrollData2324,'2324 Jun 24 Enroll'!F$1,FALSE)='District Calculations'!$F$13,VLOOKUP($A283,EnrollData2324,'2324 Jun 24 Enroll'!F$1,FALSE),'District Calculations'!$F$13)*Apport_224A2425,3)</f>
        <v>3.7109999999999999</v>
      </c>
      <c r="W283">
        <f>ROUND(IF(VLOOKUP($A283,EnrollData2324,'2324 Jun 24 Enroll'!G$1,FALSE)='District Calculations'!$F$14,VLOOKUP($A283,EnrollData2324,'2324 Jun 24 Enroll'!G$1,FALSE),'District Calculations'!$F$14)*Apport_212A2425,3)</f>
        <v>8.2279999999999998</v>
      </c>
      <c r="X283">
        <f>ROUND(IF(VLOOKUP($A283,EnrollData2324,'2324 Jun 24 Enroll'!H$1,FALSE)='District Calculations'!$F$14,VLOOKUP($A283,EnrollData2324,'2324 Jun 24 Enroll'!H$1,FALSE),'District Calculations'!$F$14)*Apport_215A2425,3)</f>
        <v>8.1180000000000003</v>
      </c>
      <c r="Y283">
        <f>ROUND(IF(VLOOKUP($A283,EnrollData2324,'2324 Jun 24 Enroll'!I$1,FALSE)+VLOOKUP($A283,EnrollData2324,'2324 Jun 24 Enroll'!M$1,FALSE)-VLOOKUP($A283,EnrollData2324,'2324 Jun 24 Enroll'!J$1,FALSE)='District Calculations'!$F$16+'District Calculations'!$F$25-'District Calculations'!$F$17,VLOOKUP($A283,EnrollData2324,'2324 Jun 24 Enroll'!I$1,FALSE)+VLOOKUP($A283,EnrollData2324,'2324 Jun 24 Enroll'!M$1,FALSE)-VLOOKUP($A283,EnrollData2324,'2324 Jun 24 Enroll'!J$1,FALSE),'District Calculations'!$F$16+'District Calculations'!$F$25-'District Calculations'!$F$17)*Apport_218A2425,3)</f>
        <v>20.257999999999999</v>
      </c>
      <c r="Z283">
        <f>ROUND(SUM(T283:Y283)/IF(VLOOKUP($A283,EnrollData2324,'2324 Jun 24 Enroll'!M$1,FALSE)+VLOOKUP($A283,EnrollData2324,'2324 Jun 24 Enroll'!D$1,FALSE)='District Calculations'!$F$25+'District Calculations'!$F$11,VLOOKUP($A283,EnrollData2324,'2324 Jun 24 Enroll'!M$1,FALSE)+VLOOKUP($A283,EnrollData2324,'2324 Jun 24 Enroll'!D$1,FALSE),'District Calculations'!$F$25+'District Calculations'!$F$11),5)</f>
        <v>1.7780000000000001E-2</v>
      </c>
      <c r="AA283" s="6">
        <f>ROUND($J283*CIS_Base_Salary2425*VLOOKUP($A283,EnrollData2324,'2324 Jun 24 Enroll'!AH$1,FALSE),2)</f>
        <v>4262.68</v>
      </c>
      <c r="AB283" s="6">
        <f>ROUND($J283*CIS_Inc_Salary2425*(VLOOKUP($A283,EnrollData2324,'2324 Jun 24 Enroll'!AI$1,FALSE)+VLOOKUP($A283,EnrollData2324,'2324 Jun 24 Enroll'!AJ$1,FALSE)),2)-AA283</f>
        <v>157.6899999999996</v>
      </c>
      <c r="AC283" s="6" cm="1">
        <f t="array" ref="AC283">ROUND($R283*CAS_Base_Salary2425*VLOOKUP($A283,EnrollData2324,'2324 Jun 24 Enroll'!AH$1,FALSE),2)</f>
        <v>461.23</v>
      </c>
      <c r="AD283" s="6">
        <f>ROUND($R283*CAS_Inc_Salary2425*VLOOKUP($A283,EnrollData2324,'2324 Jun 24 Enroll'!AI$1,FALSE),2)-AC283</f>
        <v>17.069999999999993</v>
      </c>
      <c r="AE283" s="6">
        <f>ROUND($Z283*CLS_Base_Salary2425*VLOOKUP($A283,EnrollData2324,'2324 Jun 24 Enroll'!AH$1,FALSE),2)</f>
        <v>961.95</v>
      </c>
      <c r="AF283" s="6">
        <f>ROUND($Z283*CLS_Inc_Salary2425*VLOOKUP($A283,EnrollData2324,'2324 Jun 24 Enroll'!AI$1,FALSE),2)-AE283</f>
        <v>35.599999999999909</v>
      </c>
      <c r="AG283" cm="1">
        <f t="array" ref="AG283">ROUND(($J283+$R283)*Apport_124X2425,2)</f>
        <v>800.45</v>
      </c>
      <c r="AH283" s="69" cm="1">
        <f t="array" ref="AH283">ROUND(($J283+$R283)*Apport_621X2425*Apport_125XC2425,2)-AG283</f>
        <v>73.899999999999977</v>
      </c>
      <c r="AI283" cm="1">
        <f t="array" ref="AI283">ROUND($Z283*Apport_124X2425,2)</f>
        <v>234.7</v>
      </c>
      <c r="AJ283">
        <f t="shared" si="52"/>
        <v>124.71000000000004</v>
      </c>
      <c r="AK283">
        <f t="shared" si="53"/>
        <v>857.39</v>
      </c>
      <c r="AL283">
        <f t="shared" si="54"/>
        <v>30.6</v>
      </c>
      <c r="AM283">
        <f t="shared" si="55"/>
        <v>208.36</v>
      </c>
      <c r="AN283">
        <f t="shared" si="56"/>
        <v>6.46</v>
      </c>
      <c r="AO283">
        <f>ROUND(($J283*CIS_Inc_Salary2425*(VLOOKUP($A283,EnrollData2324,'2324 Jun 24 Enroll'!AI$1,FALSE)+VLOOKUP($A283,EnrollData2324,'2324 Jun 24 Enroll'!AJ$1,FALSE))/Apport_613Xpd)*Apport_614Xpd,2)</f>
        <v>73.67</v>
      </c>
      <c r="AP283">
        <f t="shared" si="57"/>
        <v>12.9</v>
      </c>
      <c r="AQ283">
        <f t="shared" si="58"/>
        <v>31.48</v>
      </c>
      <c r="AR283" s="6">
        <f>ROUND((VLOOKUP($A283,EnrollData2324,'2324 Jun 24 Enroll'!D$1,FALSE)*Apport_M802425+VLOOKUP($A283,EnrollData2324,'2324 Jun 24 Enroll'!M$1,FALSE)*Apport_M802425+(VLOOKUP($A283,EnrollData2324,'2324 Jun 24 Enroll'!P$1,FALSE)+VLOOKUP($A283,EnrollData2324,'2324 Jun 24 Enroll'!Q$1,FALSE)+VLOOKUP($A283,EnrollData2324,'2324 Jun 24 Enroll'!R$1,FALSE)+VLOOKUP($A283,EnrollData2324,'2324 Jun 24 Enroll'!I$1,FALSE)+VLOOKUP($A283,EnrollData2324,'2324 Jun 24 Enroll'!N$1,FALSE)+VLOOKUP($A283,EnrollData2324,'2324 Jun 24 Enroll'!O$1,FALSE)+VLOOKUP($A283,EnrollData2324,'2324 Jun 24 Enroll'!K$1,FALSE)+VLOOKUP($A283,EnrollData2324,'2324 Jun 24 Enroll'!L$1,FALSE))*Apport_M812425)/(VLOOKUP($A283,EnrollData2324,'2324 Jun 24 Enroll'!M$1,FALSE)+VLOOKUP($A283,EnrollData2324,'2324 Jun 24 Enroll'!D$1,FALSE)),2)</f>
        <v>1598.89</v>
      </c>
      <c r="AS283" s="7">
        <f t="shared" si="59"/>
        <v>9949.7299999999977</v>
      </c>
    </row>
    <row r="284" spans="1:45">
      <c r="A284" s="40" t="s">
        <v>827</v>
      </c>
      <c r="B284" s="40" t="s">
        <v>828</v>
      </c>
      <c r="C284" s="11">
        <f>ROUND((IFERROR((1/IF(VLOOKUP($A284,EnrollData2324,28,FALSE)='District Calculations'!$F$10,VLOOKUP($A284,EnrollData2324,28,FALSE),'District Calculations'!$F$10))*(1+Apport_Z315),0))+Apport_201A2425,6)</f>
        <v>7.4580999999999995E-2</v>
      </c>
      <c r="D284">
        <f>ROUND(IF(VLOOKUP($A284,EnrollData2324,'2324 Jun 24 Enroll'!D$1,FALSE)='District Calculations'!$F$11,VLOOKUP($A284,EnrollData2324,'2324 Jun 24 Enroll'!D$1,FALSE),'District Calculations'!$F$11)*C284,3)</f>
        <v>0</v>
      </c>
      <c r="E284">
        <f>ROUND(IF(VLOOKUP($A284,EnrollData2324,'2324 Jun 24 Enroll'!E$1,FALSE)='District Calculations'!$F$12,VLOOKUP($A284,EnrollData2324,'2324 Jun 24 Enroll'!E$1,FALSE),'District Calculations'!$F$12)*C284,3)</f>
        <v>60.447000000000003</v>
      </c>
      <c r="F284">
        <f>ROUND(IF(VLOOKUP($A284,EnrollData2324,'2324 Jun 24 Enroll'!F$1,FALSE)='District Calculations'!$F$13,VLOOKUP($A284,EnrollData2324,'2324 Jun 24 Enroll'!F$1,FALSE),'District Calculations'!$F$13)*Apport_222A2425,3)</f>
        <v>10.337999999999999</v>
      </c>
      <c r="G284">
        <f>ROUND(IF(VLOOKUP($A284,EnrollData2324,'2324 Jun 24 Enroll'!G$1,FALSE)='District Calculations'!$F$14,VLOOKUP($A284,EnrollData2324,'2324 Jun 24 Enroll'!G$1,FALSE),'District Calculations'!$F$14)*Apport_210A2425,3)</f>
        <v>22.92</v>
      </c>
      <c r="H284">
        <f>ROUND(IF(VLOOKUP($A284,EnrollData2324,'2324 Jun 24 Enroll'!H$1,FALSE)='District Calculations'!$F$15,VLOOKUP($A284,EnrollData2324,'2324 Jun 24 Enroll'!H$1,FALSE),'District Calculations'!$F$15)*Apport_213A2425,3)</f>
        <v>23.619</v>
      </c>
      <c r="I284">
        <f>ROUND(IF(VLOOKUP($A284,EnrollData2324,'2324 Jun 24 Enroll'!I$1,FALSE)+VLOOKUP($A284,EnrollData2324,'2324 Jun 24 Enroll'!M$1,FALSE)-VLOOKUP($A284,EnrollData2324,'2324 Jun 24 Enroll'!J$1,FALSE)='District Calculations'!$F$16+'District Calculations'!$F$25-'District Calculations'!$F$17,VLOOKUP($A284,EnrollData2324,'2324 Jun 24 Enroll'!I$1,FALSE)+VLOOKUP($A284,EnrollData2324,'2324 Jun 24 Enroll'!M$1,FALSE)-VLOOKUP($A284,EnrollData2324,'2324 Jun 24 Enroll'!J$1,FALSE),'District Calculations'!$F$16+'District Calculations'!$F$25-'District Calculations'!$F$17)*Apport_216A2425,3)</f>
        <v>59.057000000000002</v>
      </c>
      <c r="J284">
        <f>ROUND(SUM(D284:I284)/(IF(VLOOKUP($A284,EnrollData2324,'2324 Jun 24 Enroll'!M$1,FALSE)='District Calculations'!$F$25,VLOOKUP($A284,EnrollData2324,'2324 Jun 24 Enroll'!M$1,FALSE),'District Calculations'!$F$25)+IF(VLOOKUP($A284,EnrollData2324,'2324 Jun 24 Enroll'!D$1,FALSE)='District Calculations'!$F$11,VLOOKUP($A284,EnrollData2324,'2324 Jun 24 Enroll'!D$1,FALSE),'District Calculations'!$F$11)),5)</f>
        <v>5.6520000000000001E-2</v>
      </c>
      <c r="K284" s="11">
        <f t="shared" si="50"/>
        <v>4.385E-3</v>
      </c>
      <c r="L284">
        <f>ROUND(IF(VLOOKUP($A284,EnrollData2324,'2324 Jun 24 Enroll'!D$1,FALSE)='District Calculations'!$F$11,VLOOKUP($A284,EnrollData2324,'2324 Jun 24 Enroll'!D$1,FALSE),'District Calculations'!$F$11)*K284,3)</f>
        <v>0</v>
      </c>
      <c r="M284">
        <f>ROUND(IF(VLOOKUP($A284,EnrollData2324,'2324 Jun 24 Enroll'!E$1,FALSE)='District Calculations'!$F$12,VLOOKUP($A284,EnrollData2324,'2324 Jun 24 Enroll'!E$1,FALSE),'District Calculations'!$F$12)*K284,3)</f>
        <v>3.5539999999999998</v>
      </c>
      <c r="N284">
        <f>ROUND(IF(VLOOKUP($A284,EnrollData2324,'2324 Jun 24 Enroll'!F$1,FALSE)='District Calculations'!$F$13,VLOOKUP($A284,EnrollData2324,'2324 Jun 24 Enroll'!F$1,FALSE),'District Calculations'!$F$13)*Apport_223A2425,3)</f>
        <v>0.84599999999999997</v>
      </c>
      <c r="O284">
        <f>ROUND(IF(VLOOKUP($A284,EnrollData2324,'2324 Jun 24 Enroll'!G$1,FALSE)='District Calculations'!$F$14,VLOOKUP($A284,EnrollData2324,'2324 Jun 24 Enroll'!G$1,FALSE),'District Calculations'!$F$14)*Apport_211A2425,3)</f>
        <v>1.877</v>
      </c>
      <c r="P284">
        <f>ROUND(IF(VLOOKUP($A284,EnrollData2324,'2324 Jun 24 Enroll'!H$1,FALSE)='District Calculations'!$F$14,VLOOKUP($A284,EnrollData2324,'2324 Jun 24 Enroll'!H$1,FALSE),'District Calculations'!$F$14)*Apport_214A2425,3)</f>
        <v>1.875</v>
      </c>
      <c r="Q284">
        <f>ROUND(IF(VLOOKUP($A284,EnrollData2324,'2324 Jun 24 Enroll'!I$1,FALSE)+VLOOKUP($A284,EnrollData2324,'2324 Jun 24 Enroll'!M$1,FALSE)-VLOOKUP($A284,EnrollData2324,'2324 Jun 24 Enroll'!J$1,FALSE)='District Calculations'!$F$16+'District Calculations'!$F$25-'District Calculations'!$F$17,VLOOKUP($A284,EnrollData2324,'2324 Jun 24 Enroll'!I$1,FALSE)+VLOOKUP($A284,EnrollData2324,'2324 Jun 24 Enroll'!M$1,FALSE)-VLOOKUP($A284,EnrollData2324,'2324 Jun 24 Enroll'!J$1,FALSE),'District Calculations'!$F$16+'District Calculations'!$F$25-'District Calculations'!$F$17)*Apport_217A2425,3)</f>
        <v>4.7130000000000001</v>
      </c>
      <c r="R284">
        <f>ROUND(SUM(L284:Q284)/IF(VLOOKUP($A284,EnrollData2324,'2324 Jun 24 Enroll'!M$1,FALSE)+VLOOKUP($A284,EnrollData2324,'2324 Jun 24 Enroll'!D$1,FALSE)='District Calculations'!$F$25+'District Calculations'!$F$11,VLOOKUP($A284,EnrollData2324,'2324 Jun 24 Enroll'!M$1,FALSE)+VLOOKUP($A284,EnrollData2324,'2324 Jun 24 Enroll'!D$1,FALSE),'District Calculations'!$F$25+'District Calculations'!$F$11),5)</f>
        <v>4.1200000000000004E-3</v>
      </c>
      <c r="S284" s="11">
        <f t="shared" si="51"/>
        <v>1.8734299999999999E-2</v>
      </c>
      <c r="T284">
        <f>ROUND(IF(VLOOKUP($A284,EnrollData2324,'2324 Jun 24 Enroll'!D$1,FALSE)='District Calculations'!$F$11,VLOOKUP($A284,EnrollData2324,'2324 Jun 24 Enroll'!D$1,FALSE),'District Calculations'!$F$11)*S284,3)</f>
        <v>0</v>
      </c>
      <c r="U284">
        <f>ROUND(IF(VLOOKUP($A284,EnrollData2324,'2324 Jun 24 Enroll'!E$1,FALSE)='District Calculations'!$F$12,VLOOKUP($A284,EnrollData2324,'2324 Jun 24 Enroll'!E$1,FALSE),'District Calculations'!$F$12)*S284,3)</f>
        <v>15.183999999999999</v>
      </c>
      <c r="V284">
        <f>ROUND(IF(VLOOKUP($A284,EnrollData2324,'2324 Jun 24 Enroll'!F$1,FALSE)='District Calculations'!$F$13,VLOOKUP($A284,EnrollData2324,'2324 Jun 24 Enroll'!F$1,FALSE),'District Calculations'!$F$13)*Apport_224A2425,3)</f>
        <v>3.7109999999999999</v>
      </c>
      <c r="W284">
        <f>ROUND(IF(VLOOKUP($A284,EnrollData2324,'2324 Jun 24 Enroll'!G$1,FALSE)='District Calculations'!$F$14,VLOOKUP($A284,EnrollData2324,'2324 Jun 24 Enroll'!G$1,FALSE),'District Calculations'!$F$14)*Apport_212A2425,3)</f>
        <v>8.2279999999999998</v>
      </c>
      <c r="X284">
        <f>ROUND(IF(VLOOKUP($A284,EnrollData2324,'2324 Jun 24 Enroll'!H$1,FALSE)='District Calculations'!$F$14,VLOOKUP($A284,EnrollData2324,'2324 Jun 24 Enroll'!H$1,FALSE),'District Calculations'!$F$14)*Apport_215A2425,3)</f>
        <v>8.1180000000000003</v>
      </c>
      <c r="Y284">
        <f>ROUND(IF(VLOOKUP($A284,EnrollData2324,'2324 Jun 24 Enroll'!I$1,FALSE)+VLOOKUP($A284,EnrollData2324,'2324 Jun 24 Enroll'!M$1,FALSE)-VLOOKUP($A284,EnrollData2324,'2324 Jun 24 Enroll'!J$1,FALSE)='District Calculations'!$F$16+'District Calculations'!$F$25-'District Calculations'!$F$17,VLOOKUP($A284,EnrollData2324,'2324 Jun 24 Enroll'!I$1,FALSE)+VLOOKUP($A284,EnrollData2324,'2324 Jun 24 Enroll'!M$1,FALSE)-VLOOKUP($A284,EnrollData2324,'2324 Jun 24 Enroll'!J$1,FALSE),'District Calculations'!$F$16+'District Calculations'!$F$25-'District Calculations'!$F$17)*Apport_218A2425,3)</f>
        <v>20.257999999999999</v>
      </c>
      <c r="Z284">
        <f>ROUND(SUM(T284:Y284)/IF(VLOOKUP($A284,EnrollData2324,'2324 Jun 24 Enroll'!M$1,FALSE)+VLOOKUP($A284,EnrollData2324,'2324 Jun 24 Enroll'!D$1,FALSE)='District Calculations'!$F$25+'District Calculations'!$F$11,VLOOKUP($A284,EnrollData2324,'2324 Jun 24 Enroll'!M$1,FALSE)+VLOOKUP($A284,EnrollData2324,'2324 Jun 24 Enroll'!D$1,FALSE),'District Calculations'!$F$25+'District Calculations'!$F$11),5)</f>
        <v>1.7780000000000001E-2</v>
      </c>
      <c r="AA284" s="6">
        <f>ROUND($J284*CIS_Base_Salary2425*VLOOKUP($A284,EnrollData2324,'2324 Jun 24 Enroll'!AH$1,FALSE),2)</f>
        <v>4262.68</v>
      </c>
      <c r="AB284" s="6">
        <f>ROUND($J284*CIS_Inc_Salary2425*(VLOOKUP($A284,EnrollData2324,'2324 Jun 24 Enroll'!AI$1,FALSE)+VLOOKUP($A284,EnrollData2324,'2324 Jun 24 Enroll'!AJ$1,FALSE)),2)-AA284</f>
        <v>157.6899999999996</v>
      </c>
      <c r="AC284" s="6" cm="1">
        <f t="array" ref="AC284">ROUND($R284*CAS_Base_Salary2425*VLOOKUP($A284,EnrollData2324,'2324 Jun 24 Enroll'!AH$1,FALSE),2)</f>
        <v>461.23</v>
      </c>
      <c r="AD284" s="6">
        <f>ROUND($R284*CAS_Inc_Salary2425*VLOOKUP($A284,EnrollData2324,'2324 Jun 24 Enroll'!AI$1,FALSE),2)-AC284</f>
        <v>17.069999999999993</v>
      </c>
      <c r="AE284" s="6">
        <f>ROUND($Z284*CLS_Base_Salary2425*VLOOKUP($A284,EnrollData2324,'2324 Jun 24 Enroll'!AH$1,FALSE),2)</f>
        <v>961.95</v>
      </c>
      <c r="AF284" s="6">
        <f>ROUND($Z284*CLS_Inc_Salary2425*VLOOKUP($A284,EnrollData2324,'2324 Jun 24 Enroll'!AI$1,FALSE),2)-AE284</f>
        <v>35.599999999999909</v>
      </c>
      <c r="AG284" cm="1">
        <f t="array" ref="AG284">ROUND(($J284+$R284)*Apport_124X2425,2)</f>
        <v>800.45</v>
      </c>
      <c r="AH284" s="69" cm="1">
        <f t="array" ref="AH284">ROUND(($J284+$R284)*Apport_621X2425*Apport_125XC2425,2)-AG284</f>
        <v>73.899999999999977</v>
      </c>
      <c r="AI284" cm="1">
        <f t="array" ref="AI284">ROUND($Z284*Apport_124X2425,2)</f>
        <v>234.7</v>
      </c>
      <c r="AJ284">
        <f t="shared" si="52"/>
        <v>124.71000000000004</v>
      </c>
      <c r="AK284">
        <f t="shared" si="53"/>
        <v>857.39</v>
      </c>
      <c r="AL284">
        <f t="shared" si="54"/>
        <v>30.6</v>
      </c>
      <c r="AM284">
        <f t="shared" si="55"/>
        <v>208.36</v>
      </c>
      <c r="AN284">
        <f t="shared" si="56"/>
        <v>6.46</v>
      </c>
      <c r="AO284">
        <f>ROUND(($J284*CIS_Inc_Salary2425*(VLOOKUP($A284,EnrollData2324,'2324 Jun 24 Enroll'!AI$1,FALSE)+VLOOKUP($A284,EnrollData2324,'2324 Jun 24 Enroll'!AJ$1,FALSE))/Apport_613Xpd)*Apport_614Xpd,2)</f>
        <v>73.67</v>
      </c>
      <c r="AP284">
        <f t="shared" si="57"/>
        <v>12.9</v>
      </c>
      <c r="AQ284">
        <f t="shared" si="58"/>
        <v>31.48</v>
      </c>
      <c r="AR284" s="6">
        <f>ROUND((VLOOKUP($A284,EnrollData2324,'2324 Jun 24 Enroll'!D$1,FALSE)*Apport_M802425+VLOOKUP($A284,EnrollData2324,'2324 Jun 24 Enroll'!M$1,FALSE)*Apport_M802425+(VLOOKUP($A284,EnrollData2324,'2324 Jun 24 Enroll'!P$1,FALSE)+VLOOKUP($A284,EnrollData2324,'2324 Jun 24 Enroll'!Q$1,FALSE)+VLOOKUP($A284,EnrollData2324,'2324 Jun 24 Enroll'!R$1,FALSE)+VLOOKUP($A284,EnrollData2324,'2324 Jun 24 Enroll'!I$1,FALSE)+VLOOKUP($A284,EnrollData2324,'2324 Jun 24 Enroll'!N$1,FALSE)+VLOOKUP($A284,EnrollData2324,'2324 Jun 24 Enroll'!O$1,FALSE)+VLOOKUP($A284,EnrollData2324,'2324 Jun 24 Enroll'!K$1,FALSE)+VLOOKUP($A284,EnrollData2324,'2324 Jun 24 Enroll'!L$1,FALSE))*Apport_M812425)/(VLOOKUP($A284,EnrollData2324,'2324 Jun 24 Enroll'!M$1,FALSE)+VLOOKUP($A284,EnrollData2324,'2324 Jun 24 Enroll'!D$1,FALSE)),2)</f>
        <v>1603.93</v>
      </c>
      <c r="AS284" s="7">
        <f t="shared" si="59"/>
        <v>9954.7699999999986</v>
      </c>
    </row>
    <row r="285" spans="1:45">
      <c r="A285" s="40" t="s">
        <v>398</v>
      </c>
      <c r="B285" s="40" t="s">
        <v>399</v>
      </c>
      <c r="C285" s="11">
        <f>ROUND((IFERROR((1/IF(VLOOKUP($A285,EnrollData2324,28,FALSE)='District Calculations'!$F$10,VLOOKUP($A285,EnrollData2324,28,FALSE),'District Calculations'!$F$10))*(1+Apport_Z315),0))+Apport_201A2425,6)</f>
        <v>7.4580999999999995E-2</v>
      </c>
      <c r="D285">
        <f>ROUND(IF(VLOOKUP($A285,EnrollData2324,'2324 Jun 24 Enroll'!D$1,FALSE)='District Calculations'!$F$11,VLOOKUP($A285,EnrollData2324,'2324 Jun 24 Enroll'!D$1,FALSE),'District Calculations'!$F$11)*C285,3)</f>
        <v>0</v>
      </c>
      <c r="E285">
        <f>ROUND(IF(VLOOKUP($A285,EnrollData2324,'2324 Jun 24 Enroll'!E$1,FALSE)='District Calculations'!$F$12,VLOOKUP($A285,EnrollData2324,'2324 Jun 24 Enroll'!E$1,FALSE),'District Calculations'!$F$12)*C285,3)</f>
        <v>60.447000000000003</v>
      </c>
      <c r="F285">
        <f>ROUND(IF(VLOOKUP($A285,EnrollData2324,'2324 Jun 24 Enroll'!F$1,FALSE)='District Calculations'!$F$13,VLOOKUP($A285,EnrollData2324,'2324 Jun 24 Enroll'!F$1,FALSE),'District Calculations'!$F$13)*Apport_222A2425,3)</f>
        <v>10.337999999999999</v>
      </c>
      <c r="G285">
        <f>ROUND(IF(VLOOKUP($A285,EnrollData2324,'2324 Jun 24 Enroll'!G$1,FALSE)='District Calculations'!$F$14,VLOOKUP($A285,EnrollData2324,'2324 Jun 24 Enroll'!G$1,FALSE),'District Calculations'!$F$14)*Apport_210A2425,3)</f>
        <v>22.92</v>
      </c>
      <c r="H285">
        <f>ROUND(IF(VLOOKUP($A285,EnrollData2324,'2324 Jun 24 Enroll'!H$1,FALSE)='District Calculations'!$F$15,VLOOKUP($A285,EnrollData2324,'2324 Jun 24 Enroll'!H$1,FALSE),'District Calculations'!$F$15)*Apport_213A2425,3)</f>
        <v>23.619</v>
      </c>
      <c r="I285">
        <f>ROUND(IF(VLOOKUP($A285,EnrollData2324,'2324 Jun 24 Enroll'!I$1,FALSE)+VLOOKUP($A285,EnrollData2324,'2324 Jun 24 Enroll'!M$1,FALSE)-VLOOKUP($A285,EnrollData2324,'2324 Jun 24 Enroll'!J$1,FALSE)='District Calculations'!$F$16+'District Calculations'!$F$25-'District Calculations'!$F$17,VLOOKUP($A285,EnrollData2324,'2324 Jun 24 Enroll'!I$1,FALSE)+VLOOKUP($A285,EnrollData2324,'2324 Jun 24 Enroll'!M$1,FALSE)-VLOOKUP($A285,EnrollData2324,'2324 Jun 24 Enroll'!J$1,FALSE),'District Calculations'!$F$16+'District Calculations'!$F$25-'District Calculations'!$F$17)*Apport_216A2425,3)</f>
        <v>59.057000000000002</v>
      </c>
      <c r="J285">
        <f>ROUND(SUM(D285:I285)/(IF(VLOOKUP($A285,EnrollData2324,'2324 Jun 24 Enroll'!M$1,FALSE)='District Calculations'!$F$25,VLOOKUP($A285,EnrollData2324,'2324 Jun 24 Enroll'!M$1,FALSE),'District Calculations'!$F$25)+IF(VLOOKUP($A285,EnrollData2324,'2324 Jun 24 Enroll'!D$1,FALSE)='District Calculations'!$F$11,VLOOKUP($A285,EnrollData2324,'2324 Jun 24 Enroll'!D$1,FALSE),'District Calculations'!$F$11)),5)</f>
        <v>5.6520000000000001E-2</v>
      </c>
      <c r="K285" s="11">
        <f t="shared" si="50"/>
        <v>4.385E-3</v>
      </c>
      <c r="L285">
        <f>ROUND(IF(VLOOKUP($A285,EnrollData2324,'2324 Jun 24 Enroll'!D$1,FALSE)='District Calculations'!$F$11,VLOOKUP($A285,EnrollData2324,'2324 Jun 24 Enroll'!D$1,FALSE),'District Calculations'!$F$11)*K285,3)</f>
        <v>0</v>
      </c>
      <c r="M285">
        <f>ROUND(IF(VLOOKUP($A285,EnrollData2324,'2324 Jun 24 Enroll'!E$1,FALSE)='District Calculations'!$F$12,VLOOKUP($A285,EnrollData2324,'2324 Jun 24 Enroll'!E$1,FALSE),'District Calculations'!$F$12)*K285,3)</f>
        <v>3.5539999999999998</v>
      </c>
      <c r="N285">
        <f>ROUND(IF(VLOOKUP($A285,EnrollData2324,'2324 Jun 24 Enroll'!F$1,FALSE)='District Calculations'!$F$13,VLOOKUP($A285,EnrollData2324,'2324 Jun 24 Enroll'!F$1,FALSE),'District Calculations'!$F$13)*Apport_223A2425,3)</f>
        <v>0.84599999999999997</v>
      </c>
      <c r="O285">
        <f>ROUND(IF(VLOOKUP($A285,EnrollData2324,'2324 Jun 24 Enroll'!G$1,FALSE)='District Calculations'!$F$14,VLOOKUP($A285,EnrollData2324,'2324 Jun 24 Enroll'!G$1,FALSE),'District Calculations'!$F$14)*Apport_211A2425,3)</f>
        <v>1.877</v>
      </c>
      <c r="P285">
        <f>ROUND(IF(VLOOKUP($A285,EnrollData2324,'2324 Jun 24 Enroll'!H$1,FALSE)='District Calculations'!$F$14,VLOOKUP($A285,EnrollData2324,'2324 Jun 24 Enroll'!H$1,FALSE),'District Calculations'!$F$14)*Apport_214A2425,3)</f>
        <v>1.875</v>
      </c>
      <c r="Q285">
        <f>ROUND(IF(VLOOKUP($A285,EnrollData2324,'2324 Jun 24 Enroll'!I$1,FALSE)+VLOOKUP($A285,EnrollData2324,'2324 Jun 24 Enroll'!M$1,FALSE)-VLOOKUP($A285,EnrollData2324,'2324 Jun 24 Enroll'!J$1,FALSE)='District Calculations'!$F$16+'District Calculations'!$F$25-'District Calculations'!$F$17,VLOOKUP($A285,EnrollData2324,'2324 Jun 24 Enroll'!I$1,FALSE)+VLOOKUP($A285,EnrollData2324,'2324 Jun 24 Enroll'!M$1,FALSE)-VLOOKUP($A285,EnrollData2324,'2324 Jun 24 Enroll'!J$1,FALSE),'District Calculations'!$F$16+'District Calculations'!$F$25-'District Calculations'!$F$17)*Apport_217A2425,3)</f>
        <v>4.7130000000000001</v>
      </c>
      <c r="R285">
        <f>ROUND(SUM(L285:Q285)/IF(VLOOKUP($A285,EnrollData2324,'2324 Jun 24 Enroll'!M$1,FALSE)+VLOOKUP($A285,EnrollData2324,'2324 Jun 24 Enroll'!D$1,FALSE)='District Calculations'!$F$25+'District Calculations'!$F$11,VLOOKUP($A285,EnrollData2324,'2324 Jun 24 Enroll'!M$1,FALSE)+VLOOKUP($A285,EnrollData2324,'2324 Jun 24 Enroll'!D$1,FALSE),'District Calculations'!$F$25+'District Calculations'!$F$11),5)</f>
        <v>4.1200000000000004E-3</v>
      </c>
      <c r="S285" s="11">
        <f t="shared" si="51"/>
        <v>1.8734299999999999E-2</v>
      </c>
      <c r="T285">
        <f>ROUND(IF(VLOOKUP($A285,EnrollData2324,'2324 Jun 24 Enroll'!D$1,FALSE)='District Calculations'!$F$11,VLOOKUP($A285,EnrollData2324,'2324 Jun 24 Enroll'!D$1,FALSE),'District Calculations'!$F$11)*S285,3)</f>
        <v>0</v>
      </c>
      <c r="U285">
        <f>ROUND(IF(VLOOKUP($A285,EnrollData2324,'2324 Jun 24 Enroll'!E$1,FALSE)='District Calculations'!$F$12,VLOOKUP($A285,EnrollData2324,'2324 Jun 24 Enroll'!E$1,FALSE),'District Calculations'!$F$12)*S285,3)</f>
        <v>15.183999999999999</v>
      </c>
      <c r="V285">
        <f>ROUND(IF(VLOOKUP($A285,EnrollData2324,'2324 Jun 24 Enroll'!F$1,FALSE)='District Calculations'!$F$13,VLOOKUP($A285,EnrollData2324,'2324 Jun 24 Enroll'!F$1,FALSE),'District Calculations'!$F$13)*Apport_224A2425,3)</f>
        <v>3.7109999999999999</v>
      </c>
      <c r="W285">
        <f>ROUND(IF(VLOOKUP($A285,EnrollData2324,'2324 Jun 24 Enroll'!G$1,FALSE)='District Calculations'!$F$14,VLOOKUP($A285,EnrollData2324,'2324 Jun 24 Enroll'!G$1,FALSE),'District Calculations'!$F$14)*Apport_212A2425,3)</f>
        <v>8.2279999999999998</v>
      </c>
      <c r="X285">
        <f>ROUND(IF(VLOOKUP($A285,EnrollData2324,'2324 Jun 24 Enroll'!H$1,FALSE)='District Calculations'!$F$14,VLOOKUP($A285,EnrollData2324,'2324 Jun 24 Enroll'!H$1,FALSE),'District Calculations'!$F$14)*Apport_215A2425,3)</f>
        <v>8.1180000000000003</v>
      </c>
      <c r="Y285">
        <f>ROUND(IF(VLOOKUP($A285,EnrollData2324,'2324 Jun 24 Enroll'!I$1,FALSE)+VLOOKUP($A285,EnrollData2324,'2324 Jun 24 Enroll'!M$1,FALSE)-VLOOKUP($A285,EnrollData2324,'2324 Jun 24 Enroll'!J$1,FALSE)='District Calculations'!$F$16+'District Calculations'!$F$25-'District Calculations'!$F$17,VLOOKUP($A285,EnrollData2324,'2324 Jun 24 Enroll'!I$1,FALSE)+VLOOKUP($A285,EnrollData2324,'2324 Jun 24 Enroll'!M$1,FALSE)-VLOOKUP($A285,EnrollData2324,'2324 Jun 24 Enroll'!J$1,FALSE),'District Calculations'!$F$16+'District Calculations'!$F$25-'District Calculations'!$F$17)*Apport_218A2425,3)</f>
        <v>20.257999999999999</v>
      </c>
      <c r="Z285">
        <f>ROUND(SUM(T285:Y285)/IF(VLOOKUP($A285,EnrollData2324,'2324 Jun 24 Enroll'!M$1,FALSE)+VLOOKUP($A285,EnrollData2324,'2324 Jun 24 Enroll'!D$1,FALSE)='District Calculations'!$F$25+'District Calculations'!$F$11,VLOOKUP($A285,EnrollData2324,'2324 Jun 24 Enroll'!M$1,FALSE)+VLOOKUP($A285,EnrollData2324,'2324 Jun 24 Enroll'!D$1,FALSE),'District Calculations'!$F$25+'District Calculations'!$F$11),5)</f>
        <v>1.7780000000000001E-2</v>
      </c>
      <c r="AA285" s="6">
        <f>ROUND($J285*CIS_Base_Salary2425*VLOOKUP($A285,EnrollData2324,'2324 Jun 24 Enroll'!AH$1,FALSE),2)</f>
        <v>4262.68</v>
      </c>
      <c r="AB285" s="6">
        <f>ROUND($J285*CIS_Inc_Salary2425*(VLOOKUP($A285,EnrollData2324,'2324 Jun 24 Enroll'!AI$1,FALSE)+VLOOKUP($A285,EnrollData2324,'2324 Jun 24 Enroll'!AJ$1,FALSE)),2)-AA285</f>
        <v>201.89999999999964</v>
      </c>
      <c r="AC285" s="6" cm="1">
        <f t="array" ref="AC285">ROUND($R285*CAS_Base_Salary2425*VLOOKUP($A285,EnrollData2324,'2324 Jun 24 Enroll'!AH$1,FALSE),2)</f>
        <v>461.23</v>
      </c>
      <c r="AD285" s="6">
        <f>ROUND($R285*CAS_Inc_Salary2425*VLOOKUP($A285,EnrollData2324,'2324 Jun 24 Enroll'!AI$1,FALSE),2)-AC285</f>
        <v>17.069999999999993</v>
      </c>
      <c r="AE285" s="6">
        <f>ROUND($Z285*CLS_Base_Salary2425*VLOOKUP($A285,EnrollData2324,'2324 Jun 24 Enroll'!AH$1,FALSE),2)</f>
        <v>961.95</v>
      </c>
      <c r="AF285" s="6">
        <f>ROUND($Z285*CLS_Inc_Salary2425*VLOOKUP($A285,EnrollData2324,'2324 Jun 24 Enroll'!AI$1,FALSE),2)-AE285</f>
        <v>35.599999999999909</v>
      </c>
      <c r="AG285" cm="1">
        <f t="array" ref="AG285">ROUND(($J285+$R285)*Apport_124X2425,2)</f>
        <v>800.45</v>
      </c>
      <c r="AH285" s="69" cm="1">
        <f t="array" ref="AH285">ROUND(($J285+$R285)*Apport_621X2425*Apport_125XC2425,2)-AG285</f>
        <v>73.899999999999977</v>
      </c>
      <c r="AI285" cm="1">
        <f t="array" ref="AI285">ROUND($Z285*Apport_124X2425,2)</f>
        <v>234.7</v>
      </c>
      <c r="AJ285">
        <f t="shared" si="52"/>
        <v>124.71000000000004</v>
      </c>
      <c r="AK285">
        <f t="shared" si="53"/>
        <v>857.39</v>
      </c>
      <c r="AL285">
        <f t="shared" si="54"/>
        <v>38.340000000000003</v>
      </c>
      <c r="AM285">
        <f t="shared" si="55"/>
        <v>208.36</v>
      </c>
      <c r="AN285">
        <f t="shared" si="56"/>
        <v>6.46</v>
      </c>
      <c r="AO285">
        <f>ROUND(($J285*CIS_Inc_Salary2425*(VLOOKUP($A285,EnrollData2324,'2324 Jun 24 Enroll'!AI$1,FALSE)+VLOOKUP($A285,EnrollData2324,'2324 Jun 24 Enroll'!AJ$1,FALSE))/Apport_613Xpd)*Apport_614Xpd,2)</f>
        <v>74.41</v>
      </c>
      <c r="AP285">
        <f t="shared" si="57"/>
        <v>13.03</v>
      </c>
      <c r="AQ285">
        <f t="shared" si="58"/>
        <v>31.48</v>
      </c>
      <c r="AR285" s="6">
        <f>ROUND((VLOOKUP($A285,EnrollData2324,'2324 Jun 24 Enroll'!D$1,FALSE)*Apport_M802425+VLOOKUP($A285,EnrollData2324,'2324 Jun 24 Enroll'!M$1,FALSE)*Apport_M802425+(VLOOKUP($A285,EnrollData2324,'2324 Jun 24 Enroll'!P$1,FALSE)+VLOOKUP($A285,EnrollData2324,'2324 Jun 24 Enroll'!Q$1,FALSE)+VLOOKUP($A285,EnrollData2324,'2324 Jun 24 Enroll'!R$1,FALSE)+VLOOKUP($A285,EnrollData2324,'2324 Jun 24 Enroll'!I$1,FALSE)+VLOOKUP($A285,EnrollData2324,'2324 Jun 24 Enroll'!N$1,FALSE)+VLOOKUP($A285,EnrollData2324,'2324 Jun 24 Enroll'!O$1,FALSE)+VLOOKUP($A285,EnrollData2324,'2324 Jun 24 Enroll'!K$1,FALSE)+VLOOKUP($A285,EnrollData2324,'2324 Jun 24 Enroll'!L$1,FALSE))*Apport_M812425)/(VLOOKUP($A285,EnrollData2324,'2324 Jun 24 Enroll'!M$1,FALSE)+VLOOKUP($A285,EnrollData2324,'2324 Jun 24 Enroll'!D$1,FALSE)),2)</f>
        <v>1591.32</v>
      </c>
      <c r="AS285" s="7">
        <f t="shared" si="59"/>
        <v>9994.9799999999977</v>
      </c>
    </row>
    <row r="286" spans="1:45">
      <c r="A286" s="40" t="s">
        <v>699</v>
      </c>
      <c r="B286" s="40" t="s">
        <v>700</v>
      </c>
      <c r="C286" s="11">
        <f>ROUND((IFERROR((1/IF(VLOOKUP($A286,EnrollData2324,28,FALSE)='District Calculations'!$F$10,VLOOKUP($A286,EnrollData2324,28,FALSE),'District Calculations'!$F$10))*(1+Apport_Z315),0))+Apport_201A2425,6)</f>
        <v>7.4580999999999995E-2</v>
      </c>
      <c r="D286">
        <f>ROUND(IF(VLOOKUP($A286,EnrollData2324,'2324 Jun 24 Enroll'!D$1,FALSE)='District Calculations'!$F$11,VLOOKUP($A286,EnrollData2324,'2324 Jun 24 Enroll'!D$1,FALSE),'District Calculations'!$F$11)*C286,3)</f>
        <v>0</v>
      </c>
      <c r="E286">
        <f>ROUND(IF(VLOOKUP($A286,EnrollData2324,'2324 Jun 24 Enroll'!E$1,FALSE)='District Calculations'!$F$12,VLOOKUP($A286,EnrollData2324,'2324 Jun 24 Enroll'!E$1,FALSE),'District Calculations'!$F$12)*C286,3)</f>
        <v>60.447000000000003</v>
      </c>
      <c r="F286">
        <f>ROUND(IF(VLOOKUP($A286,EnrollData2324,'2324 Jun 24 Enroll'!F$1,FALSE)='District Calculations'!$F$13,VLOOKUP($A286,EnrollData2324,'2324 Jun 24 Enroll'!F$1,FALSE),'District Calculations'!$F$13)*Apport_222A2425,3)</f>
        <v>10.337999999999999</v>
      </c>
      <c r="G286">
        <f>ROUND(IF(VLOOKUP($A286,EnrollData2324,'2324 Jun 24 Enroll'!G$1,FALSE)='District Calculations'!$F$14,VLOOKUP($A286,EnrollData2324,'2324 Jun 24 Enroll'!G$1,FALSE),'District Calculations'!$F$14)*Apport_210A2425,3)</f>
        <v>22.92</v>
      </c>
      <c r="H286">
        <f>ROUND(IF(VLOOKUP($A286,EnrollData2324,'2324 Jun 24 Enroll'!H$1,FALSE)='District Calculations'!$F$15,VLOOKUP($A286,EnrollData2324,'2324 Jun 24 Enroll'!H$1,FALSE),'District Calculations'!$F$15)*Apport_213A2425,3)</f>
        <v>23.619</v>
      </c>
      <c r="I286">
        <f>ROUND(IF(VLOOKUP($A286,EnrollData2324,'2324 Jun 24 Enroll'!I$1,FALSE)+VLOOKUP($A286,EnrollData2324,'2324 Jun 24 Enroll'!M$1,FALSE)-VLOOKUP($A286,EnrollData2324,'2324 Jun 24 Enroll'!J$1,FALSE)='District Calculations'!$F$16+'District Calculations'!$F$25-'District Calculations'!$F$17,VLOOKUP($A286,EnrollData2324,'2324 Jun 24 Enroll'!I$1,FALSE)+VLOOKUP($A286,EnrollData2324,'2324 Jun 24 Enroll'!M$1,FALSE)-VLOOKUP($A286,EnrollData2324,'2324 Jun 24 Enroll'!J$1,FALSE),'District Calculations'!$F$16+'District Calculations'!$F$25-'District Calculations'!$F$17)*Apport_216A2425,3)</f>
        <v>59.057000000000002</v>
      </c>
      <c r="J286">
        <f>ROUND(SUM(D286:I286)/(IF(VLOOKUP($A286,EnrollData2324,'2324 Jun 24 Enroll'!M$1,FALSE)='District Calculations'!$F$25,VLOOKUP($A286,EnrollData2324,'2324 Jun 24 Enroll'!M$1,FALSE),'District Calculations'!$F$25)+IF(VLOOKUP($A286,EnrollData2324,'2324 Jun 24 Enroll'!D$1,FALSE)='District Calculations'!$F$11,VLOOKUP($A286,EnrollData2324,'2324 Jun 24 Enroll'!D$1,FALSE),'District Calculations'!$F$11)),5)</f>
        <v>5.6520000000000001E-2</v>
      </c>
      <c r="K286" s="11">
        <f t="shared" si="50"/>
        <v>4.385E-3</v>
      </c>
      <c r="L286">
        <f>ROUND(IF(VLOOKUP($A286,EnrollData2324,'2324 Jun 24 Enroll'!D$1,FALSE)='District Calculations'!$F$11,VLOOKUP($A286,EnrollData2324,'2324 Jun 24 Enroll'!D$1,FALSE),'District Calculations'!$F$11)*K286,3)</f>
        <v>0</v>
      </c>
      <c r="M286">
        <f>ROUND(IF(VLOOKUP($A286,EnrollData2324,'2324 Jun 24 Enroll'!E$1,FALSE)='District Calculations'!$F$12,VLOOKUP($A286,EnrollData2324,'2324 Jun 24 Enroll'!E$1,FALSE),'District Calculations'!$F$12)*K286,3)</f>
        <v>3.5539999999999998</v>
      </c>
      <c r="N286">
        <f>ROUND(IF(VLOOKUP($A286,EnrollData2324,'2324 Jun 24 Enroll'!F$1,FALSE)='District Calculations'!$F$13,VLOOKUP($A286,EnrollData2324,'2324 Jun 24 Enroll'!F$1,FALSE),'District Calculations'!$F$13)*Apport_223A2425,3)</f>
        <v>0.84599999999999997</v>
      </c>
      <c r="O286">
        <f>ROUND(IF(VLOOKUP($A286,EnrollData2324,'2324 Jun 24 Enroll'!G$1,FALSE)='District Calculations'!$F$14,VLOOKUP($A286,EnrollData2324,'2324 Jun 24 Enroll'!G$1,FALSE),'District Calculations'!$F$14)*Apport_211A2425,3)</f>
        <v>1.877</v>
      </c>
      <c r="P286">
        <f>ROUND(IF(VLOOKUP($A286,EnrollData2324,'2324 Jun 24 Enroll'!H$1,FALSE)='District Calculations'!$F$14,VLOOKUP($A286,EnrollData2324,'2324 Jun 24 Enroll'!H$1,FALSE),'District Calculations'!$F$14)*Apport_214A2425,3)</f>
        <v>1.875</v>
      </c>
      <c r="Q286">
        <f>ROUND(IF(VLOOKUP($A286,EnrollData2324,'2324 Jun 24 Enroll'!I$1,FALSE)+VLOOKUP($A286,EnrollData2324,'2324 Jun 24 Enroll'!M$1,FALSE)-VLOOKUP($A286,EnrollData2324,'2324 Jun 24 Enroll'!J$1,FALSE)='District Calculations'!$F$16+'District Calculations'!$F$25-'District Calculations'!$F$17,VLOOKUP($A286,EnrollData2324,'2324 Jun 24 Enroll'!I$1,FALSE)+VLOOKUP($A286,EnrollData2324,'2324 Jun 24 Enroll'!M$1,FALSE)-VLOOKUP($A286,EnrollData2324,'2324 Jun 24 Enroll'!J$1,FALSE),'District Calculations'!$F$16+'District Calculations'!$F$25-'District Calculations'!$F$17)*Apport_217A2425,3)</f>
        <v>4.7130000000000001</v>
      </c>
      <c r="R286">
        <f>ROUND(SUM(L286:Q286)/IF(VLOOKUP($A286,EnrollData2324,'2324 Jun 24 Enroll'!M$1,FALSE)+VLOOKUP($A286,EnrollData2324,'2324 Jun 24 Enroll'!D$1,FALSE)='District Calculations'!$F$25+'District Calculations'!$F$11,VLOOKUP($A286,EnrollData2324,'2324 Jun 24 Enroll'!M$1,FALSE)+VLOOKUP($A286,EnrollData2324,'2324 Jun 24 Enroll'!D$1,FALSE),'District Calculations'!$F$25+'District Calculations'!$F$11),5)</f>
        <v>4.1200000000000004E-3</v>
      </c>
      <c r="S286" s="11">
        <f t="shared" si="51"/>
        <v>1.8734299999999999E-2</v>
      </c>
      <c r="T286">
        <f>ROUND(IF(VLOOKUP($A286,EnrollData2324,'2324 Jun 24 Enroll'!D$1,FALSE)='District Calculations'!$F$11,VLOOKUP($A286,EnrollData2324,'2324 Jun 24 Enroll'!D$1,FALSE),'District Calculations'!$F$11)*S286,3)</f>
        <v>0</v>
      </c>
      <c r="U286">
        <f>ROUND(IF(VLOOKUP($A286,EnrollData2324,'2324 Jun 24 Enroll'!E$1,FALSE)='District Calculations'!$F$12,VLOOKUP($A286,EnrollData2324,'2324 Jun 24 Enroll'!E$1,FALSE),'District Calculations'!$F$12)*S286,3)</f>
        <v>15.183999999999999</v>
      </c>
      <c r="V286">
        <f>ROUND(IF(VLOOKUP($A286,EnrollData2324,'2324 Jun 24 Enroll'!F$1,FALSE)='District Calculations'!$F$13,VLOOKUP($A286,EnrollData2324,'2324 Jun 24 Enroll'!F$1,FALSE),'District Calculations'!$F$13)*Apport_224A2425,3)</f>
        <v>3.7109999999999999</v>
      </c>
      <c r="W286">
        <f>ROUND(IF(VLOOKUP($A286,EnrollData2324,'2324 Jun 24 Enroll'!G$1,FALSE)='District Calculations'!$F$14,VLOOKUP($A286,EnrollData2324,'2324 Jun 24 Enroll'!G$1,FALSE),'District Calculations'!$F$14)*Apport_212A2425,3)</f>
        <v>8.2279999999999998</v>
      </c>
      <c r="X286">
        <f>ROUND(IF(VLOOKUP($A286,EnrollData2324,'2324 Jun 24 Enroll'!H$1,FALSE)='District Calculations'!$F$14,VLOOKUP($A286,EnrollData2324,'2324 Jun 24 Enroll'!H$1,FALSE),'District Calculations'!$F$14)*Apport_215A2425,3)</f>
        <v>8.1180000000000003</v>
      </c>
      <c r="Y286">
        <f>ROUND(IF(VLOOKUP($A286,EnrollData2324,'2324 Jun 24 Enroll'!I$1,FALSE)+VLOOKUP($A286,EnrollData2324,'2324 Jun 24 Enroll'!M$1,FALSE)-VLOOKUP($A286,EnrollData2324,'2324 Jun 24 Enroll'!J$1,FALSE)='District Calculations'!$F$16+'District Calculations'!$F$25-'District Calculations'!$F$17,VLOOKUP($A286,EnrollData2324,'2324 Jun 24 Enroll'!I$1,FALSE)+VLOOKUP($A286,EnrollData2324,'2324 Jun 24 Enroll'!M$1,FALSE)-VLOOKUP($A286,EnrollData2324,'2324 Jun 24 Enroll'!J$1,FALSE),'District Calculations'!$F$16+'District Calculations'!$F$25-'District Calculations'!$F$17)*Apport_218A2425,3)</f>
        <v>20.257999999999999</v>
      </c>
      <c r="Z286">
        <f>ROUND(SUM(T286:Y286)/IF(VLOOKUP($A286,EnrollData2324,'2324 Jun 24 Enroll'!M$1,FALSE)+VLOOKUP($A286,EnrollData2324,'2324 Jun 24 Enroll'!D$1,FALSE)='District Calculations'!$F$25+'District Calculations'!$F$11,VLOOKUP($A286,EnrollData2324,'2324 Jun 24 Enroll'!M$1,FALSE)+VLOOKUP($A286,EnrollData2324,'2324 Jun 24 Enroll'!D$1,FALSE),'District Calculations'!$F$25+'District Calculations'!$F$11),5)</f>
        <v>1.7780000000000001E-2</v>
      </c>
      <c r="AA286" s="6">
        <f>ROUND($J286*CIS_Base_Salary2425*VLOOKUP($A286,EnrollData2324,'2324 Jun 24 Enroll'!AH$1,FALSE),2)</f>
        <v>4262.68</v>
      </c>
      <c r="AB286" s="6">
        <f>ROUND($J286*CIS_Inc_Salary2425*(VLOOKUP($A286,EnrollData2324,'2324 Jun 24 Enroll'!AI$1,FALSE)+VLOOKUP($A286,EnrollData2324,'2324 Jun 24 Enroll'!AJ$1,FALSE)),2)-AA286</f>
        <v>157.6899999999996</v>
      </c>
      <c r="AC286" s="6" cm="1">
        <f t="array" ref="AC286">ROUND($R286*CAS_Base_Salary2425*VLOOKUP($A286,EnrollData2324,'2324 Jun 24 Enroll'!AH$1,FALSE),2)</f>
        <v>461.23</v>
      </c>
      <c r="AD286" s="6">
        <f>ROUND($R286*CAS_Inc_Salary2425*VLOOKUP($A286,EnrollData2324,'2324 Jun 24 Enroll'!AI$1,FALSE),2)-AC286</f>
        <v>17.069999999999993</v>
      </c>
      <c r="AE286" s="6">
        <f>ROUND($Z286*CLS_Base_Salary2425*VLOOKUP($A286,EnrollData2324,'2324 Jun 24 Enroll'!AH$1,FALSE),2)</f>
        <v>961.95</v>
      </c>
      <c r="AF286" s="6">
        <f>ROUND($Z286*CLS_Inc_Salary2425*VLOOKUP($A286,EnrollData2324,'2324 Jun 24 Enroll'!AI$1,FALSE),2)-AE286</f>
        <v>35.599999999999909</v>
      </c>
      <c r="AG286" cm="1">
        <f t="array" ref="AG286">ROUND(($J286+$R286)*Apport_124X2425,2)</f>
        <v>800.45</v>
      </c>
      <c r="AH286" s="69" cm="1">
        <f t="array" ref="AH286">ROUND(($J286+$R286)*Apport_621X2425*Apport_125XC2425,2)-AG286</f>
        <v>73.899999999999977</v>
      </c>
      <c r="AI286" cm="1">
        <f t="array" ref="AI286">ROUND($Z286*Apport_124X2425,2)</f>
        <v>234.7</v>
      </c>
      <c r="AJ286">
        <f t="shared" si="52"/>
        <v>124.71000000000004</v>
      </c>
      <c r="AK286">
        <f t="shared" si="53"/>
        <v>857.39</v>
      </c>
      <c r="AL286">
        <f t="shared" si="54"/>
        <v>30.6</v>
      </c>
      <c r="AM286">
        <f t="shared" si="55"/>
        <v>208.36</v>
      </c>
      <c r="AN286">
        <f t="shared" si="56"/>
        <v>6.46</v>
      </c>
      <c r="AO286">
        <f>ROUND(($J286*CIS_Inc_Salary2425*(VLOOKUP($A286,EnrollData2324,'2324 Jun 24 Enroll'!AI$1,FALSE)+VLOOKUP($A286,EnrollData2324,'2324 Jun 24 Enroll'!AJ$1,FALSE))/Apport_613Xpd)*Apport_614Xpd,2)</f>
        <v>73.67</v>
      </c>
      <c r="AP286">
        <f t="shared" si="57"/>
        <v>12.9</v>
      </c>
      <c r="AQ286">
        <f t="shared" si="58"/>
        <v>31.48</v>
      </c>
      <c r="AR286" s="6">
        <f>ROUND((VLOOKUP($A286,EnrollData2324,'2324 Jun 24 Enroll'!D$1,FALSE)*Apport_M802425+VLOOKUP($A286,EnrollData2324,'2324 Jun 24 Enroll'!M$1,FALSE)*Apport_M802425+(VLOOKUP($A286,EnrollData2324,'2324 Jun 24 Enroll'!P$1,FALSE)+VLOOKUP($A286,EnrollData2324,'2324 Jun 24 Enroll'!Q$1,FALSE)+VLOOKUP($A286,EnrollData2324,'2324 Jun 24 Enroll'!R$1,FALSE)+VLOOKUP($A286,EnrollData2324,'2324 Jun 24 Enroll'!I$1,FALSE)+VLOOKUP($A286,EnrollData2324,'2324 Jun 24 Enroll'!N$1,FALSE)+VLOOKUP($A286,EnrollData2324,'2324 Jun 24 Enroll'!O$1,FALSE)+VLOOKUP($A286,EnrollData2324,'2324 Jun 24 Enroll'!K$1,FALSE)+VLOOKUP($A286,EnrollData2324,'2324 Jun 24 Enroll'!L$1,FALSE))*Apport_M812425)/(VLOOKUP($A286,EnrollData2324,'2324 Jun 24 Enroll'!M$1,FALSE)+VLOOKUP($A286,EnrollData2324,'2324 Jun 24 Enroll'!D$1,FALSE)),2)</f>
        <v>1585.64</v>
      </c>
      <c r="AS286" s="7">
        <f t="shared" si="59"/>
        <v>9936.4799999999977</v>
      </c>
    </row>
    <row r="287" spans="1:45">
      <c r="A287" s="40" t="s">
        <v>335</v>
      </c>
      <c r="B287" s="40" t="s">
        <v>336</v>
      </c>
      <c r="C287" s="11">
        <f>ROUND((IFERROR((1/IF(VLOOKUP($A287,EnrollData2324,28,FALSE)='District Calculations'!$F$10,VLOOKUP($A287,EnrollData2324,28,FALSE),'District Calculations'!$F$10))*(1+Apport_Z315),0))+Apport_201A2425,6)</f>
        <v>7.4580999999999995E-2</v>
      </c>
      <c r="D287">
        <f>ROUND(IF(VLOOKUP($A287,EnrollData2324,'2324 Jun 24 Enroll'!D$1,FALSE)='District Calculations'!$F$11,VLOOKUP($A287,EnrollData2324,'2324 Jun 24 Enroll'!D$1,FALSE),'District Calculations'!$F$11)*C287,3)</f>
        <v>0</v>
      </c>
      <c r="E287">
        <f>ROUND(IF(VLOOKUP($A287,EnrollData2324,'2324 Jun 24 Enroll'!E$1,FALSE)='District Calculations'!$F$12,VLOOKUP($A287,EnrollData2324,'2324 Jun 24 Enroll'!E$1,FALSE),'District Calculations'!$F$12)*C287,3)</f>
        <v>60.447000000000003</v>
      </c>
      <c r="F287">
        <f>ROUND(IF(VLOOKUP($A287,EnrollData2324,'2324 Jun 24 Enroll'!F$1,FALSE)='District Calculations'!$F$13,VLOOKUP($A287,EnrollData2324,'2324 Jun 24 Enroll'!F$1,FALSE),'District Calculations'!$F$13)*Apport_222A2425,3)</f>
        <v>10.337999999999999</v>
      </c>
      <c r="G287">
        <f>ROUND(IF(VLOOKUP($A287,EnrollData2324,'2324 Jun 24 Enroll'!G$1,FALSE)='District Calculations'!$F$14,VLOOKUP($A287,EnrollData2324,'2324 Jun 24 Enroll'!G$1,FALSE),'District Calculations'!$F$14)*Apport_210A2425,3)</f>
        <v>22.92</v>
      </c>
      <c r="H287">
        <f>ROUND(IF(VLOOKUP($A287,EnrollData2324,'2324 Jun 24 Enroll'!H$1,FALSE)='District Calculations'!$F$15,VLOOKUP($A287,EnrollData2324,'2324 Jun 24 Enroll'!H$1,FALSE),'District Calculations'!$F$15)*Apport_213A2425,3)</f>
        <v>23.619</v>
      </c>
      <c r="I287">
        <f>ROUND(IF(VLOOKUP($A287,EnrollData2324,'2324 Jun 24 Enroll'!I$1,FALSE)+VLOOKUP($A287,EnrollData2324,'2324 Jun 24 Enroll'!M$1,FALSE)-VLOOKUP($A287,EnrollData2324,'2324 Jun 24 Enroll'!J$1,FALSE)='District Calculations'!$F$16+'District Calculations'!$F$25-'District Calculations'!$F$17,VLOOKUP($A287,EnrollData2324,'2324 Jun 24 Enroll'!I$1,FALSE)+VLOOKUP($A287,EnrollData2324,'2324 Jun 24 Enroll'!M$1,FALSE)-VLOOKUP($A287,EnrollData2324,'2324 Jun 24 Enroll'!J$1,FALSE),'District Calculations'!$F$16+'District Calculations'!$F$25-'District Calculations'!$F$17)*Apport_216A2425,3)</f>
        <v>59.057000000000002</v>
      </c>
      <c r="J287">
        <f>ROUND(SUM(D287:I287)/(IF(VLOOKUP($A287,EnrollData2324,'2324 Jun 24 Enroll'!M$1,FALSE)='District Calculations'!$F$25,VLOOKUP($A287,EnrollData2324,'2324 Jun 24 Enroll'!M$1,FALSE),'District Calculations'!$F$25)+IF(VLOOKUP($A287,EnrollData2324,'2324 Jun 24 Enroll'!D$1,FALSE)='District Calculations'!$F$11,VLOOKUP($A287,EnrollData2324,'2324 Jun 24 Enroll'!D$1,FALSE),'District Calculations'!$F$11)),5)</f>
        <v>5.6520000000000001E-2</v>
      </c>
      <c r="K287" s="11">
        <f t="shared" ref="K287:K325" si="60">ROUND(((($C287+Apport_203A2425+Apport_202A2425)*Apport_557X)*Apport_558X)+Apport_202A2425,6)</f>
        <v>4.385E-3</v>
      </c>
      <c r="L287">
        <f>ROUND(IF(VLOOKUP($A287,EnrollData2324,'2324 Jun 24 Enroll'!D$1,FALSE)='District Calculations'!$F$11,VLOOKUP($A287,EnrollData2324,'2324 Jun 24 Enroll'!D$1,FALSE),'District Calculations'!$F$11)*K287,3)</f>
        <v>0</v>
      </c>
      <c r="M287">
        <f>ROUND(IF(VLOOKUP($A287,EnrollData2324,'2324 Jun 24 Enroll'!E$1,FALSE)='District Calculations'!$F$12,VLOOKUP($A287,EnrollData2324,'2324 Jun 24 Enroll'!E$1,FALSE),'District Calculations'!$F$12)*K287,3)</f>
        <v>3.5539999999999998</v>
      </c>
      <c r="N287">
        <f>ROUND(IF(VLOOKUP($A287,EnrollData2324,'2324 Jun 24 Enroll'!F$1,FALSE)='District Calculations'!$F$13,VLOOKUP($A287,EnrollData2324,'2324 Jun 24 Enroll'!F$1,FALSE),'District Calculations'!$F$13)*Apport_223A2425,3)</f>
        <v>0.84599999999999997</v>
      </c>
      <c r="O287">
        <f>ROUND(IF(VLOOKUP($A287,EnrollData2324,'2324 Jun 24 Enroll'!G$1,FALSE)='District Calculations'!$F$14,VLOOKUP($A287,EnrollData2324,'2324 Jun 24 Enroll'!G$1,FALSE),'District Calculations'!$F$14)*Apport_211A2425,3)</f>
        <v>1.877</v>
      </c>
      <c r="P287">
        <f>ROUND(IF(VLOOKUP($A287,EnrollData2324,'2324 Jun 24 Enroll'!H$1,FALSE)='District Calculations'!$F$14,VLOOKUP($A287,EnrollData2324,'2324 Jun 24 Enroll'!H$1,FALSE),'District Calculations'!$F$14)*Apport_214A2425,3)</f>
        <v>1.875</v>
      </c>
      <c r="Q287">
        <f>ROUND(IF(VLOOKUP($A287,EnrollData2324,'2324 Jun 24 Enroll'!I$1,FALSE)+VLOOKUP($A287,EnrollData2324,'2324 Jun 24 Enroll'!M$1,FALSE)-VLOOKUP($A287,EnrollData2324,'2324 Jun 24 Enroll'!J$1,FALSE)='District Calculations'!$F$16+'District Calculations'!$F$25-'District Calculations'!$F$17,VLOOKUP($A287,EnrollData2324,'2324 Jun 24 Enroll'!I$1,FALSE)+VLOOKUP($A287,EnrollData2324,'2324 Jun 24 Enroll'!M$1,FALSE)-VLOOKUP($A287,EnrollData2324,'2324 Jun 24 Enroll'!J$1,FALSE),'District Calculations'!$F$16+'District Calculations'!$F$25-'District Calculations'!$F$17)*Apport_217A2425,3)</f>
        <v>4.7130000000000001</v>
      </c>
      <c r="R287">
        <f>ROUND(SUM(L287:Q287)/IF(VLOOKUP($A287,EnrollData2324,'2324 Jun 24 Enroll'!M$1,FALSE)+VLOOKUP($A287,EnrollData2324,'2324 Jun 24 Enroll'!D$1,FALSE)='District Calculations'!$F$25+'District Calculations'!$F$11,VLOOKUP($A287,EnrollData2324,'2324 Jun 24 Enroll'!M$1,FALSE)+VLOOKUP($A287,EnrollData2324,'2324 Jun 24 Enroll'!D$1,FALSE),'District Calculations'!$F$25+'District Calculations'!$F$11),5)</f>
        <v>4.1200000000000004E-3</v>
      </c>
      <c r="S287" s="11">
        <f t="shared" ref="S287:S325" si="61">ROUND(((($C287+Apport_203A2425+Apport_202A2425)*Apport_557X)*Apport_559X)+Apport_203A2425,7)</f>
        <v>1.8734299999999999E-2</v>
      </c>
      <c r="T287">
        <f>ROUND(IF(VLOOKUP($A287,EnrollData2324,'2324 Jun 24 Enroll'!D$1,FALSE)='District Calculations'!$F$11,VLOOKUP($A287,EnrollData2324,'2324 Jun 24 Enroll'!D$1,FALSE),'District Calculations'!$F$11)*S287,3)</f>
        <v>0</v>
      </c>
      <c r="U287">
        <f>ROUND(IF(VLOOKUP($A287,EnrollData2324,'2324 Jun 24 Enroll'!E$1,FALSE)='District Calculations'!$F$12,VLOOKUP($A287,EnrollData2324,'2324 Jun 24 Enroll'!E$1,FALSE),'District Calculations'!$F$12)*S287,3)</f>
        <v>15.183999999999999</v>
      </c>
      <c r="V287">
        <f>ROUND(IF(VLOOKUP($A287,EnrollData2324,'2324 Jun 24 Enroll'!F$1,FALSE)='District Calculations'!$F$13,VLOOKUP($A287,EnrollData2324,'2324 Jun 24 Enroll'!F$1,FALSE),'District Calculations'!$F$13)*Apport_224A2425,3)</f>
        <v>3.7109999999999999</v>
      </c>
      <c r="W287">
        <f>ROUND(IF(VLOOKUP($A287,EnrollData2324,'2324 Jun 24 Enroll'!G$1,FALSE)='District Calculations'!$F$14,VLOOKUP($A287,EnrollData2324,'2324 Jun 24 Enroll'!G$1,FALSE),'District Calculations'!$F$14)*Apport_212A2425,3)</f>
        <v>8.2279999999999998</v>
      </c>
      <c r="X287">
        <f>ROUND(IF(VLOOKUP($A287,EnrollData2324,'2324 Jun 24 Enroll'!H$1,FALSE)='District Calculations'!$F$14,VLOOKUP($A287,EnrollData2324,'2324 Jun 24 Enroll'!H$1,FALSE),'District Calculations'!$F$14)*Apport_215A2425,3)</f>
        <v>8.1180000000000003</v>
      </c>
      <c r="Y287">
        <f>ROUND(IF(VLOOKUP($A287,EnrollData2324,'2324 Jun 24 Enroll'!I$1,FALSE)+VLOOKUP($A287,EnrollData2324,'2324 Jun 24 Enroll'!M$1,FALSE)-VLOOKUP($A287,EnrollData2324,'2324 Jun 24 Enroll'!J$1,FALSE)='District Calculations'!$F$16+'District Calculations'!$F$25-'District Calculations'!$F$17,VLOOKUP($A287,EnrollData2324,'2324 Jun 24 Enroll'!I$1,FALSE)+VLOOKUP($A287,EnrollData2324,'2324 Jun 24 Enroll'!M$1,FALSE)-VLOOKUP($A287,EnrollData2324,'2324 Jun 24 Enroll'!J$1,FALSE),'District Calculations'!$F$16+'District Calculations'!$F$25-'District Calculations'!$F$17)*Apport_218A2425,3)</f>
        <v>20.257999999999999</v>
      </c>
      <c r="Z287">
        <f>ROUND(SUM(T287:Y287)/IF(VLOOKUP($A287,EnrollData2324,'2324 Jun 24 Enroll'!M$1,FALSE)+VLOOKUP($A287,EnrollData2324,'2324 Jun 24 Enroll'!D$1,FALSE)='District Calculations'!$F$25+'District Calculations'!$F$11,VLOOKUP($A287,EnrollData2324,'2324 Jun 24 Enroll'!M$1,FALSE)+VLOOKUP($A287,EnrollData2324,'2324 Jun 24 Enroll'!D$1,FALSE),'District Calculations'!$F$25+'District Calculations'!$F$11),5)</f>
        <v>1.7780000000000001E-2</v>
      </c>
      <c r="AA287" s="6">
        <f>ROUND($J287*CIS_Base_Salary2425*VLOOKUP($A287,EnrollData2324,'2324 Jun 24 Enroll'!AH$1,FALSE),2)</f>
        <v>4518.4399999999996</v>
      </c>
      <c r="AB287" s="6">
        <f>ROUND($J287*CIS_Inc_Salary2425*(VLOOKUP($A287,EnrollData2324,'2324 Jun 24 Enroll'!AI$1,FALSE)+VLOOKUP($A287,EnrollData2324,'2324 Jun 24 Enroll'!AJ$1,FALSE)),2)-AA287</f>
        <v>167.16000000000076</v>
      </c>
      <c r="AC287" s="6" cm="1">
        <f t="array" ref="AC287">ROUND($R287*CAS_Base_Salary2425*VLOOKUP($A287,EnrollData2324,'2324 Jun 24 Enroll'!AH$1,FALSE),2)</f>
        <v>488.91</v>
      </c>
      <c r="AD287" s="6">
        <f>ROUND($R287*CAS_Inc_Salary2425*VLOOKUP($A287,EnrollData2324,'2324 Jun 24 Enroll'!AI$1,FALSE),2)-AC287</f>
        <v>18.089999999999975</v>
      </c>
      <c r="AE287" s="6">
        <f>ROUND($Z287*CLS_Base_Salary2425*VLOOKUP($A287,EnrollData2324,'2324 Jun 24 Enroll'!AH$1,FALSE),2)</f>
        <v>1019.67</v>
      </c>
      <c r="AF287" s="6">
        <f>ROUND($Z287*CLS_Inc_Salary2425*VLOOKUP($A287,EnrollData2324,'2324 Jun 24 Enroll'!AI$1,FALSE),2)-AE287</f>
        <v>37.730000000000132</v>
      </c>
      <c r="AG287" cm="1">
        <f t="array" ref="AG287">ROUND(($J287+$R287)*Apport_124X2425,2)</f>
        <v>800.45</v>
      </c>
      <c r="AH287" s="69" cm="1">
        <f t="array" ref="AH287">ROUND(($J287+$R287)*Apport_621X2425*Apport_125XC2425,2)-AG287</f>
        <v>73.899999999999977</v>
      </c>
      <c r="AI287" cm="1">
        <f t="array" ref="AI287">ROUND($Z287*Apport_124X2425,2)</f>
        <v>234.7</v>
      </c>
      <c r="AJ287">
        <f t="shared" ref="AJ287:AJ325" si="62">ROUND($Z287*Apport_621X2425*Apport_125X2425,2)-AI287</f>
        <v>124.71000000000004</v>
      </c>
      <c r="AK287">
        <f t="shared" ref="AK287:AK325" si="63">ROUND((AA287+AC287)*Apport_126X2425,2)</f>
        <v>908.83</v>
      </c>
      <c r="AL287">
        <f t="shared" ref="AL287:AL325" si="64">ROUND((AB287+AD287)*Apport_127X2425,2)</f>
        <v>32.44</v>
      </c>
      <c r="AM287">
        <f t="shared" ref="AM287:AM325" si="65">ROUND(AE287*Apport_128X2425,2)</f>
        <v>220.86</v>
      </c>
      <c r="AN287">
        <f t="shared" ref="AN287:AN325" si="66">ROUND(AF287*Apport_129X2425,2)</f>
        <v>6.85</v>
      </c>
      <c r="AO287">
        <f>ROUND(($J287*CIS_Inc_Salary2425*(VLOOKUP($A287,EnrollData2324,'2324 Jun 24 Enroll'!AI$1,FALSE)+VLOOKUP($A287,EnrollData2324,'2324 Jun 24 Enroll'!AJ$1,FALSE))/Apport_613Xpd)*Apport_614Xpd,2)</f>
        <v>78.09</v>
      </c>
      <c r="AP287">
        <f t="shared" ref="AP287:AP325" si="67">ROUND(AO287*Apport_127X2425,2)</f>
        <v>13.67</v>
      </c>
      <c r="AQ287">
        <f t="shared" si="58"/>
        <v>31.48</v>
      </c>
      <c r="AR287" s="6">
        <f>ROUND((VLOOKUP($A287,EnrollData2324,'2324 Jun 24 Enroll'!D$1,FALSE)*Apport_M802425+VLOOKUP($A287,EnrollData2324,'2324 Jun 24 Enroll'!M$1,FALSE)*Apport_M802425+(VLOOKUP($A287,EnrollData2324,'2324 Jun 24 Enroll'!P$1,FALSE)+VLOOKUP($A287,EnrollData2324,'2324 Jun 24 Enroll'!Q$1,FALSE)+VLOOKUP($A287,EnrollData2324,'2324 Jun 24 Enroll'!R$1,FALSE)+VLOOKUP($A287,EnrollData2324,'2324 Jun 24 Enroll'!I$1,FALSE)+VLOOKUP($A287,EnrollData2324,'2324 Jun 24 Enroll'!N$1,FALSE)+VLOOKUP($A287,EnrollData2324,'2324 Jun 24 Enroll'!O$1,FALSE)+VLOOKUP($A287,EnrollData2324,'2324 Jun 24 Enroll'!K$1,FALSE)+VLOOKUP($A287,EnrollData2324,'2324 Jun 24 Enroll'!L$1,FALSE))*Apport_M812425)/(VLOOKUP($A287,EnrollData2324,'2324 Jun 24 Enroll'!M$1,FALSE)+VLOOKUP($A287,EnrollData2324,'2324 Jun 24 Enroll'!D$1,FALSE)),2)</f>
        <v>1605.53</v>
      </c>
      <c r="AS287" s="7">
        <f t="shared" si="59"/>
        <v>10381.510000000002</v>
      </c>
    </row>
    <row r="288" spans="1:45">
      <c r="A288" s="40" t="s">
        <v>466</v>
      </c>
      <c r="B288" s="40" t="s">
        <v>467</v>
      </c>
      <c r="C288" s="11">
        <f>ROUND((IFERROR((1/IF(VLOOKUP($A288,EnrollData2324,28,FALSE)='District Calculations'!$F$10,VLOOKUP($A288,EnrollData2324,28,FALSE),'District Calculations'!$F$10))*(1+Apport_Z315),0))+Apport_201A2425,6)</f>
        <v>7.4580999999999995E-2</v>
      </c>
      <c r="D288">
        <f>ROUND(IF(VLOOKUP($A288,EnrollData2324,'2324 Jun 24 Enroll'!D$1,FALSE)='District Calculations'!$F$11,VLOOKUP($A288,EnrollData2324,'2324 Jun 24 Enroll'!D$1,FALSE),'District Calculations'!$F$11)*C288,3)</f>
        <v>0</v>
      </c>
      <c r="E288">
        <f>ROUND(IF(VLOOKUP($A288,EnrollData2324,'2324 Jun 24 Enroll'!E$1,FALSE)='District Calculations'!$F$12,VLOOKUP($A288,EnrollData2324,'2324 Jun 24 Enroll'!E$1,FALSE),'District Calculations'!$F$12)*C288,3)</f>
        <v>60.447000000000003</v>
      </c>
      <c r="F288">
        <f>ROUND(IF(VLOOKUP($A288,EnrollData2324,'2324 Jun 24 Enroll'!F$1,FALSE)='District Calculations'!$F$13,VLOOKUP($A288,EnrollData2324,'2324 Jun 24 Enroll'!F$1,FALSE),'District Calculations'!$F$13)*Apport_222A2425,3)</f>
        <v>10.337999999999999</v>
      </c>
      <c r="G288">
        <f>ROUND(IF(VLOOKUP($A288,EnrollData2324,'2324 Jun 24 Enroll'!G$1,FALSE)='District Calculations'!$F$14,VLOOKUP($A288,EnrollData2324,'2324 Jun 24 Enroll'!G$1,FALSE),'District Calculations'!$F$14)*Apport_210A2425,3)</f>
        <v>22.92</v>
      </c>
      <c r="H288">
        <f>ROUND(IF(VLOOKUP($A288,EnrollData2324,'2324 Jun 24 Enroll'!H$1,FALSE)='District Calculations'!$F$15,VLOOKUP($A288,EnrollData2324,'2324 Jun 24 Enroll'!H$1,FALSE),'District Calculations'!$F$15)*Apport_213A2425,3)</f>
        <v>23.619</v>
      </c>
      <c r="I288">
        <f>ROUND(IF(VLOOKUP($A288,EnrollData2324,'2324 Jun 24 Enroll'!I$1,FALSE)+VLOOKUP($A288,EnrollData2324,'2324 Jun 24 Enroll'!M$1,FALSE)-VLOOKUP($A288,EnrollData2324,'2324 Jun 24 Enroll'!J$1,FALSE)='District Calculations'!$F$16+'District Calculations'!$F$25-'District Calculations'!$F$17,VLOOKUP($A288,EnrollData2324,'2324 Jun 24 Enroll'!I$1,FALSE)+VLOOKUP($A288,EnrollData2324,'2324 Jun 24 Enroll'!M$1,FALSE)-VLOOKUP($A288,EnrollData2324,'2324 Jun 24 Enroll'!J$1,FALSE),'District Calculations'!$F$16+'District Calculations'!$F$25-'District Calculations'!$F$17)*Apport_216A2425,3)</f>
        <v>59.057000000000002</v>
      </c>
      <c r="J288">
        <f>ROUND(SUM(D288:I288)/(IF(VLOOKUP($A288,EnrollData2324,'2324 Jun 24 Enroll'!M$1,FALSE)='District Calculations'!$F$25,VLOOKUP($A288,EnrollData2324,'2324 Jun 24 Enroll'!M$1,FALSE),'District Calculations'!$F$25)+IF(VLOOKUP($A288,EnrollData2324,'2324 Jun 24 Enroll'!D$1,FALSE)='District Calculations'!$F$11,VLOOKUP($A288,EnrollData2324,'2324 Jun 24 Enroll'!D$1,FALSE),'District Calculations'!$F$11)),5)</f>
        <v>5.6520000000000001E-2</v>
      </c>
      <c r="K288" s="11">
        <f t="shared" si="60"/>
        <v>4.385E-3</v>
      </c>
      <c r="L288">
        <f>ROUND(IF(VLOOKUP($A288,EnrollData2324,'2324 Jun 24 Enroll'!D$1,FALSE)='District Calculations'!$F$11,VLOOKUP($A288,EnrollData2324,'2324 Jun 24 Enroll'!D$1,FALSE),'District Calculations'!$F$11)*K288,3)</f>
        <v>0</v>
      </c>
      <c r="M288">
        <f>ROUND(IF(VLOOKUP($A288,EnrollData2324,'2324 Jun 24 Enroll'!E$1,FALSE)='District Calculations'!$F$12,VLOOKUP($A288,EnrollData2324,'2324 Jun 24 Enroll'!E$1,FALSE),'District Calculations'!$F$12)*K288,3)</f>
        <v>3.5539999999999998</v>
      </c>
      <c r="N288">
        <f>ROUND(IF(VLOOKUP($A288,EnrollData2324,'2324 Jun 24 Enroll'!F$1,FALSE)='District Calculations'!$F$13,VLOOKUP($A288,EnrollData2324,'2324 Jun 24 Enroll'!F$1,FALSE),'District Calculations'!$F$13)*Apport_223A2425,3)</f>
        <v>0.84599999999999997</v>
      </c>
      <c r="O288">
        <f>ROUND(IF(VLOOKUP($A288,EnrollData2324,'2324 Jun 24 Enroll'!G$1,FALSE)='District Calculations'!$F$14,VLOOKUP($A288,EnrollData2324,'2324 Jun 24 Enroll'!G$1,FALSE),'District Calculations'!$F$14)*Apport_211A2425,3)</f>
        <v>1.877</v>
      </c>
      <c r="P288">
        <f>ROUND(IF(VLOOKUP($A288,EnrollData2324,'2324 Jun 24 Enroll'!H$1,FALSE)='District Calculations'!$F$14,VLOOKUP($A288,EnrollData2324,'2324 Jun 24 Enroll'!H$1,FALSE),'District Calculations'!$F$14)*Apport_214A2425,3)</f>
        <v>1.875</v>
      </c>
      <c r="Q288">
        <f>ROUND(IF(VLOOKUP($A288,EnrollData2324,'2324 Jun 24 Enroll'!I$1,FALSE)+VLOOKUP($A288,EnrollData2324,'2324 Jun 24 Enroll'!M$1,FALSE)-VLOOKUP($A288,EnrollData2324,'2324 Jun 24 Enroll'!J$1,FALSE)='District Calculations'!$F$16+'District Calculations'!$F$25-'District Calculations'!$F$17,VLOOKUP($A288,EnrollData2324,'2324 Jun 24 Enroll'!I$1,FALSE)+VLOOKUP($A288,EnrollData2324,'2324 Jun 24 Enroll'!M$1,FALSE)-VLOOKUP($A288,EnrollData2324,'2324 Jun 24 Enroll'!J$1,FALSE),'District Calculations'!$F$16+'District Calculations'!$F$25-'District Calculations'!$F$17)*Apport_217A2425,3)</f>
        <v>4.7130000000000001</v>
      </c>
      <c r="R288">
        <f>ROUND(SUM(L288:Q288)/IF(VLOOKUP($A288,EnrollData2324,'2324 Jun 24 Enroll'!M$1,FALSE)+VLOOKUP($A288,EnrollData2324,'2324 Jun 24 Enroll'!D$1,FALSE)='District Calculations'!$F$25+'District Calculations'!$F$11,VLOOKUP($A288,EnrollData2324,'2324 Jun 24 Enroll'!M$1,FALSE)+VLOOKUP($A288,EnrollData2324,'2324 Jun 24 Enroll'!D$1,FALSE),'District Calculations'!$F$25+'District Calculations'!$F$11),5)</f>
        <v>4.1200000000000004E-3</v>
      </c>
      <c r="S288" s="11">
        <f t="shared" si="61"/>
        <v>1.8734299999999999E-2</v>
      </c>
      <c r="T288">
        <f>ROUND(IF(VLOOKUP($A288,EnrollData2324,'2324 Jun 24 Enroll'!D$1,FALSE)='District Calculations'!$F$11,VLOOKUP($A288,EnrollData2324,'2324 Jun 24 Enroll'!D$1,FALSE),'District Calculations'!$F$11)*S288,3)</f>
        <v>0</v>
      </c>
      <c r="U288">
        <f>ROUND(IF(VLOOKUP($A288,EnrollData2324,'2324 Jun 24 Enroll'!E$1,FALSE)='District Calculations'!$F$12,VLOOKUP($A288,EnrollData2324,'2324 Jun 24 Enroll'!E$1,FALSE),'District Calculations'!$F$12)*S288,3)</f>
        <v>15.183999999999999</v>
      </c>
      <c r="V288">
        <f>ROUND(IF(VLOOKUP($A288,EnrollData2324,'2324 Jun 24 Enroll'!F$1,FALSE)='District Calculations'!$F$13,VLOOKUP($A288,EnrollData2324,'2324 Jun 24 Enroll'!F$1,FALSE),'District Calculations'!$F$13)*Apport_224A2425,3)</f>
        <v>3.7109999999999999</v>
      </c>
      <c r="W288">
        <f>ROUND(IF(VLOOKUP($A288,EnrollData2324,'2324 Jun 24 Enroll'!G$1,FALSE)='District Calculations'!$F$14,VLOOKUP($A288,EnrollData2324,'2324 Jun 24 Enroll'!G$1,FALSE),'District Calculations'!$F$14)*Apport_212A2425,3)</f>
        <v>8.2279999999999998</v>
      </c>
      <c r="X288">
        <f>ROUND(IF(VLOOKUP($A288,EnrollData2324,'2324 Jun 24 Enroll'!H$1,FALSE)='District Calculations'!$F$14,VLOOKUP($A288,EnrollData2324,'2324 Jun 24 Enroll'!H$1,FALSE),'District Calculations'!$F$14)*Apport_215A2425,3)</f>
        <v>8.1180000000000003</v>
      </c>
      <c r="Y288">
        <f>ROUND(IF(VLOOKUP($A288,EnrollData2324,'2324 Jun 24 Enroll'!I$1,FALSE)+VLOOKUP($A288,EnrollData2324,'2324 Jun 24 Enroll'!M$1,FALSE)-VLOOKUP($A288,EnrollData2324,'2324 Jun 24 Enroll'!J$1,FALSE)='District Calculations'!$F$16+'District Calculations'!$F$25-'District Calculations'!$F$17,VLOOKUP($A288,EnrollData2324,'2324 Jun 24 Enroll'!I$1,FALSE)+VLOOKUP($A288,EnrollData2324,'2324 Jun 24 Enroll'!M$1,FALSE)-VLOOKUP($A288,EnrollData2324,'2324 Jun 24 Enroll'!J$1,FALSE),'District Calculations'!$F$16+'District Calculations'!$F$25-'District Calculations'!$F$17)*Apport_218A2425,3)</f>
        <v>20.257999999999999</v>
      </c>
      <c r="Z288">
        <f>ROUND(SUM(T288:Y288)/IF(VLOOKUP($A288,EnrollData2324,'2324 Jun 24 Enroll'!M$1,FALSE)+VLOOKUP($A288,EnrollData2324,'2324 Jun 24 Enroll'!D$1,FALSE)='District Calculations'!$F$25+'District Calculations'!$F$11,VLOOKUP($A288,EnrollData2324,'2324 Jun 24 Enroll'!M$1,FALSE)+VLOOKUP($A288,EnrollData2324,'2324 Jun 24 Enroll'!D$1,FALSE),'District Calculations'!$F$25+'District Calculations'!$F$11),5)</f>
        <v>1.7780000000000001E-2</v>
      </c>
      <c r="AA288" s="6">
        <f>ROUND($J288*CIS_Base_Salary2425*VLOOKUP($A288,EnrollData2324,'2324 Jun 24 Enroll'!AH$1,FALSE),2)</f>
        <v>4518.4399999999996</v>
      </c>
      <c r="AB288" s="6">
        <f>ROUND($J288*CIS_Inc_Salary2425*(VLOOKUP($A288,EnrollData2324,'2324 Jun 24 Enroll'!AI$1,FALSE)+VLOOKUP($A288,EnrollData2324,'2324 Jun 24 Enroll'!AJ$1,FALSE)),2)-AA288</f>
        <v>167.16000000000076</v>
      </c>
      <c r="AC288" s="6" cm="1">
        <f t="array" ref="AC288">ROUND($R288*CAS_Base_Salary2425*VLOOKUP($A288,EnrollData2324,'2324 Jun 24 Enroll'!AH$1,FALSE),2)</f>
        <v>488.91</v>
      </c>
      <c r="AD288" s="6">
        <f>ROUND($R288*CAS_Inc_Salary2425*VLOOKUP($A288,EnrollData2324,'2324 Jun 24 Enroll'!AI$1,FALSE),2)-AC288</f>
        <v>18.089999999999975</v>
      </c>
      <c r="AE288" s="6">
        <f>ROUND($Z288*CLS_Base_Salary2425*VLOOKUP($A288,EnrollData2324,'2324 Jun 24 Enroll'!AH$1,FALSE),2)</f>
        <v>1019.67</v>
      </c>
      <c r="AF288" s="6">
        <f>ROUND($Z288*CLS_Inc_Salary2425*VLOOKUP($A288,EnrollData2324,'2324 Jun 24 Enroll'!AI$1,FALSE),2)-AE288</f>
        <v>37.730000000000132</v>
      </c>
      <c r="AG288" cm="1">
        <f t="array" ref="AG288">ROUND(($J288+$R288)*Apport_124X2425,2)</f>
        <v>800.45</v>
      </c>
      <c r="AH288" s="69" cm="1">
        <f t="array" ref="AH288">ROUND(($J288+$R288)*Apport_621X2425*Apport_125XC2425,2)-AG288</f>
        <v>73.899999999999977</v>
      </c>
      <c r="AI288" cm="1">
        <f t="array" ref="AI288">ROUND($Z288*Apport_124X2425,2)</f>
        <v>234.7</v>
      </c>
      <c r="AJ288">
        <f t="shared" si="62"/>
        <v>124.71000000000004</v>
      </c>
      <c r="AK288">
        <f t="shared" si="63"/>
        <v>908.83</v>
      </c>
      <c r="AL288">
        <f t="shared" si="64"/>
        <v>32.44</v>
      </c>
      <c r="AM288">
        <f t="shared" si="65"/>
        <v>220.86</v>
      </c>
      <c r="AN288">
        <f t="shared" si="66"/>
        <v>6.85</v>
      </c>
      <c r="AO288">
        <f>ROUND(($J288*CIS_Inc_Salary2425*(VLOOKUP($A288,EnrollData2324,'2324 Jun 24 Enroll'!AI$1,FALSE)+VLOOKUP($A288,EnrollData2324,'2324 Jun 24 Enroll'!AJ$1,FALSE))/Apport_613Xpd)*Apport_614Xpd,2)</f>
        <v>78.09</v>
      </c>
      <c r="AP288">
        <f t="shared" si="67"/>
        <v>13.67</v>
      </c>
      <c r="AQ288">
        <f t="shared" si="58"/>
        <v>31.48</v>
      </c>
      <c r="AR288" s="6">
        <f>ROUND((VLOOKUP($A288,EnrollData2324,'2324 Jun 24 Enroll'!D$1,FALSE)*Apport_M802425+VLOOKUP($A288,EnrollData2324,'2324 Jun 24 Enroll'!M$1,FALSE)*Apport_M802425+(VLOOKUP($A288,EnrollData2324,'2324 Jun 24 Enroll'!P$1,FALSE)+VLOOKUP($A288,EnrollData2324,'2324 Jun 24 Enroll'!Q$1,FALSE)+VLOOKUP($A288,EnrollData2324,'2324 Jun 24 Enroll'!R$1,FALSE)+VLOOKUP($A288,EnrollData2324,'2324 Jun 24 Enroll'!I$1,FALSE)+VLOOKUP($A288,EnrollData2324,'2324 Jun 24 Enroll'!N$1,FALSE)+VLOOKUP($A288,EnrollData2324,'2324 Jun 24 Enroll'!O$1,FALSE)+VLOOKUP($A288,EnrollData2324,'2324 Jun 24 Enroll'!K$1,FALSE)+VLOOKUP($A288,EnrollData2324,'2324 Jun 24 Enroll'!L$1,FALSE))*Apport_M812425)/(VLOOKUP($A288,EnrollData2324,'2324 Jun 24 Enroll'!M$1,FALSE)+VLOOKUP($A288,EnrollData2324,'2324 Jun 24 Enroll'!D$1,FALSE)),2)</f>
        <v>1599.9</v>
      </c>
      <c r="AS288" s="7">
        <f t="shared" si="59"/>
        <v>10375.880000000001</v>
      </c>
    </row>
    <row r="289" spans="1:45">
      <c r="A289" s="40" t="s">
        <v>343</v>
      </c>
      <c r="B289" s="40" t="s">
        <v>344</v>
      </c>
      <c r="C289" s="11">
        <f>ROUND((IFERROR((1/IF(VLOOKUP($A289,EnrollData2324,28,FALSE)='District Calculations'!$F$10,VLOOKUP($A289,EnrollData2324,28,FALSE),'District Calculations'!$F$10))*(1+Apport_Z315),0))+Apport_201A2425,6)</f>
        <v>7.4580999999999995E-2</v>
      </c>
      <c r="D289">
        <f>ROUND(IF(VLOOKUP($A289,EnrollData2324,'2324 Jun 24 Enroll'!D$1,FALSE)='District Calculations'!$F$11,VLOOKUP($A289,EnrollData2324,'2324 Jun 24 Enroll'!D$1,FALSE),'District Calculations'!$F$11)*C289,3)</f>
        <v>0</v>
      </c>
      <c r="E289">
        <f>ROUND(IF(VLOOKUP($A289,EnrollData2324,'2324 Jun 24 Enroll'!E$1,FALSE)='District Calculations'!$F$12,VLOOKUP($A289,EnrollData2324,'2324 Jun 24 Enroll'!E$1,FALSE),'District Calculations'!$F$12)*C289,3)</f>
        <v>60.447000000000003</v>
      </c>
      <c r="F289">
        <f>ROUND(IF(VLOOKUP($A289,EnrollData2324,'2324 Jun 24 Enroll'!F$1,FALSE)='District Calculations'!$F$13,VLOOKUP($A289,EnrollData2324,'2324 Jun 24 Enroll'!F$1,FALSE),'District Calculations'!$F$13)*Apport_222A2425,3)</f>
        <v>10.337999999999999</v>
      </c>
      <c r="G289">
        <f>ROUND(IF(VLOOKUP($A289,EnrollData2324,'2324 Jun 24 Enroll'!G$1,FALSE)='District Calculations'!$F$14,VLOOKUP($A289,EnrollData2324,'2324 Jun 24 Enroll'!G$1,FALSE),'District Calculations'!$F$14)*Apport_210A2425,3)</f>
        <v>22.92</v>
      </c>
      <c r="H289">
        <f>ROUND(IF(VLOOKUP($A289,EnrollData2324,'2324 Jun 24 Enroll'!H$1,FALSE)='District Calculations'!$F$15,VLOOKUP($A289,EnrollData2324,'2324 Jun 24 Enroll'!H$1,FALSE),'District Calculations'!$F$15)*Apport_213A2425,3)</f>
        <v>23.619</v>
      </c>
      <c r="I289">
        <f>ROUND(IF(VLOOKUP($A289,EnrollData2324,'2324 Jun 24 Enroll'!I$1,FALSE)+VLOOKUP($A289,EnrollData2324,'2324 Jun 24 Enroll'!M$1,FALSE)-VLOOKUP($A289,EnrollData2324,'2324 Jun 24 Enroll'!J$1,FALSE)='District Calculations'!$F$16+'District Calculations'!$F$25-'District Calculations'!$F$17,VLOOKUP($A289,EnrollData2324,'2324 Jun 24 Enroll'!I$1,FALSE)+VLOOKUP($A289,EnrollData2324,'2324 Jun 24 Enroll'!M$1,FALSE)-VLOOKUP($A289,EnrollData2324,'2324 Jun 24 Enroll'!J$1,FALSE),'District Calculations'!$F$16+'District Calculations'!$F$25-'District Calculations'!$F$17)*Apport_216A2425,3)</f>
        <v>59.057000000000002</v>
      </c>
      <c r="J289">
        <f>ROUND(SUM(D289:I289)/(IF(VLOOKUP($A289,EnrollData2324,'2324 Jun 24 Enroll'!M$1,FALSE)='District Calculations'!$F$25,VLOOKUP($A289,EnrollData2324,'2324 Jun 24 Enroll'!M$1,FALSE),'District Calculations'!$F$25)+IF(VLOOKUP($A289,EnrollData2324,'2324 Jun 24 Enroll'!D$1,FALSE)='District Calculations'!$F$11,VLOOKUP($A289,EnrollData2324,'2324 Jun 24 Enroll'!D$1,FALSE),'District Calculations'!$F$11)),5)</f>
        <v>5.6520000000000001E-2</v>
      </c>
      <c r="K289" s="11">
        <f t="shared" si="60"/>
        <v>4.385E-3</v>
      </c>
      <c r="L289">
        <f>ROUND(IF(VLOOKUP($A289,EnrollData2324,'2324 Jun 24 Enroll'!D$1,FALSE)='District Calculations'!$F$11,VLOOKUP($A289,EnrollData2324,'2324 Jun 24 Enroll'!D$1,FALSE),'District Calculations'!$F$11)*K289,3)</f>
        <v>0</v>
      </c>
      <c r="M289">
        <f>ROUND(IF(VLOOKUP($A289,EnrollData2324,'2324 Jun 24 Enroll'!E$1,FALSE)='District Calculations'!$F$12,VLOOKUP($A289,EnrollData2324,'2324 Jun 24 Enroll'!E$1,FALSE),'District Calculations'!$F$12)*K289,3)</f>
        <v>3.5539999999999998</v>
      </c>
      <c r="N289">
        <f>ROUND(IF(VLOOKUP($A289,EnrollData2324,'2324 Jun 24 Enroll'!F$1,FALSE)='District Calculations'!$F$13,VLOOKUP($A289,EnrollData2324,'2324 Jun 24 Enroll'!F$1,FALSE),'District Calculations'!$F$13)*Apport_223A2425,3)</f>
        <v>0.84599999999999997</v>
      </c>
      <c r="O289">
        <f>ROUND(IF(VLOOKUP($A289,EnrollData2324,'2324 Jun 24 Enroll'!G$1,FALSE)='District Calculations'!$F$14,VLOOKUP($A289,EnrollData2324,'2324 Jun 24 Enroll'!G$1,FALSE),'District Calculations'!$F$14)*Apport_211A2425,3)</f>
        <v>1.877</v>
      </c>
      <c r="P289">
        <f>ROUND(IF(VLOOKUP($A289,EnrollData2324,'2324 Jun 24 Enroll'!H$1,FALSE)='District Calculations'!$F$14,VLOOKUP($A289,EnrollData2324,'2324 Jun 24 Enroll'!H$1,FALSE),'District Calculations'!$F$14)*Apport_214A2425,3)</f>
        <v>1.875</v>
      </c>
      <c r="Q289">
        <f>ROUND(IF(VLOOKUP($A289,EnrollData2324,'2324 Jun 24 Enroll'!I$1,FALSE)+VLOOKUP($A289,EnrollData2324,'2324 Jun 24 Enroll'!M$1,FALSE)-VLOOKUP($A289,EnrollData2324,'2324 Jun 24 Enroll'!J$1,FALSE)='District Calculations'!$F$16+'District Calculations'!$F$25-'District Calculations'!$F$17,VLOOKUP($A289,EnrollData2324,'2324 Jun 24 Enroll'!I$1,FALSE)+VLOOKUP($A289,EnrollData2324,'2324 Jun 24 Enroll'!M$1,FALSE)-VLOOKUP($A289,EnrollData2324,'2324 Jun 24 Enroll'!J$1,FALSE),'District Calculations'!$F$16+'District Calculations'!$F$25-'District Calculations'!$F$17)*Apport_217A2425,3)</f>
        <v>4.7130000000000001</v>
      </c>
      <c r="R289">
        <f>ROUND(SUM(L289:Q289)/IF(VLOOKUP($A289,EnrollData2324,'2324 Jun 24 Enroll'!M$1,FALSE)+VLOOKUP($A289,EnrollData2324,'2324 Jun 24 Enroll'!D$1,FALSE)='District Calculations'!$F$25+'District Calculations'!$F$11,VLOOKUP($A289,EnrollData2324,'2324 Jun 24 Enroll'!M$1,FALSE)+VLOOKUP($A289,EnrollData2324,'2324 Jun 24 Enroll'!D$1,FALSE),'District Calculations'!$F$25+'District Calculations'!$F$11),5)</f>
        <v>4.1200000000000004E-3</v>
      </c>
      <c r="S289" s="11">
        <f t="shared" si="61"/>
        <v>1.8734299999999999E-2</v>
      </c>
      <c r="T289">
        <f>ROUND(IF(VLOOKUP($A289,EnrollData2324,'2324 Jun 24 Enroll'!D$1,FALSE)='District Calculations'!$F$11,VLOOKUP($A289,EnrollData2324,'2324 Jun 24 Enroll'!D$1,FALSE),'District Calculations'!$F$11)*S289,3)</f>
        <v>0</v>
      </c>
      <c r="U289">
        <f>ROUND(IF(VLOOKUP($A289,EnrollData2324,'2324 Jun 24 Enroll'!E$1,FALSE)='District Calculations'!$F$12,VLOOKUP($A289,EnrollData2324,'2324 Jun 24 Enroll'!E$1,FALSE),'District Calculations'!$F$12)*S289,3)</f>
        <v>15.183999999999999</v>
      </c>
      <c r="V289">
        <f>ROUND(IF(VLOOKUP($A289,EnrollData2324,'2324 Jun 24 Enroll'!F$1,FALSE)='District Calculations'!$F$13,VLOOKUP($A289,EnrollData2324,'2324 Jun 24 Enroll'!F$1,FALSE),'District Calculations'!$F$13)*Apport_224A2425,3)</f>
        <v>3.7109999999999999</v>
      </c>
      <c r="W289">
        <f>ROUND(IF(VLOOKUP($A289,EnrollData2324,'2324 Jun 24 Enroll'!G$1,FALSE)='District Calculations'!$F$14,VLOOKUP($A289,EnrollData2324,'2324 Jun 24 Enroll'!G$1,FALSE),'District Calculations'!$F$14)*Apport_212A2425,3)</f>
        <v>8.2279999999999998</v>
      </c>
      <c r="X289">
        <f>ROUND(IF(VLOOKUP($A289,EnrollData2324,'2324 Jun 24 Enroll'!H$1,FALSE)='District Calculations'!$F$14,VLOOKUP($A289,EnrollData2324,'2324 Jun 24 Enroll'!H$1,FALSE),'District Calculations'!$F$14)*Apport_215A2425,3)</f>
        <v>8.1180000000000003</v>
      </c>
      <c r="Y289">
        <f>ROUND(IF(VLOOKUP($A289,EnrollData2324,'2324 Jun 24 Enroll'!I$1,FALSE)+VLOOKUP($A289,EnrollData2324,'2324 Jun 24 Enroll'!M$1,FALSE)-VLOOKUP($A289,EnrollData2324,'2324 Jun 24 Enroll'!J$1,FALSE)='District Calculations'!$F$16+'District Calculations'!$F$25-'District Calculations'!$F$17,VLOOKUP($A289,EnrollData2324,'2324 Jun 24 Enroll'!I$1,FALSE)+VLOOKUP($A289,EnrollData2324,'2324 Jun 24 Enroll'!M$1,FALSE)-VLOOKUP($A289,EnrollData2324,'2324 Jun 24 Enroll'!J$1,FALSE),'District Calculations'!$F$16+'District Calculations'!$F$25-'District Calculations'!$F$17)*Apport_218A2425,3)</f>
        <v>20.257999999999999</v>
      </c>
      <c r="Z289">
        <f>ROUND(SUM(T289:Y289)/IF(VLOOKUP($A289,EnrollData2324,'2324 Jun 24 Enroll'!M$1,FALSE)+VLOOKUP($A289,EnrollData2324,'2324 Jun 24 Enroll'!D$1,FALSE)='District Calculations'!$F$25+'District Calculations'!$F$11,VLOOKUP($A289,EnrollData2324,'2324 Jun 24 Enroll'!M$1,FALSE)+VLOOKUP($A289,EnrollData2324,'2324 Jun 24 Enroll'!D$1,FALSE),'District Calculations'!$F$25+'District Calculations'!$F$11),5)</f>
        <v>1.7780000000000001E-2</v>
      </c>
      <c r="AA289" s="6">
        <f>ROUND($J289*CIS_Base_Salary2425*VLOOKUP($A289,EnrollData2324,'2324 Jun 24 Enroll'!AH$1,FALSE),2)</f>
        <v>4774.2</v>
      </c>
      <c r="AB289" s="6">
        <f>ROUND($J289*CIS_Inc_Salary2425*(VLOOKUP($A289,EnrollData2324,'2324 Jun 24 Enroll'!AI$1,FALSE)+VLOOKUP($A289,EnrollData2324,'2324 Jun 24 Enroll'!AJ$1,FALSE)),2)-AA289</f>
        <v>220.82000000000062</v>
      </c>
      <c r="AC289" s="6" cm="1">
        <f t="array" ref="AC289">ROUND($R289*CAS_Base_Salary2425*VLOOKUP($A289,EnrollData2324,'2324 Jun 24 Enroll'!AH$1,FALSE),2)</f>
        <v>516.58000000000004</v>
      </c>
      <c r="AD289" s="6">
        <f>ROUND($R289*CAS_Inc_Salary2425*VLOOKUP($A289,EnrollData2324,'2324 Jun 24 Enroll'!AI$1,FALSE),2)-AC289</f>
        <v>19.110000000000014</v>
      </c>
      <c r="AE289" s="6">
        <f>ROUND($Z289*CLS_Base_Salary2425*VLOOKUP($A289,EnrollData2324,'2324 Jun 24 Enroll'!AH$1,FALSE),2)</f>
        <v>1077.3900000000001</v>
      </c>
      <c r="AF289" s="6">
        <f>ROUND($Z289*CLS_Inc_Salary2425*VLOOKUP($A289,EnrollData2324,'2324 Jun 24 Enroll'!AI$1,FALSE),2)-AE289</f>
        <v>39.8599999999999</v>
      </c>
      <c r="AG289" cm="1">
        <f t="array" ref="AG289">ROUND(($J289+$R289)*Apport_124X2425,2)</f>
        <v>800.45</v>
      </c>
      <c r="AH289" s="69" cm="1">
        <f t="array" ref="AH289">ROUND(($J289+$R289)*Apport_621X2425*Apport_125XC2425,2)-AG289</f>
        <v>73.899999999999977</v>
      </c>
      <c r="AI289" cm="1">
        <f t="array" ref="AI289">ROUND($Z289*Apport_124X2425,2)</f>
        <v>234.7</v>
      </c>
      <c r="AJ289">
        <f t="shared" si="62"/>
        <v>124.71000000000004</v>
      </c>
      <c r="AK289">
        <f t="shared" si="63"/>
        <v>960.28</v>
      </c>
      <c r="AL289">
        <f t="shared" si="64"/>
        <v>42.01</v>
      </c>
      <c r="AM289">
        <f t="shared" si="65"/>
        <v>233.36</v>
      </c>
      <c r="AN289">
        <f t="shared" si="66"/>
        <v>7.24</v>
      </c>
      <c r="AO289">
        <f>ROUND(($J289*CIS_Inc_Salary2425*(VLOOKUP($A289,EnrollData2324,'2324 Jun 24 Enroll'!AI$1,FALSE)+VLOOKUP($A289,EnrollData2324,'2324 Jun 24 Enroll'!AJ$1,FALSE))/Apport_613Xpd)*Apport_614Xpd,2)</f>
        <v>83.25</v>
      </c>
      <c r="AP289">
        <f t="shared" si="67"/>
        <v>14.58</v>
      </c>
      <c r="AQ289">
        <f t="shared" si="58"/>
        <v>31.48</v>
      </c>
      <c r="AR289" s="6">
        <f>ROUND((VLOOKUP($A289,EnrollData2324,'2324 Jun 24 Enroll'!D$1,FALSE)*Apport_M802425+VLOOKUP($A289,EnrollData2324,'2324 Jun 24 Enroll'!M$1,FALSE)*Apport_M802425+(VLOOKUP($A289,EnrollData2324,'2324 Jun 24 Enroll'!P$1,FALSE)+VLOOKUP($A289,EnrollData2324,'2324 Jun 24 Enroll'!Q$1,FALSE)+VLOOKUP($A289,EnrollData2324,'2324 Jun 24 Enroll'!R$1,FALSE)+VLOOKUP($A289,EnrollData2324,'2324 Jun 24 Enroll'!I$1,FALSE)+VLOOKUP($A289,EnrollData2324,'2324 Jun 24 Enroll'!N$1,FALSE)+VLOOKUP($A289,EnrollData2324,'2324 Jun 24 Enroll'!O$1,FALSE)+VLOOKUP($A289,EnrollData2324,'2324 Jun 24 Enroll'!K$1,FALSE)+VLOOKUP($A289,EnrollData2324,'2324 Jun 24 Enroll'!L$1,FALSE))*Apport_M812425)/(VLOOKUP($A289,EnrollData2324,'2324 Jun 24 Enroll'!M$1,FALSE)+VLOOKUP($A289,EnrollData2324,'2324 Jun 24 Enroll'!D$1,FALSE)),2)</f>
        <v>1598.76</v>
      </c>
      <c r="AS289" s="7">
        <f t="shared" si="59"/>
        <v>10852.68</v>
      </c>
    </row>
    <row r="290" spans="1:45">
      <c r="A290" s="40" t="s">
        <v>566</v>
      </c>
      <c r="B290" s="40" t="s">
        <v>567</v>
      </c>
      <c r="C290" s="11">
        <f>ROUND((IFERROR((1/IF(VLOOKUP($A290,EnrollData2324,28,FALSE)='District Calculations'!$F$10,VLOOKUP($A290,EnrollData2324,28,FALSE),'District Calculations'!$F$10))*(1+Apport_Z315),0))+Apport_201A2425,6)</f>
        <v>7.4580999999999995E-2</v>
      </c>
      <c r="D290">
        <f>ROUND(IF(VLOOKUP($A290,EnrollData2324,'2324 Jun 24 Enroll'!D$1,FALSE)='District Calculations'!$F$11,VLOOKUP($A290,EnrollData2324,'2324 Jun 24 Enroll'!D$1,FALSE),'District Calculations'!$F$11)*C290,3)</f>
        <v>0</v>
      </c>
      <c r="E290">
        <f>ROUND(IF(VLOOKUP($A290,EnrollData2324,'2324 Jun 24 Enroll'!E$1,FALSE)='District Calculations'!$F$12,VLOOKUP($A290,EnrollData2324,'2324 Jun 24 Enroll'!E$1,FALSE),'District Calculations'!$F$12)*C290,3)</f>
        <v>60.447000000000003</v>
      </c>
      <c r="F290">
        <f>ROUND(IF(VLOOKUP($A290,EnrollData2324,'2324 Jun 24 Enroll'!F$1,FALSE)='District Calculations'!$F$13,VLOOKUP($A290,EnrollData2324,'2324 Jun 24 Enroll'!F$1,FALSE),'District Calculations'!$F$13)*Apport_222A2425,3)</f>
        <v>10.337999999999999</v>
      </c>
      <c r="G290">
        <f>ROUND(IF(VLOOKUP($A290,EnrollData2324,'2324 Jun 24 Enroll'!G$1,FALSE)='District Calculations'!$F$14,VLOOKUP($A290,EnrollData2324,'2324 Jun 24 Enroll'!G$1,FALSE),'District Calculations'!$F$14)*Apport_210A2425,3)</f>
        <v>22.92</v>
      </c>
      <c r="H290">
        <f>ROUND(IF(VLOOKUP($A290,EnrollData2324,'2324 Jun 24 Enroll'!H$1,FALSE)='District Calculations'!$F$15,VLOOKUP($A290,EnrollData2324,'2324 Jun 24 Enroll'!H$1,FALSE),'District Calculations'!$F$15)*Apport_213A2425,3)</f>
        <v>23.619</v>
      </c>
      <c r="I290">
        <f>ROUND(IF(VLOOKUP($A290,EnrollData2324,'2324 Jun 24 Enroll'!I$1,FALSE)+VLOOKUP($A290,EnrollData2324,'2324 Jun 24 Enroll'!M$1,FALSE)-VLOOKUP($A290,EnrollData2324,'2324 Jun 24 Enroll'!J$1,FALSE)='District Calculations'!$F$16+'District Calculations'!$F$25-'District Calculations'!$F$17,VLOOKUP($A290,EnrollData2324,'2324 Jun 24 Enroll'!I$1,FALSE)+VLOOKUP($A290,EnrollData2324,'2324 Jun 24 Enroll'!M$1,FALSE)-VLOOKUP($A290,EnrollData2324,'2324 Jun 24 Enroll'!J$1,FALSE),'District Calculations'!$F$16+'District Calculations'!$F$25-'District Calculations'!$F$17)*Apport_216A2425,3)</f>
        <v>59.057000000000002</v>
      </c>
      <c r="J290">
        <f>ROUND(SUM(D290:I290)/(IF(VLOOKUP($A290,EnrollData2324,'2324 Jun 24 Enroll'!M$1,FALSE)='District Calculations'!$F$25,VLOOKUP($A290,EnrollData2324,'2324 Jun 24 Enroll'!M$1,FALSE),'District Calculations'!$F$25)+IF(VLOOKUP($A290,EnrollData2324,'2324 Jun 24 Enroll'!D$1,FALSE)='District Calculations'!$F$11,VLOOKUP($A290,EnrollData2324,'2324 Jun 24 Enroll'!D$1,FALSE),'District Calculations'!$F$11)),5)</f>
        <v>5.6520000000000001E-2</v>
      </c>
      <c r="K290" s="11">
        <f t="shared" si="60"/>
        <v>4.385E-3</v>
      </c>
      <c r="L290">
        <f>ROUND(IF(VLOOKUP($A290,EnrollData2324,'2324 Jun 24 Enroll'!D$1,FALSE)='District Calculations'!$F$11,VLOOKUP($A290,EnrollData2324,'2324 Jun 24 Enroll'!D$1,FALSE),'District Calculations'!$F$11)*K290,3)</f>
        <v>0</v>
      </c>
      <c r="M290">
        <f>ROUND(IF(VLOOKUP($A290,EnrollData2324,'2324 Jun 24 Enroll'!E$1,FALSE)='District Calculations'!$F$12,VLOOKUP($A290,EnrollData2324,'2324 Jun 24 Enroll'!E$1,FALSE),'District Calculations'!$F$12)*K290,3)</f>
        <v>3.5539999999999998</v>
      </c>
      <c r="N290">
        <f>ROUND(IF(VLOOKUP($A290,EnrollData2324,'2324 Jun 24 Enroll'!F$1,FALSE)='District Calculations'!$F$13,VLOOKUP($A290,EnrollData2324,'2324 Jun 24 Enroll'!F$1,FALSE),'District Calculations'!$F$13)*Apport_223A2425,3)</f>
        <v>0.84599999999999997</v>
      </c>
      <c r="O290">
        <f>ROUND(IF(VLOOKUP($A290,EnrollData2324,'2324 Jun 24 Enroll'!G$1,FALSE)='District Calculations'!$F$14,VLOOKUP($A290,EnrollData2324,'2324 Jun 24 Enroll'!G$1,FALSE),'District Calculations'!$F$14)*Apport_211A2425,3)</f>
        <v>1.877</v>
      </c>
      <c r="P290">
        <f>ROUND(IF(VLOOKUP($A290,EnrollData2324,'2324 Jun 24 Enroll'!H$1,FALSE)='District Calculations'!$F$14,VLOOKUP($A290,EnrollData2324,'2324 Jun 24 Enroll'!H$1,FALSE),'District Calculations'!$F$14)*Apport_214A2425,3)</f>
        <v>1.875</v>
      </c>
      <c r="Q290">
        <f>ROUND(IF(VLOOKUP($A290,EnrollData2324,'2324 Jun 24 Enroll'!I$1,FALSE)+VLOOKUP($A290,EnrollData2324,'2324 Jun 24 Enroll'!M$1,FALSE)-VLOOKUP($A290,EnrollData2324,'2324 Jun 24 Enroll'!J$1,FALSE)='District Calculations'!$F$16+'District Calculations'!$F$25-'District Calculations'!$F$17,VLOOKUP($A290,EnrollData2324,'2324 Jun 24 Enroll'!I$1,FALSE)+VLOOKUP($A290,EnrollData2324,'2324 Jun 24 Enroll'!M$1,FALSE)-VLOOKUP($A290,EnrollData2324,'2324 Jun 24 Enroll'!J$1,FALSE),'District Calculations'!$F$16+'District Calculations'!$F$25-'District Calculations'!$F$17)*Apport_217A2425,3)</f>
        <v>4.7130000000000001</v>
      </c>
      <c r="R290">
        <f>ROUND(SUM(L290:Q290)/IF(VLOOKUP($A290,EnrollData2324,'2324 Jun 24 Enroll'!M$1,FALSE)+VLOOKUP($A290,EnrollData2324,'2324 Jun 24 Enroll'!D$1,FALSE)='District Calculations'!$F$25+'District Calculations'!$F$11,VLOOKUP($A290,EnrollData2324,'2324 Jun 24 Enroll'!M$1,FALSE)+VLOOKUP($A290,EnrollData2324,'2324 Jun 24 Enroll'!D$1,FALSE),'District Calculations'!$F$25+'District Calculations'!$F$11),5)</f>
        <v>4.1200000000000004E-3</v>
      </c>
      <c r="S290" s="11">
        <f t="shared" si="61"/>
        <v>1.8734299999999999E-2</v>
      </c>
      <c r="T290">
        <f>ROUND(IF(VLOOKUP($A290,EnrollData2324,'2324 Jun 24 Enroll'!D$1,FALSE)='District Calculations'!$F$11,VLOOKUP($A290,EnrollData2324,'2324 Jun 24 Enroll'!D$1,FALSE),'District Calculations'!$F$11)*S290,3)</f>
        <v>0</v>
      </c>
      <c r="U290">
        <f>ROUND(IF(VLOOKUP($A290,EnrollData2324,'2324 Jun 24 Enroll'!E$1,FALSE)='District Calculations'!$F$12,VLOOKUP($A290,EnrollData2324,'2324 Jun 24 Enroll'!E$1,FALSE),'District Calculations'!$F$12)*S290,3)</f>
        <v>15.183999999999999</v>
      </c>
      <c r="V290">
        <f>ROUND(IF(VLOOKUP($A290,EnrollData2324,'2324 Jun 24 Enroll'!F$1,FALSE)='District Calculations'!$F$13,VLOOKUP($A290,EnrollData2324,'2324 Jun 24 Enroll'!F$1,FALSE),'District Calculations'!$F$13)*Apport_224A2425,3)</f>
        <v>3.7109999999999999</v>
      </c>
      <c r="W290">
        <f>ROUND(IF(VLOOKUP($A290,EnrollData2324,'2324 Jun 24 Enroll'!G$1,FALSE)='District Calculations'!$F$14,VLOOKUP($A290,EnrollData2324,'2324 Jun 24 Enroll'!G$1,FALSE),'District Calculations'!$F$14)*Apport_212A2425,3)</f>
        <v>8.2279999999999998</v>
      </c>
      <c r="X290">
        <f>ROUND(IF(VLOOKUP($A290,EnrollData2324,'2324 Jun 24 Enroll'!H$1,FALSE)='District Calculations'!$F$14,VLOOKUP($A290,EnrollData2324,'2324 Jun 24 Enroll'!H$1,FALSE),'District Calculations'!$F$14)*Apport_215A2425,3)</f>
        <v>8.1180000000000003</v>
      </c>
      <c r="Y290">
        <f>ROUND(IF(VLOOKUP($A290,EnrollData2324,'2324 Jun 24 Enroll'!I$1,FALSE)+VLOOKUP($A290,EnrollData2324,'2324 Jun 24 Enroll'!M$1,FALSE)-VLOOKUP($A290,EnrollData2324,'2324 Jun 24 Enroll'!J$1,FALSE)='District Calculations'!$F$16+'District Calculations'!$F$25-'District Calculations'!$F$17,VLOOKUP($A290,EnrollData2324,'2324 Jun 24 Enroll'!I$1,FALSE)+VLOOKUP($A290,EnrollData2324,'2324 Jun 24 Enroll'!M$1,FALSE)-VLOOKUP($A290,EnrollData2324,'2324 Jun 24 Enroll'!J$1,FALSE),'District Calculations'!$F$16+'District Calculations'!$F$25-'District Calculations'!$F$17)*Apport_218A2425,3)</f>
        <v>20.257999999999999</v>
      </c>
      <c r="Z290">
        <f>ROUND(SUM(T290:Y290)/IF(VLOOKUP($A290,EnrollData2324,'2324 Jun 24 Enroll'!M$1,FALSE)+VLOOKUP($A290,EnrollData2324,'2324 Jun 24 Enroll'!D$1,FALSE)='District Calculations'!$F$25+'District Calculations'!$F$11,VLOOKUP($A290,EnrollData2324,'2324 Jun 24 Enroll'!M$1,FALSE)+VLOOKUP($A290,EnrollData2324,'2324 Jun 24 Enroll'!D$1,FALSE),'District Calculations'!$F$25+'District Calculations'!$F$11),5)</f>
        <v>1.7780000000000001E-2</v>
      </c>
      <c r="AA290" s="6">
        <f>ROUND($J290*CIS_Base_Salary2425*VLOOKUP($A290,EnrollData2324,'2324 Jun 24 Enroll'!AH$1,FALSE),2)</f>
        <v>4774.2</v>
      </c>
      <c r="AB290" s="6">
        <f>ROUND($J290*CIS_Inc_Salary2425*(VLOOKUP($A290,EnrollData2324,'2324 Jun 24 Enroll'!AI$1,FALSE)+VLOOKUP($A290,EnrollData2324,'2324 Jun 24 Enroll'!AJ$1,FALSE)),2)-AA290</f>
        <v>176.61999999999989</v>
      </c>
      <c r="AC290" s="6" cm="1">
        <f t="array" ref="AC290">ROUND($R290*CAS_Base_Salary2425*VLOOKUP($A290,EnrollData2324,'2324 Jun 24 Enroll'!AH$1,FALSE),2)</f>
        <v>516.58000000000004</v>
      </c>
      <c r="AD290" s="6">
        <f>ROUND($R290*CAS_Inc_Salary2425*VLOOKUP($A290,EnrollData2324,'2324 Jun 24 Enroll'!AI$1,FALSE),2)-AC290</f>
        <v>19.110000000000014</v>
      </c>
      <c r="AE290" s="6">
        <f>ROUND($Z290*CLS_Base_Salary2425*VLOOKUP($A290,EnrollData2324,'2324 Jun 24 Enroll'!AH$1,FALSE),2)</f>
        <v>1077.3900000000001</v>
      </c>
      <c r="AF290" s="6">
        <f>ROUND($Z290*CLS_Inc_Salary2425*VLOOKUP($A290,EnrollData2324,'2324 Jun 24 Enroll'!AI$1,FALSE),2)-AE290</f>
        <v>39.8599999999999</v>
      </c>
      <c r="AG290" cm="1">
        <f t="array" ref="AG290">ROUND(($J290+$R290)*Apport_124X2425,2)</f>
        <v>800.45</v>
      </c>
      <c r="AH290" s="69" cm="1">
        <f t="array" ref="AH290">ROUND(($J290+$R290)*Apport_621X2425*Apport_125XC2425,2)-AG290</f>
        <v>73.899999999999977</v>
      </c>
      <c r="AI290" cm="1">
        <f t="array" ref="AI290">ROUND($Z290*Apport_124X2425,2)</f>
        <v>234.7</v>
      </c>
      <c r="AJ290">
        <f t="shared" si="62"/>
        <v>124.71000000000004</v>
      </c>
      <c r="AK290">
        <f t="shared" si="63"/>
        <v>960.28</v>
      </c>
      <c r="AL290">
        <f t="shared" si="64"/>
        <v>34.270000000000003</v>
      </c>
      <c r="AM290">
        <f t="shared" si="65"/>
        <v>233.36</v>
      </c>
      <c r="AN290">
        <f t="shared" si="66"/>
        <v>7.24</v>
      </c>
      <c r="AO290">
        <f>ROUND(($J290*CIS_Inc_Salary2425*(VLOOKUP($A290,EnrollData2324,'2324 Jun 24 Enroll'!AI$1,FALSE)+VLOOKUP($A290,EnrollData2324,'2324 Jun 24 Enroll'!AJ$1,FALSE))/Apport_613Xpd)*Apport_614Xpd,2)</f>
        <v>82.51</v>
      </c>
      <c r="AP290">
        <f t="shared" si="67"/>
        <v>14.45</v>
      </c>
      <c r="AQ290">
        <f t="shared" si="58"/>
        <v>31.48</v>
      </c>
      <c r="AR290" s="6">
        <f>ROUND((VLOOKUP($A290,EnrollData2324,'2324 Jun 24 Enroll'!D$1,FALSE)*Apport_M802425+VLOOKUP($A290,EnrollData2324,'2324 Jun 24 Enroll'!M$1,FALSE)*Apport_M802425+(VLOOKUP($A290,EnrollData2324,'2324 Jun 24 Enroll'!P$1,FALSE)+VLOOKUP($A290,EnrollData2324,'2324 Jun 24 Enroll'!Q$1,FALSE)+VLOOKUP($A290,EnrollData2324,'2324 Jun 24 Enroll'!R$1,FALSE)+VLOOKUP($A290,EnrollData2324,'2324 Jun 24 Enroll'!I$1,FALSE)+VLOOKUP($A290,EnrollData2324,'2324 Jun 24 Enroll'!N$1,FALSE)+VLOOKUP($A290,EnrollData2324,'2324 Jun 24 Enroll'!O$1,FALSE)+VLOOKUP($A290,EnrollData2324,'2324 Jun 24 Enroll'!K$1,FALSE)+VLOOKUP($A290,EnrollData2324,'2324 Jun 24 Enroll'!L$1,FALSE))*Apport_M812425)/(VLOOKUP($A290,EnrollData2324,'2324 Jun 24 Enroll'!M$1,FALSE)+VLOOKUP($A290,EnrollData2324,'2324 Jun 24 Enroll'!D$1,FALSE)),2)</f>
        <v>1612.38</v>
      </c>
      <c r="AS290" s="7">
        <f t="shared" si="59"/>
        <v>10813.490000000002</v>
      </c>
    </row>
    <row r="291" spans="1:45">
      <c r="A291" s="40" t="s">
        <v>588</v>
      </c>
      <c r="B291" s="40" t="s">
        <v>589</v>
      </c>
      <c r="C291" s="11">
        <f>ROUND((IFERROR((1/IF(VLOOKUP($A291,EnrollData2324,28,FALSE)='District Calculations'!$F$10,VLOOKUP($A291,EnrollData2324,28,FALSE),'District Calculations'!$F$10))*(1+Apport_Z315),0))+Apport_201A2425,6)</f>
        <v>7.4580999999999995E-2</v>
      </c>
      <c r="D291">
        <f>ROUND(IF(VLOOKUP($A291,EnrollData2324,'2324 Jun 24 Enroll'!D$1,FALSE)='District Calculations'!$F$11,VLOOKUP($A291,EnrollData2324,'2324 Jun 24 Enroll'!D$1,FALSE),'District Calculations'!$F$11)*C291,3)</f>
        <v>0</v>
      </c>
      <c r="E291">
        <f>ROUND(IF(VLOOKUP($A291,EnrollData2324,'2324 Jun 24 Enroll'!E$1,FALSE)='District Calculations'!$F$12,VLOOKUP($A291,EnrollData2324,'2324 Jun 24 Enroll'!E$1,FALSE),'District Calculations'!$F$12)*C291,3)</f>
        <v>60.447000000000003</v>
      </c>
      <c r="F291">
        <f>ROUND(IF(VLOOKUP($A291,EnrollData2324,'2324 Jun 24 Enroll'!F$1,FALSE)='District Calculations'!$F$13,VLOOKUP($A291,EnrollData2324,'2324 Jun 24 Enroll'!F$1,FALSE),'District Calculations'!$F$13)*Apport_222A2425,3)</f>
        <v>10.337999999999999</v>
      </c>
      <c r="G291">
        <f>ROUND(IF(VLOOKUP($A291,EnrollData2324,'2324 Jun 24 Enroll'!G$1,FALSE)='District Calculations'!$F$14,VLOOKUP($A291,EnrollData2324,'2324 Jun 24 Enroll'!G$1,FALSE),'District Calculations'!$F$14)*Apport_210A2425,3)</f>
        <v>22.92</v>
      </c>
      <c r="H291">
        <f>ROUND(IF(VLOOKUP($A291,EnrollData2324,'2324 Jun 24 Enroll'!H$1,FALSE)='District Calculations'!$F$15,VLOOKUP($A291,EnrollData2324,'2324 Jun 24 Enroll'!H$1,FALSE),'District Calculations'!$F$15)*Apport_213A2425,3)</f>
        <v>23.619</v>
      </c>
      <c r="I291">
        <f>ROUND(IF(VLOOKUP($A291,EnrollData2324,'2324 Jun 24 Enroll'!I$1,FALSE)+VLOOKUP($A291,EnrollData2324,'2324 Jun 24 Enroll'!M$1,FALSE)-VLOOKUP($A291,EnrollData2324,'2324 Jun 24 Enroll'!J$1,FALSE)='District Calculations'!$F$16+'District Calculations'!$F$25-'District Calculations'!$F$17,VLOOKUP($A291,EnrollData2324,'2324 Jun 24 Enroll'!I$1,FALSE)+VLOOKUP($A291,EnrollData2324,'2324 Jun 24 Enroll'!M$1,FALSE)-VLOOKUP($A291,EnrollData2324,'2324 Jun 24 Enroll'!J$1,FALSE),'District Calculations'!$F$16+'District Calculations'!$F$25-'District Calculations'!$F$17)*Apport_216A2425,3)</f>
        <v>59.057000000000002</v>
      </c>
      <c r="J291">
        <f>ROUND(SUM(D291:I291)/(IF(VLOOKUP($A291,EnrollData2324,'2324 Jun 24 Enroll'!M$1,FALSE)='District Calculations'!$F$25,VLOOKUP($A291,EnrollData2324,'2324 Jun 24 Enroll'!M$1,FALSE),'District Calculations'!$F$25)+IF(VLOOKUP($A291,EnrollData2324,'2324 Jun 24 Enroll'!D$1,FALSE)='District Calculations'!$F$11,VLOOKUP($A291,EnrollData2324,'2324 Jun 24 Enroll'!D$1,FALSE),'District Calculations'!$F$11)),5)</f>
        <v>5.6520000000000001E-2</v>
      </c>
      <c r="K291" s="11">
        <f t="shared" si="60"/>
        <v>4.385E-3</v>
      </c>
      <c r="L291">
        <f>ROUND(IF(VLOOKUP($A291,EnrollData2324,'2324 Jun 24 Enroll'!D$1,FALSE)='District Calculations'!$F$11,VLOOKUP($A291,EnrollData2324,'2324 Jun 24 Enroll'!D$1,FALSE),'District Calculations'!$F$11)*K291,3)</f>
        <v>0</v>
      </c>
      <c r="M291">
        <f>ROUND(IF(VLOOKUP($A291,EnrollData2324,'2324 Jun 24 Enroll'!E$1,FALSE)='District Calculations'!$F$12,VLOOKUP($A291,EnrollData2324,'2324 Jun 24 Enroll'!E$1,FALSE),'District Calculations'!$F$12)*K291,3)</f>
        <v>3.5539999999999998</v>
      </c>
      <c r="N291">
        <f>ROUND(IF(VLOOKUP($A291,EnrollData2324,'2324 Jun 24 Enroll'!F$1,FALSE)='District Calculations'!$F$13,VLOOKUP($A291,EnrollData2324,'2324 Jun 24 Enroll'!F$1,FALSE),'District Calculations'!$F$13)*Apport_223A2425,3)</f>
        <v>0.84599999999999997</v>
      </c>
      <c r="O291">
        <f>ROUND(IF(VLOOKUP($A291,EnrollData2324,'2324 Jun 24 Enroll'!G$1,FALSE)='District Calculations'!$F$14,VLOOKUP($A291,EnrollData2324,'2324 Jun 24 Enroll'!G$1,FALSE),'District Calculations'!$F$14)*Apport_211A2425,3)</f>
        <v>1.877</v>
      </c>
      <c r="P291">
        <f>ROUND(IF(VLOOKUP($A291,EnrollData2324,'2324 Jun 24 Enroll'!H$1,FALSE)='District Calculations'!$F$14,VLOOKUP($A291,EnrollData2324,'2324 Jun 24 Enroll'!H$1,FALSE),'District Calculations'!$F$14)*Apport_214A2425,3)</f>
        <v>1.875</v>
      </c>
      <c r="Q291">
        <f>ROUND(IF(VLOOKUP($A291,EnrollData2324,'2324 Jun 24 Enroll'!I$1,FALSE)+VLOOKUP($A291,EnrollData2324,'2324 Jun 24 Enroll'!M$1,FALSE)-VLOOKUP($A291,EnrollData2324,'2324 Jun 24 Enroll'!J$1,FALSE)='District Calculations'!$F$16+'District Calculations'!$F$25-'District Calculations'!$F$17,VLOOKUP($A291,EnrollData2324,'2324 Jun 24 Enroll'!I$1,FALSE)+VLOOKUP($A291,EnrollData2324,'2324 Jun 24 Enroll'!M$1,FALSE)-VLOOKUP($A291,EnrollData2324,'2324 Jun 24 Enroll'!J$1,FALSE),'District Calculations'!$F$16+'District Calculations'!$F$25-'District Calculations'!$F$17)*Apport_217A2425,3)</f>
        <v>4.7130000000000001</v>
      </c>
      <c r="R291">
        <f>ROUND(SUM(L291:Q291)/IF(VLOOKUP($A291,EnrollData2324,'2324 Jun 24 Enroll'!M$1,FALSE)+VLOOKUP($A291,EnrollData2324,'2324 Jun 24 Enroll'!D$1,FALSE)='District Calculations'!$F$25+'District Calculations'!$F$11,VLOOKUP($A291,EnrollData2324,'2324 Jun 24 Enroll'!M$1,FALSE)+VLOOKUP($A291,EnrollData2324,'2324 Jun 24 Enroll'!D$1,FALSE),'District Calculations'!$F$25+'District Calculations'!$F$11),5)</f>
        <v>4.1200000000000004E-3</v>
      </c>
      <c r="S291" s="11">
        <f t="shared" si="61"/>
        <v>1.8734299999999999E-2</v>
      </c>
      <c r="T291">
        <f>ROUND(IF(VLOOKUP($A291,EnrollData2324,'2324 Jun 24 Enroll'!D$1,FALSE)='District Calculations'!$F$11,VLOOKUP($A291,EnrollData2324,'2324 Jun 24 Enroll'!D$1,FALSE),'District Calculations'!$F$11)*S291,3)</f>
        <v>0</v>
      </c>
      <c r="U291">
        <f>ROUND(IF(VLOOKUP($A291,EnrollData2324,'2324 Jun 24 Enroll'!E$1,FALSE)='District Calculations'!$F$12,VLOOKUP($A291,EnrollData2324,'2324 Jun 24 Enroll'!E$1,FALSE),'District Calculations'!$F$12)*S291,3)</f>
        <v>15.183999999999999</v>
      </c>
      <c r="V291">
        <f>ROUND(IF(VLOOKUP($A291,EnrollData2324,'2324 Jun 24 Enroll'!F$1,FALSE)='District Calculations'!$F$13,VLOOKUP($A291,EnrollData2324,'2324 Jun 24 Enroll'!F$1,FALSE),'District Calculations'!$F$13)*Apport_224A2425,3)</f>
        <v>3.7109999999999999</v>
      </c>
      <c r="W291">
        <f>ROUND(IF(VLOOKUP($A291,EnrollData2324,'2324 Jun 24 Enroll'!G$1,FALSE)='District Calculations'!$F$14,VLOOKUP($A291,EnrollData2324,'2324 Jun 24 Enroll'!G$1,FALSE),'District Calculations'!$F$14)*Apport_212A2425,3)</f>
        <v>8.2279999999999998</v>
      </c>
      <c r="X291">
        <f>ROUND(IF(VLOOKUP($A291,EnrollData2324,'2324 Jun 24 Enroll'!H$1,FALSE)='District Calculations'!$F$14,VLOOKUP($A291,EnrollData2324,'2324 Jun 24 Enroll'!H$1,FALSE),'District Calculations'!$F$14)*Apport_215A2425,3)</f>
        <v>8.1180000000000003</v>
      </c>
      <c r="Y291">
        <f>ROUND(IF(VLOOKUP($A291,EnrollData2324,'2324 Jun 24 Enroll'!I$1,FALSE)+VLOOKUP($A291,EnrollData2324,'2324 Jun 24 Enroll'!M$1,FALSE)-VLOOKUP($A291,EnrollData2324,'2324 Jun 24 Enroll'!J$1,FALSE)='District Calculations'!$F$16+'District Calculations'!$F$25-'District Calculations'!$F$17,VLOOKUP($A291,EnrollData2324,'2324 Jun 24 Enroll'!I$1,FALSE)+VLOOKUP($A291,EnrollData2324,'2324 Jun 24 Enroll'!M$1,FALSE)-VLOOKUP($A291,EnrollData2324,'2324 Jun 24 Enroll'!J$1,FALSE),'District Calculations'!$F$16+'District Calculations'!$F$25-'District Calculations'!$F$17)*Apport_218A2425,3)</f>
        <v>20.257999999999999</v>
      </c>
      <c r="Z291">
        <f>ROUND(SUM(T291:Y291)/IF(VLOOKUP($A291,EnrollData2324,'2324 Jun 24 Enroll'!M$1,FALSE)+VLOOKUP($A291,EnrollData2324,'2324 Jun 24 Enroll'!D$1,FALSE)='District Calculations'!$F$25+'District Calculations'!$F$11,VLOOKUP($A291,EnrollData2324,'2324 Jun 24 Enroll'!M$1,FALSE)+VLOOKUP($A291,EnrollData2324,'2324 Jun 24 Enroll'!D$1,FALSE),'District Calculations'!$F$25+'District Calculations'!$F$11),5)</f>
        <v>1.7780000000000001E-2</v>
      </c>
      <c r="AA291" s="6">
        <f>ROUND($J291*CIS_Base_Salary2425*VLOOKUP($A291,EnrollData2324,'2324 Jun 24 Enroll'!AH$1,FALSE),2)</f>
        <v>4774.2</v>
      </c>
      <c r="AB291" s="6">
        <f>ROUND($J291*CIS_Inc_Salary2425*(VLOOKUP($A291,EnrollData2324,'2324 Jun 24 Enroll'!AI$1,FALSE)+VLOOKUP($A291,EnrollData2324,'2324 Jun 24 Enroll'!AJ$1,FALSE)),2)-AA291</f>
        <v>176.61999999999989</v>
      </c>
      <c r="AC291" s="6" cm="1">
        <f t="array" ref="AC291">ROUND($R291*CAS_Base_Salary2425*VLOOKUP($A291,EnrollData2324,'2324 Jun 24 Enroll'!AH$1,FALSE),2)</f>
        <v>516.58000000000004</v>
      </c>
      <c r="AD291" s="6">
        <f>ROUND($R291*CAS_Inc_Salary2425*VLOOKUP($A291,EnrollData2324,'2324 Jun 24 Enroll'!AI$1,FALSE),2)-AC291</f>
        <v>19.110000000000014</v>
      </c>
      <c r="AE291" s="6">
        <f>ROUND($Z291*CLS_Base_Salary2425*VLOOKUP($A291,EnrollData2324,'2324 Jun 24 Enroll'!AH$1,FALSE),2)</f>
        <v>1077.3900000000001</v>
      </c>
      <c r="AF291" s="6">
        <f>ROUND($Z291*CLS_Inc_Salary2425*VLOOKUP($A291,EnrollData2324,'2324 Jun 24 Enroll'!AI$1,FALSE),2)-AE291</f>
        <v>39.8599999999999</v>
      </c>
      <c r="AG291" cm="1">
        <f t="array" ref="AG291">ROUND(($J291+$R291)*Apport_124X2425,2)</f>
        <v>800.45</v>
      </c>
      <c r="AH291" s="69" cm="1">
        <f t="array" ref="AH291">ROUND(($J291+$R291)*Apport_621X2425*Apport_125XC2425,2)-AG291</f>
        <v>73.899999999999977</v>
      </c>
      <c r="AI291" cm="1">
        <f t="array" ref="AI291">ROUND($Z291*Apport_124X2425,2)</f>
        <v>234.7</v>
      </c>
      <c r="AJ291">
        <f t="shared" si="62"/>
        <v>124.71000000000004</v>
      </c>
      <c r="AK291">
        <f t="shared" si="63"/>
        <v>960.28</v>
      </c>
      <c r="AL291">
        <f t="shared" si="64"/>
        <v>34.270000000000003</v>
      </c>
      <c r="AM291">
        <f t="shared" si="65"/>
        <v>233.36</v>
      </c>
      <c r="AN291">
        <f t="shared" si="66"/>
        <v>7.24</v>
      </c>
      <c r="AO291">
        <f>ROUND(($J291*CIS_Inc_Salary2425*(VLOOKUP($A291,EnrollData2324,'2324 Jun 24 Enroll'!AI$1,FALSE)+VLOOKUP($A291,EnrollData2324,'2324 Jun 24 Enroll'!AJ$1,FALSE))/Apport_613Xpd)*Apport_614Xpd,2)</f>
        <v>82.51</v>
      </c>
      <c r="AP291">
        <f t="shared" si="67"/>
        <v>14.45</v>
      </c>
      <c r="AQ291">
        <f t="shared" si="58"/>
        <v>31.48</v>
      </c>
      <c r="AR291" s="6">
        <f>ROUND((VLOOKUP($A291,EnrollData2324,'2324 Jun 24 Enroll'!D$1,FALSE)*Apport_M802425+VLOOKUP($A291,EnrollData2324,'2324 Jun 24 Enroll'!M$1,FALSE)*Apport_M802425+(VLOOKUP($A291,EnrollData2324,'2324 Jun 24 Enroll'!P$1,FALSE)+VLOOKUP($A291,EnrollData2324,'2324 Jun 24 Enroll'!Q$1,FALSE)+VLOOKUP($A291,EnrollData2324,'2324 Jun 24 Enroll'!R$1,FALSE)+VLOOKUP($A291,EnrollData2324,'2324 Jun 24 Enroll'!I$1,FALSE)+VLOOKUP($A291,EnrollData2324,'2324 Jun 24 Enroll'!N$1,FALSE)+VLOOKUP($A291,EnrollData2324,'2324 Jun 24 Enroll'!O$1,FALSE)+VLOOKUP($A291,EnrollData2324,'2324 Jun 24 Enroll'!K$1,FALSE)+VLOOKUP($A291,EnrollData2324,'2324 Jun 24 Enroll'!L$1,FALSE))*Apport_M812425)/(VLOOKUP($A291,EnrollData2324,'2324 Jun 24 Enroll'!M$1,FALSE)+VLOOKUP($A291,EnrollData2324,'2324 Jun 24 Enroll'!D$1,FALSE)),2)</f>
        <v>1613.71</v>
      </c>
      <c r="AS291" s="7">
        <f t="shared" si="59"/>
        <v>10814.82</v>
      </c>
    </row>
    <row r="292" spans="1:45">
      <c r="A292" s="40" t="s">
        <v>625</v>
      </c>
      <c r="B292" s="40" t="s">
        <v>626</v>
      </c>
      <c r="C292" s="11">
        <f>ROUND((IFERROR((1/IF(VLOOKUP($A292,EnrollData2324,28,FALSE)='District Calculations'!$F$10,VLOOKUP($A292,EnrollData2324,28,FALSE),'District Calculations'!$F$10))*(1+Apport_Z315),0))+Apport_201A2425,6)</f>
        <v>7.4580999999999995E-2</v>
      </c>
      <c r="D292">
        <f>ROUND(IF(VLOOKUP($A292,EnrollData2324,'2324 Jun 24 Enroll'!D$1,FALSE)='District Calculations'!$F$11,VLOOKUP($A292,EnrollData2324,'2324 Jun 24 Enroll'!D$1,FALSE),'District Calculations'!$F$11)*C292,3)</f>
        <v>0</v>
      </c>
      <c r="E292">
        <f>ROUND(IF(VLOOKUP($A292,EnrollData2324,'2324 Jun 24 Enroll'!E$1,FALSE)='District Calculations'!$F$12,VLOOKUP($A292,EnrollData2324,'2324 Jun 24 Enroll'!E$1,FALSE),'District Calculations'!$F$12)*C292,3)</f>
        <v>60.447000000000003</v>
      </c>
      <c r="F292">
        <f>ROUND(IF(VLOOKUP($A292,EnrollData2324,'2324 Jun 24 Enroll'!F$1,FALSE)='District Calculations'!$F$13,VLOOKUP($A292,EnrollData2324,'2324 Jun 24 Enroll'!F$1,FALSE),'District Calculations'!$F$13)*Apport_222A2425,3)</f>
        <v>10.337999999999999</v>
      </c>
      <c r="G292">
        <f>ROUND(IF(VLOOKUP($A292,EnrollData2324,'2324 Jun 24 Enroll'!G$1,FALSE)='District Calculations'!$F$14,VLOOKUP($A292,EnrollData2324,'2324 Jun 24 Enroll'!G$1,FALSE),'District Calculations'!$F$14)*Apport_210A2425,3)</f>
        <v>22.92</v>
      </c>
      <c r="H292">
        <f>ROUND(IF(VLOOKUP($A292,EnrollData2324,'2324 Jun 24 Enroll'!H$1,FALSE)='District Calculations'!$F$15,VLOOKUP($A292,EnrollData2324,'2324 Jun 24 Enroll'!H$1,FALSE),'District Calculations'!$F$15)*Apport_213A2425,3)</f>
        <v>23.619</v>
      </c>
      <c r="I292">
        <f>ROUND(IF(VLOOKUP($A292,EnrollData2324,'2324 Jun 24 Enroll'!I$1,FALSE)+VLOOKUP($A292,EnrollData2324,'2324 Jun 24 Enroll'!M$1,FALSE)-VLOOKUP($A292,EnrollData2324,'2324 Jun 24 Enroll'!J$1,FALSE)='District Calculations'!$F$16+'District Calculations'!$F$25-'District Calculations'!$F$17,VLOOKUP($A292,EnrollData2324,'2324 Jun 24 Enroll'!I$1,FALSE)+VLOOKUP($A292,EnrollData2324,'2324 Jun 24 Enroll'!M$1,FALSE)-VLOOKUP($A292,EnrollData2324,'2324 Jun 24 Enroll'!J$1,FALSE),'District Calculations'!$F$16+'District Calculations'!$F$25-'District Calculations'!$F$17)*Apport_216A2425,3)</f>
        <v>59.057000000000002</v>
      </c>
      <c r="J292">
        <f>ROUND(SUM(D292:I292)/(IF(VLOOKUP($A292,EnrollData2324,'2324 Jun 24 Enroll'!M$1,FALSE)='District Calculations'!$F$25,VLOOKUP($A292,EnrollData2324,'2324 Jun 24 Enroll'!M$1,FALSE),'District Calculations'!$F$25)+IF(VLOOKUP($A292,EnrollData2324,'2324 Jun 24 Enroll'!D$1,FALSE)='District Calculations'!$F$11,VLOOKUP($A292,EnrollData2324,'2324 Jun 24 Enroll'!D$1,FALSE),'District Calculations'!$F$11)),5)</f>
        <v>5.6520000000000001E-2</v>
      </c>
      <c r="K292" s="11">
        <f t="shared" si="60"/>
        <v>4.385E-3</v>
      </c>
      <c r="L292">
        <f>ROUND(IF(VLOOKUP($A292,EnrollData2324,'2324 Jun 24 Enroll'!D$1,FALSE)='District Calculations'!$F$11,VLOOKUP($A292,EnrollData2324,'2324 Jun 24 Enroll'!D$1,FALSE),'District Calculations'!$F$11)*K292,3)</f>
        <v>0</v>
      </c>
      <c r="M292">
        <f>ROUND(IF(VLOOKUP($A292,EnrollData2324,'2324 Jun 24 Enroll'!E$1,FALSE)='District Calculations'!$F$12,VLOOKUP($A292,EnrollData2324,'2324 Jun 24 Enroll'!E$1,FALSE),'District Calculations'!$F$12)*K292,3)</f>
        <v>3.5539999999999998</v>
      </c>
      <c r="N292">
        <f>ROUND(IF(VLOOKUP($A292,EnrollData2324,'2324 Jun 24 Enroll'!F$1,FALSE)='District Calculations'!$F$13,VLOOKUP($A292,EnrollData2324,'2324 Jun 24 Enroll'!F$1,FALSE),'District Calculations'!$F$13)*Apport_223A2425,3)</f>
        <v>0.84599999999999997</v>
      </c>
      <c r="O292">
        <f>ROUND(IF(VLOOKUP($A292,EnrollData2324,'2324 Jun 24 Enroll'!G$1,FALSE)='District Calculations'!$F$14,VLOOKUP($A292,EnrollData2324,'2324 Jun 24 Enroll'!G$1,FALSE),'District Calculations'!$F$14)*Apport_211A2425,3)</f>
        <v>1.877</v>
      </c>
      <c r="P292">
        <f>ROUND(IF(VLOOKUP($A292,EnrollData2324,'2324 Jun 24 Enroll'!H$1,FALSE)='District Calculations'!$F$14,VLOOKUP($A292,EnrollData2324,'2324 Jun 24 Enroll'!H$1,FALSE),'District Calculations'!$F$14)*Apport_214A2425,3)</f>
        <v>1.875</v>
      </c>
      <c r="Q292">
        <f>ROUND(IF(VLOOKUP($A292,EnrollData2324,'2324 Jun 24 Enroll'!I$1,FALSE)+VLOOKUP($A292,EnrollData2324,'2324 Jun 24 Enroll'!M$1,FALSE)-VLOOKUP($A292,EnrollData2324,'2324 Jun 24 Enroll'!J$1,FALSE)='District Calculations'!$F$16+'District Calculations'!$F$25-'District Calculations'!$F$17,VLOOKUP($A292,EnrollData2324,'2324 Jun 24 Enroll'!I$1,FALSE)+VLOOKUP($A292,EnrollData2324,'2324 Jun 24 Enroll'!M$1,FALSE)-VLOOKUP($A292,EnrollData2324,'2324 Jun 24 Enroll'!J$1,FALSE),'District Calculations'!$F$16+'District Calculations'!$F$25-'District Calculations'!$F$17)*Apport_217A2425,3)</f>
        <v>4.7130000000000001</v>
      </c>
      <c r="R292">
        <f>ROUND(SUM(L292:Q292)/IF(VLOOKUP($A292,EnrollData2324,'2324 Jun 24 Enroll'!M$1,FALSE)+VLOOKUP($A292,EnrollData2324,'2324 Jun 24 Enroll'!D$1,FALSE)='District Calculations'!$F$25+'District Calculations'!$F$11,VLOOKUP($A292,EnrollData2324,'2324 Jun 24 Enroll'!M$1,FALSE)+VLOOKUP($A292,EnrollData2324,'2324 Jun 24 Enroll'!D$1,FALSE),'District Calculations'!$F$25+'District Calculations'!$F$11),5)</f>
        <v>4.1200000000000004E-3</v>
      </c>
      <c r="S292" s="11">
        <f t="shared" si="61"/>
        <v>1.8734299999999999E-2</v>
      </c>
      <c r="T292">
        <f>ROUND(IF(VLOOKUP($A292,EnrollData2324,'2324 Jun 24 Enroll'!D$1,FALSE)='District Calculations'!$F$11,VLOOKUP($A292,EnrollData2324,'2324 Jun 24 Enroll'!D$1,FALSE),'District Calculations'!$F$11)*S292,3)</f>
        <v>0</v>
      </c>
      <c r="U292">
        <f>ROUND(IF(VLOOKUP($A292,EnrollData2324,'2324 Jun 24 Enroll'!E$1,FALSE)='District Calculations'!$F$12,VLOOKUP($A292,EnrollData2324,'2324 Jun 24 Enroll'!E$1,FALSE),'District Calculations'!$F$12)*S292,3)</f>
        <v>15.183999999999999</v>
      </c>
      <c r="V292">
        <f>ROUND(IF(VLOOKUP($A292,EnrollData2324,'2324 Jun 24 Enroll'!F$1,FALSE)='District Calculations'!$F$13,VLOOKUP($A292,EnrollData2324,'2324 Jun 24 Enroll'!F$1,FALSE),'District Calculations'!$F$13)*Apport_224A2425,3)</f>
        <v>3.7109999999999999</v>
      </c>
      <c r="W292">
        <f>ROUND(IF(VLOOKUP($A292,EnrollData2324,'2324 Jun 24 Enroll'!G$1,FALSE)='District Calculations'!$F$14,VLOOKUP($A292,EnrollData2324,'2324 Jun 24 Enroll'!G$1,FALSE),'District Calculations'!$F$14)*Apport_212A2425,3)</f>
        <v>8.2279999999999998</v>
      </c>
      <c r="X292">
        <f>ROUND(IF(VLOOKUP($A292,EnrollData2324,'2324 Jun 24 Enroll'!H$1,FALSE)='District Calculations'!$F$14,VLOOKUP($A292,EnrollData2324,'2324 Jun 24 Enroll'!H$1,FALSE),'District Calculations'!$F$14)*Apport_215A2425,3)</f>
        <v>8.1180000000000003</v>
      </c>
      <c r="Y292">
        <f>ROUND(IF(VLOOKUP($A292,EnrollData2324,'2324 Jun 24 Enroll'!I$1,FALSE)+VLOOKUP($A292,EnrollData2324,'2324 Jun 24 Enroll'!M$1,FALSE)-VLOOKUP($A292,EnrollData2324,'2324 Jun 24 Enroll'!J$1,FALSE)='District Calculations'!$F$16+'District Calculations'!$F$25-'District Calculations'!$F$17,VLOOKUP($A292,EnrollData2324,'2324 Jun 24 Enroll'!I$1,FALSE)+VLOOKUP($A292,EnrollData2324,'2324 Jun 24 Enroll'!M$1,FALSE)-VLOOKUP($A292,EnrollData2324,'2324 Jun 24 Enroll'!J$1,FALSE),'District Calculations'!$F$16+'District Calculations'!$F$25-'District Calculations'!$F$17)*Apport_218A2425,3)</f>
        <v>20.257999999999999</v>
      </c>
      <c r="Z292">
        <f>ROUND(SUM(T292:Y292)/IF(VLOOKUP($A292,EnrollData2324,'2324 Jun 24 Enroll'!M$1,FALSE)+VLOOKUP($A292,EnrollData2324,'2324 Jun 24 Enroll'!D$1,FALSE)='District Calculations'!$F$25+'District Calculations'!$F$11,VLOOKUP($A292,EnrollData2324,'2324 Jun 24 Enroll'!M$1,FALSE)+VLOOKUP($A292,EnrollData2324,'2324 Jun 24 Enroll'!D$1,FALSE),'District Calculations'!$F$25+'District Calculations'!$F$11),5)</f>
        <v>1.7780000000000001E-2</v>
      </c>
      <c r="AA292" s="6">
        <f>ROUND($J292*CIS_Base_Salary2425*VLOOKUP($A292,EnrollData2324,'2324 Jun 24 Enroll'!AH$1,FALSE),2)</f>
        <v>4518.4399999999996</v>
      </c>
      <c r="AB292" s="6">
        <f>ROUND($J292*CIS_Inc_Salary2425*(VLOOKUP($A292,EnrollData2324,'2324 Jun 24 Enroll'!AI$1,FALSE)+VLOOKUP($A292,EnrollData2324,'2324 Jun 24 Enroll'!AJ$1,FALSE)),2)-AA292</f>
        <v>167.16000000000076</v>
      </c>
      <c r="AC292" s="6" cm="1">
        <f t="array" ref="AC292">ROUND($R292*CAS_Base_Salary2425*VLOOKUP($A292,EnrollData2324,'2324 Jun 24 Enroll'!AH$1,FALSE),2)</f>
        <v>488.91</v>
      </c>
      <c r="AD292" s="6">
        <f>ROUND($R292*CAS_Inc_Salary2425*VLOOKUP($A292,EnrollData2324,'2324 Jun 24 Enroll'!AI$1,FALSE),2)-AC292</f>
        <v>18.089999999999975</v>
      </c>
      <c r="AE292" s="6">
        <f>ROUND($Z292*CLS_Base_Salary2425*VLOOKUP($A292,EnrollData2324,'2324 Jun 24 Enroll'!AH$1,FALSE),2)</f>
        <v>1019.67</v>
      </c>
      <c r="AF292" s="6">
        <f>ROUND($Z292*CLS_Inc_Salary2425*VLOOKUP($A292,EnrollData2324,'2324 Jun 24 Enroll'!AI$1,FALSE),2)-AE292</f>
        <v>37.730000000000132</v>
      </c>
      <c r="AG292" cm="1">
        <f t="array" ref="AG292">ROUND(($J292+$R292)*Apport_124X2425,2)</f>
        <v>800.45</v>
      </c>
      <c r="AH292" s="69" cm="1">
        <f t="array" ref="AH292">ROUND(($J292+$R292)*Apport_621X2425*Apport_125XC2425,2)-AG292</f>
        <v>73.899999999999977</v>
      </c>
      <c r="AI292" cm="1">
        <f t="array" ref="AI292">ROUND($Z292*Apport_124X2425,2)</f>
        <v>234.7</v>
      </c>
      <c r="AJ292">
        <f t="shared" si="62"/>
        <v>124.71000000000004</v>
      </c>
      <c r="AK292">
        <f t="shared" si="63"/>
        <v>908.83</v>
      </c>
      <c r="AL292">
        <f t="shared" si="64"/>
        <v>32.44</v>
      </c>
      <c r="AM292">
        <f t="shared" si="65"/>
        <v>220.86</v>
      </c>
      <c r="AN292">
        <f t="shared" si="66"/>
        <v>6.85</v>
      </c>
      <c r="AO292">
        <f>ROUND(($J292*CIS_Inc_Salary2425*(VLOOKUP($A292,EnrollData2324,'2324 Jun 24 Enroll'!AI$1,FALSE)+VLOOKUP($A292,EnrollData2324,'2324 Jun 24 Enroll'!AJ$1,FALSE))/Apport_613Xpd)*Apport_614Xpd,2)</f>
        <v>78.09</v>
      </c>
      <c r="AP292">
        <f t="shared" si="67"/>
        <v>13.67</v>
      </c>
      <c r="AQ292">
        <f t="shared" si="58"/>
        <v>31.48</v>
      </c>
      <c r="AR292" s="6">
        <f>ROUND((VLOOKUP($A292,EnrollData2324,'2324 Jun 24 Enroll'!D$1,FALSE)*Apport_M802425+VLOOKUP($A292,EnrollData2324,'2324 Jun 24 Enroll'!M$1,FALSE)*Apport_M802425+(VLOOKUP($A292,EnrollData2324,'2324 Jun 24 Enroll'!P$1,FALSE)+VLOOKUP($A292,EnrollData2324,'2324 Jun 24 Enroll'!Q$1,FALSE)+VLOOKUP($A292,EnrollData2324,'2324 Jun 24 Enroll'!R$1,FALSE)+VLOOKUP($A292,EnrollData2324,'2324 Jun 24 Enroll'!I$1,FALSE)+VLOOKUP($A292,EnrollData2324,'2324 Jun 24 Enroll'!N$1,FALSE)+VLOOKUP($A292,EnrollData2324,'2324 Jun 24 Enroll'!O$1,FALSE)+VLOOKUP($A292,EnrollData2324,'2324 Jun 24 Enroll'!K$1,FALSE)+VLOOKUP($A292,EnrollData2324,'2324 Jun 24 Enroll'!L$1,FALSE))*Apport_M812425)/(VLOOKUP($A292,EnrollData2324,'2324 Jun 24 Enroll'!M$1,FALSE)+VLOOKUP($A292,EnrollData2324,'2324 Jun 24 Enroll'!D$1,FALSE)),2)</f>
        <v>1587.35</v>
      </c>
      <c r="AS292" s="7">
        <f t="shared" si="59"/>
        <v>10363.330000000002</v>
      </c>
    </row>
    <row r="293" spans="1:45">
      <c r="A293" s="40" t="s">
        <v>606</v>
      </c>
      <c r="B293" s="40" t="s">
        <v>607</v>
      </c>
      <c r="C293" s="11">
        <f>ROUND((IFERROR((1/IF(VLOOKUP($A293,EnrollData2324,28,FALSE)='District Calculations'!$F$10,VLOOKUP($A293,EnrollData2324,28,FALSE),'District Calculations'!$F$10))*(1+Apport_Z315),0))+Apport_201A2425,6)</f>
        <v>7.4580999999999995E-2</v>
      </c>
      <c r="D293">
        <f>ROUND(IF(VLOOKUP($A293,EnrollData2324,'2324 Jun 24 Enroll'!D$1,FALSE)='District Calculations'!$F$11,VLOOKUP($A293,EnrollData2324,'2324 Jun 24 Enroll'!D$1,FALSE),'District Calculations'!$F$11)*C293,3)</f>
        <v>0</v>
      </c>
      <c r="E293">
        <f>ROUND(IF(VLOOKUP($A293,EnrollData2324,'2324 Jun 24 Enroll'!E$1,FALSE)='District Calculations'!$F$12,VLOOKUP($A293,EnrollData2324,'2324 Jun 24 Enroll'!E$1,FALSE),'District Calculations'!$F$12)*C293,3)</f>
        <v>60.447000000000003</v>
      </c>
      <c r="F293">
        <f>ROUND(IF(VLOOKUP($A293,EnrollData2324,'2324 Jun 24 Enroll'!F$1,FALSE)='District Calculations'!$F$13,VLOOKUP($A293,EnrollData2324,'2324 Jun 24 Enroll'!F$1,FALSE),'District Calculations'!$F$13)*Apport_222A2425,3)</f>
        <v>10.337999999999999</v>
      </c>
      <c r="G293">
        <f>ROUND(IF(VLOOKUP($A293,EnrollData2324,'2324 Jun 24 Enroll'!G$1,FALSE)='District Calculations'!$F$14,VLOOKUP($A293,EnrollData2324,'2324 Jun 24 Enroll'!G$1,FALSE),'District Calculations'!$F$14)*Apport_210A2425,3)</f>
        <v>22.92</v>
      </c>
      <c r="H293">
        <f>ROUND(IF(VLOOKUP($A293,EnrollData2324,'2324 Jun 24 Enroll'!H$1,FALSE)='District Calculations'!$F$15,VLOOKUP($A293,EnrollData2324,'2324 Jun 24 Enroll'!H$1,FALSE),'District Calculations'!$F$15)*Apport_213A2425,3)</f>
        <v>23.619</v>
      </c>
      <c r="I293">
        <f>ROUND(IF(VLOOKUP($A293,EnrollData2324,'2324 Jun 24 Enroll'!I$1,FALSE)+VLOOKUP($A293,EnrollData2324,'2324 Jun 24 Enroll'!M$1,FALSE)-VLOOKUP($A293,EnrollData2324,'2324 Jun 24 Enroll'!J$1,FALSE)='District Calculations'!$F$16+'District Calculations'!$F$25-'District Calculations'!$F$17,VLOOKUP($A293,EnrollData2324,'2324 Jun 24 Enroll'!I$1,FALSE)+VLOOKUP($A293,EnrollData2324,'2324 Jun 24 Enroll'!M$1,FALSE)-VLOOKUP($A293,EnrollData2324,'2324 Jun 24 Enroll'!J$1,FALSE),'District Calculations'!$F$16+'District Calculations'!$F$25-'District Calculations'!$F$17)*Apport_216A2425,3)</f>
        <v>59.057000000000002</v>
      </c>
      <c r="J293">
        <f>ROUND(SUM(D293:I293)/(IF(VLOOKUP($A293,EnrollData2324,'2324 Jun 24 Enroll'!M$1,FALSE)='District Calculations'!$F$25,VLOOKUP($A293,EnrollData2324,'2324 Jun 24 Enroll'!M$1,FALSE),'District Calculations'!$F$25)+IF(VLOOKUP($A293,EnrollData2324,'2324 Jun 24 Enroll'!D$1,FALSE)='District Calculations'!$F$11,VLOOKUP($A293,EnrollData2324,'2324 Jun 24 Enroll'!D$1,FALSE),'District Calculations'!$F$11)),5)</f>
        <v>5.6520000000000001E-2</v>
      </c>
      <c r="K293" s="11">
        <f t="shared" si="60"/>
        <v>4.385E-3</v>
      </c>
      <c r="L293">
        <f>ROUND(IF(VLOOKUP($A293,EnrollData2324,'2324 Jun 24 Enroll'!D$1,FALSE)='District Calculations'!$F$11,VLOOKUP($A293,EnrollData2324,'2324 Jun 24 Enroll'!D$1,FALSE),'District Calculations'!$F$11)*K293,3)</f>
        <v>0</v>
      </c>
      <c r="M293">
        <f>ROUND(IF(VLOOKUP($A293,EnrollData2324,'2324 Jun 24 Enroll'!E$1,FALSE)='District Calculations'!$F$12,VLOOKUP($A293,EnrollData2324,'2324 Jun 24 Enroll'!E$1,FALSE),'District Calculations'!$F$12)*K293,3)</f>
        <v>3.5539999999999998</v>
      </c>
      <c r="N293">
        <f>ROUND(IF(VLOOKUP($A293,EnrollData2324,'2324 Jun 24 Enroll'!F$1,FALSE)='District Calculations'!$F$13,VLOOKUP($A293,EnrollData2324,'2324 Jun 24 Enroll'!F$1,FALSE),'District Calculations'!$F$13)*Apport_223A2425,3)</f>
        <v>0.84599999999999997</v>
      </c>
      <c r="O293">
        <f>ROUND(IF(VLOOKUP($A293,EnrollData2324,'2324 Jun 24 Enroll'!G$1,FALSE)='District Calculations'!$F$14,VLOOKUP($A293,EnrollData2324,'2324 Jun 24 Enroll'!G$1,FALSE),'District Calculations'!$F$14)*Apport_211A2425,3)</f>
        <v>1.877</v>
      </c>
      <c r="P293">
        <f>ROUND(IF(VLOOKUP($A293,EnrollData2324,'2324 Jun 24 Enroll'!H$1,FALSE)='District Calculations'!$F$14,VLOOKUP($A293,EnrollData2324,'2324 Jun 24 Enroll'!H$1,FALSE),'District Calculations'!$F$14)*Apport_214A2425,3)</f>
        <v>1.875</v>
      </c>
      <c r="Q293">
        <f>ROUND(IF(VLOOKUP($A293,EnrollData2324,'2324 Jun 24 Enroll'!I$1,FALSE)+VLOOKUP($A293,EnrollData2324,'2324 Jun 24 Enroll'!M$1,FALSE)-VLOOKUP($A293,EnrollData2324,'2324 Jun 24 Enroll'!J$1,FALSE)='District Calculations'!$F$16+'District Calculations'!$F$25-'District Calculations'!$F$17,VLOOKUP($A293,EnrollData2324,'2324 Jun 24 Enroll'!I$1,FALSE)+VLOOKUP($A293,EnrollData2324,'2324 Jun 24 Enroll'!M$1,FALSE)-VLOOKUP($A293,EnrollData2324,'2324 Jun 24 Enroll'!J$1,FALSE),'District Calculations'!$F$16+'District Calculations'!$F$25-'District Calculations'!$F$17)*Apport_217A2425,3)</f>
        <v>4.7130000000000001</v>
      </c>
      <c r="R293">
        <f>ROUND(SUM(L293:Q293)/IF(VLOOKUP($A293,EnrollData2324,'2324 Jun 24 Enroll'!M$1,FALSE)+VLOOKUP($A293,EnrollData2324,'2324 Jun 24 Enroll'!D$1,FALSE)='District Calculations'!$F$25+'District Calculations'!$F$11,VLOOKUP($A293,EnrollData2324,'2324 Jun 24 Enroll'!M$1,FALSE)+VLOOKUP($A293,EnrollData2324,'2324 Jun 24 Enroll'!D$1,FALSE),'District Calculations'!$F$25+'District Calculations'!$F$11),5)</f>
        <v>4.1200000000000004E-3</v>
      </c>
      <c r="S293" s="11">
        <f t="shared" si="61"/>
        <v>1.8734299999999999E-2</v>
      </c>
      <c r="T293">
        <f>ROUND(IF(VLOOKUP($A293,EnrollData2324,'2324 Jun 24 Enroll'!D$1,FALSE)='District Calculations'!$F$11,VLOOKUP($A293,EnrollData2324,'2324 Jun 24 Enroll'!D$1,FALSE),'District Calculations'!$F$11)*S293,3)</f>
        <v>0</v>
      </c>
      <c r="U293">
        <f>ROUND(IF(VLOOKUP($A293,EnrollData2324,'2324 Jun 24 Enroll'!E$1,FALSE)='District Calculations'!$F$12,VLOOKUP($A293,EnrollData2324,'2324 Jun 24 Enroll'!E$1,FALSE),'District Calculations'!$F$12)*S293,3)</f>
        <v>15.183999999999999</v>
      </c>
      <c r="V293">
        <f>ROUND(IF(VLOOKUP($A293,EnrollData2324,'2324 Jun 24 Enroll'!F$1,FALSE)='District Calculations'!$F$13,VLOOKUP($A293,EnrollData2324,'2324 Jun 24 Enroll'!F$1,FALSE),'District Calculations'!$F$13)*Apport_224A2425,3)</f>
        <v>3.7109999999999999</v>
      </c>
      <c r="W293">
        <f>ROUND(IF(VLOOKUP($A293,EnrollData2324,'2324 Jun 24 Enroll'!G$1,FALSE)='District Calculations'!$F$14,VLOOKUP($A293,EnrollData2324,'2324 Jun 24 Enroll'!G$1,FALSE),'District Calculations'!$F$14)*Apport_212A2425,3)</f>
        <v>8.2279999999999998</v>
      </c>
      <c r="X293">
        <f>ROUND(IF(VLOOKUP($A293,EnrollData2324,'2324 Jun 24 Enroll'!H$1,FALSE)='District Calculations'!$F$14,VLOOKUP($A293,EnrollData2324,'2324 Jun 24 Enroll'!H$1,FALSE),'District Calculations'!$F$14)*Apport_215A2425,3)</f>
        <v>8.1180000000000003</v>
      </c>
      <c r="Y293">
        <f>ROUND(IF(VLOOKUP($A293,EnrollData2324,'2324 Jun 24 Enroll'!I$1,FALSE)+VLOOKUP($A293,EnrollData2324,'2324 Jun 24 Enroll'!M$1,FALSE)-VLOOKUP($A293,EnrollData2324,'2324 Jun 24 Enroll'!J$1,FALSE)='District Calculations'!$F$16+'District Calculations'!$F$25-'District Calculations'!$F$17,VLOOKUP($A293,EnrollData2324,'2324 Jun 24 Enroll'!I$1,FALSE)+VLOOKUP($A293,EnrollData2324,'2324 Jun 24 Enroll'!M$1,FALSE)-VLOOKUP($A293,EnrollData2324,'2324 Jun 24 Enroll'!J$1,FALSE),'District Calculations'!$F$16+'District Calculations'!$F$25-'District Calculations'!$F$17)*Apport_218A2425,3)</f>
        <v>20.257999999999999</v>
      </c>
      <c r="Z293">
        <f>ROUND(SUM(T293:Y293)/IF(VLOOKUP($A293,EnrollData2324,'2324 Jun 24 Enroll'!M$1,FALSE)+VLOOKUP($A293,EnrollData2324,'2324 Jun 24 Enroll'!D$1,FALSE)='District Calculations'!$F$25+'District Calculations'!$F$11,VLOOKUP($A293,EnrollData2324,'2324 Jun 24 Enroll'!M$1,FALSE)+VLOOKUP($A293,EnrollData2324,'2324 Jun 24 Enroll'!D$1,FALSE),'District Calculations'!$F$25+'District Calculations'!$F$11),5)</f>
        <v>1.7780000000000001E-2</v>
      </c>
      <c r="AA293" s="6">
        <f>ROUND($J293*CIS_Base_Salary2425*VLOOKUP($A293,EnrollData2324,'2324 Jun 24 Enroll'!AH$1,FALSE),2)</f>
        <v>4518.4399999999996</v>
      </c>
      <c r="AB293" s="6">
        <f>ROUND($J293*CIS_Inc_Salary2425*(VLOOKUP($A293,EnrollData2324,'2324 Jun 24 Enroll'!AI$1,FALSE)+VLOOKUP($A293,EnrollData2324,'2324 Jun 24 Enroll'!AJ$1,FALSE)),2)-AA293</f>
        <v>167.16000000000076</v>
      </c>
      <c r="AC293" s="6" cm="1">
        <f t="array" ref="AC293">ROUND($R293*CAS_Base_Salary2425*VLOOKUP($A293,EnrollData2324,'2324 Jun 24 Enroll'!AH$1,FALSE),2)</f>
        <v>488.91</v>
      </c>
      <c r="AD293" s="6">
        <f>ROUND($R293*CAS_Inc_Salary2425*VLOOKUP($A293,EnrollData2324,'2324 Jun 24 Enroll'!AI$1,FALSE),2)-AC293</f>
        <v>18.089999999999975</v>
      </c>
      <c r="AE293" s="6">
        <f>ROUND($Z293*CLS_Base_Salary2425*VLOOKUP($A293,EnrollData2324,'2324 Jun 24 Enroll'!AH$1,FALSE),2)</f>
        <v>1019.67</v>
      </c>
      <c r="AF293" s="6">
        <f>ROUND($Z293*CLS_Inc_Salary2425*VLOOKUP($A293,EnrollData2324,'2324 Jun 24 Enroll'!AI$1,FALSE),2)-AE293</f>
        <v>37.730000000000132</v>
      </c>
      <c r="AG293" cm="1">
        <f t="array" ref="AG293">ROUND(($J293+$R293)*Apport_124X2425,2)</f>
        <v>800.45</v>
      </c>
      <c r="AH293" s="69" cm="1">
        <f t="array" ref="AH293">ROUND(($J293+$R293)*Apport_621X2425*Apport_125XC2425,2)-AG293</f>
        <v>73.899999999999977</v>
      </c>
      <c r="AI293" cm="1">
        <f t="array" ref="AI293">ROUND($Z293*Apport_124X2425,2)</f>
        <v>234.7</v>
      </c>
      <c r="AJ293">
        <f t="shared" si="62"/>
        <v>124.71000000000004</v>
      </c>
      <c r="AK293">
        <f t="shared" si="63"/>
        <v>908.83</v>
      </c>
      <c r="AL293">
        <f t="shared" si="64"/>
        <v>32.44</v>
      </c>
      <c r="AM293">
        <f t="shared" si="65"/>
        <v>220.86</v>
      </c>
      <c r="AN293">
        <f t="shared" si="66"/>
        <v>6.85</v>
      </c>
      <c r="AO293">
        <f>ROUND(($J293*CIS_Inc_Salary2425*(VLOOKUP($A293,EnrollData2324,'2324 Jun 24 Enroll'!AI$1,FALSE)+VLOOKUP($A293,EnrollData2324,'2324 Jun 24 Enroll'!AJ$1,FALSE))/Apport_613Xpd)*Apport_614Xpd,2)</f>
        <v>78.09</v>
      </c>
      <c r="AP293">
        <f t="shared" si="67"/>
        <v>13.67</v>
      </c>
      <c r="AQ293">
        <f t="shared" si="58"/>
        <v>31.48</v>
      </c>
      <c r="AR293" s="6">
        <f>ROUND((VLOOKUP($A293,EnrollData2324,'2324 Jun 24 Enroll'!D$1,FALSE)*Apport_M802425+VLOOKUP($A293,EnrollData2324,'2324 Jun 24 Enroll'!M$1,FALSE)*Apport_M802425+(VLOOKUP($A293,EnrollData2324,'2324 Jun 24 Enroll'!P$1,FALSE)+VLOOKUP($A293,EnrollData2324,'2324 Jun 24 Enroll'!Q$1,FALSE)+VLOOKUP($A293,EnrollData2324,'2324 Jun 24 Enroll'!R$1,FALSE)+VLOOKUP($A293,EnrollData2324,'2324 Jun 24 Enroll'!I$1,FALSE)+VLOOKUP($A293,EnrollData2324,'2324 Jun 24 Enroll'!N$1,FALSE)+VLOOKUP($A293,EnrollData2324,'2324 Jun 24 Enroll'!O$1,FALSE)+VLOOKUP($A293,EnrollData2324,'2324 Jun 24 Enroll'!K$1,FALSE)+VLOOKUP($A293,EnrollData2324,'2324 Jun 24 Enroll'!L$1,FALSE))*Apport_M812425)/(VLOOKUP($A293,EnrollData2324,'2324 Jun 24 Enroll'!M$1,FALSE)+VLOOKUP($A293,EnrollData2324,'2324 Jun 24 Enroll'!D$1,FALSE)),2)</f>
        <v>1597.67</v>
      </c>
      <c r="AS293" s="7">
        <f t="shared" si="59"/>
        <v>10373.650000000001</v>
      </c>
    </row>
    <row r="294" spans="1:45">
      <c r="A294" s="40" t="s">
        <v>1020</v>
      </c>
      <c r="B294" s="40" t="s">
        <v>1021</v>
      </c>
      <c r="C294" s="11">
        <f>ROUND((IFERROR((1/IF(VLOOKUP($A294,EnrollData2324,28,FALSE)='District Calculations'!$F$10,VLOOKUP($A294,EnrollData2324,28,FALSE),'District Calculations'!$F$10))*(1+Apport_Z315),0))+Apport_201A2425,6)</f>
        <v>7.4580999999999995E-2</v>
      </c>
      <c r="D294">
        <f>ROUND(IF(VLOOKUP($A294,EnrollData2324,'2324 Jun 24 Enroll'!D$1,FALSE)='District Calculations'!$F$11,VLOOKUP($A294,EnrollData2324,'2324 Jun 24 Enroll'!D$1,FALSE),'District Calculations'!$F$11)*C294,3)</f>
        <v>0</v>
      </c>
      <c r="E294">
        <f>ROUND(IF(VLOOKUP($A294,EnrollData2324,'2324 Jun 24 Enroll'!E$1,FALSE)='District Calculations'!$F$12,VLOOKUP($A294,EnrollData2324,'2324 Jun 24 Enroll'!E$1,FALSE),'District Calculations'!$F$12)*C294,3)</f>
        <v>60.447000000000003</v>
      </c>
      <c r="F294">
        <f>ROUND(IF(VLOOKUP($A294,EnrollData2324,'2324 Jun 24 Enroll'!F$1,FALSE)='District Calculations'!$F$13,VLOOKUP($A294,EnrollData2324,'2324 Jun 24 Enroll'!F$1,FALSE),'District Calculations'!$F$13)*Apport_222A2425,3)</f>
        <v>10.337999999999999</v>
      </c>
      <c r="G294">
        <f>ROUND(IF(VLOOKUP($A294,EnrollData2324,'2324 Jun 24 Enroll'!G$1,FALSE)='District Calculations'!$F$14,VLOOKUP($A294,EnrollData2324,'2324 Jun 24 Enroll'!G$1,FALSE),'District Calculations'!$F$14)*Apport_210A2425,3)</f>
        <v>22.92</v>
      </c>
      <c r="H294">
        <f>ROUND(IF(VLOOKUP($A294,EnrollData2324,'2324 Jun 24 Enroll'!H$1,FALSE)='District Calculations'!$F$15,VLOOKUP($A294,EnrollData2324,'2324 Jun 24 Enroll'!H$1,FALSE),'District Calculations'!$F$15)*Apport_213A2425,3)</f>
        <v>23.619</v>
      </c>
      <c r="I294">
        <f>ROUND(IF(VLOOKUP($A294,EnrollData2324,'2324 Jun 24 Enroll'!I$1,FALSE)+VLOOKUP($A294,EnrollData2324,'2324 Jun 24 Enroll'!M$1,FALSE)-VLOOKUP($A294,EnrollData2324,'2324 Jun 24 Enroll'!J$1,FALSE)='District Calculations'!$F$16+'District Calculations'!$F$25-'District Calculations'!$F$17,VLOOKUP($A294,EnrollData2324,'2324 Jun 24 Enroll'!I$1,FALSE)+VLOOKUP($A294,EnrollData2324,'2324 Jun 24 Enroll'!M$1,FALSE)-VLOOKUP($A294,EnrollData2324,'2324 Jun 24 Enroll'!J$1,FALSE),'District Calculations'!$F$16+'District Calculations'!$F$25-'District Calculations'!$F$17)*Apport_216A2425,3)</f>
        <v>59.057000000000002</v>
      </c>
      <c r="J294">
        <f>ROUND(SUM(D294:I294)/(IF(VLOOKUP($A294,EnrollData2324,'2324 Jun 24 Enroll'!M$1,FALSE)='District Calculations'!$F$25,VLOOKUP($A294,EnrollData2324,'2324 Jun 24 Enroll'!M$1,FALSE),'District Calculations'!$F$25)+IF(VLOOKUP($A294,EnrollData2324,'2324 Jun 24 Enroll'!D$1,FALSE)='District Calculations'!$F$11,VLOOKUP($A294,EnrollData2324,'2324 Jun 24 Enroll'!D$1,FALSE),'District Calculations'!$F$11)),5)</f>
        <v>5.6520000000000001E-2</v>
      </c>
      <c r="K294" s="11">
        <f t="shared" si="60"/>
        <v>4.385E-3</v>
      </c>
      <c r="L294">
        <f>ROUND(IF(VLOOKUP($A294,EnrollData2324,'2324 Jun 24 Enroll'!D$1,FALSE)='District Calculations'!$F$11,VLOOKUP($A294,EnrollData2324,'2324 Jun 24 Enroll'!D$1,FALSE),'District Calculations'!$F$11)*K294,3)</f>
        <v>0</v>
      </c>
      <c r="M294">
        <f>ROUND(IF(VLOOKUP($A294,EnrollData2324,'2324 Jun 24 Enroll'!E$1,FALSE)='District Calculations'!$F$12,VLOOKUP($A294,EnrollData2324,'2324 Jun 24 Enroll'!E$1,FALSE),'District Calculations'!$F$12)*K294,3)</f>
        <v>3.5539999999999998</v>
      </c>
      <c r="N294">
        <f>ROUND(IF(VLOOKUP($A294,EnrollData2324,'2324 Jun 24 Enroll'!F$1,FALSE)='District Calculations'!$F$13,VLOOKUP($A294,EnrollData2324,'2324 Jun 24 Enroll'!F$1,FALSE),'District Calculations'!$F$13)*Apport_223A2425,3)</f>
        <v>0.84599999999999997</v>
      </c>
      <c r="O294">
        <f>ROUND(IF(VLOOKUP($A294,EnrollData2324,'2324 Jun 24 Enroll'!G$1,FALSE)='District Calculations'!$F$14,VLOOKUP($A294,EnrollData2324,'2324 Jun 24 Enroll'!G$1,FALSE),'District Calculations'!$F$14)*Apport_211A2425,3)</f>
        <v>1.877</v>
      </c>
      <c r="P294">
        <f>ROUND(IF(VLOOKUP($A294,EnrollData2324,'2324 Jun 24 Enroll'!H$1,FALSE)='District Calculations'!$F$14,VLOOKUP($A294,EnrollData2324,'2324 Jun 24 Enroll'!H$1,FALSE),'District Calculations'!$F$14)*Apport_214A2425,3)</f>
        <v>1.875</v>
      </c>
      <c r="Q294">
        <f>ROUND(IF(VLOOKUP($A294,EnrollData2324,'2324 Jun 24 Enroll'!I$1,FALSE)+VLOOKUP($A294,EnrollData2324,'2324 Jun 24 Enroll'!M$1,FALSE)-VLOOKUP($A294,EnrollData2324,'2324 Jun 24 Enroll'!J$1,FALSE)='District Calculations'!$F$16+'District Calculations'!$F$25-'District Calculations'!$F$17,VLOOKUP($A294,EnrollData2324,'2324 Jun 24 Enroll'!I$1,FALSE)+VLOOKUP($A294,EnrollData2324,'2324 Jun 24 Enroll'!M$1,FALSE)-VLOOKUP($A294,EnrollData2324,'2324 Jun 24 Enroll'!J$1,FALSE),'District Calculations'!$F$16+'District Calculations'!$F$25-'District Calculations'!$F$17)*Apport_217A2425,3)</f>
        <v>4.7130000000000001</v>
      </c>
      <c r="R294">
        <f>ROUND(SUM(L294:Q294)/IF(VLOOKUP($A294,EnrollData2324,'2324 Jun 24 Enroll'!M$1,FALSE)+VLOOKUP($A294,EnrollData2324,'2324 Jun 24 Enroll'!D$1,FALSE)='District Calculations'!$F$25+'District Calculations'!$F$11,VLOOKUP($A294,EnrollData2324,'2324 Jun 24 Enroll'!M$1,FALSE)+VLOOKUP($A294,EnrollData2324,'2324 Jun 24 Enroll'!D$1,FALSE),'District Calculations'!$F$25+'District Calculations'!$F$11),5)</f>
        <v>4.1200000000000004E-3</v>
      </c>
      <c r="S294" s="11">
        <f t="shared" si="61"/>
        <v>1.8734299999999999E-2</v>
      </c>
      <c r="T294">
        <f>ROUND(IF(VLOOKUP($A294,EnrollData2324,'2324 Jun 24 Enroll'!D$1,FALSE)='District Calculations'!$F$11,VLOOKUP($A294,EnrollData2324,'2324 Jun 24 Enroll'!D$1,FALSE),'District Calculations'!$F$11)*S294,3)</f>
        <v>0</v>
      </c>
      <c r="U294">
        <f>ROUND(IF(VLOOKUP($A294,EnrollData2324,'2324 Jun 24 Enroll'!E$1,FALSE)='District Calculations'!$F$12,VLOOKUP($A294,EnrollData2324,'2324 Jun 24 Enroll'!E$1,FALSE),'District Calculations'!$F$12)*S294,3)</f>
        <v>15.183999999999999</v>
      </c>
      <c r="V294">
        <f>ROUND(IF(VLOOKUP($A294,EnrollData2324,'2324 Jun 24 Enroll'!F$1,FALSE)='District Calculations'!$F$13,VLOOKUP($A294,EnrollData2324,'2324 Jun 24 Enroll'!F$1,FALSE),'District Calculations'!$F$13)*Apport_224A2425,3)</f>
        <v>3.7109999999999999</v>
      </c>
      <c r="W294">
        <f>ROUND(IF(VLOOKUP($A294,EnrollData2324,'2324 Jun 24 Enroll'!G$1,FALSE)='District Calculations'!$F$14,VLOOKUP($A294,EnrollData2324,'2324 Jun 24 Enroll'!G$1,FALSE),'District Calculations'!$F$14)*Apport_212A2425,3)</f>
        <v>8.2279999999999998</v>
      </c>
      <c r="X294">
        <f>ROUND(IF(VLOOKUP($A294,EnrollData2324,'2324 Jun 24 Enroll'!H$1,FALSE)='District Calculations'!$F$14,VLOOKUP($A294,EnrollData2324,'2324 Jun 24 Enroll'!H$1,FALSE),'District Calculations'!$F$14)*Apport_215A2425,3)</f>
        <v>8.1180000000000003</v>
      </c>
      <c r="Y294">
        <f>ROUND(IF(VLOOKUP($A294,EnrollData2324,'2324 Jun 24 Enroll'!I$1,FALSE)+VLOOKUP($A294,EnrollData2324,'2324 Jun 24 Enroll'!M$1,FALSE)-VLOOKUP($A294,EnrollData2324,'2324 Jun 24 Enroll'!J$1,FALSE)='District Calculations'!$F$16+'District Calculations'!$F$25-'District Calculations'!$F$17,VLOOKUP($A294,EnrollData2324,'2324 Jun 24 Enroll'!I$1,FALSE)+VLOOKUP($A294,EnrollData2324,'2324 Jun 24 Enroll'!M$1,FALSE)-VLOOKUP($A294,EnrollData2324,'2324 Jun 24 Enroll'!J$1,FALSE),'District Calculations'!$F$16+'District Calculations'!$F$25-'District Calculations'!$F$17)*Apport_218A2425,3)</f>
        <v>20.257999999999999</v>
      </c>
      <c r="Z294">
        <f>ROUND(SUM(T294:Y294)/IF(VLOOKUP($A294,EnrollData2324,'2324 Jun 24 Enroll'!M$1,FALSE)+VLOOKUP($A294,EnrollData2324,'2324 Jun 24 Enroll'!D$1,FALSE)='District Calculations'!$F$25+'District Calculations'!$F$11,VLOOKUP($A294,EnrollData2324,'2324 Jun 24 Enroll'!M$1,FALSE)+VLOOKUP($A294,EnrollData2324,'2324 Jun 24 Enroll'!D$1,FALSE),'District Calculations'!$F$25+'District Calculations'!$F$11),5)</f>
        <v>1.7780000000000001E-2</v>
      </c>
      <c r="AA294" s="6">
        <f>ROUND($J294*CIS_Base_Salary2425*VLOOKUP($A294,EnrollData2324,'2324 Jun 24 Enroll'!AH$1,FALSE),2)</f>
        <v>4518.4399999999996</v>
      </c>
      <c r="AB294" s="6">
        <f>ROUND($J294*CIS_Inc_Salary2425*(VLOOKUP($A294,EnrollData2324,'2324 Jun 24 Enroll'!AI$1,FALSE)+VLOOKUP($A294,EnrollData2324,'2324 Jun 24 Enroll'!AJ$1,FALSE)),2)-AA294</f>
        <v>167.16000000000076</v>
      </c>
      <c r="AC294" s="6" cm="1">
        <f t="array" ref="AC294">ROUND($R294*CAS_Base_Salary2425*VLOOKUP($A294,EnrollData2324,'2324 Jun 24 Enroll'!AH$1,FALSE),2)</f>
        <v>488.91</v>
      </c>
      <c r="AD294" s="6">
        <f>ROUND($R294*CAS_Inc_Salary2425*VLOOKUP($A294,EnrollData2324,'2324 Jun 24 Enroll'!AI$1,FALSE),2)-AC294</f>
        <v>18.089999999999975</v>
      </c>
      <c r="AE294" s="6">
        <f>ROUND($Z294*CLS_Base_Salary2425*VLOOKUP($A294,EnrollData2324,'2324 Jun 24 Enroll'!AH$1,FALSE),2)</f>
        <v>1019.67</v>
      </c>
      <c r="AF294" s="6">
        <f>ROUND($Z294*CLS_Inc_Salary2425*VLOOKUP($A294,EnrollData2324,'2324 Jun 24 Enroll'!AI$1,FALSE),2)-AE294</f>
        <v>37.730000000000132</v>
      </c>
      <c r="AG294" cm="1">
        <f t="array" ref="AG294">ROUND(($J294+$R294)*Apport_124X2425,2)</f>
        <v>800.45</v>
      </c>
      <c r="AH294" s="69" cm="1">
        <f t="array" ref="AH294">ROUND(($J294+$R294)*Apport_621X2425*Apport_125XC2425,2)-AG294</f>
        <v>73.899999999999977</v>
      </c>
      <c r="AI294" cm="1">
        <f t="array" ref="AI294">ROUND($Z294*Apport_124X2425,2)</f>
        <v>234.7</v>
      </c>
      <c r="AJ294">
        <f t="shared" si="62"/>
        <v>124.71000000000004</v>
      </c>
      <c r="AK294">
        <f t="shared" si="63"/>
        <v>908.83</v>
      </c>
      <c r="AL294">
        <f t="shared" si="64"/>
        <v>32.44</v>
      </c>
      <c r="AM294">
        <f t="shared" si="65"/>
        <v>220.86</v>
      </c>
      <c r="AN294">
        <f t="shared" si="66"/>
        <v>6.85</v>
      </c>
      <c r="AO294">
        <f>ROUND(($J294*CIS_Inc_Salary2425*(VLOOKUP($A294,EnrollData2324,'2324 Jun 24 Enroll'!AI$1,FALSE)+VLOOKUP($A294,EnrollData2324,'2324 Jun 24 Enroll'!AJ$1,FALSE))/Apport_613Xpd)*Apport_614Xpd,2)</f>
        <v>78.09</v>
      </c>
      <c r="AP294">
        <f t="shared" si="67"/>
        <v>13.67</v>
      </c>
      <c r="AQ294">
        <f t="shared" si="58"/>
        <v>31.48</v>
      </c>
      <c r="AR294" s="6">
        <f>ROUND((VLOOKUP($A294,EnrollData2324,'2324 Jun 24 Enroll'!D$1,FALSE)*Apport_M802425+VLOOKUP($A294,EnrollData2324,'2324 Jun 24 Enroll'!M$1,FALSE)*Apport_M802425+(VLOOKUP($A294,EnrollData2324,'2324 Jun 24 Enroll'!P$1,FALSE)+VLOOKUP($A294,EnrollData2324,'2324 Jun 24 Enroll'!Q$1,FALSE)+VLOOKUP($A294,EnrollData2324,'2324 Jun 24 Enroll'!R$1,FALSE)+VLOOKUP($A294,EnrollData2324,'2324 Jun 24 Enroll'!I$1,FALSE)+VLOOKUP($A294,EnrollData2324,'2324 Jun 24 Enroll'!N$1,FALSE)+VLOOKUP($A294,EnrollData2324,'2324 Jun 24 Enroll'!O$1,FALSE)+VLOOKUP($A294,EnrollData2324,'2324 Jun 24 Enroll'!K$1,FALSE)+VLOOKUP($A294,EnrollData2324,'2324 Jun 24 Enroll'!L$1,FALSE))*Apport_M812425)/(VLOOKUP($A294,EnrollData2324,'2324 Jun 24 Enroll'!M$1,FALSE)+VLOOKUP($A294,EnrollData2324,'2324 Jun 24 Enroll'!D$1,FALSE)),2)</f>
        <v>1737.05</v>
      </c>
      <c r="AS294" s="7">
        <f t="shared" si="59"/>
        <v>10513.03</v>
      </c>
    </row>
    <row r="295" spans="1:45">
      <c r="A295" s="40" t="s">
        <v>897</v>
      </c>
      <c r="B295" s="40" t="s">
        <v>898</v>
      </c>
      <c r="C295" s="11">
        <f>ROUND((IFERROR((1/IF(VLOOKUP($A295,EnrollData2324,28,FALSE)='District Calculations'!$F$10,VLOOKUP($A295,EnrollData2324,28,FALSE),'District Calculations'!$F$10))*(1+Apport_Z315),0))+Apport_201A2425,6)</f>
        <v>7.4580999999999995E-2</v>
      </c>
      <c r="D295">
        <f>ROUND(IF(VLOOKUP($A295,EnrollData2324,'2324 Jun 24 Enroll'!D$1,FALSE)='District Calculations'!$F$11,VLOOKUP($A295,EnrollData2324,'2324 Jun 24 Enroll'!D$1,FALSE),'District Calculations'!$F$11)*C295,3)</f>
        <v>0</v>
      </c>
      <c r="E295">
        <f>ROUND(IF(VLOOKUP($A295,EnrollData2324,'2324 Jun 24 Enroll'!E$1,FALSE)='District Calculations'!$F$12,VLOOKUP($A295,EnrollData2324,'2324 Jun 24 Enroll'!E$1,FALSE),'District Calculations'!$F$12)*C295,3)</f>
        <v>60.447000000000003</v>
      </c>
      <c r="F295">
        <f>ROUND(IF(VLOOKUP($A295,EnrollData2324,'2324 Jun 24 Enroll'!F$1,FALSE)='District Calculations'!$F$13,VLOOKUP($A295,EnrollData2324,'2324 Jun 24 Enroll'!F$1,FALSE),'District Calculations'!$F$13)*Apport_222A2425,3)</f>
        <v>10.337999999999999</v>
      </c>
      <c r="G295">
        <f>ROUND(IF(VLOOKUP($A295,EnrollData2324,'2324 Jun 24 Enroll'!G$1,FALSE)='District Calculations'!$F$14,VLOOKUP($A295,EnrollData2324,'2324 Jun 24 Enroll'!G$1,FALSE),'District Calculations'!$F$14)*Apport_210A2425,3)</f>
        <v>22.92</v>
      </c>
      <c r="H295">
        <f>ROUND(IF(VLOOKUP($A295,EnrollData2324,'2324 Jun 24 Enroll'!H$1,FALSE)='District Calculations'!$F$15,VLOOKUP($A295,EnrollData2324,'2324 Jun 24 Enroll'!H$1,FALSE),'District Calculations'!$F$15)*Apport_213A2425,3)</f>
        <v>23.619</v>
      </c>
      <c r="I295">
        <f>ROUND(IF(VLOOKUP($A295,EnrollData2324,'2324 Jun 24 Enroll'!I$1,FALSE)+VLOOKUP($A295,EnrollData2324,'2324 Jun 24 Enroll'!M$1,FALSE)-VLOOKUP($A295,EnrollData2324,'2324 Jun 24 Enroll'!J$1,FALSE)='District Calculations'!$F$16+'District Calculations'!$F$25-'District Calculations'!$F$17,VLOOKUP($A295,EnrollData2324,'2324 Jun 24 Enroll'!I$1,FALSE)+VLOOKUP($A295,EnrollData2324,'2324 Jun 24 Enroll'!M$1,FALSE)-VLOOKUP($A295,EnrollData2324,'2324 Jun 24 Enroll'!J$1,FALSE),'District Calculations'!$F$16+'District Calculations'!$F$25-'District Calculations'!$F$17)*Apport_216A2425,3)</f>
        <v>59.057000000000002</v>
      </c>
      <c r="J295">
        <f>ROUND(SUM(D295:I295)/(IF(VLOOKUP($A295,EnrollData2324,'2324 Jun 24 Enroll'!M$1,FALSE)='District Calculations'!$F$25,VLOOKUP($A295,EnrollData2324,'2324 Jun 24 Enroll'!M$1,FALSE),'District Calculations'!$F$25)+IF(VLOOKUP($A295,EnrollData2324,'2324 Jun 24 Enroll'!D$1,FALSE)='District Calculations'!$F$11,VLOOKUP($A295,EnrollData2324,'2324 Jun 24 Enroll'!D$1,FALSE),'District Calculations'!$F$11)),5)</f>
        <v>5.6520000000000001E-2</v>
      </c>
      <c r="K295" s="11">
        <f t="shared" si="60"/>
        <v>4.385E-3</v>
      </c>
      <c r="L295">
        <f>ROUND(IF(VLOOKUP($A295,EnrollData2324,'2324 Jun 24 Enroll'!D$1,FALSE)='District Calculations'!$F$11,VLOOKUP($A295,EnrollData2324,'2324 Jun 24 Enroll'!D$1,FALSE),'District Calculations'!$F$11)*K295,3)</f>
        <v>0</v>
      </c>
      <c r="M295">
        <f>ROUND(IF(VLOOKUP($A295,EnrollData2324,'2324 Jun 24 Enroll'!E$1,FALSE)='District Calculations'!$F$12,VLOOKUP($A295,EnrollData2324,'2324 Jun 24 Enroll'!E$1,FALSE),'District Calculations'!$F$12)*K295,3)</f>
        <v>3.5539999999999998</v>
      </c>
      <c r="N295">
        <f>ROUND(IF(VLOOKUP($A295,EnrollData2324,'2324 Jun 24 Enroll'!F$1,FALSE)='District Calculations'!$F$13,VLOOKUP($A295,EnrollData2324,'2324 Jun 24 Enroll'!F$1,FALSE),'District Calculations'!$F$13)*Apport_223A2425,3)</f>
        <v>0.84599999999999997</v>
      </c>
      <c r="O295">
        <f>ROUND(IF(VLOOKUP($A295,EnrollData2324,'2324 Jun 24 Enroll'!G$1,FALSE)='District Calculations'!$F$14,VLOOKUP($A295,EnrollData2324,'2324 Jun 24 Enroll'!G$1,FALSE),'District Calculations'!$F$14)*Apport_211A2425,3)</f>
        <v>1.877</v>
      </c>
      <c r="P295">
        <f>ROUND(IF(VLOOKUP($A295,EnrollData2324,'2324 Jun 24 Enroll'!H$1,FALSE)='District Calculations'!$F$14,VLOOKUP($A295,EnrollData2324,'2324 Jun 24 Enroll'!H$1,FALSE),'District Calculations'!$F$14)*Apport_214A2425,3)</f>
        <v>1.875</v>
      </c>
      <c r="Q295">
        <f>ROUND(IF(VLOOKUP($A295,EnrollData2324,'2324 Jun 24 Enroll'!I$1,FALSE)+VLOOKUP($A295,EnrollData2324,'2324 Jun 24 Enroll'!M$1,FALSE)-VLOOKUP($A295,EnrollData2324,'2324 Jun 24 Enroll'!J$1,FALSE)='District Calculations'!$F$16+'District Calculations'!$F$25-'District Calculations'!$F$17,VLOOKUP($A295,EnrollData2324,'2324 Jun 24 Enroll'!I$1,FALSE)+VLOOKUP($A295,EnrollData2324,'2324 Jun 24 Enroll'!M$1,FALSE)-VLOOKUP($A295,EnrollData2324,'2324 Jun 24 Enroll'!J$1,FALSE),'District Calculations'!$F$16+'District Calculations'!$F$25-'District Calculations'!$F$17)*Apport_217A2425,3)</f>
        <v>4.7130000000000001</v>
      </c>
      <c r="R295">
        <f>ROUND(SUM(L295:Q295)/IF(VLOOKUP($A295,EnrollData2324,'2324 Jun 24 Enroll'!M$1,FALSE)+VLOOKUP($A295,EnrollData2324,'2324 Jun 24 Enroll'!D$1,FALSE)='District Calculations'!$F$25+'District Calculations'!$F$11,VLOOKUP($A295,EnrollData2324,'2324 Jun 24 Enroll'!M$1,FALSE)+VLOOKUP($A295,EnrollData2324,'2324 Jun 24 Enroll'!D$1,FALSE),'District Calculations'!$F$25+'District Calculations'!$F$11),5)</f>
        <v>4.1200000000000004E-3</v>
      </c>
      <c r="S295" s="11">
        <f t="shared" si="61"/>
        <v>1.8734299999999999E-2</v>
      </c>
      <c r="T295">
        <f>ROUND(IF(VLOOKUP($A295,EnrollData2324,'2324 Jun 24 Enroll'!D$1,FALSE)='District Calculations'!$F$11,VLOOKUP($A295,EnrollData2324,'2324 Jun 24 Enroll'!D$1,FALSE),'District Calculations'!$F$11)*S295,3)</f>
        <v>0</v>
      </c>
      <c r="U295">
        <f>ROUND(IF(VLOOKUP($A295,EnrollData2324,'2324 Jun 24 Enroll'!E$1,FALSE)='District Calculations'!$F$12,VLOOKUP($A295,EnrollData2324,'2324 Jun 24 Enroll'!E$1,FALSE),'District Calculations'!$F$12)*S295,3)</f>
        <v>15.183999999999999</v>
      </c>
      <c r="V295">
        <f>ROUND(IF(VLOOKUP($A295,EnrollData2324,'2324 Jun 24 Enroll'!F$1,FALSE)='District Calculations'!$F$13,VLOOKUP($A295,EnrollData2324,'2324 Jun 24 Enroll'!F$1,FALSE),'District Calculations'!$F$13)*Apport_224A2425,3)</f>
        <v>3.7109999999999999</v>
      </c>
      <c r="W295">
        <f>ROUND(IF(VLOOKUP($A295,EnrollData2324,'2324 Jun 24 Enroll'!G$1,FALSE)='District Calculations'!$F$14,VLOOKUP($A295,EnrollData2324,'2324 Jun 24 Enroll'!G$1,FALSE),'District Calculations'!$F$14)*Apport_212A2425,3)</f>
        <v>8.2279999999999998</v>
      </c>
      <c r="X295">
        <f>ROUND(IF(VLOOKUP($A295,EnrollData2324,'2324 Jun 24 Enroll'!H$1,FALSE)='District Calculations'!$F$14,VLOOKUP($A295,EnrollData2324,'2324 Jun 24 Enroll'!H$1,FALSE),'District Calculations'!$F$14)*Apport_215A2425,3)</f>
        <v>8.1180000000000003</v>
      </c>
      <c r="Y295">
        <f>ROUND(IF(VLOOKUP($A295,EnrollData2324,'2324 Jun 24 Enroll'!I$1,FALSE)+VLOOKUP($A295,EnrollData2324,'2324 Jun 24 Enroll'!M$1,FALSE)-VLOOKUP($A295,EnrollData2324,'2324 Jun 24 Enroll'!J$1,FALSE)='District Calculations'!$F$16+'District Calculations'!$F$25-'District Calculations'!$F$17,VLOOKUP($A295,EnrollData2324,'2324 Jun 24 Enroll'!I$1,FALSE)+VLOOKUP($A295,EnrollData2324,'2324 Jun 24 Enroll'!M$1,FALSE)-VLOOKUP($A295,EnrollData2324,'2324 Jun 24 Enroll'!J$1,FALSE),'District Calculations'!$F$16+'District Calculations'!$F$25-'District Calculations'!$F$17)*Apport_218A2425,3)</f>
        <v>20.257999999999999</v>
      </c>
      <c r="Z295">
        <f>ROUND(SUM(T295:Y295)/IF(VLOOKUP($A295,EnrollData2324,'2324 Jun 24 Enroll'!M$1,FALSE)+VLOOKUP($A295,EnrollData2324,'2324 Jun 24 Enroll'!D$1,FALSE)='District Calculations'!$F$25+'District Calculations'!$F$11,VLOOKUP($A295,EnrollData2324,'2324 Jun 24 Enroll'!M$1,FALSE)+VLOOKUP($A295,EnrollData2324,'2324 Jun 24 Enroll'!D$1,FALSE),'District Calculations'!$F$25+'District Calculations'!$F$11),5)</f>
        <v>1.7780000000000001E-2</v>
      </c>
      <c r="AA295" s="6">
        <f>ROUND($J295*CIS_Base_Salary2425*VLOOKUP($A295,EnrollData2324,'2324 Jun 24 Enroll'!AH$1,FALSE),2)</f>
        <v>4518.4399999999996</v>
      </c>
      <c r="AB295" s="6">
        <f>ROUND($J295*CIS_Inc_Salary2425*(VLOOKUP($A295,EnrollData2324,'2324 Jun 24 Enroll'!AI$1,FALSE)+VLOOKUP($A295,EnrollData2324,'2324 Jun 24 Enroll'!AJ$1,FALSE)),2)-AA295</f>
        <v>167.16000000000076</v>
      </c>
      <c r="AC295" s="6" cm="1">
        <f t="array" ref="AC295">ROUND($R295*CAS_Base_Salary2425*VLOOKUP($A295,EnrollData2324,'2324 Jun 24 Enroll'!AH$1,FALSE),2)</f>
        <v>488.91</v>
      </c>
      <c r="AD295" s="6">
        <f>ROUND($R295*CAS_Inc_Salary2425*VLOOKUP($A295,EnrollData2324,'2324 Jun 24 Enroll'!AI$1,FALSE),2)-AC295</f>
        <v>18.089999999999975</v>
      </c>
      <c r="AE295" s="6">
        <f>ROUND($Z295*CLS_Base_Salary2425*VLOOKUP($A295,EnrollData2324,'2324 Jun 24 Enroll'!AH$1,FALSE),2)</f>
        <v>1019.67</v>
      </c>
      <c r="AF295" s="6">
        <f>ROUND($Z295*CLS_Inc_Salary2425*VLOOKUP($A295,EnrollData2324,'2324 Jun 24 Enroll'!AI$1,FALSE),2)-AE295</f>
        <v>37.730000000000132</v>
      </c>
      <c r="AG295" cm="1">
        <f t="array" ref="AG295">ROUND(($J295+$R295)*Apport_124X2425,2)</f>
        <v>800.45</v>
      </c>
      <c r="AH295" s="69" cm="1">
        <f t="array" ref="AH295">ROUND(($J295+$R295)*Apport_621X2425*Apport_125XC2425,2)-AG295</f>
        <v>73.899999999999977</v>
      </c>
      <c r="AI295" cm="1">
        <f t="array" ref="AI295">ROUND($Z295*Apport_124X2425,2)</f>
        <v>234.7</v>
      </c>
      <c r="AJ295">
        <f t="shared" si="62"/>
        <v>124.71000000000004</v>
      </c>
      <c r="AK295">
        <f t="shared" si="63"/>
        <v>908.83</v>
      </c>
      <c r="AL295">
        <f t="shared" si="64"/>
        <v>32.44</v>
      </c>
      <c r="AM295">
        <f t="shared" si="65"/>
        <v>220.86</v>
      </c>
      <c r="AN295">
        <f t="shared" si="66"/>
        <v>6.85</v>
      </c>
      <c r="AO295">
        <f>ROUND(($J295*CIS_Inc_Salary2425*(VLOOKUP($A295,EnrollData2324,'2324 Jun 24 Enroll'!AI$1,FALSE)+VLOOKUP($A295,EnrollData2324,'2324 Jun 24 Enroll'!AJ$1,FALSE))/Apport_613Xpd)*Apport_614Xpd,2)</f>
        <v>78.09</v>
      </c>
      <c r="AP295">
        <f t="shared" si="67"/>
        <v>13.67</v>
      </c>
      <c r="AQ295">
        <f t="shared" si="58"/>
        <v>31.48</v>
      </c>
      <c r="AR295" s="6">
        <f>ROUND((VLOOKUP($A295,EnrollData2324,'2324 Jun 24 Enroll'!D$1,FALSE)*Apport_M802425+VLOOKUP($A295,EnrollData2324,'2324 Jun 24 Enroll'!M$1,FALSE)*Apport_M802425+(VLOOKUP($A295,EnrollData2324,'2324 Jun 24 Enroll'!P$1,FALSE)+VLOOKUP($A295,EnrollData2324,'2324 Jun 24 Enroll'!Q$1,FALSE)+VLOOKUP($A295,EnrollData2324,'2324 Jun 24 Enroll'!R$1,FALSE)+VLOOKUP($A295,EnrollData2324,'2324 Jun 24 Enroll'!I$1,FALSE)+VLOOKUP($A295,EnrollData2324,'2324 Jun 24 Enroll'!N$1,FALSE)+VLOOKUP($A295,EnrollData2324,'2324 Jun 24 Enroll'!O$1,FALSE)+VLOOKUP($A295,EnrollData2324,'2324 Jun 24 Enroll'!K$1,FALSE)+VLOOKUP($A295,EnrollData2324,'2324 Jun 24 Enroll'!L$1,FALSE))*Apport_M812425)/(VLOOKUP($A295,EnrollData2324,'2324 Jun 24 Enroll'!M$1,FALSE)+VLOOKUP($A295,EnrollData2324,'2324 Jun 24 Enroll'!D$1,FALSE)),2)</f>
        <v>1594.07</v>
      </c>
      <c r="AS295" s="7">
        <f t="shared" si="59"/>
        <v>10370.050000000001</v>
      </c>
    </row>
    <row r="296" spans="1:45">
      <c r="A296" s="40" t="s">
        <v>540</v>
      </c>
      <c r="B296" s="40" t="s">
        <v>541</v>
      </c>
      <c r="C296" s="11">
        <f>ROUND((IFERROR((1/IF(VLOOKUP($A296,EnrollData2324,28,FALSE)='District Calculations'!$F$10,VLOOKUP($A296,EnrollData2324,28,FALSE),'District Calculations'!$F$10))*(1+Apport_Z315),0))+Apport_201A2425,6)</f>
        <v>7.4580999999999995E-2</v>
      </c>
      <c r="D296">
        <f>ROUND(IF(VLOOKUP($A296,EnrollData2324,'2324 Jun 24 Enroll'!D$1,FALSE)='District Calculations'!$F$11,VLOOKUP($A296,EnrollData2324,'2324 Jun 24 Enroll'!D$1,FALSE),'District Calculations'!$F$11)*C296,3)</f>
        <v>0</v>
      </c>
      <c r="E296">
        <f>ROUND(IF(VLOOKUP($A296,EnrollData2324,'2324 Jun 24 Enroll'!E$1,FALSE)='District Calculations'!$F$12,VLOOKUP($A296,EnrollData2324,'2324 Jun 24 Enroll'!E$1,FALSE),'District Calculations'!$F$12)*C296,3)</f>
        <v>60.447000000000003</v>
      </c>
      <c r="F296">
        <f>ROUND(IF(VLOOKUP($A296,EnrollData2324,'2324 Jun 24 Enroll'!F$1,FALSE)='District Calculations'!$F$13,VLOOKUP($A296,EnrollData2324,'2324 Jun 24 Enroll'!F$1,FALSE),'District Calculations'!$F$13)*Apport_222A2425,3)</f>
        <v>10.337999999999999</v>
      </c>
      <c r="G296">
        <f>ROUND(IF(VLOOKUP($A296,EnrollData2324,'2324 Jun 24 Enroll'!G$1,FALSE)='District Calculations'!$F$14,VLOOKUP($A296,EnrollData2324,'2324 Jun 24 Enroll'!G$1,FALSE),'District Calculations'!$F$14)*Apport_210A2425,3)</f>
        <v>22.92</v>
      </c>
      <c r="H296">
        <f>ROUND(IF(VLOOKUP($A296,EnrollData2324,'2324 Jun 24 Enroll'!H$1,FALSE)='District Calculations'!$F$15,VLOOKUP($A296,EnrollData2324,'2324 Jun 24 Enroll'!H$1,FALSE),'District Calculations'!$F$15)*Apport_213A2425,3)</f>
        <v>23.619</v>
      </c>
      <c r="I296">
        <f>ROUND(IF(VLOOKUP($A296,EnrollData2324,'2324 Jun 24 Enroll'!I$1,FALSE)+VLOOKUP($A296,EnrollData2324,'2324 Jun 24 Enroll'!M$1,FALSE)-VLOOKUP($A296,EnrollData2324,'2324 Jun 24 Enroll'!J$1,FALSE)='District Calculations'!$F$16+'District Calculations'!$F$25-'District Calculations'!$F$17,VLOOKUP($A296,EnrollData2324,'2324 Jun 24 Enroll'!I$1,FALSE)+VLOOKUP($A296,EnrollData2324,'2324 Jun 24 Enroll'!M$1,FALSE)-VLOOKUP($A296,EnrollData2324,'2324 Jun 24 Enroll'!J$1,FALSE),'District Calculations'!$F$16+'District Calculations'!$F$25-'District Calculations'!$F$17)*Apport_216A2425,3)</f>
        <v>59.057000000000002</v>
      </c>
      <c r="J296">
        <f>ROUND(SUM(D296:I296)/(IF(VLOOKUP($A296,EnrollData2324,'2324 Jun 24 Enroll'!M$1,FALSE)='District Calculations'!$F$25,VLOOKUP($A296,EnrollData2324,'2324 Jun 24 Enroll'!M$1,FALSE),'District Calculations'!$F$25)+IF(VLOOKUP($A296,EnrollData2324,'2324 Jun 24 Enroll'!D$1,FALSE)='District Calculations'!$F$11,VLOOKUP($A296,EnrollData2324,'2324 Jun 24 Enroll'!D$1,FALSE),'District Calculations'!$F$11)),5)</f>
        <v>5.6520000000000001E-2</v>
      </c>
      <c r="K296" s="11">
        <f t="shared" si="60"/>
        <v>4.385E-3</v>
      </c>
      <c r="L296">
        <f>ROUND(IF(VLOOKUP($A296,EnrollData2324,'2324 Jun 24 Enroll'!D$1,FALSE)='District Calculations'!$F$11,VLOOKUP($A296,EnrollData2324,'2324 Jun 24 Enroll'!D$1,FALSE),'District Calculations'!$F$11)*K296,3)</f>
        <v>0</v>
      </c>
      <c r="M296">
        <f>ROUND(IF(VLOOKUP($A296,EnrollData2324,'2324 Jun 24 Enroll'!E$1,FALSE)='District Calculations'!$F$12,VLOOKUP($A296,EnrollData2324,'2324 Jun 24 Enroll'!E$1,FALSE),'District Calculations'!$F$12)*K296,3)</f>
        <v>3.5539999999999998</v>
      </c>
      <c r="N296">
        <f>ROUND(IF(VLOOKUP($A296,EnrollData2324,'2324 Jun 24 Enroll'!F$1,FALSE)='District Calculations'!$F$13,VLOOKUP($A296,EnrollData2324,'2324 Jun 24 Enroll'!F$1,FALSE),'District Calculations'!$F$13)*Apport_223A2425,3)</f>
        <v>0.84599999999999997</v>
      </c>
      <c r="O296">
        <f>ROUND(IF(VLOOKUP($A296,EnrollData2324,'2324 Jun 24 Enroll'!G$1,FALSE)='District Calculations'!$F$14,VLOOKUP($A296,EnrollData2324,'2324 Jun 24 Enroll'!G$1,FALSE),'District Calculations'!$F$14)*Apport_211A2425,3)</f>
        <v>1.877</v>
      </c>
      <c r="P296">
        <f>ROUND(IF(VLOOKUP($A296,EnrollData2324,'2324 Jun 24 Enroll'!H$1,FALSE)='District Calculations'!$F$14,VLOOKUP($A296,EnrollData2324,'2324 Jun 24 Enroll'!H$1,FALSE),'District Calculations'!$F$14)*Apport_214A2425,3)</f>
        <v>1.875</v>
      </c>
      <c r="Q296">
        <f>ROUND(IF(VLOOKUP($A296,EnrollData2324,'2324 Jun 24 Enroll'!I$1,FALSE)+VLOOKUP($A296,EnrollData2324,'2324 Jun 24 Enroll'!M$1,FALSE)-VLOOKUP($A296,EnrollData2324,'2324 Jun 24 Enroll'!J$1,FALSE)='District Calculations'!$F$16+'District Calculations'!$F$25-'District Calculations'!$F$17,VLOOKUP($A296,EnrollData2324,'2324 Jun 24 Enroll'!I$1,FALSE)+VLOOKUP($A296,EnrollData2324,'2324 Jun 24 Enroll'!M$1,FALSE)-VLOOKUP($A296,EnrollData2324,'2324 Jun 24 Enroll'!J$1,FALSE),'District Calculations'!$F$16+'District Calculations'!$F$25-'District Calculations'!$F$17)*Apport_217A2425,3)</f>
        <v>4.7130000000000001</v>
      </c>
      <c r="R296">
        <f>ROUND(SUM(L296:Q296)/IF(VLOOKUP($A296,EnrollData2324,'2324 Jun 24 Enroll'!M$1,FALSE)+VLOOKUP($A296,EnrollData2324,'2324 Jun 24 Enroll'!D$1,FALSE)='District Calculations'!$F$25+'District Calculations'!$F$11,VLOOKUP($A296,EnrollData2324,'2324 Jun 24 Enroll'!M$1,FALSE)+VLOOKUP($A296,EnrollData2324,'2324 Jun 24 Enroll'!D$1,FALSE),'District Calculations'!$F$25+'District Calculations'!$F$11),5)</f>
        <v>4.1200000000000004E-3</v>
      </c>
      <c r="S296" s="11">
        <f t="shared" si="61"/>
        <v>1.8734299999999999E-2</v>
      </c>
      <c r="T296">
        <f>ROUND(IF(VLOOKUP($A296,EnrollData2324,'2324 Jun 24 Enroll'!D$1,FALSE)='District Calculations'!$F$11,VLOOKUP($A296,EnrollData2324,'2324 Jun 24 Enroll'!D$1,FALSE),'District Calculations'!$F$11)*S296,3)</f>
        <v>0</v>
      </c>
      <c r="U296">
        <f>ROUND(IF(VLOOKUP($A296,EnrollData2324,'2324 Jun 24 Enroll'!E$1,FALSE)='District Calculations'!$F$12,VLOOKUP($A296,EnrollData2324,'2324 Jun 24 Enroll'!E$1,FALSE),'District Calculations'!$F$12)*S296,3)</f>
        <v>15.183999999999999</v>
      </c>
      <c r="V296">
        <f>ROUND(IF(VLOOKUP($A296,EnrollData2324,'2324 Jun 24 Enroll'!F$1,FALSE)='District Calculations'!$F$13,VLOOKUP($A296,EnrollData2324,'2324 Jun 24 Enroll'!F$1,FALSE),'District Calculations'!$F$13)*Apport_224A2425,3)</f>
        <v>3.7109999999999999</v>
      </c>
      <c r="W296">
        <f>ROUND(IF(VLOOKUP($A296,EnrollData2324,'2324 Jun 24 Enroll'!G$1,FALSE)='District Calculations'!$F$14,VLOOKUP($A296,EnrollData2324,'2324 Jun 24 Enroll'!G$1,FALSE),'District Calculations'!$F$14)*Apport_212A2425,3)</f>
        <v>8.2279999999999998</v>
      </c>
      <c r="X296">
        <f>ROUND(IF(VLOOKUP($A296,EnrollData2324,'2324 Jun 24 Enroll'!H$1,FALSE)='District Calculations'!$F$14,VLOOKUP($A296,EnrollData2324,'2324 Jun 24 Enroll'!H$1,FALSE),'District Calculations'!$F$14)*Apport_215A2425,3)</f>
        <v>8.1180000000000003</v>
      </c>
      <c r="Y296">
        <f>ROUND(IF(VLOOKUP($A296,EnrollData2324,'2324 Jun 24 Enroll'!I$1,FALSE)+VLOOKUP($A296,EnrollData2324,'2324 Jun 24 Enroll'!M$1,FALSE)-VLOOKUP($A296,EnrollData2324,'2324 Jun 24 Enroll'!J$1,FALSE)='District Calculations'!$F$16+'District Calculations'!$F$25-'District Calculations'!$F$17,VLOOKUP($A296,EnrollData2324,'2324 Jun 24 Enroll'!I$1,FALSE)+VLOOKUP($A296,EnrollData2324,'2324 Jun 24 Enroll'!M$1,FALSE)-VLOOKUP($A296,EnrollData2324,'2324 Jun 24 Enroll'!J$1,FALSE),'District Calculations'!$F$16+'District Calculations'!$F$25-'District Calculations'!$F$17)*Apport_218A2425,3)</f>
        <v>20.257999999999999</v>
      </c>
      <c r="Z296">
        <f>ROUND(SUM(T296:Y296)/IF(VLOOKUP($A296,EnrollData2324,'2324 Jun 24 Enroll'!M$1,FALSE)+VLOOKUP($A296,EnrollData2324,'2324 Jun 24 Enroll'!D$1,FALSE)='District Calculations'!$F$25+'District Calculations'!$F$11,VLOOKUP($A296,EnrollData2324,'2324 Jun 24 Enroll'!M$1,FALSE)+VLOOKUP($A296,EnrollData2324,'2324 Jun 24 Enroll'!D$1,FALSE),'District Calculations'!$F$25+'District Calculations'!$F$11),5)</f>
        <v>1.7780000000000001E-2</v>
      </c>
      <c r="AA296" s="6">
        <f>ROUND($J296*CIS_Base_Salary2425*VLOOKUP($A296,EnrollData2324,'2324 Jun 24 Enroll'!AH$1,FALSE),2)</f>
        <v>4262.68</v>
      </c>
      <c r="AB296" s="6">
        <f>ROUND($J296*CIS_Inc_Salary2425*(VLOOKUP($A296,EnrollData2324,'2324 Jun 24 Enroll'!AI$1,FALSE)+VLOOKUP($A296,EnrollData2324,'2324 Jun 24 Enroll'!AJ$1,FALSE)),2)-AA296</f>
        <v>201.89999999999964</v>
      </c>
      <c r="AC296" s="6" cm="1">
        <f t="array" ref="AC296">ROUND($R296*CAS_Base_Salary2425*VLOOKUP($A296,EnrollData2324,'2324 Jun 24 Enroll'!AH$1,FALSE),2)</f>
        <v>461.23</v>
      </c>
      <c r="AD296" s="6">
        <f>ROUND($R296*CAS_Inc_Salary2425*VLOOKUP($A296,EnrollData2324,'2324 Jun 24 Enroll'!AI$1,FALSE),2)-AC296</f>
        <v>17.069999999999993</v>
      </c>
      <c r="AE296" s="6">
        <f>ROUND($Z296*CLS_Base_Salary2425*VLOOKUP($A296,EnrollData2324,'2324 Jun 24 Enroll'!AH$1,FALSE),2)</f>
        <v>961.95</v>
      </c>
      <c r="AF296" s="6">
        <f>ROUND($Z296*CLS_Inc_Salary2425*VLOOKUP($A296,EnrollData2324,'2324 Jun 24 Enroll'!AI$1,FALSE),2)-AE296</f>
        <v>35.599999999999909</v>
      </c>
      <c r="AG296" cm="1">
        <f t="array" ref="AG296">ROUND(($J296+$R296)*Apport_124X2425,2)</f>
        <v>800.45</v>
      </c>
      <c r="AH296" s="69" cm="1">
        <f t="array" ref="AH296">ROUND(($J296+$R296)*Apport_621X2425*Apport_125XC2425,2)-AG296</f>
        <v>73.899999999999977</v>
      </c>
      <c r="AI296" cm="1">
        <f t="array" ref="AI296">ROUND($Z296*Apport_124X2425,2)</f>
        <v>234.7</v>
      </c>
      <c r="AJ296">
        <f t="shared" si="62"/>
        <v>124.71000000000004</v>
      </c>
      <c r="AK296">
        <f t="shared" si="63"/>
        <v>857.39</v>
      </c>
      <c r="AL296">
        <f t="shared" si="64"/>
        <v>38.340000000000003</v>
      </c>
      <c r="AM296">
        <f t="shared" si="65"/>
        <v>208.36</v>
      </c>
      <c r="AN296">
        <f t="shared" si="66"/>
        <v>6.46</v>
      </c>
      <c r="AO296">
        <f>ROUND(($J296*CIS_Inc_Salary2425*(VLOOKUP($A296,EnrollData2324,'2324 Jun 24 Enroll'!AI$1,FALSE)+VLOOKUP($A296,EnrollData2324,'2324 Jun 24 Enroll'!AJ$1,FALSE))/Apport_613Xpd)*Apport_614Xpd,2)</f>
        <v>74.41</v>
      </c>
      <c r="AP296">
        <f t="shared" si="67"/>
        <v>13.03</v>
      </c>
      <c r="AQ296">
        <f t="shared" si="58"/>
        <v>31.48</v>
      </c>
      <c r="AR296" s="6">
        <f>ROUND((VLOOKUP($A296,EnrollData2324,'2324 Jun 24 Enroll'!D$1,FALSE)*Apport_M802425+VLOOKUP($A296,EnrollData2324,'2324 Jun 24 Enroll'!M$1,FALSE)*Apport_M802425+(VLOOKUP($A296,EnrollData2324,'2324 Jun 24 Enroll'!P$1,FALSE)+VLOOKUP($A296,EnrollData2324,'2324 Jun 24 Enroll'!Q$1,FALSE)+VLOOKUP($A296,EnrollData2324,'2324 Jun 24 Enroll'!R$1,FALSE)+VLOOKUP($A296,EnrollData2324,'2324 Jun 24 Enroll'!I$1,FALSE)+VLOOKUP($A296,EnrollData2324,'2324 Jun 24 Enroll'!N$1,FALSE)+VLOOKUP($A296,EnrollData2324,'2324 Jun 24 Enroll'!O$1,FALSE)+VLOOKUP($A296,EnrollData2324,'2324 Jun 24 Enroll'!K$1,FALSE)+VLOOKUP($A296,EnrollData2324,'2324 Jun 24 Enroll'!L$1,FALSE))*Apport_M812425)/(VLOOKUP($A296,EnrollData2324,'2324 Jun 24 Enroll'!M$1,FALSE)+VLOOKUP($A296,EnrollData2324,'2324 Jun 24 Enroll'!D$1,FALSE)),2)</f>
        <v>1610.09</v>
      </c>
      <c r="AS296" s="7">
        <f t="shared" si="59"/>
        <v>10013.749999999998</v>
      </c>
    </row>
    <row r="297" spans="1:45">
      <c r="A297" s="40" t="s">
        <v>552</v>
      </c>
      <c r="B297" s="40" t="s">
        <v>553</v>
      </c>
      <c r="C297" s="11">
        <f>ROUND((IFERROR((1/IF(VLOOKUP($A297,EnrollData2324,28,FALSE)='District Calculations'!$F$10,VLOOKUP($A297,EnrollData2324,28,FALSE),'District Calculations'!$F$10))*(1+Apport_Z315),0))+Apport_201A2425,6)</f>
        <v>7.4580999999999995E-2</v>
      </c>
      <c r="D297">
        <f>ROUND(IF(VLOOKUP($A297,EnrollData2324,'2324 Jun 24 Enroll'!D$1,FALSE)='District Calculations'!$F$11,VLOOKUP($A297,EnrollData2324,'2324 Jun 24 Enroll'!D$1,FALSE),'District Calculations'!$F$11)*C297,3)</f>
        <v>0</v>
      </c>
      <c r="E297">
        <f>ROUND(IF(VLOOKUP($A297,EnrollData2324,'2324 Jun 24 Enroll'!E$1,FALSE)='District Calculations'!$F$12,VLOOKUP($A297,EnrollData2324,'2324 Jun 24 Enroll'!E$1,FALSE),'District Calculations'!$F$12)*C297,3)</f>
        <v>60.447000000000003</v>
      </c>
      <c r="F297">
        <f>ROUND(IF(VLOOKUP($A297,EnrollData2324,'2324 Jun 24 Enroll'!F$1,FALSE)='District Calculations'!$F$13,VLOOKUP($A297,EnrollData2324,'2324 Jun 24 Enroll'!F$1,FALSE),'District Calculations'!$F$13)*Apport_222A2425,3)</f>
        <v>10.337999999999999</v>
      </c>
      <c r="G297">
        <f>ROUND(IF(VLOOKUP($A297,EnrollData2324,'2324 Jun 24 Enroll'!G$1,FALSE)='District Calculations'!$F$14,VLOOKUP($A297,EnrollData2324,'2324 Jun 24 Enroll'!G$1,FALSE),'District Calculations'!$F$14)*Apport_210A2425,3)</f>
        <v>22.92</v>
      </c>
      <c r="H297">
        <f>ROUND(IF(VLOOKUP($A297,EnrollData2324,'2324 Jun 24 Enroll'!H$1,FALSE)='District Calculations'!$F$15,VLOOKUP($A297,EnrollData2324,'2324 Jun 24 Enroll'!H$1,FALSE),'District Calculations'!$F$15)*Apport_213A2425,3)</f>
        <v>23.619</v>
      </c>
      <c r="I297">
        <f>ROUND(IF(VLOOKUP($A297,EnrollData2324,'2324 Jun 24 Enroll'!I$1,FALSE)+VLOOKUP($A297,EnrollData2324,'2324 Jun 24 Enroll'!M$1,FALSE)-VLOOKUP($A297,EnrollData2324,'2324 Jun 24 Enroll'!J$1,FALSE)='District Calculations'!$F$16+'District Calculations'!$F$25-'District Calculations'!$F$17,VLOOKUP($A297,EnrollData2324,'2324 Jun 24 Enroll'!I$1,FALSE)+VLOOKUP($A297,EnrollData2324,'2324 Jun 24 Enroll'!M$1,FALSE)-VLOOKUP($A297,EnrollData2324,'2324 Jun 24 Enroll'!J$1,FALSE),'District Calculations'!$F$16+'District Calculations'!$F$25-'District Calculations'!$F$17)*Apport_216A2425,3)</f>
        <v>59.057000000000002</v>
      </c>
      <c r="J297">
        <f>ROUND(SUM(D297:I297)/(IF(VLOOKUP($A297,EnrollData2324,'2324 Jun 24 Enroll'!M$1,FALSE)='District Calculations'!$F$25,VLOOKUP($A297,EnrollData2324,'2324 Jun 24 Enroll'!M$1,FALSE),'District Calculations'!$F$25)+IF(VLOOKUP($A297,EnrollData2324,'2324 Jun 24 Enroll'!D$1,FALSE)='District Calculations'!$F$11,VLOOKUP($A297,EnrollData2324,'2324 Jun 24 Enroll'!D$1,FALSE),'District Calculations'!$F$11)),5)</f>
        <v>5.6520000000000001E-2</v>
      </c>
      <c r="K297" s="11">
        <f t="shared" si="60"/>
        <v>4.385E-3</v>
      </c>
      <c r="L297">
        <f>ROUND(IF(VLOOKUP($A297,EnrollData2324,'2324 Jun 24 Enroll'!D$1,FALSE)='District Calculations'!$F$11,VLOOKUP($A297,EnrollData2324,'2324 Jun 24 Enroll'!D$1,FALSE),'District Calculations'!$F$11)*K297,3)</f>
        <v>0</v>
      </c>
      <c r="M297">
        <f>ROUND(IF(VLOOKUP($A297,EnrollData2324,'2324 Jun 24 Enroll'!E$1,FALSE)='District Calculations'!$F$12,VLOOKUP($A297,EnrollData2324,'2324 Jun 24 Enroll'!E$1,FALSE),'District Calculations'!$F$12)*K297,3)</f>
        <v>3.5539999999999998</v>
      </c>
      <c r="N297">
        <f>ROUND(IF(VLOOKUP($A297,EnrollData2324,'2324 Jun 24 Enroll'!F$1,FALSE)='District Calculations'!$F$13,VLOOKUP($A297,EnrollData2324,'2324 Jun 24 Enroll'!F$1,FALSE),'District Calculations'!$F$13)*Apport_223A2425,3)</f>
        <v>0.84599999999999997</v>
      </c>
      <c r="O297">
        <f>ROUND(IF(VLOOKUP($A297,EnrollData2324,'2324 Jun 24 Enroll'!G$1,FALSE)='District Calculations'!$F$14,VLOOKUP($A297,EnrollData2324,'2324 Jun 24 Enroll'!G$1,FALSE),'District Calculations'!$F$14)*Apport_211A2425,3)</f>
        <v>1.877</v>
      </c>
      <c r="P297">
        <f>ROUND(IF(VLOOKUP($A297,EnrollData2324,'2324 Jun 24 Enroll'!H$1,FALSE)='District Calculations'!$F$14,VLOOKUP($A297,EnrollData2324,'2324 Jun 24 Enroll'!H$1,FALSE),'District Calculations'!$F$14)*Apport_214A2425,3)</f>
        <v>1.875</v>
      </c>
      <c r="Q297">
        <f>ROUND(IF(VLOOKUP($A297,EnrollData2324,'2324 Jun 24 Enroll'!I$1,FALSE)+VLOOKUP($A297,EnrollData2324,'2324 Jun 24 Enroll'!M$1,FALSE)-VLOOKUP($A297,EnrollData2324,'2324 Jun 24 Enroll'!J$1,FALSE)='District Calculations'!$F$16+'District Calculations'!$F$25-'District Calculations'!$F$17,VLOOKUP($A297,EnrollData2324,'2324 Jun 24 Enroll'!I$1,FALSE)+VLOOKUP($A297,EnrollData2324,'2324 Jun 24 Enroll'!M$1,FALSE)-VLOOKUP($A297,EnrollData2324,'2324 Jun 24 Enroll'!J$1,FALSE),'District Calculations'!$F$16+'District Calculations'!$F$25-'District Calculations'!$F$17)*Apport_217A2425,3)</f>
        <v>4.7130000000000001</v>
      </c>
      <c r="R297">
        <f>ROUND(SUM(L297:Q297)/IF(VLOOKUP($A297,EnrollData2324,'2324 Jun 24 Enroll'!M$1,FALSE)+VLOOKUP($A297,EnrollData2324,'2324 Jun 24 Enroll'!D$1,FALSE)='District Calculations'!$F$25+'District Calculations'!$F$11,VLOOKUP($A297,EnrollData2324,'2324 Jun 24 Enroll'!M$1,FALSE)+VLOOKUP($A297,EnrollData2324,'2324 Jun 24 Enroll'!D$1,FALSE),'District Calculations'!$F$25+'District Calculations'!$F$11),5)</f>
        <v>4.1200000000000004E-3</v>
      </c>
      <c r="S297" s="11">
        <f t="shared" si="61"/>
        <v>1.8734299999999999E-2</v>
      </c>
      <c r="T297">
        <f>ROUND(IF(VLOOKUP($A297,EnrollData2324,'2324 Jun 24 Enroll'!D$1,FALSE)='District Calculations'!$F$11,VLOOKUP($A297,EnrollData2324,'2324 Jun 24 Enroll'!D$1,FALSE),'District Calculations'!$F$11)*S297,3)</f>
        <v>0</v>
      </c>
      <c r="U297">
        <f>ROUND(IF(VLOOKUP($A297,EnrollData2324,'2324 Jun 24 Enroll'!E$1,FALSE)='District Calculations'!$F$12,VLOOKUP($A297,EnrollData2324,'2324 Jun 24 Enroll'!E$1,FALSE),'District Calculations'!$F$12)*S297,3)</f>
        <v>15.183999999999999</v>
      </c>
      <c r="V297">
        <f>ROUND(IF(VLOOKUP($A297,EnrollData2324,'2324 Jun 24 Enroll'!F$1,FALSE)='District Calculations'!$F$13,VLOOKUP($A297,EnrollData2324,'2324 Jun 24 Enroll'!F$1,FALSE),'District Calculations'!$F$13)*Apport_224A2425,3)</f>
        <v>3.7109999999999999</v>
      </c>
      <c r="W297">
        <f>ROUND(IF(VLOOKUP($A297,EnrollData2324,'2324 Jun 24 Enroll'!G$1,FALSE)='District Calculations'!$F$14,VLOOKUP($A297,EnrollData2324,'2324 Jun 24 Enroll'!G$1,FALSE),'District Calculations'!$F$14)*Apport_212A2425,3)</f>
        <v>8.2279999999999998</v>
      </c>
      <c r="X297">
        <f>ROUND(IF(VLOOKUP($A297,EnrollData2324,'2324 Jun 24 Enroll'!H$1,FALSE)='District Calculations'!$F$14,VLOOKUP($A297,EnrollData2324,'2324 Jun 24 Enroll'!H$1,FALSE),'District Calculations'!$F$14)*Apport_215A2425,3)</f>
        <v>8.1180000000000003</v>
      </c>
      <c r="Y297">
        <f>ROUND(IF(VLOOKUP($A297,EnrollData2324,'2324 Jun 24 Enroll'!I$1,FALSE)+VLOOKUP($A297,EnrollData2324,'2324 Jun 24 Enroll'!M$1,FALSE)-VLOOKUP($A297,EnrollData2324,'2324 Jun 24 Enroll'!J$1,FALSE)='District Calculations'!$F$16+'District Calculations'!$F$25-'District Calculations'!$F$17,VLOOKUP($A297,EnrollData2324,'2324 Jun 24 Enroll'!I$1,FALSE)+VLOOKUP($A297,EnrollData2324,'2324 Jun 24 Enroll'!M$1,FALSE)-VLOOKUP($A297,EnrollData2324,'2324 Jun 24 Enroll'!J$1,FALSE),'District Calculations'!$F$16+'District Calculations'!$F$25-'District Calculations'!$F$17)*Apport_218A2425,3)</f>
        <v>20.257999999999999</v>
      </c>
      <c r="Z297">
        <f>ROUND(SUM(T297:Y297)/IF(VLOOKUP($A297,EnrollData2324,'2324 Jun 24 Enroll'!M$1,FALSE)+VLOOKUP($A297,EnrollData2324,'2324 Jun 24 Enroll'!D$1,FALSE)='District Calculations'!$F$25+'District Calculations'!$F$11,VLOOKUP($A297,EnrollData2324,'2324 Jun 24 Enroll'!M$1,FALSE)+VLOOKUP($A297,EnrollData2324,'2324 Jun 24 Enroll'!D$1,FALSE),'District Calculations'!$F$25+'District Calculations'!$F$11),5)</f>
        <v>1.7780000000000001E-2</v>
      </c>
      <c r="AA297" s="6">
        <f>ROUND($J297*CIS_Base_Salary2425*VLOOKUP($A297,EnrollData2324,'2324 Jun 24 Enroll'!AH$1,FALSE),2)</f>
        <v>4262.68</v>
      </c>
      <c r="AB297" s="6">
        <f>ROUND($J297*CIS_Inc_Salary2425*(VLOOKUP($A297,EnrollData2324,'2324 Jun 24 Enroll'!AI$1,FALSE)+VLOOKUP($A297,EnrollData2324,'2324 Jun 24 Enroll'!AJ$1,FALSE)),2)-AA297</f>
        <v>157.6899999999996</v>
      </c>
      <c r="AC297" s="6" cm="1">
        <f t="array" ref="AC297">ROUND($R297*CAS_Base_Salary2425*VLOOKUP($A297,EnrollData2324,'2324 Jun 24 Enroll'!AH$1,FALSE),2)</f>
        <v>461.23</v>
      </c>
      <c r="AD297" s="6">
        <f>ROUND($R297*CAS_Inc_Salary2425*VLOOKUP($A297,EnrollData2324,'2324 Jun 24 Enroll'!AI$1,FALSE),2)-AC297</f>
        <v>17.069999999999993</v>
      </c>
      <c r="AE297" s="6">
        <f>ROUND($Z297*CLS_Base_Salary2425*VLOOKUP($A297,EnrollData2324,'2324 Jun 24 Enroll'!AH$1,FALSE),2)</f>
        <v>961.95</v>
      </c>
      <c r="AF297" s="6">
        <f>ROUND($Z297*CLS_Inc_Salary2425*VLOOKUP($A297,EnrollData2324,'2324 Jun 24 Enroll'!AI$1,FALSE),2)-AE297</f>
        <v>35.599999999999909</v>
      </c>
      <c r="AG297" cm="1">
        <f t="array" ref="AG297">ROUND(($J297+$R297)*Apport_124X2425,2)</f>
        <v>800.45</v>
      </c>
      <c r="AH297" s="69" cm="1">
        <f t="array" ref="AH297">ROUND(($J297+$R297)*Apport_621X2425*Apport_125XC2425,2)-AG297</f>
        <v>73.899999999999977</v>
      </c>
      <c r="AI297" cm="1">
        <f t="array" ref="AI297">ROUND($Z297*Apport_124X2425,2)</f>
        <v>234.7</v>
      </c>
      <c r="AJ297">
        <f t="shared" si="62"/>
        <v>124.71000000000004</v>
      </c>
      <c r="AK297">
        <f t="shared" si="63"/>
        <v>857.39</v>
      </c>
      <c r="AL297">
        <f t="shared" si="64"/>
        <v>30.6</v>
      </c>
      <c r="AM297">
        <f t="shared" si="65"/>
        <v>208.36</v>
      </c>
      <c r="AN297">
        <f t="shared" si="66"/>
        <v>6.46</v>
      </c>
      <c r="AO297">
        <f>ROUND(($J297*CIS_Inc_Salary2425*(VLOOKUP($A297,EnrollData2324,'2324 Jun 24 Enroll'!AI$1,FALSE)+VLOOKUP($A297,EnrollData2324,'2324 Jun 24 Enroll'!AJ$1,FALSE))/Apport_613Xpd)*Apport_614Xpd,2)</f>
        <v>73.67</v>
      </c>
      <c r="AP297">
        <f t="shared" si="67"/>
        <v>12.9</v>
      </c>
      <c r="AQ297">
        <f t="shared" si="58"/>
        <v>31.48</v>
      </c>
      <c r="AR297" s="6">
        <f>ROUND((VLOOKUP($A297,EnrollData2324,'2324 Jun 24 Enroll'!D$1,FALSE)*Apport_M802425+VLOOKUP($A297,EnrollData2324,'2324 Jun 24 Enroll'!M$1,FALSE)*Apport_M802425+(VLOOKUP($A297,EnrollData2324,'2324 Jun 24 Enroll'!P$1,FALSE)+VLOOKUP($A297,EnrollData2324,'2324 Jun 24 Enroll'!Q$1,FALSE)+VLOOKUP($A297,EnrollData2324,'2324 Jun 24 Enroll'!R$1,FALSE)+VLOOKUP($A297,EnrollData2324,'2324 Jun 24 Enroll'!I$1,FALSE)+VLOOKUP($A297,EnrollData2324,'2324 Jun 24 Enroll'!N$1,FALSE)+VLOOKUP($A297,EnrollData2324,'2324 Jun 24 Enroll'!O$1,FALSE)+VLOOKUP($A297,EnrollData2324,'2324 Jun 24 Enroll'!K$1,FALSE)+VLOOKUP($A297,EnrollData2324,'2324 Jun 24 Enroll'!L$1,FALSE))*Apport_M812425)/(VLOOKUP($A297,EnrollData2324,'2324 Jun 24 Enroll'!M$1,FALSE)+VLOOKUP($A297,EnrollData2324,'2324 Jun 24 Enroll'!D$1,FALSE)),2)</f>
        <v>1533.02</v>
      </c>
      <c r="AS297" s="7">
        <f t="shared" si="59"/>
        <v>9883.8599999999988</v>
      </c>
    </row>
    <row r="298" spans="1:45">
      <c r="A298" s="40" t="s">
        <v>815</v>
      </c>
      <c r="B298" s="40" t="s">
        <v>816</v>
      </c>
      <c r="C298" s="11">
        <f>ROUND((IFERROR((1/IF(VLOOKUP($A298,EnrollData2324,28,FALSE)='District Calculations'!$F$10,VLOOKUP($A298,EnrollData2324,28,FALSE),'District Calculations'!$F$10))*(1+Apport_Z315),0))+Apport_201A2425,6)</f>
        <v>7.4580999999999995E-2</v>
      </c>
      <c r="D298">
        <f>ROUND(IF(VLOOKUP($A298,EnrollData2324,'2324 Jun 24 Enroll'!D$1,FALSE)='District Calculations'!$F$11,VLOOKUP($A298,EnrollData2324,'2324 Jun 24 Enroll'!D$1,FALSE),'District Calculations'!$F$11)*C298,3)</f>
        <v>0</v>
      </c>
      <c r="E298">
        <f>ROUND(IF(VLOOKUP($A298,EnrollData2324,'2324 Jun 24 Enroll'!E$1,FALSE)='District Calculations'!$F$12,VLOOKUP($A298,EnrollData2324,'2324 Jun 24 Enroll'!E$1,FALSE),'District Calculations'!$F$12)*C298,3)</f>
        <v>60.447000000000003</v>
      </c>
      <c r="F298">
        <f>ROUND(IF(VLOOKUP($A298,EnrollData2324,'2324 Jun 24 Enroll'!F$1,FALSE)='District Calculations'!$F$13,VLOOKUP($A298,EnrollData2324,'2324 Jun 24 Enroll'!F$1,FALSE),'District Calculations'!$F$13)*Apport_222A2425,3)</f>
        <v>10.337999999999999</v>
      </c>
      <c r="G298">
        <f>ROUND(IF(VLOOKUP($A298,EnrollData2324,'2324 Jun 24 Enroll'!G$1,FALSE)='District Calculations'!$F$14,VLOOKUP($A298,EnrollData2324,'2324 Jun 24 Enroll'!G$1,FALSE),'District Calculations'!$F$14)*Apport_210A2425,3)</f>
        <v>22.92</v>
      </c>
      <c r="H298">
        <f>ROUND(IF(VLOOKUP($A298,EnrollData2324,'2324 Jun 24 Enroll'!H$1,FALSE)='District Calculations'!$F$15,VLOOKUP($A298,EnrollData2324,'2324 Jun 24 Enroll'!H$1,FALSE),'District Calculations'!$F$15)*Apport_213A2425,3)</f>
        <v>23.619</v>
      </c>
      <c r="I298">
        <f>ROUND(IF(VLOOKUP($A298,EnrollData2324,'2324 Jun 24 Enroll'!I$1,FALSE)+VLOOKUP($A298,EnrollData2324,'2324 Jun 24 Enroll'!M$1,FALSE)-VLOOKUP($A298,EnrollData2324,'2324 Jun 24 Enroll'!J$1,FALSE)='District Calculations'!$F$16+'District Calculations'!$F$25-'District Calculations'!$F$17,VLOOKUP($A298,EnrollData2324,'2324 Jun 24 Enroll'!I$1,FALSE)+VLOOKUP($A298,EnrollData2324,'2324 Jun 24 Enroll'!M$1,FALSE)-VLOOKUP($A298,EnrollData2324,'2324 Jun 24 Enroll'!J$1,FALSE),'District Calculations'!$F$16+'District Calculations'!$F$25-'District Calculations'!$F$17)*Apport_216A2425,3)</f>
        <v>59.057000000000002</v>
      </c>
      <c r="J298">
        <f>ROUND(SUM(D298:I298)/(IF(VLOOKUP($A298,EnrollData2324,'2324 Jun 24 Enroll'!M$1,FALSE)='District Calculations'!$F$25,VLOOKUP($A298,EnrollData2324,'2324 Jun 24 Enroll'!M$1,FALSE),'District Calculations'!$F$25)+IF(VLOOKUP($A298,EnrollData2324,'2324 Jun 24 Enroll'!D$1,FALSE)='District Calculations'!$F$11,VLOOKUP($A298,EnrollData2324,'2324 Jun 24 Enroll'!D$1,FALSE),'District Calculations'!$F$11)),5)</f>
        <v>5.6520000000000001E-2</v>
      </c>
      <c r="K298" s="11">
        <f t="shared" si="60"/>
        <v>4.385E-3</v>
      </c>
      <c r="L298">
        <f>ROUND(IF(VLOOKUP($A298,EnrollData2324,'2324 Jun 24 Enroll'!D$1,FALSE)='District Calculations'!$F$11,VLOOKUP($A298,EnrollData2324,'2324 Jun 24 Enroll'!D$1,FALSE),'District Calculations'!$F$11)*K298,3)</f>
        <v>0</v>
      </c>
      <c r="M298">
        <f>ROUND(IF(VLOOKUP($A298,EnrollData2324,'2324 Jun 24 Enroll'!E$1,FALSE)='District Calculations'!$F$12,VLOOKUP($A298,EnrollData2324,'2324 Jun 24 Enroll'!E$1,FALSE),'District Calculations'!$F$12)*K298,3)</f>
        <v>3.5539999999999998</v>
      </c>
      <c r="N298">
        <f>ROUND(IF(VLOOKUP($A298,EnrollData2324,'2324 Jun 24 Enroll'!F$1,FALSE)='District Calculations'!$F$13,VLOOKUP($A298,EnrollData2324,'2324 Jun 24 Enroll'!F$1,FALSE),'District Calculations'!$F$13)*Apport_223A2425,3)</f>
        <v>0.84599999999999997</v>
      </c>
      <c r="O298">
        <f>ROUND(IF(VLOOKUP($A298,EnrollData2324,'2324 Jun 24 Enroll'!G$1,FALSE)='District Calculations'!$F$14,VLOOKUP($A298,EnrollData2324,'2324 Jun 24 Enroll'!G$1,FALSE),'District Calculations'!$F$14)*Apport_211A2425,3)</f>
        <v>1.877</v>
      </c>
      <c r="P298">
        <f>ROUND(IF(VLOOKUP($A298,EnrollData2324,'2324 Jun 24 Enroll'!H$1,FALSE)='District Calculations'!$F$14,VLOOKUP($A298,EnrollData2324,'2324 Jun 24 Enroll'!H$1,FALSE),'District Calculations'!$F$14)*Apport_214A2425,3)</f>
        <v>1.875</v>
      </c>
      <c r="Q298">
        <f>ROUND(IF(VLOOKUP($A298,EnrollData2324,'2324 Jun 24 Enroll'!I$1,FALSE)+VLOOKUP($A298,EnrollData2324,'2324 Jun 24 Enroll'!M$1,FALSE)-VLOOKUP($A298,EnrollData2324,'2324 Jun 24 Enroll'!J$1,FALSE)='District Calculations'!$F$16+'District Calculations'!$F$25-'District Calculations'!$F$17,VLOOKUP($A298,EnrollData2324,'2324 Jun 24 Enroll'!I$1,FALSE)+VLOOKUP($A298,EnrollData2324,'2324 Jun 24 Enroll'!M$1,FALSE)-VLOOKUP($A298,EnrollData2324,'2324 Jun 24 Enroll'!J$1,FALSE),'District Calculations'!$F$16+'District Calculations'!$F$25-'District Calculations'!$F$17)*Apport_217A2425,3)</f>
        <v>4.7130000000000001</v>
      </c>
      <c r="R298">
        <f>ROUND(SUM(L298:Q298)/IF(VLOOKUP($A298,EnrollData2324,'2324 Jun 24 Enroll'!M$1,FALSE)+VLOOKUP($A298,EnrollData2324,'2324 Jun 24 Enroll'!D$1,FALSE)='District Calculations'!$F$25+'District Calculations'!$F$11,VLOOKUP($A298,EnrollData2324,'2324 Jun 24 Enroll'!M$1,FALSE)+VLOOKUP($A298,EnrollData2324,'2324 Jun 24 Enroll'!D$1,FALSE),'District Calculations'!$F$25+'District Calculations'!$F$11),5)</f>
        <v>4.1200000000000004E-3</v>
      </c>
      <c r="S298" s="11">
        <f t="shared" si="61"/>
        <v>1.8734299999999999E-2</v>
      </c>
      <c r="T298">
        <f>ROUND(IF(VLOOKUP($A298,EnrollData2324,'2324 Jun 24 Enroll'!D$1,FALSE)='District Calculations'!$F$11,VLOOKUP($A298,EnrollData2324,'2324 Jun 24 Enroll'!D$1,FALSE),'District Calculations'!$F$11)*S298,3)</f>
        <v>0</v>
      </c>
      <c r="U298">
        <f>ROUND(IF(VLOOKUP($A298,EnrollData2324,'2324 Jun 24 Enroll'!E$1,FALSE)='District Calculations'!$F$12,VLOOKUP($A298,EnrollData2324,'2324 Jun 24 Enroll'!E$1,FALSE),'District Calculations'!$F$12)*S298,3)</f>
        <v>15.183999999999999</v>
      </c>
      <c r="V298">
        <f>ROUND(IF(VLOOKUP($A298,EnrollData2324,'2324 Jun 24 Enroll'!F$1,FALSE)='District Calculations'!$F$13,VLOOKUP($A298,EnrollData2324,'2324 Jun 24 Enroll'!F$1,FALSE),'District Calculations'!$F$13)*Apport_224A2425,3)</f>
        <v>3.7109999999999999</v>
      </c>
      <c r="W298">
        <f>ROUND(IF(VLOOKUP($A298,EnrollData2324,'2324 Jun 24 Enroll'!G$1,FALSE)='District Calculations'!$F$14,VLOOKUP($A298,EnrollData2324,'2324 Jun 24 Enroll'!G$1,FALSE),'District Calculations'!$F$14)*Apport_212A2425,3)</f>
        <v>8.2279999999999998</v>
      </c>
      <c r="X298">
        <f>ROUND(IF(VLOOKUP($A298,EnrollData2324,'2324 Jun 24 Enroll'!H$1,FALSE)='District Calculations'!$F$14,VLOOKUP($A298,EnrollData2324,'2324 Jun 24 Enroll'!H$1,FALSE),'District Calculations'!$F$14)*Apport_215A2425,3)</f>
        <v>8.1180000000000003</v>
      </c>
      <c r="Y298">
        <f>ROUND(IF(VLOOKUP($A298,EnrollData2324,'2324 Jun 24 Enroll'!I$1,FALSE)+VLOOKUP($A298,EnrollData2324,'2324 Jun 24 Enroll'!M$1,FALSE)-VLOOKUP($A298,EnrollData2324,'2324 Jun 24 Enroll'!J$1,FALSE)='District Calculations'!$F$16+'District Calculations'!$F$25-'District Calculations'!$F$17,VLOOKUP($A298,EnrollData2324,'2324 Jun 24 Enroll'!I$1,FALSE)+VLOOKUP($A298,EnrollData2324,'2324 Jun 24 Enroll'!M$1,FALSE)-VLOOKUP($A298,EnrollData2324,'2324 Jun 24 Enroll'!J$1,FALSE),'District Calculations'!$F$16+'District Calculations'!$F$25-'District Calculations'!$F$17)*Apport_218A2425,3)</f>
        <v>20.257999999999999</v>
      </c>
      <c r="Z298">
        <f>ROUND(SUM(T298:Y298)/IF(VLOOKUP($A298,EnrollData2324,'2324 Jun 24 Enroll'!M$1,FALSE)+VLOOKUP($A298,EnrollData2324,'2324 Jun 24 Enroll'!D$1,FALSE)='District Calculations'!$F$25+'District Calculations'!$F$11,VLOOKUP($A298,EnrollData2324,'2324 Jun 24 Enroll'!M$1,FALSE)+VLOOKUP($A298,EnrollData2324,'2324 Jun 24 Enroll'!D$1,FALSE),'District Calculations'!$F$25+'District Calculations'!$F$11),5)</f>
        <v>1.7780000000000001E-2</v>
      </c>
      <c r="AA298" s="6">
        <f>ROUND($J298*CIS_Base_Salary2425*VLOOKUP($A298,EnrollData2324,'2324 Jun 24 Enroll'!AH$1,FALSE),2)</f>
        <v>4262.68</v>
      </c>
      <c r="AB298" s="6">
        <f>ROUND($J298*CIS_Inc_Salary2425*(VLOOKUP($A298,EnrollData2324,'2324 Jun 24 Enroll'!AI$1,FALSE)+VLOOKUP($A298,EnrollData2324,'2324 Jun 24 Enroll'!AJ$1,FALSE)),2)-AA298</f>
        <v>201.89999999999964</v>
      </c>
      <c r="AC298" s="6" cm="1">
        <f t="array" ref="AC298">ROUND($R298*CAS_Base_Salary2425*VLOOKUP($A298,EnrollData2324,'2324 Jun 24 Enroll'!AH$1,FALSE),2)</f>
        <v>461.23</v>
      </c>
      <c r="AD298" s="6">
        <f>ROUND($R298*CAS_Inc_Salary2425*VLOOKUP($A298,EnrollData2324,'2324 Jun 24 Enroll'!AI$1,FALSE),2)-AC298</f>
        <v>17.069999999999993</v>
      </c>
      <c r="AE298" s="6">
        <f>ROUND($Z298*CLS_Base_Salary2425*VLOOKUP($A298,EnrollData2324,'2324 Jun 24 Enroll'!AH$1,FALSE),2)</f>
        <v>961.95</v>
      </c>
      <c r="AF298" s="6">
        <f>ROUND($Z298*CLS_Inc_Salary2425*VLOOKUP($A298,EnrollData2324,'2324 Jun 24 Enroll'!AI$1,FALSE),2)-AE298</f>
        <v>35.599999999999909</v>
      </c>
      <c r="AG298" cm="1">
        <f t="array" ref="AG298">ROUND(($J298+$R298)*Apport_124X2425,2)</f>
        <v>800.45</v>
      </c>
      <c r="AH298" s="69" cm="1">
        <f t="array" ref="AH298">ROUND(($J298+$R298)*Apport_621X2425*Apport_125XC2425,2)-AG298</f>
        <v>73.899999999999977</v>
      </c>
      <c r="AI298" cm="1">
        <f t="array" ref="AI298">ROUND($Z298*Apport_124X2425,2)</f>
        <v>234.7</v>
      </c>
      <c r="AJ298">
        <f t="shared" si="62"/>
        <v>124.71000000000004</v>
      </c>
      <c r="AK298">
        <f t="shared" si="63"/>
        <v>857.39</v>
      </c>
      <c r="AL298">
        <f t="shared" si="64"/>
        <v>38.340000000000003</v>
      </c>
      <c r="AM298">
        <f t="shared" si="65"/>
        <v>208.36</v>
      </c>
      <c r="AN298">
        <f t="shared" si="66"/>
        <v>6.46</v>
      </c>
      <c r="AO298">
        <f>ROUND(($J298*CIS_Inc_Salary2425*(VLOOKUP($A298,EnrollData2324,'2324 Jun 24 Enroll'!AI$1,FALSE)+VLOOKUP($A298,EnrollData2324,'2324 Jun 24 Enroll'!AJ$1,FALSE))/Apport_613Xpd)*Apport_614Xpd,2)</f>
        <v>74.41</v>
      </c>
      <c r="AP298">
        <f t="shared" si="67"/>
        <v>13.03</v>
      </c>
      <c r="AQ298">
        <f t="shared" si="58"/>
        <v>31.48</v>
      </c>
      <c r="AR298" s="6">
        <f>ROUND((VLOOKUP($A298,EnrollData2324,'2324 Jun 24 Enroll'!D$1,FALSE)*Apport_M802425+VLOOKUP($A298,EnrollData2324,'2324 Jun 24 Enroll'!M$1,FALSE)*Apport_M802425+(VLOOKUP($A298,EnrollData2324,'2324 Jun 24 Enroll'!P$1,FALSE)+VLOOKUP($A298,EnrollData2324,'2324 Jun 24 Enroll'!Q$1,FALSE)+VLOOKUP($A298,EnrollData2324,'2324 Jun 24 Enroll'!R$1,FALSE)+VLOOKUP($A298,EnrollData2324,'2324 Jun 24 Enroll'!I$1,FALSE)+VLOOKUP($A298,EnrollData2324,'2324 Jun 24 Enroll'!N$1,FALSE)+VLOOKUP($A298,EnrollData2324,'2324 Jun 24 Enroll'!O$1,FALSE)+VLOOKUP($A298,EnrollData2324,'2324 Jun 24 Enroll'!K$1,FALSE)+VLOOKUP($A298,EnrollData2324,'2324 Jun 24 Enroll'!L$1,FALSE))*Apport_M812425)/(VLOOKUP($A298,EnrollData2324,'2324 Jun 24 Enroll'!M$1,FALSE)+VLOOKUP($A298,EnrollData2324,'2324 Jun 24 Enroll'!D$1,FALSE)),2)</f>
        <v>1591.23</v>
      </c>
      <c r="AS298" s="7">
        <f t="shared" si="59"/>
        <v>9994.8899999999976</v>
      </c>
    </row>
    <row r="299" spans="1:45">
      <c r="A299" s="40" t="s">
        <v>703</v>
      </c>
      <c r="B299" s="40" t="s">
        <v>704</v>
      </c>
      <c r="C299" s="11">
        <f>ROUND((IFERROR((1/IF(VLOOKUP($A299,EnrollData2324,28,FALSE)='District Calculations'!$F$10,VLOOKUP($A299,EnrollData2324,28,FALSE),'District Calculations'!$F$10))*(1+Apport_Z315),0))+Apport_201A2425,6)</f>
        <v>7.4580999999999995E-2</v>
      </c>
      <c r="D299">
        <f>ROUND(IF(VLOOKUP($A299,EnrollData2324,'2324 Jun 24 Enroll'!D$1,FALSE)='District Calculations'!$F$11,VLOOKUP($A299,EnrollData2324,'2324 Jun 24 Enroll'!D$1,FALSE),'District Calculations'!$F$11)*C299,3)</f>
        <v>0</v>
      </c>
      <c r="E299">
        <f>ROUND(IF(VLOOKUP($A299,EnrollData2324,'2324 Jun 24 Enroll'!E$1,FALSE)='District Calculations'!$F$12,VLOOKUP($A299,EnrollData2324,'2324 Jun 24 Enroll'!E$1,FALSE),'District Calculations'!$F$12)*C299,3)</f>
        <v>60.447000000000003</v>
      </c>
      <c r="F299">
        <f>ROUND(IF(VLOOKUP($A299,EnrollData2324,'2324 Jun 24 Enroll'!F$1,FALSE)='District Calculations'!$F$13,VLOOKUP($A299,EnrollData2324,'2324 Jun 24 Enroll'!F$1,FALSE),'District Calculations'!$F$13)*Apport_222A2425,3)</f>
        <v>10.337999999999999</v>
      </c>
      <c r="G299">
        <f>ROUND(IF(VLOOKUP($A299,EnrollData2324,'2324 Jun 24 Enroll'!G$1,FALSE)='District Calculations'!$F$14,VLOOKUP($A299,EnrollData2324,'2324 Jun 24 Enroll'!G$1,FALSE),'District Calculations'!$F$14)*Apport_210A2425,3)</f>
        <v>22.92</v>
      </c>
      <c r="H299">
        <f>ROUND(IF(VLOOKUP($A299,EnrollData2324,'2324 Jun 24 Enroll'!H$1,FALSE)='District Calculations'!$F$15,VLOOKUP($A299,EnrollData2324,'2324 Jun 24 Enroll'!H$1,FALSE),'District Calculations'!$F$15)*Apport_213A2425,3)</f>
        <v>23.619</v>
      </c>
      <c r="I299">
        <f>ROUND(IF(VLOOKUP($A299,EnrollData2324,'2324 Jun 24 Enroll'!I$1,FALSE)+VLOOKUP($A299,EnrollData2324,'2324 Jun 24 Enroll'!M$1,FALSE)-VLOOKUP($A299,EnrollData2324,'2324 Jun 24 Enroll'!J$1,FALSE)='District Calculations'!$F$16+'District Calculations'!$F$25-'District Calculations'!$F$17,VLOOKUP($A299,EnrollData2324,'2324 Jun 24 Enroll'!I$1,FALSE)+VLOOKUP($A299,EnrollData2324,'2324 Jun 24 Enroll'!M$1,FALSE)-VLOOKUP($A299,EnrollData2324,'2324 Jun 24 Enroll'!J$1,FALSE),'District Calculations'!$F$16+'District Calculations'!$F$25-'District Calculations'!$F$17)*Apport_216A2425,3)</f>
        <v>59.057000000000002</v>
      </c>
      <c r="J299">
        <f>ROUND(SUM(D299:I299)/(IF(VLOOKUP($A299,EnrollData2324,'2324 Jun 24 Enroll'!M$1,FALSE)='District Calculations'!$F$25,VLOOKUP($A299,EnrollData2324,'2324 Jun 24 Enroll'!M$1,FALSE),'District Calculations'!$F$25)+IF(VLOOKUP($A299,EnrollData2324,'2324 Jun 24 Enroll'!D$1,FALSE)='District Calculations'!$F$11,VLOOKUP($A299,EnrollData2324,'2324 Jun 24 Enroll'!D$1,FALSE),'District Calculations'!$F$11)),5)</f>
        <v>5.6520000000000001E-2</v>
      </c>
      <c r="K299" s="11">
        <f t="shared" si="60"/>
        <v>4.385E-3</v>
      </c>
      <c r="L299">
        <f>ROUND(IF(VLOOKUP($A299,EnrollData2324,'2324 Jun 24 Enroll'!D$1,FALSE)='District Calculations'!$F$11,VLOOKUP($A299,EnrollData2324,'2324 Jun 24 Enroll'!D$1,FALSE),'District Calculations'!$F$11)*K299,3)</f>
        <v>0</v>
      </c>
      <c r="M299">
        <f>ROUND(IF(VLOOKUP($A299,EnrollData2324,'2324 Jun 24 Enroll'!E$1,FALSE)='District Calculations'!$F$12,VLOOKUP($A299,EnrollData2324,'2324 Jun 24 Enroll'!E$1,FALSE),'District Calculations'!$F$12)*K299,3)</f>
        <v>3.5539999999999998</v>
      </c>
      <c r="N299">
        <f>ROUND(IF(VLOOKUP($A299,EnrollData2324,'2324 Jun 24 Enroll'!F$1,FALSE)='District Calculations'!$F$13,VLOOKUP($A299,EnrollData2324,'2324 Jun 24 Enroll'!F$1,FALSE),'District Calculations'!$F$13)*Apport_223A2425,3)</f>
        <v>0.84599999999999997</v>
      </c>
      <c r="O299">
        <f>ROUND(IF(VLOOKUP($A299,EnrollData2324,'2324 Jun 24 Enroll'!G$1,FALSE)='District Calculations'!$F$14,VLOOKUP($A299,EnrollData2324,'2324 Jun 24 Enroll'!G$1,FALSE),'District Calculations'!$F$14)*Apport_211A2425,3)</f>
        <v>1.877</v>
      </c>
      <c r="P299">
        <f>ROUND(IF(VLOOKUP($A299,EnrollData2324,'2324 Jun 24 Enroll'!H$1,FALSE)='District Calculations'!$F$14,VLOOKUP($A299,EnrollData2324,'2324 Jun 24 Enroll'!H$1,FALSE),'District Calculations'!$F$14)*Apport_214A2425,3)</f>
        <v>1.875</v>
      </c>
      <c r="Q299">
        <f>ROUND(IF(VLOOKUP($A299,EnrollData2324,'2324 Jun 24 Enroll'!I$1,FALSE)+VLOOKUP($A299,EnrollData2324,'2324 Jun 24 Enroll'!M$1,FALSE)-VLOOKUP($A299,EnrollData2324,'2324 Jun 24 Enroll'!J$1,FALSE)='District Calculations'!$F$16+'District Calculations'!$F$25-'District Calculations'!$F$17,VLOOKUP($A299,EnrollData2324,'2324 Jun 24 Enroll'!I$1,FALSE)+VLOOKUP($A299,EnrollData2324,'2324 Jun 24 Enroll'!M$1,FALSE)-VLOOKUP($A299,EnrollData2324,'2324 Jun 24 Enroll'!J$1,FALSE),'District Calculations'!$F$16+'District Calculations'!$F$25-'District Calculations'!$F$17)*Apport_217A2425,3)</f>
        <v>4.7130000000000001</v>
      </c>
      <c r="R299">
        <f>ROUND(SUM(L299:Q299)/IF(VLOOKUP($A299,EnrollData2324,'2324 Jun 24 Enroll'!M$1,FALSE)+VLOOKUP($A299,EnrollData2324,'2324 Jun 24 Enroll'!D$1,FALSE)='District Calculations'!$F$25+'District Calculations'!$F$11,VLOOKUP($A299,EnrollData2324,'2324 Jun 24 Enroll'!M$1,FALSE)+VLOOKUP($A299,EnrollData2324,'2324 Jun 24 Enroll'!D$1,FALSE),'District Calculations'!$F$25+'District Calculations'!$F$11),5)</f>
        <v>4.1200000000000004E-3</v>
      </c>
      <c r="S299" s="11">
        <f t="shared" si="61"/>
        <v>1.8734299999999999E-2</v>
      </c>
      <c r="T299">
        <f>ROUND(IF(VLOOKUP($A299,EnrollData2324,'2324 Jun 24 Enroll'!D$1,FALSE)='District Calculations'!$F$11,VLOOKUP($A299,EnrollData2324,'2324 Jun 24 Enroll'!D$1,FALSE),'District Calculations'!$F$11)*S299,3)</f>
        <v>0</v>
      </c>
      <c r="U299">
        <f>ROUND(IF(VLOOKUP($A299,EnrollData2324,'2324 Jun 24 Enroll'!E$1,FALSE)='District Calculations'!$F$12,VLOOKUP($A299,EnrollData2324,'2324 Jun 24 Enroll'!E$1,FALSE),'District Calculations'!$F$12)*S299,3)</f>
        <v>15.183999999999999</v>
      </c>
      <c r="V299">
        <f>ROUND(IF(VLOOKUP($A299,EnrollData2324,'2324 Jun 24 Enroll'!F$1,FALSE)='District Calculations'!$F$13,VLOOKUP($A299,EnrollData2324,'2324 Jun 24 Enroll'!F$1,FALSE),'District Calculations'!$F$13)*Apport_224A2425,3)</f>
        <v>3.7109999999999999</v>
      </c>
      <c r="W299">
        <f>ROUND(IF(VLOOKUP($A299,EnrollData2324,'2324 Jun 24 Enroll'!G$1,FALSE)='District Calculations'!$F$14,VLOOKUP($A299,EnrollData2324,'2324 Jun 24 Enroll'!G$1,FALSE),'District Calculations'!$F$14)*Apport_212A2425,3)</f>
        <v>8.2279999999999998</v>
      </c>
      <c r="X299">
        <f>ROUND(IF(VLOOKUP($A299,EnrollData2324,'2324 Jun 24 Enroll'!H$1,FALSE)='District Calculations'!$F$14,VLOOKUP($A299,EnrollData2324,'2324 Jun 24 Enroll'!H$1,FALSE),'District Calculations'!$F$14)*Apport_215A2425,3)</f>
        <v>8.1180000000000003</v>
      </c>
      <c r="Y299">
        <f>ROUND(IF(VLOOKUP($A299,EnrollData2324,'2324 Jun 24 Enroll'!I$1,FALSE)+VLOOKUP($A299,EnrollData2324,'2324 Jun 24 Enroll'!M$1,FALSE)-VLOOKUP($A299,EnrollData2324,'2324 Jun 24 Enroll'!J$1,FALSE)='District Calculations'!$F$16+'District Calculations'!$F$25-'District Calculations'!$F$17,VLOOKUP($A299,EnrollData2324,'2324 Jun 24 Enroll'!I$1,FALSE)+VLOOKUP($A299,EnrollData2324,'2324 Jun 24 Enroll'!M$1,FALSE)-VLOOKUP($A299,EnrollData2324,'2324 Jun 24 Enroll'!J$1,FALSE),'District Calculations'!$F$16+'District Calculations'!$F$25-'District Calculations'!$F$17)*Apport_218A2425,3)</f>
        <v>20.257999999999999</v>
      </c>
      <c r="Z299">
        <f>ROUND(SUM(T299:Y299)/IF(VLOOKUP($A299,EnrollData2324,'2324 Jun 24 Enroll'!M$1,FALSE)+VLOOKUP($A299,EnrollData2324,'2324 Jun 24 Enroll'!D$1,FALSE)='District Calculations'!$F$25+'District Calculations'!$F$11,VLOOKUP($A299,EnrollData2324,'2324 Jun 24 Enroll'!M$1,FALSE)+VLOOKUP($A299,EnrollData2324,'2324 Jun 24 Enroll'!D$1,FALSE),'District Calculations'!$F$25+'District Calculations'!$F$11),5)</f>
        <v>1.7780000000000001E-2</v>
      </c>
      <c r="AA299" s="6">
        <f>ROUND($J299*CIS_Base_Salary2425*VLOOKUP($A299,EnrollData2324,'2324 Jun 24 Enroll'!AH$1,FALSE),2)</f>
        <v>4262.68</v>
      </c>
      <c r="AB299" s="6">
        <f>ROUND($J299*CIS_Inc_Salary2425*(VLOOKUP($A299,EnrollData2324,'2324 Jun 24 Enroll'!AI$1,FALSE)+VLOOKUP($A299,EnrollData2324,'2324 Jun 24 Enroll'!AJ$1,FALSE)),2)-AA299</f>
        <v>157.6899999999996</v>
      </c>
      <c r="AC299" s="6" cm="1">
        <f t="array" ref="AC299">ROUND($R299*CAS_Base_Salary2425*VLOOKUP($A299,EnrollData2324,'2324 Jun 24 Enroll'!AH$1,FALSE),2)</f>
        <v>461.23</v>
      </c>
      <c r="AD299" s="6">
        <f>ROUND($R299*CAS_Inc_Salary2425*VLOOKUP($A299,EnrollData2324,'2324 Jun 24 Enroll'!AI$1,FALSE),2)-AC299</f>
        <v>17.069999999999993</v>
      </c>
      <c r="AE299" s="6">
        <f>ROUND($Z299*CLS_Base_Salary2425*VLOOKUP($A299,EnrollData2324,'2324 Jun 24 Enroll'!AH$1,FALSE),2)</f>
        <v>961.95</v>
      </c>
      <c r="AF299" s="6">
        <f>ROUND($Z299*CLS_Inc_Salary2425*VLOOKUP($A299,EnrollData2324,'2324 Jun 24 Enroll'!AI$1,FALSE),2)-AE299</f>
        <v>35.599999999999909</v>
      </c>
      <c r="AG299" cm="1">
        <f t="array" ref="AG299">ROUND(($J299+$R299)*Apport_124X2425,2)</f>
        <v>800.45</v>
      </c>
      <c r="AH299" s="69" cm="1">
        <f t="array" ref="AH299">ROUND(($J299+$R299)*Apport_621X2425*Apport_125XC2425,2)-AG299</f>
        <v>73.899999999999977</v>
      </c>
      <c r="AI299" cm="1">
        <f t="array" ref="AI299">ROUND($Z299*Apport_124X2425,2)</f>
        <v>234.7</v>
      </c>
      <c r="AJ299">
        <f t="shared" si="62"/>
        <v>124.71000000000004</v>
      </c>
      <c r="AK299">
        <f t="shared" si="63"/>
        <v>857.39</v>
      </c>
      <c r="AL299">
        <f t="shared" si="64"/>
        <v>30.6</v>
      </c>
      <c r="AM299">
        <f t="shared" si="65"/>
        <v>208.36</v>
      </c>
      <c r="AN299">
        <f t="shared" si="66"/>
        <v>6.46</v>
      </c>
      <c r="AO299">
        <f>ROUND(($J299*CIS_Inc_Salary2425*(VLOOKUP($A299,EnrollData2324,'2324 Jun 24 Enroll'!AI$1,FALSE)+VLOOKUP($A299,EnrollData2324,'2324 Jun 24 Enroll'!AJ$1,FALSE))/Apport_613Xpd)*Apport_614Xpd,2)</f>
        <v>73.67</v>
      </c>
      <c r="AP299">
        <f t="shared" si="67"/>
        <v>12.9</v>
      </c>
      <c r="AQ299">
        <f t="shared" si="58"/>
        <v>31.48</v>
      </c>
      <c r="AR299" s="6">
        <f>ROUND((VLOOKUP($A299,EnrollData2324,'2324 Jun 24 Enroll'!D$1,FALSE)*Apport_M802425+VLOOKUP($A299,EnrollData2324,'2324 Jun 24 Enroll'!M$1,FALSE)*Apport_M802425+(VLOOKUP($A299,EnrollData2324,'2324 Jun 24 Enroll'!P$1,FALSE)+VLOOKUP($A299,EnrollData2324,'2324 Jun 24 Enroll'!Q$1,FALSE)+VLOOKUP($A299,EnrollData2324,'2324 Jun 24 Enroll'!R$1,FALSE)+VLOOKUP($A299,EnrollData2324,'2324 Jun 24 Enroll'!I$1,FALSE)+VLOOKUP($A299,EnrollData2324,'2324 Jun 24 Enroll'!N$1,FALSE)+VLOOKUP($A299,EnrollData2324,'2324 Jun 24 Enroll'!O$1,FALSE)+VLOOKUP($A299,EnrollData2324,'2324 Jun 24 Enroll'!K$1,FALSE)+VLOOKUP($A299,EnrollData2324,'2324 Jun 24 Enroll'!L$1,FALSE))*Apport_M812425)/(VLOOKUP($A299,EnrollData2324,'2324 Jun 24 Enroll'!M$1,FALSE)+VLOOKUP($A299,EnrollData2324,'2324 Jun 24 Enroll'!D$1,FALSE)),2)</f>
        <v>1597.36</v>
      </c>
      <c r="AS299" s="7">
        <f t="shared" si="59"/>
        <v>9948.1999999999989</v>
      </c>
    </row>
    <row r="300" spans="1:45">
      <c r="A300" s="40" t="s">
        <v>390</v>
      </c>
      <c r="B300" s="40" t="s">
        <v>391</v>
      </c>
      <c r="C300" s="11">
        <f>ROUND((IFERROR((1/IF(VLOOKUP($A300,EnrollData2324,28,FALSE)='District Calculations'!$F$10,VLOOKUP($A300,EnrollData2324,28,FALSE),'District Calculations'!$F$10))*(1+Apport_Z315),0))+Apport_201A2425,6)</f>
        <v>7.4580999999999995E-2</v>
      </c>
      <c r="D300">
        <f>ROUND(IF(VLOOKUP($A300,EnrollData2324,'2324 Jun 24 Enroll'!D$1,FALSE)='District Calculations'!$F$11,VLOOKUP($A300,EnrollData2324,'2324 Jun 24 Enroll'!D$1,FALSE),'District Calculations'!$F$11)*C300,3)</f>
        <v>0</v>
      </c>
      <c r="E300">
        <f>ROUND(IF(VLOOKUP($A300,EnrollData2324,'2324 Jun 24 Enroll'!E$1,FALSE)='District Calculations'!$F$12,VLOOKUP($A300,EnrollData2324,'2324 Jun 24 Enroll'!E$1,FALSE),'District Calculations'!$F$12)*C300,3)</f>
        <v>60.447000000000003</v>
      </c>
      <c r="F300">
        <f>ROUND(IF(VLOOKUP($A300,EnrollData2324,'2324 Jun 24 Enroll'!F$1,FALSE)='District Calculations'!$F$13,VLOOKUP($A300,EnrollData2324,'2324 Jun 24 Enroll'!F$1,FALSE),'District Calculations'!$F$13)*Apport_222A2425,3)</f>
        <v>10.337999999999999</v>
      </c>
      <c r="G300">
        <f>ROUND(IF(VLOOKUP($A300,EnrollData2324,'2324 Jun 24 Enroll'!G$1,FALSE)='District Calculations'!$F$14,VLOOKUP($A300,EnrollData2324,'2324 Jun 24 Enroll'!G$1,FALSE),'District Calculations'!$F$14)*Apport_210A2425,3)</f>
        <v>22.92</v>
      </c>
      <c r="H300">
        <f>ROUND(IF(VLOOKUP($A300,EnrollData2324,'2324 Jun 24 Enroll'!H$1,FALSE)='District Calculations'!$F$15,VLOOKUP($A300,EnrollData2324,'2324 Jun 24 Enroll'!H$1,FALSE),'District Calculations'!$F$15)*Apport_213A2425,3)</f>
        <v>23.619</v>
      </c>
      <c r="I300">
        <f>ROUND(IF(VLOOKUP($A300,EnrollData2324,'2324 Jun 24 Enroll'!I$1,FALSE)+VLOOKUP($A300,EnrollData2324,'2324 Jun 24 Enroll'!M$1,FALSE)-VLOOKUP($A300,EnrollData2324,'2324 Jun 24 Enroll'!J$1,FALSE)='District Calculations'!$F$16+'District Calculations'!$F$25-'District Calculations'!$F$17,VLOOKUP($A300,EnrollData2324,'2324 Jun 24 Enroll'!I$1,FALSE)+VLOOKUP($A300,EnrollData2324,'2324 Jun 24 Enroll'!M$1,FALSE)-VLOOKUP($A300,EnrollData2324,'2324 Jun 24 Enroll'!J$1,FALSE),'District Calculations'!$F$16+'District Calculations'!$F$25-'District Calculations'!$F$17)*Apport_216A2425,3)</f>
        <v>59.057000000000002</v>
      </c>
      <c r="J300">
        <f>ROUND(SUM(D300:I300)/(IF(VLOOKUP($A300,EnrollData2324,'2324 Jun 24 Enroll'!M$1,FALSE)='District Calculations'!$F$25,VLOOKUP($A300,EnrollData2324,'2324 Jun 24 Enroll'!M$1,FALSE),'District Calculations'!$F$25)+IF(VLOOKUP($A300,EnrollData2324,'2324 Jun 24 Enroll'!D$1,FALSE)='District Calculations'!$F$11,VLOOKUP($A300,EnrollData2324,'2324 Jun 24 Enroll'!D$1,FALSE),'District Calculations'!$F$11)),5)</f>
        <v>5.6520000000000001E-2</v>
      </c>
      <c r="K300" s="11">
        <f t="shared" si="60"/>
        <v>4.385E-3</v>
      </c>
      <c r="L300">
        <f>ROUND(IF(VLOOKUP($A300,EnrollData2324,'2324 Jun 24 Enroll'!D$1,FALSE)='District Calculations'!$F$11,VLOOKUP($A300,EnrollData2324,'2324 Jun 24 Enroll'!D$1,FALSE),'District Calculations'!$F$11)*K300,3)</f>
        <v>0</v>
      </c>
      <c r="M300">
        <f>ROUND(IF(VLOOKUP($A300,EnrollData2324,'2324 Jun 24 Enroll'!E$1,FALSE)='District Calculations'!$F$12,VLOOKUP($A300,EnrollData2324,'2324 Jun 24 Enroll'!E$1,FALSE),'District Calculations'!$F$12)*K300,3)</f>
        <v>3.5539999999999998</v>
      </c>
      <c r="N300">
        <f>ROUND(IF(VLOOKUP($A300,EnrollData2324,'2324 Jun 24 Enroll'!F$1,FALSE)='District Calculations'!$F$13,VLOOKUP($A300,EnrollData2324,'2324 Jun 24 Enroll'!F$1,FALSE),'District Calculations'!$F$13)*Apport_223A2425,3)</f>
        <v>0.84599999999999997</v>
      </c>
      <c r="O300">
        <f>ROUND(IF(VLOOKUP($A300,EnrollData2324,'2324 Jun 24 Enroll'!G$1,FALSE)='District Calculations'!$F$14,VLOOKUP($A300,EnrollData2324,'2324 Jun 24 Enroll'!G$1,FALSE),'District Calculations'!$F$14)*Apport_211A2425,3)</f>
        <v>1.877</v>
      </c>
      <c r="P300">
        <f>ROUND(IF(VLOOKUP($A300,EnrollData2324,'2324 Jun 24 Enroll'!H$1,FALSE)='District Calculations'!$F$14,VLOOKUP($A300,EnrollData2324,'2324 Jun 24 Enroll'!H$1,FALSE),'District Calculations'!$F$14)*Apport_214A2425,3)</f>
        <v>1.875</v>
      </c>
      <c r="Q300">
        <f>ROUND(IF(VLOOKUP($A300,EnrollData2324,'2324 Jun 24 Enroll'!I$1,FALSE)+VLOOKUP($A300,EnrollData2324,'2324 Jun 24 Enroll'!M$1,FALSE)-VLOOKUP($A300,EnrollData2324,'2324 Jun 24 Enroll'!J$1,FALSE)='District Calculations'!$F$16+'District Calculations'!$F$25-'District Calculations'!$F$17,VLOOKUP($A300,EnrollData2324,'2324 Jun 24 Enroll'!I$1,FALSE)+VLOOKUP($A300,EnrollData2324,'2324 Jun 24 Enroll'!M$1,FALSE)-VLOOKUP($A300,EnrollData2324,'2324 Jun 24 Enroll'!J$1,FALSE),'District Calculations'!$F$16+'District Calculations'!$F$25-'District Calculations'!$F$17)*Apport_217A2425,3)</f>
        <v>4.7130000000000001</v>
      </c>
      <c r="R300">
        <f>ROUND(SUM(L300:Q300)/IF(VLOOKUP($A300,EnrollData2324,'2324 Jun 24 Enroll'!M$1,FALSE)+VLOOKUP($A300,EnrollData2324,'2324 Jun 24 Enroll'!D$1,FALSE)='District Calculations'!$F$25+'District Calculations'!$F$11,VLOOKUP($A300,EnrollData2324,'2324 Jun 24 Enroll'!M$1,FALSE)+VLOOKUP($A300,EnrollData2324,'2324 Jun 24 Enroll'!D$1,FALSE),'District Calculations'!$F$25+'District Calculations'!$F$11),5)</f>
        <v>4.1200000000000004E-3</v>
      </c>
      <c r="S300" s="11">
        <f t="shared" si="61"/>
        <v>1.8734299999999999E-2</v>
      </c>
      <c r="T300">
        <f>ROUND(IF(VLOOKUP($A300,EnrollData2324,'2324 Jun 24 Enroll'!D$1,FALSE)='District Calculations'!$F$11,VLOOKUP($A300,EnrollData2324,'2324 Jun 24 Enroll'!D$1,FALSE),'District Calculations'!$F$11)*S300,3)</f>
        <v>0</v>
      </c>
      <c r="U300">
        <f>ROUND(IF(VLOOKUP($A300,EnrollData2324,'2324 Jun 24 Enroll'!E$1,FALSE)='District Calculations'!$F$12,VLOOKUP($A300,EnrollData2324,'2324 Jun 24 Enroll'!E$1,FALSE),'District Calculations'!$F$12)*S300,3)</f>
        <v>15.183999999999999</v>
      </c>
      <c r="V300">
        <f>ROUND(IF(VLOOKUP($A300,EnrollData2324,'2324 Jun 24 Enroll'!F$1,FALSE)='District Calculations'!$F$13,VLOOKUP($A300,EnrollData2324,'2324 Jun 24 Enroll'!F$1,FALSE),'District Calculations'!$F$13)*Apport_224A2425,3)</f>
        <v>3.7109999999999999</v>
      </c>
      <c r="W300">
        <f>ROUND(IF(VLOOKUP($A300,EnrollData2324,'2324 Jun 24 Enroll'!G$1,FALSE)='District Calculations'!$F$14,VLOOKUP($A300,EnrollData2324,'2324 Jun 24 Enroll'!G$1,FALSE),'District Calculations'!$F$14)*Apport_212A2425,3)</f>
        <v>8.2279999999999998</v>
      </c>
      <c r="X300">
        <f>ROUND(IF(VLOOKUP($A300,EnrollData2324,'2324 Jun 24 Enroll'!H$1,FALSE)='District Calculations'!$F$14,VLOOKUP($A300,EnrollData2324,'2324 Jun 24 Enroll'!H$1,FALSE),'District Calculations'!$F$14)*Apport_215A2425,3)</f>
        <v>8.1180000000000003</v>
      </c>
      <c r="Y300">
        <f>ROUND(IF(VLOOKUP($A300,EnrollData2324,'2324 Jun 24 Enroll'!I$1,FALSE)+VLOOKUP($A300,EnrollData2324,'2324 Jun 24 Enroll'!M$1,FALSE)-VLOOKUP($A300,EnrollData2324,'2324 Jun 24 Enroll'!J$1,FALSE)='District Calculations'!$F$16+'District Calculations'!$F$25-'District Calculations'!$F$17,VLOOKUP($A300,EnrollData2324,'2324 Jun 24 Enroll'!I$1,FALSE)+VLOOKUP($A300,EnrollData2324,'2324 Jun 24 Enroll'!M$1,FALSE)-VLOOKUP($A300,EnrollData2324,'2324 Jun 24 Enroll'!J$1,FALSE),'District Calculations'!$F$16+'District Calculations'!$F$25-'District Calculations'!$F$17)*Apport_218A2425,3)</f>
        <v>20.257999999999999</v>
      </c>
      <c r="Z300">
        <f>ROUND(SUM(T300:Y300)/IF(VLOOKUP($A300,EnrollData2324,'2324 Jun 24 Enroll'!M$1,FALSE)+VLOOKUP($A300,EnrollData2324,'2324 Jun 24 Enroll'!D$1,FALSE)='District Calculations'!$F$25+'District Calculations'!$F$11,VLOOKUP($A300,EnrollData2324,'2324 Jun 24 Enroll'!M$1,FALSE)+VLOOKUP($A300,EnrollData2324,'2324 Jun 24 Enroll'!D$1,FALSE),'District Calculations'!$F$25+'District Calculations'!$F$11),5)</f>
        <v>1.7780000000000001E-2</v>
      </c>
      <c r="AA300" s="6">
        <f>ROUND($J300*CIS_Base_Salary2425*VLOOKUP($A300,EnrollData2324,'2324 Jun 24 Enroll'!AH$1,FALSE),2)</f>
        <v>4262.68</v>
      </c>
      <c r="AB300" s="6">
        <f>ROUND($J300*CIS_Inc_Salary2425*(VLOOKUP($A300,EnrollData2324,'2324 Jun 24 Enroll'!AI$1,FALSE)+VLOOKUP($A300,EnrollData2324,'2324 Jun 24 Enroll'!AJ$1,FALSE)),2)-AA300</f>
        <v>334.50999999999931</v>
      </c>
      <c r="AC300" s="6" cm="1">
        <f t="array" ref="AC300">ROUND($R300*CAS_Base_Salary2425*VLOOKUP($A300,EnrollData2324,'2324 Jun 24 Enroll'!AH$1,FALSE),2)</f>
        <v>461.23</v>
      </c>
      <c r="AD300" s="6">
        <f>ROUND($R300*CAS_Inc_Salary2425*VLOOKUP($A300,EnrollData2324,'2324 Jun 24 Enroll'!AI$1,FALSE),2)-AC300</f>
        <v>17.069999999999993</v>
      </c>
      <c r="AE300" s="6">
        <f>ROUND($Z300*CLS_Base_Salary2425*VLOOKUP($A300,EnrollData2324,'2324 Jun 24 Enroll'!AH$1,FALSE),2)</f>
        <v>961.95</v>
      </c>
      <c r="AF300" s="6">
        <f>ROUND($Z300*CLS_Inc_Salary2425*VLOOKUP($A300,EnrollData2324,'2324 Jun 24 Enroll'!AI$1,FALSE),2)-AE300</f>
        <v>35.599999999999909</v>
      </c>
      <c r="AG300" cm="1">
        <f t="array" ref="AG300">ROUND(($J300+$R300)*Apport_124X2425,2)</f>
        <v>800.45</v>
      </c>
      <c r="AH300" s="69" cm="1">
        <f t="array" ref="AH300">ROUND(($J300+$R300)*Apport_621X2425*Apport_125XC2425,2)-AG300</f>
        <v>73.899999999999977</v>
      </c>
      <c r="AI300" cm="1">
        <f t="array" ref="AI300">ROUND($Z300*Apport_124X2425,2)</f>
        <v>234.7</v>
      </c>
      <c r="AJ300">
        <f t="shared" si="62"/>
        <v>124.71000000000004</v>
      </c>
      <c r="AK300">
        <f t="shared" si="63"/>
        <v>857.39</v>
      </c>
      <c r="AL300">
        <f t="shared" si="64"/>
        <v>61.56</v>
      </c>
      <c r="AM300">
        <f t="shared" si="65"/>
        <v>208.36</v>
      </c>
      <c r="AN300">
        <f t="shared" si="66"/>
        <v>6.46</v>
      </c>
      <c r="AO300">
        <f>ROUND(($J300*CIS_Inc_Salary2425*(VLOOKUP($A300,EnrollData2324,'2324 Jun 24 Enroll'!AI$1,FALSE)+VLOOKUP($A300,EnrollData2324,'2324 Jun 24 Enroll'!AJ$1,FALSE))/Apport_613Xpd)*Apport_614Xpd,2)</f>
        <v>76.62</v>
      </c>
      <c r="AP300">
        <f t="shared" si="67"/>
        <v>13.42</v>
      </c>
      <c r="AQ300">
        <f t="shared" si="58"/>
        <v>31.48</v>
      </c>
      <c r="AR300" s="6">
        <f>ROUND((VLOOKUP($A300,EnrollData2324,'2324 Jun 24 Enroll'!D$1,FALSE)*Apport_M802425+VLOOKUP($A300,EnrollData2324,'2324 Jun 24 Enroll'!M$1,FALSE)*Apport_M802425+(VLOOKUP($A300,EnrollData2324,'2324 Jun 24 Enroll'!P$1,FALSE)+VLOOKUP($A300,EnrollData2324,'2324 Jun 24 Enroll'!Q$1,FALSE)+VLOOKUP($A300,EnrollData2324,'2324 Jun 24 Enroll'!R$1,FALSE)+VLOOKUP($A300,EnrollData2324,'2324 Jun 24 Enroll'!I$1,FALSE)+VLOOKUP($A300,EnrollData2324,'2324 Jun 24 Enroll'!N$1,FALSE)+VLOOKUP($A300,EnrollData2324,'2324 Jun 24 Enroll'!O$1,FALSE)+VLOOKUP($A300,EnrollData2324,'2324 Jun 24 Enroll'!K$1,FALSE)+VLOOKUP($A300,EnrollData2324,'2324 Jun 24 Enroll'!L$1,FALSE))*Apport_M812425)/(VLOOKUP($A300,EnrollData2324,'2324 Jun 24 Enroll'!M$1,FALSE)+VLOOKUP($A300,EnrollData2324,'2324 Jun 24 Enroll'!D$1,FALSE)),2)</f>
        <v>1597.46</v>
      </c>
      <c r="AS300" s="7">
        <f t="shared" si="59"/>
        <v>10159.549999999999</v>
      </c>
    </row>
    <row r="301" spans="1:45">
      <c r="A301" s="40" t="s">
        <v>679</v>
      </c>
      <c r="B301" s="40" t="s">
        <v>680</v>
      </c>
      <c r="C301" s="11">
        <f>ROUND((IFERROR((1/IF(VLOOKUP($A301,EnrollData2324,28,FALSE)='District Calculations'!$F$10,VLOOKUP($A301,EnrollData2324,28,FALSE),'District Calculations'!$F$10))*(1+Apport_Z315),0))+Apport_201A2425,6)</f>
        <v>7.4580999999999995E-2</v>
      </c>
      <c r="D301">
        <f>ROUND(IF(VLOOKUP($A301,EnrollData2324,'2324 Jun 24 Enroll'!D$1,FALSE)='District Calculations'!$F$11,VLOOKUP($A301,EnrollData2324,'2324 Jun 24 Enroll'!D$1,FALSE),'District Calculations'!$F$11)*C301,3)</f>
        <v>0</v>
      </c>
      <c r="E301">
        <f>ROUND(IF(VLOOKUP($A301,EnrollData2324,'2324 Jun 24 Enroll'!E$1,FALSE)='District Calculations'!$F$12,VLOOKUP($A301,EnrollData2324,'2324 Jun 24 Enroll'!E$1,FALSE),'District Calculations'!$F$12)*C301,3)</f>
        <v>60.447000000000003</v>
      </c>
      <c r="F301">
        <f>ROUND(IF(VLOOKUP($A301,EnrollData2324,'2324 Jun 24 Enroll'!F$1,FALSE)='District Calculations'!$F$13,VLOOKUP($A301,EnrollData2324,'2324 Jun 24 Enroll'!F$1,FALSE),'District Calculations'!$F$13)*Apport_222A2425,3)</f>
        <v>10.337999999999999</v>
      </c>
      <c r="G301">
        <f>ROUND(IF(VLOOKUP($A301,EnrollData2324,'2324 Jun 24 Enroll'!G$1,FALSE)='District Calculations'!$F$14,VLOOKUP($A301,EnrollData2324,'2324 Jun 24 Enroll'!G$1,FALSE),'District Calculations'!$F$14)*Apport_210A2425,3)</f>
        <v>22.92</v>
      </c>
      <c r="H301">
        <f>ROUND(IF(VLOOKUP($A301,EnrollData2324,'2324 Jun 24 Enroll'!H$1,FALSE)='District Calculations'!$F$15,VLOOKUP($A301,EnrollData2324,'2324 Jun 24 Enroll'!H$1,FALSE),'District Calculations'!$F$15)*Apport_213A2425,3)</f>
        <v>23.619</v>
      </c>
      <c r="I301">
        <f>ROUND(IF(VLOOKUP($A301,EnrollData2324,'2324 Jun 24 Enroll'!I$1,FALSE)+VLOOKUP($A301,EnrollData2324,'2324 Jun 24 Enroll'!M$1,FALSE)-VLOOKUP($A301,EnrollData2324,'2324 Jun 24 Enroll'!J$1,FALSE)='District Calculations'!$F$16+'District Calculations'!$F$25-'District Calculations'!$F$17,VLOOKUP($A301,EnrollData2324,'2324 Jun 24 Enroll'!I$1,FALSE)+VLOOKUP($A301,EnrollData2324,'2324 Jun 24 Enroll'!M$1,FALSE)-VLOOKUP($A301,EnrollData2324,'2324 Jun 24 Enroll'!J$1,FALSE),'District Calculations'!$F$16+'District Calculations'!$F$25-'District Calculations'!$F$17)*Apport_216A2425,3)</f>
        <v>59.057000000000002</v>
      </c>
      <c r="J301">
        <f>ROUND(SUM(D301:I301)/(IF(VLOOKUP($A301,EnrollData2324,'2324 Jun 24 Enroll'!M$1,FALSE)='District Calculations'!$F$25,VLOOKUP($A301,EnrollData2324,'2324 Jun 24 Enroll'!M$1,FALSE),'District Calculations'!$F$25)+IF(VLOOKUP($A301,EnrollData2324,'2324 Jun 24 Enroll'!D$1,FALSE)='District Calculations'!$F$11,VLOOKUP($A301,EnrollData2324,'2324 Jun 24 Enroll'!D$1,FALSE),'District Calculations'!$F$11)),5)</f>
        <v>5.6520000000000001E-2</v>
      </c>
      <c r="K301" s="11">
        <f t="shared" si="60"/>
        <v>4.385E-3</v>
      </c>
      <c r="L301">
        <f>ROUND(IF(VLOOKUP($A301,EnrollData2324,'2324 Jun 24 Enroll'!D$1,FALSE)='District Calculations'!$F$11,VLOOKUP($A301,EnrollData2324,'2324 Jun 24 Enroll'!D$1,FALSE),'District Calculations'!$F$11)*K301,3)</f>
        <v>0</v>
      </c>
      <c r="M301">
        <f>ROUND(IF(VLOOKUP($A301,EnrollData2324,'2324 Jun 24 Enroll'!E$1,FALSE)='District Calculations'!$F$12,VLOOKUP($A301,EnrollData2324,'2324 Jun 24 Enroll'!E$1,FALSE),'District Calculations'!$F$12)*K301,3)</f>
        <v>3.5539999999999998</v>
      </c>
      <c r="N301">
        <f>ROUND(IF(VLOOKUP($A301,EnrollData2324,'2324 Jun 24 Enroll'!F$1,FALSE)='District Calculations'!$F$13,VLOOKUP($A301,EnrollData2324,'2324 Jun 24 Enroll'!F$1,FALSE),'District Calculations'!$F$13)*Apport_223A2425,3)</f>
        <v>0.84599999999999997</v>
      </c>
      <c r="O301">
        <f>ROUND(IF(VLOOKUP($A301,EnrollData2324,'2324 Jun 24 Enroll'!G$1,FALSE)='District Calculations'!$F$14,VLOOKUP($A301,EnrollData2324,'2324 Jun 24 Enroll'!G$1,FALSE),'District Calculations'!$F$14)*Apport_211A2425,3)</f>
        <v>1.877</v>
      </c>
      <c r="P301">
        <f>ROUND(IF(VLOOKUP($A301,EnrollData2324,'2324 Jun 24 Enroll'!H$1,FALSE)='District Calculations'!$F$14,VLOOKUP($A301,EnrollData2324,'2324 Jun 24 Enroll'!H$1,FALSE),'District Calculations'!$F$14)*Apport_214A2425,3)</f>
        <v>1.875</v>
      </c>
      <c r="Q301">
        <f>ROUND(IF(VLOOKUP($A301,EnrollData2324,'2324 Jun 24 Enroll'!I$1,FALSE)+VLOOKUP($A301,EnrollData2324,'2324 Jun 24 Enroll'!M$1,FALSE)-VLOOKUP($A301,EnrollData2324,'2324 Jun 24 Enroll'!J$1,FALSE)='District Calculations'!$F$16+'District Calculations'!$F$25-'District Calculations'!$F$17,VLOOKUP($A301,EnrollData2324,'2324 Jun 24 Enroll'!I$1,FALSE)+VLOOKUP($A301,EnrollData2324,'2324 Jun 24 Enroll'!M$1,FALSE)-VLOOKUP($A301,EnrollData2324,'2324 Jun 24 Enroll'!J$1,FALSE),'District Calculations'!$F$16+'District Calculations'!$F$25-'District Calculations'!$F$17)*Apport_217A2425,3)</f>
        <v>4.7130000000000001</v>
      </c>
      <c r="R301">
        <f>ROUND(SUM(L301:Q301)/IF(VLOOKUP($A301,EnrollData2324,'2324 Jun 24 Enroll'!M$1,FALSE)+VLOOKUP($A301,EnrollData2324,'2324 Jun 24 Enroll'!D$1,FALSE)='District Calculations'!$F$25+'District Calculations'!$F$11,VLOOKUP($A301,EnrollData2324,'2324 Jun 24 Enroll'!M$1,FALSE)+VLOOKUP($A301,EnrollData2324,'2324 Jun 24 Enroll'!D$1,FALSE),'District Calculations'!$F$25+'District Calculations'!$F$11),5)</f>
        <v>4.1200000000000004E-3</v>
      </c>
      <c r="S301" s="11">
        <f t="shared" si="61"/>
        <v>1.8734299999999999E-2</v>
      </c>
      <c r="T301">
        <f>ROUND(IF(VLOOKUP($A301,EnrollData2324,'2324 Jun 24 Enroll'!D$1,FALSE)='District Calculations'!$F$11,VLOOKUP($A301,EnrollData2324,'2324 Jun 24 Enroll'!D$1,FALSE),'District Calculations'!$F$11)*S301,3)</f>
        <v>0</v>
      </c>
      <c r="U301">
        <f>ROUND(IF(VLOOKUP($A301,EnrollData2324,'2324 Jun 24 Enroll'!E$1,FALSE)='District Calculations'!$F$12,VLOOKUP($A301,EnrollData2324,'2324 Jun 24 Enroll'!E$1,FALSE),'District Calculations'!$F$12)*S301,3)</f>
        <v>15.183999999999999</v>
      </c>
      <c r="V301">
        <f>ROUND(IF(VLOOKUP($A301,EnrollData2324,'2324 Jun 24 Enroll'!F$1,FALSE)='District Calculations'!$F$13,VLOOKUP($A301,EnrollData2324,'2324 Jun 24 Enroll'!F$1,FALSE),'District Calculations'!$F$13)*Apport_224A2425,3)</f>
        <v>3.7109999999999999</v>
      </c>
      <c r="W301">
        <f>ROUND(IF(VLOOKUP($A301,EnrollData2324,'2324 Jun 24 Enroll'!G$1,FALSE)='District Calculations'!$F$14,VLOOKUP($A301,EnrollData2324,'2324 Jun 24 Enroll'!G$1,FALSE),'District Calculations'!$F$14)*Apport_212A2425,3)</f>
        <v>8.2279999999999998</v>
      </c>
      <c r="X301">
        <f>ROUND(IF(VLOOKUP($A301,EnrollData2324,'2324 Jun 24 Enroll'!H$1,FALSE)='District Calculations'!$F$14,VLOOKUP($A301,EnrollData2324,'2324 Jun 24 Enroll'!H$1,FALSE),'District Calculations'!$F$14)*Apport_215A2425,3)</f>
        <v>8.1180000000000003</v>
      </c>
      <c r="Y301">
        <f>ROUND(IF(VLOOKUP($A301,EnrollData2324,'2324 Jun 24 Enroll'!I$1,FALSE)+VLOOKUP($A301,EnrollData2324,'2324 Jun 24 Enroll'!M$1,FALSE)-VLOOKUP($A301,EnrollData2324,'2324 Jun 24 Enroll'!J$1,FALSE)='District Calculations'!$F$16+'District Calculations'!$F$25-'District Calculations'!$F$17,VLOOKUP($A301,EnrollData2324,'2324 Jun 24 Enroll'!I$1,FALSE)+VLOOKUP($A301,EnrollData2324,'2324 Jun 24 Enroll'!M$1,FALSE)-VLOOKUP($A301,EnrollData2324,'2324 Jun 24 Enroll'!J$1,FALSE),'District Calculations'!$F$16+'District Calculations'!$F$25-'District Calculations'!$F$17)*Apport_218A2425,3)</f>
        <v>20.257999999999999</v>
      </c>
      <c r="Z301">
        <f>ROUND(SUM(T301:Y301)/IF(VLOOKUP($A301,EnrollData2324,'2324 Jun 24 Enroll'!M$1,FALSE)+VLOOKUP($A301,EnrollData2324,'2324 Jun 24 Enroll'!D$1,FALSE)='District Calculations'!$F$25+'District Calculations'!$F$11,VLOOKUP($A301,EnrollData2324,'2324 Jun 24 Enroll'!M$1,FALSE)+VLOOKUP($A301,EnrollData2324,'2324 Jun 24 Enroll'!D$1,FALSE),'District Calculations'!$F$25+'District Calculations'!$F$11),5)</f>
        <v>1.7780000000000001E-2</v>
      </c>
      <c r="AA301" s="6">
        <f>ROUND($J301*CIS_Base_Salary2425*VLOOKUP($A301,EnrollData2324,'2324 Jun 24 Enroll'!AH$1,FALSE),2)</f>
        <v>4262.68</v>
      </c>
      <c r="AB301" s="6">
        <f>ROUND($J301*CIS_Inc_Salary2425*(VLOOKUP($A301,EnrollData2324,'2324 Jun 24 Enroll'!AI$1,FALSE)+VLOOKUP($A301,EnrollData2324,'2324 Jun 24 Enroll'!AJ$1,FALSE)),2)-AA301</f>
        <v>157.6899999999996</v>
      </c>
      <c r="AC301" s="6" cm="1">
        <f t="array" ref="AC301">ROUND($R301*CAS_Base_Salary2425*VLOOKUP($A301,EnrollData2324,'2324 Jun 24 Enroll'!AH$1,FALSE),2)</f>
        <v>461.23</v>
      </c>
      <c r="AD301" s="6">
        <f>ROUND($R301*CAS_Inc_Salary2425*VLOOKUP($A301,EnrollData2324,'2324 Jun 24 Enroll'!AI$1,FALSE),2)-AC301</f>
        <v>17.069999999999993</v>
      </c>
      <c r="AE301" s="6">
        <f>ROUND($Z301*CLS_Base_Salary2425*VLOOKUP($A301,EnrollData2324,'2324 Jun 24 Enroll'!AH$1,FALSE),2)</f>
        <v>961.95</v>
      </c>
      <c r="AF301" s="6">
        <f>ROUND($Z301*CLS_Inc_Salary2425*VLOOKUP($A301,EnrollData2324,'2324 Jun 24 Enroll'!AI$1,FALSE),2)-AE301</f>
        <v>35.599999999999909</v>
      </c>
      <c r="AG301" cm="1">
        <f t="array" ref="AG301">ROUND(($J301+$R301)*Apport_124X2425,2)</f>
        <v>800.45</v>
      </c>
      <c r="AH301" s="69" cm="1">
        <f t="array" ref="AH301">ROUND(($J301+$R301)*Apport_621X2425*Apport_125XC2425,2)-AG301</f>
        <v>73.899999999999977</v>
      </c>
      <c r="AI301" cm="1">
        <f t="array" ref="AI301">ROUND($Z301*Apport_124X2425,2)</f>
        <v>234.7</v>
      </c>
      <c r="AJ301">
        <f t="shared" si="62"/>
        <v>124.71000000000004</v>
      </c>
      <c r="AK301">
        <f t="shared" si="63"/>
        <v>857.39</v>
      </c>
      <c r="AL301">
        <f t="shared" si="64"/>
        <v>30.6</v>
      </c>
      <c r="AM301">
        <f t="shared" si="65"/>
        <v>208.36</v>
      </c>
      <c r="AN301">
        <f t="shared" si="66"/>
        <v>6.46</v>
      </c>
      <c r="AO301">
        <f>ROUND(($J301*CIS_Inc_Salary2425*(VLOOKUP($A301,EnrollData2324,'2324 Jun 24 Enroll'!AI$1,FALSE)+VLOOKUP($A301,EnrollData2324,'2324 Jun 24 Enroll'!AJ$1,FALSE))/Apport_613Xpd)*Apport_614Xpd,2)</f>
        <v>73.67</v>
      </c>
      <c r="AP301">
        <f t="shared" si="67"/>
        <v>12.9</v>
      </c>
      <c r="AQ301">
        <f t="shared" si="58"/>
        <v>31.48</v>
      </c>
      <c r="AR301" s="6">
        <f>ROUND((VLOOKUP($A301,EnrollData2324,'2324 Jun 24 Enroll'!D$1,FALSE)*Apport_M802425+VLOOKUP($A301,EnrollData2324,'2324 Jun 24 Enroll'!M$1,FALSE)*Apport_M802425+(VLOOKUP($A301,EnrollData2324,'2324 Jun 24 Enroll'!P$1,FALSE)+VLOOKUP($A301,EnrollData2324,'2324 Jun 24 Enroll'!Q$1,FALSE)+VLOOKUP($A301,EnrollData2324,'2324 Jun 24 Enroll'!R$1,FALSE)+VLOOKUP($A301,EnrollData2324,'2324 Jun 24 Enroll'!I$1,FALSE)+VLOOKUP($A301,EnrollData2324,'2324 Jun 24 Enroll'!N$1,FALSE)+VLOOKUP($A301,EnrollData2324,'2324 Jun 24 Enroll'!O$1,FALSE)+VLOOKUP($A301,EnrollData2324,'2324 Jun 24 Enroll'!K$1,FALSE)+VLOOKUP($A301,EnrollData2324,'2324 Jun 24 Enroll'!L$1,FALSE))*Apport_M812425)/(VLOOKUP($A301,EnrollData2324,'2324 Jun 24 Enroll'!M$1,FALSE)+VLOOKUP($A301,EnrollData2324,'2324 Jun 24 Enroll'!D$1,FALSE)),2)</f>
        <v>1589.88</v>
      </c>
      <c r="AS301" s="7">
        <f t="shared" si="59"/>
        <v>9940.7199999999975</v>
      </c>
    </row>
    <row r="302" spans="1:45">
      <c r="A302" s="40" t="s">
        <v>476</v>
      </c>
      <c r="B302" s="40" t="s">
        <v>477</v>
      </c>
      <c r="C302" s="11">
        <f>ROUND((IFERROR((1/IF(VLOOKUP($A302,EnrollData2324,28,FALSE)='District Calculations'!$F$10,VLOOKUP($A302,EnrollData2324,28,FALSE),'District Calculations'!$F$10))*(1+Apport_Z315),0))+Apport_201A2425,6)</f>
        <v>7.4580999999999995E-2</v>
      </c>
      <c r="D302">
        <f>ROUND(IF(VLOOKUP($A302,EnrollData2324,'2324 Jun 24 Enroll'!D$1,FALSE)='District Calculations'!$F$11,VLOOKUP($A302,EnrollData2324,'2324 Jun 24 Enroll'!D$1,FALSE),'District Calculations'!$F$11)*C302,3)</f>
        <v>0</v>
      </c>
      <c r="E302">
        <f>ROUND(IF(VLOOKUP($A302,EnrollData2324,'2324 Jun 24 Enroll'!E$1,FALSE)='District Calculations'!$F$12,VLOOKUP($A302,EnrollData2324,'2324 Jun 24 Enroll'!E$1,FALSE),'District Calculations'!$F$12)*C302,3)</f>
        <v>60.447000000000003</v>
      </c>
      <c r="F302">
        <f>ROUND(IF(VLOOKUP($A302,EnrollData2324,'2324 Jun 24 Enroll'!F$1,FALSE)='District Calculations'!$F$13,VLOOKUP($A302,EnrollData2324,'2324 Jun 24 Enroll'!F$1,FALSE),'District Calculations'!$F$13)*Apport_222A2425,3)</f>
        <v>10.337999999999999</v>
      </c>
      <c r="G302">
        <f>ROUND(IF(VLOOKUP($A302,EnrollData2324,'2324 Jun 24 Enroll'!G$1,FALSE)='District Calculations'!$F$14,VLOOKUP($A302,EnrollData2324,'2324 Jun 24 Enroll'!G$1,FALSE),'District Calculations'!$F$14)*Apport_210A2425,3)</f>
        <v>22.92</v>
      </c>
      <c r="H302">
        <f>ROUND(IF(VLOOKUP($A302,EnrollData2324,'2324 Jun 24 Enroll'!H$1,FALSE)='District Calculations'!$F$15,VLOOKUP($A302,EnrollData2324,'2324 Jun 24 Enroll'!H$1,FALSE),'District Calculations'!$F$15)*Apport_213A2425,3)</f>
        <v>23.619</v>
      </c>
      <c r="I302">
        <f>ROUND(IF(VLOOKUP($A302,EnrollData2324,'2324 Jun 24 Enroll'!I$1,FALSE)+VLOOKUP($A302,EnrollData2324,'2324 Jun 24 Enroll'!M$1,FALSE)-VLOOKUP($A302,EnrollData2324,'2324 Jun 24 Enroll'!J$1,FALSE)='District Calculations'!$F$16+'District Calculations'!$F$25-'District Calculations'!$F$17,VLOOKUP($A302,EnrollData2324,'2324 Jun 24 Enroll'!I$1,FALSE)+VLOOKUP($A302,EnrollData2324,'2324 Jun 24 Enroll'!M$1,FALSE)-VLOOKUP($A302,EnrollData2324,'2324 Jun 24 Enroll'!J$1,FALSE),'District Calculations'!$F$16+'District Calculations'!$F$25-'District Calculations'!$F$17)*Apport_216A2425,3)</f>
        <v>59.057000000000002</v>
      </c>
      <c r="J302">
        <f>ROUND(SUM(D302:I302)/(IF(VLOOKUP($A302,EnrollData2324,'2324 Jun 24 Enroll'!M$1,FALSE)='District Calculations'!$F$25,VLOOKUP($A302,EnrollData2324,'2324 Jun 24 Enroll'!M$1,FALSE),'District Calculations'!$F$25)+IF(VLOOKUP($A302,EnrollData2324,'2324 Jun 24 Enroll'!D$1,FALSE)='District Calculations'!$F$11,VLOOKUP($A302,EnrollData2324,'2324 Jun 24 Enroll'!D$1,FALSE),'District Calculations'!$F$11)),5)</f>
        <v>5.6520000000000001E-2</v>
      </c>
      <c r="K302" s="11">
        <f t="shared" si="60"/>
        <v>4.385E-3</v>
      </c>
      <c r="L302">
        <f>ROUND(IF(VLOOKUP($A302,EnrollData2324,'2324 Jun 24 Enroll'!D$1,FALSE)='District Calculations'!$F$11,VLOOKUP($A302,EnrollData2324,'2324 Jun 24 Enroll'!D$1,FALSE),'District Calculations'!$F$11)*K302,3)</f>
        <v>0</v>
      </c>
      <c r="M302">
        <f>ROUND(IF(VLOOKUP($A302,EnrollData2324,'2324 Jun 24 Enroll'!E$1,FALSE)='District Calculations'!$F$12,VLOOKUP($A302,EnrollData2324,'2324 Jun 24 Enroll'!E$1,FALSE),'District Calculations'!$F$12)*K302,3)</f>
        <v>3.5539999999999998</v>
      </c>
      <c r="N302">
        <f>ROUND(IF(VLOOKUP($A302,EnrollData2324,'2324 Jun 24 Enroll'!F$1,FALSE)='District Calculations'!$F$13,VLOOKUP($A302,EnrollData2324,'2324 Jun 24 Enroll'!F$1,FALSE),'District Calculations'!$F$13)*Apport_223A2425,3)</f>
        <v>0.84599999999999997</v>
      </c>
      <c r="O302">
        <f>ROUND(IF(VLOOKUP($A302,EnrollData2324,'2324 Jun 24 Enroll'!G$1,FALSE)='District Calculations'!$F$14,VLOOKUP($A302,EnrollData2324,'2324 Jun 24 Enroll'!G$1,FALSE),'District Calculations'!$F$14)*Apport_211A2425,3)</f>
        <v>1.877</v>
      </c>
      <c r="P302">
        <f>ROUND(IF(VLOOKUP($A302,EnrollData2324,'2324 Jun 24 Enroll'!H$1,FALSE)='District Calculations'!$F$14,VLOOKUP($A302,EnrollData2324,'2324 Jun 24 Enroll'!H$1,FALSE),'District Calculations'!$F$14)*Apport_214A2425,3)</f>
        <v>1.875</v>
      </c>
      <c r="Q302">
        <f>ROUND(IF(VLOOKUP($A302,EnrollData2324,'2324 Jun 24 Enroll'!I$1,FALSE)+VLOOKUP($A302,EnrollData2324,'2324 Jun 24 Enroll'!M$1,FALSE)-VLOOKUP($A302,EnrollData2324,'2324 Jun 24 Enroll'!J$1,FALSE)='District Calculations'!$F$16+'District Calculations'!$F$25-'District Calculations'!$F$17,VLOOKUP($A302,EnrollData2324,'2324 Jun 24 Enroll'!I$1,FALSE)+VLOOKUP($A302,EnrollData2324,'2324 Jun 24 Enroll'!M$1,FALSE)-VLOOKUP($A302,EnrollData2324,'2324 Jun 24 Enroll'!J$1,FALSE),'District Calculations'!$F$16+'District Calculations'!$F$25-'District Calculations'!$F$17)*Apport_217A2425,3)</f>
        <v>4.7130000000000001</v>
      </c>
      <c r="R302">
        <f>ROUND(SUM(L302:Q302)/IF(VLOOKUP($A302,EnrollData2324,'2324 Jun 24 Enroll'!M$1,FALSE)+VLOOKUP($A302,EnrollData2324,'2324 Jun 24 Enroll'!D$1,FALSE)='District Calculations'!$F$25+'District Calculations'!$F$11,VLOOKUP($A302,EnrollData2324,'2324 Jun 24 Enroll'!M$1,FALSE)+VLOOKUP($A302,EnrollData2324,'2324 Jun 24 Enroll'!D$1,FALSE),'District Calculations'!$F$25+'District Calculations'!$F$11),5)</f>
        <v>4.1200000000000004E-3</v>
      </c>
      <c r="S302" s="11">
        <f t="shared" si="61"/>
        <v>1.8734299999999999E-2</v>
      </c>
      <c r="T302">
        <f>ROUND(IF(VLOOKUP($A302,EnrollData2324,'2324 Jun 24 Enroll'!D$1,FALSE)='District Calculations'!$F$11,VLOOKUP($A302,EnrollData2324,'2324 Jun 24 Enroll'!D$1,FALSE),'District Calculations'!$F$11)*S302,3)</f>
        <v>0</v>
      </c>
      <c r="U302">
        <f>ROUND(IF(VLOOKUP($A302,EnrollData2324,'2324 Jun 24 Enroll'!E$1,FALSE)='District Calculations'!$F$12,VLOOKUP($A302,EnrollData2324,'2324 Jun 24 Enroll'!E$1,FALSE),'District Calculations'!$F$12)*S302,3)</f>
        <v>15.183999999999999</v>
      </c>
      <c r="V302">
        <f>ROUND(IF(VLOOKUP($A302,EnrollData2324,'2324 Jun 24 Enroll'!F$1,FALSE)='District Calculations'!$F$13,VLOOKUP($A302,EnrollData2324,'2324 Jun 24 Enroll'!F$1,FALSE),'District Calculations'!$F$13)*Apport_224A2425,3)</f>
        <v>3.7109999999999999</v>
      </c>
      <c r="W302">
        <f>ROUND(IF(VLOOKUP($A302,EnrollData2324,'2324 Jun 24 Enroll'!G$1,FALSE)='District Calculations'!$F$14,VLOOKUP($A302,EnrollData2324,'2324 Jun 24 Enroll'!G$1,FALSE),'District Calculations'!$F$14)*Apport_212A2425,3)</f>
        <v>8.2279999999999998</v>
      </c>
      <c r="X302">
        <f>ROUND(IF(VLOOKUP($A302,EnrollData2324,'2324 Jun 24 Enroll'!H$1,FALSE)='District Calculations'!$F$14,VLOOKUP($A302,EnrollData2324,'2324 Jun 24 Enroll'!H$1,FALSE),'District Calculations'!$F$14)*Apport_215A2425,3)</f>
        <v>8.1180000000000003</v>
      </c>
      <c r="Y302">
        <f>ROUND(IF(VLOOKUP($A302,EnrollData2324,'2324 Jun 24 Enroll'!I$1,FALSE)+VLOOKUP($A302,EnrollData2324,'2324 Jun 24 Enroll'!M$1,FALSE)-VLOOKUP($A302,EnrollData2324,'2324 Jun 24 Enroll'!J$1,FALSE)='District Calculations'!$F$16+'District Calculations'!$F$25-'District Calculations'!$F$17,VLOOKUP($A302,EnrollData2324,'2324 Jun 24 Enroll'!I$1,FALSE)+VLOOKUP($A302,EnrollData2324,'2324 Jun 24 Enroll'!M$1,FALSE)-VLOOKUP($A302,EnrollData2324,'2324 Jun 24 Enroll'!J$1,FALSE),'District Calculations'!$F$16+'District Calculations'!$F$25-'District Calculations'!$F$17)*Apport_218A2425,3)</f>
        <v>20.257999999999999</v>
      </c>
      <c r="Z302">
        <f>ROUND(SUM(T302:Y302)/IF(VLOOKUP($A302,EnrollData2324,'2324 Jun 24 Enroll'!M$1,FALSE)+VLOOKUP($A302,EnrollData2324,'2324 Jun 24 Enroll'!D$1,FALSE)='District Calculations'!$F$25+'District Calculations'!$F$11,VLOOKUP($A302,EnrollData2324,'2324 Jun 24 Enroll'!M$1,FALSE)+VLOOKUP($A302,EnrollData2324,'2324 Jun 24 Enroll'!D$1,FALSE),'District Calculations'!$F$25+'District Calculations'!$F$11),5)</f>
        <v>1.7780000000000001E-2</v>
      </c>
      <c r="AA302" s="6">
        <f>ROUND($J302*CIS_Base_Salary2425*VLOOKUP($A302,EnrollData2324,'2324 Jun 24 Enroll'!AH$1,FALSE),2)</f>
        <v>4262.68</v>
      </c>
      <c r="AB302" s="6">
        <f>ROUND($J302*CIS_Inc_Salary2425*(VLOOKUP($A302,EnrollData2324,'2324 Jun 24 Enroll'!AI$1,FALSE)+VLOOKUP($A302,EnrollData2324,'2324 Jun 24 Enroll'!AJ$1,FALSE)),2)-AA302</f>
        <v>157.6899999999996</v>
      </c>
      <c r="AC302" s="6" cm="1">
        <f t="array" ref="AC302">ROUND($R302*CAS_Base_Salary2425*VLOOKUP($A302,EnrollData2324,'2324 Jun 24 Enroll'!AH$1,FALSE),2)</f>
        <v>461.23</v>
      </c>
      <c r="AD302" s="6">
        <f>ROUND($R302*CAS_Inc_Salary2425*VLOOKUP($A302,EnrollData2324,'2324 Jun 24 Enroll'!AI$1,FALSE),2)-AC302</f>
        <v>17.069999999999993</v>
      </c>
      <c r="AE302" s="6">
        <f>ROUND($Z302*CLS_Base_Salary2425*VLOOKUP($A302,EnrollData2324,'2324 Jun 24 Enroll'!AH$1,FALSE),2)</f>
        <v>961.95</v>
      </c>
      <c r="AF302" s="6">
        <f>ROUND($Z302*CLS_Inc_Salary2425*VLOOKUP($A302,EnrollData2324,'2324 Jun 24 Enroll'!AI$1,FALSE),2)-AE302</f>
        <v>35.599999999999909</v>
      </c>
      <c r="AG302" cm="1">
        <f t="array" ref="AG302">ROUND(($J302+$R302)*Apport_124X2425,2)</f>
        <v>800.45</v>
      </c>
      <c r="AH302" s="69" cm="1">
        <f t="array" ref="AH302">ROUND(($J302+$R302)*Apport_621X2425*Apport_125XC2425,2)-AG302</f>
        <v>73.899999999999977</v>
      </c>
      <c r="AI302" cm="1">
        <f t="array" ref="AI302">ROUND($Z302*Apport_124X2425,2)</f>
        <v>234.7</v>
      </c>
      <c r="AJ302">
        <f t="shared" si="62"/>
        <v>124.71000000000004</v>
      </c>
      <c r="AK302">
        <f t="shared" si="63"/>
        <v>857.39</v>
      </c>
      <c r="AL302">
        <f t="shared" si="64"/>
        <v>30.6</v>
      </c>
      <c r="AM302">
        <f t="shared" si="65"/>
        <v>208.36</v>
      </c>
      <c r="AN302">
        <f t="shared" si="66"/>
        <v>6.46</v>
      </c>
      <c r="AO302">
        <f>ROUND(($J302*CIS_Inc_Salary2425*(VLOOKUP($A302,EnrollData2324,'2324 Jun 24 Enroll'!AI$1,FALSE)+VLOOKUP($A302,EnrollData2324,'2324 Jun 24 Enroll'!AJ$1,FALSE))/Apport_613Xpd)*Apport_614Xpd,2)</f>
        <v>73.67</v>
      </c>
      <c r="AP302">
        <f t="shared" si="67"/>
        <v>12.9</v>
      </c>
      <c r="AQ302">
        <f t="shared" si="58"/>
        <v>31.48</v>
      </c>
      <c r="AR302" s="6">
        <f>ROUND((VLOOKUP($A302,EnrollData2324,'2324 Jun 24 Enroll'!D$1,FALSE)*Apport_M802425+VLOOKUP($A302,EnrollData2324,'2324 Jun 24 Enroll'!M$1,FALSE)*Apport_M802425+(VLOOKUP($A302,EnrollData2324,'2324 Jun 24 Enroll'!P$1,FALSE)+VLOOKUP($A302,EnrollData2324,'2324 Jun 24 Enroll'!Q$1,FALSE)+VLOOKUP($A302,EnrollData2324,'2324 Jun 24 Enroll'!R$1,FALSE)+VLOOKUP($A302,EnrollData2324,'2324 Jun 24 Enroll'!I$1,FALSE)+VLOOKUP($A302,EnrollData2324,'2324 Jun 24 Enroll'!N$1,FALSE)+VLOOKUP($A302,EnrollData2324,'2324 Jun 24 Enroll'!O$1,FALSE)+VLOOKUP($A302,EnrollData2324,'2324 Jun 24 Enroll'!K$1,FALSE)+VLOOKUP($A302,EnrollData2324,'2324 Jun 24 Enroll'!L$1,FALSE))*Apport_M812425)/(VLOOKUP($A302,EnrollData2324,'2324 Jun 24 Enroll'!M$1,FALSE)+VLOOKUP($A302,EnrollData2324,'2324 Jun 24 Enroll'!D$1,FALSE)),2)</f>
        <v>1602.35</v>
      </c>
      <c r="AS302" s="7">
        <f t="shared" si="59"/>
        <v>9953.1899999999987</v>
      </c>
    </row>
    <row r="303" spans="1:45">
      <c r="A303" s="40" t="s">
        <v>797</v>
      </c>
      <c r="B303" s="40" t="s">
        <v>798</v>
      </c>
      <c r="C303" s="11">
        <f>ROUND((IFERROR((1/IF(VLOOKUP($A303,EnrollData2324,28,FALSE)='District Calculations'!$F$10,VLOOKUP($A303,EnrollData2324,28,FALSE),'District Calculations'!$F$10))*(1+Apport_Z315),0))+Apport_201A2425,6)</f>
        <v>7.4580999999999995E-2</v>
      </c>
      <c r="D303">
        <f>ROUND(IF(VLOOKUP($A303,EnrollData2324,'2324 Jun 24 Enroll'!D$1,FALSE)='District Calculations'!$F$11,VLOOKUP($A303,EnrollData2324,'2324 Jun 24 Enroll'!D$1,FALSE),'District Calculations'!$F$11)*C303,3)</f>
        <v>0</v>
      </c>
      <c r="E303">
        <f>ROUND(IF(VLOOKUP($A303,EnrollData2324,'2324 Jun 24 Enroll'!E$1,FALSE)='District Calculations'!$F$12,VLOOKUP($A303,EnrollData2324,'2324 Jun 24 Enroll'!E$1,FALSE),'District Calculations'!$F$12)*C303,3)</f>
        <v>60.447000000000003</v>
      </c>
      <c r="F303">
        <f>ROUND(IF(VLOOKUP($A303,EnrollData2324,'2324 Jun 24 Enroll'!F$1,FALSE)='District Calculations'!$F$13,VLOOKUP($A303,EnrollData2324,'2324 Jun 24 Enroll'!F$1,FALSE),'District Calculations'!$F$13)*Apport_222A2425,3)</f>
        <v>10.337999999999999</v>
      </c>
      <c r="G303">
        <f>ROUND(IF(VLOOKUP($A303,EnrollData2324,'2324 Jun 24 Enroll'!G$1,FALSE)='District Calculations'!$F$14,VLOOKUP($A303,EnrollData2324,'2324 Jun 24 Enroll'!G$1,FALSE),'District Calculations'!$F$14)*Apport_210A2425,3)</f>
        <v>22.92</v>
      </c>
      <c r="H303">
        <f>ROUND(IF(VLOOKUP($A303,EnrollData2324,'2324 Jun 24 Enroll'!H$1,FALSE)='District Calculations'!$F$15,VLOOKUP($A303,EnrollData2324,'2324 Jun 24 Enroll'!H$1,FALSE),'District Calculations'!$F$15)*Apport_213A2425,3)</f>
        <v>23.619</v>
      </c>
      <c r="I303">
        <f>ROUND(IF(VLOOKUP($A303,EnrollData2324,'2324 Jun 24 Enroll'!I$1,FALSE)+VLOOKUP($A303,EnrollData2324,'2324 Jun 24 Enroll'!M$1,FALSE)-VLOOKUP($A303,EnrollData2324,'2324 Jun 24 Enroll'!J$1,FALSE)='District Calculations'!$F$16+'District Calculations'!$F$25-'District Calculations'!$F$17,VLOOKUP($A303,EnrollData2324,'2324 Jun 24 Enroll'!I$1,FALSE)+VLOOKUP($A303,EnrollData2324,'2324 Jun 24 Enroll'!M$1,FALSE)-VLOOKUP($A303,EnrollData2324,'2324 Jun 24 Enroll'!J$1,FALSE),'District Calculations'!$F$16+'District Calculations'!$F$25-'District Calculations'!$F$17)*Apport_216A2425,3)</f>
        <v>59.057000000000002</v>
      </c>
      <c r="J303">
        <f>ROUND(SUM(D303:I303)/(IF(VLOOKUP($A303,EnrollData2324,'2324 Jun 24 Enroll'!M$1,FALSE)='District Calculations'!$F$25,VLOOKUP($A303,EnrollData2324,'2324 Jun 24 Enroll'!M$1,FALSE),'District Calculations'!$F$25)+IF(VLOOKUP($A303,EnrollData2324,'2324 Jun 24 Enroll'!D$1,FALSE)='District Calculations'!$F$11,VLOOKUP($A303,EnrollData2324,'2324 Jun 24 Enroll'!D$1,FALSE),'District Calculations'!$F$11)),5)</f>
        <v>5.6520000000000001E-2</v>
      </c>
      <c r="K303" s="11">
        <f t="shared" si="60"/>
        <v>4.385E-3</v>
      </c>
      <c r="L303">
        <f>ROUND(IF(VLOOKUP($A303,EnrollData2324,'2324 Jun 24 Enroll'!D$1,FALSE)='District Calculations'!$F$11,VLOOKUP($A303,EnrollData2324,'2324 Jun 24 Enroll'!D$1,FALSE),'District Calculations'!$F$11)*K303,3)</f>
        <v>0</v>
      </c>
      <c r="M303">
        <f>ROUND(IF(VLOOKUP($A303,EnrollData2324,'2324 Jun 24 Enroll'!E$1,FALSE)='District Calculations'!$F$12,VLOOKUP($A303,EnrollData2324,'2324 Jun 24 Enroll'!E$1,FALSE),'District Calculations'!$F$12)*K303,3)</f>
        <v>3.5539999999999998</v>
      </c>
      <c r="N303">
        <f>ROUND(IF(VLOOKUP($A303,EnrollData2324,'2324 Jun 24 Enroll'!F$1,FALSE)='District Calculations'!$F$13,VLOOKUP($A303,EnrollData2324,'2324 Jun 24 Enroll'!F$1,FALSE),'District Calculations'!$F$13)*Apport_223A2425,3)</f>
        <v>0.84599999999999997</v>
      </c>
      <c r="O303">
        <f>ROUND(IF(VLOOKUP($A303,EnrollData2324,'2324 Jun 24 Enroll'!G$1,FALSE)='District Calculations'!$F$14,VLOOKUP($A303,EnrollData2324,'2324 Jun 24 Enroll'!G$1,FALSE),'District Calculations'!$F$14)*Apport_211A2425,3)</f>
        <v>1.877</v>
      </c>
      <c r="P303">
        <f>ROUND(IF(VLOOKUP($A303,EnrollData2324,'2324 Jun 24 Enroll'!H$1,FALSE)='District Calculations'!$F$14,VLOOKUP($A303,EnrollData2324,'2324 Jun 24 Enroll'!H$1,FALSE),'District Calculations'!$F$14)*Apport_214A2425,3)</f>
        <v>1.875</v>
      </c>
      <c r="Q303">
        <f>ROUND(IF(VLOOKUP($A303,EnrollData2324,'2324 Jun 24 Enroll'!I$1,FALSE)+VLOOKUP($A303,EnrollData2324,'2324 Jun 24 Enroll'!M$1,FALSE)-VLOOKUP($A303,EnrollData2324,'2324 Jun 24 Enroll'!J$1,FALSE)='District Calculations'!$F$16+'District Calculations'!$F$25-'District Calculations'!$F$17,VLOOKUP($A303,EnrollData2324,'2324 Jun 24 Enroll'!I$1,FALSE)+VLOOKUP($A303,EnrollData2324,'2324 Jun 24 Enroll'!M$1,FALSE)-VLOOKUP($A303,EnrollData2324,'2324 Jun 24 Enroll'!J$1,FALSE),'District Calculations'!$F$16+'District Calculations'!$F$25-'District Calculations'!$F$17)*Apport_217A2425,3)</f>
        <v>4.7130000000000001</v>
      </c>
      <c r="R303">
        <f>ROUND(SUM(L303:Q303)/IF(VLOOKUP($A303,EnrollData2324,'2324 Jun 24 Enroll'!M$1,FALSE)+VLOOKUP($A303,EnrollData2324,'2324 Jun 24 Enroll'!D$1,FALSE)='District Calculations'!$F$25+'District Calculations'!$F$11,VLOOKUP($A303,EnrollData2324,'2324 Jun 24 Enroll'!M$1,FALSE)+VLOOKUP($A303,EnrollData2324,'2324 Jun 24 Enroll'!D$1,FALSE),'District Calculations'!$F$25+'District Calculations'!$F$11),5)</f>
        <v>4.1200000000000004E-3</v>
      </c>
      <c r="S303" s="11">
        <f t="shared" si="61"/>
        <v>1.8734299999999999E-2</v>
      </c>
      <c r="T303">
        <f>ROUND(IF(VLOOKUP($A303,EnrollData2324,'2324 Jun 24 Enroll'!D$1,FALSE)='District Calculations'!$F$11,VLOOKUP($A303,EnrollData2324,'2324 Jun 24 Enroll'!D$1,FALSE),'District Calculations'!$F$11)*S303,3)</f>
        <v>0</v>
      </c>
      <c r="U303">
        <f>ROUND(IF(VLOOKUP($A303,EnrollData2324,'2324 Jun 24 Enroll'!E$1,FALSE)='District Calculations'!$F$12,VLOOKUP($A303,EnrollData2324,'2324 Jun 24 Enroll'!E$1,FALSE),'District Calculations'!$F$12)*S303,3)</f>
        <v>15.183999999999999</v>
      </c>
      <c r="V303">
        <f>ROUND(IF(VLOOKUP($A303,EnrollData2324,'2324 Jun 24 Enroll'!F$1,FALSE)='District Calculations'!$F$13,VLOOKUP($A303,EnrollData2324,'2324 Jun 24 Enroll'!F$1,FALSE),'District Calculations'!$F$13)*Apport_224A2425,3)</f>
        <v>3.7109999999999999</v>
      </c>
      <c r="W303">
        <f>ROUND(IF(VLOOKUP($A303,EnrollData2324,'2324 Jun 24 Enroll'!G$1,FALSE)='District Calculations'!$F$14,VLOOKUP($A303,EnrollData2324,'2324 Jun 24 Enroll'!G$1,FALSE),'District Calculations'!$F$14)*Apport_212A2425,3)</f>
        <v>8.2279999999999998</v>
      </c>
      <c r="X303">
        <f>ROUND(IF(VLOOKUP($A303,EnrollData2324,'2324 Jun 24 Enroll'!H$1,FALSE)='District Calculations'!$F$14,VLOOKUP($A303,EnrollData2324,'2324 Jun 24 Enroll'!H$1,FALSE),'District Calculations'!$F$14)*Apport_215A2425,3)</f>
        <v>8.1180000000000003</v>
      </c>
      <c r="Y303">
        <f>ROUND(IF(VLOOKUP($A303,EnrollData2324,'2324 Jun 24 Enroll'!I$1,FALSE)+VLOOKUP($A303,EnrollData2324,'2324 Jun 24 Enroll'!M$1,FALSE)-VLOOKUP($A303,EnrollData2324,'2324 Jun 24 Enroll'!J$1,FALSE)='District Calculations'!$F$16+'District Calculations'!$F$25-'District Calculations'!$F$17,VLOOKUP($A303,EnrollData2324,'2324 Jun 24 Enroll'!I$1,FALSE)+VLOOKUP($A303,EnrollData2324,'2324 Jun 24 Enroll'!M$1,FALSE)-VLOOKUP($A303,EnrollData2324,'2324 Jun 24 Enroll'!J$1,FALSE),'District Calculations'!$F$16+'District Calculations'!$F$25-'District Calculations'!$F$17)*Apport_218A2425,3)</f>
        <v>20.257999999999999</v>
      </c>
      <c r="Z303">
        <f>ROUND(SUM(T303:Y303)/IF(VLOOKUP($A303,EnrollData2324,'2324 Jun 24 Enroll'!M$1,FALSE)+VLOOKUP($A303,EnrollData2324,'2324 Jun 24 Enroll'!D$1,FALSE)='District Calculations'!$F$25+'District Calculations'!$F$11,VLOOKUP($A303,EnrollData2324,'2324 Jun 24 Enroll'!M$1,FALSE)+VLOOKUP($A303,EnrollData2324,'2324 Jun 24 Enroll'!D$1,FALSE),'District Calculations'!$F$25+'District Calculations'!$F$11),5)</f>
        <v>1.7780000000000001E-2</v>
      </c>
      <c r="AA303" s="6">
        <f>ROUND($J303*CIS_Base_Salary2425*VLOOKUP($A303,EnrollData2324,'2324 Jun 24 Enroll'!AH$1,FALSE),2)</f>
        <v>4262.68</v>
      </c>
      <c r="AB303" s="6">
        <f>ROUND($J303*CIS_Inc_Salary2425*(VLOOKUP($A303,EnrollData2324,'2324 Jun 24 Enroll'!AI$1,FALSE)+VLOOKUP($A303,EnrollData2324,'2324 Jun 24 Enroll'!AJ$1,FALSE)),2)-AA303</f>
        <v>334.50999999999931</v>
      </c>
      <c r="AC303" s="6" cm="1">
        <f t="array" ref="AC303">ROUND($R303*CAS_Base_Salary2425*VLOOKUP($A303,EnrollData2324,'2324 Jun 24 Enroll'!AH$1,FALSE),2)</f>
        <v>461.23</v>
      </c>
      <c r="AD303" s="6">
        <f>ROUND($R303*CAS_Inc_Salary2425*VLOOKUP($A303,EnrollData2324,'2324 Jun 24 Enroll'!AI$1,FALSE),2)-AC303</f>
        <v>17.069999999999993</v>
      </c>
      <c r="AE303" s="6">
        <f>ROUND($Z303*CLS_Base_Salary2425*VLOOKUP($A303,EnrollData2324,'2324 Jun 24 Enroll'!AH$1,FALSE),2)</f>
        <v>961.95</v>
      </c>
      <c r="AF303" s="6">
        <f>ROUND($Z303*CLS_Inc_Salary2425*VLOOKUP($A303,EnrollData2324,'2324 Jun 24 Enroll'!AI$1,FALSE),2)-AE303</f>
        <v>35.599999999999909</v>
      </c>
      <c r="AG303" cm="1">
        <f t="array" ref="AG303">ROUND(($J303+$R303)*Apport_124X2425,2)</f>
        <v>800.45</v>
      </c>
      <c r="AH303" s="69" cm="1">
        <f t="array" ref="AH303">ROUND(($J303+$R303)*Apport_621X2425*Apport_125XC2425,2)-AG303</f>
        <v>73.899999999999977</v>
      </c>
      <c r="AI303" cm="1">
        <f t="array" ref="AI303">ROUND($Z303*Apport_124X2425,2)</f>
        <v>234.7</v>
      </c>
      <c r="AJ303">
        <f t="shared" si="62"/>
        <v>124.71000000000004</v>
      </c>
      <c r="AK303">
        <f t="shared" si="63"/>
        <v>857.39</v>
      </c>
      <c r="AL303">
        <f t="shared" si="64"/>
        <v>61.56</v>
      </c>
      <c r="AM303">
        <f t="shared" si="65"/>
        <v>208.36</v>
      </c>
      <c r="AN303">
        <f t="shared" si="66"/>
        <v>6.46</v>
      </c>
      <c r="AO303">
        <f>ROUND(($J303*CIS_Inc_Salary2425*(VLOOKUP($A303,EnrollData2324,'2324 Jun 24 Enroll'!AI$1,FALSE)+VLOOKUP($A303,EnrollData2324,'2324 Jun 24 Enroll'!AJ$1,FALSE))/Apport_613Xpd)*Apport_614Xpd,2)</f>
        <v>76.62</v>
      </c>
      <c r="AP303">
        <f t="shared" si="67"/>
        <v>13.42</v>
      </c>
      <c r="AQ303">
        <f t="shared" si="58"/>
        <v>31.48</v>
      </c>
      <c r="AR303" s="6">
        <f>ROUND((VLOOKUP($A303,EnrollData2324,'2324 Jun 24 Enroll'!D$1,FALSE)*Apport_M802425+VLOOKUP($A303,EnrollData2324,'2324 Jun 24 Enroll'!M$1,FALSE)*Apport_M802425+(VLOOKUP($A303,EnrollData2324,'2324 Jun 24 Enroll'!P$1,FALSE)+VLOOKUP($A303,EnrollData2324,'2324 Jun 24 Enroll'!Q$1,FALSE)+VLOOKUP($A303,EnrollData2324,'2324 Jun 24 Enroll'!R$1,FALSE)+VLOOKUP($A303,EnrollData2324,'2324 Jun 24 Enroll'!I$1,FALSE)+VLOOKUP($A303,EnrollData2324,'2324 Jun 24 Enroll'!N$1,FALSE)+VLOOKUP($A303,EnrollData2324,'2324 Jun 24 Enroll'!O$1,FALSE)+VLOOKUP($A303,EnrollData2324,'2324 Jun 24 Enroll'!K$1,FALSE)+VLOOKUP($A303,EnrollData2324,'2324 Jun 24 Enroll'!L$1,FALSE))*Apport_M812425)/(VLOOKUP($A303,EnrollData2324,'2324 Jun 24 Enroll'!M$1,FALSE)+VLOOKUP($A303,EnrollData2324,'2324 Jun 24 Enroll'!D$1,FALSE)),2)</f>
        <v>1533.02</v>
      </c>
      <c r="AS303" s="7">
        <f t="shared" si="59"/>
        <v>10095.109999999999</v>
      </c>
    </row>
    <row r="304" spans="1:45">
      <c r="A304" s="40" t="s">
        <v>394</v>
      </c>
      <c r="B304" s="40" t="s">
        <v>395</v>
      </c>
      <c r="C304" s="11">
        <f>ROUND((IFERROR((1/IF(VLOOKUP($A304,EnrollData2324,28,FALSE)='District Calculations'!$F$10,VLOOKUP($A304,EnrollData2324,28,FALSE),'District Calculations'!$F$10))*(1+Apport_Z315),0))+Apport_201A2425,6)</f>
        <v>7.4580999999999995E-2</v>
      </c>
      <c r="D304">
        <f>ROUND(IF(VLOOKUP($A304,EnrollData2324,'2324 Jun 24 Enroll'!D$1,FALSE)='District Calculations'!$F$11,VLOOKUP($A304,EnrollData2324,'2324 Jun 24 Enroll'!D$1,FALSE),'District Calculations'!$F$11)*C304,3)</f>
        <v>0</v>
      </c>
      <c r="E304">
        <f>ROUND(IF(VLOOKUP($A304,EnrollData2324,'2324 Jun 24 Enroll'!E$1,FALSE)='District Calculations'!$F$12,VLOOKUP($A304,EnrollData2324,'2324 Jun 24 Enroll'!E$1,FALSE),'District Calculations'!$F$12)*C304,3)</f>
        <v>60.447000000000003</v>
      </c>
      <c r="F304">
        <f>ROUND(IF(VLOOKUP($A304,EnrollData2324,'2324 Jun 24 Enroll'!F$1,FALSE)='District Calculations'!$F$13,VLOOKUP($A304,EnrollData2324,'2324 Jun 24 Enroll'!F$1,FALSE),'District Calculations'!$F$13)*Apport_222A2425,3)</f>
        <v>10.337999999999999</v>
      </c>
      <c r="G304">
        <f>ROUND(IF(VLOOKUP($A304,EnrollData2324,'2324 Jun 24 Enroll'!G$1,FALSE)='District Calculations'!$F$14,VLOOKUP($A304,EnrollData2324,'2324 Jun 24 Enroll'!G$1,FALSE),'District Calculations'!$F$14)*Apport_210A2425,3)</f>
        <v>22.92</v>
      </c>
      <c r="H304">
        <f>ROUND(IF(VLOOKUP($A304,EnrollData2324,'2324 Jun 24 Enroll'!H$1,FALSE)='District Calculations'!$F$15,VLOOKUP($A304,EnrollData2324,'2324 Jun 24 Enroll'!H$1,FALSE),'District Calculations'!$F$15)*Apport_213A2425,3)</f>
        <v>23.619</v>
      </c>
      <c r="I304">
        <f>ROUND(IF(VLOOKUP($A304,EnrollData2324,'2324 Jun 24 Enroll'!I$1,FALSE)+VLOOKUP($A304,EnrollData2324,'2324 Jun 24 Enroll'!M$1,FALSE)-VLOOKUP($A304,EnrollData2324,'2324 Jun 24 Enroll'!J$1,FALSE)='District Calculations'!$F$16+'District Calculations'!$F$25-'District Calculations'!$F$17,VLOOKUP($A304,EnrollData2324,'2324 Jun 24 Enroll'!I$1,FALSE)+VLOOKUP($A304,EnrollData2324,'2324 Jun 24 Enroll'!M$1,FALSE)-VLOOKUP($A304,EnrollData2324,'2324 Jun 24 Enroll'!J$1,FALSE),'District Calculations'!$F$16+'District Calculations'!$F$25-'District Calculations'!$F$17)*Apport_216A2425,3)</f>
        <v>59.057000000000002</v>
      </c>
      <c r="J304">
        <f>ROUND(SUM(D304:I304)/(IF(VLOOKUP($A304,EnrollData2324,'2324 Jun 24 Enroll'!M$1,FALSE)='District Calculations'!$F$25,VLOOKUP($A304,EnrollData2324,'2324 Jun 24 Enroll'!M$1,FALSE),'District Calculations'!$F$25)+IF(VLOOKUP($A304,EnrollData2324,'2324 Jun 24 Enroll'!D$1,FALSE)='District Calculations'!$F$11,VLOOKUP($A304,EnrollData2324,'2324 Jun 24 Enroll'!D$1,FALSE),'District Calculations'!$F$11)),5)</f>
        <v>5.6520000000000001E-2</v>
      </c>
      <c r="K304" s="11">
        <f t="shared" si="60"/>
        <v>4.385E-3</v>
      </c>
      <c r="L304">
        <f>ROUND(IF(VLOOKUP($A304,EnrollData2324,'2324 Jun 24 Enroll'!D$1,FALSE)='District Calculations'!$F$11,VLOOKUP($A304,EnrollData2324,'2324 Jun 24 Enroll'!D$1,FALSE),'District Calculations'!$F$11)*K304,3)</f>
        <v>0</v>
      </c>
      <c r="M304">
        <f>ROUND(IF(VLOOKUP($A304,EnrollData2324,'2324 Jun 24 Enroll'!E$1,FALSE)='District Calculations'!$F$12,VLOOKUP($A304,EnrollData2324,'2324 Jun 24 Enroll'!E$1,FALSE),'District Calculations'!$F$12)*K304,3)</f>
        <v>3.5539999999999998</v>
      </c>
      <c r="N304">
        <f>ROUND(IF(VLOOKUP($A304,EnrollData2324,'2324 Jun 24 Enroll'!F$1,FALSE)='District Calculations'!$F$13,VLOOKUP($A304,EnrollData2324,'2324 Jun 24 Enroll'!F$1,FALSE),'District Calculations'!$F$13)*Apport_223A2425,3)</f>
        <v>0.84599999999999997</v>
      </c>
      <c r="O304">
        <f>ROUND(IF(VLOOKUP($A304,EnrollData2324,'2324 Jun 24 Enroll'!G$1,FALSE)='District Calculations'!$F$14,VLOOKUP($A304,EnrollData2324,'2324 Jun 24 Enroll'!G$1,FALSE),'District Calculations'!$F$14)*Apport_211A2425,3)</f>
        <v>1.877</v>
      </c>
      <c r="P304">
        <f>ROUND(IF(VLOOKUP($A304,EnrollData2324,'2324 Jun 24 Enroll'!H$1,FALSE)='District Calculations'!$F$14,VLOOKUP($A304,EnrollData2324,'2324 Jun 24 Enroll'!H$1,FALSE),'District Calculations'!$F$14)*Apport_214A2425,3)</f>
        <v>1.875</v>
      </c>
      <c r="Q304">
        <f>ROUND(IF(VLOOKUP($A304,EnrollData2324,'2324 Jun 24 Enroll'!I$1,FALSE)+VLOOKUP($A304,EnrollData2324,'2324 Jun 24 Enroll'!M$1,FALSE)-VLOOKUP($A304,EnrollData2324,'2324 Jun 24 Enroll'!J$1,FALSE)='District Calculations'!$F$16+'District Calculations'!$F$25-'District Calculations'!$F$17,VLOOKUP($A304,EnrollData2324,'2324 Jun 24 Enroll'!I$1,FALSE)+VLOOKUP($A304,EnrollData2324,'2324 Jun 24 Enroll'!M$1,FALSE)-VLOOKUP($A304,EnrollData2324,'2324 Jun 24 Enroll'!J$1,FALSE),'District Calculations'!$F$16+'District Calculations'!$F$25-'District Calculations'!$F$17)*Apport_217A2425,3)</f>
        <v>4.7130000000000001</v>
      </c>
      <c r="R304">
        <f>ROUND(SUM(L304:Q304)/IF(VLOOKUP($A304,EnrollData2324,'2324 Jun 24 Enroll'!M$1,FALSE)+VLOOKUP($A304,EnrollData2324,'2324 Jun 24 Enroll'!D$1,FALSE)='District Calculations'!$F$25+'District Calculations'!$F$11,VLOOKUP($A304,EnrollData2324,'2324 Jun 24 Enroll'!M$1,FALSE)+VLOOKUP($A304,EnrollData2324,'2324 Jun 24 Enroll'!D$1,FALSE),'District Calculations'!$F$25+'District Calculations'!$F$11),5)</f>
        <v>4.1200000000000004E-3</v>
      </c>
      <c r="S304" s="11">
        <f t="shared" si="61"/>
        <v>1.8734299999999999E-2</v>
      </c>
      <c r="T304">
        <f>ROUND(IF(VLOOKUP($A304,EnrollData2324,'2324 Jun 24 Enroll'!D$1,FALSE)='District Calculations'!$F$11,VLOOKUP($A304,EnrollData2324,'2324 Jun 24 Enroll'!D$1,FALSE),'District Calculations'!$F$11)*S304,3)</f>
        <v>0</v>
      </c>
      <c r="U304">
        <f>ROUND(IF(VLOOKUP($A304,EnrollData2324,'2324 Jun 24 Enroll'!E$1,FALSE)='District Calculations'!$F$12,VLOOKUP($A304,EnrollData2324,'2324 Jun 24 Enroll'!E$1,FALSE),'District Calculations'!$F$12)*S304,3)</f>
        <v>15.183999999999999</v>
      </c>
      <c r="V304">
        <f>ROUND(IF(VLOOKUP($A304,EnrollData2324,'2324 Jun 24 Enroll'!F$1,FALSE)='District Calculations'!$F$13,VLOOKUP($A304,EnrollData2324,'2324 Jun 24 Enroll'!F$1,FALSE),'District Calculations'!$F$13)*Apport_224A2425,3)</f>
        <v>3.7109999999999999</v>
      </c>
      <c r="W304">
        <f>ROUND(IF(VLOOKUP($A304,EnrollData2324,'2324 Jun 24 Enroll'!G$1,FALSE)='District Calculations'!$F$14,VLOOKUP($A304,EnrollData2324,'2324 Jun 24 Enroll'!G$1,FALSE),'District Calculations'!$F$14)*Apport_212A2425,3)</f>
        <v>8.2279999999999998</v>
      </c>
      <c r="X304">
        <f>ROUND(IF(VLOOKUP($A304,EnrollData2324,'2324 Jun 24 Enroll'!H$1,FALSE)='District Calculations'!$F$14,VLOOKUP($A304,EnrollData2324,'2324 Jun 24 Enroll'!H$1,FALSE),'District Calculations'!$F$14)*Apport_215A2425,3)</f>
        <v>8.1180000000000003</v>
      </c>
      <c r="Y304">
        <f>ROUND(IF(VLOOKUP($A304,EnrollData2324,'2324 Jun 24 Enroll'!I$1,FALSE)+VLOOKUP($A304,EnrollData2324,'2324 Jun 24 Enroll'!M$1,FALSE)-VLOOKUP($A304,EnrollData2324,'2324 Jun 24 Enroll'!J$1,FALSE)='District Calculations'!$F$16+'District Calculations'!$F$25-'District Calculations'!$F$17,VLOOKUP($A304,EnrollData2324,'2324 Jun 24 Enroll'!I$1,FALSE)+VLOOKUP($A304,EnrollData2324,'2324 Jun 24 Enroll'!M$1,FALSE)-VLOOKUP($A304,EnrollData2324,'2324 Jun 24 Enroll'!J$1,FALSE),'District Calculations'!$F$16+'District Calculations'!$F$25-'District Calculations'!$F$17)*Apport_218A2425,3)</f>
        <v>20.257999999999999</v>
      </c>
      <c r="Z304">
        <f>ROUND(SUM(T304:Y304)/IF(VLOOKUP($A304,EnrollData2324,'2324 Jun 24 Enroll'!M$1,FALSE)+VLOOKUP($A304,EnrollData2324,'2324 Jun 24 Enroll'!D$1,FALSE)='District Calculations'!$F$25+'District Calculations'!$F$11,VLOOKUP($A304,EnrollData2324,'2324 Jun 24 Enroll'!M$1,FALSE)+VLOOKUP($A304,EnrollData2324,'2324 Jun 24 Enroll'!D$1,FALSE),'District Calculations'!$F$25+'District Calculations'!$F$11),5)</f>
        <v>1.7780000000000001E-2</v>
      </c>
      <c r="AA304" s="6">
        <f>ROUND($J304*CIS_Base_Salary2425*VLOOKUP($A304,EnrollData2324,'2324 Jun 24 Enroll'!AH$1,FALSE),2)</f>
        <v>4262.68</v>
      </c>
      <c r="AB304" s="6">
        <f>ROUND($J304*CIS_Inc_Salary2425*(VLOOKUP($A304,EnrollData2324,'2324 Jun 24 Enroll'!AI$1,FALSE)+VLOOKUP($A304,EnrollData2324,'2324 Jun 24 Enroll'!AJ$1,FALSE)),2)-AA304</f>
        <v>201.89999999999964</v>
      </c>
      <c r="AC304" s="6" cm="1">
        <f t="array" ref="AC304">ROUND($R304*CAS_Base_Salary2425*VLOOKUP($A304,EnrollData2324,'2324 Jun 24 Enroll'!AH$1,FALSE),2)</f>
        <v>461.23</v>
      </c>
      <c r="AD304" s="6">
        <f>ROUND($R304*CAS_Inc_Salary2425*VLOOKUP($A304,EnrollData2324,'2324 Jun 24 Enroll'!AI$1,FALSE),2)-AC304</f>
        <v>17.069999999999993</v>
      </c>
      <c r="AE304" s="6">
        <f>ROUND($Z304*CLS_Base_Salary2425*VLOOKUP($A304,EnrollData2324,'2324 Jun 24 Enroll'!AH$1,FALSE),2)</f>
        <v>961.95</v>
      </c>
      <c r="AF304" s="6">
        <f>ROUND($Z304*CLS_Inc_Salary2425*VLOOKUP($A304,EnrollData2324,'2324 Jun 24 Enroll'!AI$1,FALSE),2)-AE304</f>
        <v>35.599999999999909</v>
      </c>
      <c r="AG304" cm="1">
        <f t="array" ref="AG304">ROUND(($J304+$R304)*Apport_124X2425,2)</f>
        <v>800.45</v>
      </c>
      <c r="AH304" s="69" cm="1">
        <f t="array" ref="AH304">ROUND(($J304+$R304)*Apport_621X2425*Apport_125XC2425,2)-AG304</f>
        <v>73.899999999999977</v>
      </c>
      <c r="AI304" cm="1">
        <f t="array" ref="AI304">ROUND($Z304*Apport_124X2425,2)</f>
        <v>234.7</v>
      </c>
      <c r="AJ304">
        <f t="shared" si="62"/>
        <v>124.71000000000004</v>
      </c>
      <c r="AK304">
        <f t="shared" si="63"/>
        <v>857.39</v>
      </c>
      <c r="AL304">
        <f t="shared" si="64"/>
        <v>38.340000000000003</v>
      </c>
      <c r="AM304">
        <f t="shared" si="65"/>
        <v>208.36</v>
      </c>
      <c r="AN304">
        <f t="shared" si="66"/>
        <v>6.46</v>
      </c>
      <c r="AO304">
        <f>ROUND(($J304*CIS_Inc_Salary2425*(VLOOKUP($A304,EnrollData2324,'2324 Jun 24 Enroll'!AI$1,FALSE)+VLOOKUP($A304,EnrollData2324,'2324 Jun 24 Enroll'!AJ$1,FALSE))/Apport_613Xpd)*Apport_614Xpd,2)</f>
        <v>74.41</v>
      </c>
      <c r="AP304">
        <f t="shared" si="67"/>
        <v>13.03</v>
      </c>
      <c r="AQ304">
        <f t="shared" si="58"/>
        <v>31.48</v>
      </c>
      <c r="AR304" s="6">
        <f>ROUND((VLOOKUP($A304,EnrollData2324,'2324 Jun 24 Enroll'!D$1,FALSE)*Apport_M802425+VLOOKUP($A304,EnrollData2324,'2324 Jun 24 Enroll'!M$1,FALSE)*Apport_M802425+(VLOOKUP($A304,EnrollData2324,'2324 Jun 24 Enroll'!P$1,FALSE)+VLOOKUP($A304,EnrollData2324,'2324 Jun 24 Enroll'!Q$1,FALSE)+VLOOKUP($A304,EnrollData2324,'2324 Jun 24 Enroll'!R$1,FALSE)+VLOOKUP($A304,EnrollData2324,'2324 Jun 24 Enroll'!I$1,FALSE)+VLOOKUP($A304,EnrollData2324,'2324 Jun 24 Enroll'!N$1,FALSE)+VLOOKUP($A304,EnrollData2324,'2324 Jun 24 Enroll'!O$1,FALSE)+VLOOKUP($A304,EnrollData2324,'2324 Jun 24 Enroll'!K$1,FALSE)+VLOOKUP($A304,EnrollData2324,'2324 Jun 24 Enroll'!L$1,FALSE))*Apport_M812425)/(VLOOKUP($A304,EnrollData2324,'2324 Jun 24 Enroll'!M$1,FALSE)+VLOOKUP($A304,EnrollData2324,'2324 Jun 24 Enroll'!D$1,FALSE)),2)</f>
        <v>1577.77</v>
      </c>
      <c r="AS304" s="7">
        <f t="shared" si="59"/>
        <v>9981.4299999999985</v>
      </c>
    </row>
    <row r="305" spans="1:45">
      <c r="A305" s="40" t="s">
        <v>448</v>
      </c>
      <c r="B305" s="40" t="s">
        <v>449</v>
      </c>
      <c r="C305" s="11">
        <f>ROUND((IFERROR((1/IF(VLOOKUP($A305,EnrollData2324,28,FALSE)='District Calculations'!$F$10,VLOOKUP($A305,EnrollData2324,28,FALSE),'District Calculations'!$F$10))*(1+Apport_Z315),0))+Apport_201A2425,6)</f>
        <v>7.4580999999999995E-2</v>
      </c>
      <c r="D305">
        <f>ROUND(IF(VLOOKUP($A305,EnrollData2324,'2324 Jun 24 Enroll'!D$1,FALSE)='District Calculations'!$F$11,VLOOKUP($A305,EnrollData2324,'2324 Jun 24 Enroll'!D$1,FALSE),'District Calculations'!$F$11)*C305,3)</f>
        <v>0</v>
      </c>
      <c r="E305">
        <f>ROUND(IF(VLOOKUP($A305,EnrollData2324,'2324 Jun 24 Enroll'!E$1,FALSE)='District Calculations'!$F$12,VLOOKUP($A305,EnrollData2324,'2324 Jun 24 Enroll'!E$1,FALSE),'District Calculations'!$F$12)*C305,3)</f>
        <v>60.447000000000003</v>
      </c>
      <c r="F305">
        <f>ROUND(IF(VLOOKUP($A305,EnrollData2324,'2324 Jun 24 Enroll'!F$1,FALSE)='District Calculations'!$F$13,VLOOKUP($A305,EnrollData2324,'2324 Jun 24 Enroll'!F$1,FALSE),'District Calculations'!$F$13)*Apport_222A2425,3)</f>
        <v>10.337999999999999</v>
      </c>
      <c r="G305">
        <f>ROUND(IF(VLOOKUP($A305,EnrollData2324,'2324 Jun 24 Enroll'!G$1,FALSE)='District Calculations'!$F$14,VLOOKUP($A305,EnrollData2324,'2324 Jun 24 Enroll'!G$1,FALSE),'District Calculations'!$F$14)*Apport_210A2425,3)</f>
        <v>22.92</v>
      </c>
      <c r="H305">
        <f>ROUND(IF(VLOOKUP($A305,EnrollData2324,'2324 Jun 24 Enroll'!H$1,FALSE)='District Calculations'!$F$15,VLOOKUP($A305,EnrollData2324,'2324 Jun 24 Enroll'!H$1,FALSE),'District Calculations'!$F$15)*Apport_213A2425,3)</f>
        <v>23.619</v>
      </c>
      <c r="I305">
        <f>ROUND(IF(VLOOKUP($A305,EnrollData2324,'2324 Jun 24 Enroll'!I$1,FALSE)+VLOOKUP($A305,EnrollData2324,'2324 Jun 24 Enroll'!M$1,FALSE)-VLOOKUP($A305,EnrollData2324,'2324 Jun 24 Enroll'!J$1,FALSE)='District Calculations'!$F$16+'District Calculations'!$F$25-'District Calculations'!$F$17,VLOOKUP($A305,EnrollData2324,'2324 Jun 24 Enroll'!I$1,FALSE)+VLOOKUP($A305,EnrollData2324,'2324 Jun 24 Enroll'!M$1,FALSE)-VLOOKUP($A305,EnrollData2324,'2324 Jun 24 Enroll'!J$1,FALSE),'District Calculations'!$F$16+'District Calculations'!$F$25-'District Calculations'!$F$17)*Apport_216A2425,3)</f>
        <v>59.057000000000002</v>
      </c>
      <c r="J305">
        <f>ROUND(SUM(D305:I305)/(IF(VLOOKUP($A305,EnrollData2324,'2324 Jun 24 Enroll'!M$1,FALSE)='District Calculations'!$F$25,VLOOKUP($A305,EnrollData2324,'2324 Jun 24 Enroll'!M$1,FALSE),'District Calculations'!$F$25)+IF(VLOOKUP($A305,EnrollData2324,'2324 Jun 24 Enroll'!D$1,FALSE)='District Calculations'!$F$11,VLOOKUP($A305,EnrollData2324,'2324 Jun 24 Enroll'!D$1,FALSE),'District Calculations'!$F$11)),5)</f>
        <v>5.6520000000000001E-2</v>
      </c>
      <c r="K305" s="11">
        <f t="shared" si="60"/>
        <v>4.385E-3</v>
      </c>
      <c r="L305">
        <f>ROUND(IF(VLOOKUP($A305,EnrollData2324,'2324 Jun 24 Enroll'!D$1,FALSE)='District Calculations'!$F$11,VLOOKUP($A305,EnrollData2324,'2324 Jun 24 Enroll'!D$1,FALSE),'District Calculations'!$F$11)*K305,3)</f>
        <v>0</v>
      </c>
      <c r="M305">
        <f>ROUND(IF(VLOOKUP($A305,EnrollData2324,'2324 Jun 24 Enroll'!E$1,FALSE)='District Calculations'!$F$12,VLOOKUP($A305,EnrollData2324,'2324 Jun 24 Enroll'!E$1,FALSE),'District Calculations'!$F$12)*K305,3)</f>
        <v>3.5539999999999998</v>
      </c>
      <c r="N305">
        <f>ROUND(IF(VLOOKUP($A305,EnrollData2324,'2324 Jun 24 Enroll'!F$1,FALSE)='District Calculations'!$F$13,VLOOKUP($A305,EnrollData2324,'2324 Jun 24 Enroll'!F$1,FALSE),'District Calculations'!$F$13)*Apport_223A2425,3)</f>
        <v>0.84599999999999997</v>
      </c>
      <c r="O305">
        <f>ROUND(IF(VLOOKUP($A305,EnrollData2324,'2324 Jun 24 Enroll'!G$1,FALSE)='District Calculations'!$F$14,VLOOKUP($A305,EnrollData2324,'2324 Jun 24 Enroll'!G$1,FALSE),'District Calculations'!$F$14)*Apport_211A2425,3)</f>
        <v>1.877</v>
      </c>
      <c r="P305">
        <f>ROUND(IF(VLOOKUP($A305,EnrollData2324,'2324 Jun 24 Enroll'!H$1,FALSE)='District Calculations'!$F$14,VLOOKUP($A305,EnrollData2324,'2324 Jun 24 Enroll'!H$1,FALSE),'District Calculations'!$F$14)*Apport_214A2425,3)</f>
        <v>1.875</v>
      </c>
      <c r="Q305">
        <f>ROUND(IF(VLOOKUP($A305,EnrollData2324,'2324 Jun 24 Enroll'!I$1,FALSE)+VLOOKUP($A305,EnrollData2324,'2324 Jun 24 Enroll'!M$1,FALSE)-VLOOKUP($A305,EnrollData2324,'2324 Jun 24 Enroll'!J$1,FALSE)='District Calculations'!$F$16+'District Calculations'!$F$25-'District Calculations'!$F$17,VLOOKUP($A305,EnrollData2324,'2324 Jun 24 Enroll'!I$1,FALSE)+VLOOKUP($A305,EnrollData2324,'2324 Jun 24 Enroll'!M$1,FALSE)-VLOOKUP($A305,EnrollData2324,'2324 Jun 24 Enroll'!J$1,FALSE),'District Calculations'!$F$16+'District Calculations'!$F$25-'District Calculations'!$F$17)*Apport_217A2425,3)</f>
        <v>4.7130000000000001</v>
      </c>
      <c r="R305">
        <f>ROUND(SUM(L305:Q305)/IF(VLOOKUP($A305,EnrollData2324,'2324 Jun 24 Enroll'!M$1,FALSE)+VLOOKUP($A305,EnrollData2324,'2324 Jun 24 Enroll'!D$1,FALSE)='District Calculations'!$F$25+'District Calculations'!$F$11,VLOOKUP($A305,EnrollData2324,'2324 Jun 24 Enroll'!M$1,FALSE)+VLOOKUP($A305,EnrollData2324,'2324 Jun 24 Enroll'!D$1,FALSE),'District Calculations'!$F$25+'District Calculations'!$F$11),5)</f>
        <v>4.1200000000000004E-3</v>
      </c>
      <c r="S305" s="11">
        <f t="shared" si="61"/>
        <v>1.8734299999999999E-2</v>
      </c>
      <c r="T305">
        <f>ROUND(IF(VLOOKUP($A305,EnrollData2324,'2324 Jun 24 Enroll'!D$1,FALSE)='District Calculations'!$F$11,VLOOKUP($A305,EnrollData2324,'2324 Jun 24 Enroll'!D$1,FALSE),'District Calculations'!$F$11)*S305,3)</f>
        <v>0</v>
      </c>
      <c r="U305">
        <f>ROUND(IF(VLOOKUP($A305,EnrollData2324,'2324 Jun 24 Enroll'!E$1,FALSE)='District Calculations'!$F$12,VLOOKUP($A305,EnrollData2324,'2324 Jun 24 Enroll'!E$1,FALSE),'District Calculations'!$F$12)*S305,3)</f>
        <v>15.183999999999999</v>
      </c>
      <c r="V305">
        <f>ROUND(IF(VLOOKUP($A305,EnrollData2324,'2324 Jun 24 Enroll'!F$1,FALSE)='District Calculations'!$F$13,VLOOKUP($A305,EnrollData2324,'2324 Jun 24 Enroll'!F$1,FALSE),'District Calculations'!$F$13)*Apport_224A2425,3)</f>
        <v>3.7109999999999999</v>
      </c>
      <c r="W305">
        <f>ROUND(IF(VLOOKUP($A305,EnrollData2324,'2324 Jun 24 Enroll'!G$1,FALSE)='District Calculations'!$F$14,VLOOKUP($A305,EnrollData2324,'2324 Jun 24 Enroll'!G$1,FALSE),'District Calculations'!$F$14)*Apport_212A2425,3)</f>
        <v>8.2279999999999998</v>
      </c>
      <c r="X305">
        <f>ROUND(IF(VLOOKUP($A305,EnrollData2324,'2324 Jun 24 Enroll'!H$1,FALSE)='District Calculations'!$F$14,VLOOKUP($A305,EnrollData2324,'2324 Jun 24 Enroll'!H$1,FALSE),'District Calculations'!$F$14)*Apport_215A2425,3)</f>
        <v>8.1180000000000003</v>
      </c>
      <c r="Y305">
        <f>ROUND(IF(VLOOKUP($A305,EnrollData2324,'2324 Jun 24 Enroll'!I$1,FALSE)+VLOOKUP($A305,EnrollData2324,'2324 Jun 24 Enroll'!M$1,FALSE)-VLOOKUP($A305,EnrollData2324,'2324 Jun 24 Enroll'!J$1,FALSE)='District Calculations'!$F$16+'District Calculations'!$F$25-'District Calculations'!$F$17,VLOOKUP($A305,EnrollData2324,'2324 Jun 24 Enroll'!I$1,FALSE)+VLOOKUP($A305,EnrollData2324,'2324 Jun 24 Enroll'!M$1,FALSE)-VLOOKUP($A305,EnrollData2324,'2324 Jun 24 Enroll'!J$1,FALSE),'District Calculations'!$F$16+'District Calculations'!$F$25-'District Calculations'!$F$17)*Apport_218A2425,3)</f>
        <v>20.257999999999999</v>
      </c>
      <c r="Z305">
        <f>ROUND(SUM(T305:Y305)/IF(VLOOKUP($A305,EnrollData2324,'2324 Jun 24 Enroll'!M$1,FALSE)+VLOOKUP($A305,EnrollData2324,'2324 Jun 24 Enroll'!D$1,FALSE)='District Calculations'!$F$25+'District Calculations'!$F$11,VLOOKUP($A305,EnrollData2324,'2324 Jun 24 Enroll'!M$1,FALSE)+VLOOKUP($A305,EnrollData2324,'2324 Jun 24 Enroll'!D$1,FALSE),'District Calculations'!$F$25+'District Calculations'!$F$11),5)</f>
        <v>1.7780000000000001E-2</v>
      </c>
      <c r="AA305" s="6">
        <f>ROUND($J305*CIS_Base_Salary2425*VLOOKUP($A305,EnrollData2324,'2324 Jun 24 Enroll'!AH$1,FALSE),2)</f>
        <v>4262.68</v>
      </c>
      <c r="AB305" s="6">
        <f>ROUND($J305*CIS_Inc_Salary2425*(VLOOKUP($A305,EnrollData2324,'2324 Jun 24 Enroll'!AI$1,FALSE)+VLOOKUP($A305,EnrollData2324,'2324 Jun 24 Enroll'!AJ$1,FALSE)),2)-AA305</f>
        <v>157.6899999999996</v>
      </c>
      <c r="AC305" s="6" cm="1">
        <f t="array" ref="AC305">ROUND($R305*CAS_Base_Salary2425*VLOOKUP($A305,EnrollData2324,'2324 Jun 24 Enroll'!AH$1,FALSE),2)</f>
        <v>461.23</v>
      </c>
      <c r="AD305" s="6">
        <f>ROUND($R305*CAS_Inc_Salary2425*VLOOKUP($A305,EnrollData2324,'2324 Jun 24 Enroll'!AI$1,FALSE),2)-AC305</f>
        <v>17.069999999999993</v>
      </c>
      <c r="AE305" s="6">
        <f>ROUND($Z305*CLS_Base_Salary2425*VLOOKUP($A305,EnrollData2324,'2324 Jun 24 Enroll'!AH$1,FALSE),2)</f>
        <v>961.95</v>
      </c>
      <c r="AF305" s="6">
        <f>ROUND($Z305*CLS_Inc_Salary2425*VLOOKUP($A305,EnrollData2324,'2324 Jun 24 Enroll'!AI$1,FALSE),2)-AE305</f>
        <v>35.599999999999909</v>
      </c>
      <c r="AG305" cm="1">
        <f t="array" ref="AG305">ROUND(($J305+$R305)*Apport_124X2425,2)</f>
        <v>800.45</v>
      </c>
      <c r="AH305" s="69" cm="1">
        <f t="array" ref="AH305">ROUND(($J305+$R305)*Apport_621X2425*Apport_125XC2425,2)-AG305</f>
        <v>73.899999999999977</v>
      </c>
      <c r="AI305" cm="1">
        <f t="array" ref="AI305">ROUND($Z305*Apport_124X2425,2)</f>
        <v>234.7</v>
      </c>
      <c r="AJ305">
        <f t="shared" si="62"/>
        <v>124.71000000000004</v>
      </c>
      <c r="AK305">
        <f t="shared" si="63"/>
        <v>857.39</v>
      </c>
      <c r="AL305">
        <f t="shared" si="64"/>
        <v>30.6</v>
      </c>
      <c r="AM305">
        <f t="shared" si="65"/>
        <v>208.36</v>
      </c>
      <c r="AN305">
        <f t="shared" si="66"/>
        <v>6.46</v>
      </c>
      <c r="AO305">
        <f>ROUND(($J305*CIS_Inc_Salary2425*(VLOOKUP($A305,EnrollData2324,'2324 Jun 24 Enroll'!AI$1,FALSE)+VLOOKUP($A305,EnrollData2324,'2324 Jun 24 Enroll'!AJ$1,FALSE))/Apport_613Xpd)*Apport_614Xpd,2)</f>
        <v>73.67</v>
      </c>
      <c r="AP305">
        <f t="shared" si="67"/>
        <v>12.9</v>
      </c>
      <c r="AQ305">
        <f t="shared" si="58"/>
        <v>31.48</v>
      </c>
      <c r="AR305" s="6">
        <f>ROUND((VLOOKUP($A305,EnrollData2324,'2324 Jun 24 Enroll'!D$1,FALSE)*Apport_M802425+VLOOKUP($A305,EnrollData2324,'2324 Jun 24 Enroll'!M$1,FALSE)*Apport_M802425+(VLOOKUP($A305,EnrollData2324,'2324 Jun 24 Enroll'!P$1,FALSE)+VLOOKUP($A305,EnrollData2324,'2324 Jun 24 Enroll'!Q$1,FALSE)+VLOOKUP($A305,EnrollData2324,'2324 Jun 24 Enroll'!R$1,FALSE)+VLOOKUP($A305,EnrollData2324,'2324 Jun 24 Enroll'!I$1,FALSE)+VLOOKUP($A305,EnrollData2324,'2324 Jun 24 Enroll'!N$1,FALSE)+VLOOKUP($A305,EnrollData2324,'2324 Jun 24 Enroll'!O$1,FALSE)+VLOOKUP($A305,EnrollData2324,'2324 Jun 24 Enroll'!K$1,FALSE)+VLOOKUP($A305,EnrollData2324,'2324 Jun 24 Enroll'!L$1,FALSE))*Apport_M812425)/(VLOOKUP($A305,EnrollData2324,'2324 Jun 24 Enroll'!M$1,FALSE)+VLOOKUP($A305,EnrollData2324,'2324 Jun 24 Enroll'!D$1,FALSE)),2)</f>
        <v>1582.19</v>
      </c>
      <c r="AS305" s="7">
        <f t="shared" si="59"/>
        <v>9933.0299999999988</v>
      </c>
    </row>
    <row r="306" spans="1:45">
      <c r="A306" s="40" t="s">
        <v>739</v>
      </c>
      <c r="B306" s="40" t="s">
        <v>740</v>
      </c>
      <c r="C306" s="11">
        <f>ROUND((IFERROR((1/IF(VLOOKUP($A306,EnrollData2324,28,FALSE)='District Calculations'!$F$10,VLOOKUP($A306,EnrollData2324,28,FALSE),'District Calculations'!$F$10))*(1+Apport_Z315),0))+Apport_201A2425,6)</f>
        <v>7.4580999999999995E-2</v>
      </c>
      <c r="D306">
        <f>ROUND(IF(VLOOKUP($A306,EnrollData2324,'2324 Jun 24 Enroll'!D$1,FALSE)='District Calculations'!$F$11,VLOOKUP($A306,EnrollData2324,'2324 Jun 24 Enroll'!D$1,FALSE),'District Calculations'!$F$11)*C306,3)</f>
        <v>0</v>
      </c>
      <c r="E306">
        <f>ROUND(IF(VLOOKUP($A306,EnrollData2324,'2324 Jun 24 Enroll'!E$1,FALSE)='District Calculations'!$F$12,VLOOKUP($A306,EnrollData2324,'2324 Jun 24 Enroll'!E$1,FALSE),'District Calculations'!$F$12)*C306,3)</f>
        <v>60.447000000000003</v>
      </c>
      <c r="F306">
        <f>ROUND(IF(VLOOKUP($A306,EnrollData2324,'2324 Jun 24 Enroll'!F$1,FALSE)='District Calculations'!$F$13,VLOOKUP($A306,EnrollData2324,'2324 Jun 24 Enroll'!F$1,FALSE),'District Calculations'!$F$13)*Apport_222A2425,3)</f>
        <v>10.337999999999999</v>
      </c>
      <c r="G306">
        <f>ROUND(IF(VLOOKUP($A306,EnrollData2324,'2324 Jun 24 Enroll'!G$1,FALSE)='District Calculations'!$F$14,VLOOKUP($A306,EnrollData2324,'2324 Jun 24 Enroll'!G$1,FALSE),'District Calculations'!$F$14)*Apport_210A2425,3)</f>
        <v>22.92</v>
      </c>
      <c r="H306">
        <f>ROUND(IF(VLOOKUP($A306,EnrollData2324,'2324 Jun 24 Enroll'!H$1,FALSE)='District Calculations'!$F$15,VLOOKUP($A306,EnrollData2324,'2324 Jun 24 Enroll'!H$1,FALSE),'District Calculations'!$F$15)*Apport_213A2425,3)</f>
        <v>23.619</v>
      </c>
      <c r="I306">
        <f>ROUND(IF(VLOOKUP($A306,EnrollData2324,'2324 Jun 24 Enroll'!I$1,FALSE)+VLOOKUP($A306,EnrollData2324,'2324 Jun 24 Enroll'!M$1,FALSE)-VLOOKUP($A306,EnrollData2324,'2324 Jun 24 Enroll'!J$1,FALSE)='District Calculations'!$F$16+'District Calculations'!$F$25-'District Calculations'!$F$17,VLOOKUP($A306,EnrollData2324,'2324 Jun 24 Enroll'!I$1,FALSE)+VLOOKUP($A306,EnrollData2324,'2324 Jun 24 Enroll'!M$1,FALSE)-VLOOKUP($A306,EnrollData2324,'2324 Jun 24 Enroll'!J$1,FALSE),'District Calculations'!$F$16+'District Calculations'!$F$25-'District Calculations'!$F$17)*Apport_216A2425,3)</f>
        <v>59.057000000000002</v>
      </c>
      <c r="J306">
        <f>ROUND(SUM(D306:I306)/(IF(VLOOKUP($A306,EnrollData2324,'2324 Jun 24 Enroll'!M$1,FALSE)='District Calculations'!$F$25,VLOOKUP($A306,EnrollData2324,'2324 Jun 24 Enroll'!M$1,FALSE),'District Calculations'!$F$25)+IF(VLOOKUP($A306,EnrollData2324,'2324 Jun 24 Enroll'!D$1,FALSE)='District Calculations'!$F$11,VLOOKUP($A306,EnrollData2324,'2324 Jun 24 Enroll'!D$1,FALSE),'District Calculations'!$F$11)),5)</f>
        <v>5.6520000000000001E-2</v>
      </c>
      <c r="K306" s="11">
        <f t="shared" si="60"/>
        <v>4.385E-3</v>
      </c>
      <c r="L306">
        <f>ROUND(IF(VLOOKUP($A306,EnrollData2324,'2324 Jun 24 Enroll'!D$1,FALSE)='District Calculations'!$F$11,VLOOKUP($A306,EnrollData2324,'2324 Jun 24 Enroll'!D$1,FALSE),'District Calculations'!$F$11)*K306,3)</f>
        <v>0</v>
      </c>
      <c r="M306">
        <f>ROUND(IF(VLOOKUP($A306,EnrollData2324,'2324 Jun 24 Enroll'!E$1,FALSE)='District Calculations'!$F$12,VLOOKUP($A306,EnrollData2324,'2324 Jun 24 Enroll'!E$1,FALSE),'District Calculations'!$F$12)*K306,3)</f>
        <v>3.5539999999999998</v>
      </c>
      <c r="N306">
        <f>ROUND(IF(VLOOKUP($A306,EnrollData2324,'2324 Jun 24 Enroll'!F$1,FALSE)='District Calculations'!$F$13,VLOOKUP($A306,EnrollData2324,'2324 Jun 24 Enroll'!F$1,FALSE),'District Calculations'!$F$13)*Apport_223A2425,3)</f>
        <v>0.84599999999999997</v>
      </c>
      <c r="O306">
        <f>ROUND(IF(VLOOKUP($A306,EnrollData2324,'2324 Jun 24 Enroll'!G$1,FALSE)='District Calculations'!$F$14,VLOOKUP($A306,EnrollData2324,'2324 Jun 24 Enroll'!G$1,FALSE),'District Calculations'!$F$14)*Apport_211A2425,3)</f>
        <v>1.877</v>
      </c>
      <c r="P306">
        <f>ROUND(IF(VLOOKUP($A306,EnrollData2324,'2324 Jun 24 Enroll'!H$1,FALSE)='District Calculations'!$F$14,VLOOKUP($A306,EnrollData2324,'2324 Jun 24 Enroll'!H$1,FALSE),'District Calculations'!$F$14)*Apport_214A2425,3)</f>
        <v>1.875</v>
      </c>
      <c r="Q306">
        <f>ROUND(IF(VLOOKUP($A306,EnrollData2324,'2324 Jun 24 Enroll'!I$1,FALSE)+VLOOKUP($A306,EnrollData2324,'2324 Jun 24 Enroll'!M$1,FALSE)-VLOOKUP($A306,EnrollData2324,'2324 Jun 24 Enroll'!J$1,FALSE)='District Calculations'!$F$16+'District Calculations'!$F$25-'District Calculations'!$F$17,VLOOKUP($A306,EnrollData2324,'2324 Jun 24 Enroll'!I$1,FALSE)+VLOOKUP($A306,EnrollData2324,'2324 Jun 24 Enroll'!M$1,FALSE)-VLOOKUP($A306,EnrollData2324,'2324 Jun 24 Enroll'!J$1,FALSE),'District Calculations'!$F$16+'District Calculations'!$F$25-'District Calculations'!$F$17)*Apport_217A2425,3)</f>
        <v>4.7130000000000001</v>
      </c>
      <c r="R306">
        <f>ROUND(SUM(L306:Q306)/IF(VLOOKUP($A306,EnrollData2324,'2324 Jun 24 Enroll'!M$1,FALSE)+VLOOKUP($A306,EnrollData2324,'2324 Jun 24 Enroll'!D$1,FALSE)='District Calculations'!$F$25+'District Calculations'!$F$11,VLOOKUP($A306,EnrollData2324,'2324 Jun 24 Enroll'!M$1,FALSE)+VLOOKUP($A306,EnrollData2324,'2324 Jun 24 Enroll'!D$1,FALSE),'District Calculations'!$F$25+'District Calculations'!$F$11),5)</f>
        <v>4.1200000000000004E-3</v>
      </c>
      <c r="S306" s="11">
        <f t="shared" si="61"/>
        <v>1.8734299999999999E-2</v>
      </c>
      <c r="T306">
        <f>ROUND(IF(VLOOKUP($A306,EnrollData2324,'2324 Jun 24 Enroll'!D$1,FALSE)='District Calculations'!$F$11,VLOOKUP($A306,EnrollData2324,'2324 Jun 24 Enroll'!D$1,FALSE),'District Calculations'!$F$11)*S306,3)</f>
        <v>0</v>
      </c>
      <c r="U306">
        <f>ROUND(IF(VLOOKUP($A306,EnrollData2324,'2324 Jun 24 Enroll'!E$1,FALSE)='District Calculations'!$F$12,VLOOKUP($A306,EnrollData2324,'2324 Jun 24 Enroll'!E$1,FALSE),'District Calculations'!$F$12)*S306,3)</f>
        <v>15.183999999999999</v>
      </c>
      <c r="V306">
        <f>ROUND(IF(VLOOKUP($A306,EnrollData2324,'2324 Jun 24 Enroll'!F$1,FALSE)='District Calculations'!$F$13,VLOOKUP($A306,EnrollData2324,'2324 Jun 24 Enroll'!F$1,FALSE),'District Calculations'!$F$13)*Apport_224A2425,3)</f>
        <v>3.7109999999999999</v>
      </c>
      <c r="W306">
        <f>ROUND(IF(VLOOKUP($A306,EnrollData2324,'2324 Jun 24 Enroll'!G$1,FALSE)='District Calculations'!$F$14,VLOOKUP($A306,EnrollData2324,'2324 Jun 24 Enroll'!G$1,FALSE),'District Calculations'!$F$14)*Apport_212A2425,3)</f>
        <v>8.2279999999999998</v>
      </c>
      <c r="X306">
        <f>ROUND(IF(VLOOKUP($A306,EnrollData2324,'2324 Jun 24 Enroll'!H$1,FALSE)='District Calculations'!$F$14,VLOOKUP($A306,EnrollData2324,'2324 Jun 24 Enroll'!H$1,FALSE),'District Calculations'!$F$14)*Apport_215A2425,3)</f>
        <v>8.1180000000000003</v>
      </c>
      <c r="Y306">
        <f>ROUND(IF(VLOOKUP($A306,EnrollData2324,'2324 Jun 24 Enroll'!I$1,FALSE)+VLOOKUP($A306,EnrollData2324,'2324 Jun 24 Enroll'!M$1,FALSE)-VLOOKUP($A306,EnrollData2324,'2324 Jun 24 Enroll'!J$1,FALSE)='District Calculations'!$F$16+'District Calculations'!$F$25-'District Calculations'!$F$17,VLOOKUP($A306,EnrollData2324,'2324 Jun 24 Enroll'!I$1,FALSE)+VLOOKUP($A306,EnrollData2324,'2324 Jun 24 Enroll'!M$1,FALSE)-VLOOKUP($A306,EnrollData2324,'2324 Jun 24 Enroll'!J$1,FALSE),'District Calculations'!$F$16+'District Calculations'!$F$25-'District Calculations'!$F$17)*Apport_218A2425,3)</f>
        <v>20.257999999999999</v>
      </c>
      <c r="Z306">
        <f>ROUND(SUM(T306:Y306)/IF(VLOOKUP($A306,EnrollData2324,'2324 Jun 24 Enroll'!M$1,FALSE)+VLOOKUP($A306,EnrollData2324,'2324 Jun 24 Enroll'!D$1,FALSE)='District Calculations'!$F$25+'District Calculations'!$F$11,VLOOKUP($A306,EnrollData2324,'2324 Jun 24 Enroll'!M$1,FALSE)+VLOOKUP($A306,EnrollData2324,'2324 Jun 24 Enroll'!D$1,FALSE),'District Calculations'!$F$25+'District Calculations'!$F$11),5)</f>
        <v>1.7780000000000001E-2</v>
      </c>
      <c r="AA306" s="6">
        <f>ROUND($J306*CIS_Base_Salary2425*VLOOKUP($A306,EnrollData2324,'2324 Jun 24 Enroll'!AH$1,FALSE),2)</f>
        <v>4262.68</v>
      </c>
      <c r="AB306" s="6">
        <f>ROUND($J306*CIS_Inc_Salary2425*(VLOOKUP($A306,EnrollData2324,'2324 Jun 24 Enroll'!AI$1,FALSE)+VLOOKUP($A306,EnrollData2324,'2324 Jun 24 Enroll'!AJ$1,FALSE)),2)-AA306</f>
        <v>334.50999999999931</v>
      </c>
      <c r="AC306" s="6" cm="1">
        <f t="array" ref="AC306">ROUND($R306*CAS_Base_Salary2425*VLOOKUP($A306,EnrollData2324,'2324 Jun 24 Enroll'!AH$1,FALSE),2)</f>
        <v>461.23</v>
      </c>
      <c r="AD306" s="6">
        <f>ROUND($R306*CAS_Inc_Salary2425*VLOOKUP($A306,EnrollData2324,'2324 Jun 24 Enroll'!AI$1,FALSE),2)-AC306</f>
        <v>17.069999999999993</v>
      </c>
      <c r="AE306" s="6">
        <f>ROUND($Z306*CLS_Base_Salary2425*VLOOKUP($A306,EnrollData2324,'2324 Jun 24 Enroll'!AH$1,FALSE),2)</f>
        <v>961.95</v>
      </c>
      <c r="AF306" s="6">
        <f>ROUND($Z306*CLS_Inc_Salary2425*VLOOKUP($A306,EnrollData2324,'2324 Jun 24 Enroll'!AI$1,FALSE),2)-AE306</f>
        <v>35.599999999999909</v>
      </c>
      <c r="AG306" cm="1">
        <f t="array" ref="AG306">ROUND(($J306+$R306)*Apport_124X2425,2)</f>
        <v>800.45</v>
      </c>
      <c r="AH306" s="69" cm="1">
        <f t="array" ref="AH306">ROUND(($J306+$R306)*Apport_621X2425*Apport_125XC2425,2)-AG306</f>
        <v>73.899999999999977</v>
      </c>
      <c r="AI306" cm="1">
        <f t="array" ref="AI306">ROUND($Z306*Apport_124X2425,2)</f>
        <v>234.7</v>
      </c>
      <c r="AJ306">
        <f t="shared" si="62"/>
        <v>124.71000000000004</v>
      </c>
      <c r="AK306">
        <f t="shared" si="63"/>
        <v>857.39</v>
      </c>
      <c r="AL306">
        <f t="shared" si="64"/>
        <v>61.56</v>
      </c>
      <c r="AM306">
        <f t="shared" si="65"/>
        <v>208.36</v>
      </c>
      <c r="AN306">
        <f t="shared" si="66"/>
        <v>6.46</v>
      </c>
      <c r="AO306">
        <f>ROUND(($J306*CIS_Inc_Salary2425*(VLOOKUP($A306,EnrollData2324,'2324 Jun 24 Enroll'!AI$1,FALSE)+VLOOKUP($A306,EnrollData2324,'2324 Jun 24 Enroll'!AJ$1,FALSE))/Apport_613Xpd)*Apport_614Xpd,2)</f>
        <v>76.62</v>
      </c>
      <c r="AP306">
        <f t="shared" si="67"/>
        <v>13.42</v>
      </c>
      <c r="AQ306">
        <f t="shared" ref="AQ306:AQ325" si="68">ROUND((J306*Apport_581X)*(Apport_116X*Apport_132X),2)</f>
        <v>31.48</v>
      </c>
      <c r="AR306" s="6">
        <f>ROUND((VLOOKUP($A306,EnrollData2324,'2324 Jun 24 Enroll'!D$1,FALSE)*Apport_M802425+VLOOKUP($A306,EnrollData2324,'2324 Jun 24 Enroll'!M$1,FALSE)*Apport_M802425+(VLOOKUP($A306,EnrollData2324,'2324 Jun 24 Enroll'!P$1,FALSE)+VLOOKUP($A306,EnrollData2324,'2324 Jun 24 Enroll'!Q$1,FALSE)+VLOOKUP($A306,EnrollData2324,'2324 Jun 24 Enroll'!R$1,FALSE)+VLOOKUP($A306,EnrollData2324,'2324 Jun 24 Enroll'!I$1,FALSE)+VLOOKUP($A306,EnrollData2324,'2324 Jun 24 Enroll'!N$1,FALSE)+VLOOKUP($A306,EnrollData2324,'2324 Jun 24 Enroll'!O$1,FALSE)+VLOOKUP($A306,EnrollData2324,'2324 Jun 24 Enroll'!K$1,FALSE)+VLOOKUP($A306,EnrollData2324,'2324 Jun 24 Enroll'!L$1,FALSE))*Apport_M812425)/(VLOOKUP($A306,EnrollData2324,'2324 Jun 24 Enroll'!M$1,FALSE)+VLOOKUP($A306,EnrollData2324,'2324 Jun 24 Enroll'!D$1,FALSE)),2)</f>
        <v>1582.74</v>
      </c>
      <c r="AS306" s="7">
        <f t="shared" si="59"/>
        <v>10144.829999999998</v>
      </c>
    </row>
    <row r="307" spans="1:45">
      <c r="A307" s="40" t="s">
        <v>785</v>
      </c>
      <c r="B307" s="40" t="s">
        <v>786</v>
      </c>
      <c r="C307" s="11">
        <f>ROUND((IFERROR((1/IF(VLOOKUP($A307,EnrollData2324,28,FALSE)='District Calculations'!$F$10,VLOOKUP($A307,EnrollData2324,28,FALSE),'District Calculations'!$F$10))*(1+Apport_Z315),0))+Apport_201A2425,6)</f>
        <v>7.4580999999999995E-2</v>
      </c>
      <c r="D307">
        <f>ROUND(IF(VLOOKUP($A307,EnrollData2324,'2324 Jun 24 Enroll'!D$1,FALSE)='District Calculations'!$F$11,VLOOKUP($A307,EnrollData2324,'2324 Jun 24 Enroll'!D$1,FALSE),'District Calculations'!$F$11)*C307,3)</f>
        <v>0</v>
      </c>
      <c r="E307">
        <f>ROUND(IF(VLOOKUP($A307,EnrollData2324,'2324 Jun 24 Enroll'!E$1,FALSE)='District Calculations'!$F$12,VLOOKUP($A307,EnrollData2324,'2324 Jun 24 Enroll'!E$1,FALSE),'District Calculations'!$F$12)*C307,3)</f>
        <v>60.447000000000003</v>
      </c>
      <c r="F307">
        <f>ROUND(IF(VLOOKUP($A307,EnrollData2324,'2324 Jun 24 Enroll'!F$1,FALSE)='District Calculations'!$F$13,VLOOKUP($A307,EnrollData2324,'2324 Jun 24 Enroll'!F$1,FALSE),'District Calculations'!$F$13)*Apport_222A2425,3)</f>
        <v>10.337999999999999</v>
      </c>
      <c r="G307">
        <f>ROUND(IF(VLOOKUP($A307,EnrollData2324,'2324 Jun 24 Enroll'!G$1,FALSE)='District Calculations'!$F$14,VLOOKUP($A307,EnrollData2324,'2324 Jun 24 Enroll'!G$1,FALSE),'District Calculations'!$F$14)*Apport_210A2425,3)</f>
        <v>22.92</v>
      </c>
      <c r="H307">
        <f>ROUND(IF(VLOOKUP($A307,EnrollData2324,'2324 Jun 24 Enroll'!H$1,FALSE)='District Calculations'!$F$15,VLOOKUP($A307,EnrollData2324,'2324 Jun 24 Enroll'!H$1,FALSE),'District Calculations'!$F$15)*Apport_213A2425,3)</f>
        <v>23.619</v>
      </c>
      <c r="I307">
        <f>ROUND(IF(VLOOKUP($A307,EnrollData2324,'2324 Jun 24 Enroll'!I$1,FALSE)+VLOOKUP($A307,EnrollData2324,'2324 Jun 24 Enroll'!M$1,FALSE)-VLOOKUP($A307,EnrollData2324,'2324 Jun 24 Enroll'!J$1,FALSE)='District Calculations'!$F$16+'District Calculations'!$F$25-'District Calculations'!$F$17,VLOOKUP($A307,EnrollData2324,'2324 Jun 24 Enroll'!I$1,FALSE)+VLOOKUP($A307,EnrollData2324,'2324 Jun 24 Enroll'!M$1,FALSE)-VLOOKUP($A307,EnrollData2324,'2324 Jun 24 Enroll'!J$1,FALSE),'District Calculations'!$F$16+'District Calculations'!$F$25-'District Calculations'!$F$17)*Apport_216A2425,3)</f>
        <v>59.057000000000002</v>
      </c>
      <c r="J307">
        <f>ROUND(SUM(D307:I307)/(IF(VLOOKUP($A307,EnrollData2324,'2324 Jun 24 Enroll'!M$1,FALSE)='District Calculations'!$F$25,VLOOKUP($A307,EnrollData2324,'2324 Jun 24 Enroll'!M$1,FALSE),'District Calculations'!$F$25)+IF(VLOOKUP($A307,EnrollData2324,'2324 Jun 24 Enroll'!D$1,FALSE)='District Calculations'!$F$11,VLOOKUP($A307,EnrollData2324,'2324 Jun 24 Enroll'!D$1,FALSE),'District Calculations'!$F$11)),5)</f>
        <v>5.6520000000000001E-2</v>
      </c>
      <c r="K307" s="11">
        <f t="shared" si="60"/>
        <v>4.385E-3</v>
      </c>
      <c r="L307">
        <f>ROUND(IF(VLOOKUP($A307,EnrollData2324,'2324 Jun 24 Enroll'!D$1,FALSE)='District Calculations'!$F$11,VLOOKUP($A307,EnrollData2324,'2324 Jun 24 Enroll'!D$1,FALSE),'District Calculations'!$F$11)*K307,3)</f>
        <v>0</v>
      </c>
      <c r="M307">
        <f>ROUND(IF(VLOOKUP($A307,EnrollData2324,'2324 Jun 24 Enroll'!E$1,FALSE)='District Calculations'!$F$12,VLOOKUP($A307,EnrollData2324,'2324 Jun 24 Enroll'!E$1,FALSE),'District Calculations'!$F$12)*K307,3)</f>
        <v>3.5539999999999998</v>
      </c>
      <c r="N307">
        <f>ROUND(IF(VLOOKUP($A307,EnrollData2324,'2324 Jun 24 Enroll'!F$1,FALSE)='District Calculations'!$F$13,VLOOKUP($A307,EnrollData2324,'2324 Jun 24 Enroll'!F$1,FALSE),'District Calculations'!$F$13)*Apport_223A2425,3)</f>
        <v>0.84599999999999997</v>
      </c>
      <c r="O307">
        <f>ROUND(IF(VLOOKUP($A307,EnrollData2324,'2324 Jun 24 Enroll'!G$1,FALSE)='District Calculations'!$F$14,VLOOKUP($A307,EnrollData2324,'2324 Jun 24 Enroll'!G$1,FALSE),'District Calculations'!$F$14)*Apport_211A2425,3)</f>
        <v>1.877</v>
      </c>
      <c r="P307">
        <f>ROUND(IF(VLOOKUP($A307,EnrollData2324,'2324 Jun 24 Enroll'!H$1,FALSE)='District Calculations'!$F$14,VLOOKUP($A307,EnrollData2324,'2324 Jun 24 Enroll'!H$1,FALSE),'District Calculations'!$F$14)*Apport_214A2425,3)</f>
        <v>1.875</v>
      </c>
      <c r="Q307">
        <f>ROUND(IF(VLOOKUP($A307,EnrollData2324,'2324 Jun 24 Enroll'!I$1,FALSE)+VLOOKUP($A307,EnrollData2324,'2324 Jun 24 Enroll'!M$1,FALSE)-VLOOKUP($A307,EnrollData2324,'2324 Jun 24 Enroll'!J$1,FALSE)='District Calculations'!$F$16+'District Calculations'!$F$25-'District Calculations'!$F$17,VLOOKUP($A307,EnrollData2324,'2324 Jun 24 Enroll'!I$1,FALSE)+VLOOKUP($A307,EnrollData2324,'2324 Jun 24 Enroll'!M$1,FALSE)-VLOOKUP($A307,EnrollData2324,'2324 Jun 24 Enroll'!J$1,FALSE),'District Calculations'!$F$16+'District Calculations'!$F$25-'District Calculations'!$F$17)*Apport_217A2425,3)</f>
        <v>4.7130000000000001</v>
      </c>
      <c r="R307">
        <f>ROUND(SUM(L307:Q307)/IF(VLOOKUP($A307,EnrollData2324,'2324 Jun 24 Enroll'!M$1,FALSE)+VLOOKUP($A307,EnrollData2324,'2324 Jun 24 Enroll'!D$1,FALSE)='District Calculations'!$F$25+'District Calculations'!$F$11,VLOOKUP($A307,EnrollData2324,'2324 Jun 24 Enroll'!M$1,FALSE)+VLOOKUP($A307,EnrollData2324,'2324 Jun 24 Enroll'!D$1,FALSE),'District Calculations'!$F$25+'District Calculations'!$F$11),5)</f>
        <v>4.1200000000000004E-3</v>
      </c>
      <c r="S307" s="11">
        <f t="shared" si="61"/>
        <v>1.8734299999999999E-2</v>
      </c>
      <c r="T307">
        <f>ROUND(IF(VLOOKUP($A307,EnrollData2324,'2324 Jun 24 Enroll'!D$1,FALSE)='District Calculations'!$F$11,VLOOKUP($A307,EnrollData2324,'2324 Jun 24 Enroll'!D$1,FALSE),'District Calculations'!$F$11)*S307,3)</f>
        <v>0</v>
      </c>
      <c r="U307">
        <f>ROUND(IF(VLOOKUP($A307,EnrollData2324,'2324 Jun 24 Enroll'!E$1,FALSE)='District Calculations'!$F$12,VLOOKUP($A307,EnrollData2324,'2324 Jun 24 Enroll'!E$1,FALSE),'District Calculations'!$F$12)*S307,3)</f>
        <v>15.183999999999999</v>
      </c>
      <c r="V307">
        <f>ROUND(IF(VLOOKUP($A307,EnrollData2324,'2324 Jun 24 Enroll'!F$1,FALSE)='District Calculations'!$F$13,VLOOKUP($A307,EnrollData2324,'2324 Jun 24 Enroll'!F$1,FALSE),'District Calculations'!$F$13)*Apport_224A2425,3)</f>
        <v>3.7109999999999999</v>
      </c>
      <c r="W307">
        <f>ROUND(IF(VLOOKUP($A307,EnrollData2324,'2324 Jun 24 Enroll'!G$1,FALSE)='District Calculations'!$F$14,VLOOKUP($A307,EnrollData2324,'2324 Jun 24 Enroll'!G$1,FALSE),'District Calculations'!$F$14)*Apport_212A2425,3)</f>
        <v>8.2279999999999998</v>
      </c>
      <c r="X307">
        <f>ROUND(IF(VLOOKUP($A307,EnrollData2324,'2324 Jun 24 Enroll'!H$1,FALSE)='District Calculations'!$F$14,VLOOKUP($A307,EnrollData2324,'2324 Jun 24 Enroll'!H$1,FALSE),'District Calculations'!$F$14)*Apport_215A2425,3)</f>
        <v>8.1180000000000003</v>
      </c>
      <c r="Y307">
        <f>ROUND(IF(VLOOKUP($A307,EnrollData2324,'2324 Jun 24 Enroll'!I$1,FALSE)+VLOOKUP($A307,EnrollData2324,'2324 Jun 24 Enroll'!M$1,FALSE)-VLOOKUP($A307,EnrollData2324,'2324 Jun 24 Enroll'!J$1,FALSE)='District Calculations'!$F$16+'District Calculations'!$F$25-'District Calculations'!$F$17,VLOOKUP($A307,EnrollData2324,'2324 Jun 24 Enroll'!I$1,FALSE)+VLOOKUP($A307,EnrollData2324,'2324 Jun 24 Enroll'!M$1,FALSE)-VLOOKUP($A307,EnrollData2324,'2324 Jun 24 Enroll'!J$1,FALSE),'District Calculations'!$F$16+'District Calculations'!$F$25-'District Calculations'!$F$17)*Apport_218A2425,3)</f>
        <v>20.257999999999999</v>
      </c>
      <c r="Z307">
        <f>ROUND(SUM(T307:Y307)/IF(VLOOKUP($A307,EnrollData2324,'2324 Jun 24 Enroll'!M$1,FALSE)+VLOOKUP($A307,EnrollData2324,'2324 Jun 24 Enroll'!D$1,FALSE)='District Calculations'!$F$25+'District Calculations'!$F$11,VLOOKUP($A307,EnrollData2324,'2324 Jun 24 Enroll'!M$1,FALSE)+VLOOKUP($A307,EnrollData2324,'2324 Jun 24 Enroll'!D$1,FALSE),'District Calculations'!$F$25+'District Calculations'!$F$11),5)</f>
        <v>1.7780000000000001E-2</v>
      </c>
      <c r="AA307" s="6">
        <f>ROUND($J307*CIS_Base_Salary2425*VLOOKUP($A307,EnrollData2324,'2324 Jun 24 Enroll'!AH$1,FALSE),2)</f>
        <v>4262.68</v>
      </c>
      <c r="AB307" s="6">
        <f>ROUND($J307*CIS_Inc_Salary2425*(VLOOKUP($A307,EnrollData2324,'2324 Jun 24 Enroll'!AI$1,FALSE)+VLOOKUP($A307,EnrollData2324,'2324 Jun 24 Enroll'!AJ$1,FALSE)),2)-AA307</f>
        <v>157.6899999999996</v>
      </c>
      <c r="AC307" s="6" cm="1">
        <f t="array" ref="AC307">ROUND($R307*CAS_Base_Salary2425*VLOOKUP($A307,EnrollData2324,'2324 Jun 24 Enroll'!AH$1,FALSE),2)</f>
        <v>461.23</v>
      </c>
      <c r="AD307" s="6">
        <f>ROUND($R307*CAS_Inc_Salary2425*VLOOKUP($A307,EnrollData2324,'2324 Jun 24 Enroll'!AI$1,FALSE),2)-AC307</f>
        <v>17.069999999999993</v>
      </c>
      <c r="AE307" s="6">
        <f>ROUND($Z307*CLS_Base_Salary2425*VLOOKUP($A307,EnrollData2324,'2324 Jun 24 Enroll'!AH$1,FALSE),2)</f>
        <v>961.95</v>
      </c>
      <c r="AF307" s="6">
        <f>ROUND($Z307*CLS_Inc_Salary2425*VLOOKUP($A307,EnrollData2324,'2324 Jun 24 Enroll'!AI$1,FALSE),2)-AE307</f>
        <v>35.599999999999909</v>
      </c>
      <c r="AG307" cm="1">
        <f t="array" ref="AG307">ROUND(($J307+$R307)*Apport_124X2425,2)</f>
        <v>800.45</v>
      </c>
      <c r="AH307" s="69" cm="1">
        <f t="array" ref="AH307">ROUND(($J307+$R307)*Apport_621X2425*Apport_125XC2425,2)-AG307</f>
        <v>73.899999999999977</v>
      </c>
      <c r="AI307" cm="1">
        <f t="array" ref="AI307">ROUND($Z307*Apport_124X2425,2)</f>
        <v>234.7</v>
      </c>
      <c r="AJ307">
        <f t="shared" si="62"/>
        <v>124.71000000000004</v>
      </c>
      <c r="AK307">
        <f t="shared" si="63"/>
        <v>857.39</v>
      </c>
      <c r="AL307">
        <f t="shared" si="64"/>
        <v>30.6</v>
      </c>
      <c r="AM307">
        <f t="shared" si="65"/>
        <v>208.36</v>
      </c>
      <c r="AN307">
        <f t="shared" si="66"/>
        <v>6.46</v>
      </c>
      <c r="AO307">
        <f>ROUND(($J307*CIS_Inc_Salary2425*(VLOOKUP($A307,EnrollData2324,'2324 Jun 24 Enroll'!AI$1,FALSE)+VLOOKUP($A307,EnrollData2324,'2324 Jun 24 Enroll'!AJ$1,FALSE))/Apport_613Xpd)*Apport_614Xpd,2)</f>
        <v>73.67</v>
      </c>
      <c r="AP307">
        <f t="shared" si="67"/>
        <v>12.9</v>
      </c>
      <c r="AQ307">
        <f t="shared" si="68"/>
        <v>31.48</v>
      </c>
      <c r="AR307" s="6">
        <f>ROUND((VLOOKUP($A307,EnrollData2324,'2324 Jun 24 Enroll'!D$1,FALSE)*Apport_M802425+VLOOKUP($A307,EnrollData2324,'2324 Jun 24 Enroll'!M$1,FALSE)*Apport_M802425+(VLOOKUP($A307,EnrollData2324,'2324 Jun 24 Enroll'!P$1,FALSE)+VLOOKUP($A307,EnrollData2324,'2324 Jun 24 Enroll'!Q$1,FALSE)+VLOOKUP($A307,EnrollData2324,'2324 Jun 24 Enroll'!R$1,FALSE)+VLOOKUP($A307,EnrollData2324,'2324 Jun 24 Enroll'!I$1,FALSE)+VLOOKUP($A307,EnrollData2324,'2324 Jun 24 Enroll'!N$1,FALSE)+VLOOKUP($A307,EnrollData2324,'2324 Jun 24 Enroll'!O$1,FALSE)+VLOOKUP($A307,EnrollData2324,'2324 Jun 24 Enroll'!K$1,FALSE)+VLOOKUP($A307,EnrollData2324,'2324 Jun 24 Enroll'!L$1,FALSE))*Apport_M812425)/(VLOOKUP($A307,EnrollData2324,'2324 Jun 24 Enroll'!M$1,FALSE)+VLOOKUP($A307,EnrollData2324,'2324 Jun 24 Enroll'!D$1,FALSE)),2)</f>
        <v>1596.67</v>
      </c>
      <c r="AS307" s="7">
        <f t="shared" si="59"/>
        <v>9947.5099999999984</v>
      </c>
    </row>
    <row r="308" spans="1:45">
      <c r="A308" s="40" t="s">
        <v>645</v>
      </c>
      <c r="B308" s="40" t="s">
        <v>646</v>
      </c>
      <c r="C308" s="11">
        <f>ROUND((IFERROR((1/IF(VLOOKUP($A308,EnrollData2324,28,FALSE)='District Calculations'!$F$10,VLOOKUP($A308,EnrollData2324,28,FALSE),'District Calculations'!$F$10))*(1+Apport_Z315),0))+Apport_201A2425,6)</f>
        <v>7.4580999999999995E-2</v>
      </c>
      <c r="D308">
        <f>ROUND(IF(VLOOKUP($A308,EnrollData2324,'2324 Jun 24 Enroll'!D$1,FALSE)='District Calculations'!$F$11,VLOOKUP($A308,EnrollData2324,'2324 Jun 24 Enroll'!D$1,FALSE),'District Calculations'!$F$11)*C308,3)</f>
        <v>0</v>
      </c>
      <c r="E308">
        <f>ROUND(IF(VLOOKUP($A308,EnrollData2324,'2324 Jun 24 Enroll'!E$1,FALSE)='District Calculations'!$F$12,VLOOKUP($A308,EnrollData2324,'2324 Jun 24 Enroll'!E$1,FALSE),'District Calculations'!$F$12)*C308,3)</f>
        <v>60.447000000000003</v>
      </c>
      <c r="F308">
        <f>ROUND(IF(VLOOKUP($A308,EnrollData2324,'2324 Jun 24 Enroll'!F$1,FALSE)='District Calculations'!$F$13,VLOOKUP($A308,EnrollData2324,'2324 Jun 24 Enroll'!F$1,FALSE),'District Calculations'!$F$13)*Apport_222A2425,3)</f>
        <v>10.337999999999999</v>
      </c>
      <c r="G308">
        <f>ROUND(IF(VLOOKUP($A308,EnrollData2324,'2324 Jun 24 Enroll'!G$1,FALSE)='District Calculations'!$F$14,VLOOKUP($A308,EnrollData2324,'2324 Jun 24 Enroll'!G$1,FALSE),'District Calculations'!$F$14)*Apport_210A2425,3)</f>
        <v>22.92</v>
      </c>
      <c r="H308">
        <f>ROUND(IF(VLOOKUP($A308,EnrollData2324,'2324 Jun 24 Enroll'!H$1,FALSE)='District Calculations'!$F$15,VLOOKUP($A308,EnrollData2324,'2324 Jun 24 Enroll'!H$1,FALSE),'District Calculations'!$F$15)*Apport_213A2425,3)</f>
        <v>23.619</v>
      </c>
      <c r="I308">
        <f>ROUND(IF(VLOOKUP($A308,EnrollData2324,'2324 Jun 24 Enroll'!I$1,FALSE)+VLOOKUP($A308,EnrollData2324,'2324 Jun 24 Enroll'!M$1,FALSE)-VLOOKUP($A308,EnrollData2324,'2324 Jun 24 Enroll'!J$1,FALSE)='District Calculations'!$F$16+'District Calculations'!$F$25-'District Calculations'!$F$17,VLOOKUP($A308,EnrollData2324,'2324 Jun 24 Enroll'!I$1,FALSE)+VLOOKUP($A308,EnrollData2324,'2324 Jun 24 Enroll'!M$1,FALSE)-VLOOKUP($A308,EnrollData2324,'2324 Jun 24 Enroll'!J$1,FALSE),'District Calculations'!$F$16+'District Calculations'!$F$25-'District Calculations'!$F$17)*Apport_216A2425,3)</f>
        <v>59.057000000000002</v>
      </c>
      <c r="J308">
        <f>ROUND(SUM(D308:I308)/(IF(VLOOKUP($A308,EnrollData2324,'2324 Jun 24 Enroll'!M$1,FALSE)='District Calculations'!$F$25,VLOOKUP($A308,EnrollData2324,'2324 Jun 24 Enroll'!M$1,FALSE),'District Calculations'!$F$25)+IF(VLOOKUP($A308,EnrollData2324,'2324 Jun 24 Enroll'!D$1,FALSE)='District Calculations'!$F$11,VLOOKUP($A308,EnrollData2324,'2324 Jun 24 Enroll'!D$1,FALSE),'District Calculations'!$F$11)),5)</f>
        <v>5.6520000000000001E-2</v>
      </c>
      <c r="K308" s="11">
        <f t="shared" si="60"/>
        <v>4.385E-3</v>
      </c>
      <c r="L308">
        <f>ROUND(IF(VLOOKUP($A308,EnrollData2324,'2324 Jun 24 Enroll'!D$1,FALSE)='District Calculations'!$F$11,VLOOKUP($A308,EnrollData2324,'2324 Jun 24 Enroll'!D$1,FALSE),'District Calculations'!$F$11)*K308,3)</f>
        <v>0</v>
      </c>
      <c r="M308">
        <f>ROUND(IF(VLOOKUP($A308,EnrollData2324,'2324 Jun 24 Enroll'!E$1,FALSE)='District Calculations'!$F$12,VLOOKUP($A308,EnrollData2324,'2324 Jun 24 Enroll'!E$1,FALSE),'District Calculations'!$F$12)*K308,3)</f>
        <v>3.5539999999999998</v>
      </c>
      <c r="N308">
        <f>ROUND(IF(VLOOKUP($A308,EnrollData2324,'2324 Jun 24 Enroll'!F$1,FALSE)='District Calculations'!$F$13,VLOOKUP($A308,EnrollData2324,'2324 Jun 24 Enroll'!F$1,FALSE),'District Calculations'!$F$13)*Apport_223A2425,3)</f>
        <v>0.84599999999999997</v>
      </c>
      <c r="O308">
        <f>ROUND(IF(VLOOKUP($A308,EnrollData2324,'2324 Jun 24 Enroll'!G$1,FALSE)='District Calculations'!$F$14,VLOOKUP($A308,EnrollData2324,'2324 Jun 24 Enroll'!G$1,FALSE),'District Calculations'!$F$14)*Apport_211A2425,3)</f>
        <v>1.877</v>
      </c>
      <c r="P308">
        <f>ROUND(IF(VLOOKUP($A308,EnrollData2324,'2324 Jun 24 Enroll'!H$1,FALSE)='District Calculations'!$F$14,VLOOKUP($A308,EnrollData2324,'2324 Jun 24 Enroll'!H$1,FALSE),'District Calculations'!$F$14)*Apport_214A2425,3)</f>
        <v>1.875</v>
      </c>
      <c r="Q308">
        <f>ROUND(IF(VLOOKUP($A308,EnrollData2324,'2324 Jun 24 Enroll'!I$1,FALSE)+VLOOKUP($A308,EnrollData2324,'2324 Jun 24 Enroll'!M$1,FALSE)-VLOOKUP($A308,EnrollData2324,'2324 Jun 24 Enroll'!J$1,FALSE)='District Calculations'!$F$16+'District Calculations'!$F$25-'District Calculations'!$F$17,VLOOKUP($A308,EnrollData2324,'2324 Jun 24 Enroll'!I$1,FALSE)+VLOOKUP($A308,EnrollData2324,'2324 Jun 24 Enroll'!M$1,FALSE)-VLOOKUP($A308,EnrollData2324,'2324 Jun 24 Enroll'!J$1,FALSE),'District Calculations'!$F$16+'District Calculations'!$F$25-'District Calculations'!$F$17)*Apport_217A2425,3)</f>
        <v>4.7130000000000001</v>
      </c>
      <c r="R308">
        <f>ROUND(SUM(L308:Q308)/IF(VLOOKUP($A308,EnrollData2324,'2324 Jun 24 Enroll'!M$1,FALSE)+VLOOKUP($A308,EnrollData2324,'2324 Jun 24 Enroll'!D$1,FALSE)='District Calculations'!$F$25+'District Calculations'!$F$11,VLOOKUP($A308,EnrollData2324,'2324 Jun 24 Enroll'!M$1,FALSE)+VLOOKUP($A308,EnrollData2324,'2324 Jun 24 Enroll'!D$1,FALSE),'District Calculations'!$F$25+'District Calculations'!$F$11),5)</f>
        <v>4.1200000000000004E-3</v>
      </c>
      <c r="S308" s="11">
        <f t="shared" si="61"/>
        <v>1.8734299999999999E-2</v>
      </c>
      <c r="T308">
        <f>ROUND(IF(VLOOKUP($A308,EnrollData2324,'2324 Jun 24 Enroll'!D$1,FALSE)='District Calculations'!$F$11,VLOOKUP($A308,EnrollData2324,'2324 Jun 24 Enroll'!D$1,FALSE),'District Calculations'!$F$11)*S308,3)</f>
        <v>0</v>
      </c>
      <c r="U308">
        <f>ROUND(IF(VLOOKUP($A308,EnrollData2324,'2324 Jun 24 Enroll'!E$1,FALSE)='District Calculations'!$F$12,VLOOKUP($A308,EnrollData2324,'2324 Jun 24 Enroll'!E$1,FALSE),'District Calculations'!$F$12)*S308,3)</f>
        <v>15.183999999999999</v>
      </c>
      <c r="V308">
        <f>ROUND(IF(VLOOKUP($A308,EnrollData2324,'2324 Jun 24 Enroll'!F$1,FALSE)='District Calculations'!$F$13,VLOOKUP($A308,EnrollData2324,'2324 Jun 24 Enroll'!F$1,FALSE),'District Calculations'!$F$13)*Apport_224A2425,3)</f>
        <v>3.7109999999999999</v>
      </c>
      <c r="W308">
        <f>ROUND(IF(VLOOKUP($A308,EnrollData2324,'2324 Jun 24 Enroll'!G$1,FALSE)='District Calculations'!$F$14,VLOOKUP($A308,EnrollData2324,'2324 Jun 24 Enroll'!G$1,FALSE),'District Calculations'!$F$14)*Apport_212A2425,3)</f>
        <v>8.2279999999999998</v>
      </c>
      <c r="X308">
        <f>ROUND(IF(VLOOKUP($A308,EnrollData2324,'2324 Jun 24 Enroll'!H$1,FALSE)='District Calculations'!$F$14,VLOOKUP($A308,EnrollData2324,'2324 Jun 24 Enroll'!H$1,FALSE),'District Calculations'!$F$14)*Apport_215A2425,3)</f>
        <v>8.1180000000000003</v>
      </c>
      <c r="Y308">
        <f>ROUND(IF(VLOOKUP($A308,EnrollData2324,'2324 Jun 24 Enroll'!I$1,FALSE)+VLOOKUP($A308,EnrollData2324,'2324 Jun 24 Enroll'!M$1,FALSE)-VLOOKUP($A308,EnrollData2324,'2324 Jun 24 Enroll'!J$1,FALSE)='District Calculations'!$F$16+'District Calculations'!$F$25-'District Calculations'!$F$17,VLOOKUP($A308,EnrollData2324,'2324 Jun 24 Enroll'!I$1,FALSE)+VLOOKUP($A308,EnrollData2324,'2324 Jun 24 Enroll'!M$1,FALSE)-VLOOKUP($A308,EnrollData2324,'2324 Jun 24 Enroll'!J$1,FALSE),'District Calculations'!$F$16+'District Calculations'!$F$25-'District Calculations'!$F$17)*Apport_218A2425,3)</f>
        <v>20.257999999999999</v>
      </c>
      <c r="Z308">
        <f>ROUND(SUM(T308:Y308)/IF(VLOOKUP($A308,EnrollData2324,'2324 Jun 24 Enroll'!M$1,FALSE)+VLOOKUP($A308,EnrollData2324,'2324 Jun 24 Enroll'!D$1,FALSE)='District Calculations'!$F$25+'District Calculations'!$F$11,VLOOKUP($A308,EnrollData2324,'2324 Jun 24 Enroll'!M$1,FALSE)+VLOOKUP($A308,EnrollData2324,'2324 Jun 24 Enroll'!D$1,FALSE),'District Calculations'!$F$25+'District Calculations'!$F$11),5)</f>
        <v>1.7780000000000001E-2</v>
      </c>
      <c r="AA308" s="6">
        <f>ROUND($J308*CIS_Base_Salary2425*VLOOKUP($A308,EnrollData2324,'2324 Jun 24 Enroll'!AH$1,FALSE),2)</f>
        <v>4262.68</v>
      </c>
      <c r="AB308" s="6">
        <f>ROUND($J308*CIS_Inc_Salary2425*(VLOOKUP($A308,EnrollData2324,'2324 Jun 24 Enroll'!AI$1,FALSE)+VLOOKUP($A308,EnrollData2324,'2324 Jun 24 Enroll'!AJ$1,FALSE)),2)-AA308</f>
        <v>201.89999999999964</v>
      </c>
      <c r="AC308" s="6" cm="1">
        <f t="array" ref="AC308">ROUND($R308*CAS_Base_Salary2425*VLOOKUP($A308,EnrollData2324,'2324 Jun 24 Enroll'!AH$1,FALSE),2)</f>
        <v>461.23</v>
      </c>
      <c r="AD308" s="6">
        <f>ROUND($R308*CAS_Inc_Salary2425*VLOOKUP($A308,EnrollData2324,'2324 Jun 24 Enroll'!AI$1,FALSE),2)-AC308</f>
        <v>17.069999999999993</v>
      </c>
      <c r="AE308" s="6">
        <f>ROUND($Z308*CLS_Base_Salary2425*VLOOKUP($A308,EnrollData2324,'2324 Jun 24 Enroll'!AH$1,FALSE),2)</f>
        <v>961.95</v>
      </c>
      <c r="AF308" s="6">
        <f>ROUND($Z308*CLS_Inc_Salary2425*VLOOKUP($A308,EnrollData2324,'2324 Jun 24 Enroll'!AI$1,FALSE),2)-AE308</f>
        <v>35.599999999999909</v>
      </c>
      <c r="AG308" cm="1">
        <f t="array" ref="AG308">ROUND(($J308+$R308)*Apport_124X2425,2)</f>
        <v>800.45</v>
      </c>
      <c r="AH308" s="69" cm="1">
        <f t="array" ref="AH308">ROUND(($J308+$R308)*Apport_621X2425*Apport_125XC2425,2)-AG308</f>
        <v>73.899999999999977</v>
      </c>
      <c r="AI308" cm="1">
        <f t="array" ref="AI308">ROUND($Z308*Apport_124X2425,2)</f>
        <v>234.7</v>
      </c>
      <c r="AJ308">
        <f t="shared" si="62"/>
        <v>124.71000000000004</v>
      </c>
      <c r="AK308">
        <f t="shared" si="63"/>
        <v>857.39</v>
      </c>
      <c r="AL308">
        <f t="shared" si="64"/>
        <v>38.340000000000003</v>
      </c>
      <c r="AM308">
        <f t="shared" si="65"/>
        <v>208.36</v>
      </c>
      <c r="AN308">
        <f t="shared" si="66"/>
        <v>6.46</v>
      </c>
      <c r="AO308">
        <f>ROUND(($J308*CIS_Inc_Salary2425*(VLOOKUP($A308,EnrollData2324,'2324 Jun 24 Enroll'!AI$1,FALSE)+VLOOKUP($A308,EnrollData2324,'2324 Jun 24 Enroll'!AJ$1,FALSE))/Apport_613Xpd)*Apport_614Xpd,2)</f>
        <v>74.41</v>
      </c>
      <c r="AP308">
        <f t="shared" si="67"/>
        <v>13.03</v>
      </c>
      <c r="AQ308">
        <f t="shared" si="68"/>
        <v>31.48</v>
      </c>
      <c r="AR308" s="6">
        <f>ROUND((VLOOKUP($A308,EnrollData2324,'2324 Jun 24 Enroll'!D$1,FALSE)*Apport_M802425+VLOOKUP($A308,EnrollData2324,'2324 Jun 24 Enroll'!M$1,FALSE)*Apport_M802425+(VLOOKUP($A308,EnrollData2324,'2324 Jun 24 Enroll'!P$1,FALSE)+VLOOKUP($A308,EnrollData2324,'2324 Jun 24 Enroll'!Q$1,FALSE)+VLOOKUP($A308,EnrollData2324,'2324 Jun 24 Enroll'!R$1,FALSE)+VLOOKUP($A308,EnrollData2324,'2324 Jun 24 Enroll'!I$1,FALSE)+VLOOKUP($A308,EnrollData2324,'2324 Jun 24 Enroll'!N$1,FALSE)+VLOOKUP($A308,EnrollData2324,'2324 Jun 24 Enroll'!O$1,FALSE)+VLOOKUP($A308,EnrollData2324,'2324 Jun 24 Enroll'!K$1,FALSE)+VLOOKUP($A308,EnrollData2324,'2324 Jun 24 Enroll'!L$1,FALSE))*Apport_M812425)/(VLOOKUP($A308,EnrollData2324,'2324 Jun 24 Enroll'!M$1,FALSE)+VLOOKUP($A308,EnrollData2324,'2324 Jun 24 Enroll'!D$1,FALSE)),2)</f>
        <v>1592.02</v>
      </c>
      <c r="AS308" s="7">
        <f t="shared" ref="AS308:AS325" si="69">SUM(AA308:AR308)</f>
        <v>9995.6799999999985</v>
      </c>
    </row>
    <row r="309" spans="1:45">
      <c r="A309" s="40" t="s">
        <v>1035</v>
      </c>
      <c r="B309" s="40" t="s">
        <v>1036</v>
      </c>
      <c r="C309" s="11">
        <f>ROUND((IFERROR((1/IF(VLOOKUP($A309,EnrollData2324,28,FALSE)='District Calculations'!$F$10,VLOOKUP($A309,EnrollData2324,28,FALSE),'District Calculations'!$F$10))*(1+Apport_Z315),0))+Apport_201A2425,6)</f>
        <v>7.4580999999999995E-2</v>
      </c>
      <c r="D309">
        <f>ROUND(IF(VLOOKUP($A309,EnrollData2324,'2324 Jun 24 Enroll'!D$1,FALSE)='District Calculations'!$F$11,VLOOKUP($A309,EnrollData2324,'2324 Jun 24 Enroll'!D$1,FALSE),'District Calculations'!$F$11)*C309,3)</f>
        <v>0</v>
      </c>
      <c r="E309">
        <f>ROUND(IF(VLOOKUP($A309,EnrollData2324,'2324 Jun 24 Enroll'!E$1,FALSE)='District Calculations'!$F$12,VLOOKUP($A309,EnrollData2324,'2324 Jun 24 Enroll'!E$1,FALSE),'District Calculations'!$F$12)*C309,3)</f>
        <v>60.447000000000003</v>
      </c>
      <c r="F309">
        <f>ROUND(IF(VLOOKUP($A309,EnrollData2324,'2324 Jun 24 Enroll'!F$1,FALSE)='District Calculations'!$F$13,VLOOKUP($A309,EnrollData2324,'2324 Jun 24 Enroll'!F$1,FALSE),'District Calculations'!$F$13)*Apport_222A2425,3)</f>
        <v>10.337999999999999</v>
      </c>
      <c r="G309">
        <f>ROUND(IF(VLOOKUP($A309,EnrollData2324,'2324 Jun 24 Enroll'!G$1,FALSE)='District Calculations'!$F$14,VLOOKUP($A309,EnrollData2324,'2324 Jun 24 Enroll'!G$1,FALSE),'District Calculations'!$F$14)*Apport_210A2425,3)</f>
        <v>22.92</v>
      </c>
      <c r="H309">
        <f>ROUND(IF(VLOOKUP($A309,EnrollData2324,'2324 Jun 24 Enroll'!H$1,FALSE)='District Calculations'!$F$15,VLOOKUP($A309,EnrollData2324,'2324 Jun 24 Enroll'!H$1,FALSE),'District Calculations'!$F$15)*Apport_213A2425,3)</f>
        <v>23.619</v>
      </c>
      <c r="I309">
        <f>ROUND(IF(VLOOKUP($A309,EnrollData2324,'2324 Jun 24 Enroll'!I$1,FALSE)+VLOOKUP($A309,EnrollData2324,'2324 Jun 24 Enroll'!M$1,FALSE)-VLOOKUP($A309,EnrollData2324,'2324 Jun 24 Enroll'!J$1,FALSE)='District Calculations'!$F$16+'District Calculations'!$F$25-'District Calculations'!$F$17,VLOOKUP($A309,EnrollData2324,'2324 Jun 24 Enroll'!I$1,FALSE)+VLOOKUP($A309,EnrollData2324,'2324 Jun 24 Enroll'!M$1,FALSE)-VLOOKUP($A309,EnrollData2324,'2324 Jun 24 Enroll'!J$1,FALSE),'District Calculations'!$F$16+'District Calculations'!$F$25-'District Calculations'!$F$17)*Apport_216A2425,3)</f>
        <v>59.057000000000002</v>
      </c>
      <c r="J309">
        <f>ROUND(SUM(D309:I309)/(IF(VLOOKUP($A309,EnrollData2324,'2324 Jun 24 Enroll'!M$1,FALSE)='District Calculations'!$F$25,VLOOKUP($A309,EnrollData2324,'2324 Jun 24 Enroll'!M$1,FALSE),'District Calculations'!$F$25)+IF(VLOOKUP($A309,EnrollData2324,'2324 Jun 24 Enroll'!D$1,FALSE)='District Calculations'!$F$11,VLOOKUP($A309,EnrollData2324,'2324 Jun 24 Enroll'!D$1,FALSE),'District Calculations'!$F$11)),5)</f>
        <v>5.6520000000000001E-2</v>
      </c>
      <c r="K309" s="11">
        <f t="shared" si="60"/>
        <v>4.385E-3</v>
      </c>
      <c r="L309">
        <f>ROUND(IF(VLOOKUP($A309,EnrollData2324,'2324 Jun 24 Enroll'!D$1,FALSE)='District Calculations'!$F$11,VLOOKUP($A309,EnrollData2324,'2324 Jun 24 Enroll'!D$1,FALSE),'District Calculations'!$F$11)*K309,3)</f>
        <v>0</v>
      </c>
      <c r="M309">
        <f>ROUND(IF(VLOOKUP($A309,EnrollData2324,'2324 Jun 24 Enroll'!E$1,FALSE)='District Calculations'!$F$12,VLOOKUP($A309,EnrollData2324,'2324 Jun 24 Enroll'!E$1,FALSE),'District Calculations'!$F$12)*K309,3)</f>
        <v>3.5539999999999998</v>
      </c>
      <c r="N309">
        <f>ROUND(IF(VLOOKUP($A309,EnrollData2324,'2324 Jun 24 Enroll'!F$1,FALSE)='District Calculations'!$F$13,VLOOKUP($A309,EnrollData2324,'2324 Jun 24 Enroll'!F$1,FALSE),'District Calculations'!$F$13)*Apport_223A2425,3)</f>
        <v>0.84599999999999997</v>
      </c>
      <c r="O309">
        <f>ROUND(IF(VLOOKUP($A309,EnrollData2324,'2324 Jun 24 Enroll'!G$1,FALSE)='District Calculations'!$F$14,VLOOKUP($A309,EnrollData2324,'2324 Jun 24 Enroll'!G$1,FALSE),'District Calculations'!$F$14)*Apport_211A2425,3)</f>
        <v>1.877</v>
      </c>
      <c r="P309">
        <f>ROUND(IF(VLOOKUP($A309,EnrollData2324,'2324 Jun 24 Enroll'!H$1,FALSE)='District Calculations'!$F$14,VLOOKUP($A309,EnrollData2324,'2324 Jun 24 Enroll'!H$1,FALSE),'District Calculations'!$F$14)*Apport_214A2425,3)</f>
        <v>1.875</v>
      </c>
      <c r="Q309">
        <f>ROUND(IF(VLOOKUP($A309,EnrollData2324,'2324 Jun 24 Enroll'!I$1,FALSE)+VLOOKUP($A309,EnrollData2324,'2324 Jun 24 Enroll'!M$1,FALSE)-VLOOKUP($A309,EnrollData2324,'2324 Jun 24 Enroll'!J$1,FALSE)='District Calculations'!$F$16+'District Calculations'!$F$25-'District Calculations'!$F$17,VLOOKUP($A309,EnrollData2324,'2324 Jun 24 Enroll'!I$1,FALSE)+VLOOKUP($A309,EnrollData2324,'2324 Jun 24 Enroll'!M$1,FALSE)-VLOOKUP($A309,EnrollData2324,'2324 Jun 24 Enroll'!J$1,FALSE),'District Calculations'!$F$16+'District Calculations'!$F$25-'District Calculations'!$F$17)*Apport_217A2425,3)</f>
        <v>4.7130000000000001</v>
      </c>
      <c r="R309">
        <f>ROUND(SUM(L309:Q309)/IF(VLOOKUP($A309,EnrollData2324,'2324 Jun 24 Enroll'!M$1,FALSE)+VLOOKUP($A309,EnrollData2324,'2324 Jun 24 Enroll'!D$1,FALSE)='District Calculations'!$F$25+'District Calculations'!$F$11,VLOOKUP($A309,EnrollData2324,'2324 Jun 24 Enroll'!M$1,FALSE)+VLOOKUP($A309,EnrollData2324,'2324 Jun 24 Enroll'!D$1,FALSE),'District Calculations'!$F$25+'District Calculations'!$F$11),5)</f>
        <v>4.1200000000000004E-3</v>
      </c>
      <c r="S309" s="11">
        <f t="shared" si="61"/>
        <v>1.8734299999999999E-2</v>
      </c>
      <c r="T309">
        <f>ROUND(IF(VLOOKUP($A309,EnrollData2324,'2324 Jun 24 Enroll'!D$1,FALSE)='District Calculations'!$F$11,VLOOKUP($A309,EnrollData2324,'2324 Jun 24 Enroll'!D$1,FALSE),'District Calculations'!$F$11)*S309,3)</f>
        <v>0</v>
      </c>
      <c r="U309">
        <f>ROUND(IF(VLOOKUP($A309,EnrollData2324,'2324 Jun 24 Enroll'!E$1,FALSE)='District Calculations'!$F$12,VLOOKUP($A309,EnrollData2324,'2324 Jun 24 Enroll'!E$1,FALSE),'District Calculations'!$F$12)*S309,3)</f>
        <v>15.183999999999999</v>
      </c>
      <c r="V309">
        <f>ROUND(IF(VLOOKUP($A309,EnrollData2324,'2324 Jun 24 Enroll'!F$1,FALSE)='District Calculations'!$F$13,VLOOKUP($A309,EnrollData2324,'2324 Jun 24 Enroll'!F$1,FALSE),'District Calculations'!$F$13)*Apport_224A2425,3)</f>
        <v>3.7109999999999999</v>
      </c>
      <c r="W309">
        <f>ROUND(IF(VLOOKUP($A309,EnrollData2324,'2324 Jun 24 Enroll'!G$1,FALSE)='District Calculations'!$F$14,VLOOKUP($A309,EnrollData2324,'2324 Jun 24 Enroll'!G$1,FALSE),'District Calculations'!$F$14)*Apport_212A2425,3)</f>
        <v>8.2279999999999998</v>
      </c>
      <c r="X309">
        <f>ROUND(IF(VLOOKUP($A309,EnrollData2324,'2324 Jun 24 Enroll'!H$1,FALSE)='District Calculations'!$F$14,VLOOKUP($A309,EnrollData2324,'2324 Jun 24 Enroll'!H$1,FALSE),'District Calculations'!$F$14)*Apport_215A2425,3)</f>
        <v>8.1180000000000003</v>
      </c>
      <c r="Y309">
        <f>ROUND(IF(VLOOKUP($A309,EnrollData2324,'2324 Jun 24 Enroll'!I$1,FALSE)+VLOOKUP($A309,EnrollData2324,'2324 Jun 24 Enroll'!M$1,FALSE)-VLOOKUP($A309,EnrollData2324,'2324 Jun 24 Enroll'!J$1,FALSE)='District Calculations'!$F$16+'District Calculations'!$F$25-'District Calculations'!$F$17,VLOOKUP($A309,EnrollData2324,'2324 Jun 24 Enroll'!I$1,FALSE)+VLOOKUP($A309,EnrollData2324,'2324 Jun 24 Enroll'!M$1,FALSE)-VLOOKUP($A309,EnrollData2324,'2324 Jun 24 Enroll'!J$1,FALSE),'District Calculations'!$F$16+'District Calculations'!$F$25-'District Calculations'!$F$17)*Apport_218A2425,3)</f>
        <v>20.257999999999999</v>
      </c>
      <c r="Z309">
        <f>ROUND(SUM(T309:Y309)/IF(VLOOKUP($A309,EnrollData2324,'2324 Jun 24 Enroll'!M$1,FALSE)+VLOOKUP($A309,EnrollData2324,'2324 Jun 24 Enroll'!D$1,FALSE)='District Calculations'!$F$25+'District Calculations'!$F$11,VLOOKUP($A309,EnrollData2324,'2324 Jun 24 Enroll'!M$1,FALSE)+VLOOKUP($A309,EnrollData2324,'2324 Jun 24 Enroll'!D$1,FALSE),'District Calculations'!$F$25+'District Calculations'!$F$11),5)</f>
        <v>1.7780000000000001E-2</v>
      </c>
      <c r="AA309" s="6">
        <f>ROUND($J309*CIS_Base_Salary2425*VLOOKUP($A309,EnrollData2324,'2324 Jun 24 Enroll'!AH$1,FALSE),2)</f>
        <v>4262.68</v>
      </c>
      <c r="AB309" s="6">
        <f>ROUND($J309*CIS_Inc_Salary2425*(VLOOKUP($A309,EnrollData2324,'2324 Jun 24 Enroll'!AI$1,FALSE)+VLOOKUP($A309,EnrollData2324,'2324 Jun 24 Enroll'!AJ$1,FALSE)),2)-AA309</f>
        <v>157.6899999999996</v>
      </c>
      <c r="AC309" s="6" cm="1">
        <f t="array" ref="AC309">ROUND($R309*CAS_Base_Salary2425*VLOOKUP($A309,EnrollData2324,'2324 Jun 24 Enroll'!AH$1,FALSE),2)</f>
        <v>461.23</v>
      </c>
      <c r="AD309" s="6">
        <f>ROUND($R309*CAS_Inc_Salary2425*VLOOKUP($A309,EnrollData2324,'2324 Jun 24 Enroll'!AI$1,FALSE),2)-AC309</f>
        <v>17.069999999999993</v>
      </c>
      <c r="AE309" s="6">
        <f>ROUND($Z309*CLS_Base_Salary2425*VLOOKUP($A309,EnrollData2324,'2324 Jun 24 Enroll'!AH$1,FALSE),2)</f>
        <v>961.95</v>
      </c>
      <c r="AF309" s="6">
        <f>ROUND($Z309*CLS_Inc_Salary2425*VLOOKUP($A309,EnrollData2324,'2324 Jun 24 Enroll'!AI$1,FALSE),2)-AE309</f>
        <v>35.599999999999909</v>
      </c>
      <c r="AG309" cm="1">
        <f t="array" ref="AG309">ROUND(($J309+$R309)*Apport_124X2425,2)</f>
        <v>800.45</v>
      </c>
      <c r="AH309" s="69" cm="1">
        <f t="array" ref="AH309">ROUND(($J309+$R309)*Apport_621X2425*Apport_125XC2425,2)-AG309</f>
        <v>73.899999999999977</v>
      </c>
      <c r="AI309" cm="1">
        <f t="array" ref="AI309">ROUND($Z309*Apport_124X2425,2)</f>
        <v>234.7</v>
      </c>
      <c r="AJ309">
        <f t="shared" si="62"/>
        <v>124.71000000000004</v>
      </c>
      <c r="AK309">
        <f t="shared" si="63"/>
        <v>857.39</v>
      </c>
      <c r="AL309">
        <f t="shared" si="64"/>
        <v>30.6</v>
      </c>
      <c r="AM309">
        <f t="shared" si="65"/>
        <v>208.36</v>
      </c>
      <c r="AN309">
        <f t="shared" si="66"/>
        <v>6.46</v>
      </c>
      <c r="AO309">
        <f>ROUND(($J309*CIS_Inc_Salary2425*(VLOOKUP($A309,EnrollData2324,'2324 Jun 24 Enroll'!AI$1,FALSE)+VLOOKUP($A309,EnrollData2324,'2324 Jun 24 Enroll'!AJ$1,FALSE))/Apport_613Xpd)*Apport_614Xpd,2)</f>
        <v>73.67</v>
      </c>
      <c r="AP309">
        <f t="shared" si="67"/>
        <v>12.9</v>
      </c>
      <c r="AQ309">
        <f t="shared" si="68"/>
        <v>31.48</v>
      </c>
      <c r="AR309" s="6">
        <f>ROUND((VLOOKUP($A309,EnrollData2324,'2324 Jun 24 Enroll'!D$1,FALSE)*Apport_M802425+VLOOKUP($A309,EnrollData2324,'2324 Jun 24 Enroll'!M$1,FALSE)*Apport_M802425+(VLOOKUP($A309,EnrollData2324,'2324 Jun 24 Enroll'!P$1,FALSE)+VLOOKUP($A309,EnrollData2324,'2324 Jun 24 Enroll'!Q$1,FALSE)+VLOOKUP($A309,EnrollData2324,'2324 Jun 24 Enroll'!R$1,FALSE)+VLOOKUP($A309,EnrollData2324,'2324 Jun 24 Enroll'!I$1,FALSE)+VLOOKUP($A309,EnrollData2324,'2324 Jun 24 Enroll'!N$1,FALSE)+VLOOKUP($A309,EnrollData2324,'2324 Jun 24 Enroll'!O$1,FALSE)+VLOOKUP($A309,EnrollData2324,'2324 Jun 24 Enroll'!K$1,FALSE)+VLOOKUP($A309,EnrollData2324,'2324 Jun 24 Enroll'!L$1,FALSE))*Apport_M812425)/(VLOOKUP($A309,EnrollData2324,'2324 Jun 24 Enroll'!M$1,FALSE)+VLOOKUP($A309,EnrollData2324,'2324 Jun 24 Enroll'!D$1,FALSE)),2)</f>
        <v>1533.02</v>
      </c>
      <c r="AS309" s="7">
        <f t="shared" si="69"/>
        <v>9883.8599999999988</v>
      </c>
    </row>
    <row r="310" spans="1:45">
      <c r="A310" s="40" t="s">
        <v>835</v>
      </c>
      <c r="B310" s="40" t="s">
        <v>836</v>
      </c>
      <c r="C310" s="11">
        <f>ROUND((IFERROR((1/IF(VLOOKUP($A310,EnrollData2324,28,FALSE)='District Calculations'!$F$10,VLOOKUP($A310,EnrollData2324,28,FALSE),'District Calculations'!$F$10))*(1+Apport_Z315),0))+Apport_201A2425,6)</f>
        <v>7.4580999999999995E-2</v>
      </c>
      <c r="D310">
        <f>ROUND(IF(VLOOKUP($A310,EnrollData2324,'2324 Jun 24 Enroll'!D$1,FALSE)='District Calculations'!$F$11,VLOOKUP($A310,EnrollData2324,'2324 Jun 24 Enroll'!D$1,FALSE),'District Calculations'!$F$11)*C310,3)</f>
        <v>0</v>
      </c>
      <c r="E310">
        <f>ROUND(IF(VLOOKUP($A310,EnrollData2324,'2324 Jun 24 Enroll'!E$1,FALSE)='District Calculations'!$F$12,VLOOKUP($A310,EnrollData2324,'2324 Jun 24 Enroll'!E$1,FALSE),'District Calculations'!$F$12)*C310,3)</f>
        <v>60.447000000000003</v>
      </c>
      <c r="F310">
        <f>ROUND(IF(VLOOKUP($A310,EnrollData2324,'2324 Jun 24 Enroll'!F$1,FALSE)='District Calculations'!$F$13,VLOOKUP($A310,EnrollData2324,'2324 Jun 24 Enroll'!F$1,FALSE),'District Calculations'!$F$13)*Apport_222A2425,3)</f>
        <v>10.337999999999999</v>
      </c>
      <c r="G310">
        <f>ROUND(IF(VLOOKUP($A310,EnrollData2324,'2324 Jun 24 Enroll'!G$1,FALSE)='District Calculations'!$F$14,VLOOKUP($A310,EnrollData2324,'2324 Jun 24 Enroll'!G$1,FALSE),'District Calculations'!$F$14)*Apport_210A2425,3)</f>
        <v>22.92</v>
      </c>
      <c r="H310">
        <f>ROUND(IF(VLOOKUP($A310,EnrollData2324,'2324 Jun 24 Enroll'!H$1,FALSE)='District Calculations'!$F$15,VLOOKUP($A310,EnrollData2324,'2324 Jun 24 Enroll'!H$1,FALSE),'District Calculations'!$F$15)*Apport_213A2425,3)</f>
        <v>23.619</v>
      </c>
      <c r="I310">
        <f>ROUND(IF(VLOOKUP($A310,EnrollData2324,'2324 Jun 24 Enroll'!I$1,FALSE)+VLOOKUP($A310,EnrollData2324,'2324 Jun 24 Enroll'!M$1,FALSE)-VLOOKUP($A310,EnrollData2324,'2324 Jun 24 Enroll'!J$1,FALSE)='District Calculations'!$F$16+'District Calculations'!$F$25-'District Calculations'!$F$17,VLOOKUP($A310,EnrollData2324,'2324 Jun 24 Enroll'!I$1,FALSE)+VLOOKUP($A310,EnrollData2324,'2324 Jun 24 Enroll'!M$1,FALSE)-VLOOKUP($A310,EnrollData2324,'2324 Jun 24 Enroll'!J$1,FALSE),'District Calculations'!$F$16+'District Calculations'!$F$25-'District Calculations'!$F$17)*Apport_216A2425,3)</f>
        <v>59.057000000000002</v>
      </c>
      <c r="J310">
        <f>ROUND(SUM(D310:I310)/(IF(VLOOKUP($A310,EnrollData2324,'2324 Jun 24 Enroll'!M$1,FALSE)='District Calculations'!$F$25,VLOOKUP($A310,EnrollData2324,'2324 Jun 24 Enroll'!M$1,FALSE),'District Calculations'!$F$25)+IF(VLOOKUP($A310,EnrollData2324,'2324 Jun 24 Enroll'!D$1,FALSE)='District Calculations'!$F$11,VLOOKUP($A310,EnrollData2324,'2324 Jun 24 Enroll'!D$1,FALSE),'District Calculations'!$F$11)),5)</f>
        <v>5.6520000000000001E-2</v>
      </c>
      <c r="K310" s="11">
        <f t="shared" si="60"/>
        <v>4.385E-3</v>
      </c>
      <c r="L310">
        <f>ROUND(IF(VLOOKUP($A310,EnrollData2324,'2324 Jun 24 Enroll'!D$1,FALSE)='District Calculations'!$F$11,VLOOKUP($A310,EnrollData2324,'2324 Jun 24 Enroll'!D$1,FALSE),'District Calculations'!$F$11)*K310,3)</f>
        <v>0</v>
      </c>
      <c r="M310">
        <f>ROUND(IF(VLOOKUP($A310,EnrollData2324,'2324 Jun 24 Enroll'!E$1,FALSE)='District Calculations'!$F$12,VLOOKUP($A310,EnrollData2324,'2324 Jun 24 Enroll'!E$1,FALSE),'District Calculations'!$F$12)*K310,3)</f>
        <v>3.5539999999999998</v>
      </c>
      <c r="N310">
        <f>ROUND(IF(VLOOKUP($A310,EnrollData2324,'2324 Jun 24 Enroll'!F$1,FALSE)='District Calculations'!$F$13,VLOOKUP($A310,EnrollData2324,'2324 Jun 24 Enroll'!F$1,FALSE),'District Calculations'!$F$13)*Apport_223A2425,3)</f>
        <v>0.84599999999999997</v>
      </c>
      <c r="O310">
        <f>ROUND(IF(VLOOKUP($A310,EnrollData2324,'2324 Jun 24 Enroll'!G$1,FALSE)='District Calculations'!$F$14,VLOOKUP($A310,EnrollData2324,'2324 Jun 24 Enroll'!G$1,FALSE),'District Calculations'!$F$14)*Apport_211A2425,3)</f>
        <v>1.877</v>
      </c>
      <c r="P310">
        <f>ROUND(IF(VLOOKUP($A310,EnrollData2324,'2324 Jun 24 Enroll'!H$1,FALSE)='District Calculations'!$F$14,VLOOKUP($A310,EnrollData2324,'2324 Jun 24 Enroll'!H$1,FALSE),'District Calculations'!$F$14)*Apport_214A2425,3)</f>
        <v>1.875</v>
      </c>
      <c r="Q310">
        <f>ROUND(IF(VLOOKUP($A310,EnrollData2324,'2324 Jun 24 Enroll'!I$1,FALSE)+VLOOKUP($A310,EnrollData2324,'2324 Jun 24 Enroll'!M$1,FALSE)-VLOOKUP($A310,EnrollData2324,'2324 Jun 24 Enroll'!J$1,FALSE)='District Calculations'!$F$16+'District Calculations'!$F$25-'District Calculations'!$F$17,VLOOKUP($A310,EnrollData2324,'2324 Jun 24 Enroll'!I$1,FALSE)+VLOOKUP($A310,EnrollData2324,'2324 Jun 24 Enroll'!M$1,FALSE)-VLOOKUP($A310,EnrollData2324,'2324 Jun 24 Enroll'!J$1,FALSE),'District Calculations'!$F$16+'District Calculations'!$F$25-'District Calculations'!$F$17)*Apport_217A2425,3)</f>
        <v>4.7130000000000001</v>
      </c>
      <c r="R310">
        <f>ROUND(SUM(L310:Q310)/IF(VLOOKUP($A310,EnrollData2324,'2324 Jun 24 Enroll'!M$1,FALSE)+VLOOKUP($A310,EnrollData2324,'2324 Jun 24 Enroll'!D$1,FALSE)='District Calculations'!$F$25+'District Calculations'!$F$11,VLOOKUP($A310,EnrollData2324,'2324 Jun 24 Enroll'!M$1,FALSE)+VLOOKUP($A310,EnrollData2324,'2324 Jun 24 Enroll'!D$1,FALSE),'District Calculations'!$F$25+'District Calculations'!$F$11),5)</f>
        <v>4.1200000000000004E-3</v>
      </c>
      <c r="S310" s="11">
        <f t="shared" si="61"/>
        <v>1.8734299999999999E-2</v>
      </c>
      <c r="T310">
        <f>ROUND(IF(VLOOKUP($A310,EnrollData2324,'2324 Jun 24 Enroll'!D$1,FALSE)='District Calculations'!$F$11,VLOOKUP($A310,EnrollData2324,'2324 Jun 24 Enroll'!D$1,FALSE),'District Calculations'!$F$11)*S310,3)</f>
        <v>0</v>
      </c>
      <c r="U310">
        <f>ROUND(IF(VLOOKUP($A310,EnrollData2324,'2324 Jun 24 Enroll'!E$1,FALSE)='District Calculations'!$F$12,VLOOKUP($A310,EnrollData2324,'2324 Jun 24 Enroll'!E$1,FALSE),'District Calculations'!$F$12)*S310,3)</f>
        <v>15.183999999999999</v>
      </c>
      <c r="V310">
        <f>ROUND(IF(VLOOKUP($A310,EnrollData2324,'2324 Jun 24 Enroll'!F$1,FALSE)='District Calculations'!$F$13,VLOOKUP($A310,EnrollData2324,'2324 Jun 24 Enroll'!F$1,FALSE),'District Calculations'!$F$13)*Apport_224A2425,3)</f>
        <v>3.7109999999999999</v>
      </c>
      <c r="W310">
        <f>ROUND(IF(VLOOKUP($A310,EnrollData2324,'2324 Jun 24 Enroll'!G$1,FALSE)='District Calculations'!$F$14,VLOOKUP($A310,EnrollData2324,'2324 Jun 24 Enroll'!G$1,FALSE),'District Calculations'!$F$14)*Apport_212A2425,3)</f>
        <v>8.2279999999999998</v>
      </c>
      <c r="X310">
        <f>ROUND(IF(VLOOKUP($A310,EnrollData2324,'2324 Jun 24 Enroll'!H$1,FALSE)='District Calculations'!$F$14,VLOOKUP($A310,EnrollData2324,'2324 Jun 24 Enroll'!H$1,FALSE),'District Calculations'!$F$14)*Apport_215A2425,3)</f>
        <v>8.1180000000000003</v>
      </c>
      <c r="Y310">
        <f>ROUND(IF(VLOOKUP($A310,EnrollData2324,'2324 Jun 24 Enroll'!I$1,FALSE)+VLOOKUP($A310,EnrollData2324,'2324 Jun 24 Enroll'!M$1,FALSE)-VLOOKUP($A310,EnrollData2324,'2324 Jun 24 Enroll'!J$1,FALSE)='District Calculations'!$F$16+'District Calculations'!$F$25-'District Calculations'!$F$17,VLOOKUP($A310,EnrollData2324,'2324 Jun 24 Enroll'!I$1,FALSE)+VLOOKUP($A310,EnrollData2324,'2324 Jun 24 Enroll'!M$1,FALSE)-VLOOKUP($A310,EnrollData2324,'2324 Jun 24 Enroll'!J$1,FALSE),'District Calculations'!$F$16+'District Calculations'!$F$25-'District Calculations'!$F$17)*Apport_218A2425,3)</f>
        <v>20.257999999999999</v>
      </c>
      <c r="Z310">
        <f>ROUND(SUM(T310:Y310)/IF(VLOOKUP($A310,EnrollData2324,'2324 Jun 24 Enroll'!M$1,FALSE)+VLOOKUP($A310,EnrollData2324,'2324 Jun 24 Enroll'!D$1,FALSE)='District Calculations'!$F$25+'District Calculations'!$F$11,VLOOKUP($A310,EnrollData2324,'2324 Jun 24 Enroll'!M$1,FALSE)+VLOOKUP($A310,EnrollData2324,'2324 Jun 24 Enroll'!D$1,FALSE),'District Calculations'!$F$25+'District Calculations'!$F$11),5)</f>
        <v>1.7780000000000001E-2</v>
      </c>
      <c r="AA310" s="6">
        <f>ROUND($J310*CIS_Base_Salary2425*VLOOKUP($A310,EnrollData2324,'2324 Jun 24 Enroll'!AH$1,FALSE),2)</f>
        <v>4262.68</v>
      </c>
      <c r="AB310" s="6">
        <f>ROUND($J310*CIS_Inc_Salary2425*(VLOOKUP($A310,EnrollData2324,'2324 Jun 24 Enroll'!AI$1,FALSE)+VLOOKUP($A310,EnrollData2324,'2324 Jun 24 Enroll'!AJ$1,FALSE)),2)-AA310</f>
        <v>157.6899999999996</v>
      </c>
      <c r="AC310" s="6" cm="1">
        <f t="array" ref="AC310">ROUND($R310*CAS_Base_Salary2425*VLOOKUP($A310,EnrollData2324,'2324 Jun 24 Enroll'!AH$1,FALSE),2)</f>
        <v>461.23</v>
      </c>
      <c r="AD310" s="6">
        <f>ROUND($R310*CAS_Inc_Salary2425*VLOOKUP($A310,EnrollData2324,'2324 Jun 24 Enroll'!AI$1,FALSE),2)-AC310</f>
        <v>17.069999999999993</v>
      </c>
      <c r="AE310" s="6">
        <f>ROUND($Z310*CLS_Base_Salary2425*VLOOKUP($A310,EnrollData2324,'2324 Jun 24 Enroll'!AH$1,FALSE),2)</f>
        <v>961.95</v>
      </c>
      <c r="AF310" s="6">
        <f>ROUND($Z310*CLS_Inc_Salary2425*VLOOKUP($A310,EnrollData2324,'2324 Jun 24 Enroll'!AI$1,FALSE),2)-AE310</f>
        <v>35.599999999999909</v>
      </c>
      <c r="AG310" cm="1">
        <f t="array" ref="AG310">ROUND(($J310+$R310)*Apport_124X2425,2)</f>
        <v>800.45</v>
      </c>
      <c r="AH310" s="69" cm="1">
        <f t="array" ref="AH310">ROUND(($J310+$R310)*Apport_621X2425*Apport_125XC2425,2)-AG310</f>
        <v>73.899999999999977</v>
      </c>
      <c r="AI310" cm="1">
        <f t="array" ref="AI310">ROUND($Z310*Apport_124X2425,2)</f>
        <v>234.7</v>
      </c>
      <c r="AJ310">
        <f t="shared" si="62"/>
        <v>124.71000000000004</v>
      </c>
      <c r="AK310">
        <f t="shared" si="63"/>
        <v>857.39</v>
      </c>
      <c r="AL310">
        <f t="shared" si="64"/>
        <v>30.6</v>
      </c>
      <c r="AM310">
        <f t="shared" si="65"/>
        <v>208.36</v>
      </c>
      <c r="AN310">
        <f t="shared" si="66"/>
        <v>6.46</v>
      </c>
      <c r="AO310">
        <f>ROUND(($J310*CIS_Inc_Salary2425*(VLOOKUP($A310,EnrollData2324,'2324 Jun 24 Enroll'!AI$1,FALSE)+VLOOKUP($A310,EnrollData2324,'2324 Jun 24 Enroll'!AJ$1,FALSE))/Apport_613Xpd)*Apport_614Xpd,2)</f>
        <v>73.67</v>
      </c>
      <c r="AP310">
        <f t="shared" si="67"/>
        <v>12.9</v>
      </c>
      <c r="AQ310">
        <f t="shared" si="68"/>
        <v>31.48</v>
      </c>
      <c r="AR310" s="6">
        <f>ROUND((VLOOKUP($A310,EnrollData2324,'2324 Jun 24 Enroll'!D$1,FALSE)*Apport_M802425+VLOOKUP($A310,EnrollData2324,'2324 Jun 24 Enroll'!M$1,FALSE)*Apport_M802425+(VLOOKUP($A310,EnrollData2324,'2324 Jun 24 Enroll'!P$1,FALSE)+VLOOKUP($A310,EnrollData2324,'2324 Jun 24 Enroll'!Q$1,FALSE)+VLOOKUP($A310,EnrollData2324,'2324 Jun 24 Enroll'!R$1,FALSE)+VLOOKUP($A310,EnrollData2324,'2324 Jun 24 Enroll'!I$1,FALSE)+VLOOKUP($A310,EnrollData2324,'2324 Jun 24 Enroll'!N$1,FALSE)+VLOOKUP($A310,EnrollData2324,'2324 Jun 24 Enroll'!O$1,FALSE)+VLOOKUP($A310,EnrollData2324,'2324 Jun 24 Enroll'!K$1,FALSE)+VLOOKUP($A310,EnrollData2324,'2324 Jun 24 Enroll'!L$1,FALSE))*Apport_M812425)/(VLOOKUP($A310,EnrollData2324,'2324 Jun 24 Enroll'!M$1,FALSE)+VLOOKUP($A310,EnrollData2324,'2324 Jun 24 Enroll'!D$1,FALSE)),2)</f>
        <v>1533.02</v>
      </c>
      <c r="AS310" s="7">
        <f t="shared" si="69"/>
        <v>9883.8599999999988</v>
      </c>
    </row>
    <row r="311" spans="1:45">
      <c r="A311" s="40" t="s">
        <v>614</v>
      </c>
      <c r="B311" s="40" t="s">
        <v>615</v>
      </c>
      <c r="C311" s="11">
        <f>ROUND((IFERROR((1/IF(VLOOKUP($A311,EnrollData2324,28,FALSE)='District Calculations'!$F$10,VLOOKUP($A311,EnrollData2324,28,FALSE),'District Calculations'!$F$10))*(1+Apport_Z315),0))+Apport_201A2425,6)</f>
        <v>7.4580999999999995E-2</v>
      </c>
      <c r="D311">
        <f>ROUND(IF(VLOOKUP($A311,EnrollData2324,'2324 Jun 24 Enroll'!D$1,FALSE)='District Calculations'!$F$11,VLOOKUP($A311,EnrollData2324,'2324 Jun 24 Enroll'!D$1,FALSE),'District Calculations'!$F$11)*C311,3)</f>
        <v>0</v>
      </c>
      <c r="E311">
        <f>ROUND(IF(VLOOKUP($A311,EnrollData2324,'2324 Jun 24 Enroll'!E$1,FALSE)='District Calculations'!$F$12,VLOOKUP($A311,EnrollData2324,'2324 Jun 24 Enroll'!E$1,FALSE),'District Calculations'!$F$12)*C311,3)</f>
        <v>60.447000000000003</v>
      </c>
      <c r="F311">
        <f>ROUND(IF(VLOOKUP($A311,EnrollData2324,'2324 Jun 24 Enroll'!F$1,FALSE)='District Calculations'!$F$13,VLOOKUP($A311,EnrollData2324,'2324 Jun 24 Enroll'!F$1,FALSE),'District Calculations'!$F$13)*Apport_222A2425,3)</f>
        <v>10.337999999999999</v>
      </c>
      <c r="G311">
        <f>ROUND(IF(VLOOKUP($A311,EnrollData2324,'2324 Jun 24 Enroll'!G$1,FALSE)='District Calculations'!$F$14,VLOOKUP($A311,EnrollData2324,'2324 Jun 24 Enroll'!G$1,FALSE),'District Calculations'!$F$14)*Apport_210A2425,3)</f>
        <v>22.92</v>
      </c>
      <c r="H311">
        <f>ROUND(IF(VLOOKUP($A311,EnrollData2324,'2324 Jun 24 Enroll'!H$1,FALSE)='District Calculations'!$F$15,VLOOKUP($A311,EnrollData2324,'2324 Jun 24 Enroll'!H$1,FALSE),'District Calculations'!$F$15)*Apport_213A2425,3)</f>
        <v>23.619</v>
      </c>
      <c r="I311">
        <f>ROUND(IF(VLOOKUP($A311,EnrollData2324,'2324 Jun 24 Enroll'!I$1,FALSE)+VLOOKUP($A311,EnrollData2324,'2324 Jun 24 Enroll'!M$1,FALSE)-VLOOKUP($A311,EnrollData2324,'2324 Jun 24 Enroll'!J$1,FALSE)='District Calculations'!$F$16+'District Calculations'!$F$25-'District Calculations'!$F$17,VLOOKUP($A311,EnrollData2324,'2324 Jun 24 Enroll'!I$1,FALSE)+VLOOKUP($A311,EnrollData2324,'2324 Jun 24 Enroll'!M$1,FALSE)-VLOOKUP($A311,EnrollData2324,'2324 Jun 24 Enroll'!J$1,FALSE),'District Calculations'!$F$16+'District Calculations'!$F$25-'District Calculations'!$F$17)*Apport_216A2425,3)</f>
        <v>59.057000000000002</v>
      </c>
      <c r="J311">
        <f>ROUND(SUM(D311:I311)/(IF(VLOOKUP($A311,EnrollData2324,'2324 Jun 24 Enroll'!M$1,FALSE)='District Calculations'!$F$25,VLOOKUP($A311,EnrollData2324,'2324 Jun 24 Enroll'!M$1,FALSE),'District Calculations'!$F$25)+IF(VLOOKUP($A311,EnrollData2324,'2324 Jun 24 Enroll'!D$1,FALSE)='District Calculations'!$F$11,VLOOKUP($A311,EnrollData2324,'2324 Jun 24 Enroll'!D$1,FALSE),'District Calculations'!$F$11)),5)</f>
        <v>5.6520000000000001E-2</v>
      </c>
      <c r="K311" s="11">
        <f t="shared" si="60"/>
        <v>4.385E-3</v>
      </c>
      <c r="L311">
        <f>ROUND(IF(VLOOKUP($A311,EnrollData2324,'2324 Jun 24 Enroll'!D$1,FALSE)='District Calculations'!$F$11,VLOOKUP($A311,EnrollData2324,'2324 Jun 24 Enroll'!D$1,FALSE),'District Calculations'!$F$11)*K311,3)</f>
        <v>0</v>
      </c>
      <c r="M311">
        <f>ROUND(IF(VLOOKUP($A311,EnrollData2324,'2324 Jun 24 Enroll'!E$1,FALSE)='District Calculations'!$F$12,VLOOKUP($A311,EnrollData2324,'2324 Jun 24 Enroll'!E$1,FALSE),'District Calculations'!$F$12)*K311,3)</f>
        <v>3.5539999999999998</v>
      </c>
      <c r="N311">
        <f>ROUND(IF(VLOOKUP($A311,EnrollData2324,'2324 Jun 24 Enroll'!F$1,FALSE)='District Calculations'!$F$13,VLOOKUP($A311,EnrollData2324,'2324 Jun 24 Enroll'!F$1,FALSE),'District Calculations'!$F$13)*Apport_223A2425,3)</f>
        <v>0.84599999999999997</v>
      </c>
      <c r="O311">
        <f>ROUND(IF(VLOOKUP($A311,EnrollData2324,'2324 Jun 24 Enroll'!G$1,FALSE)='District Calculations'!$F$14,VLOOKUP($A311,EnrollData2324,'2324 Jun 24 Enroll'!G$1,FALSE),'District Calculations'!$F$14)*Apport_211A2425,3)</f>
        <v>1.877</v>
      </c>
      <c r="P311">
        <f>ROUND(IF(VLOOKUP($A311,EnrollData2324,'2324 Jun 24 Enroll'!H$1,FALSE)='District Calculations'!$F$14,VLOOKUP($A311,EnrollData2324,'2324 Jun 24 Enroll'!H$1,FALSE),'District Calculations'!$F$14)*Apport_214A2425,3)</f>
        <v>1.875</v>
      </c>
      <c r="Q311">
        <f>ROUND(IF(VLOOKUP($A311,EnrollData2324,'2324 Jun 24 Enroll'!I$1,FALSE)+VLOOKUP($A311,EnrollData2324,'2324 Jun 24 Enroll'!M$1,FALSE)-VLOOKUP($A311,EnrollData2324,'2324 Jun 24 Enroll'!J$1,FALSE)='District Calculations'!$F$16+'District Calculations'!$F$25-'District Calculations'!$F$17,VLOOKUP($A311,EnrollData2324,'2324 Jun 24 Enroll'!I$1,FALSE)+VLOOKUP($A311,EnrollData2324,'2324 Jun 24 Enroll'!M$1,FALSE)-VLOOKUP($A311,EnrollData2324,'2324 Jun 24 Enroll'!J$1,FALSE),'District Calculations'!$F$16+'District Calculations'!$F$25-'District Calculations'!$F$17)*Apport_217A2425,3)</f>
        <v>4.7130000000000001</v>
      </c>
      <c r="R311">
        <f>ROUND(SUM(L311:Q311)/IF(VLOOKUP($A311,EnrollData2324,'2324 Jun 24 Enroll'!M$1,FALSE)+VLOOKUP($A311,EnrollData2324,'2324 Jun 24 Enroll'!D$1,FALSE)='District Calculations'!$F$25+'District Calculations'!$F$11,VLOOKUP($A311,EnrollData2324,'2324 Jun 24 Enroll'!M$1,FALSE)+VLOOKUP($A311,EnrollData2324,'2324 Jun 24 Enroll'!D$1,FALSE),'District Calculations'!$F$25+'District Calculations'!$F$11),5)</f>
        <v>4.1200000000000004E-3</v>
      </c>
      <c r="S311" s="11">
        <f t="shared" si="61"/>
        <v>1.8734299999999999E-2</v>
      </c>
      <c r="T311">
        <f>ROUND(IF(VLOOKUP($A311,EnrollData2324,'2324 Jun 24 Enroll'!D$1,FALSE)='District Calculations'!$F$11,VLOOKUP($A311,EnrollData2324,'2324 Jun 24 Enroll'!D$1,FALSE),'District Calculations'!$F$11)*S311,3)</f>
        <v>0</v>
      </c>
      <c r="U311">
        <f>ROUND(IF(VLOOKUP($A311,EnrollData2324,'2324 Jun 24 Enroll'!E$1,FALSE)='District Calculations'!$F$12,VLOOKUP($A311,EnrollData2324,'2324 Jun 24 Enroll'!E$1,FALSE),'District Calculations'!$F$12)*S311,3)</f>
        <v>15.183999999999999</v>
      </c>
      <c r="V311">
        <f>ROUND(IF(VLOOKUP($A311,EnrollData2324,'2324 Jun 24 Enroll'!F$1,FALSE)='District Calculations'!$F$13,VLOOKUP($A311,EnrollData2324,'2324 Jun 24 Enroll'!F$1,FALSE),'District Calculations'!$F$13)*Apport_224A2425,3)</f>
        <v>3.7109999999999999</v>
      </c>
      <c r="W311">
        <f>ROUND(IF(VLOOKUP($A311,EnrollData2324,'2324 Jun 24 Enroll'!G$1,FALSE)='District Calculations'!$F$14,VLOOKUP($A311,EnrollData2324,'2324 Jun 24 Enroll'!G$1,FALSE),'District Calculations'!$F$14)*Apport_212A2425,3)</f>
        <v>8.2279999999999998</v>
      </c>
      <c r="X311">
        <f>ROUND(IF(VLOOKUP($A311,EnrollData2324,'2324 Jun 24 Enroll'!H$1,FALSE)='District Calculations'!$F$14,VLOOKUP($A311,EnrollData2324,'2324 Jun 24 Enroll'!H$1,FALSE),'District Calculations'!$F$14)*Apport_215A2425,3)</f>
        <v>8.1180000000000003</v>
      </c>
      <c r="Y311">
        <f>ROUND(IF(VLOOKUP($A311,EnrollData2324,'2324 Jun 24 Enroll'!I$1,FALSE)+VLOOKUP($A311,EnrollData2324,'2324 Jun 24 Enroll'!M$1,FALSE)-VLOOKUP($A311,EnrollData2324,'2324 Jun 24 Enroll'!J$1,FALSE)='District Calculations'!$F$16+'District Calculations'!$F$25-'District Calculations'!$F$17,VLOOKUP($A311,EnrollData2324,'2324 Jun 24 Enroll'!I$1,FALSE)+VLOOKUP($A311,EnrollData2324,'2324 Jun 24 Enroll'!M$1,FALSE)-VLOOKUP($A311,EnrollData2324,'2324 Jun 24 Enroll'!J$1,FALSE),'District Calculations'!$F$16+'District Calculations'!$F$25-'District Calculations'!$F$17)*Apport_218A2425,3)</f>
        <v>20.257999999999999</v>
      </c>
      <c r="Z311">
        <f>ROUND(SUM(T311:Y311)/IF(VLOOKUP($A311,EnrollData2324,'2324 Jun 24 Enroll'!M$1,FALSE)+VLOOKUP($A311,EnrollData2324,'2324 Jun 24 Enroll'!D$1,FALSE)='District Calculations'!$F$25+'District Calculations'!$F$11,VLOOKUP($A311,EnrollData2324,'2324 Jun 24 Enroll'!M$1,FALSE)+VLOOKUP($A311,EnrollData2324,'2324 Jun 24 Enroll'!D$1,FALSE),'District Calculations'!$F$25+'District Calculations'!$F$11),5)</f>
        <v>1.7780000000000001E-2</v>
      </c>
      <c r="AA311" s="6">
        <f>ROUND($J311*CIS_Base_Salary2425*VLOOKUP($A311,EnrollData2324,'2324 Jun 24 Enroll'!AH$1,FALSE),2)</f>
        <v>4262.68</v>
      </c>
      <c r="AB311" s="6">
        <f>ROUND($J311*CIS_Inc_Salary2425*(VLOOKUP($A311,EnrollData2324,'2324 Jun 24 Enroll'!AI$1,FALSE)+VLOOKUP($A311,EnrollData2324,'2324 Jun 24 Enroll'!AJ$1,FALSE)),2)-AA311</f>
        <v>157.6899999999996</v>
      </c>
      <c r="AC311" s="6" cm="1">
        <f t="array" ref="AC311">ROUND($R311*CAS_Base_Salary2425*VLOOKUP($A311,EnrollData2324,'2324 Jun 24 Enroll'!AH$1,FALSE),2)</f>
        <v>461.23</v>
      </c>
      <c r="AD311" s="6">
        <f>ROUND($R311*CAS_Inc_Salary2425*VLOOKUP($A311,EnrollData2324,'2324 Jun 24 Enroll'!AI$1,FALSE),2)-AC311</f>
        <v>17.069999999999993</v>
      </c>
      <c r="AE311" s="6">
        <f>ROUND($Z311*CLS_Base_Salary2425*VLOOKUP($A311,EnrollData2324,'2324 Jun 24 Enroll'!AH$1,FALSE),2)</f>
        <v>961.95</v>
      </c>
      <c r="AF311" s="6">
        <f>ROUND($Z311*CLS_Inc_Salary2425*VLOOKUP($A311,EnrollData2324,'2324 Jun 24 Enroll'!AI$1,FALSE),2)-AE311</f>
        <v>35.599999999999909</v>
      </c>
      <c r="AG311" cm="1">
        <f t="array" ref="AG311">ROUND(($J311+$R311)*Apport_124X2425,2)</f>
        <v>800.45</v>
      </c>
      <c r="AH311" s="69" cm="1">
        <f t="array" ref="AH311">ROUND(($J311+$R311)*Apport_621X2425*Apport_125XC2425,2)-AG311</f>
        <v>73.899999999999977</v>
      </c>
      <c r="AI311" cm="1">
        <f t="array" ref="AI311">ROUND($Z311*Apport_124X2425,2)</f>
        <v>234.7</v>
      </c>
      <c r="AJ311">
        <f t="shared" si="62"/>
        <v>124.71000000000004</v>
      </c>
      <c r="AK311">
        <f t="shared" si="63"/>
        <v>857.39</v>
      </c>
      <c r="AL311">
        <f t="shared" si="64"/>
        <v>30.6</v>
      </c>
      <c r="AM311">
        <f t="shared" si="65"/>
        <v>208.36</v>
      </c>
      <c r="AN311">
        <f t="shared" si="66"/>
        <v>6.46</v>
      </c>
      <c r="AO311">
        <f>ROUND(($J311*CIS_Inc_Salary2425*(VLOOKUP($A311,EnrollData2324,'2324 Jun 24 Enroll'!AI$1,FALSE)+VLOOKUP($A311,EnrollData2324,'2324 Jun 24 Enroll'!AJ$1,FALSE))/Apport_613Xpd)*Apport_614Xpd,2)</f>
        <v>73.67</v>
      </c>
      <c r="AP311">
        <f t="shared" si="67"/>
        <v>12.9</v>
      </c>
      <c r="AQ311">
        <f t="shared" si="68"/>
        <v>31.48</v>
      </c>
      <c r="AR311" s="6">
        <f>ROUND((VLOOKUP($A311,EnrollData2324,'2324 Jun 24 Enroll'!D$1,FALSE)*Apport_M802425+VLOOKUP($A311,EnrollData2324,'2324 Jun 24 Enroll'!M$1,FALSE)*Apport_M802425+(VLOOKUP($A311,EnrollData2324,'2324 Jun 24 Enroll'!P$1,FALSE)+VLOOKUP($A311,EnrollData2324,'2324 Jun 24 Enroll'!Q$1,FALSE)+VLOOKUP($A311,EnrollData2324,'2324 Jun 24 Enroll'!R$1,FALSE)+VLOOKUP($A311,EnrollData2324,'2324 Jun 24 Enroll'!I$1,FALSE)+VLOOKUP($A311,EnrollData2324,'2324 Jun 24 Enroll'!N$1,FALSE)+VLOOKUP($A311,EnrollData2324,'2324 Jun 24 Enroll'!O$1,FALSE)+VLOOKUP($A311,EnrollData2324,'2324 Jun 24 Enroll'!K$1,FALSE)+VLOOKUP($A311,EnrollData2324,'2324 Jun 24 Enroll'!L$1,FALSE))*Apport_M812425)/(VLOOKUP($A311,EnrollData2324,'2324 Jun 24 Enroll'!M$1,FALSE)+VLOOKUP($A311,EnrollData2324,'2324 Jun 24 Enroll'!D$1,FALSE)),2)</f>
        <v>1597.81</v>
      </c>
      <c r="AS311" s="7">
        <f t="shared" si="69"/>
        <v>9948.6499999999978</v>
      </c>
    </row>
    <row r="312" spans="1:45">
      <c r="A312" s="40" t="s">
        <v>891</v>
      </c>
      <c r="B312" s="40" t="s">
        <v>892</v>
      </c>
      <c r="C312" s="11">
        <f>ROUND((IFERROR((1/IF(VLOOKUP($A312,EnrollData2324,28,FALSE)='District Calculations'!$F$10,VLOOKUP($A312,EnrollData2324,28,FALSE),'District Calculations'!$F$10))*(1+Apport_Z315),0))+Apport_201A2425,6)</f>
        <v>7.4580999999999995E-2</v>
      </c>
      <c r="D312">
        <f>ROUND(IF(VLOOKUP($A312,EnrollData2324,'2324 Jun 24 Enroll'!D$1,FALSE)='District Calculations'!$F$11,VLOOKUP($A312,EnrollData2324,'2324 Jun 24 Enroll'!D$1,FALSE),'District Calculations'!$F$11)*C312,3)</f>
        <v>0</v>
      </c>
      <c r="E312">
        <f>ROUND(IF(VLOOKUP($A312,EnrollData2324,'2324 Jun 24 Enroll'!E$1,FALSE)='District Calculations'!$F$12,VLOOKUP($A312,EnrollData2324,'2324 Jun 24 Enroll'!E$1,FALSE),'District Calculations'!$F$12)*C312,3)</f>
        <v>60.447000000000003</v>
      </c>
      <c r="F312">
        <f>ROUND(IF(VLOOKUP($A312,EnrollData2324,'2324 Jun 24 Enroll'!F$1,FALSE)='District Calculations'!$F$13,VLOOKUP($A312,EnrollData2324,'2324 Jun 24 Enroll'!F$1,FALSE),'District Calculations'!$F$13)*Apport_222A2425,3)</f>
        <v>10.337999999999999</v>
      </c>
      <c r="G312">
        <f>ROUND(IF(VLOOKUP($A312,EnrollData2324,'2324 Jun 24 Enroll'!G$1,FALSE)='District Calculations'!$F$14,VLOOKUP($A312,EnrollData2324,'2324 Jun 24 Enroll'!G$1,FALSE),'District Calculations'!$F$14)*Apport_210A2425,3)</f>
        <v>22.92</v>
      </c>
      <c r="H312">
        <f>ROUND(IF(VLOOKUP($A312,EnrollData2324,'2324 Jun 24 Enroll'!H$1,FALSE)='District Calculations'!$F$15,VLOOKUP($A312,EnrollData2324,'2324 Jun 24 Enroll'!H$1,FALSE),'District Calculations'!$F$15)*Apport_213A2425,3)</f>
        <v>23.619</v>
      </c>
      <c r="I312">
        <f>ROUND(IF(VLOOKUP($A312,EnrollData2324,'2324 Jun 24 Enroll'!I$1,FALSE)+VLOOKUP($A312,EnrollData2324,'2324 Jun 24 Enroll'!M$1,FALSE)-VLOOKUP($A312,EnrollData2324,'2324 Jun 24 Enroll'!J$1,FALSE)='District Calculations'!$F$16+'District Calculations'!$F$25-'District Calculations'!$F$17,VLOOKUP($A312,EnrollData2324,'2324 Jun 24 Enroll'!I$1,FALSE)+VLOOKUP($A312,EnrollData2324,'2324 Jun 24 Enroll'!M$1,FALSE)-VLOOKUP($A312,EnrollData2324,'2324 Jun 24 Enroll'!J$1,FALSE),'District Calculations'!$F$16+'District Calculations'!$F$25-'District Calculations'!$F$17)*Apport_216A2425,3)</f>
        <v>59.057000000000002</v>
      </c>
      <c r="J312">
        <f>ROUND(SUM(D312:I312)/(IF(VLOOKUP($A312,EnrollData2324,'2324 Jun 24 Enroll'!M$1,FALSE)='District Calculations'!$F$25,VLOOKUP($A312,EnrollData2324,'2324 Jun 24 Enroll'!M$1,FALSE),'District Calculations'!$F$25)+IF(VLOOKUP($A312,EnrollData2324,'2324 Jun 24 Enroll'!D$1,FALSE)='District Calculations'!$F$11,VLOOKUP($A312,EnrollData2324,'2324 Jun 24 Enroll'!D$1,FALSE),'District Calculations'!$F$11)),5)</f>
        <v>5.6520000000000001E-2</v>
      </c>
      <c r="K312" s="11">
        <f t="shared" si="60"/>
        <v>4.385E-3</v>
      </c>
      <c r="L312">
        <f>ROUND(IF(VLOOKUP($A312,EnrollData2324,'2324 Jun 24 Enroll'!D$1,FALSE)='District Calculations'!$F$11,VLOOKUP($A312,EnrollData2324,'2324 Jun 24 Enroll'!D$1,FALSE),'District Calculations'!$F$11)*K312,3)</f>
        <v>0</v>
      </c>
      <c r="M312">
        <f>ROUND(IF(VLOOKUP($A312,EnrollData2324,'2324 Jun 24 Enroll'!E$1,FALSE)='District Calculations'!$F$12,VLOOKUP($A312,EnrollData2324,'2324 Jun 24 Enroll'!E$1,FALSE),'District Calculations'!$F$12)*K312,3)</f>
        <v>3.5539999999999998</v>
      </c>
      <c r="N312">
        <f>ROUND(IF(VLOOKUP($A312,EnrollData2324,'2324 Jun 24 Enroll'!F$1,FALSE)='District Calculations'!$F$13,VLOOKUP($A312,EnrollData2324,'2324 Jun 24 Enroll'!F$1,FALSE),'District Calculations'!$F$13)*Apport_223A2425,3)</f>
        <v>0.84599999999999997</v>
      </c>
      <c r="O312">
        <f>ROUND(IF(VLOOKUP($A312,EnrollData2324,'2324 Jun 24 Enroll'!G$1,FALSE)='District Calculations'!$F$14,VLOOKUP($A312,EnrollData2324,'2324 Jun 24 Enroll'!G$1,FALSE),'District Calculations'!$F$14)*Apport_211A2425,3)</f>
        <v>1.877</v>
      </c>
      <c r="P312">
        <f>ROUND(IF(VLOOKUP($A312,EnrollData2324,'2324 Jun 24 Enroll'!H$1,FALSE)='District Calculations'!$F$14,VLOOKUP($A312,EnrollData2324,'2324 Jun 24 Enroll'!H$1,FALSE),'District Calculations'!$F$14)*Apport_214A2425,3)</f>
        <v>1.875</v>
      </c>
      <c r="Q312">
        <f>ROUND(IF(VLOOKUP($A312,EnrollData2324,'2324 Jun 24 Enroll'!I$1,FALSE)+VLOOKUP($A312,EnrollData2324,'2324 Jun 24 Enroll'!M$1,FALSE)-VLOOKUP($A312,EnrollData2324,'2324 Jun 24 Enroll'!J$1,FALSE)='District Calculations'!$F$16+'District Calculations'!$F$25-'District Calculations'!$F$17,VLOOKUP($A312,EnrollData2324,'2324 Jun 24 Enroll'!I$1,FALSE)+VLOOKUP($A312,EnrollData2324,'2324 Jun 24 Enroll'!M$1,FALSE)-VLOOKUP($A312,EnrollData2324,'2324 Jun 24 Enroll'!J$1,FALSE),'District Calculations'!$F$16+'District Calculations'!$F$25-'District Calculations'!$F$17)*Apport_217A2425,3)</f>
        <v>4.7130000000000001</v>
      </c>
      <c r="R312">
        <f>ROUND(SUM(L312:Q312)/IF(VLOOKUP($A312,EnrollData2324,'2324 Jun 24 Enroll'!M$1,FALSE)+VLOOKUP($A312,EnrollData2324,'2324 Jun 24 Enroll'!D$1,FALSE)='District Calculations'!$F$25+'District Calculations'!$F$11,VLOOKUP($A312,EnrollData2324,'2324 Jun 24 Enroll'!M$1,FALSE)+VLOOKUP($A312,EnrollData2324,'2324 Jun 24 Enroll'!D$1,FALSE),'District Calculations'!$F$25+'District Calculations'!$F$11),5)</f>
        <v>4.1200000000000004E-3</v>
      </c>
      <c r="S312" s="11">
        <f t="shared" si="61"/>
        <v>1.8734299999999999E-2</v>
      </c>
      <c r="T312">
        <f>ROUND(IF(VLOOKUP($A312,EnrollData2324,'2324 Jun 24 Enroll'!D$1,FALSE)='District Calculations'!$F$11,VLOOKUP($A312,EnrollData2324,'2324 Jun 24 Enroll'!D$1,FALSE),'District Calculations'!$F$11)*S312,3)</f>
        <v>0</v>
      </c>
      <c r="U312">
        <f>ROUND(IF(VLOOKUP($A312,EnrollData2324,'2324 Jun 24 Enroll'!E$1,FALSE)='District Calculations'!$F$12,VLOOKUP($A312,EnrollData2324,'2324 Jun 24 Enroll'!E$1,FALSE),'District Calculations'!$F$12)*S312,3)</f>
        <v>15.183999999999999</v>
      </c>
      <c r="V312">
        <f>ROUND(IF(VLOOKUP($A312,EnrollData2324,'2324 Jun 24 Enroll'!F$1,FALSE)='District Calculations'!$F$13,VLOOKUP($A312,EnrollData2324,'2324 Jun 24 Enroll'!F$1,FALSE),'District Calculations'!$F$13)*Apport_224A2425,3)</f>
        <v>3.7109999999999999</v>
      </c>
      <c r="W312">
        <f>ROUND(IF(VLOOKUP($A312,EnrollData2324,'2324 Jun 24 Enroll'!G$1,FALSE)='District Calculations'!$F$14,VLOOKUP($A312,EnrollData2324,'2324 Jun 24 Enroll'!G$1,FALSE),'District Calculations'!$F$14)*Apport_212A2425,3)</f>
        <v>8.2279999999999998</v>
      </c>
      <c r="X312">
        <f>ROUND(IF(VLOOKUP($A312,EnrollData2324,'2324 Jun 24 Enroll'!H$1,FALSE)='District Calculations'!$F$14,VLOOKUP($A312,EnrollData2324,'2324 Jun 24 Enroll'!H$1,FALSE),'District Calculations'!$F$14)*Apport_215A2425,3)</f>
        <v>8.1180000000000003</v>
      </c>
      <c r="Y312">
        <f>ROUND(IF(VLOOKUP($A312,EnrollData2324,'2324 Jun 24 Enroll'!I$1,FALSE)+VLOOKUP($A312,EnrollData2324,'2324 Jun 24 Enroll'!M$1,FALSE)-VLOOKUP($A312,EnrollData2324,'2324 Jun 24 Enroll'!J$1,FALSE)='District Calculations'!$F$16+'District Calculations'!$F$25-'District Calculations'!$F$17,VLOOKUP($A312,EnrollData2324,'2324 Jun 24 Enroll'!I$1,FALSE)+VLOOKUP($A312,EnrollData2324,'2324 Jun 24 Enroll'!M$1,FALSE)-VLOOKUP($A312,EnrollData2324,'2324 Jun 24 Enroll'!J$1,FALSE),'District Calculations'!$F$16+'District Calculations'!$F$25-'District Calculations'!$F$17)*Apport_218A2425,3)</f>
        <v>20.257999999999999</v>
      </c>
      <c r="Z312">
        <f>ROUND(SUM(T312:Y312)/IF(VLOOKUP($A312,EnrollData2324,'2324 Jun 24 Enroll'!M$1,FALSE)+VLOOKUP($A312,EnrollData2324,'2324 Jun 24 Enroll'!D$1,FALSE)='District Calculations'!$F$25+'District Calculations'!$F$11,VLOOKUP($A312,EnrollData2324,'2324 Jun 24 Enroll'!M$1,FALSE)+VLOOKUP($A312,EnrollData2324,'2324 Jun 24 Enroll'!D$1,FALSE),'District Calculations'!$F$25+'District Calculations'!$F$11),5)</f>
        <v>1.7780000000000001E-2</v>
      </c>
      <c r="AA312" s="6">
        <f>ROUND($J312*CIS_Base_Salary2425*VLOOKUP($A312,EnrollData2324,'2324 Jun 24 Enroll'!AH$1,FALSE),2)</f>
        <v>4262.68</v>
      </c>
      <c r="AB312" s="6">
        <f>ROUND($J312*CIS_Inc_Salary2425*(VLOOKUP($A312,EnrollData2324,'2324 Jun 24 Enroll'!AI$1,FALSE)+VLOOKUP($A312,EnrollData2324,'2324 Jun 24 Enroll'!AJ$1,FALSE)),2)-AA312</f>
        <v>157.6899999999996</v>
      </c>
      <c r="AC312" s="6" cm="1">
        <f t="array" ref="AC312">ROUND($R312*CAS_Base_Salary2425*VLOOKUP($A312,EnrollData2324,'2324 Jun 24 Enroll'!AH$1,FALSE),2)</f>
        <v>461.23</v>
      </c>
      <c r="AD312" s="6">
        <f>ROUND($R312*CAS_Inc_Salary2425*VLOOKUP($A312,EnrollData2324,'2324 Jun 24 Enroll'!AI$1,FALSE),2)-AC312</f>
        <v>17.069999999999993</v>
      </c>
      <c r="AE312" s="6">
        <f>ROUND($Z312*CLS_Base_Salary2425*VLOOKUP($A312,EnrollData2324,'2324 Jun 24 Enroll'!AH$1,FALSE),2)</f>
        <v>961.95</v>
      </c>
      <c r="AF312" s="6">
        <f>ROUND($Z312*CLS_Inc_Salary2425*VLOOKUP($A312,EnrollData2324,'2324 Jun 24 Enroll'!AI$1,FALSE),2)-AE312</f>
        <v>35.599999999999909</v>
      </c>
      <c r="AG312" cm="1">
        <f t="array" ref="AG312">ROUND(($J312+$R312)*Apport_124X2425,2)</f>
        <v>800.45</v>
      </c>
      <c r="AH312" s="69" cm="1">
        <f t="array" ref="AH312">ROUND(($J312+$R312)*Apport_621X2425*Apport_125XC2425,2)-AG312</f>
        <v>73.899999999999977</v>
      </c>
      <c r="AI312" cm="1">
        <f t="array" ref="AI312">ROUND($Z312*Apport_124X2425,2)</f>
        <v>234.7</v>
      </c>
      <c r="AJ312">
        <f t="shared" si="62"/>
        <v>124.71000000000004</v>
      </c>
      <c r="AK312">
        <f t="shared" si="63"/>
        <v>857.39</v>
      </c>
      <c r="AL312">
        <f t="shared" si="64"/>
        <v>30.6</v>
      </c>
      <c r="AM312">
        <f t="shared" si="65"/>
        <v>208.36</v>
      </c>
      <c r="AN312">
        <f t="shared" si="66"/>
        <v>6.46</v>
      </c>
      <c r="AO312">
        <f>ROUND(($J312*CIS_Inc_Salary2425*(VLOOKUP($A312,EnrollData2324,'2324 Jun 24 Enroll'!AI$1,FALSE)+VLOOKUP($A312,EnrollData2324,'2324 Jun 24 Enroll'!AJ$1,FALSE))/Apport_613Xpd)*Apport_614Xpd,2)</f>
        <v>73.67</v>
      </c>
      <c r="AP312">
        <f t="shared" si="67"/>
        <v>12.9</v>
      </c>
      <c r="AQ312">
        <f t="shared" si="68"/>
        <v>31.48</v>
      </c>
      <c r="AR312" s="6">
        <f>ROUND((VLOOKUP($A312,EnrollData2324,'2324 Jun 24 Enroll'!D$1,FALSE)*Apport_M802425+VLOOKUP($A312,EnrollData2324,'2324 Jun 24 Enroll'!M$1,FALSE)*Apport_M802425+(VLOOKUP($A312,EnrollData2324,'2324 Jun 24 Enroll'!P$1,FALSE)+VLOOKUP($A312,EnrollData2324,'2324 Jun 24 Enroll'!Q$1,FALSE)+VLOOKUP($A312,EnrollData2324,'2324 Jun 24 Enroll'!R$1,FALSE)+VLOOKUP($A312,EnrollData2324,'2324 Jun 24 Enroll'!I$1,FALSE)+VLOOKUP($A312,EnrollData2324,'2324 Jun 24 Enroll'!N$1,FALSE)+VLOOKUP($A312,EnrollData2324,'2324 Jun 24 Enroll'!O$1,FALSE)+VLOOKUP($A312,EnrollData2324,'2324 Jun 24 Enroll'!K$1,FALSE)+VLOOKUP($A312,EnrollData2324,'2324 Jun 24 Enroll'!L$1,FALSE))*Apport_M812425)/(VLOOKUP($A312,EnrollData2324,'2324 Jun 24 Enroll'!M$1,FALSE)+VLOOKUP($A312,EnrollData2324,'2324 Jun 24 Enroll'!D$1,FALSE)),2)</f>
        <v>1607.89</v>
      </c>
      <c r="AS312" s="7">
        <f t="shared" si="69"/>
        <v>9958.7299999999977</v>
      </c>
    </row>
    <row r="313" spans="1:45">
      <c r="A313" s="40" t="s">
        <v>436</v>
      </c>
      <c r="B313" s="40" t="s">
        <v>437</v>
      </c>
      <c r="C313" s="11">
        <f>ROUND((IFERROR((1/IF(VLOOKUP($A313,EnrollData2324,28,FALSE)='District Calculations'!$F$10,VLOOKUP($A313,EnrollData2324,28,FALSE),'District Calculations'!$F$10))*(1+Apport_Z315),0))+Apport_201A2425,6)</f>
        <v>7.4580999999999995E-2</v>
      </c>
      <c r="D313">
        <f>ROUND(IF(VLOOKUP($A313,EnrollData2324,'2324 Jun 24 Enroll'!D$1,FALSE)='District Calculations'!$F$11,VLOOKUP($A313,EnrollData2324,'2324 Jun 24 Enroll'!D$1,FALSE),'District Calculations'!$F$11)*C313,3)</f>
        <v>0</v>
      </c>
      <c r="E313">
        <f>ROUND(IF(VLOOKUP($A313,EnrollData2324,'2324 Jun 24 Enroll'!E$1,FALSE)='District Calculations'!$F$12,VLOOKUP($A313,EnrollData2324,'2324 Jun 24 Enroll'!E$1,FALSE),'District Calculations'!$F$12)*C313,3)</f>
        <v>60.447000000000003</v>
      </c>
      <c r="F313">
        <f>ROUND(IF(VLOOKUP($A313,EnrollData2324,'2324 Jun 24 Enroll'!F$1,FALSE)='District Calculations'!$F$13,VLOOKUP($A313,EnrollData2324,'2324 Jun 24 Enroll'!F$1,FALSE),'District Calculations'!$F$13)*Apport_222A2425,3)</f>
        <v>10.337999999999999</v>
      </c>
      <c r="G313">
        <f>ROUND(IF(VLOOKUP($A313,EnrollData2324,'2324 Jun 24 Enroll'!G$1,FALSE)='District Calculations'!$F$14,VLOOKUP($A313,EnrollData2324,'2324 Jun 24 Enroll'!G$1,FALSE),'District Calculations'!$F$14)*Apport_210A2425,3)</f>
        <v>22.92</v>
      </c>
      <c r="H313">
        <f>ROUND(IF(VLOOKUP($A313,EnrollData2324,'2324 Jun 24 Enroll'!H$1,FALSE)='District Calculations'!$F$15,VLOOKUP($A313,EnrollData2324,'2324 Jun 24 Enroll'!H$1,FALSE),'District Calculations'!$F$15)*Apport_213A2425,3)</f>
        <v>23.619</v>
      </c>
      <c r="I313">
        <f>ROUND(IF(VLOOKUP($A313,EnrollData2324,'2324 Jun 24 Enroll'!I$1,FALSE)+VLOOKUP($A313,EnrollData2324,'2324 Jun 24 Enroll'!M$1,FALSE)-VLOOKUP($A313,EnrollData2324,'2324 Jun 24 Enroll'!J$1,FALSE)='District Calculations'!$F$16+'District Calculations'!$F$25-'District Calculations'!$F$17,VLOOKUP($A313,EnrollData2324,'2324 Jun 24 Enroll'!I$1,FALSE)+VLOOKUP($A313,EnrollData2324,'2324 Jun 24 Enroll'!M$1,FALSE)-VLOOKUP($A313,EnrollData2324,'2324 Jun 24 Enroll'!J$1,FALSE),'District Calculations'!$F$16+'District Calculations'!$F$25-'District Calculations'!$F$17)*Apport_216A2425,3)</f>
        <v>59.057000000000002</v>
      </c>
      <c r="J313">
        <f>ROUND(SUM(D313:I313)/(IF(VLOOKUP($A313,EnrollData2324,'2324 Jun 24 Enroll'!M$1,FALSE)='District Calculations'!$F$25,VLOOKUP($A313,EnrollData2324,'2324 Jun 24 Enroll'!M$1,FALSE),'District Calculations'!$F$25)+IF(VLOOKUP($A313,EnrollData2324,'2324 Jun 24 Enroll'!D$1,FALSE)='District Calculations'!$F$11,VLOOKUP($A313,EnrollData2324,'2324 Jun 24 Enroll'!D$1,FALSE),'District Calculations'!$F$11)),5)</f>
        <v>5.6520000000000001E-2</v>
      </c>
      <c r="K313" s="11">
        <f t="shared" si="60"/>
        <v>4.385E-3</v>
      </c>
      <c r="L313">
        <f>ROUND(IF(VLOOKUP($A313,EnrollData2324,'2324 Jun 24 Enroll'!D$1,FALSE)='District Calculations'!$F$11,VLOOKUP($A313,EnrollData2324,'2324 Jun 24 Enroll'!D$1,FALSE),'District Calculations'!$F$11)*K313,3)</f>
        <v>0</v>
      </c>
      <c r="M313">
        <f>ROUND(IF(VLOOKUP($A313,EnrollData2324,'2324 Jun 24 Enroll'!E$1,FALSE)='District Calculations'!$F$12,VLOOKUP($A313,EnrollData2324,'2324 Jun 24 Enroll'!E$1,FALSE),'District Calculations'!$F$12)*K313,3)</f>
        <v>3.5539999999999998</v>
      </c>
      <c r="N313">
        <f>ROUND(IF(VLOOKUP($A313,EnrollData2324,'2324 Jun 24 Enroll'!F$1,FALSE)='District Calculations'!$F$13,VLOOKUP($A313,EnrollData2324,'2324 Jun 24 Enroll'!F$1,FALSE),'District Calculations'!$F$13)*Apport_223A2425,3)</f>
        <v>0.84599999999999997</v>
      </c>
      <c r="O313">
        <f>ROUND(IF(VLOOKUP($A313,EnrollData2324,'2324 Jun 24 Enroll'!G$1,FALSE)='District Calculations'!$F$14,VLOOKUP($A313,EnrollData2324,'2324 Jun 24 Enroll'!G$1,FALSE),'District Calculations'!$F$14)*Apport_211A2425,3)</f>
        <v>1.877</v>
      </c>
      <c r="P313">
        <f>ROUND(IF(VLOOKUP($A313,EnrollData2324,'2324 Jun 24 Enroll'!H$1,FALSE)='District Calculations'!$F$14,VLOOKUP($A313,EnrollData2324,'2324 Jun 24 Enroll'!H$1,FALSE),'District Calculations'!$F$14)*Apport_214A2425,3)</f>
        <v>1.875</v>
      </c>
      <c r="Q313">
        <f>ROUND(IF(VLOOKUP($A313,EnrollData2324,'2324 Jun 24 Enroll'!I$1,FALSE)+VLOOKUP($A313,EnrollData2324,'2324 Jun 24 Enroll'!M$1,FALSE)-VLOOKUP($A313,EnrollData2324,'2324 Jun 24 Enroll'!J$1,FALSE)='District Calculations'!$F$16+'District Calculations'!$F$25-'District Calculations'!$F$17,VLOOKUP($A313,EnrollData2324,'2324 Jun 24 Enroll'!I$1,FALSE)+VLOOKUP($A313,EnrollData2324,'2324 Jun 24 Enroll'!M$1,FALSE)-VLOOKUP($A313,EnrollData2324,'2324 Jun 24 Enroll'!J$1,FALSE),'District Calculations'!$F$16+'District Calculations'!$F$25-'District Calculations'!$F$17)*Apport_217A2425,3)</f>
        <v>4.7130000000000001</v>
      </c>
      <c r="R313">
        <f>ROUND(SUM(L313:Q313)/IF(VLOOKUP($A313,EnrollData2324,'2324 Jun 24 Enroll'!M$1,FALSE)+VLOOKUP($A313,EnrollData2324,'2324 Jun 24 Enroll'!D$1,FALSE)='District Calculations'!$F$25+'District Calculations'!$F$11,VLOOKUP($A313,EnrollData2324,'2324 Jun 24 Enroll'!M$1,FALSE)+VLOOKUP($A313,EnrollData2324,'2324 Jun 24 Enroll'!D$1,FALSE),'District Calculations'!$F$25+'District Calculations'!$F$11),5)</f>
        <v>4.1200000000000004E-3</v>
      </c>
      <c r="S313" s="11">
        <f t="shared" si="61"/>
        <v>1.8734299999999999E-2</v>
      </c>
      <c r="T313">
        <f>ROUND(IF(VLOOKUP($A313,EnrollData2324,'2324 Jun 24 Enroll'!D$1,FALSE)='District Calculations'!$F$11,VLOOKUP($A313,EnrollData2324,'2324 Jun 24 Enroll'!D$1,FALSE),'District Calculations'!$F$11)*S313,3)</f>
        <v>0</v>
      </c>
      <c r="U313">
        <f>ROUND(IF(VLOOKUP($A313,EnrollData2324,'2324 Jun 24 Enroll'!E$1,FALSE)='District Calculations'!$F$12,VLOOKUP($A313,EnrollData2324,'2324 Jun 24 Enroll'!E$1,FALSE),'District Calculations'!$F$12)*S313,3)</f>
        <v>15.183999999999999</v>
      </c>
      <c r="V313">
        <f>ROUND(IF(VLOOKUP($A313,EnrollData2324,'2324 Jun 24 Enroll'!F$1,FALSE)='District Calculations'!$F$13,VLOOKUP($A313,EnrollData2324,'2324 Jun 24 Enroll'!F$1,FALSE),'District Calculations'!$F$13)*Apport_224A2425,3)</f>
        <v>3.7109999999999999</v>
      </c>
      <c r="W313">
        <f>ROUND(IF(VLOOKUP($A313,EnrollData2324,'2324 Jun 24 Enroll'!G$1,FALSE)='District Calculations'!$F$14,VLOOKUP($A313,EnrollData2324,'2324 Jun 24 Enroll'!G$1,FALSE),'District Calculations'!$F$14)*Apport_212A2425,3)</f>
        <v>8.2279999999999998</v>
      </c>
      <c r="X313">
        <f>ROUND(IF(VLOOKUP($A313,EnrollData2324,'2324 Jun 24 Enroll'!H$1,FALSE)='District Calculations'!$F$14,VLOOKUP($A313,EnrollData2324,'2324 Jun 24 Enroll'!H$1,FALSE),'District Calculations'!$F$14)*Apport_215A2425,3)</f>
        <v>8.1180000000000003</v>
      </c>
      <c r="Y313">
        <f>ROUND(IF(VLOOKUP($A313,EnrollData2324,'2324 Jun 24 Enroll'!I$1,FALSE)+VLOOKUP($A313,EnrollData2324,'2324 Jun 24 Enroll'!M$1,FALSE)-VLOOKUP($A313,EnrollData2324,'2324 Jun 24 Enroll'!J$1,FALSE)='District Calculations'!$F$16+'District Calculations'!$F$25-'District Calculations'!$F$17,VLOOKUP($A313,EnrollData2324,'2324 Jun 24 Enroll'!I$1,FALSE)+VLOOKUP($A313,EnrollData2324,'2324 Jun 24 Enroll'!M$1,FALSE)-VLOOKUP($A313,EnrollData2324,'2324 Jun 24 Enroll'!J$1,FALSE),'District Calculations'!$F$16+'District Calculations'!$F$25-'District Calculations'!$F$17)*Apport_218A2425,3)</f>
        <v>20.257999999999999</v>
      </c>
      <c r="Z313">
        <f>ROUND(SUM(T313:Y313)/IF(VLOOKUP($A313,EnrollData2324,'2324 Jun 24 Enroll'!M$1,FALSE)+VLOOKUP($A313,EnrollData2324,'2324 Jun 24 Enroll'!D$1,FALSE)='District Calculations'!$F$25+'District Calculations'!$F$11,VLOOKUP($A313,EnrollData2324,'2324 Jun 24 Enroll'!M$1,FALSE)+VLOOKUP($A313,EnrollData2324,'2324 Jun 24 Enroll'!D$1,FALSE),'District Calculations'!$F$25+'District Calculations'!$F$11),5)</f>
        <v>1.7780000000000001E-2</v>
      </c>
      <c r="AA313" s="6">
        <f>ROUND($J313*CIS_Base_Salary2425*VLOOKUP($A313,EnrollData2324,'2324 Jun 24 Enroll'!AH$1,FALSE),2)</f>
        <v>4262.68</v>
      </c>
      <c r="AB313" s="6">
        <f>ROUND($J313*CIS_Inc_Salary2425*(VLOOKUP($A313,EnrollData2324,'2324 Jun 24 Enroll'!AI$1,FALSE)+VLOOKUP($A313,EnrollData2324,'2324 Jun 24 Enroll'!AJ$1,FALSE)),2)-AA313</f>
        <v>157.6899999999996</v>
      </c>
      <c r="AC313" s="6" cm="1">
        <f t="array" ref="AC313">ROUND($R313*CAS_Base_Salary2425*VLOOKUP($A313,EnrollData2324,'2324 Jun 24 Enroll'!AH$1,FALSE),2)</f>
        <v>461.23</v>
      </c>
      <c r="AD313" s="6">
        <f>ROUND($R313*CAS_Inc_Salary2425*VLOOKUP($A313,EnrollData2324,'2324 Jun 24 Enroll'!AI$1,FALSE),2)-AC313</f>
        <v>17.069999999999993</v>
      </c>
      <c r="AE313" s="6">
        <f>ROUND($Z313*CLS_Base_Salary2425*VLOOKUP($A313,EnrollData2324,'2324 Jun 24 Enroll'!AH$1,FALSE),2)</f>
        <v>961.95</v>
      </c>
      <c r="AF313" s="6">
        <f>ROUND($Z313*CLS_Inc_Salary2425*VLOOKUP($A313,EnrollData2324,'2324 Jun 24 Enroll'!AI$1,FALSE),2)-AE313</f>
        <v>35.599999999999909</v>
      </c>
      <c r="AG313" cm="1">
        <f t="array" ref="AG313">ROUND(($J313+$R313)*Apport_124X2425,2)</f>
        <v>800.45</v>
      </c>
      <c r="AH313" s="69" cm="1">
        <f t="array" ref="AH313">ROUND(($J313+$R313)*Apport_621X2425*Apport_125XC2425,2)-AG313</f>
        <v>73.899999999999977</v>
      </c>
      <c r="AI313" cm="1">
        <f t="array" ref="AI313">ROUND($Z313*Apport_124X2425,2)</f>
        <v>234.7</v>
      </c>
      <c r="AJ313">
        <f t="shared" si="62"/>
        <v>124.71000000000004</v>
      </c>
      <c r="AK313">
        <f t="shared" si="63"/>
        <v>857.39</v>
      </c>
      <c r="AL313">
        <f t="shared" si="64"/>
        <v>30.6</v>
      </c>
      <c r="AM313">
        <f t="shared" si="65"/>
        <v>208.36</v>
      </c>
      <c r="AN313">
        <f t="shared" si="66"/>
        <v>6.46</v>
      </c>
      <c r="AO313">
        <f>ROUND(($J313*CIS_Inc_Salary2425*(VLOOKUP($A313,EnrollData2324,'2324 Jun 24 Enroll'!AI$1,FALSE)+VLOOKUP($A313,EnrollData2324,'2324 Jun 24 Enroll'!AJ$1,FALSE))/Apport_613Xpd)*Apport_614Xpd,2)</f>
        <v>73.67</v>
      </c>
      <c r="AP313">
        <f t="shared" si="67"/>
        <v>12.9</v>
      </c>
      <c r="AQ313">
        <f t="shared" si="68"/>
        <v>31.48</v>
      </c>
      <c r="AR313" s="6">
        <f>ROUND((VLOOKUP($A313,EnrollData2324,'2324 Jun 24 Enroll'!D$1,FALSE)*Apport_M802425+VLOOKUP($A313,EnrollData2324,'2324 Jun 24 Enroll'!M$1,FALSE)*Apport_M802425+(VLOOKUP($A313,EnrollData2324,'2324 Jun 24 Enroll'!P$1,FALSE)+VLOOKUP($A313,EnrollData2324,'2324 Jun 24 Enroll'!Q$1,FALSE)+VLOOKUP($A313,EnrollData2324,'2324 Jun 24 Enroll'!R$1,FALSE)+VLOOKUP($A313,EnrollData2324,'2324 Jun 24 Enroll'!I$1,FALSE)+VLOOKUP($A313,EnrollData2324,'2324 Jun 24 Enroll'!N$1,FALSE)+VLOOKUP($A313,EnrollData2324,'2324 Jun 24 Enroll'!O$1,FALSE)+VLOOKUP($A313,EnrollData2324,'2324 Jun 24 Enroll'!K$1,FALSE)+VLOOKUP($A313,EnrollData2324,'2324 Jun 24 Enroll'!L$1,FALSE))*Apport_M812425)/(VLOOKUP($A313,EnrollData2324,'2324 Jun 24 Enroll'!M$1,FALSE)+VLOOKUP($A313,EnrollData2324,'2324 Jun 24 Enroll'!D$1,FALSE)),2)</f>
        <v>1596.12</v>
      </c>
      <c r="AS313" s="7">
        <f t="shared" si="69"/>
        <v>9946.9599999999991</v>
      </c>
    </row>
    <row r="314" spans="1:45">
      <c r="A314" s="40" t="s">
        <v>751</v>
      </c>
      <c r="B314" s="40" t="s">
        <v>752</v>
      </c>
      <c r="C314" s="11">
        <f>ROUND((IFERROR((1/IF(VLOOKUP($A314,EnrollData2324,28,FALSE)='District Calculations'!$F$10,VLOOKUP($A314,EnrollData2324,28,FALSE),'District Calculations'!$F$10))*(1+Apport_Z315),0))+Apport_201A2425,6)</f>
        <v>7.4580999999999995E-2</v>
      </c>
      <c r="D314">
        <f>ROUND(IF(VLOOKUP($A314,EnrollData2324,'2324 Jun 24 Enroll'!D$1,FALSE)='District Calculations'!$F$11,VLOOKUP($A314,EnrollData2324,'2324 Jun 24 Enroll'!D$1,FALSE),'District Calculations'!$F$11)*C314,3)</f>
        <v>0</v>
      </c>
      <c r="E314">
        <f>ROUND(IF(VLOOKUP($A314,EnrollData2324,'2324 Jun 24 Enroll'!E$1,FALSE)='District Calculations'!$F$12,VLOOKUP($A314,EnrollData2324,'2324 Jun 24 Enroll'!E$1,FALSE),'District Calculations'!$F$12)*C314,3)</f>
        <v>60.447000000000003</v>
      </c>
      <c r="F314">
        <f>ROUND(IF(VLOOKUP($A314,EnrollData2324,'2324 Jun 24 Enroll'!F$1,FALSE)='District Calculations'!$F$13,VLOOKUP($A314,EnrollData2324,'2324 Jun 24 Enroll'!F$1,FALSE),'District Calculations'!$F$13)*Apport_222A2425,3)</f>
        <v>10.337999999999999</v>
      </c>
      <c r="G314">
        <f>ROUND(IF(VLOOKUP($A314,EnrollData2324,'2324 Jun 24 Enroll'!G$1,FALSE)='District Calculations'!$F$14,VLOOKUP($A314,EnrollData2324,'2324 Jun 24 Enroll'!G$1,FALSE),'District Calculations'!$F$14)*Apport_210A2425,3)</f>
        <v>22.92</v>
      </c>
      <c r="H314">
        <f>ROUND(IF(VLOOKUP($A314,EnrollData2324,'2324 Jun 24 Enroll'!H$1,FALSE)='District Calculations'!$F$15,VLOOKUP($A314,EnrollData2324,'2324 Jun 24 Enroll'!H$1,FALSE),'District Calculations'!$F$15)*Apport_213A2425,3)</f>
        <v>23.619</v>
      </c>
      <c r="I314">
        <f>ROUND(IF(VLOOKUP($A314,EnrollData2324,'2324 Jun 24 Enroll'!I$1,FALSE)+VLOOKUP($A314,EnrollData2324,'2324 Jun 24 Enroll'!M$1,FALSE)-VLOOKUP($A314,EnrollData2324,'2324 Jun 24 Enroll'!J$1,FALSE)='District Calculations'!$F$16+'District Calculations'!$F$25-'District Calculations'!$F$17,VLOOKUP($A314,EnrollData2324,'2324 Jun 24 Enroll'!I$1,FALSE)+VLOOKUP($A314,EnrollData2324,'2324 Jun 24 Enroll'!M$1,FALSE)-VLOOKUP($A314,EnrollData2324,'2324 Jun 24 Enroll'!J$1,FALSE),'District Calculations'!$F$16+'District Calculations'!$F$25-'District Calculations'!$F$17)*Apport_216A2425,3)</f>
        <v>59.057000000000002</v>
      </c>
      <c r="J314">
        <f>ROUND(SUM(D314:I314)/(IF(VLOOKUP($A314,EnrollData2324,'2324 Jun 24 Enroll'!M$1,FALSE)='District Calculations'!$F$25,VLOOKUP($A314,EnrollData2324,'2324 Jun 24 Enroll'!M$1,FALSE),'District Calculations'!$F$25)+IF(VLOOKUP($A314,EnrollData2324,'2324 Jun 24 Enroll'!D$1,FALSE)='District Calculations'!$F$11,VLOOKUP($A314,EnrollData2324,'2324 Jun 24 Enroll'!D$1,FALSE),'District Calculations'!$F$11)),5)</f>
        <v>5.6520000000000001E-2</v>
      </c>
      <c r="K314" s="11">
        <f t="shared" si="60"/>
        <v>4.385E-3</v>
      </c>
      <c r="L314">
        <f>ROUND(IF(VLOOKUP($A314,EnrollData2324,'2324 Jun 24 Enroll'!D$1,FALSE)='District Calculations'!$F$11,VLOOKUP($A314,EnrollData2324,'2324 Jun 24 Enroll'!D$1,FALSE),'District Calculations'!$F$11)*K314,3)</f>
        <v>0</v>
      </c>
      <c r="M314">
        <f>ROUND(IF(VLOOKUP($A314,EnrollData2324,'2324 Jun 24 Enroll'!E$1,FALSE)='District Calculations'!$F$12,VLOOKUP($A314,EnrollData2324,'2324 Jun 24 Enroll'!E$1,FALSE),'District Calculations'!$F$12)*K314,3)</f>
        <v>3.5539999999999998</v>
      </c>
      <c r="N314">
        <f>ROUND(IF(VLOOKUP($A314,EnrollData2324,'2324 Jun 24 Enroll'!F$1,FALSE)='District Calculations'!$F$13,VLOOKUP($A314,EnrollData2324,'2324 Jun 24 Enroll'!F$1,FALSE),'District Calculations'!$F$13)*Apport_223A2425,3)</f>
        <v>0.84599999999999997</v>
      </c>
      <c r="O314">
        <f>ROUND(IF(VLOOKUP($A314,EnrollData2324,'2324 Jun 24 Enroll'!G$1,FALSE)='District Calculations'!$F$14,VLOOKUP($A314,EnrollData2324,'2324 Jun 24 Enroll'!G$1,FALSE),'District Calculations'!$F$14)*Apport_211A2425,3)</f>
        <v>1.877</v>
      </c>
      <c r="P314">
        <f>ROUND(IF(VLOOKUP($A314,EnrollData2324,'2324 Jun 24 Enroll'!H$1,FALSE)='District Calculations'!$F$14,VLOOKUP($A314,EnrollData2324,'2324 Jun 24 Enroll'!H$1,FALSE),'District Calculations'!$F$14)*Apport_214A2425,3)</f>
        <v>1.875</v>
      </c>
      <c r="Q314">
        <f>ROUND(IF(VLOOKUP($A314,EnrollData2324,'2324 Jun 24 Enroll'!I$1,FALSE)+VLOOKUP($A314,EnrollData2324,'2324 Jun 24 Enroll'!M$1,FALSE)-VLOOKUP($A314,EnrollData2324,'2324 Jun 24 Enroll'!J$1,FALSE)='District Calculations'!$F$16+'District Calculations'!$F$25-'District Calculations'!$F$17,VLOOKUP($A314,EnrollData2324,'2324 Jun 24 Enroll'!I$1,FALSE)+VLOOKUP($A314,EnrollData2324,'2324 Jun 24 Enroll'!M$1,FALSE)-VLOOKUP($A314,EnrollData2324,'2324 Jun 24 Enroll'!J$1,FALSE),'District Calculations'!$F$16+'District Calculations'!$F$25-'District Calculations'!$F$17)*Apport_217A2425,3)</f>
        <v>4.7130000000000001</v>
      </c>
      <c r="R314">
        <f>ROUND(SUM(L314:Q314)/IF(VLOOKUP($A314,EnrollData2324,'2324 Jun 24 Enroll'!M$1,FALSE)+VLOOKUP($A314,EnrollData2324,'2324 Jun 24 Enroll'!D$1,FALSE)='District Calculations'!$F$25+'District Calculations'!$F$11,VLOOKUP($A314,EnrollData2324,'2324 Jun 24 Enroll'!M$1,FALSE)+VLOOKUP($A314,EnrollData2324,'2324 Jun 24 Enroll'!D$1,FALSE),'District Calculations'!$F$25+'District Calculations'!$F$11),5)</f>
        <v>4.1200000000000004E-3</v>
      </c>
      <c r="S314" s="11">
        <f t="shared" si="61"/>
        <v>1.8734299999999999E-2</v>
      </c>
      <c r="T314">
        <f>ROUND(IF(VLOOKUP($A314,EnrollData2324,'2324 Jun 24 Enroll'!D$1,FALSE)='District Calculations'!$F$11,VLOOKUP($A314,EnrollData2324,'2324 Jun 24 Enroll'!D$1,FALSE),'District Calculations'!$F$11)*S314,3)</f>
        <v>0</v>
      </c>
      <c r="U314">
        <f>ROUND(IF(VLOOKUP($A314,EnrollData2324,'2324 Jun 24 Enroll'!E$1,FALSE)='District Calculations'!$F$12,VLOOKUP($A314,EnrollData2324,'2324 Jun 24 Enroll'!E$1,FALSE),'District Calculations'!$F$12)*S314,3)</f>
        <v>15.183999999999999</v>
      </c>
      <c r="V314">
        <f>ROUND(IF(VLOOKUP($A314,EnrollData2324,'2324 Jun 24 Enroll'!F$1,FALSE)='District Calculations'!$F$13,VLOOKUP($A314,EnrollData2324,'2324 Jun 24 Enroll'!F$1,FALSE),'District Calculations'!$F$13)*Apport_224A2425,3)</f>
        <v>3.7109999999999999</v>
      </c>
      <c r="W314">
        <f>ROUND(IF(VLOOKUP($A314,EnrollData2324,'2324 Jun 24 Enroll'!G$1,FALSE)='District Calculations'!$F$14,VLOOKUP($A314,EnrollData2324,'2324 Jun 24 Enroll'!G$1,FALSE),'District Calculations'!$F$14)*Apport_212A2425,3)</f>
        <v>8.2279999999999998</v>
      </c>
      <c r="X314">
        <f>ROUND(IF(VLOOKUP($A314,EnrollData2324,'2324 Jun 24 Enroll'!H$1,FALSE)='District Calculations'!$F$14,VLOOKUP($A314,EnrollData2324,'2324 Jun 24 Enroll'!H$1,FALSE),'District Calculations'!$F$14)*Apport_215A2425,3)</f>
        <v>8.1180000000000003</v>
      </c>
      <c r="Y314">
        <f>ROUND(IF(VLOOKUP($A314,EnrollData2324,'2324 Jun 24 Enroll'!I$1,FALSE)+VLOOKUP($A314,EnrollData2324,'2324 Jun 24 Enroll'!M$1,FALSE)-VLOOKUP($A314,EnrollData2324,'2324 Jun 24 Enroll'!J$1,FALSE)='District Calculations'!$F$16+'District Calculations'!$F$25-'District Calculations'!$F$17,VLOOKUP($A314,EnrollData2324,'2324 Jun 24 Enroll'!I$1,FALSE)+VLOOKUP($A314,EnrollData2324,'2324 Jun 24 Enroll'!M$1,FALSE)-VLOOKUP($A314,EnrollData2324,'2324 Jun 24 Enroll'!J$1,FALSE),'District Calculations'!$F$16+'District Calculations'!$F$25-'District Calculations'!$F$17)*Apport_218A2425,3)</f>
        <v>20.257999999999999</v>
      </c>
      <c r="Z314">
        <f>ROUND(SUM(T314:Y314)/IF(VLOOKUP($A314,EnrollData2324,'2324 Jun 24 Enroll'!M$1,FALSE)+VLOOKUP($A314,EnrollData2324,'2324 Jun 24 Enroll'!D$1,FALSE)='District Calculations'!$F$25+'District Calculations'!$F$11,VLOOKUP($A314,EnrollData2324,'2324 Jun 24 Enroll'!M$1,FALSE)+VLOOKUP($A314,EnrollData2324,'2324 Jun 24 Enroll'!D$1,FALSE),'District Calculations'!$F$25+'District Calculations'!$F$11),5)</f>
        <v>1.7780000000000001E-2</v>
      </c>
      <c r="AA314" s="6">
        <f>ROUND($J314*CIS_Base_Salary2425*VLOOKUP($A314,EnrollData2324,'2324 Jun 24 Enroll'!AH$1,FALSE),2)</f>
        <v>4262.68</v>
      </c>
      <c r="AB314" s="6">
        <f>ROUND($J314*CIS_Inc_Salary2425*(VLOOKUP($A314,EnrollData2324,'2324 Jun 24 Enroll'!AI$1,FALSE)+VLOOKUP($A314,EnrollData2324,'2324 Jun 24 Enroll'!AJ$1,FALSE)),2)-AA314</f>
        <v>157.6899999999996</v>
      </c>
      <c r="AC314" s="6" cm="1">
        <f t="array" ref="AC314">ROUND($R314*CAS_Base_Salary2425*VLOOKUP($A314,EnrollData2324,'2324 Jun 24 Enroll'!AH$1,FALSE),2)</f>
        <v>461.23</v>
      </c>
      <c r="AD314" s="6">
        <f>ROUND($R314*CAS_Inc_Salary2425*VLOOKUP($A314,EnrollData2324,'2324 Jun 24 Enroll'!AI$1,FALSE),2)-AC314</f>
        <v>17.069999999999993</v>
      </c>
      <c r="AE314" s="6">
        <f>ROUND($Z314*CLS_Base_Salary2425*VLOOKUP($A314,EnrollData2324,'2324 Jun 24 Enroll'!AH$1,FALSE),2)</f>
        <v>961.95</v>
      </c>
      <c r="AF314" s="6">
        <f>ROUND($Z314*CLS_Inc_Salary2425*VLOOKUP($A314,EnrollData2324,'2324 Jun 24 Enroll'!AI$1,FALSE),2)-AE314</f>
        <v>35.599999999999909</v>
      </c>
      <c r="AG314" cm="1">
        <f t="array" ref="AG314">ROUND(($J314+$R314)*Apport_124X2425,2)</f>
        <v>800.45</v>
      </c>
      <c r="AH314" s="69" cm="1">
        <f t="array" ref="AH314">ROUND(($J314+$R314)*Apport_621X2425*Apport_125XC2425,2)-AG314</f>
        <v>73.899999999999977</v>
      </c>
      <c r="AI314" cm="1">
        <f t="array" ref="AI314">ROUND($Z314*Apport_124X2425,2)</f>
        <v>234.7</v>
      </c>
      <c r="AJ314">
        <f t="shared" si="62"/>
        <v>124.71000000000004</v>
      </c>
      <c r="AK314">
        <f t="shared" si="63"/>
        <v>857.39</v>
      </c>
      <c r="AL314">
        <f t="shared" si="64"/>
        <v>30.6</v>
      </c>
      <c r="AM314">
        <f t="shared" si="65"/>
        <v>208.36</v>
      </c>
      <c r="AN314">
        <f t="shared" si="66"/>
        <v>6.46</v>
      </c>
      <c r="AO314">
        <f>ROUND(($J314*CIS_Inc_Salary2425*(VLOOKUP($A314,EnrollData2324,'2324 Jun 24 Enroll'!AI$1,FALSE)+VLOOKUP($A314,EnrollData2324,'2324 Jun 24 Enroll'!AJ$1,FALSE))/Apport_613Xpd)*Apport_614Xpd,2)</f>
        <v>73.67</v>
      </c>
      <c r="AP314">
        <f t="shared" si="67"/>
        <v>12.9</v>
      </c>
      <c r="AQ314">
        <f t="shared" si="68"/>
        <v>31.48</v>
      </c>
      <c r="AR314" s="6">
        <f>ROUND((VLOOKUP($A314,EnrollData2324,'2324 Jun 24 Enroll'!D$1,FALSE)*Apport_M802425+VLOOKUP($A314,EnrollData2324,'2324 Jun 24 Enroll'!M$1,FALSE)*Apport_M802425+(VLOOKUP($A314,EnrollData2324,'2324 Jun 24 Enroll'!P$1,FALSE)+VLOOKUP($A314,EnrollData2324,'2324 Jun 24 Enroll'!Q$1,FALSE)+VLOOKUP($A314,EnrollData2324,'2324 Jun 24 Enroll'!R$1,FALSE)+VLOOKUP($A314,EnrollData2324,'2324 Jun 24 Enroll'!I$1,FALSE)+VLOOKUP($A314,EnrollData2324,'2324 Jun 24 Enroll'!N$1,FALSE)+VLOOKUP($A314,EnrollData2324,'2324 Jun 24 Enroll'!O$1,FALSE)+VLOOKUP($A314,EnrollData2324,'2324 Jun 24 Enroll'!K$1,FALSE)+VLOOKUP($A314,EnrollData2324,'2324 Jun 24 Enroll'!L$1,FALSE))*Apport_M812425)/(VLOOKUP($A314,EnrollData2324,'2324 Jun 24 Enroll'!M$1,FALSE)+VLOOKUP($A314,EnrollData2324,'2324 Jun 24 Enroll'!D$1,FALSE)),2)</f>
        <v>1599.03</v>
      </c>
      <c r="AS314" s="7">
        <f t="shared" si="69"/>
        <v>9949.869999999999</v>
      </c>
    </row>
    <row r="315" spans="1:45">
      <c r="A315" s="40" t="s">
        <v>568</v>
      </c>
      <c r="B315" s="40" t="s">
        <v>569</v>
      </c>
      <c r="C315" s="11">
        <f>ROUND((IFERROR((1/IF(VLOOKUP($A315,EnrollData2324,28,FALSE)='District Calculations'!$F$10,VLOOKUP($A315,EnrollData2324,28,FALSE),'District Calculations'!$F$10))*(1+Apport_Z315),0))+Apport_201A2425,6)</f>
        <v>7.4580999999999995E-2</v>
      </c>
      <c r="D315">
        <f>ROUND(IF(VLOOKUP($A315,EnrollData2324,'2324 Jun 24 Enroll'!D$1,FALSE)='District Calculations'!$F$11,VLOOKUP($A315,EnrollData2324,'2324 Jun 24 Enroll'!D$1,FALSE),'District Calculations'!$F$11)*C315,3)</f>
        <v>0</v>
      </c>
      <c r="E315">
        <f>ROUND(IF(VLOOKUP($A315,EnrollData2324,'2324 Jun 24 Enroll'!E$1,FALSE)='District Calculations'!$F$12,VLOOKUP($A315,EnrollData2324,'2324 Jun 24 Enroll'!E$1,FALSE),'District Calculations'!$F$12)*C315,3)</f>
        <v>60.447000000000003</v>
      </c>
      <c r="F315">
        <f>ROUND(IF(VLOOKUP($A315,EnrollData2324,'2324 Jun 24 Enroll'!F$1,FALSE)='District Calculations'!$F$13,VLOOKUP($A315,EnrollData2324,'2324 Jun 24 Enroll'!F$1,FALSE),'District Calculations'!$F$13)*Apport_222A2425,3)</f>
        <v>10.337999999999999</v>
      </c>
      <c r="G315">
        <f>ROUND(IF(VLOOKUP($A315,EnrollData2324,'2324 Jun 24 Enroll'!G$1,FALSE)='District Calculations'!$F$14,VLOOKUP($A315,EnrollData2324,'2324 Jun 24 Enroll'!G$1,FALSE),'District Calculations'!$F$14)*Apport_210A2425,3)</f>
        <v>22.92</v>
      </c>
      <c r="H315">
        <f>ROUND(IF(VLOOKUP($A315,EnrollData2324,'2324 Jun 24 Enroll'!H$1,FALSE)='District Calculations'!$F$15,VLOOKUP($A315,EnrollData2324,'2324 Jun 24 Enroll'!H$1,FALSE),'District Calculations'!$F$15)*Apport_213A2425,3)</f>
        <v>23.619</v>
      </c>
      <c r="I315">
        <f>ROUND(IF(VLOOKUP($A315,EnrollData2324,'2324 Jun 24 Enroll'!I$1,FALSE)+VLOOKUP($A315,EnrollData2324,'2324 Jun 24 Enroll'!M$1,FALSE)-VLOOKUP($A315,EnrollData2324,'2324 Jun 24 Enroll'!J$1,FALSE)='District Calculations'!$F$16+'District Calculations'!$F$25-'District Calculations'!$F$17,VLOOKUP($A315,EnrollData2324,'2324 Jun 24 Enroll'!I$1,FALSE)+VLOOKUP($A315,EnrollData2324,'2324 Jun 24 Enroll'!M$1,FALSE)-VLOOKUP($A315,EnrollData2324,'2324 Jun 24 Enroll'!J$1,FALSE),'District Calculations'!$F$16+'District Calculations'!$F$25-'District Calculations'!$F$17)*Apport_216A2425,3)</f>
        <v>59.057000000000002</v>
      </c>
      <c r="J315">
        <f>ROUND(SUM(D315:I315)/(IF(VLOOKUP($A315,EnrollData2324,'2324 Jun 24 Enroll'!M$1,FALSE)='District Calculations'!$F$25,VLOOKUP($A315,EnrollData2324,'2324 Jun 24 Enroll'!M$1,FALSE),'District Calculations'!$F$25)+IF(VLOOKUP($A315,EnrollData2324,'2324 Jun 24 Enroll'!D$1,FALSE)='District Calculations'!$F$11,VLOOKUP($A315,EnrollData2324,'2324 Jun 24 Enroll'!D$1,FALSE),'District Calculations'!$F$11)),5)</f>
        <v>5.6520000000000001E-2</v>
      </c>
      <c r="K315" s="11">
        <f t="shared" si="60"/>
        <v>4.385E-3</v>
      </c>
      <c r="L315">
        <f>ROUND(IF(VLOOKUP($A315,EnrollData2324,'2324 Jun 24 Enroll'!D$1,FALSE)='District Calculations'!$F$11,VLOOKUP($A315,EnrollData2324,'2324 Jun 24 Enroll'!D$1,FALSE),'District Calculations'!$F$11)*K315,3)</f>
        <v>0</v>
      </c>
      <c r="M315">
        <f>ROUND(IF(VLOOKUP($A315,EnrollData2324,'2324 Jun 24 Enroll'!E$1,FALSE)='District Calculations'!$F$12,VLOOKUP($A315,EnrollData2324,'2324 Jun 24 Enroll'!E$1,FALSE),'District Calculations'!$F$12)*K315,3)</f>
        <v>3.5539999999999998</v>
      </c>
      <c r="N315">
        <f>ROUND(IF(VLOOKUP($A315,EnrollData2324,'2324 Jun 24 Enroll'!F$1,FALSE)='District Calculations'!$F$13,VLOOKUP($A315,EnrollData2324,'2324 Jun 24 Enroll'!F$1,FALSE),'District Calculations'!$F$13)*Apport_223A2425,3)</f>
        <v>0.84599999999999997</v>
      </c>
      <c r="O315">
        <f>ROUND(IF(VLOOKUP($A315,EnrollData2324,'2324 Jun 24 Enroll'!G$1,FALSE)='District Calculations'!$F$14,VLOOKUP($A315,EnrollData2324,'2324 Jun 24 Enroll'!G$1,FALSE),'District Calculations'!$F$14)*Apport_211A2425,3)</f>
        <v>1.877</v>
      </c>
      <c r="P315">
        <f>ROUND(IF(VLOOKUP($A315,EnrollData2324,'2324 Jun 24 Enroll'!H$1,FALSE)='District Calculations'!$F$14,VLOOKUP($A315,EnrollData2324,'2324 Jun 24 Enroll'!H$1,FALSE),'District Calculations'!$F$14)*Apport_214A2425,3)</f>
        <v>1.875</v>
      </c>
      <c r="Q315">
        <f>ROUND(IF(VLOOKUP($A315,EnrollData2324,'2324 Jun 24 Enroll'!I$1,FALSE)+VLOOKUP($A315,EnrollData2324,'2324 Jun 24 Enroll'!M$1,FALSE)-VLOOKUP($A315,EnrollData2324,'2324 Jun 24 Enroll'!J$1,FALSE)='District Calculations'!$F$16+'District Calculations'!$F$25-'District Calculations'!$F$17,VLOOKUP($A315,EnrollData2324,'2324 Jun 24 Enroll'!I$1,FALSE)+VLOOKUP($A315,EnrollData2324,'2324 Jun 24 Enroll'!M$1,FALSE)-VLOOKUP($A315,EnrollData2324,'2324 Jun 24 Enroll'!J$1,FALSE),'District Calculations'!$F$16+'District Calculations'!$F$25-'District Calculations'!$F$17)*Apport_217A2425,3)</f>
        <v>4.7130000000000001</v>
      </c>
      <c r="R315">
        <f>ROUND(SUM(L315:Q315)/IF(VLOOKUP($A315,EnrollData2324,'2324 Jun 24 Enroll'!M$1,FALSE)+VLOOKUP($A315,EnrollData2324,'2324 Jun 24 Enroll'!D$1,FALSE)='District Calculations'!$F$25+'District Calculations'!$F$11,VLOOKUP($A315,EnrollData2324,'2324 Jun 24 Enroll'!M$1,FALSE)+VLOOKUP($A315,EnrollData2324,'2324 Jun 24 Enroll'!D$1,FALSE),'District Calculations'!$F$25+'District Calculations'!$F$11),5)</f>
        <v>4.1200000000000004E-3</v>
      </c>
      <c r="S315" s="11">
        <f t="shared" si="61"/>
        <v>1.8734299999999999E-2</v>
      </c>
      <c r="T315">
        <f>ROUND(IF(VLOOKUP($A315,EnrollData2324,'2324 Jun 24 Enroll'!D$1,FALSE)='District Calculations'!$F$11,VLOOKUP($A315,EnrollData2324,'2324 Jun 24 Enroll'!D$1,FALSE),'District Calculations'!$F$11)*S315,3)</f>
        <v>0</v>
      </c>
      <c r="U315">
        <f>ROUND(IF(VLOOKUP($A315,EnrollData2324,'2324 Jun 24 Enroll'!E$1,FALSE)='District Calculations'!$F$12,VLOOKUP($A315,EnrollData2324,'2324 Jun 24 Enroll'!E$1,FALSE),'District Calculations'!$F$12)*S315,3)</f>
        <v>15.183999999999999</v>
      </c>
      <c r="V315">
        <f>ROUND(IF(VLOOKUP($A315,EnrollData2324,'2324 Jun 24 Enroll'!F$1,FALSE)='District Calculations'!$F$13,VLOOKUP($A315,EnrollData2324,'2324 Jun 24 Enroll'!F$1,FALSE),'District Calculations'!$F$13)*Apport_224A2425,3)</f>
        <v>3.7109999999999999</v>
      </c>
      <c r="W315">
        <f>ROUND(IF(VLOOKUP($A315,EnrollData2324,'2324 Jun 24 Enroll'!G$1,FALSE)='District Calculations'!$F$14,VLOOKUP($A315,EnrollData2324,'2324 Jun 24 Enroll'!G$1,FALSE),'District Calculations'!$F$14)*Apport_212A2425,3)</f>
        <v>8.2279999999999998</v>
      </c>
      <c r="X315">
        <f>ROUND(IF(VLOOKUP($A315,EnrollData2324,'2324 Jun 24 Enroll'!H$1,FALSE)='District Calculations'!$F$14,VLOOKUP($A315,EnrollData2324,'2324 Jun 24 Enroll'!H$1,FALSE),'District Calculations'!$F$14)*Apport_215A2425,3)</f>
        <v>8.1180000000000003</v>
      </c>
      <c r="Y315">
        <f>ROUND(IF(VLOOKUP($A315,EnrollData2324,'2324 Jun 24 Enroll'!I$1,FALSE)+VLOOKUP($A315,EnrollData2324,'2324 Jun 24 Enroll'!M$1,FALSE)-VLOOKUP($A315,EnrollData2324,'2324 Jun 24 Enroll'!J$1,FALSE)='District Calculations'!$F$16+'District Calculations'!$F$25-'District Calculations'!$F$17,VLOOKUP($A315,EnrollData2324,'2324 Jun 24 Enroll'!I$1,FALSE)+VLOOKUP($A315,EnrollData2324,'2324 Jun 24 Enroll'!M$1,FALSE)-VLOOKUP($A315,EnrollData2324,'2324 Jun 24 Enroll'!J$1,FALSE),'District Calculations'!$F$16+'District Calculations'!$F$25-'District Calculations'!$F$17)*Apport_218A2425,3)</f>
        <v>20.257999999999999</v>
      </c>
      <c r="Z315">
        <f>ROUND(SUM(T315:Y315)/IF(VLOOKUP($A315,EnrollData2324,'2324 Jun 24 Enroll'!M$1,FALSE)+VLOOKUP($A315,EnrollData2324,'2324 Jun 24 Enroll'!D$1,FALSE)='District Calculations'!$F$25+'District Calculations'!$F$11,VLOOKUP($A315,EnrollData2324,'2324 Jun 24 Enroll'!M$1,FALSE)+VLOOKUP($A315,EnrollData2324,'2324 Jun 24 Enroll'!D$1,FALSE),'District Calculations'!$F$25+'District Calculations'!$F$11),5)</f>
        <v>1.7780000000000001E-2</v>
      </c>
      <c r="AA315" s="6">
        <f>ROUND($J315*CIS_Base_Salary2425*VLOOKUP($A315,EnrollData2324,'2324 Jun 24 Enroll'!AH$1,FALSE),2)</f>
        <v>4262.68</v>
      </c>
      <c r="AB315" s="6">
        <f>ROUND($J315*CIS_Inc_Salary2425*(VLOOKUP($A315,EnrollData2324,'2324 Jun 24 Enroll'!AI$1,FALSE)+VLOOKUP($A315,EnrollData2324,'2324 Jun 24 Enroll'!AJ$1,FALSE)),2)-AA315</f>
        <v>157.6899999999996</v>
      </c>
      <c r="AC315" s="6" cm="1">
        <f t="array" ref="AC315">ROUND($R315*CAS_Base_Salary2425*VLOOKUP($A315,EnrollData2324,'2324 Jun 24 Enroll'!AH$1,FALSE),2)</f>
        <v>461.23</v>
      </c>
      <c r="AD315" s="6">
        <f>ROUND($R315*CAS_Inc_Salary2425*VLOOKUP($A315,EnrollData2324,'2324 Jun 24 Enroll'!AI$1,FALSE),2)-AC315</f>
        <v>17.069999999999993</v>
      </c>
      <c r="AE315" s="6">
        <f>ROUND($Z315*CLS_Base_Salary2425*VLOOKUP($A315,EnrollData2324,'2324 Jun 24 Enroll'!AH$1,FALSE),2)</f>
        <v>961.95</v>
      </c>
      <c r="AF315" s="6">
        <f>ROUND($Z315*CLS_Inc_Salary2425*VLOOKUP($A315,EnrollData2324,'2324 Jun 24 Enroll'!AI$1,FALSE),2)-AE315</f>
        <v>35.599999999999909</v>
      </c>
      <c r="AG315" cm="1">
        <f t="array" ref="AG315">ROUND(($J315+$R315)*Apport_124X2425,2)</f>
        <v>800.45</v>
      </c>
      <c r="AH315" s="69" cm="1">
        <f t="array" ref="AH315">ROUND(($J315+$R315)*Apport_621X2425*Apport_125XC2425,2)-AG315</f>
        <v>73.899999999999977</v>
      </c>
      <c r="AI315" cm="1">
        <f t="array" ref="AI315">ROUND($Z315*Apport_124X2425,2)</f>
        <v>234.7</v>
      </c>
      <c r="AJ315">
        <f t="shared" si="62"/>
        <v>124.71000000000004</v>
      </c>
      <c r="AK315">
        <f t="shared" si="63"/>
        <v>857.39</v>
      </c>
      <c r="AL315">
        <f t="shared" si="64"/>
        <v>30.6</v>
      </c>
      <c r="AM315">
        <f t="shared" si="65"/>
        <v>208.36</v>
      </c>
      <c r="AN315">
        <f t="shared" si="66"/>
        <v>6.46</v>
      </c>
      <c r="AO315">
        <f>ROUND(($J315*CIS_Inc_Salary2425*(VLOOKUP($A315,EnrollData2324,'2324 Jun 24 Enroll'!AI$1,FALSE)+VLOOKUP($A315,EnrollData2324,'2324 Jun 24 Enroll'!AJ$1,FALSE))/Apport_613Xpd)*Apport_614Xpd,2)</f>
        <v>73.67</v>
      </c>
      <c r="AP315">
        <f t="shared" si="67"/>
        <v>12.9</v>
      </c>
      <c r="AQ315">
        <f t="shared" si="68"/>
        <v>31.48</v>
      </c>
      <c r="AR315" s="6">
        <f>ROUND((VLOOKUP($A315,EnrollData2324,'2324 Jun 24 Enroll'!D$1,FALSE)*Apport_M802425+VLOOKUP($A315,EnrollData2324,'2324 Jun 24 Enroll'!M$1,FALSE)*Apport_M802425+(VLOOKUP($A315,EnrollData2324,'2324 Jun 24 Enroll'!P$1,FALSE)+VLOOKUP($A315,EnrollData2324,'2324 Jun 24 Enroll'!Q$1,FALSE)+VLOOKUP($A315,EnrollData2324,'2324 Jun 24 Enroll'!R$1,FALSE)+VLOOKUP($A315,EnrollData2324,'2324 Jun 24 Enroll'!I$1,FALSE)+VLOOKUP($A315,EnrollData2324,'2324 Jun 24 Enroll'!N$1,FALSE)+VLOOKUP($A315,EnrollData2324,'2324 Jun 24 Enroll'!O$1,FALSE)+VLOOKUP($A315,EnrollData2324,'2324 Jun 24 Enroll'!K$1,FALSE)+VLOOKUP($A315,EnrollData2324,'2324 Jun 24 Enroll'!L$1,FALSE))*Apport_M812425)/(VLOOKUP($A315,EnrollData2324,'2324 Jun 24 Enroll'!M$1,FALSE)+VLOOKUP($A315,EnrollData2324,'2324 Jun 24 Enroll'!D$1,FALSE)),2)</f>
        <v>1600.94</v>
      </c>
      <c r="AS315" s="7">
        <f t="shared" si="69"/>
        <v>9951.7799999999988</v>
      </c>
    </row>
    <row r="316" spans="1:45">
      <c r="A316" s="40" t="s">
        <v>484</v>
      </c>
      <c r="B316" s="40" t="s">
        <v>485</v>
      </c>
      <c r="C316" s="11">
        <f>ROUND((IFERROR((1/IF(VLOOKUP($A316,EnrollData2324,28,FALSE)='District Calculations'!$F$10,VLOOKUP($A316,EnrollData2324,28,FALSE),'District Calculations'!$F$10))*(1+Apport_Z315),0))+Apport_201A2425,6)</f>
        <v>7.4580999999999995E-2</v>
      </c>
      <c r="D316">
        <f>ROUND(IF(VLOOKUP($A316,EnrollData2324,'2324 Jun 24 Enroll'!D$1,FALSE)='District Calculations'!$F$11,VLOOKUP($A316,EnrollData2324,'2324 Jun 24 Enroll'!D$1,FALSE),'District Calculations'!$F$11)*C316,3)</f>
        <v>0</v>
      </c>
      <c r="E316">
        <f>ROUND(IF(VLOOKUP($A316,EnrollData2324,'2324 Jun 24 Enroll'!E$1,FALSE)='District Calculations'!$F$12,VLOOKUP($A316,EnrollData2324,'2324 Jun 24 Enroll'!E$1,FALSE),'District Calculations'!$F$12)*C316,3)</f>
        <v>60.447000000000003</v>
      </c>
      <c r="F316">
        <f>ROUND(IF(VLOOKUP($A316,EnrollData2324,'2324 Jun 24 Enroll'!F$1,FALSE)='District Calculations'!$F$13,VLOOKUP($A316,EnrollData2324,'2324 Jun 24 Enroll'!F$1,FALSE),'District Calculations'!$F$13)*Apport_222A2425,3)</f>
        <v>10.337999999999999</v>
      </c>
      <c r="G316">
        <f>ROUND(IF(VLOOKUP($A316,EnrollData2324,'2324 Jun 24 Enroll'!G$1,FALSE)='District Calculations'!$F$14,VLOOKUP($A316,EnrollData2324,'2324 Jun 24 Enroll'!G$1,FALSE),'District Calculations'!$F$14)*Apport_210A2425,3)</f>
        <v>22.92</v>
      </c>
      <c r="H316">
        <f>ROUND(IF(VLOOKUP($A316,EnrollData2324,'2324 Jun 24 Enroll'!H$1,FALSE)='District Calculations'!$F$15,VLOOKUP($A316,EnrollData2324,'2324 Jun 24 Enroll'!H$1,FALSE),'District Calculations'!$F$15)*Apport_213A2425,3)</f>
        <v>23.619</v>
      </c>
      <c r="I316">
        <f>ROUND(IF(VLOOKUP($A316,EnrollData2324,'2324 Jun 24 Enroll'!I$1,FALSE)+VLOOKUP($A316,EnrollData2324,'2324 Jun 24 Enroll'!M$1,FALSE)-VLOOKUP($A316,EnrollData2324,'2324 Jun 24 Enroll'!J$1,FALSE)='District Calculations'!$F$16+'District Calculations'!$F$25-'District Calculations'!$F$17,VLOOKUP($A316,EnrollData2324,'2324 Jun 24 Enroll'!I$1,FALSE)+VLOOKUP($A316,EnrollData2324,'2324 Jun 24 Enroll'!M$1,FALSE)-VLOOKUP($A316,EnrollData2324,'2324 Jun 24 Enroll'!J$1,FALSE),'District Calculations'!$F$16+'District Calculations'!$F$25-'District Calculations'!$F$17)*Apport_216A2425,3)</f>
        <v>59.057000000000002</v>
      </c>
      <c r="J316">
        <f>ROUND(SUM(D316:I316)/(IF(VLOOKUP($A316,EnrollData2324,'2324 Jun 24 Enroll'!M$1,FALSE)='District Calculations'!$F$25,VLOOKUP($A316,EnrollData2324,'2324 Jun 24 Enroll'!M$1,FALSE),'District Calculations'!$F$25)+IF(VLOOKUP($A316,EnrollData2324,'2324 Jun 24 Enroll'!D$1,FALSE)='District Calculations'!$F$11,VLOOKUP($A316,EnrollData2324,'2324 Jun 24 Enroll'!D$1,FALSE),'District Calculations'!$F$11)),5)</f>
        <v>5.6520000000000001E-2</v>
      </c>
      <c r="K316" s="11">
        <f t="shared" si="60"/>
        <v>4.385E-3</v>
      </c>
      <c r="L316">
        <f>ROUND(IF(VLOOKUP($A316,EnrollData2324,'2324 Jun 24 Enroll'!D$1,FALSE)='District Calculations'!$F$11,VLOOKUP($A316,EnrollData2324,'2324 Jun 24 Enroll'!D$1,FALSE),'District Calculations'!$F$11)*K316,3)</f>
        <v>0</v>
      </c>
      <c r="M316">
        <f>ROUND(IF(VLOOKUP($A316,EnrollData2324,'2324 Jun 24 Enroll'!E$1,FALSE)='District Calculations'!$F$12,VLOOKUP($A316,EnrollData2324,'2324 Jun 24 Enroll'!E$1,FALSE),'District Calculations'!$F$12)*K316,3)</f>
        <v>3.5539999999999998</v>
      </c>
      <c r="N316">
        <f>ROUND(IF(VLOOKUP($A316,EnrollData2324,'2324 Jun 24 Enroll'!F$1,FALSE)='District Calculations'!$F$13,VLOOKUP($A316,EnrollData2324,'2324 Jun 24 Enroll'!F$1,FALSE),'District Calculations'!$F$13)*Apport_223A2425,3)</f>
        <v>0.84599999999999997</v>
      </c>
      <c r="O316">
        <f>ROUND(IF(VLOOKUP($A316,EnrollData2324,'2324 Jun 24 Enroll'!G$1,FALSE)='District Calculations'!$F$14,VLOOKUP($A316,EnrollData2324,'2324 Jun 24 Enroll'!G$1,FALSE),'District Calculations'!$F$14)*Apport_211A2425,3)</f>
        <v>1.877</v>
      </c>
      <c r="P316">
        <f>ROUND(IF(VLOOKUP($A316,EnrollData2324,'2324 Jun 24 Enroll'!H$1,FALSE)='District Calculations'!$F$14,VLOOKUP($A316,EnrollData2324,'2324 Jun 24 Enroll'!H$1,FALSE),'District Calculations'!$F$14)*Apport_214A2425,3)</f>
        <v>1.875</v>
      </c>
      <c r="Q316">
        <f>ROUND(IF(VLOOKUP($A316,EnrollData2324,'2324 Jun 24 Enroll'!I$1,FALSE)+VLOOKUP($A316,EnrollData2324,'2324 Jun 24 Enroll'!M$1,FALSE)-VLOOKUP($A316,EnrollData2324,'2324 Jun 24 Enroll'!J$1,FALSE)='District Calculations'!$F$16+'District Calculations'!$F$25-'District Calculations'!$F$17,VLOOKUP($A316,EnrollData2324,'2324 Jun 24 Enroll'!I$1,FALSE)+VLOOKUP($A316,EnrollData2324,'2324 Jun 24 Enroll'!M$1,FALSE)-VLOOKUP($A316,EnrollData2324,'2324 Jun 24 Enroll'!J$1,FALSE),'District Calculations'!$F$16+'District Calculations'!$F$25-'District Calculations'!$F$17)*Apport_217A2425,3)</f>
        <v>4.7130000000000001</v>
      </c>
      <c r="R316">
        <f>ROUND(SUM(L316:Q316)/IF(VLOOKUP($A316,EnrollData2324,'2324 Jun 24 Enroll'!M$1,FALSE)+VLOOKUP($A316,EnrollData2324,'2324 Jun 24 Enroll'!D$1,FALSE)='District Calculations'!$F$25+'District Calculations'!$F$11,VLOOKUP($A316,EnrollData2324,'2324 Jun 24 Enroll'!M$1,FALSE)+VLOOKUP($A316,EnrollData2324,'2324 Jun 24 Enroll'!D$1,FALSE),'District Calculations'!$F$25+'District Calculations'!$F$11),5)</f>
        <v>4.1200000000000004E-3</v>
      </c>
      <c r="S316" s="11">
        <f t="shared" si="61"/>
        <v>1.8734299999999999E-2</v>
      </c>
      <c r="T316">
        <f>ROUND(IF(VLOOKUP($A316,EnrollData2324,'2324 Jun 24 Enroll'!D$1,FALSE)='District Calculations'!$F$11,VLOOKUP($A316,EnrollData2324,'2324 Jun 24 Enroll'!D$1,FALSE),'District Calculations'!$F$11)*S316,3)</f>
        <v>0</v>
      </c>
      <c r="U316">
        <f>ROUND(IF(VLOOKUP($A316,EnrollData2324,'2324 Jun 24 Enroll'!E$1,FALSE)='District Calculations'!$F$12,VLOOKUP($A316,EnrollData2324,'2324 Jun 24 Enroll'!E$1,FALSE),'District Calculations'!$F$12)*S316,3)</f>
        <v>15.183999999999999</v>
      </c>
      <c r="V316">
        <f>ROUND(IF(VLOOKUP($A316,EnrollData2324,'2324 Jun 24 Enroll'!F$1,FALSE)='District Calculations'!$F$13,VLOOKUP($A316,EnrollData2324,'2324 Jun 24 Enroll'!F$1,FALSE),'District Calculations'!$F$13)*Apport_224A2425,3)</f>
        <v>3.7109999999999999</v>
      </c>
      <c r="W316">
        <f>ROUND(IF(VLOOKUP($A316,EnrollData2324,'2324 Jun 24 Enroll'!G$1,FALSE)='District Calculations'!$F$14,VLOOKUP($A316,EnrollData2324,'2324 Jun 24 Enroll'!G$1,FALSE),'District Calculations'!$F$14)*Apport_212A2425,3)</f>
        <v>8.2279999999999998</v>
      </c>
      <c r="X316">
        <f>ROUND(IF(VLOOKUP($A316,EnrollData2324,'2324 Jun 24 Enroll'!H$1,FALSE)='District Calculations'!$F$14,VLOOKUP($A316,EnrollData2324,'2324 Jun 24 Enroll'!H$1,FALSE),'District Calculations'!$F$14)*Apport_215A2425,3)</f>
        <v>8.1180000000000003</v>
      </c>
      <c r="Y316">
        <f>ROUND(IF(VLOOKUP($A316,EnrollData2324,'2324 Jun 24 Enroll'!I$1,FALSE)+VLOOKUP($A316,EnrollData2324,'2324 Jun 24 Enroll'!M$1,FALSE)-VLOOKUP($A316,EnrollData2324,'2324 Jun 24 Enroll'!J$1,FALSE)='District Calculations'!$F$16+'District Calculations'!$F$25-'District Calculations'!$F$17,VLOOKUP($A316,EnrollData2324,'2324 Jun 24 Enroll'!I$1,FALSE)+VLOOKUP($A316,EnrollData2324,'2324 Jun 24 Enroll'!M$1,FALSE)-VLOOKUP($A316,EnrollData2324,'2324 Jun 24 Enroll'!J$1,FALSE),'District Calculations'!$F$16+'District Calculations'!$F$25-'District Calculations'!$F$17)*Apport_218A2425,3)</f>
        <v>20.257999999999999</v>
      </c>
      <c r="Z316">
        <f>ROUND(SUM(T316:Y316)/IF(VLOOKUP($A316,EnrollData2324,'2324 Jun 24 Enroll'!M$1,FALSE)+VLOOKUP($A316,EnrollData2324,'2324 Jun 24 Enroll'!D$1,FALSE)='District Calculations'!$F$25+'District Calculations'!$F$11,VLOOKUP($A316,EnrollData2324,'2324 Jun 24 Enroll'!M$1,FALSE)+VLOOKUP($A316,EnrollData2324,'2324 Jun 24 Enroll'!D$1,FALSE),'District Calculations'!$F$25+'District Calculations'!$F$11),5)</f>
        <v>1.7780000000000001E-2</v>
      </c>
      <c r="AA316" s="6">
        <f>ROUND($J316*CIS_Base_Salary2425*VLOOKUP($A316,EnrollData2324,'2324 Jun 24 Enroll'!AH$1,FALSE),2)</f>
        <v>4262.68</v>
      </c>
      <c r="AB316" s="6">
        <f>ROUND($J316*CIS_Inc_Salary2425*(VLOOKUP($A316,EnrollData2324,'2324 Jun 24 Enroll'!AI$1,FALSE)+VLOOKUP($A316,EnrollData2324,'2324 Jun 24 Enroll'!AJ$1,FALSE)),2)-AA316</f>
        <v>157.6899999999996</v>
      </c>
      <c r="AC316" s="6" cm="1">
        <f t="array" ref="AC316">ROUND($R316*CAS_Base_Salary2425*VLOOKUP($A316,EnrollData2324,'2324 Jun 24 Enroll'!AH$1,FALSE),2)</f>
        <v>461.23</v>
      </c>
      <c r="AD316" s="6">
        <f>ROUND($R316*CAS_Inc_Salary2425*VLOOKUP($A316,EnrollData2324,'2324 Jun 24 Enroll'!AI$1,FALSE),2)-AC316</f>
        <v>17.069999999999993</v>
      </c>
      <c r="AE316" s="6">
        <f>ROUND($Z316*CLS_Base_Salary2425*VLOOKUP($A316,EnrollData2324,'2324 Jun 24 Enroll'!AH$1,FALSE),2)</f>
        <v>961.95</v>
      </c>
      <c r="AF316" s="6">
        <f>ROUND($Z316*CLS_Inc_Salary2425*VLOOKUP($A316,EnrollData2324,'2324 Jun 24 Enroll'!AI$1,FALSE),2)-AE316</f>
        <v>35.599999999999909</v>
      </c>
      <c r="AG316" cm="1">
        <f t="array" ref="AG316">ROUND(($J316+$R316)*Apport_124X2425,2)</f>
        <v>800.45</v>
      </c>
      <c r="AH316" s="69" cm="1">
        <f t="array" ref="AH316">ROUND(($J316+$R316)*Apport_621X2425*Apport_125XC2425,2)-AG316</f>
        <v>73.899999999999977</v>
      </c>
      <c r="AI316" cm="1">
        <f t="array" ref="AI316">ROUND($Z316*Apport_124X2425,2)</f>
        <v>234.7</v>
      </c>
      <c r="AJ316">
        <f t="shared" si="62"/>
        <v>124.71000000000004</v>
      </c>
      <c r="AK316">
        <f t="shared" si="63"/>
        <v>857.39</v>
      </c>
      <c r="AL316">
        <f t="shared" si="64"/>
        <v>30.6</v>
      </c>
      <c r="AM316">
        <f t="shared" si="65"/>
        <v>208.36</v>
      </c>
      <c r="AN316">
        <f t="shared" si="66"/>
        <v>6.46</v>
      </c>
      <c r="AO316">
        <f>ROUND(($J316*CIS_Inc_Salary2425*(VLOOKUP($A316,EnrollData2324,'2324 Jun 24 Enroll'!AI$1,FALSE)+VLOOKUP($A316,EnrollData2324,'2324 Jun 24 Enroll'!AJ$1,FALSE))/Apport_613Xpd)*Apport_614Xpd,2)</f>
        <v>73.67</v>
      </c>
      <c r="AP316">
        <f t="shared" si="67"/>
        <v>12.9</v>
      </c>
      <c r="AQ316">
        <f t="shared" si="68"/>
        <v>31.48</v>
      </c>
      <c r="AR316" s="6">
        <f>ROUND((VLOOKUP($A316,EnrollData2324,'2324 Jun 24 Enroll'!D$1,FALSE)*Apport_M802425+VLOOKUP($A316,EnrollData2324,'2324 Jun 24 Enroll'!M$1,FALSE)*Apport_M802425+(VLOOKUP($A316,EnrollData2324,'2324 Jun 24 Enroll'!P$1,FALSE)+VLOOKUP($A316,EnrollData2324,'2324 Jun 24 Enroll'!Q$1,FALSE)+VLOOKUP($A316,EnrollData2324,'2324 Jun 24 Enroll'!R$1,FALSE)+VLOOKUP($A316,EnrollData2324,'2324 Jun 24 Enroll'!I$1,FALSE)+VLOOKUP($A316,EnrollData2324,'2324 Jun 24 Enroll'!N$1,FALSE)+VLOOKUP($A316,EnrollData2324,'2324 Jun 24 Enroll'!O$1,FALSE)+VLOOKUP($A316,EnrollData2324,'2324 Jun 24 Enroll'!K$1,FALSE)+VLOOKUP($A316,EnrollData2324,'2324 Jun 24 Enroll'!L$1,FALSE))*Apport_M812425)/(VLOOKUP($A316,EnrollData2324,'2324 Jun 24 Enroll'!M$1,FALSE)+VLOOKUP($A316,EnrollData2324,'2324 Jun 24 Enroll'!D$1,FALSE)),2)</f>
        <v>1599.61</v>
      </c>
      <c r="AS316" s="7">
        <f t="shared" si="69"/>
        <v>9950.4499999999989</v>
      </c>
    </row>
    <row r="317" spans="1:45">
      <c r="A317" s="40" t="s">
        <v>807</v>
      </c>
      <c r="B317" s="40" t="s">
        <v>808</v>
      </c>
      <c r="C317" s="11">
        <f>ROUND((IFERROR((1/IF(VLOOKUP($A317,EnrollData2324,28,FALSE)='District Calculations'!$F$10,VLOOKUP($A317,EnrollData2324,28,FALSE),'District Calculations'!$F$10))*(1+Apport_Z315),0))+Apport_201A2425,6)</f>
        <v>7.4580999999999995E-2</v>
      </c>
      <c r="D317">
        <f>ROUND(IF(VLOOKUP($A317,EnrollData2324,'2324 Jun 24 Enroll'!D$1,FALSE)='District Calculations'!$F$11,VLOOKUP($A317,EnrollData2324,'2324 Jun 24 Enroll'!D$1,FALSE),'District Calculations'!$F$11)*C317,3)</f>
        <v>0</v>
      </c>
      <c r="E317">
        <f>ROUND(IF(VLOOKUP($A317,EnrollData2324,'2324 Jun 24 Enroll'!E$1,FALSE)='District Calculations'!$F$12,VLOOKUP($A317,EnrollData2324,'2324 Jun 24 Enroll'!E$1,FALSE),'District Calculations'!$F$12)*C317,3)</f>
        <v>60.447000000000003</v>
      </c>
      <c r="F317">
        <f>ROUND(IF(VLOOKUP($A317,EnrollData2324,'2324 Jun 24 Enroll'!F$1,FALSE)='District Calculations'!$F$13,VLOOKUP($A317,EnrollData2324,'2324 Jun 24 Enroll'!F$1,FALSE),'District Calculations'!$F$13)*Apport_222A2425,3)</f>
        <v>10.337999999999999</v>
      </c>
      <c r="G317">
        <f>ROUND(IF(VLOOKUP($A317,EnrollData2324,'2324 Jun 24 Enroll'!G$1,FALSE)='District Calculations'!$F$14,VLOOKUP($A317,EnrollData2324,'2324 Jun 24 Enroll'!G$1,FALSE),'District Calculations'!$F$14)*Apport_210A2425,3)</f>
        <v>22.92</v>
      </c>
      <c r="H317">
        <f>ROUND(IF(VLOOKUP($A317,EnrollData2324,'2324 Jun 24 Enroll'!H$1,FALSE)='District Calculations'!$F$15,VLOOKUP($A317,EnrollData2324,'2324 Jun 24 Enroll'!H$1,FALSE),'District Calculations'!$F$15)*Apport_213A2425,3)</f>
        <v>23.619</v>
      </c>
      <c r="I317">
        <f>ROUND(IF(VLOOKUP($A317,EnrollData2324,'2324 Jun 24 Enroll'!I$1,FALSE)+VLOOKUP($A317,EnrollData2324,'2324 Jun 24 Enroll'!M$1,FALSE)-VLOOKUP($A317,EnrollData2324,'2324 Jun 24 Enroll'!J$1,FALSE)='District Calculations'!$F$16+'District Calculations'!$F$25-'District Calculations'!$F$17,VLOOKUP($A317,EnrollData2324,'2324 Jun 24 Enroll'!I$1,FALSE)+VLOOKUP($A317,EnrollData2324,'2324 Jun 24 Enroll'!M$1,FALSE)-VLOOKUP($A317,EnrollData2324,'2324 Jun 24 Enroll'!J$1,FALSE),'District Calculations'!$F$16+'District Calculations'!$F$25-'District Calculations'!$F$17)*Apport_216A2425,3)</f>
        <v>59.057000000000002</v>
      </c>
      <c r="J317">
        <f>ROUND(SUM(D317:I317)/(IF(VLOOKUP($A317,EnrollData2324,'2324 Jun 24 Enroll'!M$1,FALSE)='District Calculations'!$F$25,VLOOKUP($A317,EnrollData2324,'2324 Jun 24 Enroll'!M$1,FALSE),'District Calculations'!$F$25)+IF(VLOOKUP($A317,EnrollData2324,'2324 Jun 24 Enroll'!D$1,FALSE)='District Calculations'!$F$11,VLOOKUP($A317,EnrollData2324,'2324 Jun 24 Enroll'!D$1,FALSE),'District Calculations'!$F$11)),5)</f>
        <v>5.6520000000000001E-2</v>
      </c>
      <c r="K317" s="11">
        <f t="shared" si="60"/>
        <v>4.385E-3</v>
      </c>
      <c r="L317">
        <f>ROUND(IF(VLOOKUP($A317,EnrollData2324,'2324 Jun 24 Enroll'!D$1,FALSE)='District Calculations'!$F$11,VLOOKUP($A317,EnrollData2324,'2324 Jun 24 Enroll'!D$1,FALSE),'District Calculations'!$F$11)*K317,3)</f>
        <v>0</v>
      </c>
      <c r="M317">
        <f>ROUND(IF(VLOOKUP($A317,EnrollData2324,'2324 Jun 24 Enroll'!E$1,FALSE)='District Calculations'!$F$12,VLOOKUP($A317,EnrollData2324,'2324 Jun 24 Enroll'!E$1,FALSE),'District Calculations'!$F$12)*K317,3)</f>
        <v>3.5539999999999998</v>
      </c>
      <c r="N317">
        <f>ROUND(IF(VLOOKUP($A317,EnrollData2324,'2324 Jun 24 Enroll'!F$1,FALSE)='District Calculations'!$F$13,VLOOKUP($A317,EnrollData2324,'2324 Jun 24 Enroll'!F$1,FALSE),'District Calculations'!$F$13)*Apport_223A2425,3)</f>
        <v>0.84599999999999997</v>
      </c>
      <c r="O317">
        <f>ROUND(IF(VLOOKUP($A317,EnrollData2324,'2324 Jun 24 Enroll'!G$1,FALSE)='District Calculations'!$F$14,VLOOKUP($A317,EnrollData2324,'2324 Jun 24 Enroll'!G$1,FALSE),'District Calculations'!$F$14)*Apport_211A2425,3)</f>
        <v>1.877</v>
      </c>
      <c r="P317">
        <f>ROUND(IF(VLOOKUP($A317,EnrollData2324,'2324 Jun 24 Enroll'!H$1,FALSE)='District Calculations'!$F$14,VLOOKUP($A317,EnrollData2324,'2324 Jun 24 Enroll'!H$1,FALSE),'District Calculations'!$F$14)*Apport_214A2425,3)</f>
        <v>1.875</v>
      </c>
      <c r="Q317">
        <f>ROUND(IF(VLOOKUP($A317,EnrollData2324,'2324 Jun 24 Enroll'!I$1,FALSE)+VLOOKUP($A317,EnrollData2324,'2324 Jun 24 Enroll'!M$1,FALSE)-VLOOKUP($A317,EnrollData2324,'2324 Jun 24 Enroll'!J$1,FALSE)='District Calculations'!$F$16+'District Calculations'!$F$25-'District Calculations'!$F$17,VLOOKUP($A317,EnrollData2324,'2324 Jun 24 Enroll'!I$1,FALSE)+VLOOKUP($A317,EnrollData2324,'2324 Jun 24 Enroll'!M$1,FALSE)-VLOOKUP($A317,EnrollData2324,'2324 Jun 24 Enroll'!J$1,FALSE),'District Calculations'!$F$16+'District Calculations'!$F$25-'District Calculations'!$F$17)*Apport_217A2425,3)</f>
        <v>4.7130000000000001</v>
      </c>
      <c r="R317">
        <f>ROUND(SUM(L317:Q317)/IF(VLOOKUP($A317,EnrollData2324,'2324 Jun 24 Enroll'!M$1,FALSE)+VLOOKUP($A317,EnrollData2324,'2324 Jun 24 Enroll'!D$1,FALSE)='District Calculations'!$F$25+'District Calculations'!$F$11,VLOOKUP($A317,EnrollData2324,'2324 Jun 24 Enroll'!M$1,FALSE)+VLOOKUP($A317,EnrollData2324,'2324 Jun 24 Enroll'!D$1,FALSE),'District Calculations'!$F$25+'District Calculations'!$F$11),5)</f>
        <v>4.1200000000000004E-3</v>
      </c>
      <c r="S317" s="11">
        <f t="shared" si="61"/>
        <v>1.8734299999999999E-2</v>
      </c>
      <c r="T317">
        <f>ROUND(IF(VLOOKUP($A317,EnrollData2324,'2324 Jun 24 Enroll'!D$1,FALSE)='District Calculations'!$F$11,VLOOKUP($A317,EnrollData2324,'2324 Jun 24 Enroll'!D$1,FALSE),'District Calculations'!$F$11)*S317,3)</f>
        <v>0</v>
      </c>
      <c r="U317">
        <f>ROUND(IF(VLOOKUP($A317,EnrollData2324,'2324 Jun 24 Enroll'!E$1,FALSE)='District Calculations'!$F$12,VLOOKUP($A317,EnrollData2324,'2324 Jun 24 Enroll'!E$1,FALSE),'District Calculations'!$F$12)*S317,3)</f>
        <v>15.183999999999999</v>
      </c>
      <c r="V317">
        <f>ROUND(IF(VLOOKUP($A317,EnrollData2324,'2324 Jun 24 Enroll'!F$1,FALSE)='District Calculations'!$F$13,VLOOKUP($A317,EnrollData2324,'2324 Jun 24 Enroll'!F$1,FALSE),'District Calculations'!$F$13)*Apport_224A2425,3)</f>
        <v>3.7109999999999999</v>
      </c>
      <c r="W317">
        <f>ROUND(IF(VLOOKUP($A317,EnrollData2324,'2324 Jun 24 Enroll'!G$1,FALSE)='District Calculations'!$F$14,VLOOKUP($A317,EnrollData2324,'2324 Jun 24 Enroll'!G$1,FALSE),'District Calculations'!$F$14)*Apport_212A2425,3)</f>
        <v>8.2279999999999998</v>
      </c>
      <c r="X317">
        <f>ROUND(IF(VLOOKUP($A317,EnrollData2324,'2324 Jun 24 Enroll'!H$1,FALSE)='District Calculations'!$F$14,VLOOKUP($A317,EnrollData2324,'2324 Jun 24 Enroll'!H$1,FALSE),'District Calculations'!$F$14)*Apport_215A2425,3)</f>
        <v>8.1180000000000003</v>
      </c>
      <c r="Y317">
        <f>ROUND(IF(VLOOKUP($A317,EnrollData2324,'2324 Jun 24 Enroll'!I$1,FALSE)+VLOOKUP($A317,EnrollData2324,'2324 Jun 24 Enroll'!M$1,FALSE)-VLOOKUP($A317,EnrollData2324,'2324 Jun 24 Enroll'!J$1,FALSE)='District Calculations'!$F$16+'District Calculations'!$F$25-'District Calculations'!$F$17,VLOOKUP($A317,EnrollData2324,'2324 Jun 24 Enroll'!I$1,FALSE)+VLOOKUP($A317,EnrollData2324,'2324 Jun 24 Enroll'!M$1,FALSE)-VLOOKUP($A317,EnrollData2324,'2324 Jun 24 Enroll'!J$1,FALSE),'District Calculations'!$F$16+'District Calculations'!$F$25-'District Calculations'!$F$17)*Apport_218A2425,3)</f>
        <v>20.257999999999999</v>
      </c>
      <c r="Z317">
        <f>ROUND(SUM(T317:Y317)/IF(VLOOKUP($A317,EnrollData2324,'2324 Jun 24 Enroll'!M$1,FALSE)+VLOOKUP($A317,EnrollData2324,'2324 Jun 24 Enroll'!D$1,FALSE)='District Calculations'!$F$25+'District Calculations'!$F$11,VLOOKUP($A317,EnrollData2324,'2324 Jun 24 Enroll'!M$1,FALSE)+VLOOKUP($A317,EnrollData2324,'2324 Jun 24 Enroll'!D$1,FALSE),'District Calculations'!$F$25+'District Calculations'!$F$11),5)</f>
        <v>1.7780000000000001E-2</v>
      </c>
      <c r="AA317" s="6">
        <f>ROUND($J317*CIS_Base_Salary2425*VLOOKUP($A317,EnrollData2324,'2324 Jun 24 Enroll'!AH$1,FALSE),2)</f>
        <v>4262.68</v>
      </c>
      <c r="AB317" s="6">
        <f>ROUND($J317*CIS_Inc_Salary2425*(VLOOKUP($A317,EnrollData2324,'2324 Jun 24 Enroll'!AI$1,FALSE)+VLOOKUP($A317,EnrollData2324,'2324 Jun 24 Enroll'!AJ$1,FALSE)),2)-AA317</f>
        <v>157.6899999999996</v>
      </c>
      <c r="AC317" s="6" cm="1">
        <f t="array" ref="AC317">ROUND($R317*CAS_Base_Salary2425*VLOOKUP($A317,EnrollData2324,'2324 Jun 24 Enroll'!AH$1,FALSE),2)</f>
        <v>461.23</v>
      </c>
      <c r="AD317" s="6">
        <f>ROUND($R317*CAS_Inc_Salary2425*VLOOKUP($A317,EnrollData2324,'2324 Jun 24 Enroll'!AI$1,FALSE),2)-AC317</f>
        <v>17.069999999999993</v>
      </c>
      <c r="AE317" s="6">
        <f>ROUND($Z317*CLS_Base_Salary2425*VLOOKUP($A317,EnrollData2324,'2324 Jun 24 Enroll'!AH$1,FALSE),2)</f>
        <v>961.95</v>
      </c>
      <c r="AF317" s="6">
        <f>ROUND($Z317*CLS_Inc_Salary2425*VLOOKUP($A317,EnrollData2324,'2324 Jun 24 Enroll'!AI$1,FALSE),2)-AE317</f>
        <v>35.599999999999909</v>
      </c>
      <c r="AG317" cm="1">
        <f t="array" ref="AG317">ROUND(($J317+$R317)*Apport_124X2425,2)</f>
        <v>800.45</v>
      </c>
      <c r="AH317" s="69" cm="1">
        <f t="array" ref="AH317">ROUND(($J317+$R317)*Apport_621X2425*Apport_125XC2425,2)-AG317</f>
        <v>73.899999999999977</v>
      </c>
      <c r="AI317" cm="1">
        <f t="array" ref="AI317">ROUND($Z317*Apport_124X2425,2)</f>
        <v>234.7</v>
      </c>
      <c r="AJ317">
        <f t="shared" si="62"/>
        <v>124.71000000000004</v>
      </c>
      <c r="AK317">
        <f t="shared" si="63"/>
        <v>857.39</v>
      </c>
      <c r="AL317">
        <f t="shared" si="64"/>
        <v>30.6</v>
      </c>
      <c r="AM317">
        <f t="shared" si="65"/>
        <v>208.36</v>
      </c>
      <c r="AN317">
        <f t="shared" si="66"/>
        <v>6.46</v>
      </c>
      <c r="AO317">
        <f>ROUND(($J317*CIS_Inc_Salary2425*(VLOOKUP($A317,EnrollData2324,'2324 Jun 24 Enroll'!AI$1,FALSE)+VLOOKUP($A317,EnrollData2324,'2324 Jun 24 Enroll'!AJ$1,FALSE))/Apport_613Xpd)*Apport_614Xpd,2)</f>
        <v>73.67</v>
      </c>
      <c r="AP317">
        <f t="shared" si="67"/>
        <v>12.9</v>
      </c>
      <c r="AQ317">
        <f t="shared" si="68"/>
        <v>31.48</v>
      </c>
      <c r="AR317" s="6">
        <f>ROUND((VLOOKUP($A317,EnrollData2324,'2324 Jun 24 Enroll'!D$1,FALSE)*Apport_M802425+VLOOKUP($A317,EnrollData2324,'2324 Jun 24 Enroll'!M$1,FALSE)*Apport_M802425+(VLOOKUP($A317,EnrollData2324,'2324 Jun 24 Enroll'!P$1,FALSE)+VLOOKUP($A317,EnrollData2324,'2324 Jun 24 Enroll'!Q$1,FALSE)+VLOOKUP($A317,EnrollData2324,'2324 Jun 24 Enroll'!R$1,FALSE)+VLOOKUP($A317,EnrollData2324,'2324 Jun 24 Enroll'!I$1,FALSE)+VLOOKUP($A317,EnrollData2324,'2324 Jun 24 Enroll'!N$1,FALSE)+VLOOKUP($A317,EnrollData2324,'2324 Jun 24 Enroll'!O$1,FALSE)+VLOOKUP($A317,EnrollData2324,'2324 Jun 24 Enroll'!K$1,FALSE)+VLOOKUP($A317,EnrollData2324,'2324 Jun 24 Enroll'!L$1,FALSE))*Apport_M812425)/(VLOOKUP($A317,EnrollData2324,'2324 Jun 24 Enroll'!M$1,FALSE)+VLOOKUP($A317,EnrollData2324,'2324 Jun 24 Enroll'!D$1,FALSE)),2)</f>
        <v>1603.27</v>
      </c>
      <c r="AS317" s="7">
        <f t="shared" si="69"/>
        <v>9954.1099999999988</v>
      </c>
    </row>
    <row r="318" spans="1:45">
      <c r="A318" s="40" t="s">
        <v>825</v>
      </c>
      <c r="B318" s="40" t="s">
        <v>826</v>
      </c>
      <c r="C318" s="11">
        <f>ROUND((IFERROR((1/IF(VLOOKUP($A318,EnrollData2324,28,FALSE)='District Calculations'!$F$10,VLOOKUP($A318,EnrollData2324,28,FALSE),'District Calculations'!$F$10))*(1+Apport_Z315),0))+Apport_201A2425,6)</f>
        <v>7.4580999999999995E-2</v>
      </c>
      <c r="D318">
        <f>ROUND(IF(VLOOKUP($A318,EnrollData2324,'2324 Jun 24 Enroll'!D$1,FALSE)='District Calculations'!$F$11,VLOOKUP($A318,EnrollData2324,'2324 Jun 24 Enroll'!D$1,FALSE),'District Calculations'!$F$11)*C318,3)</f>
        <v>0</v>
      </c>
      <c r="E318">
        <f>ROUND(IF(VLOOKUP($A318,EnrollData2324,'2324 Jun 24 Enroll'!E$1,FALSE)='District Calculations'!$F$12,VLOOKUP($A318,EnrollData2324,'2324 Jun 24 Enroll'!E$1,FALSE),'District Calculations'!$F$12)*C318,3)</f>
        <v>60.447000000000003</v>
      </c>
      <c r="F318">
        <f>ROUND(IF(VLOOKUP($A318,EnrollData2324,'2324 Jun 24 Enroll'!F$1,FALSE)='District Calculations'!$F$13,VLOOKUP($A318,EnrollData2324,'2324 Jun 24 Enroll'!F$1,FALSE),'District Calculations'!$F$13)*Apport_222A2425,3)</f>
        <v>10.337999999999999</v>
      </c>
      <c r="G318">
        <f>ROUND(IF(VLOOKUP($A318,EnrollData2324,'2324 Jun 24 Enroll'!G$1,FALSE)='District Calculations'!$F$14,VLOOKUP($A318,EnrollData2324,'2324 Jun 24 Enroll'!G$1,FALSE),'District Calculations'!$F$14)*Apport_210A2425,3)</f>
        <v>22.92</v>
      </c>
      <c r="H318">
        <f>ROUND(IF(VLOOKUP($A318,EnrollData2324,'2324 Jun 24 Enroll'!H$1,FALSE)='District Calculations'!$F$15,VLOOKUP($A318,EnrollData2324,'2324 Jun 24 Enroll'!H$1,FALSE),'District Calculations'!$F$15)*Apport_213A2425,3)</f>
        <v>23.619</v>
      </c>
      <c r="I318">
        <f>ROUND(IF(VLOOKUP($A318,EnrollData2324,'2324 Jun 24 Enroll'!I$1,FALSE)+VLOOKUP($A318,EnrollData2324,'2324 Jun 24 Enroll'!M$1,FALSE)-VLOOKUP($A318,EnrollData2324,'2324 Jun 24 Enroll'!J$1,FALSE)='District Calculations'!$F$16+'District Calculations'!$F$25-'District Calculations'!$F$17,VLOOKUP($A318,EnrollData2324,'2324 Jun 24 Enroll'!I$1,FALSE)+VLOOKUP($A318,EnrollData2324,'2324 Jun 24 Enroll'!M$1,FALSE)-VLOOKUP($A318,EnrollData2324,'2324 Jun 24 Enroll'!J$1,FALSE),'District Calculations'!$F$16+'District Calculations'!$F$25-'District Calculations'!$F$17)*Apport_216A2425,3)</f>
        <v>59.057000000000002</v>
      </c>
      <c r="J318">
        <f>ROUND(SUM(D318:I318)/(IF(VLOOKUP($A318,EnrollData2324,'2324 Jun 24 Enroll'!M$1,FALSE)='District Calculations'!$F$25,VLOOKUP($A318,EnrollData2324,'2324 Jun 24 Enroll'!M$1,FALSE),'District Calculations'!$F$25)+IF(VLOOKUP($A318,EnrollData2324,'2324 Jun 24 Enroll'!D$1,FALSE)='District Calculations'!$F$11,VLOOKUP($A318,EnrollData2324,'2324 Jun 24 Enroll'!D$1,FALSE),'District Calculations'!$F$11)),5)</f>
        <v>5.6520000000000001E-2</v>
      </c>
      <c r="K318" s="11">
        <f t="shared" si="60"/>
        <v>4.385E-3</v>
      </c>
      <c r="L318">
        <f>ROUND(IF(VLOOKUP($A318,EnrollData2324,'2324 Jun 24 Enroll'!D$1,FALSE)='District Calculations'!$F$11,VLOOKUP($A318,EnrollData2324,'2324 Jun 24 Enroll'!D$1,FALSE),'District Calculations'!$F$11)*K318,3)</f>
        <v>0</v>
      </c>
      <c r="M318">
        <f>ROUND(IF(VLOOKUP($A318,EnrollData2324,'2324 Jun 24 Enroll'!E$1,FALSE)='District Calculations'!$F$12,VLOOKUP($A318,EnrollData2324,'2324 Jun 24 Enroll'!E$1,FALSE),'District Calculations'!$F$12)*K318,3)</f>
        <v>3.5539999999999998</v>
      </c>
      <c r="N318">
        <f>ROUND(IF(VLOOKUP($A318,EnrollData2324,'2324 Jun 24 Enroll'!F$1,FALSE)='District Calculations'!$F$13,VLOOKUP($A318,EnrollData2324,'2324 Jun 24 Enroll'!F$1,FALSE),'District Calculations'!$F$13)*Apport_223A2425,3)</f>
        <v>0.84599999999999997</v>
      </c>
      <c r="O318">
        <f>ROUND(IF(VLOOKUP($A318,EnrollData2324,'2324 Jun 24 Enroll'!G$1,FALSE)='District Calculations'!$F$14,VLOOKUP($A318,EnrollData2324,'2324 Jun 24 Enroll'!G$1,FALSE),'District Calculations'!$F$14)*Apport_211A2425,3)</f>
        <v>1.877</v>
      </c>
      <c r="P318">
        <f>ROUND(IF(VLOOKUP($A318,EnrollData2324,'2324 Jun 24 Enroll'!H$1,FALSE)='District Calculations'!$F$14,VLOOKUP($A318,EnrollData2324,'2324 Jun 24 Enroll'!H$1,FALSE),'District Calculations'!$F$14)*Apport_214A2425,3)</f>
        <v>1.875</v>
      </c>
      <c r="Q318">
        <f>ROUND(IF(VLOOKUP($A318,EnrollData2324,'2324 Jun 24 Enroll'!I$1,FALSE)+VLOOKUP($A318,EnrollData2324,'2324 Jun 24 Enroll'!M$1,FALSE)-VLOOKUP($A318,EnrollData2324,'2324 Jun 24 Enroll'!J$1,FALSE)='District Calculations'!$F$16+'District Calculations'!$F$25-'District Calculations'!$F$17,VLOOKUP($A318,EnrollData2324,'2324 Jun 24 Enroll'!I$1,FALSE)+VLOOKUP($A318,EnrollData2324,'2324 Jun 24 Enroll'!M$1,FALSE)-VLOOKUP($A318,EnrollData2324,'2324 Jun 24 Enroll'!J$1,FALSE),'District Calculations'!$F$16+'District Calculations'!$F$25-'District Calculations'!$F$17)*Apport_217A2425,3)</f>
        <v>4.7130000000000001</v>
      </c>
      <c r="R318">
        <f>ROUND(SUM(L318:Q318)/IF(VLOOKUP($A318,EnrollData2324,'2324 Jun 24 Enroll'!M$1,FALSE)+VLOOKUP($A318,EnrollData2324,'2324 Jun 24 Enroll'!D$1,FALSE)='District Calculations'!$F$25+'District Calculations'!$F$11,VLOOKUP($A318,EnrollData2324,'2324 Jun 24 Enroll'!M$1,FALSE)+VLOOKUP($A318,EnrollData2324,'2324 Jun 24 Enroll'!D$1,FALSE),'District Calculations'!$F$25+'District Calculations'!$F$11),5)</f>
        <v>4.1200000000000004E-3</v>
      </c>
      <c r="S318" s="11">
        <f t="shared" si="61"/>
        <v>1.8734299999999999E-2</v>
      </c>
      <c r="T318">
        <f>ROUND(IF(VLOOKUP($A318,EnrollData2324,'2324 Jun 24 Enroll'!D$1,FALSE)='District Calculations'!$F$11,VLOOKUP($A318,EnrollData2324,'2324 Jun 24 Enroll'!D$1,FALSE),'District Calculations'!$F$11)*S318,3)</f>
        <v>0</v>
      </c>
      <c r="U318">
        <f>ROUND(IF(VLOOKUP($A318,EnrollData2324,'2324 Jun 24 Enroll'!E$1,FALSE)='District Calculations'!$F$12,VLOOKUP($A318,EnrollData2324,'2324 Jun 24 Enroll'!E$1,FALSE),'District Calculations'!$F$12)*S318,3)</f>
        <v>15.183999999999999</v>
      </c>
      <c r="V318">
        <f>ROUND(IF(VLOOKUP($A318,EnrollData2324,'2324 Jun 24 Enroll'!F$1,FALSE)='District Calculations'!$F$13,VLOOKUP($A318,EnrollData2324,'2324 Jun 24 Enroll'!F$1,FALSE),'District Calculations'!$F$13)*Apport_224A2425,3)</f>
        <v>3.7109999999999999</v>
      </c>
      <c r="W318">
        <f>ROUND(IF(VLOOKUP($A318,EnrollData2324,'2324 Jun 24 Enroll'!G$1,FALSE)='District Calculations'!$F$14,VLOOKUP($A318,EnrollData2324,'2324 Jun 24 Enroll'!G$1,FALSE),'District Calculations'!$F$14)*Apport_212A2425,3)</f>
        <v>8.2279999999999998</v>
      </c>
      <c r="X318">
        <f>ROUND(IF(VLOOKUP($A318,EnrollData2324,'2324 Jun 24 Enroll'!H$1,FALSE)='District Calculations'!$F$14,VLOOKUP($A318,EnrollData2324,'2324 Jun 24 Enroll'!H$1,FALSE),'District Calculations'!$F$14)*Apport_215A2425,3)</f>
        <v>8.1180000000000003</v>
      </c>
      <c r="Y318">
        <f>ROUND(IF(VLOOKUP($A318,EnrollData2324,'2324 Jun 24 Enroll'!I$1,FALSE)+VLOOKUP($A318,EnrollData2324,'2324 Jun 24 Enroll'!M$1,FALSE)-VLOOKUP($A318,EnrollData2324,'2324 Jun 24 Enroll'!J$1,FALSE)='District Calculations'!$F$16+'District Calculations'!$F$25-'District Calculations'!$F$17,VLOOKUP($A318,EnrollData2324,'2324 Jun 24 Enroll'!I$1,FALSE)+VLOOKUP($A318,EnrollData2324,'2324 Jun 24 Enroll'!M$1,FALSE)-VLOOKUP($A318,EnrollData2324,'2324 Jun 24 Enroll'!J$1,FALSE),'District Calculations'!$F$16+'District Calculations'!$F$25-'District Calculations'!$F$17)*Apport_218A2425,3)</f>
        <v>20.257999999999999</v>
      </c>
      <c r="Z318">
        <f>ROUND(SUM(T318:Y318)/IF(VLOOKUP($A318,EnrollData2324,'2324 Jun 24 Enroll'!M$1,FALSE)+VLOOKUP($A318,EnrollData2324,'2324 Jun 24 Enroll'!D$1,FALSE)='District Calculations'!$F$25+'District Calculations'!$F$11,VLOOKUP($A318,EnrollData2324,'2324 Jun 24 Enroll'!M$1,FALSE)+VLOOKUP($A318,EnrollData2324,'2324 Jun 24 Enroll'!D$1,FALSE),'District Calculations'!$F$25+'District Calculations'!$F$11),5)</f>
        <v>1.7780000000000001E-2</v>
      </c>
      <c r="AA318" s="6">
        <f>ROUND($J318*CIS_Base_Salary2425*VLOOKUP($A318,EnrollData2324,'2324 Jun 24 Enroll'!AH$1,FALSE),2)</f>
        <v>4262.68</v>
      </c>
      <c r="AB318" s="6">
        <f>ROUND($J318*CIS_Inc_Salary2425*(VLOOKUP($A318,EnrollData2324,'2324 Jun 24 Enroll'!AI$1,FALSE)+VLOOKUP($A318,EnrollData2324,'2324 Jun 24 Enroll'!AJ$1,FALSE)),2)-AA318</f>
        <v>157.6899999999996</v>
      </c>
      <c r="AC318" s="6" cm="1">
        <f t="array" ref="AC318">ROUND($R318*CAS_Base_Salary2425*VLOOKUP($A318,EnrollData2324,'2324 Jun 24 Enroll'!AH$1,FALSE),2)</f>
        <v>461.23</v>
      </c>
      <c r="AD318" s="6">
        <f>ROUND($R318*CAS_Inc_Salary2425*VLOOKUP($A318,EnrollData2324,'2324 Jun 24 Enroll'!AI$1,FALSE),2)-AC318</f>
        <v>17.069999999999993</v>
      </c>
      <c r="AE318" s="6">
        <f>ROUND($Z318*CLS_Base_Salary2425*VLOOKUP($A318,EnrollData2324,'2324 Jun 24 Enroll'!AH$1,FALSE),2)</f>
        <v>961.95</v>
      </c>
      <c r="AF318" s="6">
        <f>ROUND($Z318*CLS_Inc_Salary2425*VLOOKUP($A318,EnrollData2324,'2324 Jun 24 Enroll'!AI$1,FALSE),2)-AE318</f>
        <v>35.599999999999909</v>
      </c>
      <c r="AG318" cm="1">
        <f t="array" ref="AG318">ROUND(($J318+$R318)*Apport_124X2425,2)</f>
        <v>800.45</v>
      </c>
      <c r="AH318" s="69" cm="1">
        <f t="array" ref="AH318">ROUND(($J318+$R318)*Apport_621X2425*Apport_125XC2425,2)-AG318</f>
        <v>73.899999999999977</v>
      </c>
      <c r="AI318" cm="1">
        <f t="array" ref="AI318">ROUND($Z318*Apport_124X2425,2)</f>
        <v>234.7</v>
      </c>
      <c r="AJ318">
        <f t="shared" si="62"/>
        <v>124.71000000000004</v>
      </c>
      <c r="AK318">
        <f t="shared" si="63"/>
        <v>857.39</v>
      </c>
      <c r="AL318">
        <f t="shared" si="64"/>
        <v>30.6</v>
      </c>
      <c r="AM318">
        <f t="shared" si="65"/>
        <v>208.36</v>
      </c>
      <c r="AN318">
        <f t="shared" si="66"/>
        <v>6.46</v>
      </c>
      <c r="AO318">
        <f>ROUND(($J318*CIS_Inc_Salary2425*(VLOOKUP($A318,EnrollData2324,'2324 Jun 24 Enroll'!AI$1,FALSE)+VLOOKUP($A318,EnrollData2324,'2324 Jun 24 Enroll'!AJ$1,FALSE))/Apport_613Xpd)*Apport_614Xpd,2)</f>
        <v>73.67</v>
      </c>
      <c r="AP318">
        <f t="shared" si="67"/>
        <v>12.9</v>
      </c>
      <c r="AQ318">
        <f t="shared" si="68"/>
        <v>31.48</v>
      </c>
      <c r="AR318" s="6">
        <f>ROUND((VLOOKUP($A318,EnrollData2324,'2324 Jun 24 Enroll'!D$1,FALSE)*Apport_M802425+VLOOKUP($A318,EnrollData2324,'2324 Jun 24 Enroll'!M$1,FALSE)*Apport_M802425+(VLOOKUP($A318,EnrollData2324,'2324 Jun 24 Enroll'!P$1,FALSE)+VLOOKUP($A318,EnrollData2324,'2324 Jun 24 Enroll'!Q$1,FALSE)+VLOOKUP($A318,EnrollData2324,'2324 Jun 24 Enroll'!R$1,FALSE)+VLOOKUP($A318,EnrollData2324,'2324 Jun 24 Enroll'!I$1,FALSE)+VLOOKUP($A318,EnrollData2324,'2324 Jun 24 Enroll'!N$1,FALSE)+VLOOKUP($A318,EnrollData2324,'2324 Jun 24 Enroll'!O$1,FALSE)+VLOOKUP($A318,EnrollData2324,'2324 Jun 24 Enroll'!K$1,FALSE)+VLOOKUP($A318,EnrollData2324,'2324 Jun 24 Enroll'!L$1,FALSE))*Apport_M812425)/(VLOOKUP($A318,EnrollData2324,'2324 Jun 24 Enroll'!M$1,FALSE)+VLOOKUP($A318,EnrollData2324,'2324 Jun 24 Enroll'!D$1,FALSE)),2)</f>
        <v>1620.44</v>
      </c>
      <c r="AS318" s="7">
        <f t="shared" si="69"/>
        <v>9971.2799999999988</v>
      </c>
    </row>
    <row r="319" spans="1:45">
      <c r="A319" s="40" t="s">
        <v>500</v>
      </c>
      <c r="B319" s="40" t="s">
        <v>501</v>
      </c>
      <c r="C319" s="11">
        <f>ROUND((IFERROR((1/IF(VLOOKUP($A319,EnrollData2324,28,FALSE)='District Calculations'!$F$10,VLOOKUP($A319,EnrollData2324,28,FALSE),'District Calculations'!$F$10))*(1+Apport_Z315),0))+Apport_201A2425,6)</f>
        <v>7.4580999999999995E-2</v>
      </c>
      <c r="D319">
        <f>ROUND(IF(VLOOKUP($A319,EnrollData2324,'2324 Jun 24 Enroll'!D$1,FALSE)='District Calculations'!$F$11,VLOOKUP($A319,EnrollData2324,'2324 Jun 24 Enroll'!D$1,FALSE),'District Calculations'!$F$11)*C319,3)</f>
        <v>0</v>
      </c>
      <c r="E319">
        <f>ROUND(IF(VLOOKUP($A319,EnrollData2324,'2324 Jun 24 Enroll'!E$1,FALSE)='District Calculations'!$F$12,VLOOKUP($A319,EnrollData2324,'2324 Jun 24 Enroll'!E$1,FALSE),'District Calculations'!$F$12)*C319,3)</f>
        <v>60.447000000000003</v>
      </c>
      <c r="F319">
        <f>ROUND(IF(VLOOKUP($A319,EnrollData2324,'2324 Jun 24 Enroll'!F$1,FALSE)='District Calculations'!$F$13,VLOOKUP($A319,EnrollData2324,'2324 Jun 24 Enroll'!F$1,FALSE),'District Calculations'!$F$13)*Apport_222A2425,3)</f>
        <v>10.337999999999999</v>
      </c>
      <c r="G319">
        <f>ROUND(IF(VLOOKUP($A319,EnrollData2324,'2324 Jun 24 Enroll'!G$1,FALSE)='District Calculations'!$F$14,VLOOKUP($A319,EnrollData2324,'2324 Jun 24 Enroll'!G$1,FALSE),'District Calculations'!$F$14)*Apport_210A2425,3)</f>
        <v>22.92</v>
      </c>
      <c r="H319">
        <f>ROUND(IF(VLOOKUP($A319,EnrollData2324,'2324 Jun 24 Enroll'!H$1,FALSE)='District Calculations'!$F$15,VLOOKUP($A319,EnrollData2324,'2324 Jun 24 Enroll'!H$1,FALSE),'District Calculations'!$F$15)*Apport_213A2425,3)</f>
        <v>23.619</v>
      </c>
      <c r="I319">
        <f>ROUND(IF(VLOOKUP($A319,EnrollData2324,'2324 Jun 24 Enroll'!I$1,FALSE)+VLOOKUP($A319,EnrollData2324,'2324 Jun 24 Enroll'!M$1,FALSE)-VLOOKUP($A319,EnrollData2324,'2324 Jun 24 Enroll'!J$1,FALSE)='District Calculations'!$F$16+'District Calculations'!$F$25-'District Calculations'!$F$17,VLOOKUP($A319,EnrollData2324,'2324 Jun 24 Enroll'!I$1,FALSE)+VLOOKUP($A319,EnrollData2324,'2324 Jun 24 Enroll'!M$1,FALSE)-VLOOKUP($A319,EnrollData2324,'2324 Jun 24 Enroll'!J$1,FALSE),'District Calculations'!$F$16+'District Calculations'!$F$25-'District Calculations'!$F$17)*Apport_216A2425,3)</f>
        <v>59.057000000000002</v>
      </c>
      <c r="J319">
        <f>ROUND(SUM(D319:I319)/(IF(VLOOKUP($A319,EnrollData2324,'2324 Jun 24 Enroll'!M$1,FALSE)='District Calculations'!$F$25,VLOOKUP($A319,EnrollData2324,'2324 Jun 24 Enroll'!M$1,FALSE),'District Calculations'!$F$25)+IF(VLOOKUP($A319,EnrollData2324,'2324 Jun 24 Enroll'!D$1,FALSE)='District Calculations'!$F$11,VLOOKUP($A319,EnrollData2324,'2324 Jun 24 Enroll'!D$1,FALSE),'District Calculations'!$F$11)),5)</f>
        <v>5.6520000000000001E-2</v>
      </c>
      <c r="K319" s="11">
        <f t="shared" si="60"/>
        <v>4.385E-3</v>
      </c>
      <c r="L319">
        <f>ROUND(IF(VLOOKUP($A319,EnrollData2324,'2324 Jun 24 Enroll'!D$1,FALSE)='District Calculations'!$F$11,VLOOKUP($A319,EnrollData2324,'2324 Jun 24 Enroll'!D$1,FALSE),'District Calculations'!$F$11)*K319,3)</f>
        <v>0</v>
      </c>
      <c r="M319">
        <f>ROUND(IF(VLOOKUP($A319,EnrollData2324,'2324 Jun 24 Enroll'!E$1,FALSE)='District Calculations'!$F$12,VLOOKUP($A319,EnrollData2324,'2324 Jun 24 Enroll'!E$1,FALSE),'District Calculations'!$F$12)*K319,3)</f>
        <v>3.5539999999999998</v>
      </c>
      <c r="N319">
        <f>ROUND(IF(VLOOKUP($A319,EnrollData2324,'2324 Jun 24 Enroll'!F$1,FALSE)='District Calculations'!$F$13,VLOOKUP($A319,EnrollData2324,'2324 Jun 24 Enroll'!F$1,FALSE),'District Calculations'!$F$13)*Apport_223A2425,3)</f>
        <v>0.84599999999999997</v>
      </c>
      <c r="O319">
        <f>ROUND(IF(VLOOKUP($A319,EnrollData2324,'2324 Jun 24 Enroll'!G$1,FALSE)='District Calculations'!$F$14,VLOOKUP($A319,EnrollData2324,'2324 Jun 24 Enroll'!G$1,FALSE),'District Calculations'!$F$14)*Apport_211A2425,3)</f>
        <v>1.877</v>
      </c>
      <c r="P319">
        <f>ROUND(IF(VLOOKUP($A319,EnrollData2324,'2324 Jun 24 Enroll'!H$1,FALSE)='District Calculations'!$F$14,VLOOKUP($A319,EnrollData2324,'2324 Jun 24 Enroll'!H$1,FALSE),'District Calculations'!$F$14)*Apport_214A2425,3)</f>
        <v>1.875</v>
      </c>
      <c r="Q319">
        <f>ROUND(IF(VLOOKUP($A319,EnrollData2324,'2324 Jun 24 Enroll'!I$1,FALSE)+VLOOKUP($A319,EnrollData2324,'2324 Jun 24 Enroll'!M$1,FALSE)-VLOOKUP($A319,EnrollData2324,'2324 Jun 24 Enroll'!J$1,FALSE)='District Calculations'!$F$16+'District Calculations'!$F$25-'District Calculations'!$F$17,VLOOKUP($A319,EnrollData2324,'2324 Jun 24 Enroll'!I$1,FALSE)+VLOOKUP($A319,EnrollData2324,'2324 Jun 24 Enroll'!M$1,FALSE)-VLOOKUP($A319,EnrollData2324,'2324 Jun 24 Enroll'!J$1,FALSE),'District Calculations'!$F$16+'District Calculations'!$F$25-'District Calculations'!$F$17)*Apport_217A2425,3)</f>
        <v>4.7130000000000001</v>
      </c>
      <c r="R319">
        <f>ROUND(SUM(L319:Q319)/IF(VLOOKUP($A319,EnrollData2324,'2324 Jun 24 Enroll'!M$1,FALSE)+VLOOKUP($A319,EnrollData2324,'2324 Jun 24 Enroll'!D$1,FALSE)='District Calculations'!$F$25+'District Calculations'!$F$11,VLOOKUP($A319,EnrollData2324,'2324 Jun 24 Enroll'!M$1,FALSE)+VLOOKUP($A319,EnrollData2324,'2324 Jun 24 Enroll'!D$1,FALSE),'District Calculations'!$F$25+'District Calculations'!$F$11),5)</f>
        <v>4.1200000000000004E-3</v>
      </c>
      <c r="S319" s="11">
        <f t="shared" si="61"/>
        <v>1.8734299999999999E-2</v>
      </c>
      <c r="T319">
        <f>ROUND(IF(VLOOKUP($A319,EnrollData2324,'2324 Jun 24 Enroll'!D$1,FALSE)='District Calculations'!$F$11,VLOOKUP($A319,EnrollData2324,'2324 Jun 24 Enroll'!D$1,FALSE),'District Calculations'!$F$11)*S319,3)</f>
        <v>0</v>
      </c>
      <c r="U319">
        <f>ROUND(IF(VLOOKUP($A319,EnrollData2324,'2324 Jun 24 Enroll'!E$1,FALSE)='District Calculations'!$F$12,VLOOKUP($A319,EnrollData2324,'2324 Jun 24 Enroll'!E$1,FALSE),'District Calculations'!$F$12)*S319,3)</f>
        <v>15.183999999999999</v>
      </c>
      <c r="V319">
        <f>ROUND(IF(VLOOKUP($A319,EnrollData2324,'2324 Jun 24 Enroll'!F$1,FALSE)='District Calculations'!$F$13,VLOOKUP($A319,EnrollData2324,'2324 Jun 24 Enroll'!F$1,FALSE),'District Calculations'!$F$13)*Apport_224A2425,3)</f>
        <v>3.7109999999999999</v>
      </c>
      <c r="W319">
        <f>ROUND(IF(VLOOKUP($A319,EnrollData2324,'2324 Jun 24 Enroll'!G$1,FALSE)='District Calculations'!$F$14,VLOOKUP($A319,EnrollData2324,'2324 Jun 24 Enroll'!G$1,FALSE),'District Calculations'!$F$14)*Apport_212A2425,3)</f>
        <v>8.2279999999999998</v>
      </c>
      <c r="X319">
        <f>ROUND(IF(VLOOKUP($A319,EnrollData2324,'2324 Jun 24 Enroll'!H$1,FALSE)='District Calculations'!$F$14,VLOOKUP($A319,EnrollData2324,'2324 Jun 24 Enroll'!H$1,FALSE),'District Calculations'!$F$14)*Apport_215A2425,3)</f>
        <v>8.1180000000000003</v>
      </c>
      <c r="Y319">
        <f>ROUND(IF(VLOOKUP($A319,EnrollData2324,'2324 Jun 24 Enroll'!I$1,FALSE)+VLOOKUP($A319,EnrollData2324,'2324 Jun 24 Enroll'!M$1,FALSE)-VLOOKUP($A319,EnrollData2324,'2324 Jun 24 Enroll'!J$1,FALSE)='District Calculations'!$F$16+'District Calculations'!$F$25-'District Calculations'!$F$17,VLOOKUP($A319,EnrollData2324,'2324 Jun 24 Enroll'!I$1,FALSE)+VLOOKUP($A319,EnrollData2324,'2324 Jun 24 Enroll'!M$1,FALSE)-VLOOKUP($A319,EnrollData2324,'2324 Jun 24 Enroll'!J$1,FALSE),'District Calculations'!$F$16+'District Calculations'!$F$25-'District Calculations'!$F$17)*Apport_218A2425,3)</f>
        <v>20.257999999999999</v>
      </c>
      <c r="Z319">
        <f>ROUND(SUM(T319:Y319)/IF(VLOOKUP($A319,EnrollData2324,'2324 Jun 24 Enroll'!M$1,FALSE)+VLOOKUP($A319,EnrollData2324,'2324 Jun 24 Enroll'!D$1,FALSE)='District Calculations'!$F$25+'District Calculations'!$F$11,VLOOKUP($A319,EnrollData2324,'2324 Jun 24 Enroll'!M$1,FALSE)+VLOOKUP($A319,EnrollData2324,'2324 Jun 24 Enroll'!D$1,FALSE),'District Calculations'!$F$25+'District Calculations'!$F$11),5)</f>
        <v>1.7780000000000001E-2</v>
      </c>
      <c r="AA319" s="6">
        <f>ROUND($J319*CIS_Base_Salary2425*VLOOKUP($A319,EnrollData2324,'2324 Jun 24 Enroll'!AH$1,FALSE),2)</f>
        <v>4262.68</v>
      </c>
      <c r="AB319" s="6">
        <f>ROUND($J319*CIS_Inc_Salary2425*(VLOOKUP($A319,EnrollData2324,'2324 Jun 24 Enroll'!AI$1,FALSE)+VLOOKUP($A319,EnrollData2324,'2324 Jun 24 Enroll'!AJ$1,FALSE)),2)-AA319</f>
        <v>157.6899999999996</v>
      </c>
      <c r="AC319" s="6" cm="1">
        <f t="array" ref="AC319">ROUND($R319*CAS_Base_Salary2425*VLOOKUP($A319,EnrollData2324,'2324 Jun 24 Enroll'!AH$1,FALSE),2)</f>
        <v>461.23</v>
      </c>
      <c r="AD319" s="6">
        <f>ROUND($R319*CAS_Inc_Salary2425*VLOOKUP($A319,EnrollData2324,'2324 Jun 24 Enroll'!AI$1,FALSE),2)-AC319</f>
        <v>17.069999999999993</v>
      </c>
      <c r="AE319" s="6">
        <f>ROUND($Z319*CLS_Base_Salary2425*VLOOKUP($A319,EnrollData2324,'2324 Jun 24 Enroll'!AH$1,FALSE),2)</f>
        <v>961.95</v>
      </c>
      <c r="AF319" s="6">
        <f>ROUND($Z319*CLS_Inc_Salary2425*VLOOKUP($A319,EnrollData2324,'2324 Jun 24 Enroll'!AI$1,FALSE),2)-AE319</f>
        <v>35.599999999999909</v>
      </c>
      <c r="AG319" cm="1">
        <f t="array" ref="AG319">ROUND(($J319+$R319)*Apport_124X2425,2)</f>
        <v>800.45</v>
      </c>
      <c r="AH319" s="69" cm="1">
        <f t="array" ref="AH319">ROUND(($J319+$R319)*Apport_621X2425*Apport_125XC2425,2)-AG319</f>
        <v>73.899999999999977</v>
      </c>
      <c r="AI319" cm="1">
        <f t="array" ref="AI319">ROUND($Z319*Apport_124X2425,2)</f>
        <v>234.7</v>
      </c>
      <c r="AJ319">
        <f t="shared" si="62"/>
        <v>124.71000000000004</v>
      </c>
      <c r="AK319">
        <f t="shared" si="63"/>
        <v>857.39</v>
      </c>
      <c r="AL319">
        <f t="shared" si="64"/>
        <v>30.6</v>
      </c>
      <c r="AM319">
        <f t="shared" si="65"/>
        <v>208.36</v>
      </c>
      <c r="AN319">
        <f t="shared" si="66"/>
        <v>6.46</v>
      </c>
      <c r="AO319">
        <f>ROUND(($J319*CIS_Inc_Salary2425*(VLOOKUP($A319,EnrollData2324,'2324 Jun 24 Enroll'!AI$1,FALSE)+VLOOKUP($A319,EnrollData2324,'2324 Jun 24 Enroll'!AJ$1,FALSE))/Apport_613Xpd)*Apport_614Xpd,2)</f>
        <v>73.67</v>
      </c>
      <c r="AP319">
        <f t="shared" si="67"/>
        <v>12.9</v>
      </c>
      <c r="AQ319">
        <f t="shared" si="68"/>
        <v>31.48</v>
      </c>
      <c r="AR319" s="6">
        <f>ROUND((VLOOKUP($A319,EnrollData2324,'2324 Jun 24 Enroll'!D$1,FALSE)*Apport_M802425+VLOOKUP($A319,EnrollData2324,'2324 Jun 24 Enroll'!M$1,FALSE)*Apport_M802425+(VLOOKUP($A319,EnrollData2324,'2324 Jun 24 Enroll'!P$1,FALSE)+VLOOKUP($A319,EnrollData2324,'2324 Jun 24 Enroll'!Q$1,FALSE)+VLOOKUP($A319,EnrollData2324,'2324 Jun 24 Enroll'!R$1,FALSE)+VLOOKUP($A319,EnrollData2324,'2324 Jun 24 Enroll'!I$1,FALSE)+VLOOKUP($A319,EnrollData2324,'2324 Jun 24 Enroll'!N$1,FALSE)+VLOOKUP($A319,EnrollData2324,'2324 Jun 24 Enroll'!O$1,FALSE)+VLOOKUP($A319,EnrollData2324,'2324 Jun 24 Enroll'!K$1,FALSE)+VLOOKUP($A319,EnrollData2324,'2324 Jun 24 Enroll'!L$1,FALSE))*Apport_M812425)/(VLOOKUP($A319,EnrollData2324,'2324 Jun 24 Enroll'!M$1,FALSE)+VLOOKUP($A319,EnrollData2324,'2324 Jun 24 Enroll'!D$1,FALSE)),2)</f>
        <v>1602.2</v>
      </c>
      <c r="AS319" s="7">
        <f t="shared" si="69"/>
        <v>9953.0399999999991</v>
      </c>
    </row>
    <row r="320" spans="1:45">
      <c r="A320" s="40" t="s">
        <v>486</v>
      </c>
      <c r="B320" s="40" t="s">
        <v>487</v>
      </c>
      <c r="C320" s="11">
        <f>ROUND((IFERROR((1/IF(VLOOKUP($A320,EnrollData2324,28,FALSE)='District Calculations'!$F$10,VLOOKUP($A320,EnrollData2324,28,FALSE),'District Calculations'!$F$10))*(1+Apport_Z315),0))+Apport_201A2425,6)</f>
        <v>7.4580999999999995E-2</v>
      </c>
      <c r="D320">
        <f>ROUND(IF(VLOOKUP($A320,EnrollData2324,'2324 Jun 24 Enroll'!D$1,FALSE)='District Calculations'!$F$11,VLOOKUP($A320,EnrollData2324,'2324 Jun 24 Enroll'!D$1,FALSE),'District Calculations'!$F$11)*C320,3)</f>
        <v>0</v>
      </c>
      <c r="E320">
        <f>ROUND(IF(VLOOKUP($A320,EnrollData2324,'2324 Jun 24 Enroll'!E$1,FALSE)='District Calculations'!$F$12,VLOOKUP($A320,EnrollData2324,'2324 Jun 24 Enroll'!E$1,FALSE),'District Calculations'!$F$12)*C320,3)</f>
        <v>60.447000000000003</v>
      </c>
      <c r="F320">
        <f>ROUND(IF(VLOOKUP($A320,EnrollData2324,'2324 Jun 24 Enroll'!F$1,FALSE)='District Calculations'!$F$13,VLOOKUP($A320,EnrollData2324,'2324 Jun 24 Enroll'!F$1,FALSE),'District Calculations'!$F$13)*Apport_222A2425,3)</f>
        <v>10.337999999999999</v>
      </c>
      <c r="G320">
        <f>ROUND(IF(VLOOKUP($A320,EnrollData2324,'2324 Jun 24 Enroll'!G$1,FALSE)='District Calculations'!$F$14,VLOOKUP($A320,EnrollData2324,'2324 Jun 24 Enroll'!G$1,FALSE),'District Calculations'!$F$14)*Apport_210A2425,3)</f>
        <v>22.92</v>
      </c>
      <c r="H320">
        <f>ROUND(IF(VLOOKUP($A320,EnrollData2324,'2324 Jun 24 Enroll'!H$1,FALSE)='District Calculations'!$F$15,VLOOKUP($A320,EnrollData2324,'2324 Jun 24 Enroll'!H$1,FALSE),'District Calculations'!$F$15)*Apport_213A2425,3)</f>
        <v>23.619</v>
      </c>
      <c r="I320">
        <f>ROUND(IF(VLOOKUP($A320,EnrollData2324,'2324 Jun 24 Enroll'!I$1,FALSE)+VLOOKUP($A320,EnrollData2324,'2324 Jun 24 Enroll'!M$1,FALSE)-VLOOKUP($A320,EnrollData2324,'2324 Jun 24 Enroll'!J$1,FALSE)='District Calculations'!$F$16+'District Calculations'!$F$25-'District Calculations'!$F$17,VLOOKUP($A320,EnrollData2324,'2324 Jun 24 Enroll'!I$1,FALSE)+VLOOKUP($A320,EnrollData2324,'2324 Jun 24 Enroll'!M$1,FALSE)-VLOOKUP($A320,EnrollData2324,'2324 Jun 24 Enroll'!J$1,FALSE),'District Calculations'!$F$16+'District Calculations'!$F$25-'District Calculations'!$F$17)*Apport_216A2425,3)</f>
        <v>59.057000000000002</v>
      </c>
      <c r="J320">
        <f>ROUND(SUM(D320:I320)/(IF(VLOOKUP($A320,EnrollData2324,'2324 Jun 24 Enroll'!M$1,FALSE)='District Calculations'!$F$25,VLOOKUP($A320,EnrollData2324,'2324 Jun 24 Enroll'!M$1,FALSE),'District Calculations'!$F$25)+IF(VLOOKUP($A320,EnrollData2324,'2324 Jun 24 Enroll'!D$1,FALSE)='District Calculations'!$F$11,VLOOKUP($A320,EnrollData2324,'2324 Jun 24 Enroll'!D$1,FALSE),'District Calculations'!$F$11)),5)</f>
        <v>5.6520000000000001E-2</v>
      </c>
      <c r="K320" s="11">
        <f t="shared" si="60"/>
        <v>4.385E-3</v>
      </c>
      <c r="L320">
        <f>ROUND(IF(VLOOKUP($A320,EnrollData2324,'2324 Jun 24 Enroll'!D$1,FALSE)='District Calculations'!$F$11,VLOOKUP($A320,EnrollData2324,'2324 Jun 24 Enroll'!D$1,FALSE),'District Calculations'!$F$11)*K320,3)</f>
        <v>0</v>
      </c>
      <c r="M320">
        <f>ROUND(IF(VLOOKUP($A320,EnrollData2324,'2324 Jun 24 Enroll'!E$1,FALSE)='District Calculations'!$F$12,VLOOKUP($A320,EnrollData2324,'2324 Jun 24 Enroll'!E$1,FALSE),'District Calculations'!$F$12)*K320,3)</f>
        <v>3.5539999999999998</v>
      </c>
      <c r="N320">
        <f>ROUND(IF(VLOOKUP($A320,EnrollData2324,'2324 Jun 24 Enroll'!F$1,FALSE)='District Calculations'!$F$13,VLOOKUP($A320,EnrollData2324,'2324 Jun 24 Enroll'!F$1,FALSE),'District Calculations'!$F$13)*Apport_223A2425,3)</f>
        <v>0.84599999999999997</v>
      </c>
      <c r="O320">
        <f>ROUND(IF(VLOOKUP($A320,EnrollData2324,'2324 Jun 24 Enroll'!G$1,FALSE)='District Calculations'!$F$14,VLOOKUP($A320,EnrollData2324,'2324 Jun 24 Enroll'!G$1,FALSE),'District Calculations'!$F$14)*Apport_211A2425,3)</f>
        <v>1.877</v>
      </c>
      <c r="P320">
        <f>ROUND(IF(VLOOKUP($A320,EnrollData2324,'2324 Jun 24 Enroll'!H$1,FALSE)='District Calculations'!$F$14,VLOOKUP($A320,EnrollData2324,'2324 Jun 24 Enroll'!H$1,FALSE),'District Calculations'!$F$14)*Apport_214A2425,3)</f>
        <v>1.875</v>
      </c>
      <c r="Q320">
        <f>ROUND(IF(VLOOKUP($A320,EnrollData2324,'2324 Jun 24 Enroll'!I$1,FALSE)+VLOOKUP($A320,EnrollData2324,'2324 Jun 24 Enroll'!M$1,FALSE)-VLOOKUP($A320,EnrollData2324,'2324 Jun 24 Enroll'!J$1,FALSE)='District Calculations'!$F$16+'District Calculations'!$F$25-'District Calculations'!$F$17,VLOOKUP($A320,EnrollData2324,'2324 Jun 24 Enroll'!I$1,FALSE)+VLOOKUP($A320,EnrollData2324,'2324 Jun 24 Enroll'!M$1,FALSE)-VLOOKUP($A320,EnrollData2324,'2324 Jun 24 Enroll'!J$1,FALSE),'District Calculations'!$F$16+'District Calculations'!$F$25-'District Calculations'!$F$17)*Apport_217A2425,3)</f>
        <v>4.7130000000000001</v>
      </c>
      <c r="R320">
        <f>ROUND(SUM(L320:Q320)/IF(VLOOKUP($A320,EnrollData2324,'2324 Jun 24 Enroll'!M$1,FALSE)+VLOOKUP($A320,EnrollData2324,'2324 Jun 24 Enroll'!D$1,FALSE)='District Calculations'!$F$25+'District Calculations'!$F$11,VLOOKUP($A320,EnrollData2324,'2324 Jun 24 Enroll'!M$1,FALSE)+VLOOKUP($A320,EnrollData2324,'2324 Jun 24 Enroll'!D$1,FALSE),'District Calculations'!$F$25+'District Calculations'!$F$11),5)</f>
        <v>4.1200000000000004E-3</v>
      </c>
      <c r="S320" s="11">
        <f t="shared" si="61"/>
        <v>1.8734299999999999E-2</v>
      </c>
      <c r="T320">
        <f>ROUND(IF(VLOOKUP($A320,EnrollData2324,'2324 Jun 24 Enroll'!D$1,FALSE)='District Calculations'!$F$11,VLOOKUP($A320,EnrollData2324,'2324 Jun 24 Enroll'!D$1,FALSE),'District Calculations'!$F$11)*S320,3)</f>
        <v>0</v>
      </c>
      <c r="U320">
        <f>ROUND(IF(VLOOKUP($A320,EnrollData2324,'2324 Jun 24 Enroll'!E$1,FALSE)='District Calculations'!$F$12,VLOOKUP($A320,EnrollData2324,'2324 Jun 24 Enroll'!E$1,FALSE),'District Calculations'!$F$12)*S320,3)</f>
        <v>15.183999999999999</v>
      </c>
      <c r="V320">
        <f>ROUND(IF(VLOOKUP($A320,EnrollData2324,'2324 Jun 24 Enroll'!F$1,FALSE)='District Calculations'!$F$13,VLOOKUP($A320,EnrollData2324,'2324 Jun 24 Enroll'!F$1,FALSE),'District Calculations'!$F$13)*Apport_224A2425,3)</f>
        <v>3.7109999999999999</v>
      </c>
      <c r="W320">
        <f>ROUND(IF(VLOOKUP($A320,EnrollData2324,'2324 Jun 24 Enroll'!G$1,FALSE)='District Calculations'!$F$14,VLOOKUP($A320,EnrollData2324,'2324 Jun 24 Enroll'!G$1,FALSE),'District Calculations'!$F$14)*Apport_212A2425,3)</f>
        <v>8.2279999999999998</v>
      </c>
      <c r="X320">
        <f>ROUND(IF(VLOOKUP($A320,EnrollData2324,'2324 Jun 24 Enroll'!H$1,FALSE)='District Calculations'!$F$14,VLOOKUP($A320,EnrollData2324,'2324 Jun 24 Enroll'!H$1,FALSE),'District Calculations'!$F$14)*Apport_215A2425,3)</f>
        <v>8.1180000000000003</v>
      </c>
      <c r="Y320">
        <f>ROUND(IF(VLOOKUP($A320,EnrollData2324,'2324 Jun 24 Enroll'!I$1,FALSE)+VLOOKUP($A320,EnrollData2324,'2324 Jun 24 Enroll'!M$1,FALSE)-VLOOKUP($A320,EnrollData2324,'2324 Jun 24 Enroll'!J$1,FALSE)='District Calculations'!$F$16+'District Calculations'!$F$25-'District Calculations'!$F$17,VLOOKUP($A320,EnrollData2324,'2324 Jun 24 Enroll'!I$1,FALSE)+VLOOKUP($A320,EnrollData2324,'2324 Jun 24 Enroll'!M$1,FALSE)-VLOOKUP($A320,EnrollData2324,'2324 Jun 24 Enroll'!J$1,FALSE),'District Calculations'!$F$16+'District Calculations'!$F$25-'District Calculations'!$F$17)*Apport_218A2425,3)</f>
        <v>20.257999999999999</v>
      </c>
      <c r="Z320">
        <f>ROUND(SUM(T320:Y320)/IF(VLOOKUP($A320,EnrollData2324,'2324 Jun 24 Enroll'!M$1,FALSE)+VLOOKUP($A320,EnrollData2324,'2324 Jun 24 Enroll'!D$1,FALSE)='District Calculations'!$F$25+'District Calculations'!$F$11,VLOOKUP($A320,EnrollData2324,'2324 Jun 24 Enroll'!M$1,FALSE)+VLOOKUP($A320,EnrollData2324,'2324 Jun 24 Enroll'!D$1,FALSE),'District Calculations'!$F$25+'District Calculations'!$F$11),5)</f>
        <v>1.7780000000000001E-2</v>
      </c>
      <c r="AA320" s="6">
        <f>ROUND($J320*CIS_Base_Salary2425*VLOOKUP($A320,EnrollData2324,'2324 Jun 24 Enroll'!AH$1,FALSE),2)</f>
        <v>4262.68</v>
      </c>
      <c r="AB320" s="6">
        <f>ROUND($J320*CIS_Inc_Salary2425*(VLOOKUP($A320,EnrollData2324,'2324 Jun 24 Enroll'!AI$1,FALSE)+VLOOKUP($A320,EnrollData2324,'2324 Jun 24 Enroll'!AJ$1,FALSE)),2)-AA320</f>
        <v>157.6899999999996</v>
      </c>
      <c r="AC320" s="6" cm="1">
        <f t="array" ref="AC320">ROUND($R320*CAS_Base_Salary2425*VLOOKUP($A320,EnrollData2324,'2324 Jun 24 Enroll'!AH$1,FALSE),2)</f>
        <v>461.23</v>
      </c>
      <c r="AD320" s="6">
        <f>ROUND($R320*CAS_Inc_Salary2425*VLOOKUP($A320,EnrollData2324,'2324 Jun 24 Enroll'!AI$1,FALSE),2)-AC320</f>
        <v>17.069999999999993</v>
      </c>
      <c r="AE320" s="6">
        <f>ROUND($Z320*CLS_Base_Salary2425*VLOOKUP($A320,EnrollData2324,'2324 Jun 24 Enroll'!AH$1,FALSE),2)</f>
        <v>961.95</v>
      </c>
      <c r="AF320" s="6">
        <f>ROUND($Z320*CLS_Inc_Salary2425*VLOOKUP($A320,EnrollData2324,'2324 Jun 24 Enroll'!AI$1,FALSE),2)-AE320</f>
        <v>35.599999999999909</v>
      </c>
      <c r="AG320" cm="1">
        <f t="array" ref="AG320">ROUND(($J320+$R320)*Apport_124X2425,2)</f>
        <v>800.45</v>
      </c>
      <c r="AH320" s="69" cm="1">
        <f t="array" ref="AH320">ROUND(($J320+$R320)*Apport_621X2425*Apport_125XC2425,2)-AG320</f>
        <v>73.899999999999977</v>
      </c>
      <c r="AI320" cm="1">
        <f t="array" ref="AI320">ROUND($Z320*Apport_124X2425,2)</f>
        <v>234.7</v>
      </c>
      <c r="AJ320">
        <f t="shared" si="62"/>
        <v>124.71000000000004</v>
      </c>
      <c r="AK320">
        <f t="shared" si="63"/>
        <v>857.39</v>
      </c>
      <c r="AL320">
        <f t="shared" si="64"/>
        <v>30.6</v>
      </c>
      <c r="AM320">
        <f t="shared" si="65"/>
        <v>208.36</v>
      </c>
      <c r="AN320">
        <f t="shared" si="66"/>
        <v>6.46</v>
      </c>
      <c r="AO320">
        <f>ROUND(($J320*CIS_Inc_Salary2425*(VLOOKUP($A320,EnrollData2324,'2324 Jun 24 Enroll'!AI$1,FALSE)+VLOOKUP($A320,EnrollData2324,'2324 Jun 24 Enroll'!AJ$1,FALSE))/Apport_613Xpd)*Apport_614Xpd,2)</f>
        <v>73.67</v>
      </c>
      <c r="AP320">
        <f t="shared" si="67"/>
        <v>12.9</v>
      </c>
      <c r="AQ320">
        <f t="shared" si="68"/>
        <v>31.48</v>
      </c>
      <c r="AR320" s="6">
        <f>ROUND((VLOOKUP($A320,EnrollData2324,'2324 Jun 24 Enroll'!D$1,FALSE)*Apport_M802425+VLOOKUP($A320,EnrollData2324,'2324 Jun 24 Enroll'!M$1,FALSE)*Apport_M802425+(VLOOKUP($A320,EnrollData2324,'2324 Jun 24 Enroll'!P$1,FALSE)+VLOOKUP($A320,EnrollData2324,'2324 Jun 24 Enroll'!Q$1,FALSE)+VLOOKUP($A320,EnrollData2324,'2324 Jun 24 Enroll'!R$1,FALSE)+VLOOKUP($A320,EnrollData2324,'2324 Jun 24 Enroll'!I$1,FALSE)+VLOOKUP($A320,EnrollData2324,'2324 Jun 24 Enroll'!N$1,FALSE)+VLOOKUP($A320,EnrollData2324,'2324 Jun 24 Enroll'!O$1,FALSE)+VLOOKUP($A320,EnrollData2324,'2324 Jun 24 Enroll'!K$1,FALSE)+VLOOKUP($A320,EnrollData2324,'2324 Jun 24 Enroll'!L$1,FALSE))*Apport_M812425)/(VLOOKUP($A320,EnrollData2324,'2324 Jun 24 Enroll'!M$1,FALSE)+VLOOKUP($A320,EnrollData2324,'2324 Jun 24 Enroll'!D$1,FALSE)),2)</f>
        <v>1593.71</v>
      </c>
      <c r="AS320" s="7">
        <f t="shared" si="69"/>
        <v>9944.5499999999993</v>
      </c>
    </row>
    <row r="321" spans="1:45">
      <c r="A321" s="40" t="s">
        <v>895</v>
      </c>
      <c r="B321" s="40" t="s">
        <v>896</v>
      </c>
      <c r="C321" s="11">
        <f>ROUND((IFERROR((1/IF(VLOOKUP($A321,EnrollData2324,28,FALSE)='District Calculations'!$F$10,VLOOKUP($A321,EnrollData2324,28,FALSE),'District Calculations'!$F$10))*(1+Apport_Z315),0))+Apport_201A2425,6)</f>
        <v>7.4580999999999995E-2</v>
      </c>
      <c r="D321">
        <f>ROUND(IF(VLOOKUP($A321,EnrollData2324,'2324 Jun 24 Enroll'!D$1,FALSE)='District Calculations'!$F$11,VLOOKUP($A321,EnrollData2324,'2324 Jun 24 Enroll'!D$1,FALSE),'District Calculations'!$F$11)*C321,3)</f>
        <v>0</v>
      </c>
      <c r="E321">
        <f>ROUND(IF(VLOOKUP($A321,EnrollData2324,'2324 Jun 24 Enroll'!E$1,FALSE)='District Calculations'!$F$12,VLOOKUP($A321,EnrollData2324,'2324 Jun 24 Enroll'!E$1,FALSE),'District Calculations'!$F$12)*C321,3)</f>
        <v>60.447000000000003</v>
      </c>
      <c r="F321">
        <f>ROUND(IF(VLOOKUP($A321,EnrollData2324,'2324 Jun 24 Enroll'!F$1,FALSE)='District Calculations'!$F$13,VLOOKUP($A321,EnrollData2324,'2324 Jun 24 Enroll'!F$1,FALSE),'District Calculations'!$F$13)*Apport_222A2425,3)</f>
        <v>10.337999999999999</v>
      </c>
      <c r="G321">
        <f>ROUND(IF(VLOOKUP($A321,EnrollData2324,'2324 Jun 24 Enroll'!G$1,FALSE)='District Calculations'!$F$14,VLOOKUP($A321,EnrollData2324,'2324 Jun 24 Enroll'!G$1,FALSE),'District Calculations'!$F$14)*Apport_210A2425,3)</f>
        <v>22.92</v>
      </c>
      <c r="H321">
        <f>ROUND(IF(VLOOKUP($A321,EnrollData2324,'2324 Jun 24 Enroll'!H$1,FALSE)='District Calculations'!$F$15,VLOOKUP($A321,EnrollData2324,'2324 Jun 24 Enroll'!H$1,FALSE),'District Calculations'!$F$15)*Apport_213A2425,3)</f>
        <v>23.619</v>
      </c>
      <c r="I321">
        <f>ROUND(IF(VLOOKUP($A321,EnrollData2324,'2324 Jun 24 Enroll'!I$1,FALSE)+VLOOKUP($A321,EnrollData2324,'2324 Jun 24 Enroll'!M$1,FALSE)-VLOOKUP($A321,EnrollData2324,'2324 Jun 24 Enroll'!J$1,FALSE)='District Calculations'!$F$16+'District Calculations'!$F$25-'District Calculations'!$F$17,VLOOKUP($A321,EnrollData2324,'2324 Jun 24 Enroll'!I$1,FALSE)+VLOOKUP($A321,EnrollData2324,'2324 Jun 24 Enroll'!M$1,FALSE)-VLOOKUP($A321,EnrollData2324,'2324 Jun 24 Enroll'!J$1,FALSE),'District Calculations'!$F$16+'District Calculations'!$F$25-'District Calculations'!$F$17)*Apport_216A2425,3)</f>
        <v>59.057000000000002</v>
      </c>
      <c r="J321">
        <f>ROUND(SUM(D321:I321)/(IF(VLOOKUP($A321,EnrollData2324,'2324 Jun 24 Enroll'!M$1,FALSE)='District Calculations'!$F$25,VLOOKUP($A321,EnrollData2324,'2324 Jun 24 Enroll'!M$1,FALSE),'District Calculations'!$F$25)+IF(VLOOKUP($A321,EnrollData2324,'2324 Jun 24 Enroll'!D$1,FALSE)='District Calculations'!$F$11,VLOOKUP($A321,EnrollData2324,'2324 Jun 24 Enroll'!D$1,FALSE),'District Calculations'!$F$11)),5)</f>
        <v>5.6520000000000001E-2</v>
      </c>
      <c r="K321" s="11">
        <f t="shared" si="60"/>
        <v>4.385E-3</v>
      </c>
      <c r="L321">
        <f>ROUND(IF(VLOOKUP($A321,EnrollData2324,'2324 Jun 24 Enroll'!D$1,FALSE)='District Calculations'!$F$11,VLOOKUP($A321,EnrollData2324,'2324 Jun 24 Enroll'!D$1,FALSE),'District Calculations'!$F$11)*K321,3)</f>
        <v>0</v>
      </c>
      <c r="M321">
        <f>ROUND(IF(VLOOKUP($A321,EnrollData2324,'2324 Jun 24 Enroll'!E$1,FALSE)='District Calculations'!$F$12,VLOOKUP($A321,EnrollData2324,'2324 Jun 24 Enroll'!E$1,FALSE),'District Calculations'!$F$12)*K321,3)</f>
        <v>3.5539999999999998</v>
      </c>
      <c r="N321">
        <f>ROUND(IF(VLOOKUP($A321,EnrollData2324,'2324 Jun 24 Enroll'!F$1,FALSE)='District Calculations'!$F$13,VLOOKUP($A321,EnrollData2324,'2324 Jun 24 Enroll'!F$1,FALSE),'District Calculations'!$F$13)*Apport_223A2425,3)</f>
        <v>0.84599999999999997</v>
      </c>
      <c r="O321">
        <f>ROUND(IF(VLOOKUP($A321,EnrollData2324,'2324 Jun 24 Enroll'!G$1,FALSE)='District Calculations'!$F$14,VLOOKUP($A321,EnrollData2324,'2324 Jun 24 Enroll'!G$1,FALSE),'District Calculations'!$F$14)*Apport_211A2425,3)</f>
        <v>1.877</v>
      </c>
      <c r="P321">
        <f>ROUND(IF(VLOOKUP($A321,EnrollData2324,'2324 Jun 24 Enroll'!H$1,FALSE)='District Calculations'!$F$14,VLOOKUP($A321,EnrollData2324,'2324 Jun 24 Enroll'!H$1,FALSE),'District Calculations'!$F$14)*Apport_214A2425,3)</f>
        <v>1.875</v>
      </c>
      <c r="Q321">
        <f>ROUND(IF(VLOOKUP($A321,EnrollData2324,'2324 Jun 24 Enroll'!I$1,FALSE)+VLOOKUP($A321,EnrollData2324,'2324 Jun 24 Enroll'!M$1,FALSE)-VLOOKUP($A321,EnrollData2324,'2324 Jun 24 Enroll'!J$1,FALSE)='District Calculations'!$F$16+'District Calculations'!$F$25-'District Calculations'!$F$17,VLOOKUP($A321,EnrollData2324,'2324 Jun 24 Enroll'!I$1,FALSE)+VLOOKUP($A321,EnrollData2324,'2324 Jun 24 Enroll'!M$1,FALSE)-VLOOKUP($A321,EnrollData2324,'2324 Jun 24 Enroll'!J$1,FALSE),'District Calculations'!$F$16+'District Calculations'!$F$25-'District Calculations'!$F$17)*Apport_217A2425,3)</f>
        <v>4.7130000000000001</v>
      </c>
      <c r="R321">
        <f>ROUND(SUM(L321:Q321)/IF(VLOOKUP($A321,EnrollData2324,'2324 Jun 24 Enroll'!M$1,FALSE)+VLOOKUP($A321,EnrollData2324,'2324 Jun 24 Enroll'!D$1,FALSE)='District Calculations'!$F$25+'District Calculations'!$F$11,VLOOKUP($A321,EnrollData2324,'2324 Jun 24 Enroll'!M$1,FALSE)+VLOOKUP($A321,EnrollData2324,'2324 Jun 24 Enroll'!D$1,FALSE),'District Calculations'!$F$25+'District Calculations'!$F$11),5)</f>
        <v>4.1200000000000004E-3</v>
      </c>
      <c r="S321" s="11">
        <f t="shared" si="61"/>
        <v>1.8734299999999999E-2</v>
      </c>
      <c r="T321">
        <f>ROUND(IF(VLOOKUP($A321,EnrollData2324,'2324 Jun 24 Enroll'!D$1,FALSE)='District Calculations'!$F$11,VLOOKUP($A321,EnrollData2324,'2324 Jun 24 Enroll'!D$1,FALSE),'District Calculations'!$F$11)*S321,3)</f>
        <v>0</v>
      </c>
      <c r="U321">
        <f>ROUND(IF(VLOOKUP($A321,EnrollData2324,'2324 Jun 24 Enroll'!E$1,FALSE)='District Calculations'!$F$12,VLOOKUP($A321,EnrollData2324,'2324 Jun 24 Enroll'!E$1,FALSE),'District Calculations'!$F$12)*S321,3)</f>
        <v>15.183999999999999</v>
      </c>
      <c r="V321">
        <f>ROUND(IF(VLOOKUP($A321,EnrollData2324,'2324 Jun 24 Enroll'!F$1,FALSE)='District Calculations'!$F$13,VLOOKUP($A321,EnrollData2324,'2324 Jun 24 Enroll'!F$1,FALSE),'District Calculations'!$F$13)*Apport_224A2425,3)</f>
        <v>3.7109999999999999</v>
      </c>
      <c r="W321">
        <f>ROUND(IF(VLOOKUP($A321,EnrollData2324,'2324 Jun 24 Enroll'!G$1,FALSE)='District Calculations'!$F$14,VLOOKUP($A321,EnrollData2324,'2324 Jun 24 Enroll'!G$1,FALSE),'District Calculations'!$F$14)*Apport_212A2425,3)</f>
        <v>8.2279999999999998</v>
      </c>
      <c r="X321">
        <f>ROUND(IF(VLOOKUP($A321,EnrollData2324,'2324 Jun 24 Enroll'!H$1,FALSE)='District Calculations'!$F$14,VLOOKUP($A321,EnrollData2324,'2324 Jun 24 Enroll'!H$1,FALSE),'District Calculations'!$F$14)*Apport_215A2425,3)</f>
        <v>8.1180000000000003</v>
      </c>
      <c r="Y321">
        <f>ROUND(IF(VLOOKUP($A321,EnrollData2324,'2324 Jun 24 Enroll'!I$1,FALSE)+VLOOKUP($A321,EnrollData2324,'2324 Jun 24 Enroll'!M$1,FALSE)-VLOOKUP($A321,EnrollData2324,'2324 Jun 24 Enroll'!J$1,FALSE)='District Calculations'!$F$16+'District Calculations'!$F$25-'District Calculations'!$F$17,VLOOKUP($A321,EnrollData2324,'2324 Jun 24 Enroll'!I$1,FALSE)+VLOOKUP($A321,EnrollData2324,'2324 Jun 24 Enroll'!M$1,FALSE)-VLOOKUP($A321,EnrollData2324,'2324 Jun 24 Enroll'!J$1,FALSE),'District Calculations'!$F$16+'District Calculations'!$F$25-'District Calculations'!$F$17)*Apport_218A2425,3)</f>
        <v>20.257999999999999</v>
      </c>
      <c r="Z321">
        <f>ROUND(SUM(T321:Y321)/IF(VLOOKUP($A321,EnrollData2324,'2324 Jun 24 Enroll'!M$1,FALSE)+VLOOKUP($A321,EnrollData2324,'2324 Jun 24 Enroll'!D$1,FALSE)='District Calculations'!$F$25+'District Calculations'!$F$11,VLOOKUP($A321,EnrollData2324,'2324 Jun 24 Enroll'!M$1,FALSE)+VLOOKUP($A321,EnrollData2324,'2324 Jun 24 Enroll'!D$1,FALSE),'District Calculations'!$F$25+'District Calculations'!$F$11),5)</f>
        <v>1.7780000000000001E-2</v>
      </c>
      <c r="AA321" s="6">
        <f>ROUND($J321*CIS_Base_Salary2425*VLOOKUP($A321,EnrollData2324,'2324 Jun 24 Enroll'!AH$1,FALSE),2)</f>
        <v>4262.68</v>
      </c>
      <c r="AB321" s="6">
        <f>ROUND($J321*CIS_Inc_Salary2425*(VLOOKUP($A321,EnrollData2324,'2324 Jun 24 Enroll'!AI$1,FALSE)+VLOOKUP($A321,EnrollData2324,'2324 Jun 24 Enroll'!AJ$1,FALSE)),2)-AA321</f>
        <v>157.6899999999996</v>
      </c>
      <c r="AC321" s="6" cm="1">
        <f t="array" ref="AC321">ROUND($R321*CAS_Base_Salary2425*VLOOKUP($A321,EnrollData2324,'2324 Jun 24 Enroll'!AH$1,FALSE),2)</f>
        <v>461.23</v>
      </c>
      <c r="AD321" s="6">
        <f>ROUND($R321*CAS_Inc_Salary2425*VLOOKUP($A321,EnrollData2324,'2324 Jun 24 Enroll'!AI$1,FALSE),2)-AC321</f>
        <v>17.069999999999993</v>
      </c>
      <c r="AE321" s="6">
        <f>ROUND($Z321*CLS_Base_Salary2425*VLOOKUP($A321,EnrollData2324,'2324 Jun 24 Enroll'!AH$1,FALSE),2)</f>
        <v>961.95</v>
      </c>
      <c r="AF321" s="6">
        <f>ROUND($Z321*CLS_Inc_Salary2425*VLOOKUP($A321,EnrollData2324,'2324 Jun 24 Enroll'!AI$1,FALSE),2)-AE321</f>
        <v>35.599999999999909</v>
      </c>
      <c r="AG321" cm="1">
        <f t="array" ref="AG321">ROUND(($J321+$R321)*Apport_124X2425,2)</f>
        <v>800.45</v>
      </c>
      <c r="AH321" s="69" cm="1">
        <f t="array" ref="AH321">ROUND(($J321+$R321)*Apport_621X2425*Apport_125XC2425,2)-AG321</f>
        <v>73.899999999999977</v>
      </c>
      <c r="AI321" cm="1">
        <f t="array" ref="AI321">ROUND($Z321*Apport_124X2425,2)</f>
        <v>234.7</v>
      </c>
      <c r="AJ321">
        <f t="shared" si="62"/>
        <v>124.71000000000004</v>
      </c>
      <c r="AK321">
        <f t="shared" si="63"/>
        <v>857.39</v>
      </c>
      <c r="AL321">
        <f t="shared" si="64"/>
        <v>30.6</v>
      </c>
      <c r="AM321">
        <f t="shared" si="65"/>
        <v>208.36</v>
      </c>
      <c r="AN321">
        <f t="shared" si="66"/>
        <v>6.46</v>
      </c>
      <c r="AO321">
        <f>ROUND(($J321*CIS_Inc_Salary2425*(VLOOKUP($A321,EnrollData2324,'2324 Jun 24 Enroll'!AI$1,FALSE)+VLOOKUP($A321,EnrollData2324,'2324 Jun 24 Enroll'!AJ$1,FALSE))/Apport_613Xpd)*Apport_614Xpd,2)</f>
        <v>73.67</v>
      </c>
      <c r="AP321">
        <f t="shared" si="67"/>
        <v>12.9</v>
      </c>
      <c r="AQ321">
        <f t="shared" si="68"/>
        <v>31.48</v>
      </c>
      <c r="AR321" s="6">
        <f>ROUND((VLOOKUP($A321,EnrollData2324,'2324 Jun 24 Enroll'!D$1,FALSE)*Apport_M802425+VLOOKUP($A321,EnrollData2324,'2324 Jun 24 Enroll'!M$1,FALSE)*Apport_M802425+(VLOOKUP($A321,EnrollData2324,'2324 Jun 24 Enroll'!P$1,FALSE)+VLOOKUP($A321,EnrollData2324,'2324 Jun 24 Enroll'!Q$1,FALSE)+VLOOKUP($A321,EnrollData2324,'2324 Jun 24 Enroll'!R$1,FALSE)+VLOOKUP($A321,EnrollData2324,'2324 Jun 24 Enroll'!I$1,FALSE)+VLOOKUP($A321,EnrollData2324,'2324 Jun 24 Enroll'!N$1,FALSE)+VLOOKUP($A321,EnrollData2324,'2324 Jun 24 Enroll'!O$1,FALSE)+VLOOKUP($A321,EnrollData2324,'2324 Jun 24 Enroll'!K$1,FALSE)+VLOOKUP($A321,EnrollData2324,'2324 Jun 24 Enroll'!L$1,FALSE))*Apport_M812425)/(VLOOKUP($A321,EnrollData2324,'2324 Jun 24 Enroll'!M$1,FALSE)+VLOOKUP($A321,EnrollData2324,'2324 Jun 24 Enroll'!D$1,FALSE)),2)</f>
        <v>1600.23</v>
      </c>
      <c r="AS321" s="7">
        <f t="shared" si="69"/>
        <v>9951.0699999999979</v>
      </c>
    </row>
    <row r="322" spans="1:45">
      <c r="A322" s="40" t="s">
        <v>853</v>
      </c>
      <c r="B322" s="40" t="s">
        <v>854</v>
      </c>
      <c r="C322" s="11">
        <f>ROUND((IFERROR((1/IF(VLOOKUP($A322,EnrollData2324,28,FALSE)='District Calculations'!$F$10,VLOOKUP($A322,EnrollData2324,28,FALSE),'District Calculations'!$F$10))*(1+Apport_Z315),0))+Apport_201A2425,6)</f>
        <v>7.4580999999999995E-2</v>
      </c>
      <c r="D322">
        <f>ROUND(IF(VLOOKUP($A322,EnrollData2324,'2324 Jun 24 Enroll'!D$1,FALSE)='District Calculations'!$F$11,VLOOKUP($A322,EnrollData2324,'2324 Jun 24 Enroll'!D$1,FALSE),'District Calculations'!$F$11)*C322,3)</f>
        <v>0</v>
      </c>
      <c r="E322">
        <f>ROUND(IF(VLOOKUP($A322,EnrollData2324,'2324 Jun 24 Enroll'!E$1,FALSE)='District Calculations'!$F$12,VLOOKUP($A322,EnrollData2324,'2324 Jun 24 Enroll'!E$1,FALSE),'District Calculations'!$F$12)*C322,3)</f>
        <v>60.447000000000003</v>
      </c>
      <c r="F322">
        <f>ROUND(IF(VLOOKUP($A322,EnrollData2324,'2324 Jun 24 Enroll'!F$1,FALSE)='District Calculations'!$F$13,VLOOKUP($A322,EnrollData2324,'2324 Jun 24 Enroll'!F$1,FALSE),'District Calculations'!$F$13)*Apport_222A2425,3)</f>
        <v>10.337999999999999</v>
      </c>
      <c r="G322">
        <f>ROUND(IF(VLOOKUP($A322,EnrollData2324,'2324 Jun 24 Enroll'!G$1,FALSE)='District Calculations'!$F$14,VLOOKUP($A322,EnrollData2324,'2324 Jun 24 Enroll'!G$1,FALSE),'District Calculations'!$F$14)*Apport_210A2425,3)</f>
        <v>22.92</v>
      </c>
      <c r="H322">
        <f>ROUND(IF(VLOOKUP($A322,EnrollData2324,'2324 Jun 24 Enroll'!H$1,FALSE)='District Calculations'!$F$15,VLOOKUP($A322,EnrollData2324,'2324 Jun 24 Enroll'!H$1,FALSE),'District Calculations'!$F$15)*Apport_213A2425,3)</f>
        <v>23.619</v>
      </c>
      <c r="I322">
        <f>ROUND(IF(VLOOKUP($A322,EnrollData2324,'2324 Jun 24 Enroll'!I$1,FALSE)+VLOOKUP($A322,EnrollData2324,'2324 Jun 24 Enroll'!M$1,FALSE)-VLOOKUP($A322,EnrollData2324,'2324 Jun 24 Enroll'!J$1,FALSE)='District Calculations'!$F$16+'District Calculations'!$F$25-'District Calculations'!$F$17,VLOOKUP($A322,EnrollData2324,'2324 Jun 24 Enroll'!I$1,FALSE)+VLOOKUP($A322,EnrollData2324,'2324 Jun 24 Enroll'!M$1,FALSE)-VLOOKUP($A322,EnrollData2324,'2324 Jun 24 Enroll'!J$1,FALSE),'District Calculations'!$F$16+'District Calculations'!$F$25-'District Calculations'!$F$17)*Apport_216A2425,3)</f>
        <v>59.057000000000002</v>
      </c>
      <c r="J322">
        <f>ROUND(SUM(D322:I322)/(IF(VLOOKUP($A322,EnrollData2324,'2324 Jun 24 Enroll'!M$1,FALSE)='District Calculations'!$F$25,VLOOKUP($A322,EnrollData2324,'2324 Jun 24 Enroll'!M$1,FALSE),'District Calculations'!$F$25)+IF(VLOOKUP($A322,EnrollData2324,'2324 Jun 24 Enroll'!D$1,FALSE)='District Calculations'!$F$11,VLOOKUP($A322,EnrollData2324,'2324 Jun 24 Enroll'!D$1,FALSE),'District Calculations'!$F$11)),5)</f>
        <v>5.6520000000000001E-2</v>
      </c>
      <c r="K322" s="11">
        <f t="shared" si="60"/>
        <v>4.385E-3</v>
      </c>
      <c r="L322">
        <f>ROUND(IF(VLOOKUP($A322,EnrollData2324,'2324 Jun 24 Enroll'!D$1,FALSE)='District Calculations'!$F$11,VLOOKUP($A322,EnrollData2324,'2324 Jun 24 Enroll'!D$1,FALSE),'District Calculations'!$F$11)*K322,3)</f>
        <v>0</v>
      </c>
      <c r="M322">
        <f>ROUND(IF(VLOOKUP($A322,EnrollData2324,'2324 Jun 24 Enroll'!E$1,FALSE)='District Calculations'!$F$12,VLOOKUP($A322,EnrollData2324,'2324 Jun 24 Enroll'!E$1,FALSE),'District Calculations'!$F$12)*K322,3)</f>
        <v>3.5539999999999998</v>
      </c>
      <c r="N322">
        <f>ROUND(IF(VLOOKUP($A322,EnrollData2324,'2324 Jun 24 Enroll'!F$1,FALSE)='District Calculations'!$F$13,VLOOKUP($A322,EnrollData2324,'2324 Jun 24 Enroll'!F$1,FALSE),'District Calculations'!$F$13)*Apport_223A2425,3)</f>
        <v>0.84599999999999997</v>
      </c>
      <c r="O322">
        <f>ROUND(IF(VLOOKUP($A322,EnrollData2324,'2324 Jun 24 Enroll'!G$1,FALSE)='District Calculations'!$F$14,VLOOKUP($A322,EnrollData2324,'2324 Jun 24 Enroll'!G$1,FALSE),'District Calculations'!$F$14)*Apport_211A2425,3)</f>
        <v>1.877</v>
      </c>
      <c r="P322">
        <f>ROUND(IF(VLOOKUP($A322,EnrollData2324,'2324 Jun 24 Enroll'!H$1,FALSE)='District Calculations'!$F$14,VLOOKUP($A322,EnrollData2324,'2324 Jun 24 Enroll'!H$1,FALSE),'District Calculations'!$F$14)*Apport_214A2425,3)</f>
        <v>1.875</v>
      </c>
      <c r="Q322">
        <f>ROUND(IF(VLOOKUP($A322,EnrollData2324,'2324 Jun 24 Enroll'!I$1,FALSE)+VLOOKUP($A322,EnrollData2324,'2324 Jun 24 Enroll'!M$1,FALSE)-VLOOKUP($A322,EnrollData2324,'2324 Jun 24 Enroll'!J$1,FALSE)='District Calculations'!$F$16+'District Calculations'!$F$25-'District Calculations'!$F$17,VLOOKUP($A322,EnrollData2324,'2324 Jun 24 Enroll'!I$1,FALSE)+VLOOKUP($A322,EnrollData2324,'2324 Jun 24 Enroll'!M$1,FALSE)-VLOOKUP($A322,EnrollData2324,'2324 Jun 24 Enroll'!J$1,FALSE),'District Calculations'!$F$16+'District Calculations'!$F$25-'District Calculations'!$F$17)*Apport_217A2425,3)</f>
        <v>4.7130000000000001</v>
      </c>
      <c r="R322">
        <f>ROUND(SUM(L322:Q322)/IF(VLOOKUP($A322,EnrollData2324,'2324 Jun 24 Enroll'!M$1,FALSE)+VLOOKUP($A322,EnrollData2324,'2324 Jun 24 Enroll'!D$1,FALSE)='District Calculations'!$F$25+'District Calculations'!$F$11,VLOOKUP($A322,EnrollData2324,'2324 Jun 24 Enroll'!M$1,FALSE)+VLOOKUP($A322,EnrollData2324,'2324 Jun 24 Enroll'!D$1,FALSE),'District Calculations'!$F$25+'District Calculations'!$F$11),5)</f>
        <v>4.1200000000000004E-3</v>
      </c>
      <c r="S322" s="11">
        <f t="shared" si="61"/>
        <v>1.8734299999999999E-2</v>
      </c>
      <c r="T322">
        <f>ROUND(IF(VLOOKUP($A322,EnrollData2324,'2324 Jun 24 Enroll'!D$1,FALSE)='District Calculations'!$F$11,VLOOKUP($A322,EnrollData2324,'2324 Jun 24 Enroll'!D$1,FALSE),'District Calculations'!$F$11)*S322,3)</f>
        <v>0</v>
      </c>
      <c r="U322">
        <f>ROUND(IF(VLOOKUP($A322,EnrollData2324,'2324 Jun 24 Enroll'!E$1,FALSE)='District Calculations'!$F$12,VLOOKUP($A322,EnrollData2324,'2324 Jun 24 Enroll'!E$1,FALSE),'District Calculations'!$F$12)*S322,3)</f>
        <v>15.183999999999999</v>
      </c>
      <c r="V322">
        <f>ROUND(IF(VLOOKUP($A322,EnrollData2324,'2324 Jun 24 Enroll'!F$1,FALSE)='District Calculations'!$F$13,VLOOKUP($A322,EnrollData2324,'2324 Jun 24 Enroll'!F$1,FALSE),'District Calculations'!$F$13)*Apport_224A2425,3)</f>
        <v>3.7109999999999999</v>
      </c>
      <c r="W322">
        <f>ROUND(IF(VLOOKUP($A322,EnrollData2324,'2324 Jun 24 Enroll'!G$1,FALSE)='District Calculations'!$F$14,VLOOKUP($A322,EnrollData2324,'2324 Jun 24 Enroll'!G$1,FALSE),'District Calculations'!$F$14)*Apport_212A2425,3)</f>
        <v>8.2279999999999998</v>
      </c>
      <c r="X322">
        <f>ROUND(IF(VLOOKUP($A322,EnrollData2324,'2324 Jun 24 Enroll'!H$1,FALSE)='District Calculations'!$F$14,VLOOKUP($A322,EnrollData2324,'2324 Jun 24 Enroll'!H$1,FALSE),'District Calculations'!$F$14)*Apport_215A2425,3)</f>
        <v>8.1180000000000003</v>
      </c>
      <c r="Y322">
        <f>ROUND(IF(VLOOKUP($A322,EnrollData2324,'2324 Jun 24 Enroll'!I$1,FALSE)+VLOOKUP($A322,EnrollData2324,'2324 Jun 24 Enroll'!M$1,FALSE)-VLOOKUP($A322,EnrollData2324,'2324 Jun 24 Enroll'!J$1,FALSE)='District Calculations'!$F$16+'District Calculations'!$F$25-'District Calculations'!$F$17,VLOOKUP($A322,EnrollData2324,'2324 Jun 24 Enroll'!I$1,FALSE)+VLOOKUP($A322,EnrollData2324,'2324 Jun 24 Enroll'!M$1,FALSE)-VLOOKUP($A322,EnrollData2324,'2324 Jun 24 Enroll'!J$1,FALSE),'District Calculations'!$F$16+'District Calculations'!$F$25-'District Calculations'!$F$17)*Apport_218A2425,3)</f>
        <v>20.257999999999999</v>
      </c>
      <c r="Z322">
        <f>ROUND(SUM(T322:Y322)/IF(VLOOKUP($A322,EnrollData2324,'2324 Jun 24 Enroll'!M$1,FALSE)+VLOOKUP($A322,EnrollData2324,'2324 Jun 24 Enroll'!D$1,FALSE)='District Calculations'!$F$25+'District Calculations'!$F$11,VLOOKUP($A322,EnrollData2324,'2324 Jun 24 Enroll'!M$1,FALSE)+VLOOKUP($A322,EnrollData2324,'2324 Jun 24 Enroll'!D$1,FALSE),'District Calculations'!$F$25+'District Calculations'!$F$11),5)</f>
        <v>1.7780000000000001E-2</v>
      </c>
      <c r="AA322" s="6">
        <f>ROUND($J322*CIS_Base_Salary2425*VLOOKUP($A322,EnrollData2324,'2324 Jun 24 Enroll'!AH$1,FALSE),2)</f>
        <v>4262.68</v>
      </c>
      <c r="AB322" s="6">
        <f>ROUND($J322*CIS_Inc_Salary2425*(VLOOKUP($A322,EnrollData2324,'2324 Jun 24 Enroll'!AI$1,FALSE)+VLOOKUP($A322,EnrollData2324,'2324 Jun 24 Enroll'!AJ$1,FALSE)),2)-AA322</f>
        <v>157.6899999999996</v>
      </c>
      <c r="AC322" s="6" cm="1">
        <f t="array" ref="AC322">ROUND($R322*CAS_Base_Salary2425*VLOOKUP($A322,EnrollData2324,'2324 Jun 24 Enroll'!AH$1,FALSE),2)</f>
        <v>461.23</v>
      </c>
      <c r="AD322" s="6">
        <f>ROUND($R322*CAS_Inc_Salary2425*VLOOKUP($A322,EnrollData2324,'2324 Jun 24 Enroll'!AI$1,FALSE),2)-AC322</f>
        <v>17.069999999999993</v>
      </c>
      <c r="AE322" s="6">
        <f>ROUND($Z322*CLS_Base_Salary2425*VLOOKUP($A322,EnrollData2324,'2324 Jun 24 Enroll'!AH$1,FALSE),2)</f>
        <v>961.95</v>
      </c>
      <c r="AF322" s="6">
        <f>ROUND($Z322*CLS_Inc_Salary2425*VLOOKUP($A322,EnrollData2324,'2324 Jun 24 Enroll'!AI$1,FALSE),2)-AE322</f>
        <v>35.599999999999909</v>
      </c>
      <c r="AG322" cm="1">
        <f t="array" ref="AG322">ROUND(($J322+$R322)*Apport_124X2425,2)</f>
        <v>800.45</v>
      </c>
      <c r="AH322" s="69" cm="1">
        <f t="array" ref="AH322">ROUND(($J322+$R322)*Apport_621X2425*Apport_125XC2425,2)-AG322</f>
        <v>73.899999999999977</v>
      </c>
      <c r="AI322" cm="1">
        <f t="array" ref="AI322">ROUND($Z322*Apport_124X2425,2)</f>
        <v>234.7</v>
      </c>
      <c r="AJ322">
        <f t="shared" si="62"/>
        <v>124.71000000000004</v>
      </c>
      <c r="AK322">
        <f t="shared" si="63"/>
        <v>857.39</v>
      </c>
      <c r="AL322">
        <f t="shared" si="64"/>
        <v>30.6</v>
      </c>
      <c r="AM322">
        <f t="shared" si="65"/>
        <v>208.36</v>
      </c>
      <c r="AN322">
        <f t="shared" si="66"/>
        <v>6.46</v>
      </c>
      <c r="AO322">
        <f>ROUND(($J322*CIS_Inc_Salary2425*(VLOOKUP($A322,EnrollData2324,'2324 Jun 24 Enroll'!AI$1,FALSE)+VLOOKUP($A322,EnrollData2324,'2324 Jun 24 Enroll'!AJ$1,FALSE))/Apport_613Xpd)*Apport_614Xpd,2)</f>
        <v>73.67</v>
      </c>
      <c r="AP322">
        <f t="shared" si="67"/>
        <v>12.9</v>
      </c>
      <c r="AQ322">
        <f t="shared" si="68"/>
        <v>31.48</v>
      </c>
      <c r="AR322" s="6">
        <f>ROUND((VLOOKUP($A322,EnrollData2324,'2324 Jun 24 Enroll'!D$1,FALSE)*Apport_M802425+VLOOKUP($A322,EnrollData2324,'2324 Jun 24 Enroll'!M$1,FALSE)*Apport_M802425+(VLOOKUP($A322,EnrollData2324,'2324 Jun 24 Enroll'!P$1,FALSE)+VLOOKUP($A322,EnrollData2324,'2324 Jun 24 Enroll'!Q$1,FALSE)+VLOOKUP($A322,EnrollData2324,'2324 Jun 24 Enroll'!R$1,FALSE)+VLOOKUP($A322,EnrollData2324,'2324 Jun 24 Enroll'!I$1,FALSE)+VLOOKUP($A322,EnrollData2324,'2324 Jun 24 Enroll'!N$1,FALSE)+VLOOKUP($A322,EnrollData2324,'2324 Jun 24 Enroll'!O$1,FALSE)+VLOOKUP($A322,EnrollData2324,'2324 Jun 24 Enroll'!K$1,FALSE)+VLOOKUP($A322,EnrollData2324,'2324 Jun 24 Enroll'!L$1,FALSE))*Apport_M812425)/(VLOOKUP($A322,EnrollData2324,'2324 Jun 24 Enroll'!M$1,FALSE)+VLOOKUP($A322,EnrollData2324,'2324 Jun 24 Enroll'!D$1,FALSE)),2)</f>
        <v>1597.32</v>
      </c>
      <c r="AS322" s="7">
        <f t="shared" si="69"/>
        <v>9948.159999999998</v>
      </c>
    </row>
    <row r="323" spans="1:45">
      <c r="A323" s="40" t="s">
        <v>869</v>
      </c>
      <c r="B323" s="40" t="s">
        <v>870</v>
      </c>
      <c r="C323" s="11">
        <f>ROUND((IFERROR((1/IF(VLOOKUP($A323,EnrollData2324,28,FALSE)='District Calculations'!$F$10,VLOOKUP($A323,EnrollData2324,28,FALSE),'District Calculations'!$F$10))*(1+Apport_Z315),0))+Apport_201A2425,6)</f>
        <v>7.4580999999999995E-2</v>
      </c>
      <c r="D323">
        <f>ROUND(IF(VLOOKUP($A323,EnrollData2324,'2324 Jun 24 Enroll'!D$1,FALSE)='District Calculations'!$F$11,VLOOKUP($A323,EnrollData2324,'2324 Jun 24 Enroll'!D$1,FALSE),'District Calculations'!$F$11)*C323,3)</f>
        <v>0</v>
      </c>
      <c r="E323">
        <f>ROUND(IF(VLOOKUP($A323,EnrollData2324,'2324 Jun 24 Enroll'!E$1,FALSE)='District Calculations'!$F$12,VLOOKUP($A323,EnrollData2324,'2324 Jun 24 Enroll'!E$1,FALSE),'District Calculations'!$F$12)*C323,3)</f>
        <v>60.447000000000003</v>
      </c>
      <c r="F323">
        <f>ROUND(IF(VLOOKUP($A323,EnrollData2324,'2324 Jun 24 Enroll'!F$1,FALSE)='District Calculations'!$F$13,VLOOKUP($A323,EnrollData2324,'2324 Jun 24 Enroll'!F$1,FALSE),'District Calculations'!$F$13)*Apport_222A2425,3)</f>
        <v>10.337999999999999</v>
      </c>
      <c r="G323">
        <f>ROUND(IF(VLOOKUP($A323,EnrollData2324,'2324 Jun 24 Enroll'!G$1,FALSE)='District Calculations'!$F$14,VLOOKUP($A323,EnrollData2324,'2324 Jun 24 Enroll'!G$1,FALSE),'District Calculations'!$F$14)*Apport_210A2425,3)</f>
        <v>22.92</v>
      </c>
      <c r="H323">
        <f>ROUND(IF(VLOOKUP($A323,EnrollData2324,'2324 Jun 24 Enroll'!H$1,FALSE)='District Calculations'!$F$15,VLOOKUP($A323,EnrollData2324,'2324 Jun 24 Enroll'!H$1,FALSE),'District Calculations'!$F$15)*Apport_213A2425,3)</f>
        <v>23.619</v>
      </c>
      <c r="I323">
        <f>ROUND(IF(VLOOKUP($A323,EnrollData2324,'2324 Jun 24 Enroll'!I$1,FALSE)+VLOOKUP($A323,EnrollData2324,'2324 Jun 24 Enroll'!M$1,FALSE)-VLOOKUP($A323,EnrollData2324,'2324 Jun 24 Enroll'!J$1,FALSE)='District Calculations'!$F$16+'District Calculations'!$F$25-'District Calculations'!$F$17,VLOOKUP($A323,EnrollData2324,'2324 Jun 24 Enroll'!I$1,FALSE)+VLOOKUP($A323,EnrollData2324,'2324 Jun 24 Enroll'!M$1,FALSE)-VLOOKUP($A323,EnrollData2324,'2324 Jun 24 Enroll'!J$1,FALSE),'District Calculations'!$F$16+'District Calculations'!$F$25-'District Calculations'!$F$17)*Apport_216A2425,3)</f>
        <v>59.057000000000002</v>
      </c>
      <c r="J323">
        <f>ROUND(SUM(D323:I323)/(IF(VLOOKUP($A323,EnrollData2324,'2324 Jun 24 Enroll'!M$1,FALSE)='District Calculations'!$F$25,VLOOKUP($A323,EnrollData2324,'2324 Jun 24 Enroll'!M$1,FALSE),'District Calculations'!$F$25)+IF(VLOOKUP($A323,EnrollData2324,'2324 Jun 24 Enroll'!D$1,FALSE)='District Calculations'!$F$11,VLOOKUP($A323,EnrollData2324,'2324 Jun 24 Enroll'!D$1,FALSE),'District Calculations'!$F$11)),5)</f>
        <v>5.6520000000000001E-2</v>
      </c>
      <c r="K323" s="11">
        <f t="shared" si="60"/>
        <v>4.385E-3</v>
      </c>
      <c r="L323">
        <f>ROUND(IF(VLOOKUP($A323,EnrollData2324,'2324 Jun 24 Enroll'!D$1,FALSE)='District Calculations'!$F$11,VLOOKUP($A323,EnrollData2324,'2324 Jun 24 Enroll'!D$1,FALSE),'District Calculations'!$F$11)*K323,3)</f>
        <v>0</v>
      </c>
      <c r="M323">
        <f>ROUND(IF(VLOOKUP($A323,EnrollData2324,'2324 Jun 24 Enroll'!E$1,FALSE)='District Calculations'!$F$12,VLOOKUP($A323,EnrollData2324,'2324 Jun 24 Enroll'!E$1,FALSE),'District Calculations'!$F$12)*K323,3)</f>
        <v>3.5539999999999998</v>
      </c>
      <c r="N323">
        <f>ROUND(IF(VLOOKUP($A323,EnrollData2324,'2324 Jun 24 Enroll'!F$1,FALSE)='District Calculations'!$F$13,VLOOKUP($A323,EnrollData2324,'2324 Jun 24 Enroll'!F$1,FALSE),'District Calculations'!$F$13)*Apport_223A2425,3)</f>
        <v>0.84599999999999997</v>
      </c>
      <c r="O323">
        <f>ROUND(IF(VLOOKUP($A323,EnrollData2324,'2324 Jun 24 Enroll'!G$1,FALSE)='District Calculations'!$F$14,VLOOKUP($A323,EnrollData2324,'2324 Jun 24 Enroll'!G$1,FALSE),'District Calculations'!$F$14)*Apport_211A2425,3)</f>
        <v>1.877</v>
      </c>
      <c r="P323">
        <f>ROUND(IF(VLOOKUP($A323,EnrollData2324,'2324 Jun 24 Enroll'!H$1,FALSE)='District Calculations'!$F$14,VLOOKUP($A323,EnrollData2324,'2324 Jun 24 Enroll'!H$1,FALSE),'District Calculations'!$F$14)*Apport_214A2425,3)</f>
        <v>1.875</v>
      </c>
      <c r="Q323">
        <f>ROUND(IF(VLOOKUP($A323,EnrollData2324,'2324 Jun 24 Enroll'!I$1,FALSE)+VLOOKUP($A323,EnrollData2324,'2324 Jun 24 Enroll'!M$1,FALSE)-VLOOKUP($A323,EnrollData2324,'2324 Jun 24 Enroll'!J$1,FALSE)='District Calculations'!$F$16+'District Calculations'!$F$25-'District Calculations'!$F$17,VLOOKUP($A323,EnrollData2324,'2324 Jun 24 Enroll'!I$1,FALSE)+VLOOKUP($A323,EnrollData2324,'2324 Jun 24 Enroll'!M$1,FALSE)-VLOOKUP($A323,EnrollData2324,'2324 Jun 24 Enroll'!J$1,FALSE),'District Calculations'!$F$16+'District Calculations'!$F$25-'District Calculations'!$F$17)*Apport_217A2425,3)</f>
        <v>4.7130000000000001</v>
      </c>
      <c r="R323">
        <f>ROUND(SUM(L323:Q323)/IF(VLOOKUP($A323,EnrollData2324,'2324 Jun 24 Enroll'!M$1,FALSE)+VLOOKUP($A323,EnrollData2324,'2324 Jun 24 Enroll'!D$1,FALSE)='District Calculations'!$F$25+'District Calculations'!$F$11,VLOOKUP($A323,EnrollData2324,'2324 Jun 24 Enroll'!M$1,FALSE)+VLOOKUP($A323,EnrollData2324,'2324 Jun 24 Enroll'!D$1,FALSE),'District Calculations'!$F$25+'District Calculations'!$F$11),5)</f>
        <v>4.1200000000000004E-3</v>
      </c>
      <c r="S323" s="11">
        <f t="shared" si="61"/>
        <v>1.8734299999999999E-2</v>
      </c>
      <c r="T323">
        <f>ROUND(IF(VLOOKUP($A323,EnrollData2324,'2324 Jun 24 Enroll'!D$1,FALSE)='District Calculations'!$F$11,VLOOKUP($A323,EnrollData2324,'2324 Jun 24 Enroll'!D$1,FALSE),'District Calculations'!$F$11)*S323,3)</f>
        <v>0</v>
      </c>
      <c r="U323">
        <f>ROUND(IF(VLOOKUP($A323,EnrollData2324,'2324 Jun 24 Enroll'!E$1,FALSE)='District Calculations'!$F$12,VLOOKUP($A323,EnrollData2324,'2324 Jun 24 Enroll'!E$1,FALSE),'District Calculations'!$F$12)*S323,3)</f>
        <v>15.183999999999999</v>
      </c>
      <c r="V323">
        <f>ROUND(IF(VLOOKUP($A323,EnrollData2324,'2324 Jun 24 Enroll'!F$1,FALSE)='District Calculations'!$F$13,VLOOKUP($A323,EnrollData2324,'2324 Jun 24 Enroll'!F$1,FALSE),'District Calculations'!$F$13)*Apport_224A2425,3)</f>
        <v>3.7109999999999999</v>
      </c>
      <c r="W323">
        <f>ROUND(IF(VLOOKUP($A323,EnrollData2324,'2324 Jun 24 Enroll'!G$1,FALSE)='District Calculations'!$F$14,VLOOKUP($A323,EnrollData2324,'2324 Jun 24 Enroll'!G$1,FALSE),'District Calculations'!$F$14)*Apport_212A2425,3)</f>
        <v>8.2279999999999998</v>
      </c>
      <c r="X323">
        <f>ROUND(IF(VLOOKUP($A323,EnrollData2324,'2324 Jun 24 Enroll'!H$1,FALSE)='District Calculations'!$F$14,VLOOKUP($A323,EnrollData2324,'2324 Jun 24 Enroll'!H$1,FALSE),'District Calculations'!$F$14)*Apport_215A2425,3)</f>
        <v>8.1180000000000003</v>
      </c>
      <c r="Y323">
        <f>ROUND(IF(VLOOKUP($A323,EnrollData2324,'2324 Jun 24 Enroll'!I$1,FALSE)+VLOOKUP($A323,EnrollData2324,'2324 Jun 24 Enroll'!M$1,FALSE)-VLOOKUP($A323,EnrollData2324,'2324 Jun 24 Enroll'!J$1,FALSE)='District Calculations'!$F$16+'District Calculations'!$F$25-'District Calculations'!$F$17,VLOOKUP($A323,EnrollData2324,'2324 Jun 24 Enroll'!I$1,FALSE)+VLOOKUP($A323,EnrollData2324,'2324 Jun 24 Enroll'!M$1,FALSE)-VLOOKUP($A323,EnrollData2324,'2324 Jun 24 Enroll'!J$1,FALSE),'District Calculations'!$F$16+'District Calculations'!$F$25-'District Calculations'!$F$17)*Apport_218A2425,3)</f>
        <v>20.257999999999999</v>
      </c>
      <c r="Z323">
        <f>ROUND(SUM(T323:Y323)/IF(VLOOKUP($A323,EnrollData2324,'2324 Jun 24 Enroll'!M$1,FALSE)+VLOOKUP($A323,EnrollData2324,'2324 Jun 24 Enroll'!D$1,FALSE)='District Calculations'!$F$25+'District Calculations'!$F$11,VLOOKUP($A323,EnrollData2324,'2324 Jun 24 Enroll'!M$1,FALSE)+VLOOKUP($A323,EnrollData2324,'2324 Jun 24 Enroll'!D$1,FALSE),'District Calculations'!$F$25+'District Calculations'!$F$11),5)</f>
        <v>1.7780000000000001E-2</v>
      </c>
      <c r="AA323" s="6">
        <f>ROUND($J323*CIS_Base_Salary2425*VLOOKUP($A323,EnrollData2324,'2324 Jun 24 Enroll'!AH$1,FALSE),2)</f>
        <v>4262.68</v>
      </c>
      <c r="AB323" s="6">
        <f>ROUND($J323*CIS_Inc_Salary2425*(VLOOKUP($A323,EnrollData2324,'2324 Jun 24 Enroll'!AI$1,FALSE)+VLOOKUP($A323,EnrollData2324,'2324 Jun 24 Enroll'!AJ$1,FALSE)),2)-AA323</f>
        <v>157.6899999999996</v>
      </c>
      <c r="AC323" s="6" cm="1">
        <f t="array" ref="AC323">ROUND($R323*CAS_Base_Salary2425*VLOOKUP($A323,EnrollData2324,'2324 Jun 24 Enroll'!AH$1,FALSE),2)</f>
        <v>461.23</v>
      </c>
      <c r="AD323" s="6">
        <f>ROUND($R323*CAS_Inc_Salary2425*VLOOKUP($A323,EnrollData2324,'2324 Jun 24 Enroll'!AI$1,FALSE),2)-AC323</f>
        <v>17.069999999999993</v>
      </c>
      <c r="AE323" s="6">
        <f>ROUND($Z323*CLS_Base_Salary2425*VLOOKUP($A323,EnrollData2324,'2324 Jun 24 Enroll'!AH$1,FALSE),2)</f>
        <v>961.95</v>
      </c>
      <c r="AF323" s="6">
        <f>ROUND($Z323*CLS_Inc_Salary2425*VLOOKUP($A323,EnrollData2324,'2324 Jun 24 Enroll'!AI$1,FALSE),2)-AE323</f>
        <v>35.599999999999909</v>
      </c>
      <c r="AG323" cm="1">
        <f t="array" ref="AG323">ROUND(($J323+$R323)*Apport_124X2425,2)</f>
        <v>800.45</v>
      </c>
      <c r="AH323" s="69" cm="1">
        <f t="array" ref="AH323">ROUND(($J323+$R323)*Apport_621X2425*Apport_125XC2425,2)-AG323</f>
        <v>73.899999999999977</v>
      </c>
      <c r="AI323" cm="1">
        <f t="array" ref="AI323">ROUND($Z323*Apport_124X2425,2)</f>
        <v>234.7</v>
      </c>
      <c r="AJ323">
        <f t="shared" si="62"/>
        <v>124.71000000000004</v>
      </c>
      <c r="AK323">
        <f t="shared" si="63"/>
        <v>857.39</v>
      </c>
      <c r="AL323">
        <f t="shared" si="64"/>
        <v>30.6</v>
      </c>
      <c r="AM323">
        <f t="shared" si="65"/>
        <v>208.36</v>
      </c>
      <c r="AN323">
        <f t="shared" si="66"/>
        <v>6.46</v>
      </c>
      <c r="AO323">
        <f>ROUND(($J323*CIS_Inc_Salary2425*(VLOOKUP($A323,EnrollData2324,'2324 Jun 24 Enroll'!AI$1,FALSE)+VLOOKUP($A323,EnrollData2324,'2324 Jun 24 Enroll'!AJ$1,FALSE))/Apport_613Xpd)*Apport_614Xpd,2)</f>
        <v>73.67</v>
      </c>
      <c r="AP323">
        <f t="shared" si="67"/>
        <v>12.9</v>
      </c>
      <c r="AQ323">
        <f t="shared" si="68"/>
        <v>31.48</v>
      </c>
      <c r="AR323" s="6">
        <f>ROUND((VLOOKUP($A323,EnrollData2324,'2324 Jun 24 Enroll'!D$1,FALSE)*Apport_M802425+VLOOKUP($A323,EnrollData2324,'2324 Jun 24 Enroll'!M$1,FALSE)*Apport_M802425+(VLOOKUP($A323,EnrollData2324,'2324 Jun 24 Enroll'!P$1,FALSE)+VLOOKUP($A323,EnrollData2324,'2324 Jun 24 Enroll'!Q$1,FALSE)+VLOOKUP($A323,EnrollData2324,'2324 Jun 24 Enroll'!R$1,FALSE)+VLOOKUP($A323,EnrollData2324,'2324 Jun 24 Enroll'!I$1,FALSE)+VLOOKUP($A323,EnrollData2324,'2324 Jun 24 Enroll'!N$1,FALSE)+VLOOKUP($A323,EnrollData2324,'2324 Jun 24 Enroll'!O$1,FALSE)+VLOOKUP($A323,EnrollData2324,'2324 Jun 24 Enroll'!K$1,FALSE)+VLOOKUP($A323,EnrollData2324,'2324 Jun 24 Enroll'!L$1,FALSE))*Apport_M812425)/(VLOOKUP($A323,EnrollData2324,'2324 Jun 24 Enroll'!M$1,FALSE)+VLOOKUP($A323,EnrollData2324,'2324 Jun 24 Enroll'!D$1,FALSE)),2)</f>
        <v>1600.21</v>
      </c>
      <c r="AS323" s="7">
        <f t="shared" si="69"/>
        <v>9951.0499999999993</v>
      </c>
    </row>
    <row r="324" spans="1:45">
      <c r="A324" s="40" t="s">
        <v>604</v>
      </c>
      <c r="B324" s="40" t="s">
        <v>605</v>
      </c>
      <c r="C324" s="11">
        <f>ROUND((IFERROR((1/IF(VLOOKUP($A324,EnrollData2324,28,FALSE)='District Calculations'!$F$10,VLOOKUP($A324,EnrollData2324,28,FALSE),'District Calculations'!$F$10))*(1+Apport_Z315),0))+Apport_201A2425,6)</f>
        <v>7.4580999999999995E-2</v>
      </c>
      <c r="D324">
        <f>ROUND(IF(VLOOKUP($A324,EnrollData2324,'2324 Jun 24 Enroll'!D$1,FALSE)='District Calculations'!$F$11,VLOOKUP($A324,EnrollData2324,'2324 Jun 24 Enroll'!D$1,FALSE),'District Calculations'!$F$11)*C324,3)</f>
        <v>0</v>
      </c>
      <c r="E324">
        <f>ROUND(IF(VLOOKUP($A324,EnrollData2324,'2324 Jun 24 Enroll'!E$1,FALSE)='District Calculations'!$F$12,VLOOKUP($A324,EnrollData2324,'2324 Jun 24 Enroll'!E$1,FALSE),'District Calculations'!$F$12)*C324,3)</f>
        <v>60.447000000000003</v>
      </c>
      <c r="F324">
        <f>ROUND(IF(VLOOKUP($A324,EnrollData2324,'2324 Jun 24 Enroll'!F$1,FALSE)='District Calculations'!$F$13,VLOOKUP($A324,EnrollData2324,'2324 Jun 24 Enroll'!F$1,FALSE),'District Calculations'!$F$13)*Apport_222A2425,3)</f>
        <v>10.337999999999999</v>
      </c>
      <c r="G324">
        <f>ROUND(IF(VLOOKUP($A324,EnrollData2324,'2324 Jun 24 Enroll'!G$1,FALSE)='District Calculations'!$F$14,VLOOKUP($A324,EnrollData2324,'2324 Jun 24 Enroll'!G$1,FALSE),'District Calculations'!$F$14)*Apport_210A2425,3)</f>
        <v>22.92</v>
      </c>
      <c r="H324">
        <f>ROUND(IF(VLOOKUP($A324,EnrollData2324,'2324 Jun 24 Enroll'!H$1,FALSE)='District Calculations'!$F$15,VLOOKUP($A324,EnrollData2324,'2324 Jun 24 Enroll'!H$1,FALSE),'District Calculations'!$F$15)*Apport_213A2425,3)</f>
        <v>23.619</v>
      </c>
      <c r="I324">
        <f>ROUND(IF(VLOOKUP($A324,EnrollData2324,'2324 Jun 24 Enroll'!I$1,FALSE)+VLOOKUP($A324,EnrollData2324,'2324 Jun 24 Enroll'!M$1,FALSE)-VLOOKUP($A324,EnrollData2324,'2324 Jun 24 Enroll'!J$1,FALSE)='District Calculations'!$F$16+'District Calculations'!$F$25-'District Calculations'!$F$17,VLOOKUP($A324,EnrollData2324,'2324 Jun 24 Enroll'!I$1,FALSE)+VLOOKUP($A324,EnrollData2324,'2324 Jun 24 Enroll'!M$1,FALSE)-VLOOKUP($A324,EnrollData2324,'2324 Jun 24 Enroll'!J$1,FALSE),'District Calculations'!$F$16+'District Calculations'!$F$25-'District Calculations'!$F$17)*Apport_216A2425,3)</f>
        <v>59.057000000000002</v>
      </c>
      <c r="J324">
        <f>ROUND(SUM(D324:I324)/(IF(VLOOKUP($A324,EnrollData2324,'2324 Jun 24 Enroll'!M$1,FALSE)='District Calculations'!$F$25,VLOOKUP($A324,EnrollData2324,'2324 Jun 24 Enroll'!M$1,FALSE),'District Calculations'!$F$25)+IF(VLOOKUP($A324,EnrollData2324,'2324 Jun 24 Enroll'!D$1,FALSE)='District Calculations'!$F$11,VLOOKUP($A324,EnrollData2324,'2324 Jun 24 Enroll'!D$1,FALSE),'District Calculations'!$F$11)),5)</f>
        <v>5.6520000000000001E-2</v>
      </c>
      <c r="K324" s="11">
        <f t="shared" si="60"/>
        <v>4.385E-3</v>
      </c>
      <c r="L324">
        <f>ROUND(IF(VLOOKUP($A324,EnrollData2324,'2324 Jun 24 Enroll'!D$1,FALSE)='District Calculations'!$F$11,VLOOKUP($A324,EnrollData2324,'2324 Jun 24 Enroll'!D$1,FALSE),'District Calculations'!$F$11)*K324,3)</f>
        <v>0</v>
      </c>
      <c r="M324">
        <f>ROUND(IF(VLOOKUP($A324,EnrollData2324,'2324 Jun 24 Enroll'!E$1,FALSE)='District Calculations'!$F$12,VLOOKUP($A324,EnrollData2324,'2324 Jun 24 Enroll'!E$1,FALSE),'District Calculations'!$F$12)*K324,3)</f>
        <v>3.5539999999999998</v>
      </c>
      <c r="N324">
        <f>ROUND(IF(VLOOKUP($A324,EnrollData2324,'2324 Jun 24 Enroll'!F$1,FALSE)='District Calculations'!$F$13,VLOOKUP($A324,EnrollData2324,'2324 Jun 24 Enroll'!F$1,FALSE),'District Calculations'!$F$13)*Apport_223A2425,3)</f>
        <v>0.84599999999999997</v>
      </c>
      <c r="O324">
        <f>ROUND(IF(VLOOKUP($A324,EnrollData2324,'2324 Jun 24 Enroll'!G$1,FALSE)='District Calculations'!$F$14,VLOOKUP($A324,EnrollData2324,'2324 Jun 24 Enroll'!G$1,FALSE),'District Calculations'!$F$14)*Apport_211A2425,3)</f>
        <v>1.877</v>
      </c>
      <c r="P324">
        <f>ROUND(IF(VLOOKUP($A324,EnrollData2324,'2324 Jun 24 Enroll'!H$1,FALSE)='District Calculations'!$F$14,VLOOKUP($A324,EnrollData2324,'2324 Jun 24 Enroll'!H$1,FALSE),'District Calculations'!$F$14)*Apport_214A2425,3)</f>
        <v>1.875</v>
      </c>
      <c r="Q324">
        <f>ROUND(IF(VLOOKUP($A324,EnrollData2324,'2324 Jun 24 Enroll'!I$1,FALSE)+VLOOKUP($A324,EnrollData2324,'2324 Jun 24 Enroll'!M$1,FALSE)-VLOOKUP($A324,EnrollData2324,'2324 Jun 24 Enroll'!J$1,FALSE)='District Calculations'!$F$16+'District Calculations'!$F$25-'District Calculations'!$F$17,VLOOKUP($A324,EnrollData2324,'2324 Jun 24 Enroll'!I$1,FALSE)+VLOOKUP($A324,EnrollData2324,'2324 Jun 24 Enroll'!M$1,FALSE)-VLOOKUP($A324,EnrollData2324,'2324 Jun 24 Enroll'!J$1,FALSE),'District Calculations'!$F$16+'District Calculations'!$F$25-'District Calculations'!$F$17)*Apport_217A2425,3)</f>
        <v>4.7130000000000001</v>
      </c>
      <c r="R324">
        <f>ROUND(SUM(L324:Q324)/IF(VLOOKUP($A324,EnrollData2324,'2324 Jun 24 Enroll'!M$1,FALSE)+VLOOKUP($A324,EnrollData2324,'2324 Jun 24 Enroll'!D$1,FALSE)='District Calculations'!$F$25+'District Calculations'!$F$11,VLOOKUP($A324,EnrollData2324,'2324 Jun 24 Enroll'!M$1,FALSE)+VLOOKUP($A324,EnrollData2324,'2324 Jun 24 Enroll'!D$1,FALSE),'District Calculations'!$F$25+'District Calculations'!$F$11),5)</f>
        <v>4.1200000000000004E-3</v>
      </c>
      <c r="S324" s="11">
        <f t="shared" si="61"/>
        <v>1.8734299999999999E-2</v>
      </c>
      <c r="T324">
        <f>ROUND(IF(VLOOKUP($A324,EnrollData2324,'2324 Jun 24 Enroll'!D$1,FALSE)='District Calculations'!$F$11,VLOOKUP($A324,EnrollData2324,'2324 Jun 24 Enroll'!D$1,FALSE),'District Calculations'!$F$11)*S324,3)</f>
        <v>0</v>
      </c>
      <c r="U324">
        <f>ROUND(IF(VLOOKUP($A324,EnrollData2324,'2324 Jun 24 Enroll'!E$1,FALSE)='District Calculations'!$F$12,VLOOKUP($A324,EnrollData2324,'2324 Jun 24 Enroll'!E$1,FALSE),'District Calculations'!$F$12)*S324,3)</f>
        <v>15.183999999999999</v>
      </c>
      <c r="V324">
        <f>ROUND(IF(VLOOKUP($A324,EnrollData2324,'2324 Jun 24 Enroll'!F$1,FALSE)='District Calculations'!$F$13,VLOOKUP($A324,EnrollData2324,'2324 Jun 24 Enroll'!F$1,FALSE),'District Calculations'!$F$13)*Apport_224A2425,3)</f>
        <v>3.7109999999999999</v>
      </c>
      <c r="W324">
        <f>ROUND(IF(VLOOKUP($A324,EnrollData2324,'2324 Jun 24 Enroll'!G$1,FALSE)='District Calculations'!$F$14,VLOOKUP($A324,EnrollData2324,'2324 Jun 24 Enroll'!G$1,FALSE),'District Calculations'!$F$14)*Apport_212A2425,3)</f>
        <v>8.2279999999999998</v>
      </c>
      <c r="X324">
        <f>ROUND(IF(VLOOKUP($A324,EnrollData2324,'2324 Jun 24 Enroll'!H$1,FALSE)='District Calculations'!$F$14,VLOOKUP($A324,EnrollData2324,'2324 Jun 24 Enroll'!H$1,FALSE),'District Calculations'!$F$14)*Apport_215A2425,3)</f>
        <v>8.1180000000000003</v>
      </c>
      <c r="Y324">
        <f>ROUND(IF(VLOOKUP($A324,EnrollData2324,'2324 Jun 24 Enroll'!I$1,FALSE)+VLOOKUP($A324,EnrollData2324,'2324 Jun 24 Enroll'!M$1,FALSE)-VLOOKUP($A324,EnrollData2324,'2324 Jun 24 Enroll'!J$1,FALSE)='District Calculations'!$F$16+'District Calculations'!$F$25-'District Calculations'!$F$17,VLOOKUP($A324,EnrollData2324,'2324 Jun 24 Enroll'!I$1,FALSE)+VLOOKUP($A324,EnrollData2324,'2324 Jun 24 Enroll'!M$1,FALSE)-VLOOKUP($A324,EnrollData2324,'2324 Jun 24 Enroll'!J$1,FALSE),'District Calculations'!$F$16+'District Calculations'!$F$25-'District Calculations'!$F$17)*Apport_218A2425,3)</f>
        <v>20.257999999999999</v>
      </c>
      <c r="Z324">
        <f>ROUND(SUM(T324:Y324)/IF(VLOOKUP($A324,EnrollData2324,'2324 Jun 24 Enroll'!M$1,FALSE)+VLOOKUP($A324,EnrollData2324,'2324 Jun 24 Enroll'!D$1,FALSE)='District Calculations'!$F$25+'District Calculations'!$F$11,VLOOKUP($A324,EnrollData2324,'2324 Jun 24 Enroll'!M$1,FALSE)+VLOOKUP($A324,EnrollData2324,'2324 Jun 24 Enroll'!D$1,FALSE),'District Calculations'!$F$25+'District Calculations'!$F$11),5)</f>
        <v>1.7780000000000001E-2</v>
      </c>
      <c r="AA324" s="6">
        <f>ROUND($J324*CIS_Base_Salary2425*VLOOKUP($A324,EnrollData2324,'2324 Jun 24 Enroll'!AH$1,FALSE),2)</f>
        <v>4262.68</v>
      </c>
      <c r="AB324" s="6">
        <f>ROUND($J324*CIS_Inc_Salary2425*(VLOOKUP($A324,EnrollData2324,'2324 Jun 24 Enroll'!AI$1,FALSE)+VLOOKUP($A324,EnrollData2324,'2324 Jun 24 Enroll'!AJ$1,FALSE)),2)-AA324</f>
        <v>157.6899999999996</v>
      </c>
      <c r="AC324" s="6" cm="1">
        <f t="array" ref="AC324">ROUND($R324*CAS_Base_Salary2425*VLOOKUP($A324,EnrollData2324,'2324 Jun 24 Enroll'!AH$1,FALSE),2)</f>
        <v>461.23</v>
      </c>
      <c r="AD324" s="6">
        <f>ROUND($R324*CAS_Inc_Salary2425*VLOOKUP($A324,EnrollData2324,'2324 Jun 24 Enroll'!AI$1,FALSE),2)-AC324</f>
        <v>17.069999999999993</v>
      </c>
      <c r="AE324" s="6">
        <f>ROUND($Z324*CLS_Base_Salary2425*VLOOKUP($A324,EnrollData2324,'2324 Jun 24 Enroll'!AH$1,FALSE),2)</f>
        <v>961.95</v>
      </c>
      <c r="AF324" s="6">
        <f>ROUND($Z324*CLS_Inc_Salary2425*VLOOKUP($A324,EnrollData2324,'2324 Jun 24 Enroll'!AI$1,FALSE),2)-AE324</f>
        <v>35.599999999999909</v>
      </c>
      <c r="AG324" cm="1">
        <f t="array" ref="AG324">ROUND(($J324+$R324)*Apport_124X2425,2)</f>
        <v>800.45</v>
      </c>
      <c r="AH324" s="69" cm="1">
        <f t="array" ref="AH324">ROUND(($J324+$R324)*Apport_621X2425*Apport_125XC2425,2)-AG324</f>
        <v>73.899999999999977</v>
      </c>
      <c r="AI324" cm="1">
        <f t="array" ref="AI324">ROUND($Z324*Apport_124X2425,2)</f>
        <v>234.7</v>
      </c>
      <c r="AJ324">
        <f t="shared" si="62"/>
        <v>124.71000000000004</v>
      </c>
      <c r="AK324">
        <f t="shared" si="63"/>
        <v>857.39</v>
      </c>
      <c r="AL324">
        <f t="shared" si="64"/>
        <v>30.6</v>
      </c>
      <c r="AM324">
        <f t="shared" si="65"/>
        <v>208.36</v>
      </c>
      <c r="AN324">
        <f t="shared" si="66"/>
        <v>6.46</v>
      </c>
      <c r="AO324">
        <f>ROUND(($J324*CIS_Inc_Salary2425*(VLOOKUP($A324,EnrollData2324,'2324 Jun 24 Enroll'!AI$1,FALSE)+VLOOKUP($A324,EnrollData2324,'2324 Jun 24 Enroll'!AJ$1,FALSE))/Apport_613Xpd)*Apport_614Xpd,2)</f>
        <v>73.67</v>
      </c>
      <c r="AP324">
        <f t="shared" si="67"/>
        <v>12.9</v>
      </c>
      <c r="AQ324">
        <f t="shared" si="68"/>
        <v>31.48</v>
      </c>
      <c r="AR324" s="6">
        <f>ROUND((VLOOKUP($A324,EnrollData2324,'2324 Jun 24 Enroll'!D$1,FALSE)*Apport_M802425+VLOOKUP($A324,EnrollData2324,'2324 Jun 24 Enroll'!M$1,FALSE)*Apport_M802425+(VLOOKUP($A324,EnrollData2324,'2324 Jun 24 Enroll'!P$1,FALSE)+VLOOKUP($A324,EnrollData2324,'2324 Jun 24 Enroll'!Q$1,FALSE)+VLOOKUP($A324,EnrollData2324,'2324 Jun 24 Enroll'!R$1,FALSE)+VLOOKUP($A324,EnrollData2324,'2324 Jun 24 Enroll'!I$1,FALSE)+VLOOKUP($A324,EnrollData2324,'2324 Jun 24 Enroll'!N$1,FALSE)+VLOOKUP($A324,EnrollData2324,'2324 Jun 24 Enroll'!O$1,FALSE)+VLOOKUP($A324,EnrollData2324,'2324 Jun 24 Enroll'!K$1,FALSE)+VLOOKUP($A324,EnrollData2324,'2324 Jun 24 Enroll'!L$1,FALSE))*Apport_M812425)/(VLOOKUP($A324,EnrollData2324,'2324 Jun 24 Enroll'!M$1,FALSE)+VLOOKUP($A324,EnrollData2324,'2324 Jun 24 Enroll'!D$1,FALSE)),2)</f>
        <v>1597.63</v>
      </c>
      <c r="AS324" s="7">
        <f t="shared" si="69"/>
        <v>9948.4699999999975</v>
      </c>
    </row>
    <row r="325" spans="1:45">
      <c r="A325" s="40" t="s">
        <v>993</v>
      </c>
      <c r="B325" s="40" t="s">
        <v>994</v>
      </c>
      <c r="C325" s="11">
        <f>ROUND((IFERROR((1/IF(VLOOKUP($A325,EnrollData2324,28,FALSE)='District Calculations'!$F$10,VLOOKUP($A325,EnrollData2324,28,FALSE),'District Calculations'!$F$10))*(1+Apport_Z315),0))+Apport_201A2425,6)</f>
        <v>7.4580999999999995E-2</v>
      </c>
      <c r="D325">
        <f>ROUND(IF(VLOOKUP($A325,EnrollData2324,'2324 Jun 24 Enroll'!D$1,FALSE)='District Calculations'!$F$11,VLOOKUP($A325,EnrollData2324,'2324 Jun 24 Enroll'!D$1,FALSE),'District Calculations'!$F$11)*C325,3)</f>
        <v>0</v>
      </c>
      <c r="E325">
        <f>ROUND(IF(VLOOKUP($A325,EnrollData2324,'2324 Jun 24 Enroll'!E$1,FALSE)='District Calculations'!$F$12,VLOOKUP($A325,EnrollData2324,'2324 Jun 24 Enroll'!E$1,FALSE),'District Calculations'!$F$12)*C325,3)</f>
        <v>60.447000000000003</v>
      </c>
      <c r="F325">
        <f>ROUND(IF(VLOOKUP($A325,EnrollData2324,'2324 Jun 24 Enroll'!F$1,FALSE)='District Calculations'!$F$13,VLOOKUP($A325,EnrollData2324,'2324 Jun 24 Enroll'!F$1,FALSE),'District Calculations'!$F$13)*Apport_222A2425,3)</f>
        <v>10.337999999999999</v>
      </c>
      <c r="G325">
        <f>ROUND(IF(VLOOKUP($A325,EnrollData2324,'2324 Jun 24 Enroll'!G$1,FALSE)='District Calculations'!$F$14,VLOOKUP($A325,EnrollData2324,'2324 Jun 24 Enroll'!G$1,FALSE),'District Calculations'!$F$14)*Apport_210A2425,3)</f>
        <v>22.92</v>
      </c>
      <c r="H325">
        <f>ROUND(IF(VLOOKUP($A325,EnrollData2324,'2324 Jun 24 Enroll'!H$1,FALSE)='District Calculations'!$F$15,VLOOKUP($A325,EnrollData2324,'2324 Jun 24 Enroll'!H$1,FALSE),'District Calculations'!$F$15)*Apport_213A2425,3)</f>
        <v>23.619</v>
      </c>
      <c r="I325">
        <f>ROUND(IF(VLOOKUP($A325,EnrollData2324,'2324 Jun 24 Enroll'!I$1,FALSE)+VLOOKUP($A325,EnrollData2324,'2324 Jun 24 Enroll'!M$1,FALSE)-VLOOKUP($A325,EnrollData2324,'2324 Jun 24 Enroll'!J$1,FALSE)='District Calculations'!$F$16+'District Calculations'!$F$25-'District Calculations'!$F$17,VLOOKUP($A325,EnrollData2324,'2324 Jun 24 Enroll'!I$1,FALSE)+VLOOKUP($A325,EnrollData2324,'2324 Jun 24 Enroll'!M$1,FALSE)-VLOOKUP($A325,EnrollData2324,'2324 Jun 24 Enroll'!J$1,FALSE),'District Calculations'!$F$16+'District Calculations'!$F$25-'District Calculations'!$F$17)*Apport_216A2425,3)</f>
        <v>59.057000000000002</v>
      </c>
      <c r="J325">
        <f>ROUND(SUM(D325:I325)/(IF(VLOOKUP($A325,EnrollData2324,'2324 Jun 24 Enroll'!M$1,FALSE)='District Calculations'!$F$25,VLOOKUP($A325,EnrollData2324,'2324 Jun 24 Enroll'!M$1,FALSE),'District Calculations'!$F$25)+IF(VLOOKUP($A325,EnrollData2324,'2324 Jun 24 Enroll'!D$1,FALSE)='District Calculations'!$F$11,VLOOKUP($A325,EnrollData2324,'2324 Jun 24 Enroll'!D$1,FALSE),'District Calculations'!$F$11)),5)</f>
        <v>5.6520000000000001E-2</v>
      </c>
      <c r="K325" s="11">
        <f t="shared" si="60"/>
        <v>4.385E-3</v>
      </c>
      <c r="L325">
        <f>ROUND(IF(VLOOKUP($A325,EnrollData2324,'2324 Jun 24 Enroll'!D$1,FALSE)='District Calculations'!$F$11,VLOOKUP($A325,EnrollData2324,'2324 Jun 24 Enroll'!D$1,FALSE),'District Calculations'!$F$11)*K325,3)</f>
        <v>0</v>
      </c>
      <c r="M325">
        <f>ROUND(IF(VLOOKUP($A325,EnrollData2324,'2324 Jun 24 Enroll'!E$1,FALSE)='District Calculations'!$F$12,VLOOKUP($A325,EnrollData2324,'2324 Jun 24 Enroll'!E$1,FALSE),'District Calculations'!$F$12)*K325,3)</f>
        <v>3.5539999999999998</v>
      </c>
      <c r="N325">
        <f>ROUND(IF(VLOOKUP($A325,EnrollData2324,'2324 Jun 24 Enroll'!F$1,FALSE)='District Calculations'!$F$13,VLOOKUP($A325,EnrollData2324,'2324 Jun 24 Enroll'!F$1,FALSE),'District Calculations'!$F$13)*Apport_223A2425,3)</f>
        <v>0.84599999999999997</v>
      </c>
      <c r="O325">
        <f>ROUND(IF(VLOOKUP($A325,EnrollData2324,'2324 Jun 24 Enroll'!G$1,FALSE)='District Calculations'!$F$14,VLOOKUP($A325,EnrollData2324,'2324 Jun 24 Enroll'!G$1,FALSE),'District Calculations'!$F$14)*Apport_211A2425,3)</f>
        <v>1.877</v>
      </c>
      <c r="P325">
        <f>ROUND(IF(VLOOKUP($A325,EnrollData2324,'2324 Jun 24 Enroll'!H$1,FALSE)='District Calculations'!$F$14,VLOOKUP($A325,EnrollData2324,'2324 Jun 24 Enroll'!H$1,FALSE),'District Calculations'!$F$14)*Apport_214A2425,3)</f>
        <v>1.875</v>
      </c>
      <c r="Q325">
        <f>ROUND(IF(VLOOKUP($A325,EnrollData2324,'2324 Jun 24 Enroll'!I$1,FALSE)+VLOOKUP($A325,EnrollData2324,'2324 Jun 24 Enroll'!M$1,FALSE)-VLOOKUP($A325,EnrollData2324,'2324 Jun 24 Enroll'!J$1,FALSE)='District Calculations'!$F$16+'District Calculations'!$F$25-'District Calculations'!$F$17,VLOOKUP($A325,EnrollData2324,'2324 Jun 24 Enroll'!I$1,FALSE)+VLOOKUP($A325,EnrollData2324,'2324 Jun 24 Enroll'!M$1,FALSE)-VLOOKUP($A325,EnrollData2324,'2324 Jun 24 Enroll'!J$1,FALSE),'District Calculations'!$F$16+'District Calculations'!$F$25-'District Calculations'!$F$17)*Apport_217A2425,3)</f>
        <v>4.7130000000000001</v>
      </c>
      <c r="R325">
        <f>ROUND(SUM(L325:Q325)/IF(VLOOKUP($A325,EnrollData2324,'2324 Jun 24 Enroll'!M$1,FALSE)+VLOOKUP($A325,EnrollData2324,'2324 Jun 24 Enroll'!D$1,FALSE)='District Calculations'!$F$25+'District Calculations'!$F$11,VLOOKUP($A325,EnrollData2324,'2324 Jun 24 Enroll'!M$1,FALSE)+VLOOKUP($A325,EnrollData2324,'2324 Jun 24 Enroll'!D$1,FALSE),'District Calculations'!$F$25+'District Calculations'!$F$11),5)</f>
        <v>4.1200000000000004E-3</v>
      </c>
      <c r="S325" s="11">
        <f t="shared" si="61"/>
        <v>1.8734299999999999E-2</v>
      </c>
      <c r="T325">
        <f>ROUND(IF(VLOOKUP($A325,EnrollData2324,'2324 Jun 24 Enroll'!D$1,FALSE)='District Calculations'!$F$11,VLOOKUP($A325,EnrollData2324,'2324 Jun 24 Enroll'!D$1,FALSE),'District Calculations'!$F$11)*S325,3)</f>
        <v>0</v>
      </c>
      <c r="U325">
        <f>ROUND(IF(VLOOKUP($A325,EnrollData2324,'2324 Jun 24 Enroll'!E$1,FALSE)='District Calculations'!$F$12,VLOOKUP($A325,EnrollData2324,'2324 Jun 24 Enroll'!E$1,FALSE),'District Calculations'!$F$12)*S325,3)</f>
        <v>15.183999999999999</v>
      </c>
      <c r="V325">
        <f>ROUND(IF(VLOOKUP($A325,EnrollData2324,'2324 Jun 24 Enroll'!F$1,FALSE)='District Calculations'!$F$13,VLOOKUP($A325,EnrollData2324,'2324 Jun 24 Enroll'!F$1,FALSE),'District Calculations'!$F$13)*Apport_224A2425,3)</f>
        <v>3.7109999999999999</v>
      </c>
      <c r="W325">
        <f>ROUND(IF(VLOOKUP($A325,EnrollData2324,'2324 Jun 24 Enroll'!G$1,FALSE)='District Calculations'!$F$14,VLOOKUP($A325,EnrollData2324,'2324 Jun 24 Enroll'!G$1,FALSE),'District Calculations'!$F$14)*Apport_212A2425,3)</f>
        <v>8.2279999999999998</v>
      </c>
      <c r="X325">
        <f>ROUND(IF(VLOOKUP($A325,EnrollData2324,'2324 Jun 24 Enroll'!H$1,FALSE)='District Calculations'!$F$14,VLOOKUP($A325,EnrollData2324,'2324 Jun 24 Enroll'!H$1,FALSE),'District Calculations'!$F$14)*Apport_215A2425,3)</f>
        <v>8.1180000000000003</v>
      </c>
      <c r="Y325">
        <f>ROUND(IF(VLOOKUP($A325,EnrollData2324,'2324 Jun 24 Enroll'!I$1,FALSE)+VLOOKUP($A325,EnrollData2324,'2324 Jun 24 Enroll'!M$1,FALSE)-VLOOKUP($A325,EnrollData2324,'2324 Jun 24 Enroll'!J$1,FALSE)='District Calculations'!$F$16+'District Calculations'!$F$25-'District Calculations'!$F$17,VLOOKUP($A325,EnrollData2324,'2324 Jun 24 Enroll'!I$1,FALSE)+VLOOKUP($A325,EnrollData2324,'2324 Jun 24 Enroll'!M$1,FALSE)-VLOOKUP($A325,EnrollData2324,'2324 Jun 24 Enroll'!J$1,FALSE),'District Calculations'!$F$16+'District Calculations'!$F$25-'District Calculations'!$F$17)*Apport_218A2425,3)</f>
        <v>20.257999999999999</v>
      </c>
      <c r="Z325">
        <f>ROUND(SUM(T325:Y325)/IF(VLOOKUP($A325,EnrollData2324,'2324 Jun 24 Enroll'!M$1,FALSE)+VLOOKUP($A325,EnrollData2324,'2324 Jun 24 Enroll'!D$1,FALSE)='District Calculations'!$F$25+'District Calculations'!$F$11,VLOOKUP($A325,EnrollData2324,'2324 Jun 24 Enroll'!M$1,FALSE)+VLOOKUP($A325,EnrollData2324,'2324 Jun 24 Enroll'!D$1,FALSE),'District Calculations'!$F$25+'District Calculations'!$F$11),5)</f>
        <v>1.7780000000000001E-2</v>
      </c>
      <c r="AA325" s="6">
        <f>ROUND($J325*CIS_Base_Salary2425*VLOOKUP($A325,EnrollData2324,'2324 Jun 24 Enroll'!AH$1,FALSE),2)</f>
        <v>4262.68</v>
      </c>
      <c r="AB325" s="6">
        <f>ROUND($J325*CIS_Inc_Salary2425*(VLOOKUP($A325,EnrollData2324,'2324 Jun 24 Enroll'!AI$1,FALSE)+VLOOKUP($A325,EnrollData2324,'2324 Jun 24 Enroll'!AJ$1,FALSE)),2)-AA325</f>
        <v>157.6899999999996</v>
      </c>
      <c r="AC325" s="6" cm="1">
        <f t="array" ref="AC325">ROUND($R325*CAS_Base_Salary2425*VLOOKUP($A325,EnrollData2324,'2324 Jun 24 Enroll'!AH$1,FALSE),2)</f>
        <v>461.23</v>
      </c>
      <c r="AD325" s="6">
        <f>ROUND($R325*CAS_Inc_Salary2425*VLOOKUP($A325,EnrollData2324,'2324 Jun 24 Enroll'!AI$1,FALSE),2)-AC325</f>
        <v>17.069999999999993</v>
      </c>
      <c r="AE325" s="6">
        <f>ROUND($Z325*CLS_Base_Salary2425*VLOOKUP($A325,EnrollData2324,'2324 Jun 24 Enroll'!AH$1,FALSE),2)</f>
        <v>961.95</v>
      </c>
      <c r="AF325" s="6">
        <f>ROUND($Z325*CLS_Inc_Salary2425*VLOOKUP($A325,EnrollData2324,'2324 Jun 24 Enroll'!AI$1,FALSE),2)-AE325</f>
        <v>35.599999999999909</v>
      </c>
      <c r="AG325" cm="1">
        <f t="array" ref="AG325">ROUND(($J325+$R325)*Apport_124X2425,2)</f>
        <v>800.45</v>
      </c>
      <c r="AH325" s="69" cm="1">
        <f t="array" ref="AH325">ROUND(($J325+$R325)*Apport_621X2425*Apport_125XC2425,2)-AG325</f>
        <v>73.899999999999977</v>
      </c>
      <c r="AI325" cm="1">
        <f t="array" ref="AI325">ROUND($Z325*Apport_124X2425,2)</f>
        <v>234.7</v>
      </c>
      <c r="AJ325">
        <f t="shared" si="62"/>
        <v>124.71000000000004</v>
      </c>
      <c r="AK325">
        <f t="shared" si="63"/>
        <v>857.39</v>
      </c>
      <c r="AL325">
        <f t="shared" si="64"/>
        <v>30.6</v>
      </c>
      <c r="AM325">
        <f t="shared" si="65"/>
        <v>208.36</v>
      </c>
      <c r="AN325">
        <f t="shared" si="66"/>
        <v>6.46</v>
      </c>
      <c r="AO325">
        <f>ROUND(($J325*CIS_Inc_Salary2425*(VLOOKUP($A325,EnrollData2324,'2324 Jun 24 Enroll'!AI$1,FALSE)+VLOOKUP($A325,EnrollData2324,'2324 Jun 24 Enroll'!AJ$1,FALSE))/Apport_613Xpd)*Apport_614Xpd,2)</f>
        <v>73.67</v>
      </c>
      <c r="AP325">
        <f t="shared" si="67"/>
        <v>12.9</v>
      </c>
      <c r="AQ325">
        <f t="shared" si="68"/>
        <v>31.48</v>
      </c>
      <c r="AR325" s="6">
        <f>ROUND((VLOOKUP($A325,EnrollData2324,'2324 Jun 24 Enroll'!D$1,FALSE)*Apport_M802425+VLOOKUP($A325,EnrollData2324,'2324 Jun 24 Enroll'!M$1,FALSE)*Apport_M802425+(VLOOKUP($A325,EnrollData2324,'2324 Jun 24 Enroll'!P$1,FALSE)+VLOOKUP($A325,EnrollData2324,'2324 Jun 24 Enroll'!Q$1,FALSE)+VLOOKUP($A325,EnrollData2324,'2324 Jun 24 Enroll'!R$1,FALSE)+VLOOKUP($A325,EnrollData2324,'2324 Jun 24 Enroll'!I$1,FALSE)+VLOOKUP($A325,EnrollData2324,'2324 Jun 24 Enroll'!N$1,FALSE)+VLOOKUP($A325,EnrollData2324,'2324 Jun 24 Enroll'!O$1,FALSE)+VLOOKUP($A325,EnrollData2324,'2324 Jun 24 Enroll'!K$1,FALSE)+VLOOKUP($A325,EnrollData2324,'2324 Jun 24 Enroll'!L$1,FALSE))*Apport_M812425)/(VLOOKUP($A325,EnrollData2324,'2324 Jun 24 Enroll'!M$1,FALSE)+VLOOKUP($A325,EnrollData2324,'2324 Jun 24 Enroll'!D$1,FALSE)),2)</f>
        <v>1712.17</v>
      </c>
      <c r="AS325" s="7">
        <f t="shared" si="69"/>
        <v>10063.009999999998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508</vt:i4>
      </vt:variant>
    </vt:vector>
  </HeadingPairs>
  <TitlesOfParts>
    <vt:vector size="526" baseType="lpstr">
      <vt:lpstr>Instructions</vt:lpstr>
      <vt:lpstr>Funding Survey</vt:lpstr>
      <vt:lpstr>District Calculations</vt:lpstr>
      <vt:lpstr>ESA Calculations 2324</vt:lpstr>
      <vt:lpstr>ESA Calculations 2324 Supp</vt:lpstr>
      <vt:lpstr>ESA Calculations 2425</vt:lpstr>
      <vt:lpstr>SpEd BEA Rate 2324</vt:lpstr>
      <vt:lpstr>SpEd BEA Rate 2324 Supp</vt:lpstr>
      <vt:lpstr>SpEd BEA Rate 2425</vt:lpstr>
      <vt:lpstr>2324 State Constant</vt:lpstr>
      <vt:lpstr>2324 State Constant Supp</vt:lpstr>
      <vt:lpstr>2425 State Constant</vt:lpstr>
      <vt:lpstr>2324 Jun 24 Enroll</vt:lpstr>
      <vt:lpstr>Mar 2324 Calcs</vt:lpstr>
      <vt:lpstr>Prior SpEd Rates and Enroll</vt:lpstr>
      <vt:lpstr>F196&amp;F195 Program 21</vt:lpstr>
      <vt:lpstr>S275 detail</vt:lpstr>
      <vt:lpstr>CCDDD</vt:lpstr>
      <vt:lpstr>'2324 State Constant Supp'!Apport_089A</vt:lpstr>
      <vt:lpstr>'2425 State Constant'!Apport_089A</vt:lpstr>
      <vt:lpstr>Apport_089A</vt:lpstr>
      <vt:lpstr>'2324 State Constant Supp'!Apport_090A</vt:lpstr>
      <vt:lpstr>'2425 State Constant'!Apport_090A</vt:lpstr>
      <vt:lpstr>Apport_090A</vt:lpstr>
      <vt:lpstr>'2324 State Constant Supp'!Apport_091A</vt:lpstr>
      <vt:lpstr>'2425 State Constant'!Apport_091A</vt:lpstr>
      <vt:lpstr>Apport_091A</vt:lpstr>
      <vt:lpstr>'2324 State Constant Supp'!Apport_092A</vt:lpstr>
      <vt:lpstr>'2425 State Constant'!Apport_092A</vt:lpstr>
      <vt:lpstr>Apport_092A</vt:lpstr>
      <vt:lpstr>'2324 State Constant Supp'!Apport_093A</vt:lpstr>
      <vt:lpstr>'2425 State Constant'!Apport_093A</vt:lpstr>
      <vt:lpstr>Apport_093A</vt:lpstr>
      <vt:lpstr>'2324 State Constant Supp'!Apport_094A</vt:lpstr>
      <vt:lpstr>'2425 State Constant'!Apport_094A</vt:lpstr>
      <vt:lpstr>Apport_094A</vt:lpstr>
      <vt:lpstr>'2324 State Constant Supp'!Apport_095A</vt:lpstr>
      <vt:lpstr>'2425 State Constant'!Apport_095A</vt:lpstr>
      <vt:lpstr>Apport_095A</vt:lpstr>
      <vt:lpstr>'2324 State Constant Supp'!Apport_096A</vt:lpstr>
      <vt:lpstr>'2425 State Constant'!Apport_096A</vt:lpstr>
      <vt:lpstr>Apport_096A</vt:lpstr>
      <vt:lpstr>'2324 State Constant Supp'!Apport_097A</vt:lpstr>
      <vt:lpstr>'2425 State Constant'!Apport_097A</vt:lpstr>
      <vt:lpstr>Apport_097A</vt:lpstr>
      <vt:lpstr>'2324 State Constant Supp'!Apport_098A</vt:lpstr>
      <vt:lpstr>'2425 State Constant'!Apport_098A</vt:lpstr>
      <vt:lpstr>Apport_098A</vt:lpstr>
      <vt:lpstr>'2324 State Constant Supp'!Apport_116X</vt:lpstr>
      <vt:lpstr>'2425 State Constant'!Apport_116X</vt:lpstr>
      <vt:lpstr>Apport_116X</vt:lpstr>
      <vt:lpstr>Apport_124X2324</vt:lpstr>
      <vt:lpstr>Apport_124X2324s</vt:lpstr>
      <vt:lpstr>Apport_124X2425</vt:lpstr>
      <vt:lpstr>Apport_125X2324</vt:lpstr>
      <vt:lpstr>Apport_125X2324s</vt:lpstr>
      <vt:lpstr>Apport_125X2425</vt:lpstr>
      <vt:lpstr>Apport_125XC2324</vt:lpstr>
      <vt:lpstr>Apport_125XC2324s</vt:lpstr>
      <vt:lpstr>Apport_125XC2425</vt:lpstr>
      <vt:lpstr>Apport_126X2324</vt:lpstr>
      <vt:lpstr>Apport_126X2324s</vt:lpstr>
      <vt:lpstr>Apport_126X2425</vt:lpstr>
      <vt:lpstr>Apport_127X2324</vt:lpstr>
      <vt:lpstr>Apport_127X2324s</vt:lpstr>
      <vt:lpstr>Apport_127X2425</vt:lpstr>
      <vt:lpstr>Apport_128X2324</vt:lpstr>
      <vt:lpstr>Apport_128X2324s</vt:lpstr>
      <vt:lpstr>Apport_128X2425</vt:lpstr>
      <vt:lpstr>Apport_129X2324</vt:lpstr>
      <vt:lpstr>Apport_129X2324s</vt:lpstr>
      <vt:lpstr>Apport_129X2425</vt:lpstr>
      <vt:lpstr>'2425 State Constant'!Apport_132X</vt:lpstr>
      <vt:lpstr>Apport_132X</vt:lpstr>
      <vt:lpstr>'2324 State Constant Supp'!Apport_132X2324s</vt:lpstr>
      <vt:lpstr>'2324 State Constant Supp'!Apport_201A</vt:lpstr>
      <vt:lpstr>'2425 State Constant'!Apport_201A</vt:lpstr>
      <vt:lpstr>Apport_201A</vt:lpstr>
      <vt:lpstr>Apport_201A2324</vt:lpstr>
      <vt:lpstr>Apport_201A2324s</vt:lpstr>
      <vt:lpstr>Apport_201A2425</vt:lpstr>
      <vt:lpstr>'2324 State Constant Supp'!Apport_202A</vt:lpstr>
      <vt:lpstr>'2425 State Constant'!Apport_202A</vt:lpstr>
      <vt:lpstr>Apport_202A</vt:lpstr>
      <vt:lpstr>Apport_202A2324</vt:lpstr>
      <vt:lpstr>Apport_202A2324s</vt:lpstr>
      <vt:lpstr>Apport_202A2425</vt:lpstr>
      <vt:lpstr>'2324 State Constant Supp'!Apport_203A</vt:lpstr>
      <vt:lpstr>'2425 State Constant'!Apport_203A</vt:lpstr>
      <vt:lpstr>Apport_203A</vt:lpstr>
      <vt:lpstr>Apport_203A2324</vt:lpstr>
      <vt:lpstr>Apport_203A2324s</vt:lpstr>
      <vt:lpstr>Apport_203A2425</vt:lpstr>
      <vt:lpstr>'2324 State Constant Supp'!Apport_204A</vt:lpstr>
      <vt:lpstr>'2425 State Constant'!Apport_204A</vt:lpstr>
      <vt:lpstr>Apport_204A</vt:lpstr>
      <vt:lpstr>'2324 State Constant Supp'!Apport_204A_Old</vt:lpstr>
      <vt:lpstr>'2425 State Constant'!Apport_204A_Old</vt:lpstr>
      <vt:lpstr>Apport_204A_Old</vt:lpstr>
      <vt:lpstr>'2324 State Constant Supp'!Apport_205A</vt:lpstr>
      <vt:lpstr>'2425 State Constant'!Apport_205A</vt:lpstr>
      <vt:lpstr>Apport_205A</vt:lpstr>
      <vt:lpstr>'2324 State Constant Supp'!Apport_205A_Old</vt:lpstr>
      <vt:lpstr>'2425 State Constant'!Apport_205A_Old</vt:lpstr>
      <vt:lpstr>Apport_205A_Old</vt:lpstr>
      <vt:lpstr>'2324 State Constant Supp'!Apport_206A</vt:lpstr>
      <vt:lpstr>'2425 State Constant'!Apport_206A</vt:lpstr>
      <vt:lpstr>Apport_206A</vt:lpstr>
      <vt:lpstr>'2324 State Constant Supp'!Apport_210A</vt:lpstr>
      <vt:lpstr>'2425 State Constant'!Apport_210A</vt:lpstr>
      <vt:lpstr>Apport_210A</vt:lpstr>
      <vt:lpstr>Apport_210A2324</vt:lpstr>
      <vt:lpstr>Apport_210A2324s</vt:lpstr>
      <vt:lpstr>Apport_210A2425</vt:lpstr>
      <vt:lpstr>'2324 State Constant Supp'!Apport_211A</vt:lpstr>
      <vt:lpstr>'2425 State Constant'!Apport_211A</vt:lpstr>
      <vt:lpstr>Apport_211A</vt:lpstr>
      <vt:lpstr>Apport_211A2324</vt:lpstr>
      <vt:lpstr>Apport_211A2324s</vt:lpstr>
      <vt:lpstr>Apport_211A2425</vt:lpstr>
      <vt:lpstr>'2324 State Constant Supp'!Apport_212A</vt:lpstr>
      <vt:lpstr>'2425 State Constant'!Apport_212A</vt:lpstr>
      <vt:lpstr>Apport_212A</vt:lpstr>
      <vt:lpstr>Apport_212A2324</vt:lpstr>
      <vt:lpstr>Apport_212A2324s</vt:lpstr>
      <vt:lpstr>Apport_212A2425</vt:lpstr>
      <vt:lpstr>'2324 State Constant Supp'!Apport_213A</vt:lpstr>
      <vt:lpstr>'2425 State Constant'!Apport_213A</vt:lpstr>
      <vt:lpstr>Apport_213A</vt:lpstr>
      <vt:lpstr>Apport_213A2324</vt:lpstr>
      <vt:lpstr>Apport_213A2324s</vt:lpstr>
      <vt:lpstr>Apport_213A2425</vt:lpstr>
      <vt:lpstr>'2324 State Constant Supp'!Apport_214A</vt:lpstr>
      <vt:lpstr>'2425 State Constant'!Apport_214A</vt:lpstr>
      <vt:lpstr>Apport_214A</vt:lpstr>
      <vt:lpstr>Apport_214A2324</vt:lpstr>
      <vt:lpstr>Apport_214A2324s</vt:lpstr>
      <vt:lpstr>Apport_214A2425</vt:lpstr>
      <vt:lpstr>'2324 State Constant Supp'!Apport_215A</vt:lpstr>
      <vt:lpstr>'2425 State Constant'!Apport_215A</vt:lpstr>
      <vt:lpstr>Apport_215A</vt:lpstr>
      <vt:lpstr>Apport_215A2324</vt:lpstr>
      <vt:lpstr>Apport_215A2324s</vt:lpstr>
      <vt:lpstr>Apport_215A2425</vt:lpstr>
      <vt:lpstr>'2324 State Constant Supp'!Apport_216A</vt:lpstr>
      <vt:lpstr>'2425 State Constant'!Apport_216A</vt:lpstr>
      <vt:lpstr>Apport_216A</vt:lpstr>
      <vt:lpstr>Apport_216A2324</vt:lpstr>
      <vt:lpstr>Apport_216A2324s</vt:lpstr>
      <vt:lpstr>Apport_216A2425</vt:lpstr>
      <vt:lpstr>'2324 State Constant Supp'!Apport_217A</vt:lpstr>
      <vt:lpstr>'2425 State Constant'!Apport_217A</vt:lpstr>
      <vt:lpstr>Apport_217A2324</vt:lpstr>
      <vt:lpstr>Apport_217A2324s</vt:lpstr>
      <vt:lpstr>Apport_217A2425</vt:lpstr>
      <vt:lpstr>'2324 State Constant Supp'!Apport_218A</vt:lpstr>
      <vt:lpstr>'2425 State Constant'!Apport_218A</vt:lpstr>
      <vt:lpstr>Apport_218A</vt:lpstr>
      <vt:lpstr>Apport_218A2324</vt:lpstr>
      <vt:lpstr>Apport_218A2324s</vt:lpstr>
      <vt:lpstr>Apport_218A2425</vt:lpstr>
      <vt:lpstr>'2324 State Constant Supp'!Apport_221A</vt:lpstr>
      <vt:lpstr>'2425 State Constant'!Apport_221A</vt:lpstr>
      <vt:lpstr>Apport_221A</vt:lpstr>
      <vt:lpstr>'2324 State Constant Supp'!Apport_222A</vt:lpstr>
      <vt:lpstr>'2425 State Constant'!Apport_222A</vt:lpstr>
      <vt:lpstr>Apport_222A</vt:lpstr>
      <vt:lpstr>Apport_222A2324</vt:lpstr>
      <vt:lpstr>Apport_222A2324s</vt:lpstr>
      <vt:lpstr>Apport_222A2425</vt:lpstr>
      <vt:lpstr>'2324 State Constant Supp'!Apport_223A</vt:lpstr>
      <vt:lpstr>'2425 State Constant'!Apport_223A</vt:lpstr>
      <vt:lpstr>Apport_223A</vt:lpstr>
      <vt:lpstr>Apport_223A2324</vt:lpstr>
      <vt:lpstr>Apport_223A2324s</vt:lpstr>
      <vt:lpstr>Apport_223A2425</vt:lpstr>
      <vt:lpstr>'2324 State Constant Supp'!Apport_224A</vt:lpstr>
      <vt:lpstr>'2425 State Constant'!Apport_224A</vt:lpstr>
      <vt:lpstr>Apport_224A</vt:lpstr>
      <vt:lpstr>Apport_224A2324</vt:lpstr>
      <vt:lpstr>Apport_224A2324s</vt:lpstr>
      <vt:lpstr>Apport_224A2425</vt:lpstr>
      <vt:lpstr>'2324 State Constant Supp'!Apport_226A</vt:lpstr>
      <vt:lpstr>'2425 State Constant'!Apport_226A</vt:lpstr>
      <vt:lpstr>Apport_226A</vt:lpstr>
      <vt:lpstr>'2324 State Constant Supp'!Apport_499X</vt:lpstr>
      <vt:lpstr>'2425 State Constant'!Apport_499X</vt:lpstr>
      <vt:lpstr>Apport_499X</vt:lpstr>
      <vt:lpstr>'2324 State Constant Supp'!Apport_501X</vt:lpstr>
      <vt:lpstr>'2425 State Constant'!Apport_501X</vt:lpstr>
      <vt:lpstr>Apport_501X</vt:lpstr>
      <vt:lpstr>'2324 State Constant Supp'!Apport_502X</vt:lpstr>
      <vt:lpstr>'2425 State Constant'!Apport_502X</vt:lpstr>
      <vt:lpstr>Apport_502X</vt:lpstr>
      <vt:lpstr>'2324 State Constant Supp'!Apport_502X_Old</vt:lpstr>
      <vt:lpstr>'2425 State Constant'!Apport_502X_Old</vt:lpstr>
      <vt:lpstr>Apport_502X_Old</vt:lpstr>
      <vt:lpstr>'2324 State Constant Supp'!Apport_504X</vt:lpstr>
      <vt:lpstr>'2425 State Constant'!Apport_504X</vt:lpstr>
      <vt:lpstr>Apport_504X</vt:lpstr>
      <vt:lpstr>'2324 State Constant Supp'!Apport_508X</vt:lpstr>
      <vt:lpstr>'2425 State Constant'!Apport_508X</vt:lpstr>
      <vt:lpstr>Apport_508X</vt:lpstr>
      <vt:lpstr>'2324 State Constant Supp'!Apport_509X</vt:lpstr>
      <vt:lpstr>'2425 State Constant'!Apport_509X</vt:lpstr>
      <vt:lpstr>Apport_509X</vt:lpstr>
      <vt:lpstr>'2324 State Constant Supp'!Apport_510X</vt:lpstr>
      <vt:lpstr>'2425 State Constant'!Apport_510X</vt:lpstr>
      <vt:lpstr>Apport_510X</vt:lpstr>
      <vt:lpstr>'2324 State Constant Supp'!Apport_511X</vt:lpstr>
      <vt:lpstr>'2425 State Constant'!Apport_511X</vt:lpstr>
      <vt:lpstr>Apport_511X</vt:lpstr>
      <vt:lpstr>'2324 State Constant Supp'!Apport_512X</vt:lpstr>
      <vt:lpstr>'2425 State Constant'!Apport_512X</vt:lpstr>
      <vt:lpstr>Apport_512X</vt:lpstr>
      <vt:lpstr>'2324 State Constant Supp'!Apport_513X</vt:lpstr>
      <vt:lpstr>'2425 State Constant'!Apport_513X</vt:lpstr>
      <vt:lpstr>Apport_513X</vt:lpstr>
      <vt:lpstr>'2324 State Constant Supp'!Apport_514X</vt:lpstr>
      <vt:lpstr>'2425 State Constant'!Apport_514X</vt:lpstr>
      <vt:lpstr>Apport_514X</vt:lpstr>
      <vt:lpstr>'2324 State Constant Supp'!Apport_515X</vt:lpstr>
      <vt:lpstr>'2425 State Constant'!Apport_515X</vt:lpstr>
      <vt:lpstr>Apport_515X</vt:lpstr>
      <vt:lpstr>'2324 State Constant Supp'!Apport_516X</vt:lpstr>
      <vt:lpstr>'2425 State Constant'!Apport_516X</vt:lpstr>
      <vt:lpstr>Apport_516X</vt:lpstr>
      <vt:lpstr>'2324 State Constant Supp'!Apport_517X</vt:lpstr>
      <vt:lpstr>'2425 State Constant'!Apport_517X</vt:lpstr>
      <vt:lpstr>Apport_517X</vt:lpstr>
      <vt:lpstr>'2324 State Constant Supp'!Apport_518X</vt:lpstr>
      <vt:lpstr>'2425 State Constant'!Apport_518X</vt:lpstr>
      <vt:lpstr>Apport_518X</vt:lpstr>
      <vt:lpstr>'2324 State Constant Supp'!Apport_519X</vt:lpstr>
      <vt:lpstr>'2425 State Constant'!Apport_519X</vt:lpstr>
      <vt:lpstr>Apport_519X</vt:lpstr>
      <vt:lpstr>'2324 State Constant Supp'!Apport_520X</vt:lpstr>
      <vt:lpstr>'2425 State Constant'!Apport_520X</vt:lpstr>
      <vt:lpstr>Apport_520X</vt:lpstr>
      <vt:lpstr>'2324 State Constant Supp'!Apport_524X</vt:lpstr>
      <vt:lpstr>'2425 State Constant'!Apport_524X</vt:lpstr>
      <vt:lpstr>Apport_524X</vt:lpstr>
      <vt:lpstr>'2324 State Constant Supp'!Apport_525X</vt:lpstr>
      <vt:lpstr>'2425 State Constant'!Apport_525X</vt:lpstr>
      <vt:lpstr>Apport_525X</vt:lpstr>
      <vt:lpstr>'2324 State Constant Supp'!Apport_526X</vt:lpstr>
      <vt:lpstr>'2425 State Constant'!Apport_526X</vt:lpstr>
      <vt:lpstr>Apport_526X</vt:lpstr>
      <vt:lpstr>'2324 State Constant Supp'!Apport_527X</vt:lpstr>
      <vt:lpstr>'2425 State Constant'!Apport_527X</vt:lpstr>
      <vt:lpstr>Apport_527X</vt:lpstr>
      <vt:lpstr>'2324 State Constant Supp'!Apport_528X</vt:lpstr>
      <vt:lpstr>'2425 State Constant'!Apport_528X</vt:lpstr>
      <vt:lpstr>Apport_528X</vt:lpstr>
      <vt:lpstr>'2324 State Constant Supp'!Apport_529X</vt:lpstr>
      <vt:lpstr>'2425 State Constant'!Apport_529X</vt:lpstr>
      <vt:lpstr>Apport_529X</vt:lpstr>
      <vt:lpstr>'2324 State Constant Supp'!Apport_530X</vt:lpstr>
      <vt:lpstr>'2425 State Constant'!Apport_530X</vt:lpstr>
      <vt:lpstr>Apport_530X</vt:lpstr>
      <vt:lpstr>'2324 State Constant Supp'!Apport_531X</vt:lpstr>
      <vt:lpstr>'2425 State Constant'!Apport_531X</vt:lpstr>
      <vt:lpstr>Apport_531X</vt:lpstr>
      <vt:lpstr>'2324 State Constant Supp'!Apport_532X</vt:lpstr>
      <vt:lpstr>'2425 State Constant'!Apport_532X</vt:lpstr>
      <vt:lpstr>Apport_532X</vt:lpstr>
      <vt:lpstr>'2324 State Constant Supp'!Apport_533X</vt:lpstr>
      <vt:lpstr>'2425 State Constant'!Apport_533X</vt:lpstr>
      <vt:lpstr>Apport_533X</vt:lpstr>
      <vt:lpstr>'2324 State Constant Supp'!Apport_534X</vt:lpstr>
      <vt:lpstr>'2425 State Constant'!Apport_534X</vt:lpstr>
      <vt:lpstr>Apport_534X</vt:lpstr>
      <vt:lpstr>'2324 State Constant Supp'!Apport_535X</vt:lpstr>
      <vt:lpstr>'2425 State Constant'!Apport_535X</vt:lpstr>
      <vt:lpstr>Apport_535X</vt:lpstr>
      <vt:lpstr>'2324 State Constant Supp'!Apport_536X</vt:lpstr>
      <vt:lpstr>'2425 State Constant'!Apport_536X</vt:lpstr>
      <vt:lpstr>Apport_536X</vt:lpstr>
      <vt:lpstr>'2324 State Constant Supp'!Apport_540X</vt:lpstr>
      <vt:lpstr>'2425 State Constant'!Apport_540X</vt:lpstr>
      <vt:lpstr>Apport_540X</vt:lpstr>
      <vt:lpstr>'2324 State Constant Supp'!Apport_541X</vt:lpstr>
      <vt:lpstr>'2425 State Constant'!Apport_541X</vt:lpstr>
      <vt:lpstr>Apport_541X</vt:lpstr>
      <vt:lpstr>'2324 State Constant Supp'!Apport_542X</vt:lpstr>
      <vt:lpstr>'2425 State Constant'!Apport_542X</vt:lpstr>
      <vt:lpstr>Apport_542X</vt:lpstr>
      <vt:lpstr>'2324 State Constant Supp'!Apport_543X</vt:lpstr>
      <vt:lpstr>'2425 State Constant'!Apport_543X</vt:lpstr>
      <vt:lpstr>Apport_543X</vt:lpstr>
      <vt:lpstr>'2324 State Constant Supp'!Apport_544X</vt:lpstr>
      <vt:lpstr>'2425 State Constant'!Apport_544X</vt:lpstr>
      <vt:lpstr>Apport_544X</vt:lpstr>
      <vt:lpstr>'2324 State Constant Supp'!Apport_545X</vt:lpstr>
      <vt:lpstr>'2425 State Constant'!Apport_545X</vt:lpstr>
      <vt:lpstr>Apport_545X</vt:lpstr>
      <vt:lpstr>'2324 State Constant Supp'!Apport_546X</vt:lpstr>
      <vt:lpstr>'2425 State Constant'!Apport_546X</vt:lpstr>
      <vt:lpstr>Apport_546X</vt:lpstr>
      <vt:lpstr>'2324 State Constant Supp'!Apport_547X</vt:lpstr>
      <vt:lpstr>'2425 State Constant'!Apport_547X</vt:lpstr>
      <vt:lpstr>Apport_547X</vt:lpstr>
      <vt:lpstr>'2324 State Constant Supp'!Apport_548X</vt:lpstr>
      <vt:lpstr>'2425 State Constant'!Apport_548X</vt:lpstr>
      <vt:lpstr>Apport_548X</vt:lpstr>
      <vt:lpstr>'2324 State Constant Supp'!Apport_549X</vt:lpstr>
      <vt:lpstr>'2425 State Constant'!Apport_549X</vt:lpstr>
      <vt:lpstr>Apport_549X</vt:lpstr>
      <vt:lpstr>'2324 State Constant Supp'!Apport_550X</vt:lpstr>
      <vt:lpstr>'2425 State Constant'!Apport_550X</vt:lpstr>
      <vt:lpstr>Apport_550X</vt:lpstr>
      <vt:lpstr>'2324 State Constant Supp'!Apport_551X</vt:lpstr>
      <vt:lpstr>'2425 State Constant'!Apport_551X</vt:lpstr>
      <vt:lpstr>Apport_551X</vt:lpstr>
      <vt:lpstr>'2324 State Constant Supp'!Apport_552X</vt:lpstr>
      <vt:lpstr>'2425 State Constant'!Apport_552X</vt:lpstr>
      <vt:lpstr>Apport_552X</vt:lpstr>
      <vt:lpstr>'2324 State Constant Supp'!Apport_553X</vt:lpstr>
      <vt:lpstr>'2425 State Constant'!Apport_553X</vt:lpstr>
      <vt:lpstr>Apport_553X</vt:lpstr>
      <vt:lpstr>'2324 State Constant Supp'!Apport_554X</vt:lpstr>
      <vt:lpstr>'2425 State Constant'!Apport_554X</vt:lpstr>
      <vt:lpstr>Apport_554X</vt:lpstr>
      <vt:lpstr>'2324 State Constant Supp'!Apport_555X</vt:lpstr>
      <vt:lpstr>'2425 State Constant'!Apport_555X</vt:lpstr>
      <vt:lpstr>Apport_555X</vt:lpstr>
      <vt:lpstr>'2324 State Constant Supp'!Apport_556X</vt:lpstr>
      <vt:lpstr>'2425 State Constant'!Apport_556X</vt:lpstr>
      <vt:lpstr>Apport_556X</vt:lpstr>
      <vt:lpstr>'2324 State Constant Supp'!Apport_557X</vt:lpstr>
      <vt:lpstr>'2425 State Constant'!Apport_557X</vt:lpstr>
      <vt:lpstr>Apport_557X</vt:lpstr>
      <vt:lpstr>'2324 State Constant Supp'!Apport_558X</vt:lpstr>
      <vt:lpstr>'2425 State Constant'!Apport_558X</vt:lpstr>
      <vt:lpstr>Apport_558X</vt:lpstr>
      <vt:lpstr>'2324 State Constant Supp'!Apport_559X</vt:lpstr>
      <vt:lpstr>'2425 State Constant'!Apport_559X</vt:lpstr>
      <vt:lpstr>Apport_559X</vt:lpstr>
      <vt:lpstr>'2324 State Constant Supp'!Apport_561X</vt:lpstr>
      <vt:lpstr>'2425 State Constant'!Apport_561X</vt:lpstr>
      <vt:lpstr>Apport_561X</vt:lpstr>
      <vt:lpstr>'2324 State Constant Supp'!Apport_565X</vt:lpstr>
      <vt:lpstr>'2425 State Constant'!Apport_565X</vt:lpstr>
      <vt:lpstr>Apport_565X</vt:lpstr>
      <vt:lpstr>'2324 State Constant Supp'!Apport_573X</vt:lpstr>
      <vt:lpstr>'2425 State Constant'!Apport_573X</vt:lpstr>
      <vt:lpstr>Apport_573X</vt:lpstr>
      <vt:lpstr>'2324 State Constant Supp'!Apport_581X</vt:lpstr>
      <vt:lpstr>'2425 State Constant'!Apport_581X</vt:lpstr>
      <vt:lpstr>Apport_581X</vt:lpstr>
      <vt:lpstr>'2324 State Constant Supp'!Apport_613Xpd</vt:lpstr>
      <vt:lpstr>'2425 State Constant'!Apport_613Xpd</vt:lpstr>
      <vt:lpstr>Apport_613Xpd</vt:lpstr>
      <vt:lpstr>'2324 State Constant Supp'!Apport_614Xpd</vt:lpstr>
      <vt:lpstr>'2425 State Constant'!Apport_614Xpd</vt:lpstr>
      <vt:lpstr>Apport_614Xpd</vt:lpstr>
      <vt:lpstr>'2425 State Constant'!Apport_621X</vt:lpstr>
      <vt:lpstr>Apport_621X</vt:lpstr>
      <vt:lpstr>Apport_621X2324</vt:lpstr>
      <vt:lpstr>Apport_621X2324s</vt:lpstr>
      <vt:lpstr>Apport_621X2425</vt:lpstr>
      <vt:lpstr>'2324 State Constant Supp'!Apport_D62</vt:lpstr>
      <vt:lpstr>'2425 State Constant'!Apport_D62</vt:lpstr>
      <vt:lpstr>Apport_D62</vt:lpstr>
      <vt:lpstr>'2324 State Constant Supp'!Apport_M1</vt:lpstr>
      <vt:lpstr>'2425 State Constant'!Apport_M1</vt:lpstr>
      <vt:lpstr>Apport_M1</vt:lpstr>
      <vt:lpstr>'2324 State Constant Supp'!Apport_M10</vt:lpstr>
      <vt:lpstr>'2425 State Constant'!Apport_M10</vt:lpstr>
      <vt:lpstr>Apport_M10</vt:lpstr>
      <vt:lpstr>'2324 State Constant Supp'!Apport_M11</vt:lpstr>
      <vt:lpstr>'2425 State Constant'!Apport_M11</vt:lpstr>
      <vt:lpstr>Apport_M11</vt:lpstr>
      <vt:lpstr>'2324 State Constant Supp'!Apport_M12LL</vt:lpstr>
      <vt:lpstr>'2425 State Constant'!Apport_M12LL</vt:lpstr>
      <vt:lpstr>Apport_M12LL</vt:lpstr>
      <vt:lpstr>'2324 State Constant Supp'!Apport_M12SL</vt:lpstr>
      <vt:lpstr>'2425 State Constant'!Apport_M12SL</vt:lpstr>
      <vt:lpstr>Apport_M12SL</vt:lpstr>
      <vt:lpstr>'2324 State Constant Supp'!Apport_M13</vt:lpstr>
      <vt:lpstr>'2425 State Constant'!Apport_M13</vt:lpstr>
      <vt:lpstr>Apport_M13</vt:lpstr>
      <vt:lpstr>'2324 State Constant Supp'!Apport_M14</vt:lpstr>
      <vt:lpstr>'2425 State Constant'!Apport_M14</vt:lpstr>
      <vt:lpstr>Apport_M14</vt:lpstr>
      <vt:lpstr>'2324 State Constant Supp'!Apport_M15</vt:lpstr>
      <vt:lpstr>'2425 State Constant'!Apport_M15</vt:lpstr>
      <vt:lpstr>Apport_M15</vt:lpstr>
      <vt:lpstr>'2324 State Constant Supp'!Apport_M17</vt:lpstr>
      <vt:lpstr>'2425 State Constant'!Apport_M17</vt:lpstr>
      <vt:lpstr>Apport_M17</vt:lpstr>
      <vt:lpstr>'2324 State Constant Supp'!Apport_M18</vt:lpstr>
      <vt:lpstr>'2425 State Constant'!Apport_M18</vt:lpstr>
      <vt:lpstr>Apport_M18</vt:lpstr>
      <vt:lpstr>'2324 State Constant Supp'!Apport_M19</vt:lpstr>
      <vt:lpstr>'2425 State Constant'!Apport_M19</vt:lpstr>
      <vt:lpstr>Apport_M19</vt:lpstr>
      <vt:lpstr>'2324 State Constant Supp'!Apport_M2</vt:lpstr>
      <vt:lpstr>'2425 State Constant'!Apport_M2</vt:lpstr>
      <vt:lpstr>Apport_M2</vt:lpstr>
      <vt:lpstr>'2324 State Constant Supp'!Apport_M20LC</vt:lpstr>
      <vt:lpstr>'2425 State Constant'!Apport_M20LC</vt:lpstr>
      <vt:lpstr>Apport_M20LC</vt:lpstr>
      <vt:lpstr>'2324 State Constant Supp'!Apport_M20SC</vt:lpstr>
      <vt:lpstr>'2425 State Constant'!Apport_M20SC</vt:lpstr>
      <vt:lpstr>Apport_M20SC</vt:lpstr>
      <vt:lpstr>'2324 State Constant Supp'!Apport_M21</vt:lpstr>
      <vt:lpstr>'2425 State Constant'!Apport_M21</vt:lpstr>
      <vt:lpstr>Apport_M21</vt:lpstr>
      <vt:lpstr>'2324 State Constant Supp'!Apport_M22</vt:lpstr>
      <vt:lpstr>'2425 State Constant'!Apport_M22</vt:lpstr>
      <vt:lpstr>Apport_M22</vt:lpstr>
      <vt:lpstr>'2324 State Constant Supp'!Apport_M23</vt:lpstr>
      <vt:lpstr>'2425 State Constant'!Apport_M23</vt:lpstr>
      <vt:lpstr>Apport_M23</vt:lpstr>
      <vt:lpstr>'2324 State Constant Supp'!Apport_M3</vt:lpstr>
      <vt:lpstr>'2425 State Constant'!Apport_M3</vt:lpstr>
      <vt:lpstr>Apport_M3</vt:lpstr>
      <vt:lpstr>'2324 State Constant Supp'!Apport_M33</vt:lpstr>
      <vt:lpstr>'2425 State Constant'!Apport_M33</vt:lpstr>
      <vt:lpstr>Apport_M33</vt:lpstr>
      <vt:lpstr>'2324 State Constant Supp'!Apport_M34</vt:lpstr>
      <vt:lpstr>'2425 State Constant'!Apport_M34</vt:lpstr>
      <vt:lpstr>Apport_M34</vt:lpstr>
      <vt:lpstr>'2324 State Constant Supp'!Apport_M35</vt:lpstr>
      <vt:lpstr>'2425 State Constant'!Apport_M35</vt:lpstr>
      <vt:lpstr>Apport_M35</vt:lpstr>
      <vt:lpstr>'2324 State Constant Supp'!Apport_M36LS</vt:lpstr>
      <vt:lpstr>'2425 State Constant'!Apport_M36LS</vt:lpstr>
      <vt:lpstr>Apport_M36LS</vt:lpstr>
      <vt:lpstr>'2324 State Constant Supp'!Apport_M36SS</vt:lpstr>
      <vt:lpstr>'2425 State Constant'!Apport_M36SS</vt:lpstr>
      <vt:lpstr>Apport_M36SS</vt:lpstr>
      <vt:lpstr>'2324 State Constant Supp'!Apport_M37</vt:lpstr>
      <vt:lpstr>'2425 State Constant'!Apport_M37</vt:lpstr>
      <vt:lpstr>Apport_M37</vt:lpstr>
      <vt:lpstr>'2324 State Constant Supp'!Apport_M38</vt:lpstr>
      <vt:lpstr>'2425 State Constant'!Apport_M38</vt:lpstr>
      <vt:lpstr>Apport_M38</vt:lpstr>
      <vt:lpstr>'2324 State Constant Supp'!Apport_M39</vt:lpstr>
      <vt:lpstr>'2425 State Constant'!Apport_M39</vt:lpstr>
      <vt:lpstr>Apport_M39</vt:lpstr>
      <vt:lpstr>'2324 State Constant Supp'!Apport_M4L</vt:lpstr>
      <vt:lpstr>'2425 State Constant'!Apport_M4L</vt:lpstr>
      <vt:lpstr>Apport_M4L</vt:lpstr>
      <vt:lpstr>'2324 State Constant Supp'!Apport_M4S</vt:lpstr>
      <vt:lpstr>'2425 State Constant'!Apport_M4S</vt:lpstr>
      <vt:lpstr>Apport_M4S</vt:lpstr>
      <vt:lpstr>'2324 State Constant Supp'!Apport_M5</vt:lpstr>
      <vt:lpstr>'2425 State Constant'!Apport_M5</vt:lpstr>
      <vt:lpstr>Apport_M5</vt:lpstr>
      <vt:lpstr>'2324 State Constant Supp'!Apport_M6</vt:lpstr>
      <vt:lpstr>'2425 State Constant'!Apport_M6</vt:lpstr>
      <vt:lpstr>Apport_M6</vt:lpstr>
      <vt:lpstr>'2324 State Constant Supp'!Apport_M7</vt:lpstr>
      <vt:lpstr>'2425 State Constant'!Apport_M7</vt:lpstr>
      <vt:lpstr>Apport_M7</vt:lpstr>
      <vt:lpstr>Apport_M802324</vt:lpstr>
      <vt:lpstr>Apport_M802324s</vt:lpstr>
      <vt:lpstr>Apport_M802425</vt:lpstr>
      <vt:lpstr>Apport_M812324</vt:lpstr>
      <vt:lpstr>Apport_M812324s</vt:lpstr>
      <vt:lpstr>Apport_M812425</vt:lpstr>
      <vt:lpstr>'2324 State Constant Supp'!Apport_M9</vt:lpstr>
      <vt:lpstr>'2425 State Constant'!Apport_M9</vt:lpstr>
      <vt:lpstr>Apport_M9</vt:lpstr>
      <vt:lpstr>'2324 State Constant Supp'!Apport_Z315</vt:lpstr>
      <vt:lpstr>'2425 State Constant'!Apport_Z315</vt:lpstr>
      <vt:lpstr>Apport_Z315</vt:lpstr>
      <vt:lpstr>'2324 State Constant Supp'!Apport_Z316</vt:lpstr>
      <vt:lpstr>'2425 State Constant'!Apport_Z316</vt:lpstr>
      <vt:lpstr>Apport_Z316</vt:lpstr>
      <vt:lpstr>'2324 State Constant Supp'!Apport_Z317</vt:lpstr>
      <vt:lpstr>'2425 State Constant'!Apport_Z317</vt:lpstr>
      <vt:lpstr>Apport_Z317</vt:lpstr>
      <vt:lpstr>'2324 State Constant Supp'!Apport_Z318</vt:lpstr>
      <vt:lpstr>'2425 State Constant'!Apport_Z318</vt:lpstr>
      <vt:lpstr>Apport_Z318</vt:lpstr>
      <vt:lpstr>'2324 State Constant Supp'!Apport_Z319</vt:lpstr>
      <vt:lpstr>'2425 State Constant'!Apport_Z319</vt:lpstr>
      <vt:lpstr>Apport_Z319</vt:lpstr>
      <vt:lpstr>CAS_Base_Salary2324</vt:lpstr>
      <vt:lpstr>CAS_Base_Salary2324s</vt:lpstr>
      <vt:lpstr>CAS_Base_Salary2425</vt:lpstr>
      <vt:lpstr>CAS_Inc_Salary2324</vt:lpstr>
      <vt:lpstr>CAS_Inc_Salary2324s</vt:lpstr>
      <vt:lpstr>CAS_Inc_Salary2425</vt:lpstr>
      <vt:lpstr>CIS_Base_Salary2324</vt:lpstr>
      <vt:lpstr>CIS_Base_Salary2324s</vt:lpstr>
      <vt:lpstr>CIS_Base_Salary2425</vt:lpstr>
      <vt:lpstr>CIS_Inc_Salary2324</vt:lpstr>
      <vt:lpstr>CIS_Inc_Salary2324s</vt:lpstr>
      <vt:lpstr>CIS_Inc_Salary2425</vt:lpstr>
      <vt:lpstr>CLS_Base_Salary2324</vt:lpstr>
      <vt:lpstr>CLS_Base_Salary2324s</vt:lpstr>
      <vt:lpstr>CLS_Base_Salary2425</vt:lpstr>
      <vt:lpstr>CLS_Inc_Salary2324</vt:lpstr>
      <vt:lpstr>CLS_Inc_Salary2324s</vt:lpstr>
      <vt:lpstr>CLS_Inc_Salary2425</vt:lpstr>
      <vt:lpstr>'2324 State Constant Supp'!CTE_7_8_Planning</vt:lpstr>
      <vt:lpstr>'2425 State Constant'!CTE_7_8_Planning</vt:lpstr>
      <vt:lpstr>CTE_7_8_Planning</vt:lpstr>
      <vt:lpstr>'2324 State Constant Supp'!CTE_9_12_Class_Size</vt:lpstr>
      <vt:lpstr>'2425 State Constant'!CTE_9_12_Class_Size</vt:lpstr>
      <vt:lpstr>CTE_9_12_Class_Size</vt:lpstr>
      <vt:lpstr>'2324 State Constant Supp'!CTE_Planning</vt:lpstr>
      <vt:lpstr>'2425 State Constant'!CTE_Planning</vt:lpstr>
      <vt:lpstr>CTE_Planning</vt:lpstr>
      <vt:lpstr>EnrollData2324</vt:lpstr>
      <vt:lpstr>'2324 State Constant Supp'!Grade_7_8_Class_Size</vt:lpstr>
      <vt:lpstr>'2425 State Constant'!Grade_7_8_Class_Size</vt:lpstr>
      <vt:lpstr>Grade_7_8_Class_Size</vt:lpstr>
      <vt:lpstr>'2324 State Constant Supp'!Grade_7_8_Planning</vt:lpstr>
      <vt:lpstr>'2425 State Constant'!Grade_7_8_Planning</vt:lpstr>
      <vt:lpstr>Grade_7_8_Planning</vt:lpstr>
      <vt:lpstr>'2324 State Constant Supp'!Grade_9_12_Class_Size</vt:lpstr>
      <vt:lpstr>'2425 State Constant'!Grade_9_12_Class_Size</vt:lpstr>
      <vt:lpstr>Grade_9_12_Class_Size</vt:lpstr>
      <vt:lpstr>'2324 State Constant Supp'!Grade_9_12_Planning</vt:lpstr>
      <vt:lpstr>'2425 State Constant'!Grade_9_12_Planning</vt:lpstr>
      <vt:lpstr>Grade_9_12_Planning</vt:lpstr>
      <vt:lpstr>Instructions!Print_Area</vt:lpstr>
      <vt:lpstr>Prog21Data</vt:lpstr>
      <vt:lpstr>'SpEd BEA Rate 2324 Supp'!SpEdCalcRate</vt:lpstr>
      <vt:lpstr>'SpEd BEA Rate 2425'!SpEdCalcRate</vt:lpstr>
      <vt:lpstr>SpEdCalcRate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Jarmon</dc:creator>
  <cp:lastModifiedBy>Melissa Jarmon</cp:lastModifiedBy>
  <cp:lastPrinted>2024-09-13T19:59:12Z</cp:lastPrinted>
  <dcterms:created xsi:type="dcterms:W3CDTF">2015-09-14T15:28:04Z</dcterms:created>
  <dcterms:modified xsi:type="dcterms:W3CDTF">2024-10-16T15:27:20Z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45f431-4c8c-42c6-a5a5-ba6d3bdea585_Enabled">
    <vt:lpwstr>true</vt:lpwstr>
  </property>
  <property fmtid="{D5CDD505-2E9C-101B-9397-08002B2CF9AE}" pid="3" name="MSIP_Label_9145f431-4c8c-42c6-a5a5-ba6d3bdea585_SetDate">
    <vt:lpwstr>2024-05-22T22:45:06Z</vt:lpwstr>
  </property>
  <property fmtid="{D5CDD505-2E9C-101B-9397-08002B2CF9AE}" pid="4" name="MSIP_Label_9145f431-4c8c-42c6-a5a5-ba6d3bdea585_Method">
    <vt:lpwstr>Standard</vt:lpwstr>
  </property>
  <property fmtid="{D5CDD505-2E9C-101B-9397-08002B2CF9AE}" pid="5" name="MSIP_Label_9145f431-4c8c-42c6-a5a5-ba6d3bdea585_Name">
    <vt:lpwstr>defa4170-0d19-0005-0004-bc88714345d2</vt:lpwstr>
  </property>
  <property fmtid="{D5CDD505-2E9C-101B-9397-08002B2CF9AE}" pid="6" name="MSIP_Label_9145f431-4c8c-42c6-a5a5-ba6d3bdea585_SiteId">
    <vt:lpwstr>b2fe5ccf-10a5-46fe-ae45-a0267412af7a</vt:lpwstr>
  </property>
  <property fmtid="{D5CDD505-2E9C-101B-9397-08002B2CF9AE}" pid="7" name="MSIP_Label_9145f431-4c8c-42c6-a5a5-ba6d3bdea585_ActionId">
    <vt:lpwstr>fc638dfc-8df0-493d-866d-465776015ebb</vt:lpwstr>
  </property>
  <property fmtid="{D5CDD505-2E9C-101B-9397-08002B2CF9AE}" pid="8" name="MSIP_Label_9145f431-4c8c-42c6-a5a5-ba6d3bdea585_ContentBits">
    <vt:lpwstr>0</vt:lpwstr>
  </property>
</Properties>
</file>